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hidePivotFieldList="1"/>
  <bookViews>
    <workbookView xWindow="14205" yWindow="150" windowWidth="13680" windowHeight="12075" tabRatio="609" firstSheet="6" activeTab="6"/>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2 NEW Amounts per FTE" sheetId="22" r:id="rId7"/>
    <sheet name="OLD Amounts per FTE" sheetId="64" r:id="rId8"/>
    <sheet name="Distrib pivot table" sheetId="51" r:id="rId9"/>
    <sheet name="Amounts Pivot Table" sheetId="55" r:id="rId10"/>
    <sheet name="Amounts Pivot Table Fact Book" sheetId="68" r:id="rId11"/>
    <sheet name="Funding Data" sheetId="8" r:id="rId12"/>
    <sheet name="SFA Data for Highlights" sheetId="59" r:id="rId13"/>
    <sheet name="Format P01" sheetId="60" r:id="rId14"/>
    <sheet name="Format P02" sheetId="61" r:id="rId15"/>
  </sheets>
  <externalReferences>
    <externalReference r:id="rId16"/>
  </externalReferences>
  <definedNames>
    <definedName name="\a">#N/A</definedName>
    <definedName name="\c">#N/A</definedName>
    <definedName name="\s">#N/A</definedName>
    <definedName name="\x">#N/A</definedName>
    <definedName name="\z">#N/A</definedName>
    <definedName name="_xlnm._FilterDatabase" localSheetId="11" hidden="1">'Funding Data'!$9:$9</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purpose'!$A$7:$T$60</definedName>
    <definedName name="_xlnm.Print_Area" localSheetId="4">'115. NEW Distrib by source'!$R$1:$AG$36</definedName>
    <definedName name="_xlnm.Print_Area" localSheetId="6">'116-132 NEW Amounts per FTE'!$A$1:$K$557</definedName>
    <definedName name="_xlnm.Print_Area" localSheetId="8">'Distrib pivot table'!$E$4:$T$142</definedName>
    <definedName name="_xlnm.Print_Area" localSheetId="7">'OLD Amounts per FTE'!$A$1:$K$549</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2">'SFA Data for Highlights'!$A$1:$T$140</definedName>
    <definedName name="_xlnm.Print_Titles" localSheetId="2">'114. NEW Distrib by purpose'!$1:$6</definedName>
    <definedName name="_xlnm.Print_Titles" localSheetId="8">'Distrib pivot table'!$A:$D,'Distrib pivot table'!$1:$3</definedName>
    <definedName name="_xlnm.Print_Titles" localSheetId="11">'Funding Data'!#REF!</definedName>
    <definedName name="_xlnm.Print_Titles" localSheetId="3">'OLD Distrib by purpose'!$1:$4</definedName>
  </definedNames>
  <calcPr calcId="125725"/>
  <pivotCaches>
    <pivotCache cacheId="33" r:id="rId17"/>
    <pivotCache cacheId="34" r:id="rId18"/>
  </pivotCaches>
</workbook>
</file>

<file path=xl/calcChain.xml><?xml version="1.0" encoding="utf-8"?>
<calcChain xmlns="http://schemas.openxmlformats.org/spreadsheetml/2006/main">
  <c r="E268" i="64"/>
  <c r="D186"/>
  <c r="M295"/>
  <c r="M271" i="22"/>
  <c r="M272"/>
  <c r="M273"/>
  <c r="M274"/>
  <c r="M275"/>
  <c r="M276"/>
  <c r="M277"/>
  <c r="M278"/>
  <c r="M279"/>
  <c r="M280"/>
  <c r="M281"/>
  <c r="M282"/>
  <c r="M283"/>
  <c r="M284"/>
  <c r="M285"/>
  <c r="M286"/>
  <c r="M287"/>
  <c r="M288"/>
  <c r="M289"/>
  <c r="M290"/>
  <c r="M396" i="64"/>
  <c r="M397"/>
  <c r="M398"/>
  <c r="M399"/>
  <c r="M400"/>
  <c r="M401"/>
  <c r="M402"/>
  <c r="M403"/>
  <c r="M404"/>
  <c r="M405"/>
  <c r="M406"/>
  <c r="M407"/>
  <c r="M408"/>
  <c r="M409"/>
  <c r="M410"/>
  <c r="M411"/>
  <c r="M412"/>
  <c r="M413"/>
  <c r="M414"/>
  <c r="M415"/>
  <c r="M395"/>
  <c r="M362"/>
  <c r="M363"/>
  <c r="M364"/>
  <c r="M365"/>
  <c r="M366"/>
  <c r="M367"/>
  <c r="M368"/>
  <c r="M369"/>
  <c r="M370"/>
  <c r="M371"/>
  <c r="M372"/>
  <c r="M373"/>
  <c r="M374"/>
  <c r="M375"/>
  <c r="M376"/>
  <c r="M377"/>
  <c r="M378"/>
  <c r="M379"/>
  <c r="M380"/>
  <c r="M381"/>
  <c r="M361"/>
  <c r="M329"/>
  <c r="M330"/>
  <c r="M331"/>
  <c r="M332"/>
  <c r="M333"/>
  <c r="M334"/>
  <c r="M335"/>
  <c r="M336"/>
  <c r="M337"/>
  <c r="M338"/>
  <c r="M339"/>
  <c r="M340"/>
  <c r="M341"/>
  <c r="M342"/>
  <c r="M343"/>
  <c r="M344"/>
  <c r="M345"/>
  <c r="M346"/>
  <c r="M347"/>
  <c r="M348"/>
  <c r="M328"/>
  <c r="M296"/>
  <c r="M297"/>
  <c r="M298"/>
  <c r="M299"/>
  <c r="M300"/>
  <c r="M301"/>
  <c r="M302"/>
  <c r="M303"/>
  <c r="M304"/>
  <c r="M305"/>
  <c r="M306"/>
  <c r="M307"/>
  <c r="M308"/>
  <c r="M309"/>
  <c r="M310"/>
  <c r="M311"/>
  <c r="M312"/>
  <c r="M313"/>
  <c r="M314"/>
  <c r="M315"/>
  <c r="M264"/>
  <c r="M265"/>
  <c r="M266"/>
  <c r="M267"/>
  <c r="M268"/>
  <c r="M269"/>
  <c r="M270"/>
  <c r="M271"/>
  <c r="M272"/>
  <c r="M273"/>
  <c r="M274"/>
  <c r="M275"/>
  <c r="M276"/>
  <c r="M277"/>
  <c r="M278"/>
  <c r="M279"/>
  <c r="M280"/>
  <c r="M281"/>
  <c r="M282"/>
  <c r="M283"/>
  <c r="M263"/>
  <c r="M233"/>
  <c r="M234"/>
  <c r="M235"/>
  <c r="M236"/>
  <c r="M238"/>
  <c r="M239"/>
  <c r="M240"/>
  <c r="M241"/>
  <c r="M243"/>
  <c r="M244"/>
  <c r="M245"/>
  <c r="M246"/>
  <c r="M248"/>
  <c r="M249"/>
  <c r="M250"/>
  <c r="M251"/>
  <c r="M231"/>
  <c r="N239" i="22"/>
  <c r="N240"/>
  <c r="N241"/>
  <c r="N242"/>
  <c r="N244"/>
  <c r="N245"/>
  <c r="N246"/>
  <c r="N247"/>
  <c r="N249"/>
  <c r="N250"/>
  <c r="N251"/>
  <c r="N252"/>
  <c r="N254"/>
  <c r="N255"/>
  <c r="N256"/>
  <c r="N257"/>
  <c r="N237"/>
  <c r="M239"/>
  <c r="M240"/>
  <c r="M241"/>
  <c r="M242"/>
  <c r="M244"/>
  <c r="M245"/>
  <c r="M246"/>
  <c r="M247"/>
  <c r="M249"/>
  <c r="M250"/>
  <c r="M251"/>
  <c r="M252"/>
  <c r="M254"/>
  <c r="M255"/>
  <c r="M256"/>
  <c r="M257"/>
  <c r="M237"/>
  <c r="M40" i="64" l="1"/>
  <c r="M45"/>
  <c r="M50"/>
  <c r="M55"/>
  <c r="M52" l="1"/>
  <c r="B52" s="1"/>
  <c r="M56"/>
  <c r="B56" s="1"/>
  <c r="M41"/>
  <c r="M51"/>
  <c r="B51" s="1"/>
  <c r="M59"/>
  <c r="B59" s="1"/>
  <c r="M44"/>
  <c r="B44" s="1"/>
  <c r="M47"/>
  <c r="B47" s="1"/>
  <c r="M53"/>
  <c r="B53" s="1"/>
  <c r="M42"/>
  <c r="B42" s="1"/>
  <c r="M57"/>
  <c r="B57" s="1"/>
  <c r="M43"/>
  <c r="B43" s="1"/>
  <c r="M49"/>
  <c r="B49" s="1"/>
  <c r="M58"/>
  <c r="B58" s="1"/>
  <c r="M48"/>
  <c r="B48" s="1"/>
  <c r="M39"/>
  <c r="M46"/>
  <c r="B46" s="1"/>
  <c r="M54"/>
  <c r="B54" s="1"/>
  <c r="C39" l="1"/>
  <c r="D39"/>
  <c r="B39"/>
  <c r="C41"/>
  <c r="D41"/>
  <c r="B41"/>
  <c r="L47" i="59"/>
  <c r="L46"/>
  <c r="L45"/>
  <c r="L44"/>
  <c r="L43"/>
  <c r="L42"/>
  <c r="L41"/>
  <c r="L40"/>
  <c r="L39"/>
  <c r="L38"/>
  <c r="L37"/>
  <c r="L36"/>
  <c r="L35"/>
  <c r="L34"/>
  <c r="L33"/>
  <c r="L32"/>
  <c r="L30"/>
  <c r="L23"/>
  <c r="L22"/>
  <c r="L21"/>
  <c r="L20"/>
  <c r="L19"/>
  <c r="L18"/>
  <c r="L17"/>
  <c r="L16"/>
  <c r="L15"/>
  <c r="L14"/>
  <c r="L13"/>
  <c r="L12"/>
  <c r="L11"/>
  <c r="L10"/>
  <c r="L9"/>
  <c r="L8"/>
  <c r="L6"/>
  <c r="S47"/>
  <c r="S46"/>
  <c r="S45"/>
  <c r="S44"/>
  <c r="S43"/>
  <c r="S42"/>
  <c r="S41"/>
  <c r="S40"/>
  <c r="S39"/>
  <c r="S38"/>
  <c r="S37"/>
  <c r="S36"/>
  <c r="S35"/>
  <c r="S34"/>
  <c r="S33"/>
  <c r="S32"/>
  <c r="S30"/>
  <c r="R47"/>
  <c r="R46"/>
  <c r="R45"/>
  <c r="R44"/>
  <c r="R43"/>
  <c r="R42"/>
  <c r="R41"/>
  <c r="R40"/>
  <c r="R39"/>
  <c r="R38"/>
  <c r="R37"/>
  <c r="R36"/>
  <c r="R35"/>
  <c r="R34"/>
  <c r="R33"/>
  <c r="R32"/>
  <c r="R30"/>
  <c r="Q47"/>
  <c r="Q46"/>
  <c r="Q45"/>
  <c r="Q44"/>
  <c r="Q43"/>
  <c r="Q42"/>
  <c r="Q41"/>
  <c r="Q40"/>
  <c r="Q39"/>
  <c r="Q38"/>
  <c r="Q37"/>
  <c r="Q36"/>
  <c r="Q35"/>
  <c r="Q34"/>
  <c r="Q33"/>
  <c r="Q32"/>
  <c r="Q30"/>
  <c r="P47"/>
  <c r="P46"/>
  <c r="P45"/>
  <c r="P44"/>
  <c r="P43"/>
  <c r="P42"/>
  <c r="P41"/>
  <c r="P40"/>
  <c r="P39"/>
  <c r="P38"/>
  <c r="P37"/>
  <c r="P36"/>
  <c r="P35"/>
  <c r="P34"/>
  <c r="P33"/>
  <c r="P32"/>
  <c r="P30"/>
  <c r="O47"/>
  <c r="O46"/>
  <c r="O45"/>
  <c r="O44"/>
  <c r="O43"/>
  <c r="O42"/>
  <c r="O41"/>
  <c r="O40"/>
  <c r="O39"/>
  <c r="O38"/>
  <c r="O37"/>
  <c r="O36"/>
  <c r="O35"/>
  <c r="O34"/>
  <c r="O33"/>
  <c r="O32"/>
  <c r="O30"/>
  <c r="N47"/>
  <c r="N46"/>
  <c r="N45"/>
  <c r="N44"/>
  <c r="N43"/>
  <c r="N42"/>
  <c r="N41"/>
  <c r="N40"/>
  <c r="N39"/>
  <c r="N38"/>
  <c r="N37"/>
  <c r="N36"/>
  <c r="N35"/>
  <c r="N34"/>
  <c r="N33"/>
  <c r="N32"/>
  <c r="N30"/>
  <c r="I47"/>
  <c r="I46"/>
  <c r="I45"/>
  <c r="I44"/>
  <c r="I43"/>
  <c r="I42"/>
  <c r="I41"/>
  <c r="I40"/>
  <c r="I39"/>
  <c r="I38"/>
  <c r="I37"/>
  <c r="I36"/>
  <c r="I35"/>
  <c r="I34"/>
  <c r="I33"/>
  <c r="I32"/>
  <c r="I30"/>
  <c r="H47"/>
  <c r="H46"/>
  <c r="H45"/>
  <c r="H44"/>
  <c r="H43"/>
  <c r="H42"/>
  <c r="H41"/>
  <c r="H40"/>
  <c r="H39"/>
  <c r="H38"/>
  <c r="H37"/>
  <c r="H36"/>
  <c r="H35"/>
  <c r="H34"/>
  <c r="H33"/>
  <c r="H32"/>
  <c r="H30"/>
  <c r="G47"/>
  <c r="G46"/>
  <c r="G45"/>
  <c r="G44"/>
  <c r="G43"/>
  <c r="G42"/>
  <c r="G41"/>
  <c r="G40"/>
  <c r="G39"/>
  <c r="G38"/>
  <c r="G37"/>
  <c r="G36"/>
  <c r="G35"/>
  <c r="G34"/>
  <c r="G33"/>
  <c r="G32"/>
  <c r="G30"/>
  <c r="F47"/>
  <c r="F46"/>
  <c r="F45"/>
  <c r="F44"/>
  <c r="F43"/>
  <c r="F42"/>
  <c r="F41"/>
  <c r="F40"/>
  <c r="F39"/>
  <c r="F38"/>
  <c r="F37"/>
  <c r="F36"/>
  <c r="F35"/>
  <c r="F34"/>
  <c r="F33"/>
  <c r="F32"/>
  <c r="F30"/>
  <c r="E47"/>
  <c r="E46"/>
  <c r="E45"/>
  <c r="E44"/>
  <c r="E43"/>
  <c r="E42"/>
  <c r="E41"/>
  <c r="E40"/>
  <c r="E39"/>
  <c r="E38"/>
  <c r="E37"/>
  <c r="E36"/>
  <c r="E35"/>
  <c r="E34"/>
  <c r="E33"/>
  <c r="E32"/>
  <c r="E30"/>
  <c r="D47"/>
  <c r="D46"/>
  <c r="D45"/>
  <c r="D44"/>
  <c r="D43"/>
  <c r="D42"/>
  <c r="D41"/>
  <c r="D40"/>
  <c r="D39"/>
  <c r="D38"/>
  <c r="D37"/>
  <c r="D36"/>
  <c r="D35"/>
  <c r="D34"/>
  <c r="D33"/>
  <c r="D32"/>
  <c r="D30"/>
  <c r="C47"/>
  <c r="C46"/>
  <c r="C45"/>
  <c r="C44"/>
  <c r="C43"/>
  <c r="C42"/>
  <c r="C41"/>
  <c r="C40"/>
  <c r="C39"/>
  <c r="C38"/>
  <c r="C37"/>
  <c r="C36"/>
  <c r="C35"/>
  <c r="C34"/>
  <c r="C33"/>
  <c r="C32"/>
  <c r="C30"/>
  <c r="B47"/>
  <c r="B46"/>
  <c r="B45"/>
  <c r="B44"/>
  <c r="B43"/>
  <c r="B42"/>
  <c r="B41"/>
  <c r="B40"/>
  <c r="B39"/>
  <c r="B38"/>
  <c r="B37"/>
  <c r="B36"/>
  <c r="B35"/>
  <c r="B34"/>
  <c r="B33"/>
  <c r="B32"/>
  <c r="B30"/>
  <c r="I23"/>
  <c r="I22"/>
  <c r="I21"/>
  <c r="I20"/>
  <c r="I19"/>
  <c r="I18"/>
  <c r="I17"/>
  <c r="I16"/>
  <c r="I15"/>
  <c r="I14"/>
  <c r="I13"/>
  <c r="I12"/>
  <c r="I11"/>
  <c r="I10"/>
  <c r="I9"/>
  <c r="I8"/>
  <c r="I6"/>
  <c r="H23"/>
  <c r="H22"/>
  <c r="H21"/>
  <c r="H20"/>
  <c r="H19"/>
  <c r="H18"/>
  <c r="H17"/>
  <c r="H16"/>
  <c r="H15"/>
  <c r="H14"/>
  <c r="H13"/>
  <c r="H12"/>
  <c r="H11"/>
  <c r="H10"/>
  <c r="H9"/>
  <c r="H8"/>
  <c r="H6"/>
  <c r="G23"/>
  <c r="G22"/>
  <c r="G21"/>
  <c r="G20"/>
  <c r="G19"/>
  <c r="G18"/>
  <c r="G17"/>
  <c r="G16"/>
  <c r="G15"/>
  <c r="G14"/>
  <c r="G13"/>
  <c r="G12"/>
  <c r="G11"/>
  <c r="G10"/>
  <c r="G9"/>
  <c r="G8"/>
  <c r="G6"/>
  <c r="F23"/>
  <c r="F22"/>
  <c r="F21"/>
  <c r="F20"/>
  <c r="F19"/>
  <c r="F18"/>
  <c r="F17"/>
  <c r="F16"/>
  <c r="F15"/>
  <c r="F14"/>
  <c r="F13"/>
  <c r="F12"/>
  <c r="F11"/>
  <c r="F10"/>
  <c r="F9"/>
  <c r="F8"/>
  <c r="F6"/>
  <c r="E23"/>
  <c r="E22"/>
  <c r="E21"/>
  <c r="E20"/>
  <c r="E19"/>
  <c r="E18"/>
  <c r="E17"/>
  <c r="E16"/>
  <c r="E15"/>
  <c r="E14"/>
  <c r="E13"/>
  <c r="E12"/>
  <c r="E11"/>
  <c r="E10"/>
  <c r="E9"/>
  <c r="E8"/>
  <c r="E6"/>
  <c r="D23"/>
  <c r="D22"/>
  <c r="D21"/>
  <c r="D20"/>
  <c r="D19"/>
  <c r="D18"/>
  <c r="D17"/>
  <c r="D16"/>
  <c r="D15"/>
  <c r="D14"/>
  <c r="D13"/>
  <c r="D12"/>
  <c r="D11"/>
  <c r="D10"/>
  <c r="D9"/>
  <c r="D8"/>
  <c r="D6"/>
  <c r="C23"/>
  <c r="C22"/>
  <c r="C21"/>
  <c r="C20"/>
  <c r="C19"/>
  <c r="C18"/>
  <c r="C17"/>
  <c r="C16"/>
  <c r="C15"/>
  <c r="C14"/>
  <c r="C13"/>
  <c r="C12"/>
  <c r="C11"/>
  <c r="C10"/>
  <c r="C9"/>
  <c r="C8"/>
  <c r="C6"/>
  <c r="B23"/>
  <c r="B22"/>
  <c r="B21"/>
  <c r="B20"/>
  <c r="B19"/>
  <c r="B18"/>
  <c r="B17"/>
  <c r="B16"/>
  <c r="B15"/>
  <c r="B14"/>
  <c r="B13"/>
  <c r="B12"/>
  <c r="B11"/>
  <c r="B10"/>
  <c r="B9"/>
  <c r="B8"/>
  <c r="B6"/>
  <c r="J6" s="1"/>
  <c r="S22"/>
  <c r="S21"/>
  <c r="S20"/>
  <c r="S19"/>
  <c r="S18"/>
  <c r="S17"/>
  <c r="S16"/>
  <c r="S15"/>
  <c r="S14"/>
  <c r="S13"/>
  <c r="S12"/>
  <c r="S11"/>
  <c r="S10"/>
  <c r="S9"/>
  <c r="S8"/>
  <c r="S6"/>
  <c r="R23"/>
  <c r="R22"/>
  <c r="R21"/>
  <c r="R20"/>
  <c r="R19"/>
  <c r="R18"/>
  <c r="R17"/>
  <c r="R16"/>
  <c r="R15"/>
  <c r="R14"/>
  <c r="R13"/>
  <c r="R12"/>
  <c r="R11"/>
  <c r="R10"/>
  <c r="R9"/>
  <c r="R8"/>
  <c r="R6"/>
  <c r="Q23"/>
  <c r="Q22"/>
  <c r="Q21"/>
  <c r="Q20"/>
  <c r="Q19"/>
  <c r="Q18"/>
  <c r="Q17"/>
  <c r="Q16"/>
  <c r="Q15"/>
  <c r="Q14"/>
  <c r="Q13"/>
  <c r="Q12"/>
  <c r="Q11"/>
  <c r="Q10"/>
  <c r="Q9"/>
  <c r="Q8"/>
  <c r="Q6"/>
  <c r="P23"/>
  <c r="P22"/>
  <c r="P21"/>
  <c r="P20"/>
  <c r="P19"/>
  <c r="P18"/>
  <c r="P17"/>
  <c r="P16"/>
  <c r="P15"/>
  <c r="P14"/>
  <c r="P13"/>
  <c r="P12"/>
  <c r="P11"/>
  <c r="P10"/>
  <c r="P9"/>
  <c r="P8"/>
  <c r="P6"/>
  <c r="O23"/>
  <c r="O22"/>
  <c r="O21"/>
  <c r="O20"/>
  <c r="O19"/>
  <c r="O18"/>
  <c r="O17"/>
  <c r="O16"/>
  <c r="O15"/>
  <c r="O14"/>
  <c r="O13"/>
  <c r="O12"/>
  <c r="O11"/>
  <c r="O10"/>
  <c r="O9"/>
  <c r="O8"/>
  <c r="O6"/>
  <c r="N6"/>
  <c r="N23"/>
  <c r="N22"/>
  <c r="N21"/>
  <c r="N20"/>
  <c r="N19"/>
  <c r="N18"/>
  <c r="N17"/>
  <c r="N16"/>
  <c r="N15"/>
  <c r="N14"/>
  <c r="N13"/>
  <c r="N12"/>
  <c r="N11"/>
  <c r="N10"/>
  <c r="N9"/>
  <c r="N8"/>
  <c r="J226" i="8"/>
  <c r="B9" i="21"/>
  <c r="K6" i="59" l="1"/>
  <c r="M6" s="1"/>
  <c r="T6" s="1"/>
  <c r="AB1089" i="8"/>
  <c r="Y1089"/>
  <c r="T1089"/>
  <c r="AJ1089" s="1"/>
  <c r="S1089"/>
  <c r="AI1089" s="1"/>
  <c r="R1089"/>
  <c r="O1089"/>
  <c r="AB1088"/>
  <c r="Y1088"/>
  <c r="T1088"/>
  <c r="AJ1088" s="1"/>
  <c r="S1088"/>
  <c r="AI1088" s="1"/>
  <c r="R1088"/>
  <c r="O1088"/>
  <c r="AB1087"/>
  <c r="Y1087"/>
  <c r="T1087"/>
  <c r="AJ1087" s="1"/>
  <c r="S1087"/>
  <c r="AI1087" s="1"/>
  <c r="R1087"/>
  <c r="O1087"/>
  <c r="AB1086"/>
  <c r="Y1086"/>
  <c r="T1086"/>
  <c r="AJ1086" s="1"/>
  <c r="S1086"/>
  <c r="AI1086" s="1"/>
  <c r="R1086"/>
  <c r="O1086"/>
  <c r="AB1085"/>
  <c r="Y1085"/>
  <c r="T1085"/>
  <c r="AJ1085" s="1"/>
  <c r="S1085"/>
  <c r="AI1085" s="1"/>
  <c r="R1085"/>
  <c r="O1085"/>
  <c r="AB1084"/>
  <c r="Y1084"/>
  <c r="T1084"/>
  <c r="AJ1084" s="1"/>
  <c r="S1084"/>
  <c r="AI1084" s="1"/>
  <c r="R1084"/>
  <c r="O1084"/>
  <c r="AB1083"/>
  <c r="Y1083"/>
  <c r="T1083"/>
  <c r="AJ1083" s="1"/>
  <c r="S1083"/>
  <c r="AI1083" s="1"/>
  <c r="R1083"/>
  <c r="O1083"/>
  <c r="AB1082"/>
  <c r="Y1082"/>
  <c r="T1082"/>
  <c r="AJ1082" s="1"/>
  <c r="S1082"/>
  <c r="AI1082" s="1"/>
  <c r="R1082"/>
  <c r="O1082"/>
  <c r="AB1081"/>
  <c r="Y1081"/>
  <c r="T1081"/>
  <c r="AJ1081" s="1"/>
  <c r="S1081"/>
  <c r="AI1081" s="1"/>
  <c r="R1081"/>
  <c r="O1081"/>
  <c r="AB1080"/>
  <c r="Y1080"/>
  <c r="T1080"/>
  <c r="AJ1080" s="1"/>
  <c r="S1080"/>
  <c r="AI1080" s="1"/>
  <c r="R1080"/>
  <c r="O1080"/>
  <c r="AB1079"/>
  <c r="Y1079"/>
  <c r="T1079"/>
  <c r="AJ1079" s="1"/>
  <c r="S1079"/>
  <c r="AI1079" s="1"/>
  <c r="R1079"/>
  <c r="O1079"/>
  <c r="AB1078"/>
  <c r="Y1078"/>
  <c r="T1078"/>
  <c r="AJ1078" s="1"/>
  <c r="S1078"/>
  <c r="AI1078" s="1"/>
  <c r="R1078"/>
  <c r="O1078"/>
  <c r="AB1077"/>
  <c r="Y1077"/>
  <c r="T1077"/>
  <c r="AJ1077" s="1"/>
  <c r="S1077"/>
  <c r="AI1077" s="1"/>
  <c r="R1077"/>
  <c r="O1077"/>
  <c r="AB1076"/>
  <c r="Y1076"/>
  <c r="T1076"/>
  <c r="AJ1076" s="1"/>
  <c r="S1076"/>
  <c r="AI1076" s="1"/>
  <c r="R1076"/>
  <c r="O1076"/>
  <c r="AB1075"/>
  <c r="Y1075"/>
  <c r="T1075"/>
  <c r="AJ1075" s="1"/>
  <c r="S1075"/>
  <c r="AI1075" s="1"/>
  <c r="R1075"/>
  <c r="O1075"/>
  <c r="AB1074"/>
  <c r="Y1074"/>
  <c r="T1074"/>
  <c r="AJ1074" s="1"/>
  <c r="S1074"/>
  <c r="AI1074" s="1"/>
  <c r="R1074"/>
  <c r="O1074"/>
  <c r="AB1073"/>
  <c r="Y1073"/>
  <c r="T1073"/>
  <c r="AJ1073" s="1"/>
  <c r="S1073"/>
  <c r="AI1073" s="1"/>
  <c r="R1073"/>
  <c r="O1073"/>
  <c r="AB1072"/>
  <c r="Y1072"/>
  <c r="T1072"/>
  <c r="AJ1072" s="1"/>
  <c r="S1072"/>
  <c r="AI1072" s="1"/>
  <c r="R1072"/>
  <c r="O1072"/>
  <c r="AB1071"/>
  <c r="Y1071"/>
  <c r="T1071"/>
  <c r="AJ1071" s="1"/>
  <c r="S1071"/>
  <c r="AI1071" s="1"/>
  <c r="R1071"/>
  <c r="O1071"/>
  <c r="AB1070"/>
  <c r="Y1070"/>
  <c r="T1070"/>
  <c r="AJ1070" s="1"/>
  <c r="S1070"/>
  <c r="AI1070" s="1"/>
  <c r="R1070"/>
  <c r="O1070"/>
  <c r="AB1069"/>
  <c r="Y1069"/>
  <c r="T1069"/>
  <c r="AJ1069" s="1"/>
  <c r="S1069"/>
  <c r="AI1069" s="1"/>
  <c r="R1069"/>
  <c r="O1069"/>
  <c r="AB1068"/>
  <c r="Y1068"/>
  <c r="T1068"/>
  <c r="AJ1068" s="1"/>
  <c r="S1068"/>
  <c r="AI1068" s="1"/>
  <c r="R1068"/>
  <c r="O1068"/>
  <c r="AB1067"/>
  <c r="Y1067"/>
  <c r="T1067"/>
  <c r="AJ1067" s="1"/>
  <c r="S1067"/>
  <c r="AI1067" s="1"/>
  <c r="R1067"/>
  <c r="O1067"/>
  <c r="AB1066"/>
  <c r="Y1066"/>
  <c r="T1066"/>
  <c r="AJ1066" s="1"/>
  <c r="S1066"/>
  <c r="AI1066" s="1"/>
  <c r="R1066"/>
  <c r="O1066"/>
  <c r="AB1065"/>
  <c r="Y1065"/>
  <c r="T1065"/>
  <c r="AJ1065" s="1"/>
  <c r="S1065"/>
  <c r="AI1065" s="1"/>
  <c r="R1065"/>
  <c r="O1065"/>
  <c r="AB1064"/>
  <c r="Y1064"/>
  <c r="T1064"/>
  <c r="AJ1064" s="1"/>
  <c r="S1064"/>
  <c r="AI1064" s="1"/>
  <c r="R1064"/>
  <c r="O1064"/>
  <c r="AB1063"/>
  <c r="Y1063"/>
  <c r="T1063"/>
  <c r="AJ1063" s="1"/>
  <c r="S1063"/>
  <c r="AI1063" s="1"/>
  <c r="R1063"/>
  <c r="O1063"/>
  <c r="AB1062"/>
  <c r="Y1062"/>
  <c r="T1062"/>
  <c r="AJ1062" s="1"/>
  <c r="S1062"/>
  <c r="AI1062" s="1"/>
  <c r="R1062"/>
  <c r="O1062"/>
  <c r="AB1061"/>
  <c r="Y1061"/>
  <c r="T1061"/>
  <c r="AJ1061" s="1"/>
  <c r="S1061"/>
  <c r="AI1061" s="1"/>
  <c r="R1061"/>
  <c r="O1061"/>
  <c r="AB1060"/>
  <c r="Y1060"/>
  <c r="T1060"/>
  <c r="AJ1060" s="1"/>
  <c r="S1060"/>
  <c r="AI1060" s="1"/>
  <c r="R1060"/>
  <c r="O1060"/>
  <c r="AB1059"/>
  <c r="Y1059"/>
  <c r="T1059"/>
  <c r="AJ1059" s="1"/>
  <c r="S1059"/>
  <c r="AI1059" s="1"/>
  <c r="R1059"/>
  <c r="O1059"/>
  <c r="AB1058"/>
  <c r="Y1058"/>
  <c r="T1058"/>
  <c r="AJ1058" s="1"/>
  <c r="S1058"/>
  <c r="AI1058" s="1"/>
  <c r="R1058"/>
  <c r="O1058"/>
  <c r="AB1057"/>
  <c r="Y1057"/>
  <c r="T1057"/>
  <c r="AJ1057" s="1"/>
  <c r="S1057"/>
  <c r="AI1057" s="1"/>
  <c r="R1057"/>
  <c r="O1057"/>
  <c r="AB1056"/>
  <c r="Y1056"/>
  <c r="T1056"/>
  <c r="AJ1056" s="1"/>
  <c r="S1056"/>
  <c r="AI1056" s="1"/>
  <c r="R1056"/>
  <c r="O1056"/>
  <c r="AB1055"/>
  <c r="Y1055"/>
  <c r="T1055"/>
  <c r="AJ1055" s="1"/>
  <c r="S1055"/>
  <c r="AI1055" s="1"/>
  <c r="R1055"/>
  <c r="O1055"/>
  <c r="AB1054"/>
  <c r="Y1054"/>
  <c r="T1054"/>
  <c r="AJ1054" s="1"/>
  <c r="S1054"/>
  <c r="AI1054" s="1"/>
  <c r="R1054"/>
  <c r="O1054"/>
  <c r="AB1053"/>
  <c r="Y1053"/>
  <c r="T1053"/>
  <c r="AJ1053" s="1"/>
  <c r="S1053"/>
  <c r="AI1053" s="1"/>
  <c r="R1053"/>
  <c r="O1053"/>
  <c r="AB1052"/>
  <c r="Y1052"/>
  <c r="T1052"/>
  <c r="AJ1052" s="1"/>
  <c r="S1052"/>
  <c r="AI1052" s="1"/>
  <c r="R1052"/>
  <c r="O1052"/>
  <c r="AB1051"/>
  <c r="Y1051"/>
  <c r="T1051"/>
  <c r="AJ1051" s="1"/>
  <c r="S1051"/>
  <c r="AI1051" s="1"/>
  <c r="R1051"/>
  <c r="O1051"/>
  <c r="AB1050"/>
  <c r="Y1050"/>
  <c r="T1050"/>
  <c r="AJ1050" s="1"/>
  <c r="S1050"/>
  <c r="AI1050" s="1"/>
  <c r="R1050"/>
  <c r="O1050"/>
  <c r="AB1049"/>
  <c r="Y1049"/>
  <c r="T1049"/>
  <c r="AJ1049" s="1"/>
  <c r="S1049"/>
  <c r="AI1049" s="1"/>
  <c r="R1049"/>
  <c r="O1049"/>
  <c r="AB1048"/>
  <c r="Y1048"/>
  <c r="T1048"/>
  <c r="AJ1048" s="1"/>
  <c r="S1048"/>
  <c r="AI1048" s="1"/>
  <c r="R1048"/>
  <c r="O1048"/>
  <c r="AB1047"/>
  <c r="Y1047"/>
  <c r="T1047"/>
  <c r="AJ1047" s="1"/>
  <c r="S1047"/>
  <c r="AI1047" s="1"/>
  <c r="R1047"/>
  <c r="O1047"/>
  <c r="AB1046"/>
  <c r="Y1046"/>
  <c r="T1046"/>
  <c r="AJ1046" s="1"/>
  <c r="S1046"/>
  <c r="AI1046" s="1"/>
  <c r="R1046"/>
  <c r="O1046"/>
  <c r="AB1045"/>
  <c r="Y1045"/>
  <c r="T1045"/>
  <c r="AJ1045" s="1"/>
  <c r="S1045"/>
  <c r="AI1045" s="1"/>
  <c r="R1045"/>
  <c r="O1045"/>
  <c r="AB1044"/>
  <c r="Y1044"/>
  <c r="T1044"/>
  <c r="AJ1044" s="1"/>
  <c r="S1044"/>
  <c r="AI1044" s="1"/>
  <c r="R1044"/>
  <c r="O1044"/>
  <c r="AB1043"/>
  <c r="Y1043"/>
  <c r="T1043"/>
  <c r="AJ1043" s="1"/>
  <c r="S1043"/>
  <c r="AI1043" s="1"/>
  <c r="R1043"/>
  <c r="O1043"/>
  <c r="AB1042"/>
  <c r="Y1042"/>
  <c r="T1042"/>
  <c r="AJ1042" s="1"/>
  <c r="S1042"/>
  <c r="AI1042" s="1"/>
  <c r="R1042"/>
  <c r="O1042"/>
  <c r="AB1041"/>
  <c r="Y1041"/>
  <c r="T1041"/>
  <c r="AJ1041" s="1"/>
  <c r="S1041"/>
  <c r="AI1041" s="1"/>
  <c r="R1041"/>
  <c r="O1041"/>
  <c r="AB1040"/>
  <c r="Y1040"/>
  <c r="T1040"/>
  <c r="AJ1040" s="1"/>
  <c r="S1040"/>
  <c r="AI1040" s="1"/>
  <c r="R1040"/>
  <c r="O1040"/>
  <c r="AB1039"/>
  <c r="Y1039"/>
  <c r="T1039"/>
  <c r="AJ1039" s="1"/>
  <c r="S1039"/>
  <c r="AI1039" s="1"/>
  <c r="R1039"/>
  <c r="O1039"/>
  <c r="AB1038"/>
  <c r="Y1038"/>
  <c r="T1038"/>
  <c r="AJ1038" s="1"/>
  <c r="S1038"/>
  <c r="AI1038" s="1"/>
  <c r="R1038"/>
  <c r="O1038"/>
  <c r="AB1037"/>
  <c r="Y1037"/>
  <c r="T1037"/>
  <c r="AJ1037" s="1"/>
  <c r="S1037"/>
  <c r="AI1037" s="1"/>
  <c r="R1037"/>
  <c r="O1037"/>
  <c r="AB1036"/>
  <c r="Y1036"/>
  <c r="T1036"/>
  <c r="AJ1036" s="1"/>
  <c r="S1036"/>
  <c r="AI1036" s="1"/>
  <c r="R1036"/>
  <c r="O1036"/>
  <c r="AB1035"/>
  <c r="Y1035"/>
  <c r="T1035"/>
  <c r="AJ1035" s="1"/>
  <c r="S1035"/>
  <c r="AI1035" s="1"/>
  <c r="R1035"/>
  <c r="O1035"/>
  <c r="AB1034"/>
  <c r="Y1034"/>
  <c r="T1034"/>
  <c r="AJ1034" s="1"/>
  <c r="S1034"/>
  <c r="AI1034" s="1"/>
  <c r="R1034"/>
  <c r="O1034"/>
  <c r="AB1033"/>
  <c r="Y1033"/>
  <c r="T1033"/>
  <c r="AJ1033" s="1"/>
  <c r="S1033"/>
  <c r="AI1033" s="1"/>
  <c r="R1033"/>
  <c r="O1033"/>
  <c r="AB1032"/>
  <c r="Y1032"/>
  <c r="T1032"/>
  <c r="AJ1032" s="1"/>
  <c r="S1032"/>
  <c r="AI1032" s="1"/>
  <c r="R1032"/>
  <c r="O1032"/>
  <c r="AB1031"/>
  <c r="Y1031"/>
  <c r="T1031"/>
  <c r="AJ1031" s="1"/>
  <c r="S1031"/>
  <c r="AI1031" s="1"/>
  <c r="R1031"/>
  <c r="O1031"/>
  <c r="AB1030"/>
  <c r="Y1030"/>
  <c r="T1030"/>
  <c r="AJ1030" s="1"/>
  <c r="S1030"/>
  <c r="AI1030" s="1"/>
  <c r="R1030"/>
  <c r="O1030"/>
  <c r="AB1029"/>
  <c r="Y1029"/>
  <c r="T1029"/>
  <c r="AJ1029" s="1"/>
  <c r="S1029"/>
  <c r="AI1029" s="1"/>
  <c r="R1029"/>
  <c r="O1029"/>
  <c r="AB1028"/>
  <c r="Y1028"/>
  <c r="T1028"/>
  <c r="AJ1028" s="1"/>
  <c r="S1028"/>
  <c r="AI1028" s="1"/>
  <c r="R1028"/>
  <c r="O1028"/>
  <c r="AB1027"/>
  <c r="Y1027"/>
  <c r="T1027"/>
  <c r="AJ1027" s="1"/>
  <c r="S1027"/>
  <c r="AI1027" s="1"/>
  <c r="R1027"/>
  <c r="O1027"/>
  <c r="AB1026"/>
  <c r="Y1026"/>
  <c r="T1026"/>
  <c r="AJ1026" s="1"/>
  <c r="S1026"/>
  <c r="AI1026" s="1"/>
  <c r="R1026"/>
  <c r="O1026"/>
  <c r="AB1025"/>
  <c r="Y1025"/>
  <c r="T1025"/>
  <c r="AJ1025" s="1"/>
  <c r="S1025"/>
  <c r="AI1025" s="1"/>
  <c r="R1025"/>
  <c r="O1025"/>
  <c r="AB1024"/>
  <c r="Y1024"/>
  <c r="T1024"/>
  <c r="AJ1024" s="1"/>
  <c r="S1024"/>
  <c r="AI1024" s="1"/>
  <c r="R1024"/>
  <c r="O1024"/>
  <c r="AB1023"/>
  <c r="Y1023"/>
  <c r="T1023"/>
  <c r="AJ1023" s="1"/>
  <c r="S1023"/>
  <c r="AI1023" s="1"/>
  <c r="R1023"/>
  <c r="O1023"/>
  <c r="AB1022"/>
  <c r="Y1022"/>
  <c r="T1022"/>
  <c r="AJ1022" s="1"/>
  <c r="S1022"/>
  <c r="AI1022" s="1"/>
  <c r="R1022"/>
  <c r="O1022"/>
  <c r="AB1021"/>
  <c r="Y1021"/>
  <c r="T1021"/>
  <c r="AJ1021" s="1"/>
  <c r="S1021"/>
  <c r="AI1021" s="1"/>
  <c r="R1021"/>
  <c r="O1021"/>
  <c r="AB1020"/>
  <c r="Y1020"/>
  <c r="T1020"/>
  <c r="AJ1020" s="1"/>
  <c r="S1020"/>
  <c r="AI1020" s="1"/>
  <c r="R1020"/>
  <c r="O1020"/>
  <c r="AB1019"/>
  <c r="Y1019"/>
  <c r="T1019"/>
  <c r="AJ1019" s="1"/>
  <c r="S1019"/>
  <c r="AI1019" s="1"/>
  <c r="R1019"/>
  <c r="O1019"/>
  <c r="AB1018"/>
  <c r="Y1018"/>
  <c r="T1018"/>
  <c r="AJ1018" s="1"/>
  <c r="S1018"/>
  <c r="AI1018" s="1"/>
  <c r="R1018"/>
  <c r="O1018"/>
  <c r="AB1017"/>
  <c r="Y1017"/>
  <c r="T1017"/>
  <c r="AJ1017" s="1"/>
  <c r="S1017"/>
  <c r="AI1017" s="1"/>
  <c r="R1017"/>
  <c r="O1017"/>
  <c r="AB1016"/>
  <c r="Y1016"/>
  <c r="T1016"/>
  <c r="AJ1016" s="1"/>
  <c r="S1016"/>
  <c r="AI1016" s="1"/>
  <c r="R1016"/>
  <c r="O1016"/>
  <c r="AB1015"/>
  <c r="Y1015"/>
  <c r="T1015"/>
  <c r="AJ1015" s="1"/>
  <c r="S1015"/>
  <c r="AI1015" s="1"/>
  <c r="R1015"/>
  <c r="O1015"/>
  <c r="AB1012"/>
  <c r="Y1012"/>
  <c r="T1012"/>
  <c r="AJ1012" s="1"/>
  <c r="S1012"/>
  <c r="AI1012" s="1"/>
  <c r="R1012"/>
  <c r="O1012"/>
  <c r="AB1011"/>
  <c r="Y1011"/>
  <c r="T1011"/>
  <c r="AJ1011" s="1"/>
  <c r="S1011"/>
  <c r="AI1011" s="1"/>
  <c r="R1011"/>
  <c r="O1011"/>
  <c r="AB1014"/>
  <c r="Y1014"/>
  <c r="T1014"/>
  <c r="AJ1014" s="1"/>
  <c r="S1014"/>
  <c r="AI1014" s="1"/>
  <c r="R1014"/>
  <c r="O1014"/>
  <c r="AB1013"/>
  <c r="Y1013"/>
  <c r="T1013"/>
  <c r="AJ1013" s="1"/>
  <c r="S1013"/>
  <c r="AI1013" s="1"/>
  <c r="R1013"/>
  <c r="O1013"/>
  <c r="AB1010"/>
  <c r="Y1010"/>
  <c r="T1010"/>
  <c r="AJ1010" s="1"/>
  <c r="S1010"/>
  <c r="AI1010" s="1"/>
  <c r="R1010"/>
  <c r="O1010"/>
  <c r="AB1009"/>
  <c r="Y1009"/>
  <c r="T1009"/>
  <c r="AJ1009" s="1"/>
  <c r="S1009"/>
  <c r="AI1009" s="1"/>
  <c r="R1009"/>
  <c r="O1009"/>
  <c r="AB1008"/>
  <c r="Y1008"/>
  <c r="T1008"/>
  <c r="AJ1008" s="1"/>
  <c r="S1008"/>
  <c r="AI1008" s="1"/>
  <c r="R1008"/>
  <c r="O1008"/>
  <c r="AB1007"/>
  <c r="Y1007"/>
  <c r="R1007"/>
  <c r="O1007"/>
  <c r="J1007"/>
  <c r="T1007" s="1"/>
  <c r="AJ1007" s="1"/>
  <c r="I1007"/>
  <c r="S1007" s="1"/>
  <c r="AI1007" s="1"/>
  <c r="AB1006"/>
  <c r="Y1006"/>
  <c r="T1006"/>
  <c r="AJ1006" s="1"/>
  <c r="S1006"/>
  <c r="AI1006" s="1"/>
  <c r="R1006"/>
  <c r="O1006"/>
  <c r="AB1005"/>
  <c r="Y1005"/>
  <c r="T1005"/>
  <c r="AJ1005" s="1"/>
  <c r="S1005"/>
  <c r="AI1005" s="1"/>
  <c r="R1005"/>
  <c r="O1005"/>
  <c r="AB1004"/>
  <c r="Y1004"/>
  <c r="T1004"/>
  <c r="AJ1004" s="1"/>
  <c r="S1004"/>
  <c r="AI1004" s="1"/>
  <c r="R1004"/>
  <c r="O1004"/>
  <c r="AB1003"/>
  <c r="Y1003"/>
  <c r="T1003"/>
  <c r="AJ1003" s="1"/>
  <c r="S1003"/>
  <c r="AI1003" s="1"/>
  <c r="R1003"/>
  <c r="O1003"/>
  <c r="AB1002"/>
  <c r="Y1002"/>
  <c r="T1002"/>
  <c r="AJ1002" s="1"/>
  <c r="S1002"/>
  <c r="AI1002" s="1"/>
  <c r="R1002"/>
  <c r="O1002"/>
  <c r="AB1001"/>
  <c r="Y1001"/>
  <c r="T1001"/>
  <c r="AJ1001" s="1"/>
  <c r="S1001"/>
  <c r="AI1001" s="1"/>
  <c r="R1001"/>
  <c r="O1001"/>
  <c r="AB1000"/>
  <c r="Y1000"/>
  <c r="S1000"/>
  <c r="AI1000" s="1"/>
  <c r="R1000"/>
  <c r="O1000"/>
  <c r="AB999"/>
  <c r="Y999"/>
  <c r="T999"/>
  <c r="AJ999" s="1"/>
  <c r="S999"/>
  <c r="AI999" s="1"/>
  <c r="R999"/>
  <c r="O999"/>
  <c r="AB998"/>
  <c r="Y998"/>
  <c r="T998"/>
  <c r="AJ998" s="1"/>
  <c r="S998"/>
  <c r="AI998" s="1"/>
  <c r="R998"/>
  <c r="O998"/>
  <c r="AB997"/>
  <c r="Y997"/>
  <c r="T997"/>
  <c r="AJ997" s="1"/>
  <c r="S997"/>
  <c r="AI997" s="1"/>
  <c r="R997"/>
  <c r="O997"/>
  <c r="AB996"/>
  <c r="Y996"/>
  <c r="T996"/>
  <c r="AJ996" s="1"/>
  <c r="S996"/>
  <c r="AI996" s="1"/>
  <c r="R996"/>
  <c r="O996"/>
  <c r="AB995"/>
  <c r="Y995"/>
  <c r="T995"/>
  <c r="AJ995" s="1"/>
  <c r="S995"/>
  <c r="AI995" s="1"/>
  <c r="R995"/>
  <c r="O995"/>
  <c r="AB994"/>
  <c r="Y994"/>
  <c r="T994"/>
  <c r="AJ994" s="1"/>
  <c r="S994"/>
  <c r="AI994" s="1"/>
  <c r="R994"/>
  <c r="O994"/>
  <c r="AB993"/>
  <c r="Y993"/>
  <c r="T993"/>
  <c r="AJ993" s="1"/>
  <c r="S993"/>
  <c r="AI993" s="1"/>
  <c r="R993"/>
  <c r="O993"/>
  <c r="AB992"/>
  <c r="Y992"/>
  <c r="T992"/>
  <c r="AJ992" s="1"/>
  <c r="S992"/>
  <c r="AI992" s="1"/>
  <c r="R992"/>
  <c r="O992"/>
  <c r="AB991"/>
  <c r="Y991"/>
  <c r="T991"/>
  <c r="AJ991" s="1"/>
  <c r="S991"/>
  <c r="AI991" s="1"/>
  <c r="R991"/>
  <c r="O991"/>
  <c r="AB990"/>
  <c r="Y990"/>
  <c r="T990"/>
  <c r="AJ990" s="1"/>
  <c r="S990"/>
  <c r="AI990" s="1"/>
  <c r="R990"/>
  <c r="O990"/>
  <c r="AB989"/>
  <c r="Y989"/>
  <c r="T989"/>
  <c r="AJ989" s="1"/>
  <c r="S989"/>
  <c r="AI989" s="1"/>
  <c r="R989"/>
  <c r="O989"/>
  <c r="AB988"/>
  <c r="Y988"/>
  <c r="T988"/>
  <c r="AJ988" s="1"/>
  <c r="S988"/>
  <c r="AI988" s="1"/>
  <c r="R988"/>
  <c r="O988"/>
  <c r="AB987"/>
  <c r="Y987"/>
  <c r="T987"/>
  <c r="AJ987" s="1"/>
  <c r="S987"/>
  <c r="AI987" s="1"/>
  <c r="R987"/>
  <c r="O987"/>
  <c r="AB986"/>
  <c r="Y986"/>
  <c r="T986"/>
  <c r="AJ986" s="1"/>
  <c r="S986"/>
  <c r="AI986" s="1"/>
  <c r="R986"/>
  <c r="O986"/>
  <c r="AB985"/>
  <c r="Y985"/>
  <c r="T985"/>
  <c r="AJ985" s="1"/>
  <c r="R985"/>
  <c r="O985"/>
  <c r="G985"/>
  <c r="S985" s="1"/>
  <c r="AI985" s="1"/>
  <c r="AB984"/>
  <c r="Y984"/>
  <c r="T984"/>
  <c r="AJ984" s="1"/>
  <c r="S984"/>
  <c r="AI984" s="1"/>
  <c r="R984"/>
  <c r="O984"/>
  <c r="AB983"/>
  <c r="Y983"/>
  <c r="T983"/>
  <c r="AJ983" s="1"/>
  <c r="S983"/>
  <c r="AI983" s="1"/>
  <c r="R983"/>
  <c r="O983"/>
  <c r="AB982"/>
  <c r="Y982"/>
  <c r="T982"/>
  <c r="AJ982" s="1"/>
  <c r="S982"/>
  <c r="AI982" s="1"/>
  <c r="R982"/>
  <c r="O982"/>
  <c r="AB981"/>
  <c r="Y981"/>
  <c r="T981"/>
  <c r="AJ981" s="1"/>
  <c r="S981"/>
  <c r="AI981" s="1"/>
  <c r="R981"/>
  <c r="O981"/>
  <c r="AB980"/>
  <c r="Y980"/>
  <c r="T980"/>
  <c r="AJ980" s="1"/>
  <c r="S980"/>
  <c r="AI980" s="1"/>
  <c r="R980"/>
  <c r="O980"/>
  <c r="AB979"/>
  <c r="Y979"/>
  <c r="T979"/>
  <c r="AJ979" s="1"/>
  <c r="S979"/>
  <c r="AI979" s="1"/>
  <c r="R979"/>
  <c r="O979"/>
  <c r="AB978"/>
  <c r="Y978"/>
  <c r="T978"/>
  <c r="AJ978" s="1"/>
  <c r="S978"/>
  <c r="AI978" s="1"/>
  <c r="R978"/>
  <c r="O978"/>
  <c r="AB977"/>
  <c r="Y977"/>
  <c r="T977"/>
  <c r="AJ977" s="1"/>
  <c r="S977"/>
  <c r="AI977" s="1"/>
  <c r="R977"/>
  <c r="O977"/>
  <c r="AB976"/>
  <c r="Y976"/>
  <c r="T976"/>
  <c r="AJ976" s="1"/>
  <c r="S976"/>
  <c r="AI976" s="1"/>
  <c r="R976"/>
  <c r="O976"/>
  <c r="AB975"/>
  <c r="Y975"/>
  <c r="T975"/>
  <c r="AJ975" s="1"/>
  <c r="S975"/>
  <c r="AI975" s="1"/>
  <c r="R975"/>
  <c r="O975"/>
  <c r="AB974"/>
  <c r="Y974"/>
  <c r="T974"/>
  <c r="AJ974" s="1"/>
  <c r="S974"/>
  <c r="AI974" s="1"/>
  <c r="R974"/>
  <c r="O974"/>
  <c r="AB973"/>
  <c r="Y973"/>
  <c r="T973"/>
  <c r="AJ973" s="1"/>
  <c r="S973"/>
  <c r="AI973" s="1"/>
  <c r="R973"/>
  <c r="O973"/>
  <c r="AB972"/>
  <c r="Y972"/>
  <c r="T972"/>
  <c r="AJ972" s="1"/>
  <c r="S972"/>
  <c r="AI972" s="1"/>
  <c r="R972"/>
  <c r="O972"/>
  <c r="AB971"/>
  <c r="Y971"/>
  <c r="T971"/>
  <c r="AJ971" s="1"/>
  <c r="S971"/>
  <c r="AI971" s="1"/>
  <c r="R971"/>
  <c r="O971"/>
  <c r="AB970"/>
  <c r="Y970"/>
  <c r="T970"/>
  <c r="AJ970" s="1"/>
  <c r="S970"/>
  <c r="AI970" s="1"/>
  <c r="R970"/>
  <c r="O970"/>
  <c r="AB969"/>
  <c r="Y969"/>
  <c r="T969"/>
  <c r="AJ969" s="1"/>
  <c r="S969"/>
  <c r="AI969" s="1"/>
  <c r="R969"/>
  <c r="O969"/>
  <c r="AB968"/>
  <c r="Y968"/>
  <c r="T968"/>
  <c r="AJ968" s="1"/>
  <c r="S968"/>
  <c r="AI968" s="1"/>
  <c r="R968"/>
  <c r="O968"/>
  <c r="AB967"/>
  <c r="Y967"/>
  <c r="T967"/>
  <c r="AJ967" s="1"/>
  <c r="S967"/>
  <c r="AI967" s="1"/>
  <c r="R967"/>
  <c r="O967"/>
  <c r="AB966"/>
  <c r="Y966"/>
  <c r="T966"/>
  <c r="AJ966" s="1"/>
  <c r="S966"/>
  <c r="AI966" s="1"/>
  <c r="R966"/>
  <c r="O966"/>
  <c r="AB965"/>
  <c r="Y965"/>
  <c r="T965"/>
  <c r="AJ965" s="1"/>
  <c r="S965"/>
  <c r="AI965" s="1"/>
  <c r="R965"/>
  <c r="O965"/>
  <c r="AB964"/>
  <c r="Y964"/>
  <c r="S964"/>
  <c r="AI964" s="1"/>
  <c r="R964"/>
  <c r="O964"/>
  <c r="H964"/>
  <c r="T964" s="1"/>
  <c r="AJ964" s="1"/>
  <c r="AB963"/>
  <c r="Y963"/>
  <c r="R963"/>
  <c r="O963"/>
  <c r="J963"/>
  <c r="T963" s="1"/>
  <c r="AJ963" s="1"/>
  <c r="I963"/>
  <c r="S963" s="1"/>
  <c r="AI963" s="1"/>
  <c r="AB962"/>
  <c r="Y962"/>
  <c r="T962"/>
  <c r="AJ962" s="1"/>
  <c r="S962"/>
  <c r="AI962" s="1"/>
  <c r="R962"/>
  <c r="O962"/>
  <c r="AB961"/>
  <c r="Y961"/>
  <c r="T961"/>
  <c r="AJ961" s="1"/>
  <c r="S961"/>
  <c r="AI961" s="1"/>
  <c r="R961"/>
  <c r="O961"/>
  <c r="AB960"/>
  <c r="Y960"/>
  <c r="T960"/>
  <c r="AJ960" s="1"/>
  <c r="S960"/>
  <c r="AI960" s="1"/>
  <c r="R960"/>
  <c r="O960"/>
  <c r="AB959"/>
  <c r="Y959"/>
  <c r="T959"/>
  <c r="AJ959" s="1"/>
  <c r="S959"/>
  <c r="AI959" s="1"/>
  <c r="R959"/>
  <c r="O959"/>
  <c r="AB958"/>
  <c r="Y958"/>
  <c r="T958"/>
  <c r="AJ958" s="1"/>
  <c r="S958"/>
  <c r="AI958" s="1"/>
  <c r="R958"/>
  <c r="O958"/>
  <c r="AB957"/>
  <c r="Y957"/>
  <c r="T957"/>
  <c r="AJ957" s="1"/>
  <c r="S957"/>
  <c r="AI957" s="1"/>
  <c r="R957"/>
  <c r="O957"/>
  <c r="AB956"/>
  <c r="Y956"/>
  <c r="T956"/>
  <c r="AJ956" s="1"/>
  <c r="S956"/>
  <c r="AI956" s="1"/>
  <c r="R956"/>
  <c r="O956"/>
  <c r="AB955"/>
  <c r="Y955"/>
  <c r="T955"/>
  <c r="AJ955" s="1"/>
  <c r="S955"/>
  <c r="AI955" s="1"/>
  <c r="R955"/>
  <c r="O955"/>
  <c r="AB954"/>
  <c r="Y954"/>
  <c r="T954"/>
  <c r="AJ954" s="1"/>
  <c r="S954"/>
  <c r="AI954" s="1"/>
  <c r="R954"/>
  <c r="O954"/>
  <c r="AB953"/>
  <c r="Y953"/>
  <c r="T953"/>
  <c r="AJ953" s="1"/>
  <c r="S953"/>
  <c r="AI953" s="1"/>
  <c r="R953"/>
  <c r="O953"/>
  <c r="AB952"/>
  <c r="Y952"/>
  <c r="P952"/>
  <c r="R952" s="1"/>
  <c r="M952"/>
  <c r="O952" s="1"/>
  <c r="H952"/>
  <c r="G952"/>
  <c r="AB951"/>
  <c r="Y951"/>
  <c r="T951"/>
  <c r="AJ951" s="1"/>
  <c r="S951"/>
  <c r="AI951" s="1"/>
  <c r="R951"/>
  <c r="O951"/>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M534" i="22"/>
  <c r="M535"/>
  <c r="M536"/>
  <c r="M537"/>
  <c r="M538"/>
  <c r="M539"/>
  <c r="M540"/>
  <c r="M541"/>
  <c r="M542"/>
  <c r="M543"/>
  <c r="M544"/>
  <c r="M545"/>
  <c r="M546"/>
  <c r="M547"/>
  <c r="M548"/>
  <c r="M549"/>
  <c r="M550"/>
  <c r="M551"/>
  <c r="M552"/>
  <c r="M553"/>
  <c r="M533"/>
  <c r="M502"/>
  <c r="M503"/>
  <c r="M504"/>
  <c r="M505"/>
  <c r="M506"/>
  <c r="M507"/>
  <c r="M508"/>
  <c r="M509"/>
  <c r="M510"/>
  <c r="M511"/>
  <c r="M512"/>
  <c r="M513"/>
  <c r="M514"/>
  <c r="M515"/>
  <c r="M516"/>
  <c r="M517"/>
  <c r="M518"/>
  <c r="M519"/>
  <c r="M520"/>
  <c r="M521"/>
  <c r="M501"/>
  <c r="M470"/>
  <c r="M471"/>
  <c r="M472"/>
  <c r="M473"/>
  <c r="M474"/>
  <c r="M475"/>
  <c r="M476"/>
  <c r="M477"/>
  <c r="M478"/>
  <c r="M479"/>
  <c r="M480"/>
  <c r="M481"/>
  <c r="M482"/>
  <c r="M483"/>
  <c r="M484"/>
  <c r="M485"/>
  <c r="M486"/>
  <c r="M487"/>
  <c r="M488"/>
  <c r="M489"/>
  <c r="M469"/>
  <c r="N438"/>
  <c r="N439"/>
  <c r="N440"/>
  <c r="N441"/>
  <c r="N442"/>
  <c r="N443"/>
  <c r="N444"/>
  <c r="N445"/>
  <c r="N446"/>
  <c r="N447"/>
  <c r="N448"/>
  <c r="N449"/>
  <c r="N450"/>
  <c r="N451"/>
  <c r="N452"/>
  <c r="N453"/>
  <c r="N454"/>
  <c r="N455"/>
  <c r="N456"/>
  <c r="N457"/>
  <c r="M438"/>
  <c r="M439"/>
  <c r="M440"/>
  <c r="M441"/>
  <c r="M442"/>
  <c r="M443"/>
  <c r="M444"/>
  <c r="M445"/>
  <c r="M446"/>
  <c r="M447"/>
  <c r="M448"/>
  <c r="M449"/>
  <c r="M450"/>
  <c r="M451"/>
  <c r="M452"/>
  <c r="M453"/>
  <c r="M454"/>
  <c r="M455"/>
  <c r="M456"/>
  <c r="M457"/>
  <c r="M405"/>
  <c r="M406"/>
  <c r="M407"/>
  <c r="M408"/>
  <c r="M409"/>
  <c r="M410"/>
  <c r="M411"/>
  <c r="M412"/>
  <c r="M413"/>
  <c r="M414"/>
  <c r="M415"/>
  <c r="M416"/>
  <c r="M417"/>
  <c r="M418"/>
  <c r="M419"/>
  <c r="M420"/>
  <c r="M421"/>
  <c r="M422"/>
  <c r="M423"/>
  <c r="M424"/>
  <c r="M371"/>
  <c r="M372"/>
  <c r="M373"/>
  <c r="M374"/>
  <c r="M375"/>
  <c r="M376"/>
  <c r="M377"/>
  <c r="M378"/>
  <c r="M379"/>
  <c r="M380"/>
  <c r="M381"/>
  <c r="M382"/>
  <c r="M383"/>
  <c r="M384"/>
  <c r="M385"/>
  <c r="M386"/>
  <c r="M387"/>
  <c r="M388"/>
  <c r="M389"/>
  <c r="M390"/>
  <c r="M338"/>
  <c r="M339"/>
  <c r="M340"/>
  <c r="M341"/>
  <c r="M342"/>
  <c r="M343"/>
  <c r="M344"/>
  <c r="M345"/>
  <c r="M346"/>
  <c r="M347"/>
  <c r="M348"/>
  <c r="M349"/>
  <c r="M350"/>
  <c r="M351"/>
  <c r="M352"/>
  <c r="M353"/>
  <c r="M354"/>
  <c r="M355"/>
  <c r="M356"/>
  <c r="M357"/>
  <c r="M304"/>
  <c r="M305"/>
  <c r="M306"/>
  <c r="M307"/>
  <c r="M308"/>
  <c r="M309"/>
  <c r="M310"/>
  <c r="M311"/>
  <c r="M312"/>
  <c r="M313"/>
  <c r="M314"/>
  <c r="M315"/>
  <c r="M316"/>
  <c r="M317"/>
  <c r="M318"/>
  <c r="M319"/>
  <c r="M320"/>
  <c r="M321"/>
  <c r="M322"/>
  <c r="M323"/>
  <c r="M9"/>
  <c r="M10"/>
  <c r="M11"/>
  <c r="M12"/>
  <c r="M13"/>
  <c r="M14"/>
  <c r="M15"/>
  <c r="M16"/>
  <c r="M17"/>
  <c r="M18"/>
  <c r="M19"/>
  <c r="M20"/>
  <c r="M21"/>
  <c r="M22"/>
  <c r="M23"/>
  <c r="M24"/>
  <c r="M25"/>
  <c r="M26"/>
  <c r="M27"/>
  <c r="M28"/>
  <c r="M525" i="64"/>
  <c r="M526"/>
  <c r="M527"/>
  <c r="M528"/>
  <c r="M529"/>
  <c r="M530"/>
  <c r="M531"/>
  <c r="M532"/>
  <c r="M533"/>
  <c r="M534"/>
  <c r="M535"/>
  <c r="M536"/>
  <c r="M537"/>
  <c r="M538"/>
  <c r="M539"/>
  <c r="M540"/>
  <c r="M541"/>
  <c r="M542"/>
  <c r="M543"/>
  <c r="M544"/>
  <c r="M524"/>
  <c r="M493"/>
  <c r="M494"/>
  <c r="M495"/>
  <c r="M496"/>
  <c r="M497"/>
  <c r="M498"/>
  <c r="M499"/>
  <c r="M500"/>
  <c r="M501"/>
  <c r="M502"/>
  <c r="M503"/>
  <c r="M504"/>
  <c r="M505"/>
  <c r="M506"/>
  <c r="M507"/>
  <c r="M508"/>
  <c r="M509"/>
  <c r="M510"/>
  <c r="M511"/>
  <c r="M512"/>
  <c r="M492"/>
  <c r="M461"/>
  <c r="M462"/>
  <c r="M463"/>
  <c r="M464"/>
  <c r="M465"/>
  <c r="M466"/>
  <c r="M467"/>
  <c r="M468"/>
  <c r="M469"/>
  <c r="M470"/>
  <c r="M471"/>
  <c r="M472"/>
  <c r="M473"/>
  <c r="M474"/>
  <c r="M475"/>
  <c r="M476"/>
  <c r="M477"/>
  <c r="M478"/>
  <c r="M479"/>
  <c r="M480"/>
  <c r="M460"/>
  <c r="M429"/>
  <c r="M430"/>
  <c r="M431"/>
  <c r="M432"/>
  <c r="M433"/>
  <c r="M434"/>
  <c r="M435"/>
  <c r="M436"/>
  <c r="M437"/>
  <c r="M438"/>
  <c r="M439"/>
  <c r="M440"/>
  <c r="M441"/>
  <c r="M442"/>
  <c r="M443"/>
  <c r="M444"/>
  <c r="M445"/>
  <c r="M446"/>
  <c r="M447"/>
  <c r="M448"/>
  <c r="M428"/>
  <c r="T952" i="8" l="1"/>
  <c r="AJ952" s="1"/>
  <c r="S952"/>
  <c r="AI952" s="1"/>
  <c r="AB10" l="1"/>
  <c r="AB11"/>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B128"/>
  <c r="AB129"/>
  <c r="AB130"/>
  <c r="AB131"/>
  <c r="AB132"/>
  <c r="AB133"/>
  <c r="AB134"/>
  <c r="AB135"/>
  <c r="AB136"/>
  <c r="AB137"/>
  <c r="AB138"/>
  <c r="AB139"/>
  <c r="AB140"/>
  <c r="AB141"/>
  <c r="AB142"/>
  <c r="AB143"/>
  <c r="AB144"/>
  <c r="AB145"/>
  <c r="AB146"/>
  <c r="AB147"/>
  <c r="AB148"/>
  <c r="AB149"/>
  <c r="AB150"/>
  <c r="AB151"/>
  <c r="AB152"/>
  <c r="AB153"/>
  <c r="AB154"/>
  <c r="AB155"/>
  <c r="AB156"/>
  <c r="AB157"/>
  <c r="AB158"/>
  <c r="AB159"/>
  <c r="AB160"/>
  <c r="AB161"/>
  <c r="AB162"/>
  <c r="AB163"/>
  <c r="AB164"/>
  <c r="AB165"/>
  <c r="AB166"/>
  <c r="AB167"/>
  <c r="AB168"/>
  <c r="AB169"/>
  <c r="AB170"/>
  <c r="AB171"/>
  <c r="AB172"/>
  <c r="AB173"/>
  <c r="AB174"/>
  <c r="AB175"/>
  <c r="AB176"/>
  <c r="AB177"/>
  <c r="AB178"/>
  <c r="AB179"/>
  <c r="AB180"/>
  <c r="AB181"/>
  <c r="AB182"/>
  <c r="AB183"/>
  <c r="AB184"/>
  <c r="AB185"/>
  <c r="AB186"/>
  <c r="AB187"/>
  <c r="AB188"/>
  <c r="AB189"/>
  <c r="AB190"/>
  <c r="AB191"/>
  <c r="AB192"/>
  <c r="AB193"/>
  <c r="AB194"/>
  <c r="AB195"/>
  <c r="AB196"/>
  <c r="AB197"/>
  <c r="AB198"/>
  <c r="AB199"/>
  <c r="AB200"/>
  <c r="AB201"/>
  <c r="AB202"/>
  <c r="AB203"/>
  <c r="AB204"/>
  <c r="AB205"/>
  <c r="AB206"/>
  <c r="AB207"/>
  <c r="AB208"/>
  <c r="AB209"/>
  <c r="AB210"/>
  <c r="AB211"/>
  <c r="AB212"/>
  <c r="AB213"/>
  <c r="AB214"/>
  <c r="AB215"/>
  <c r="AB216"/>
  <c r="AB217"/>
  <c r="AB218"/>
  <c r="AB219"/>
  <c r="AB220"/>
  <c r="AB221"/>
  <c r="AB222"/>
  <c r="AB223"/>
  <c r="AB224"/>
  <c r="AB225"/>
  <c r="AB226"/>
  <c r="AB227"/>
  <c r="AB228"/>
  <c r="AB229"/>
  <c r="AB230"/>
  <c r="AB231"/>
  <c r="AB232"/>
  <c r="AB233"/>
  <c r="AB234"/>
  <c r="AB235"/>
  <c r="AB236"/>
  <c r="AB237"/>
  <c r="AB238"/>
  <c r="AB239"/>
  <c r="AB240"/>
  <c r="AB241"/>
  <c r="AB242"/>
  <c r="AB243"/>
  <c r="AB244"/>
  <c r="AB245"/>
  <c r="AB246"/>
  <c r="AB247"/>
  <c r="AB248"/>
  <c r="AB249"/>
  <c r="AB250"/>
  <c r="AB251"/>
  <c r="AB252"/>
  <c r="AB253"/>
  <c r="AB254"/>
  <c r="AB255"/>
  <c r="AB256"/>
  <c r="AB257"/>
  <c r="AB258"/>
  <c r="AB259"/>
  <c r="AB260"/>
  <c r="AB261"/>
  <c r="AB262"/>
  <c r="AB263"/>
  <c r="AB264"/>
  <c r="AB265"/>
  <c r="AB266"/>
  <c r="AB267"/>
  <c r="AB268"/>
  <c r="AB269"/>
  <c r="AB270"/>
  <c r="AB271"/>
  <c r="AB272"/>
  <c r="AB273"/>
  <c r="AB274"/>
  <c r="AB275"/>
  <c r="AB276"/>
  <c r="AB277"/>
  <c r="AB278"/>
  <c r="AB279"/>
  <c r="AB280"/>
  <c r="AB281"/>
  <c r="AB282"/>
  <c r="AB283"/>
  <c r="AB284"/>
  <c r="AB285"/>
  <c r="AB286"/>
  <c r="AB287"/>
  <c r="AB288"/>
  <c r="AB289"/>
  <c r="AB290"/>
  <c r="AB291"/>
  <c r="AB292"/>
  <c r="AB293"/>
  <c r="AB294"/>
  <c r="AB295"/>
  <c r="AB296"/>
  <c r="AB297"/>
  <c r="AB298"/>
  <c r="AB299"/>
  <c r="AB300"/>
  <c r="AB301"/>
  <c r="AB302"/>
  <c r="AB303"/>
  <c r="AB304"/>
  <c r="AB305"/>
  <c r="AB306"/>
  <c r="AB307"/>
  <c r="AB308"/>
  <c r="AB309"/>
  <c r="AB310"/>
  <c r="AB311"/>
  <c r="AB312"/>
  <c r="AB313"/>
  <c r="AB314"/>
  <c r="AB315"/>
  <c r="AB316"/>
  <c r="AB317"/>
  <c r="AB318"/>
  <c r="AB319"/>
  <c r="AB320"/>
  <c r="AB321"/>
  <c r="AB322"/>
  <c r="AB323"/>
  <c r="AB324"/>
  <c r="AB325"/>
  <c r="AB326"/>
  <c r="AB327"/>
  <c r="AB328"/>
  <c r="AB329"/>
  <c r="AB330"/>
  <c r="AB331"/>
  <c r="AB332"/>
  <c r="AB333"/>
  <c r="AB334"/>
  <c r="AB335"/>
  <c r="AB336"/>
  <c r="AB337"/>
  <c r="AB338"/>
  <c r="AB339"/>
  <c r="AB340"/>
  <c r="AB341"/>
  <c r="AB342"/>
  <c r="AB343"/>
  <c r="AB344"/>
  <c r="AB345"/>
  <c r="AB346"/>
  <c r="AB347"/>
  <c r="AB348"/>
  <c r="AB349"/>
  <c r="AB350"/>
  <c r="AB351"/>
  <c r="AB352"/>
  <c r="AB353"/>
  <c r="AB354"/>
  <c r="AB355"/>
  <c r="AB356"/>
  <c r="AB357"/>
  <c r="AB358"/>
  <c r="AB359"/>
  <c r="AB360"/>
  <c r="AB361"/>
  <c r="AB362"/>
  <c r="AB363"/>
  <c r="AB364"/>
  <c r="AB365"/>
  <c r="AB366"/>
  <c r="AB367"/>
  <c r="AB368"/>
  <c r="AB369"/>
  <c r="AB370"/>
  <c r="AB371"/>
  <c r="AB372"/>
  <c r="AB373"/>
  <c r="AB374"/>
  <c r="AB375"/>
  <c r="AB376"/>
  <c r="AB377"/>
  <c r="AB378"/>
  <c r="AB379"/>
  <c r="AB380"/>
  <c r="AB381"/>
  <c r="AB382"/>
  <c r="AB383"/>
  <c r="AB384"/>
  <c r="AB385"/>
  <c r="AB386"/>
  <c r="AB387"/>
  <c r="AB388"/>
  <c r="AB389"/>
  <c r="AB390"/>
  <c r="AB391"/>
  <c r="AB392"/>
  <c r="AB393"/>
  <c r="AB394"/>
  <c r="AB395"/>
  <c r="AB396"/>
  <c r="AB397"/>
  <c r="AB398"/>
  <c r="AB399"/>
  <c r="AB400"/>
  <c r="AB401"/>
  <c r="AB402"/>
  <c r="AB403"/>
  <c r="AB404"/>
  <c r="AB405"/>
  <c r="AB406"/>
  <c r="AB407"/>
  <c r="AB408"/>
  <c r="AB409"/>
  <c r="AB410"/>
  <c r="AB411"/>
  <c r="AB412"/>
  <c r="AB413"/>
  <c r="AB414"/>
  <c r="AB415"/>
  <c r="AB416"/>
  <c r="AB417"/>
  <c r="AB418"/>
  <c r="AB419"/>
  <c r="AB420"/>
  <c r="AB421"/>
  <c r="AB422"/>
  <c r="AB423"/>
  <c r="AB424"/>
  <c r="AB425"/>
  <c r="AB426"/>
  <c r="AB427"/>
  <c r="AB428"/>
  <c r="AB429"/>
  <c r="AB430"/>
  <c r="AB431"/>
  <c r="AB432"/>
  <c r="AB433"/>
  <c r="AB434"/>
  <c r="AB435"/>
  <c r="AB436"/>
  <c r="AB437"/>
  <c r="AB438"/>
  <c r="AB439"/>
  <c r="AB440"/>
  <c r="AB441"/>
  <c r="AB442"/>
  <c r="AB443"/>
  <c r="AB444"/>
  <c r="AB445"/>
  <c r="AB446"/>
  <c r="AB447"/>
  <c r="AB448"/>
  <c r="AB449"/>
  <c r="AB450"/>
  <c r="AB451"/>
  <c r="AB452"/>
  <c r="AB453"/>
  <c r="AB454"/>
  <c r="AB455"/>
  <c r="AB456"/>
  <c r="AB457"/>
  <c r="AB458"/>
  <c r="AB459"/>
  <c r="AB460"/>
  <c r="AB461"/>
  <c r="AB462"/>
  <c r="AB463"/>
  <c r="AB464"/>
  <c r="AB465"/>
  <c r="AB466"/>
  <c r="AB467"/>
  <c r="AB468"/>
  <c r="AB469"/>
  <c r="AB470"/>
  <c r="AB471"/>
  <c r="AB472"/>
  <c r="AB473"/>
  <c r="AB474"/>
  <c r="AB475"/>
  <c r="AB476"/>
  <c r="AB477"/>
  <c r="AB478"/>
  <c r="AB479"/>
  <c r="AB480"/>
  <c r="AB481"/>
  <c r="AB482"/>
  <c r="AB483"/>
  <c r="AB484"/>
  <c r="AB485"/>
  <c r="AB486"/>
  <c r="AB487"/>
  <c r="AB488"/>
  <c r="AB489"/>
  <c r="AB490"/>
  <c r="AB491"/>
  <c r="AB492"/>
  <c r="AB493"/>
  <c r="AB494"/>
  <c r="AB495"/>
  <c r="AB496"/>
  <c r="AB497"/>
  <c r="AB498"/>
  <c r="AB499"/>
  <c r="AB500"/>
  <c r="AB501"/>
  <c r="AB502"/>
  <c r="AB503"/>
  <c r="AB504"/>
  <c r="AB505"/>
  <c r="AB506"/>
  <c r="AB507"/>
  <c r="AB508"/>
  <c r="AB509"/>
  <c r="AB510"/>
  <c r="AB511"/>
  <c r="AB512"/>
  <c r="AB513"/>
  <c r="AB514"/>
  <c r="AB515"/>
  <c r="AB516"/>
  <c r="AB517"/>
  <c r="AB518"/>
  <c r="AB519"/>
  <c r="AB520"/>
  <c r="AB521"/>
  <c r="AB522"/>
  <c r="AB523"/>
  <c r="AB524"/>
  <c r="AB525"/>
  <c r="AB526"/>
  <c r="AB527"/>
  <c r="AB528"/>
  <c r="AB529"/>
  <c r="AB530"/>
  <c r="AB531"/>
  <c r="AB532"/>
  <c r="AB533"/>
  <c r="AB534"/>
  <c r="AB535"/>
  <c r="AB536"/>
  <c r="AB537"/>
  <c r="AB538"/>
  <c r="AB539"/>
  <c r="AB540"/>
  <c r="AB541"/>
  <c r="AB542"/>
  <c r="AB543"/>
  <c r="AB544"/>
  <c r="AB545"/>
  <c r="AB546"/>
  <c r="AB547"/>
  <c r="AB548"/>
  <c r="AB549"/>
  <c r="AB550"/>
  <c r="AB551"/>
  <c r="AB552"/>
  <c r="AB553"/>
  <c r="AB554"/>
  <c r="AB555"/>
  <c r="AB556"/>
  <c r="AB557"/>
  <c r="AB558"/>
  <c r="AB559"/>
  <c r="AB560"/>
  <c r="AB561"/>
  <c r="AB562"/>
  <c r="AB563"/>
  <c r="AB564"/>
  <c r="AB565"/>
  <c r="AB566"/>
  <c r="AB567"/>
  <c r="AB568"/>
  <c r="AB569"/>
  <c r="AB570"/>
  <c r="AB571"/>
  <c r="AB572"/>
  <c r="AB573"/>
  <c r="AB574"/>
  <c r="AB575"/>
  <c r="AB576"/>
  <c r="AB577"/>
  <c r="AB578"/>
  <c r="AB579"/>
  <c r="AB580"/>
  <c r="AB581"/>
  <c r="AB582"/>
  <c r="AB583"/>
  <c r="AB584"/>
  <c r="AB585"/>
  <c r="AB586"/>
  <c r="AB587"/>
  <c r="AB588"/>
  <c r="AB589"/>
  <c r="AB590"/>
  <c r="AB591"/>
  <c r="AB592"/>
  <c r="AB593"/>
  <c r="AB594"/>
  <c r="AB595"/>
  <c r="AB596"/>
  <c r="AB597"/>
  <c r="AB598"/>
  <c r="AB599"/>
  <c r="AB600"/>
  <c r="AB601"/>
  <c r="AB602"/>
  <c r="AB603"/>
  <c r="AB604"/>
  <c r="AB605"/>
  <c r="AB606"/>
  <c r="AB607"/>
  <c r="AB608"/>
  <c r="AB609"/>
  <c r="AB610"/>
  <c r="AB611"/>
  <c r="AB612"/>
  <c r="AB613"/>
  <c r="AB614"/>
  <c r="AB615"/>
  <c r="AB616"/>
  <c r="AB617"/>
  <c r="AB618"/>
  <c r="AB619"/>
  <c r="AB620"/>
  <c r="AB621"/>
  <c r="AB622"/>
  <c r="AB623"/>
  <c r="AB624"/>
  <c r="AB625"/>
  <c r="AB626"/>
  <c r="AB627"/>
  <c r="AB628"/>
  <c r="AB629"/>
  <c r="AB630"/>
  <c r="AB631"/>
  <c r="AB632"/>
  <c r="AB633"/>
  <c r="AB634"/>
  <c r="AB635"/>
  <c r="AB636"/>
  <c r="AB637"/>
  <c r="AB638"/>
  <c r="AB639"/>
  <c r="AB640"/>
  <c r="AB641"/>
  <c r="AB642"/>
  <c r="AB643"/>
  <c r="AB644"/>
  <c r="AB645"/>
  <c r="AB646"/>
  <c r="AB647"/>
  <c r="AB648"/>
  <c r="AB649"/>
  <c r="AB650"/>
  <c r="AB651"/>
  <c r="AB652"/>
  <c r="AB653"/>
  <c r="AB654"/>
  <c r="AB655"/>
  <c r="AB656"/>
  <c r="AB657"/>
  <c r="AB658"/>
  <c r="AB659"/>
  <c r="AB660"/>
  <c r="AB661"/>
  <c r="AB662"/>
  <c r="AB663"/>
  <c r="AB664"/>
  <c r="AB665"/>
  <c r="AB666"/>
  <c r="AB667"/>
  <c r="AB668"/>
  <c r="AB669"/>
  <c r="AB670"/>
  <c r="AB671"/>
  <c r="AB672"/>
  <c r="AB673"/>
  <c r="AB674"/>
  <c r="AB675"/>
  <c r="AB676"/>
  <c r="AB677"/>
  <c r="AB678"/>
  <c r="AB679"/>
  <c r="AB680"/>
  <c r="AB681"/>
  <c r="AB682"/>
  <c r="AB683"/>
  <c r="AB684"/>
  <c r="AB685"/>
  <c r="AB686"/>
  <c r="AB687"/>
  <c r="AB688"/>
  <c r="AB689"/>
  <c r="AB690"/>
  <c r="AB691"/>
  <c r="AB692"/>
  <c r="AB693"/>
  <c r="AB694"/>
  <c r="AB695"/>
  <c r="AB696"/>
  <c r="AB697"/>
  <c r="AB698"/>
  <c r="AB699"/>
  <c r="AB700"/>
  <c r="AB701"/>
  <c r="AB702"/>
  <c r="AB703"/>
  <c r="AB704"/>
  <c r="AB705"/>
  <c r="AB706"/>
  <c r="AB707"/>
  <c r="AB708"/>
  <c r="AB709"/>
  <c r="AB710"/>
  <c r="AB711"/>
  <c r="AB712"/>
  <c r="AB713"/>
  <c r="AB714"/>
  <c r="AB715"/>
  <c r="AB716"/>
  <c r="AB717"/>
  <c r="AB718"/>
  <c r="AB719"/>
  <c r="AB720"/>
  <c r="AB721"/>
  <c r="AB722"/>
  <c r="AB723"/>
  <c r="AB724"/>
  <c r="AB725"/>
  <c r="AB726"/>
  <c r="AB727"/>
  <c r="AB728"/>
  <c r="AB729"/>
  <c r="AB730"/>
  <c r="AB731"/>
  <c r="AB732"/>
  <c r="AB733"/>
  <c r="AB734"/>
  <c r="AB735"/>
  <c r="AB736"/>
  <c r="AB737"/>
  <c r="AB738"/>
  <c r="AB739"/>
  <c r="AB740"/>
  <c r="AB741"/>
  <c r="AB742"/>
  <c r="AB743"/>
  <c r="AB744"/>
  <c r="AB745"/>
  <c r="AB746"/>
  <c r="AB747"/>
  <c r="AB748"/>
  <c r="AB749"/>
  <c r="AB750"/>
  <c r="AB751"/>
  <c r="AB752"/>
  <c r="AB753"/>
  <c r="AB754"/>
  <c r="AB755"/>
  <c r="AB756"/>
  <c r="AB757"/>
  <c r="AB758"/>
  <c r="AB759"/>
  <c r="AB760"/>
  <c r="AB761"/>
  <c r="AB762"/>
  <c r="AB763"/>
  <c r="AB764"/>
  <c r="AB765"/>
  <c r="AB766"/>
  <c r="AB767"/>
  <c r="AB768"/>
  <c r="AB769"/>
  <c r="AB770"/>
  <c r="AB771"/>
  <c r="AB772"/>
  <c r="AB773"/>
  <c r="AB774"/>
  <c r="AB775"/>
  <c r="AB776"/>
  <c r="AB777"/>
  <c r="AB778"/>
  <c r="AB779"/>
  <c r="AB780"/>
  <c r="AB781"/>
  <c r="AB782"/>
  <c r="AB783"/>
  <c r="AB784"/>
  <c r="AB785"/>
  <c r="AB786"/>
  <c r="AB787"/>
  <c r="AB788"/>
  <c r="AB789"/>
  <c r="AB790"/>
  <c r="AB791"/>
  <c r="AB792"/>
  <c r="AB793"/>
  <c r="AB794"/>
  <c r="AB795"/>
  <c r="AB796"/>
  <c r="AB797"/>
  <c r="AB798"/>
  <c r="AB799"/>
  <c r="AB800"/>
  <c r="AB801"/>
  <c r="AB802"/>
  <c r="AB803"/>
  <c r="AB804"/>
  <c r="AB805"/>
  <c r="AB806"/>
  <c r="AB807"/>
  <c r="AB808"/>
  <c r="AB809"/>
  <c r="AB810"/>
  <c r="AB811"/>
  <c r="AB812"/>
  <c r="AB813"/>
  <c r="AB814"/>
  <c r="AB815"/>
  <c r="AB816"/>
  <c r="AB817"/>
  <c r="AB818"/>
  <c r="AB819"/>
  <c r="AB820"/>
  <c r="AB821"/>
  <c r="AB822"/>
  <c r="AB823"/>
  <c r="AB824"/>
  <c r="AB825"/>
  <c r="AB826"/>
  <c r="AB827"/>
  <c r="AB828"/>
  <c r="AB829"/>
  <c r="AB830"/>
  <c r="AB831"/>
  <c r="AB832"/>
  <c r="AB833"/>
  <c r="AB834"/>
  <c r="AB835"/>
  <c r="AB836"/>
  <c r="AB837"/>
  <c r="AB838"/>
  <c r="AB839"/>
  <c r="AB840"/>
  <c r="AB841"/>
  <c r="AB842"/>
  <c r="AB843"/>
  <c r="AB844"/>
  <c r="AB845"/>
  <c r="AB846"/>
  <c r="AB847"/>
  <c r="AB848"/>
  <c r="AB849"/>
  <c r="AB850"/>
  <c r="AB851"/>
  <c r="AB852"/>
  <c r="AB853"/>
  <c r="AB854"/>
  <c r="AB855"/>
  <c r="AB856"/>
  <c r="AB857"/>
  <c r="AB858"/>
  <c r="AB859"/>
  <c r="AB860"/>
  <c r="AB861"/>
  <c r="AB862"/>
  <c r="AB863"/>
  <c r="AB864"/>
  <c r="AB865"/>
  <c r="AB866"/>
  <c r="AB867"/>
  <c r="AB868"/>
  <c r="AB869"/>
  <c r="AB870"/>
  <c r="AB871"/>
  <c r="AB872"/>
  <c r="AB873"/>
  <c r="AB874"/>
  <c r="AB875"/>
  <c r="AB876"/>
  <c r="AB877"/>
  <c r="AB878"/>
  <c r="AB879"/>
  <c r="AB880"/>
  <c r="AB881"/>
  <c r="AB882"/>
  <c r="AB883"/>
  <c r="AB884"/>
  <c r="AB885"/>
  <c r="AB886"/>
  <c r="AB887"/>
  <c r="AB888"/>
  <c r="AB889"/>
  <c r="AB890"/>
  <c r="AB891"/>
  <c r="AB892"/>
  <c r="AB893"/>
  <c r="AB894"/>
  <c r="AB895"/>
  <c r="AB896"/>
  <c r="AB897"/>
  <c r="AB898"/>
  <c r="AB899"/>
  <c r="AB900"/>
  <c r="AB901"/>
  <c r="AB902"/>
  <c r="AB903"/>
  <c r="AB904"/>
  <c r="AB905"/>
  <c r="AB906"/>
  <c r="AB907"/>
  <c r="AB908"/>
  <c r="AB909"/>
  <c r="AB910"/>
  <c r="AB911"/>
  <c r="AB912"/>
  <c r="AB913"/>
  <c r="AB914"/>
  <c r="AB915"/>
  <c r="AB916"/>
  <c r="AB917"/>
  <c r="AB918"/>
  <c r="AB919"/>
  <c r="AB920"/>
  <c r="AB921"/>
  <c r="AB922"/>
  <c r="AB923"/>
  <c r="AB924"/>
  <c r="AB925"/>
  <c r="AB926"/>
  <c r="AB927"/>
  <c r="AB928"/>
  <c r="AB929"/>
  <c r="AB930"/>
  <c r="AB931"/>
  <c r="AB932"/>
  <c r="AB933"/>
  <c r="AB934"/>
  <c r="AB935"/>
  <c r="AB936"/>
  <c r="AB937"/>
  <c r="AB938"/>
  <c r="AB939"/>
  <c r="AB940"/>
  <c r="AB941"/>
  <c r="AB942"/>
  <c r="AB943"/>
  <c r="AB944"/>
  <c r="AB945"/>
  <c r="AB946"/>
  <c r="AB947"/>
  <c r="AB948"/>
  <c r="AB949"/>
  <c r="AB950"/>
  <c r="AB1090"/>
  <c r="AB1091"/>
  <c r="AB1092"/>
  <c r="AB1093"/>
  <c r="AB1094"/>
  <c r="AB1095"/>
  <c r="AB1096"/>
  <c r="AB1097"/>
  <c r="AB1098"/>
  <c r="AB1099"/>
  <c r="AB1100"/>
  <c r="AB1101"/>
  <c r="AB1102"/>
  <c r="AB1103"/>
  <c r="AB1104"/>
  <c r="AB1105"/>
  <c r="AB1106"/>
  <c r="AB1107"/>
  <c r="AB1108"/>
  <c r="AB1109"/>
  <c r="AB1110"/>
  <c r="AB1111"/>
  <c r="AB1112"/>
  <c r="AB1113"/>
  <c r="AB1114"/>
  <c r="AB1115"/>
  <c r="AB1116"/>
  <c r="AB1117"/>
  <c r="AB1118"/>
  <c r="AB1119"/>
  <c r="AB1120"/>
  <c r="AB1121"/>
  <c r="AB1122"/>
  <c r="AB1123"/>
  <c r="AB1124"/>
  <c r="AB1125"/>
  <c r="AB1126"/>
  <c r="AB1127"/>
  <c r="AB1128"/>
  <c r="AB1129"/>
  <c r="AB1130"/>
  <c r="AB1131"/>
  <c r="AB1132"/>
  <c r="AB1133"/>
  <c r="AB1134"/>
  <c r="AB1135"/>
  <c r="AB1136"/>
  <c r="AB1137"/>
  <c r="AB1138"/>
  <c r="AB1139"/>
  <c r="AB1140"/>
  <c r="AB1141"/>
  <c r="AB1142"/>
  <c r="AB1143"/>
  <c r="AB1144"/>
  <c r="AB1145"/>
  <c r="AB1146"/>
  <c r="AB1147"/>
  <c r="AB1148"/>
  <c r="AB1149"/>
  <c r="AB1150"/>
  <c r="AB1151"/>
  <c r="AB1152"/>
  <c r="AB1153"/>
  <c r="AB1154"/>
  <c r="AB1155"/>
  <c r="AB1156"/>
  <c r="AB1157"/>
  <c r="AB1158"/>
  <c r="AB1159"/>
  <c r="AB1160"/>
  <c r="AB1161"/>
  <c r="AB1162"/>
  <c r="AB1163"/>
  <c r="AB1164"/>
  <c r="AB1165"/>
  <c r="AB1166"/>
  <c r="AB1167"/>
  <c r="AB1168"/>
  <c r="AB1169"/>
  <c r="AB1170"/>
  <c r="AB1171"/>
  <c r="AB1172"/>
  <c r="AB1173"/>
  <c r="AB1174"/>
  <c r="AB1175"/>
  <c r="AB1176"/>
  <c r="AB1177"/>
  <c r="AB1178"/>
  <c r="AB1179"/>
  <c r="AB1180"/>
  <c r="AB1181"/>
  <c r="AB1182"/>
  <c r="AB1183"/>
  <c r="AB1184"/>
  <c r="AB1185"/>
  <c r="AB1186"/>
  <c r="AB1187"/>
  <c r="AB1188"/>
  <c r="AB1189"/>
  <c r="AB1190"/>
  <c r="AB1191"/>
  <c r="AB1192"/>
  <c r="AB1193"/>
  <c r="AB1194"/>
  <c r="AB1195"/>
  <c r="AB1196"/>
  <c r="AB1197"/>
  <c r="AB1198"/>
  <c r="AB1199"/>
  <c r="AB1200"/>
  <c r="AB1201"/>
  <c r="AB1202"/>
  <c r="AB1203"/>
  <c r="AB1204"/>
  <c r="AB1205"/>
  <c r="AB1206"/>
  <c r="AB1207"/>
  <c r="AB1208"/>
  <c r="AB1209"/>
  <c r="AB1210"/>
  <c r="AB1211"/>
  <c r="AB1212"/>
  <c r="AB1213"/>
  <c r="AB1214"/>
  <c r="AB1215"/>
  <c r="AB1216"/>
  <c r="AB1217"/>
  <c r="AB1218"/>
  <c r="AB1219"/>
  <c r="AB1220"/>
  <c r="AB1221"/>
  <c r="AB1222"/>
  <c r="AB1223"/>
  <c r="AB1224"/>
  <c r="AB1225"/>
  <c r="AB1226"/>
  <c r="AB1227"/>
  <c r="AB1228"/>
  <c r="AB1229"/>
  <c r="AB1230"/>
  <c r="AB1231"/>
  <c r="AB1232"/>
  <c r="AB1233"/>
  <c r="AB1234"/>
  <c r="AB1235"/>
  <c r="AB1236"/>
  <c r="AB1237"/>
  <c r="AB1238"/>
  <c r="AB1239"/>
  <c r="AB1240"/>
  <c r="AB1241"/>
  <c r="AB1242"/>
  <c r="AB1243"/>
  <c r="AB1244"/>
  <c r="AB1245"/>
  <c r="AB1246"/>
  <c r="AB1247"/>
  <c r="AB1248"/>
  <c r="AB1249"/>
  <c r="AB1250"/>
  <c r="AB1251"/>
  <c r="AB1252"/>
  <c r="AB1253"/>
  <c r="AB1254"/>
  <c r="AB1255"/>
  <c r="AB1256"/>
  <c r="AB1257"/>
  <c r="AB1258"/>
  <c r="AB1259"/>
  <c r="AB1260"/>
  <c r="AB1261"/>
  <c r="AB1262"/>
  <c r="AB1263"/>
  <c r="AB1264"/>
  <c r="AB1265"/>
  <c r="AB1266"/>
  <c r="AB1267"/>
  <c r="AB1268"/>
  <c r="AB1269"/>
  <c r="AB1270"/>
  <c r="AB1271"/>
  <c r="AB1272"/>
  <c r="AB1273"/>
  <c r="AB1274"/>
  <c r="AB1275"/>
  <c r="AB1276"/>
  <c r="AB1277"/>
  <c r="AB1278"/>
  <c r="AB1279"/>
  <c r="AB1280"/>
  <c r="AB1281"/>
  <c r="AB1282"/>
  <c r="AB1283"/>
  <c r="AB1284"/>
  <c r="AB1285"/>
  <c r="AB1286"/>
  <c r="AB1287"/>
  <c r="AB1288"/>
  <c r="AB1289"/>
  <c r="AB1290"/>
  <c r="AB1291"/>
  <c r="AB1292"/>
  <c r="AB1293"/>
  <c r="AB1294"/>
  <c r="AB1295"/>
  <c r="AB1296"/>
  <c r="AB1297"/>
  <c r="AB1298"/>
  <c r="AB1299"/>
  <c r="AB1300"/>
  <c r="AB1301"/>
  <c r="AB1302"/>
  <c r="AB1303"/>
  <c r="AB1304"/>
  <c r="AB1305"/>
  <c r="AB1306"/>
  <c r="AB1307"/>
  <c r="AB1308"/>
  <c r="AB1309"/>
  <c r="AB1310"/>
  <c r="AB1311"/>
  <c r="AB1312"/>
  <c r="AB1313"/>
  <c r="AB1314"/>
  <c r="AB1315"/>
  <c r="AB1316"/>
  <c r="AB1317"/>
  <c r="AB1318"/>
  <c r="AB1319"/>
  <c r="AB1320"/>
  <c r="AB1321"/>
  <c r="AB1322"/>
  <c r="AB1323"/>
  <c r="AB1324"/>
  <c r="AB1325"/>
  <c r="AB1326"/>
  <c r="AB1327"/>
  <c r="AB1328"/>
  <c r="AB1329"/>
  <c r="AB1330"/>
  <c r="AB1331"/>
  <c r="AB1332"/>
  <c r="AB1333"/>
  <c r="AB1334"/>
  <c r="AB1335"/>
  <c r="AB1336"/>
  <c r="AB1337"/>
  <c r="AB1338"/>
  <c r="AB1339"/>
  <c r="AB1340"/>
  <c r="AB1341"/>
  <c r="AB1342"/>
  <c r="AB1343"/>
  <c r="AB1344"/>
  <c r="AB1345"/>
  <c r="AB1346"/>
  <c r="AB1347"/>
  <c r="AB1348"/>
  <c r="AB1349"/>
  <c r="AB1350"/>
  <c r="AB1351"/>
  <c r="AB1352"/>
  <c r="AB1353"/>
  <c r="AB1354"/>
  <c r="AB1355"/>
  <c r="AB1356"/>
  <c r="AB1357"/>
  <c r="AB1358"/>
  <c r="AB1359"/>
  <c r="AB1360"/>
  <c r="AB1361"/>
  <c r="AB1362"/>
  <c r="AB1363"/>
  <c r="AB1364"/>
  <c r="AB1365"/>
  <c r="AB1366"/>
  <c r="AB1367"/>
  <c r="AB1368"/>
  <c r="AB1369"/>
  <c r="AB1370"/>
  <c r="AB1371"/>
  <c r="AB1372"/>
  <c r="AB1373"/>
  <c r="AB1374"/>
  <c r="AB1375"/>
  <c r="AB1376"/>
  <c r="AB1377"/>
  <c r="AB1378"/>
  <c r="AB1379"/>
  <c r="AB1380"/>
  <c r="AB1381"/>
  <c r="AB1382"/>
  <c r="AB1383"/>
  <c r="AB1384"/>
  <c r="AB1385"/>
  <c r="AB1386"/>
  <c r="AB1387"/>
  <c r="AB1388"/>
  <c r="AB1389"/>
  <c r="AB1390"/>
  <c r="AB1391"/>
  <c r="AB1392"/>
  <c r="AB1393"/>
  <c r="AB1394"/>
  <c r="AB1395"/>
  <c r="AB1396"/>
  <c r="AB1397"/>
  <c r="AB1398"/>
  <c r="AB1399"/>
  <c r="AB1400"/>
  <c r="AB1401"/>
  <c r="AB1402"/>
  <c r="AB1403"/>
  <c r="AB1404"/>
  <c r="AB1405"/>
  <c r="AB1406"/>
  <c r="AB1407"/>
  <c r="AB1408"/>
  <c r="AB1409"/>
  <c r="AB1410"/>
  <c r="AB1411"/>
  <c r="AB1412"/>
  <c r="AB1413"/>
  <c r="AB1414"/>
  <c r="AB1415"/>
  <c r="AB1416"/>
  <c r="AB1417"/>
  <c r="AB1418"/>
  <c r="AB1419"/>
  <c r="AB1420"/>
  <c r="AB1421"/>
  <c r="AB1422"/>
  <c r="AB1423"/>
  <c r="AB1424"/>
  <c r="AB1425"/>
  <c r="AB1426"/>
  <c r="AB1427"/>
  <c r="AB1428"/>
  <c r="AB1429"/>
  <c r="AB1430"/>
  <c r="AB1431"/>
  <c r="AB1432"/>
  <c r="AB1433"/>
  <c r="AB1434"/>
  <c r="AB1435"/>
  <c r="AB1436"/>
  <c r="AB1437"/>
  <c r="AB1438"/>
  <c r="AB1439"/>
  <c r="AB1440"/>
  <c r="AB1441"/>
  <c r="AB1442"/>
  <c r="AB1443"/>
  <c r="AB1444"/>
  <c r="AB1445"/>
  <c r="AB1446"/>
  <c r="AB1447"/>
  <c r="AB1448"/>
  <c r="AB1449"/>
  <c r="AB1450"/>
  <c r="AB1451"/>
  <c r="AB1452"/>
  <c r="AB1453"/>
  <c r="AB1454"/>
  <c r="AB1455"/>
  <c r="AB1456"/>
  <c r="AB1457"/>
  <c r="AB1458"/>
  <c r="AB1459"/>
  <c r="AB1460"/>
  <c r="AB1461"/>
  <c r="AB1462"/>
  <c r="AB1463"/>
  <c r="AB1464"/>
  <c r="AB1465"/>
  <c r="AB1466"/>
  <c r="AB1467"/>
  <c r="AB1468"/>
  <c r="AB1469"/>
  <c r="AB1470"/>
  <c r="AB1471"/>
  <c r="AB1472"/>
  <c r="AB1473"/>
  <c r="AB1474"/>
  <c r="AB1475"/>
  <c r="AB1476"/>
  <c r="AB1477"/>
  <c r="AB1478"/>
  <c r="AB1479"/>
  <c r="AB1480"/>
  <c r="AB1481"/>
  <c r="AB1482"/>
  <c r="AB1483"/>
  <c r="AB1484"/>
  <c r="AB1485"/>
  <c r="AB1486"/>
  <c r="AB1487"/>
  <c r="AB1488"/>
  <c r="AB1489"/>
  <c r="AB1490"/>
  <c r="AB1491"/>
  <c r="AB1492"/>
  <c r="AB1493"/>
  <c r="AB1494"/>
  <c r="AB1495"/>
  <c r="AB1496"/>
  <c r="AB1497"/>
  <c r="AB1498"/>
  <c r="AB1499"/>
  <c r="AB1500"/>
  <c r="AB1501"/>
  <c r="AB1502"/>
  <c r="AB1503"/>
  <c r="AB1504"/>
  <c r="AB1505"/>
  <c r="AB1506"/>
  <c r="AB1507"/>
  <c r="AB1508"/>
  <c r="AB1509"/>
  <c r="AB1510"/>
  <c r="AB1511"/>
  <c r="AB1512"/>
  <c r="AB1513"/>
  <c r="AB1514"/>
  <c r="AB1515"/>
  <c r="AB1516"/>
  <c r="AB1517"/>
  <c r="AB1518"/>
  <c r="AB1519"/>
  <c r="AB1520"/>
  <c r="AB1521"/>
  <c r="AB1522"/>
  <c r="AB1523"/>
  <c r="AB1524"/>
  <c r="AB1525"/>
  <c r="AB1526"/>
  <c r="AB1527"/>
  <c r="AB1528"/>
  <c r="AB1529"/>
  <c r="AB1530"/>
  <c r="AB1531"/>
  <c r="AB1532"/>
  <c r="AB1533"/>
  <c r="AB1534"/>
  <c r="AB1535"/>
  <c r="AB1536"/>
  <c r="AB1537"/>
  <c r="AB1538"/>
  <c r="AB1539"/>
  <c r="AB1540"/>
  <c r="AB1541"/>
  <c r="AB1542"/>
  <c r="AB1543"/>
  <c r="AB1544"/>
  <c r="AB1545"/>
  <c r="AB1546"/>
  <c r="AB1547"/>
  <c r="AB1548"/>
  <c r="AB1549"/>
  <c r="AB1550"/>
  <c r="AB1551"/>
  <c r="AB1552"/>
  <c r="AB1553"/>
  <c r="AB1554"/>
  <c r="AB1555"/>
  <c r="AB1556"/>
  <c r="AB1557"/>
  <c r="AB1558"/>
  <c r="AB1559"/>
  <c r="AB1560"/>
  <c r="AB1561"/>
  <c r="AB1562"/>
  <c r="AB1563"/>
  <c r="AB1564"/>
  <c r="AB1565"/>
  <c r="AB1566"/>
  <c r="AB1567"/>
  <c r="AB1568"/>
  <c r="AB1569"/>
  <c r="AB1570"/>
  <c r="AB1571"/>
  <c r="AB1572"/>
  <c r="AB1573"/>
  <c r="AB1574"/>
  <c r="AB1575"/>
  <c r="AB1576"/>
  <c r="AB1577"/>
  <c r="AB1578"/>
  <c r="AB1579"/>
  <c r="AB1580"/>
  <c r="AB1581"/>
  <c r="AB1582"/>
  <c r="AB1583"/>
  <c r="AB1584"/>
  <c r="AB1585"/>
  <c r="AB1586"/>
  <c r="AB1587"/>
  <c r="AB1588"/>
  <c r="AB1589"/>
  <c r="AB1590"/>
  <c r="AB1591"/>
  <c r="AB1592"/>
  <c r="AB1593"/>
  <c r="AB1594"/>
  <c r="AB1595"/>
  <c r="AB1596"/>
  <c r="AB1597"/>
  <c r="AB1598"/>
  <c r="AB1599"/>
  <c r="AB1600"/>
  <c r="AB1601"/>
  <c r="AB1602"/>
  <c r="AB1603"/>
  <c r="AB1604"/>
  <c r="AB1605"/>
  <c r="AB1606"/>
  <c r="AB1607"/>
  <c r="AB1608"/>
  <c r="AB1609"/>
  <c r="AB1610"/>
  <c r="AB1611"/>
  <c r="AB1612"/>
  <c r="AB1613"/>
  <c r="AB1614"/>
  <c r="AB1615"/>
  <c r="AB1616"/>
  <c r="AB1617"/>
  <c r="AB1618"/>
  <c r="AB1619"/>
  <c r="AB1620"/>
  <c r="AB1621"/>
  <c r="AB1622"/>
  <c r="AB1623"/>
  <c r="AB1624"/>
  <c r="AB1625"/>
  <c r="AB1626"/>
  <c r="AB1627"/>
  <c r="AB1628"/>
  <c r="AB1629"/>
  <c r="AB1630"/>
  <c r="AB1631"/>
  <c r="AB1632"/>
  <c r="AB1633"/>
  <c r="AB1634"/>
  <c r="AB1635"/>
  <c r="AB1636"/>
  <c r="AB1637"/>
  <c r="AB1638"/>
  <c r="AB1639"/>
  <c r="AB1640"/>
  <c r="AB1641"/>
  <c r="AB1642"/>
  <c r="AB1643"/>
  <c r="AB1644"/>
  <c r="AB1645"/>
  <c r="AB1646"/>
  <c r="AB1647"/>
  <c r="AB1648"/>
  <c r="AB1649"/>
  <c r="AB1650"/>
  <c r="AB1651"/>
  <c r="AB1652"/>
  <c r="AB1653"/>
  <c r="AB1654"/>
  <c r="AB1655"/>
  <c r="AB1656"/>
  <c r="AB1657"/>
  <c r="AB1658"/>
  <c r="AB1659"/>
  <c r="AB1660"/>
  <c r="AB1661"/>
  <c r="AB1662"/>
  <c r="AB1663"/>
  <c r="AB1664"/>
  <c r="AB1665"/>
  <c r="AB1666"/>
  <c r="AB1667"/>
  <c r="AB1668"/>
  <c r="AB1669"/>
  <c r="AB1670"/>
  <c r="AB1671"/>
  <c r="AB1672"/>
  <c r="AB1673"/>
  <c r="AB1674"/>
  <c r="AB1675"/>
  <c r="AB1676"/>
  <c r="AB1677"/>
  <c r="AB1678"/>
  <c r="AB1679"/>
  <c r="AB1680"/>
  <c r="AB1681"/>
  <c r="AB1682"/>
  <c r="AB1683"/>
  <c r="AB1684"/>
  <c r="AB1685"/>
  <c r="AB1686"/>
  <c r="AB1687"/>
  <c r="AB1688"/>
  <c r="AB1689"/>
  <c r="AB1690"/>
  <c r="AB1691"/>
  <c r="AB1692"/>
  <c r="AB1693"/>
  <c r="AB1694"/>
  <c r="AB1695"/>
  <c r="AB1696"/>
  <c r="AB1697"/>
  <c r="AB1698"/>
  <c r="AB1699"/>
  <c r="AB1700"/>
  <c r="AB1701"/>
  <c r="AB1702"/>
  <c r="AB1703"/>
  <c r="AB1704"/>
  <c r="AB1705"/>
  <c r="AB1706"/>
  <c r="AB1707"/>
  <c r="AB1708"/>
  <c r="AB1709"/>
  <c r="AB1710"/>
  <c r="AB1711"/>
  <c r="AB1712"/>
  <c r="AB1713"/>
  <c r="AB1714"/>
  <c r="AB1715"/>
  <c r="AB1716"/>
  <c r="AB1717"/>
  <c r="AB1718"/>
  <c r="AB1719"/>
  <c r="AB1720"/>
  <c r="AB1721"/>
  <c r="AB1722"/>
  <c r="AB1723"/>
  <c r="AB1724"/>
  <c r="AB1725"/>
  <c r="AB1726"/>
  <c r="AB1727"/>
  <c r="AB1728"/>
  <c r="AB1729"/>
  <c r="AB1730"/>
  <c r="AB1731"/>
  <c r="AB1732"/>
  <c r="AB1733"/>
  <c r="AB1734"/>
  <c r="AB1735"/>
  <c r="AB1736"/>
  <c r="AB1737"/>
  <c r="AB1738"/>
  <c r="AB1739"/>
  <c r="AB1740"/>
  <c r="AB1741"/>
  <c r="AB1742"/>
  <c r="AB1743"/>
  <c r="AB1744"/>
  <c r="AB1745"/>
  <c r="AB1746"/>
  <c r="AB1747"/>
  <c r="AB1748"/>
  <c r="AB1749"/>
  <c r="AB1750"/>
  <c r="AB1751"/>
  <c r="AB1752"/>
  <c r="AB1753"/>
  <c r="AB1754"/>
  <c r="AB1755"/>
  <c r="AB1756"/>
  <c r="AB1757"/>
  <c r="AB1758"/>
  <c r="AB1759"/>
  <c r="AB1760"/>
  <c r="AB1761"/>
  <c r="AB1762"/>
  <c r="AB1763"/>
  <c r="AB1764"/>
  <c r="AB1765"/>
  <c r="AB1766"/>
  <c r="AB1767"/>
  <c r="AB1768"/>
  <c r="AB1769"/>
  <c r="AB1770"/>
  <c r="AB1771"/>
  <c r="AB1772"/>
  <c r="AB1773"/>
  <c r="AB1774"/>
  <c r="AB1775"/>
  <c r="AB1776"/>
  <c r="AB1777"/>
  <c r="AB1778"/>
  <c r="AB1779"/>
  <c r="AB1780"/>
  <c r="AB1781"/>
  <c r="AB1782"/>
  <c r="AB1783"/>
  <c r="AB1784"/>
  <c r="AB1785"/>
  <c r="AB1786"/>
  <c r="AB1787"/>
  <c r="AB1788"/>
  <c r="AB1789"/>
  <c r="AB1790"/>
  <c r="AB1791"/>
  <c r="AB1792"/>
  <c r="AB1793"/>
  <c r="AB1794"/>
  <c r="AB1795"/>
  <c r="AB1796"/>
  <c r="AB1797"/>
  <c r="AB1798"/>
  <c r="AB1799"/>
  <c r="AB1800"/>
  <c r="AB1801"/>
  <c r="AB1802"/>
  <c r="AB1803"/>
  <c r="AB1804"/>
  <c r="AB1805"/>
  <c r="AB1806"/>
  <c r="AB1807"/>
  <c r="AB1808"/>
  <c r="AB1809"/>
  <c r="AB1810"/>
  <c r="AB1811"/>
  <c r="AB1812"/>
  <c r="AB1813"/>
  <c r="AB1814"/>
  <c r="AB1815"/>
  <c r="AB1816"/>
  <c r="AB1817"/>
  <c r="AB1818"/>
  <c r="AB1819"/>
  <c r="AB1820"/>
  <c r="AB1821"/>
  <c r="AB1822"/>
  <c r="AB1823"/>
  <c r="AB1824"/>
  <c r="AB1825"/>
  <c r="AB1826"/>
  <c r="AB1827"/>
  <c r="AB1828"/>
  <c r="AB1829"/>
  <c r="AB1830"/>
  <c r="AB1831"/>
  <c r="AB1832"/>
  <c r="AB1833"/>
  <c r="AB1834"/>
  <c r="AB1835"/>
  <c r="AB1836"/>
  <c r="AB1837"/>
  <c r="AB1838"/>
  <c r="AB1839"/>
  <c r="AB1840"/>
  <c r="AB1841"/>
  <c r="AB1842"/>
  <c r="AB1843"/>
  <c r="AB1844"/>
  <c r="AB1845"/>
  <c r="AB1846"/>
  <c r="AB1847"/>
  <c r="AB1848"/>
  <c r="AB1849"/>
  <c r="AB1850"/>
  <c r="AB1851"/>
  <c r="AB1852"/>
  <c r="AB1853"/>
  <c r="AB1854"/>
  <c r="AB1855"/>
  <c r="AB1856"/>
  <c r="AB1857"/>
  <c r="AB1858"/>
  <c r="AB1859"/>
  <c r="AB1860"/>
  <c r="AB1861"/>
  <c r="AB1862"/>
  <c r="AB1863"/>
  <c r="AB1864"/>
  <c r="AB1865"/>
  <c r="AB1866"/>
  <c r="AB1867"/>
  <c r="AB1868"/>
  <c r="AB1869"/>
  <c r="AB1870"/>
  <c r="AB1871"/>
  <c r="AB1872"/>
  <c r="AB1873"/>
  <c r="AB1874"/>
  <c r="AB1875"/>
  <c r="AB1876"/>
  <c r="AB1877"/>
  <c r="AB1878"/>
  <c r="AB1879"/>
  <c r="AB1880"/>
  <c r="AB1881"/>
  <c r="AB1882"/>
  <c r="AB1883"/>
  <c r="AB1884"/>
  <c r="AB1885"/>
  <c r="AB1886"/>
  <c r="AB1887"/>
  <c r="AB1888"/>
  <c r="AB1889"/>
  <c r="AB1890"/>
  <c r="AB1891"/>
  <c r="AB1892"/>
  <c r="AB1893"/>
  <c r="AB1894"/>
  <c r="AB1895"/>
  <c r="AB1896"/>
  <c r="AB1897"/>
  <c r="AB1898"/>
  <c r="AB1899"/>
  <c r="AB1900"/>
  <c r="AB1901"/>
  <c r="AB1902"/>
  <c r="AB1903"/>
  <c r="AB1904"/>
  <c r="AB1905"/>
  <c r="AB1906"/>
  <c r="AB1907"/>
  <c r="AB1908"/>
  <c r="AB1909"/>
  <c r="AB1910"/>
  <c r="AB1911"/>
  <c r="AB1912"/>
  <c r="AB1913"/>
  <c r="AB1914"/>
  <c r="AB1915"/>
  <c r="AB1916"/>
  <c r="AB1917"/>
  <c r="AB1918"/>
  <c r="AB1919"/>
  <c r="AB1920"/>
  <c r="AB1921"/>
  <c r="AB1922"/>
  <c r="AB1923"/>
  <c r="AB1924"/>
  <c r="AB1925"/>
  <c r="AB1926"/>
  <c r="AB1927"/>
  <c r="AB1928"/>
  <c r="AB1929"/>
  <c r="AB1930"/>
  <c r="AB1931"/>
  <c r="AB1932"/>
  <c r="AB1933"/>
  <c r="AB1934"/>
  <c r="AB1935"/>
  <c r="AB1936"/>
  <c r="AB1937"/>
  <c r="AB1938"/>
  <c r="AB1939"/>
  <c r="AB1940"/>
  <c r="AB1941"/>
  <c r="AB1942"/>
  <c r="AB1943"/>
  <c r="AB1944"/>
  <c r="AB1945"/>
  <c r="AB1946"/>
  <c r="AB1947"/>
  <c r="AB1948"/>
  <c r="AB1949"/>
  <c r="AB1950"/>
  <c r="AB1951"/>
  <c r="AB1952"/>
  <c r="AB1953"/>
  <c r="AB1954"/>
  <c r="AB1955"/>
  <c r="AB1956"/>
  <c r="AB1957"/>
  <c r="AB1958"/>
  <c r="AB1959"/>
  <c r="AB1960"/>
  <c r="AB1961"/>
  <c r="AB1962"/>
  <c r="AB1963"/>
  <c r="AB1964"/>
  <c r="AB1965"/>
  <c r="AB1966"/>
  <c r="AB1967"/>
  <c r="AB1968"/>
  <c r="AB1969"/>
  <c r="AB1970"/>
  <c r="AB1971"/>
  <c r="AB1972"/>
  <c r="AB1973"/>
  <c r="AB1974"/>
  <c r="AB1975"/>
  <c r="AB1976"/>
  <c r="AB1977"/>
  <c r="AB1978"/>
  <c r="AB1979"/>
  <c r="AB1980"/>
  <c r="AB1981"/>
  <c r="AB1982"/>
  <c r="AB1983"/>
  <c r="AB1984"/>
  <c r="AB1985"/>
  <c r="AB1986"/>
  <c r="AB1987"/>
  <c r="AB1988"/>
  <c r="AB1989"/>
  <c r="AB1990"/>
  <c r="AB1991"/>
  <c r="AB1992"/>
  <c r="AB1993"/>
  <c r="AB1994"/>
  <c r="AB1995"/>
  <c r="AB1996"/>
  <c r="AB1997"/>
  <c r="AB1998"/>
  <c r="AB1999"/>
  <c r="AB2000"/>
  <c r="AB2001"/>
  <c r="AB2002"/>
  <c r="AB2003"/>
  <c r="AB2004"/>
  <c r="AB2005"/>
  <c r="AB2006"/>
  <c r="AB2007"/>
  <c r="AB2008"/>
  <c r="AB2009"/>
  <c r="AB2010"/>
  <c r="AB2011"/>
  <c r="AB2012"/>
  <c r="AB2013"/>
  <c r="AB2014"/>
  <c r="AB2015"/>
  <c r="AB2016"/>
  <c r="AB2017"/>
  <c r="AB2018"/>
  <c r="AB2019"/>
  <c r="AB2020"/>
  <c r="AB2021"/>
  <c r="AB2022"/>
  <c r="AB2023"/>
  <c r="AB2024"/>
  <c r="AB2025"/>
  <c r="AB2026"/>
  <c r="AB2027"/>
  <c r="AB2028"/>
  <c r="AB2029"/>
  <c r="AB2030"/>
  <c r="AB2031"/>
  <c r="AB2032"/>
  <c r="AB2033"/>
  <c r="AB2034"/>
  <c r="AB2035"/>
  <c r="AB2036"/>
  <c r="AB2037"/>
  <c r="AB2038"/>
  <c r="AB2039"/>
  <c r="AB2040"/>
  <c r="AB2041"/>
  <c r="AB2042"/>
  <c r="AB2043"/>
  <c r="AB2044"/>
  <c r="AB2045"/>
  <c r="AB2046"/>
  <c r="AB2047"/>
  <c r="AB2048"/>
  <c r="AB2049"/>
  <c r="AB2050"/>
  <c r="AB2051"/>
  <c r="AB2052"/>
  <c r="AB2053"/>
  <c r="AB2054"/>
  <c r="AB2055"/>
  <c r="AB2056"/>
  <c r="AB2057"/>
  <c r="AB2058"/>
  <c r="AB2059"/>
  <c r="AB2060"/>
  <c r="AB2061"/>
  <c r="AB2062"/>
  <c r="AB2063"/>
  <c r="AB2064"/>
  <c r="AB2065"/>
  <c r="AB2066"/>
  <c r="AB2067"/>
  <c r="AB2068"/>
  <c r="AB2069"/>
  <c r="AB2070"/>
  <c r="AB2071"/>
  <c r="AB2072"/>
  <c r="AB2073"/>
  <c r="AB2074"/>
  <c r="AB2075"/>
  <c r="AB2076"/>
  <c r="AB2077"/>
  <c r="AB2078"/>
  <c r="AB2079"/>
  <c r="AB2080"/>
  <c r="AB2081"/>
  <c r="AB2082"/>
  <c r="AB2083"/>
  <c r="AB2084"/>
  <c r="AB2085"/>
  <c r="AB2086"/>
  <c r="AB2087"/>
  <c r="AB2088"/>
  <c r="AB2089"/>
  <c r="AB2090"/>
  <c r="AB2091"/>
  <c r="AB2092"/>
  <c r="AB2093"/>
  <c r="AB2094"/>
  <c r="AB2095"/>
  <c r="AB2096"/>
  <c r="AB2097"/>
  <c r="AB2098"/>
  <c r="AB2099"/>
  <c r="AB2100"/>
  <c r="AB2101"/>
  <c r="AB2102"/>
  <c r="AB2103"/>
  <c r="AB2104"/>
  <c r="AB2105"/>
  <c r="AB2106"/>
  <c r="AB2107"/>
  <c r="AB2108"/>
  <c r="AB2109"/>
  <c r="AB2110"/>
  <c r="AB2111"/>
  <c r="AB2112"/>
  <c r="AB2113"/>
  <c r="AB2114"/>
  <c r="AB2115"/>
  <c r="AB2116"/>
  <c r="AB2117"/>
  <c r="AB2118"/>
  <c r="AB2119"/>
  <c r="AB2120"/>
  <c r="AB2121"/>
  <c r="AB2122"/>
  <c r="AB2123"/>
  <c r="AB2124"/>
  <c r="AB2125"/>
  <c r="AB2126"/>
  <c r="AB2127"/>
  <c r="AB2128"/>
  <c r="AB2129"/>
  <c r="AB2130"/>
  <c r="AB2131"/>
  <c r="AB2132"/>
  <c r="AB2133"/>
  <c r="AB2134"/>
  <c r="AB2135"/>
  <c r="AB2136"/>
  <c r="AB2137"/>
  <c r="AB2138"/>
  <c r="AB2139"/>
  <c r="AB2140"/>
  <c r="AB2141"/>
  <c r="AB2142"/>
  <c r="AB2143"/>
  <c r="AB2144"/>
  <c r="AB2145"/>
  <c r="AB2146"/>
  <c r="AB2147"/>
  <c r="AB2148"/>
  <c r="AB2149"/>
  <c r="AB2150"/>
  <c r="AB2151"/>
  <c r="AB2152"/>
  <c r="AB2153"/>
  <c r="AB2154"/>
  <c r="AB2155"/>
  <c r="AB2156"/>
  <c r="AB2157"/>
  <c r="AB2158"/>
  <c r="AB2159"/>
  <c r="AB2160"/>
  <c r="AB2161"/>
  <c r="AB2162"/>
  <c r="AB2163"/>
  <c r="AB2164"/>
  <c r="AB2165"/>
  <c r="AB2166"/>
  <c r="AB2167"/>
  <c r="AB2168"/>
  <c r="AB2169"/>
  <c r="AB2170"/>
  <c r="AB2171"/>
  <c r="AB2172"/>
  <c r="AB2173"/>
  <c r="AB2174"/>
  <c r="AB2175"/>
  <c r="AB2176"/>
  <c r="AB2177"/>
  <c r="AB2178"/>
  <c r="AB2179"/>
  <c r="AB2180"/>
  <c r="AB2181"/>
  <c r="AB2182"/>
  <c r="AB2183"/>
  <c r="AB2184"/>
  <c r="AB2185"/>
  <c r="AB2186"/>
  <c r="AB2187"/>
  <c r="AB2188"/>
  <c r="AB2189"/>
  <c r="AB2190"/>
  <c r="AB2191"/>
  <c r="AB2192"/>
  <c r="AB2193"/>
  <c r="AB2194"/>
  <c r="AB2195"/>
  <c r="AB2196"/>
  <c r="AB2197"/>
  <c r="AB2198"/>
  <c r="AB2199"/>
  <c r="AB2200"/>
  <c r="AB2201"/>
  <c r="AB2202"/>
  <c r="AB2203"/>
  <c r="AB2204"/>
  <c r="AB2205"/>
  <c r="AB2206"/>
  <c r="AB2207"/>
  <c r="AB2208"/>
  <c r="AB2209"/>
  <c r="AB2210"/>
  <c r="AB2211"/>
  <c r="AB2212"/>
  <c r="AB2213"/>
  <c r="AB2214"/>
  <c r="AB2215"/>
  <c r="AB2216"/>
  <c r="AB2217"/>
  <c r="AB2218"/>
  <c r="AB2219"/>
  <c r="AB2220"/>
  <c r="AB2221"/>
  <c r="AB2222"/>
  <c r="AB2223"/>
  <c r="AB2224"/>
  <c r="AB2225"/>
  <c r="AB2226"/>
  <c r="AB2227"/>
  <c r="AB2228"/>
  <c r="AB2229"/>
  <c r="AB2230"/>
  <c r="AB2231"/>
  <c r="AB2232"/>
  <c r="AB2233"/>
  <c r="AB2234"/>
  <c r="AB2235"/>
  <c r="AB2236"/>
  <c r="AB2237"/>
  <c r="AB2238"/>
  <c r="AB2239"/>
  <c r="AB2240"/>
  <c r="AB2241"/>
  <c r="AB2242"/>
  <c r="AB2243"/>
  <c r="AB2244"/>
  <c r="AB2245"/>
  <c r="AB2246"/>
  <c r="AB2247"/>
  <c r="AB2248"/>
  <c r="AB2249"/>
  <c r="AB2250"/>
  <c r="AB2251"/>
  <c r="AB2252"/>
  <c r="AB2253"/>
  <c r="AB2254"/>
  <c r="AB2255"/>
  <c r="AB2256"/>
  <c r="AB2257"/>
  <c r="AB2258"/>
  <c r="AB2259"/>
  <c r="AB2260"/>
  <c r="AB2261"/>
  <c r="AB2262"/>
  <c r="AB2263"/>
  <c r="AB2264"/>
  <c r="AB2265"/>
  <c r="AB2266"/>
  <c r="AB2267"/>
  <c r="AB2268"/>
  <c r="AB2269"/>
  <c r="AB2270"/>
  <c r="AB2271"/>
  <c r="AB2272"/>
  <c r="AB2273"/>
  <c r="AB2274"/>
  <c r="AB2275"/>
  <c r="AB2276"/>
  <c r="AB2277"/>
  <c r="AB2278"/>
  <c r="AB2279"/>
  <c r="AB2280"/>
  <c r="AB2281"/>
  <c r="AB2282"/>
  <c r="AB2283"/>
  <c r="AB2284"/>
  <c r="AB2285"/>
  <c r="AB2286"/>
  <c r="AB2287"/>
  <c r="AB2288"/>
  <c r="AB2289"/>
  <c r="AB2290"/>
  <c r="AB2291"/>
  <c r="AB2292"/>
  <c r="AB2293"/>
  <c r="AB2294"/>
  <c r="AB2295"/>
  <c r="AB2296"/>
  <c r="AB2297"/>
  <c r="AB2298"/>
  <c r="AB2299"/>
  <c r="AB2300"/>
  <c r="AB2301"/>
  <c r="AB2302"/>
  <c r="AB2303"/>
  <c r="AB2304"/>
  <c r="AB2305"/>
  <c r="AB2306"/>
  <c r="AB2307"/>
  <c r="AB2308"/>
  <c r="AB2309"/>
  <c r="AB2310"/>
  <c r="AB2311"/>
  <c r="AB2312"/>
  <c r="AB2313"/>
  <c r="AB2314"/>
  <c r="AB2315"/>
  <c r="AB2316"/>
  <c r="AB2317"/>
  <c r="AB2318"/>
  <c r="AB2319"/>
  <c r="AB2320"/>
  <c r="AB2321"/>
  <c r="AB2322"/>
  <c r="AB2323"/>
  <c r="AB2324"/>
  <c r="AB2325"/>
  <c r="AB2326"/>
  <c r="AB2327"/>
  <c r="AB2328"/>
  <c r="AB2329"/>
  <c r="AB2330"/>
  <c r="AB2331"/>
  <c r="AB2332"/>
  <c r="AB2333"/>
  <c r="AB2334"/>
  <c r="AB2335"/>
  <c r="AB2336"/>
  <c r="AB2337"/>
  <c r="AB2338"/>
  <c r="AB2339"/>
  <c r="AB2340"/>
  <c r="AB2341"/>
  <c r="AB2342"/>
  <c r="AB2343"/>
  <c r="AB2344"/>
  <c r="AB2345"/>
  <c r="AB2346"/>
  <c r="AB2347"/>
  <c r="AB2348"/>
  <c r="AB2349"/>
  <c r="AB2350"/>
  <c r="AB2351"/>
  <c r="AB2352"/>
  <c r="AB2353"/>
  <c r="AB2354"/>
  <c r="AB2355"/>
  <c r="AB2356"/>
  <c r="AB2357"/>
  <c r="AB2358"/>
  <c r="AB2359"/>
  <c r="AB2360"/>
  <c r="AB2361"/>
  <c r="AB2362"/>
  <c r="AB2363"/>
  <c r="AB2364"/>
  <c r="AB2365"/>
  <c r="AB2366"/>
  <c r="AB2367"/>
  <c r="AB2368"/>
  <c r="AB2369"/>
  <c r="AB2370"/>
  <c r="AB2371"/>
  <c r="AB2372"/>
  <c r="AB2373"/>
  <c r="AB2374"/>
  <c r="AB2375"/>
  <c r="AB2376"/>
  <c r="AB2377"/>
  <c r="AB2378"/>
  <c r="AB2379"/>
  <c r="AB2380"/>
  <c r="AB2381"/>
  <c r="AB2382"/>
  <c r="AB2383"/>
  <c r="AB2384"/>
  <c r="AB2385"/>
  <c r="AB2386"/>
  <c r="AB2387"/>
  <c r="AB2388"/>
  <c r="AB2389"/>
  <c r="AB2390"/>
  <c r="AB2391"/>
  <c r="AB2392"/>
  <c r="AB2393"/>
  <c r="AB2394"/>
  <c r="AB2395"/>
  <c r="AB2396"/>
  <c r="AB2397"/>
  <c r="AB2398"/>
  <c r="AB2399"/>
  <c r="AB2400"/>
  <c r="AB2401"/>
  <c r="AB2409"/>
  <c r="AB2410"/>
  <c r="AB2411"/>
  <c r="AB2412"/>
  <c r="AB2413"/>
  <c r="AB2414"/>
  <c r="AB2415"/>
  <c r="AB2416"/>
  <c r="AB2417"/>
  <c r="AB2418"/>
  <c r="AB2419"/>
  <c r="AB2420"/>
  <c r="AB2421"/>
  <c r="AB2422"/>
  <c r="AB2423"/>
  <c r="AB2424"/>
  <c r="AB2425"/>
  <c r="AB2426"/>
  <c r="AB2427"/>
  <c r="AB2428"/>
  <c r="AB2429"/>
  <c r="AB2430"/>
  <c r="AB2431"/>
  <c r="AB2432"/>
  <c r="AB2433"/>
  <c r="AB2434"/>
  <c r="AB2435"/>
  <c r="AB2436"/>
  <c r="AB2437"/>
  <c r="AB2438"/>
  <c r="AB2439"/>
  <c r="AB2440"/>
  <c r="AB2441"/>
  <c r="AB2442"/>
  <c r="AB2402"/>
  <c r="AB2403"/>
  <c r="AB2404"/>
  <c r="AB2405"/>
  <c r="AB2406"/>
  <c r="AB2407"/>
  <c r="AB2408"/>
  <c r="AB2443"/>
  <c r="AB2444"/>
  <c r="AB2445"/>
  <c r="AB2446"/>
  <c r="AB2447"/>
  <c r="AB2448"/>
  <c r="AB2449"/>
  <c r="AB2450"/>
  <c r="AB2451"/>
  <c r="AB2452"/>
  <c r="AB2453"/>
  <c r="AB2454"/>
  <c r="AB2455"/>
  <c r="AB2456"/>
  <c r="AB2457"/>
  <c r="AB2458"/>
  <c r="AB2459"/>
  <c r="AB2460"/>
  <c r="AB2461"/>
  <c r="AB2462"/>
  <c r="AB2463"/>
  <c r="AB2464"/>
  <c r="AB2465"/>
  <c r="AB2466"/>
  <c r="AB2467"/>
  <c r="AB2468"/>
  <c r="AB2469"/>
  <c r="AB2470"/>
  <c r="AB2471"/>
  <c r="AB2472"/>
  <c r="AB2473"/>
  <c r="AB2474"/>
  <c r="AB2475"/>
  <c r="AB2476"/>
  <c r="AB2477"/>
  <c r="AB2478"/>
  <c r="AB2479"/>
  <c r="AB2480"/>
  <c r="AB2481"/>
  <c r="AB2482"/>
  <c r="AB2483"/>
  <c r="AB2484"/>
  <c r="AB2485"/>
  <c r="AB2486"/>
  <c r="AB2487"/>
  <c r="AB2488"/>
  <c r="AB2489"/>
  <c r="AB2490"/>
  <c r="AB2491"/>
  <c r="AB2492"/>
  <c r="AB2493"/>
  <c r="AB2494"/>
  <c r="AB2495"/>
  <c r="AB2496"/>
  <c r="AB2497"/>
  <c r="AB2498"/>
  <c r="AB2499"/>
  <c r="AB2500"/>
  <c r="AB2501"/>
  <c r="AB2502"/>
  <c r="AB2503"/>
  <c r="AB2504"/>
  <c r="AB2505"/>
  <c r="AB2506"/>
  <c r="AB2507"/>
  <c r="AB2508"/>
  <c r="AB2509"/>
  <c r="AB2510"/>
  <c r="AB2511"/>
  <c r="AB2512"/>
  <c r="AB2513"/>
  <c r="AB2514"/>
  <c r="AB2515"/>
  <c r="AB2516"/>
  <c r="AB2517"/>
  <c r="AB2518"/>
  <c r="AB2519"/>
  <c r="AB2520"/>
  <c r="AB2521"/>
  <c r="AB2522"/>
  <c r="AB2523"/>
  <c r="AB2524"/>
  <c r="AB2525"/>
  <c r="AB2526"/>
  <c r="AB2527"/>
  <c r="AB2528"/>
  <c r="AB2529"/>
  <c r="AB2530"/>
  <c r="AB2531"/>
  <c r="AB2532"/>
  <c r="AB2533"/>
  <c r="AB2534"/>
  <c r="AB2535"/>
  <c r="AB2536"/>
  <c r="AB2537"/>
  <c r="AB2538"/>
  <c r="AB2539"/>
  <c r="AB2540"/>
  <c r="AB2541"/>
  <c r="AB2542"/>
  <c r="AB2543"/>
  <c r="AB2544"/>
  <c r="AB2545"/>
  <c r="AB2546"/>
  <c r="AB2547"/>
  <c r="AB2548"/>
  <c r="AB2549"/>
  <c r="AB2550"/>
  <c r="AB2551"/>
  <c r="AB2552"/>
  <c r="AB2553"/>
  <c r="AB2554"/>
  <c r="AB2555"/>
  <c r="AB2556"/>
  <c r="AB2557"/>
  <c r="AB2558"/>
  <c r="AB2559"/>
  <c r="AB2560"/>
  <c r="AB2561"/>
  <c r="AB2562"/>
  <c r="AB2563"/>
  <c r="AB2564"/>
  <c r="AB2565"/>
  <c r="AB2566"/>
  <c r="AB2567"/>
  <c r="AB2568"/>
  <c r="AB2569"/>
  <c r="AB2570"/>
  <c r="AB2571"/>
  <c r="AB2572"/>
  <c r="AB2573"/>
  <c r="AB2574"/>
  <c r="AB2575"/>
  <c r="AB2576"/>
  <c r="AB2577"/>
  <c r="AB2578"/>
  <c r="AB2579"/>
  <c r="AB2580"/>
  <c r="AB2581"/>
  <c r="AB2582"/>
  <c r="AB2583"/>
  <c r="AB2584"/>
  <c r="AB2585"/>
  <c r="AB2586"/>
  <c r="AB2587"/>
  <c r="AB2588"/>
  <c r="AB2589"/>
  <c r="AB2590"/>
  <c r="AB2591"/>
  <c r="AB2592"/>
  <c r="AB2593"/>
  <c r="AB2594"/>
  <c r="AB2595"/>
  <c r="AB2596"/>
  <c r="AB2597"/>
  <c r="AB2598"/>
  <c r="AB2599"/>
  <c r="AB2600"/>
  <c r="AB2601"/>
  <c r="AB2602"/>
  <c r="AB2603"/>
  <c r="AB2604"/>
  <c r="AB2605"/>
  <c r="AB2606"/>
  <c r="AB2607"/>
  <c r="AB2608"/>
  <c r="AB2609"/>
  <c r="AB2610"/>
  <c r="AB2611"/>
  <c r="AB2612"/>
  <c r="AB2613"/>
  <c r="AB2614"/>
  <c r="AB2615"/>
  <c r="AB2616"/>
  <c r="AB2617"/>
  <c r="AB2618"/>
  <c r="AB2619"/>
  <c r="AB2620"/>
  <c r="AB2621"/>
  <c r="AB2622"/>
  <c r="AB2623"/>
  <c r="AB2624"/>
  <c r="AB2625"/>
  <c r="AB2626"/>
  <c r="AB2627"/>
  <c r="AB2628"/>
  <c r="AB2629"/>
  <c r="AB2630"/>
  <c r="AB2631"/>
  <c r="AB2632"/>
  <c r="AB2633"/>
  <c r="AB2634"/>
  <c r="AB2635"/>
  <c r="AB2636"/>
  <c r="AB2637"/>
  <c r="AB2638"/>
  <c r="AB2639"/>
  <c r="AB2640"/>
  <c r="AB2641"/>
  <c r="AB2642"/>
  <c r="AB2643"/>
  <c r="AB2644"/>
  <c r="AB2645"/>
  <c r="AB2646"/>
  <c r="AB2647"/>
  <c r="AB2648"/>
  <c r="AB2649"/>
  <c r="AB2650"/>
  <c r="AB2651"/>
  <c r="AB2652"/>
  <c r="AB2653"/>
  <c r="AB2654"/>
  <c r="AB2655"/>
  <c r="AB2656"/>
  <c r="AB2657"/>
  <c r="AB2658"/>
  <c r="AB2659"/>
  <c r="AB2660"/>
  <c r="AB2661"/>
  <c r="AB2662"/>
  <c r="AB2663"/>
  <c r="AB2664"/>
  <c r="AB2665"/>
  <c r="AB2666"/>
  <c r="AB2667"/>
  <c r="AB2668"/>
  <c r="AB2669"/>
  <c r="AB2670"/>
  <c r="AB2671"/>
  <c r="AB2672"/>
  <c r="AB2673"/>
  <c r="AB2674"/>
  <c r="AB2675"/>
  <c r="AB2676"/>
  <c r="AB2677"/>
  <c r="AB2678"/>
  <c r="AB2679"/>
  <c r="AB2680"/>
  <c r="AB2681"/>
  <c r="AB2682"/>
  <c r="AB2683"/>
  <c r="AB2684"/>
  <c r="AB2685"/>
  <c r="AB2686"/>
  <c r="AB2687"/>
  <c r="AB2688"/>
  <c r="AB2689"/>
  <c r="AB2690"/>
  <c r="AB2691"/>
  <c r="AB2692"/>
  <c r="AB2693"/>
  <c r="AB2694"/>
  <c r="AB2695"/>
  <c r="AB2696"/>
  <c r="AB2697"/>
  <c r="AB2698"/>
  <c r="AB2699"/>
  <c r="AB2700"/>
  <c r="AB2701"/>
  <c r="AB2702"/>
  <c r="AB2703"/>
  <c r="AB2704"/>
  <c r="AB2705"/>
  <c r="AB2706"/>
  <c r="AB2707"/>
  <c r="AB2708"/>
  <c r="AB2709"/>
  <c r="AB2710"/>
  <c r="AB2711"/>
  <c r="AB2712"/>
  <c r="AB2713"/>
  <c r="AB2714"/>
  <c r="AB2715"/>
  <c r="AB2716"/>
  <c r="AB2717"/>
  <c r="AB2718"/>
  <c r="AB2719"/>
  <c r="AB2720"/>
  <c r="AB2721"/>
  <c r="AB2722"/>
  <c r="AB2723"/>
  <c r="AB2724"/>
  <c r="AB2725"/>
  <c r="AB2726"/>
  <c r="AB2727"/>
  <c r="AB2728"/>
  <c r="AB2729"/>
  <c r="AB2730"/>
  <c r="AB2731"/>
  <c r="AB2732"/>
  <c r="AB2733"/>
  <c r="AB2734"/>
  <c r="AB2735"/>
  <c r="AB2736"/>
  <c r="AB2737"/>
  <c r="AB2738"/>
  <c r="AB2740"/>
  <c r="AB2742"/>
  <c r="AB2743"/>
  <c r="AB2744"/>
  <c r="AB2745"/>
  <c r="AB2746"/>
  <c r="AB2747"/>
  <c r="AB2748"/>
  <c r="AB2749"/>
  <c r="AB2750"/>
  <c r="AB2751"/>
  <c r="AB2752"/>
  <c r="AB2753"/>
  <c r="AB2754"/>
  <c r="AB2755"/>
  <c r="AB2756"/>
  <c r="AB2757"/>
  <c r="AB2758"/>
  <c r="AB2759"/>
  <c r="AB2760"/>
  <c r="AB2761"/>
  <c r="AB2762"/>
  <c r="AB2763"/>
  <c r="AB2764"/>
  <c r="AB2765"/>
  <c r="AB2766"/>
  <c r="AB2767"/>
  <c r="AB2768"/>
  <c r="AB2769"/>
  <c r="AB2770"/>
  <c r="AB2771"/>
  <c r="AB2772"/>
  <c r="AB2773"/>
  <c r="AB2774"/>
  <c r="AB2775"/>
  <c r="AB2776"/>
  <c r="AB2777"/>
  <c r="AB2778"/>
  <c r="AB2779"/>
  <c r="AB2780"/>
  <c r="AB2781"/>
  <c r="AB2782"/>
  <c r="AB2783"/>
  <c r="AB2784"/>
  <c r="AB2785"/>
  <c r="AB2786"/>
  <c r="AB2787"/>
  <c r="AB2788"/>
  <c r="AB2789"/>
  <c r="AB2790"/>
  <c r="AB2791"/>
  <c r="AB2792"/>
  <c r="AB2793"/>
  <c r="AB2794"/>
  <c r="AB2795"/>
  <c r="AB2796"/>
  <c r="AB2797"/>
  <c r="AB2798"/>
  <c r="AB2799"/>
  <c r="AB2800"/>
  <c r="AB2801"/>
  <c r="AB2802"/>
  <c r="AB2803"/>
  <c r="AB2804"/>
  <c r="AB2805"/>
  <c r="AB2806"/>
  <c r="AB2807"/>
  <c r="AB2808"/>
  <c r="AB2809"/>
  <c r="AB2810"/>
  <c r="AB2811"/>
  <c r="AB2812"/>
  <c r="AB2813"/>
  <c r="AB2814"/>
  <c r="AB2815"/>
  <c r="AB2816"/>
  <c r="AB2817"/>
  <c r="AB2818"/>
  <c r="AB2819"/>
  <c r="AB2820"/>
  <c r="AB2821"/>
  <c r="AB2822"/>
  <c r="AB2823"/>
  <c r="AB2824"/>
  <c r="AB2825"/>
  <c r="AB2826"/>
  <c r="AB2827"/>
  <c r="AB2828"/>
  <c r="AB2829"/>
  <c r="AB2830"/>
  <c r="AB2831"/>
  <c r="AB2832"/>
  <c r="AB2833"/>
  <c r="AB2834"/>
  <c r="AB2835"/>
  <c r="AB2836"/>
  <c r="AB2837"/>
  <c r="AB2838"/>
  <c r="AB2839"/>
  <c r="AB2840"/>
  <c r="AB2841"/>
  <c r="AB2842"/>
  <c r="AB2843"/>
  <c r="AB2844"/>
  <c r="AB2845"/>
  <c r="AB2846"/>
  <c r="AB2847"/>
  <c r="AB2848"/>
  <c r="AB2849"/>
  <c r="AB2850"/>
  <c r="AB2851"/>
  <c r="AB2852"/>
  <c r="AB2853"/>
  <c r="AB2854"/>
  <c r="AB2855"/>
  <c r="AB2856"/>
  <c r="AB2857"/>
  <c r="AB2858"/>
  <c r="AB2859"/>
  <c r="AB2860"/>
  <c r="AB2861"/>
  <c r="AB2862"/>
  <c r="AB2863"/>
  <c r="AB2864"/>
  <c r="AB2865"/>
  <c r="AB2866"/>
  <c r="AB2867"/>
  <c r="AB2868"/>
  <c r="AB2869"/>
  <c r="AB2870"/>
  <c r="AB2871"/>
  <c r="AB2872"/>
  <c r="AB2873"/>
  <c r="AB2874"/>
  <c r="AB2875"/>
  <c r="AB2876"/>
  <c r="AB2877"/>
  <c r="AB2878"/>
  <c r="AB2879"/>
  <c r="AB2880"/>
  <c r="AB2881"/>
  <c r="AB2882"/>
  <c r="AB2883"/>
  <c r="AB2884"/>
  <c r="AB2885"/>
  <c r="AB2886"/>
  <c r="AB2887"/>
  <c r="AB2888"/>
  <c r="AB2889"/>
  <c r="AB2890"/>
  <c r="AB2891"/>
  <c r="AB2892"/>
  <c r="AB2893"/>
  <c r="AB2894"/>
  <c r="AB2895"/>
  <c r="AB2896"/>
  <c r="AB2897"/>
  <c r="AB2898"/>
  <c r="AB2899"/>
  <c r="AB2900"/>
  <c r="AB2901"/>
  <c r="AB2902"/>
  <c r="AB2903"/>
  <c r="AB2904"/>
  <c r="AB2905"/>
  <c r="AB2906"/>
  <c r="AB2907"/>
  <c r="AB2908"/>
  <c r="AB2909"/>
  <c r="AB2910"/>
  <c r="AB2911"/>
  <c r="AB2912"/>
  <c r="AB2913"/>
  <c r="AB2914"/>
  <c r="AB2915"/>
  <c r="AB2916"/>
  <c r="AB2917"/>
  <c r="AB2918"/>
  <c r="AB2919"/>
  <c r="AB2920"/>
  <c r="AB2921"/>
  <c r="AB2922"/>
  <c r="AB2923"/>
  <c r="AB2924"/>
  <c r="AB2925"/>
  <c r="AB2926"/>
  <c r="AB2927"/>
  <c r="AB2928"/>
  <c r="AB2929"/>
  <c r="AB2930"/>
  <c r="AB2931"/>
  <c r="AB2932"/>
  <c r="AB2933"/>
  <c r="AB2934"/>
  <c r="AB2935"/>
  <c r="AB2936"/>
  <c r="AB2937"/>
  <c r="AB2938"/>
  <c r="AB2939"/>
  <c r="AB2940"/>
  <c r="AB2941"/>
  <c r="AB2942"/>
  <c r="AB2943"/>
  <c r="AB2944"/>
  <c r="AB2945"/>
  <c r="AB2946"/>
  <c r="AB2947"/>
  <c r="AB2948"/>
  <c r="AB2949"/>
  <c r="AB2950"/>
  <c r="AB2951"/>
  <c r="AB2952"/>
  <c r="AB2953"/>
  <c r="AB2954"/>
  <c r="AB2955"/>
  <c r="AB2956"/>
  <c r="AB2957"/>
  <c r="AB2958"/>
  <c r="AB2959"/>
  <c r="AB2960"/>
  <c r="AB2961"/>
  <c r="AB2962"/>
  <c r="AB2963"/>
  <c r="AB2964"/>
  <c r="AB2965"/>
  <c r="AB2966"/>
  <c r="AB2967"/>
  <c r="AB2968"/>
  <c r="AB2969"/>
  <c r="AB2970"/>
  <c r="AB2971"/>
  <c r="AB2972"/>
  <c r="AB2973"/>
  <c r="AB2974"/>
  <c r="AB2975"/>
  <c r="AB2976"/>
  <c r="AB2977"/>
  <c r="AB2978"/>
  <c r="AB2979"/>
  <c r="AB2980"/>
  <c r="AB2981"/>
  <c r="AB2982"/>
  <c r="AB2983"/>
  <c r="AB2984"/>
  <c r="AB2985"/>
  <c r="AB2986"/>
  <c r="AB2987"/>
  <c r="AB2988"/>
  <c r="AB2989"/>
  <c r="AB2990"/>
  <c r="AB2991"/>
  <c r="AB2992"/>
  <c r="AB2993"/>
  <c r="AB2994"/>
  <c r="AB2995"/>
  <c r="AB2996"/>
  <c r="AB2997"/>
  <c r="AB2998"/>
  <c r="AB2999"/>
  <c r="AB3000"/>
  <c r="AB3001"/>
  <c r="AB3002"/>
  <c r="AB3003"/>
  <c r="AB3004"/>
  <c r="AB3005"/>
  <c r="AB3006"/>
  <c r="AB3007"/>
  <c r="AB3008"/>
  <c r="AB3009"/>
  <c r="AB3010"/>
  <c r="AB3011"/>
  <c r="AB3012"/>
  <c r="AB3013"/>
  <c r="AB3014"/>
  <c r="AB3015"/>
  <c r="AB3016"/>
  <c r="AB3018"/>
  <c r="AB3019"/>
  <c r="AB3020"/>
  <c r="AB3021"/>
  <c r="AB3022"/>
  <c r="AB3023"/>
  <c r="AB3024"/>
  <c r="AB3025"/>
  <c r="AB3026"/>
  <c r="AB3027"/>
  <c r="AB3028"/>
  <c r="AB3029"/>
  <c r="AB3030"/>
  <c r="AB3031"/>
  <c r="AB3032"/>
  <c r="AB3033"/>
  <c r="AB3034"/>
  <c r="AB3035"/>
  <c r="AB3036"/>
  <c r="AB3037"/>
  <c r="AB3038"/>
  <c r="AB3039"/>
  <c r="AB3040"/>
  <c r="AB3041"/>
  <c r="AB3042"/>
  <c r="AB3043"/>
  <c r="AB3044"/>
  <c r="AB3045"/>
  <c r="AB3046"/>
  <c r="AB3047"/>
  <c r="AB3048"/>
  <c r="AB3049"/>
  <c r="AB3050"/>
  <c r="AB3051"/>
  <c r="AB3052"/>
  <c r="AB3053"/>
  <c r="AB3054"/>
  <c r="AB3055"/>
  <c r="AB3056"/>
  <c r="AB3057"/>
  <c r="AB3058"/>
  <c r="AB3059"/>
  <c r="AB3060"/>
  <c r="AB3061"/>
  <c r="AB3062"/>
  <c r="AB3063"/>
  <c r="AB3064"/>
  <c r="AB3065"/>
  <c r="AB3066"/>
  <c r="AB3067"/>
  <c r="AB3068"/>
  <c r="AB3069"/>
  <c r="AB3070"/>
  <c r="AB3071"/>
  <c r="AB3072"/>
  <c r="AB3073"/>
  <c r="AB3074"/>
  <c r="AB3075"/>
  <c r="AB3076"/>
  <c r="AB3077"/>
  <c r="AB3078"/>
  <c r="AB3079"/>
  <c r="AB3080"/>
  <c r="AB3081"/>
  <c r="AB3082"/>
  <c r="AB3083"/>
  <c r="AB3084"/>
  <c r="AB3085"/>
  <c r="AB3086"/>
  <c r="AB3087"/>
  <c r="AB3088"/>
  <c r="AB3089"/>
  <c r="AB3090"/>
  <c r="AB3091"/>
  <c r="AB3092"/>
  <c r="AB3093"/>
  <c r="AB3094"/>
  <c r="AB3095"/>
  <c r="AB3096"/>
  <c r="AB3097"/>
  <c r="AB3098"/>
  <c r="AB3099"/>
  <c r="AB3100"/>
  <c r="AB3101"/>
  <c r="AB3102"/>
  <c r="AB3103"/>
  <c r="AB3104"/>
  <c r="AB3105"/>
  <c r="AB3106"/>
  <c r="AB3107"/>
  <c r="AB3108"/>
  <c r="AB3109"/>
  <c r="AB3110"/>
  <c r="AB3111"/>
  <c r="AB3112"/>
  <c r="AB3113"/>
  <c r="AB3114"/>
  <c r="AB3115"/>
  <c r="AB3116"/>
  <c r="AB3117"/>
  <c r="AB3118"/>
  <c r="AB3119"/>
  <c r="AB3120"/>
  <c r="AB3121"/>
  <c r="AB3122"/>
  <c r="AB3123"/>
  <c r="AB3124"/>
  <c r="AB3125"/>
  <c r="AB3126"/>
  <c r="AB3127"/>
  <c r="AB3128"/>
  <c r="AB3129"/>
  <c r="AB3130"/>
  <c r="AB3131"/>
  <c r="AB3132"/>
  <c r="AB3133"/>
  <c r="AB3134"/>
  <c r="AB3135"/>
  <c r="AB3136"/>
  <c r="AB3137"/>
  <c r="AB3138"/>
  <c r="AB3139"/>
  <c r="AB3140"/>
  <c r="AB3141"/>
  <c r="AB3142"/>
  <c r="AB3143"/>
  <c r="AB3144"/>
  <c r="AB3145"/>
  <c r="AB3146"/>
  <c r="AB3147"/>
  <c r="AB3148"/>
  <c r="AB3149"/>
  <c r="AB3150"/>
  <c r="AB3151"/>
  <c r="AB3152"/>
  <c r="AB3153"/>
  <c r="AB3154"/>
  <c r="AB3155"/>
  <c r="AB3156"/>
  <c r="AB3157"/>
  <c r="AB3158"/>
  <c r="AB3159"/>
  <c r="AB3160"/>
  <c r="AB3161"/>
  <c r="AB3162"/>
  <c r="AB3163"/>
  <c r="AB3164"/>
  <c r="AB3165"/>
  <c r="AB3166"/>
  <c r="AB3167"/>
  <c r="AB3168"/>
  <c r="AB3169"/>
  <c r="AB3170"/>
  <c r="AB3171"/>
  <c r="AB3172"/>
  <c r="AB3173"/>
  <c r="AB3174"/>
  <c r="AB3175"/>
  <c r="AB3176"/>
  <c r="AB3177"/>
  <c r="AB3178"/>
  <c r="AB3179"/>
  <c r="AB3180"/>
  <c r="AB3181"/>
  <c r="AB3182"/>
  <c r="AB3183"/>
  <c r="AB3184"/>
  <c r="AB3185"/>
  <c r="AB3186"/>
  <c r="AB3187"/>
  <c r="AB3188"/>
  <c r="AB3189"/>
  <c r="AB3190"/>
  <c r="AB3191"/>
  <c r="AB3192"/>
  <c r="AB3193"/>
  <c r="AB3194"/>
  <c r="AB3195"/>
  <c r="AB3196"/>
  <c r="AB3197"/>
  <c r="AB3198"/>
  <c r="AB3199"/>
  <c r="AB3200"/>
  <c r="AB3201"/>
  <c r="AB3202"/>
  <c r="AB3203"/>
  <c r="AB3204"/>
  <c r="AB3205"/>
  <c r="AB3206"/>
  <c r="AB3207"/>
  <c r="AB3208"/>
  <c r="AB3209"/>
  <c r="AB3210"/>
  <c r="AB3211"/>
  <c r="AB3212"/>
  <c r="AB3213"/>
  <c r="AB3214"/>
  <c r="AB3215"/>
  <c r="AB3216"/>
  <c r="AB3217"/>
  <c r="AB3218"/>
  <c r="AB3219"/>
  <c r="AB3220"/>
  <c r="AB3221"/>
  <c r="AB3222"/>
  <c r="AB3223"/>
  <c r="AB3224"/>
  <c r="AB3225"/>
  <c r="AB3226"/>
  <c r="AB3227"/>
  <c r="AB3228"/>
  <c r="AB3229"/>
  <c r="AB3230"/>
  <c r="AB3231"/>
  <c r="AB3232"/>
  <c r="AB3233"/>
  <c r="AB3234"/>
  <c r="AB3235"/>
  <c r="AB3236"/>
  <c r="AB3237"/>
  <c r="AB3238"/>
  <c r="AB3239"/>
  <c r="AB3240"/>
  <c r="AB3241"/>
  <c r="AB3242"/>
  <c r="AB3243"/>
  <c r="AB3244"/>
  <c r="AB3245"/>
  <c r="AB3246"/>
  <c r="AB3247"/>
  <c r="AB3248"/>
  <c r="AB3249"/>
  <c r="AB3250"/>
  <c r="AB3251"/>
  <c r="AB3252"/>
  <c r="AB3253"/>
  <c r="AB3254"/>
  <c r="AB3255"/>
  <c r="AB3256"/>
  <c r="AB3257"/>
  <c r="AB3258"/>
  <c r="AB3259"/>
  <c r="AB3260"/>
  <c r="AB3261"/>
  <c r="AB3262"/>
  <c r="AB3263"/>
  <c r="AB3264"/>
  <c r="AB3265"/>
  <c r="AB3266"/>
  <c r="AB3267"/>
  <c r="AB3268"/>
  <c r="AB3269"/>
  <c r="AB3270"/>
  <c r="AB3271"/>
  <c r="AB3272"/>
  <c r="AB3273"/>
  <c r="AB3274"/>
  <c r="AB3275"/>
  <c r="AB3276"/>
  <c r="AB3277"/>
  <c r="AB3278"/>
  <c r="AB3279"/>
  <c r="AB3280"/>
  <c r="AB3281"/>
  <c r="AB3282"/>
  <c r="AB3283"/>
  <c r="AB3284"/>
  <c r="AB3285"/>
  <c r="AB3286"/>
  <c r="AB3287"/>
  <c r="AB3288"/>
  <c r="AB3289"/>
  <c r="AB3290"/>
  <c r="AB3291"/>
  <c r="AB3292"/>
  <c r="AB3293"/>
  <c r="AB3294"/>
  <c r="AB3295"/>
  <c r="AB3296"/>
  <c r="AB3297"/>
  <c r="AB3298"/>
  <c r="AB3299"/>
  <c r="AB3300"/>
  <c r="AB3301"/>
  <c r="AB3302"/>
  <c r="AB3303"/>
  <c r="AB3304"/>
  <c r="AB3305"/>
  <c r="AB3306"/>
  <c r="AB3307"/>
  <c r="AB3308"/>
  <c r="AB3309"/>
  <c r="AB3310"/>
  <c r="AB3311"/>
  <c r="AB3312"/>
  <c r="AB3313"/>
  <c r="AB3314"/>
  <c r="AB3315"/>
  <c r="AB3316"/>
  <c r="AB3317"/>
  <c r="AB3318"/>
  <c r="AB3319"/>
  <c r="AB3320"/>
  <c r="AB3321"/>
  <c r="AB3322"/>
  <c r="AB3323"/>
  <c r="AB3324"/>
  <c r="AB3325"/>
  <c r="AB3326"/>
  <c r="AB3327"/>
  <c r="AB3328"/>
  <c r="AB3329"/>
  <c r="AB3330"/>
  <c r="AB3331"/>
  <c r="AB3332"/>
  <c r="AB3333"/>
  <c r="AB3334"/>
  <c r="AB3335"/>
  <c r="AB3336"/>
  <c r="AB3337"/>
  <c r="AB3338"/>
  <c r="AB3339"/>
  <c r="AB3340"/>
  <c r="AB3341"/>
  <c r="AB3342"/>
  <c r="AB3343"/>
  <c r="AB3344"/>
  <c r="AB3345"/>
  <c r="AB3346"/>
  <c r="AB3347"/>
  <c r="AB3348"/>
  <c r="AB3349"/>
  <c r="AB3350"/>
  <c r="AB3351"/>
  <c r="AB3352"/>
  <c r="AB3353"/>
  <c r="AB3354"/>
  <c r="AB3355"/>
  <c r="AB3356"/>
  <c r="AB3357"/>
  <c r="AB3358"/>
  <c r="AB3359"/>
  <c r="AB3360"/>
  <c r="AB3361"/>
  <c r="AB3362"/>
  <c r="AB3363"/>
  <c r="AB3364"/>
  <c r="AB3365"/>
  <c r="AB3366"/>
  <c r="AB3367"/>
  <c r="AB3368"/>
  <c r="AB3369"/>
  <c r="AB3370"/>
  <c r="AB3371"/>
  <c r="AB3372"/>
  <c r="AB3373"/>
  <c r="AB3374"/>
  <c r="AB3375"/>
  <c r="AB3376"/>
  <c r="AB3377"/>
  <c r="AB3378"/>
  <c r="AB3379"/>
  <c r="AB3380"/>
  <c r="AB3381"/>
  <c r="AB3382"/>
  <c r="AB3383"/>
  <c r="AB3384"/>
  <c r="AB3385"/>
  <c r="AB3386"/>
  <c r="AB3387"/>
  <c r="AB3388"/>
  <c r="AB3389"/>
  <c r="AB3390"/>
  <c r="AB3391"/>
  <c r="AB3392"/>
  <c r="AB3393"/>
  <c r="AB3394"/>
  <c r="AB3395"/>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5"/>
  <c r="Y186"/>
  <c r="Y187"/>
  <c r="Y188"/>
  <c r="Y189"/>
  <c r="Y190"/>
  <c r="Y191"/>
  <c r="Y192"/>
  <c r="Y193"/>
  <c r="Y194"/>
  <c r="Y195"/>
  <c r="Y196"/>
  <c r="Y197"/>
  <c r="Y198"/>
  <c r="Y199"/>
  <c r="Y200"/>
  <c r="Y201"/>
  <c r="Y202"/>
  <c r="Y203"/>
  <c r="Y204"/>
  <c r="Y205"/>
  <c r="Y206"/>
  <c r="Y207"/>
  <c r="Y208"/>
  <c r="Y209"/>
  <c r="Y210"/>
  <c r="Y211"/>
  <c r="Y212"/>
  <c r="Y213"/>
  <c r="Y214"/>
  <c r="Y215"/>
  <c r="Y216"/>
  <c r="Y217"/>
  <c r="Y218"/>
  <c r="Y219"/>
  <c r="Y220"/>
  <c r="Y221"/>
  <c r="Y222"/>
  <c r="Y223"/>
  <c r="Y224"/>
  <c r="Y225"/>
  <c r="Y226"/>
  <c r="Y227"/>
  <c r="Y228"/>
  <c r="Y229"/>
  <c r="Y230"/>
  <c r="Y231"/>
  <c r="Y232"/>
  <c r="Y233"/>
  <c r="Y234"/>
  <c r="Y235"/>
  <c r="Y236"/>
  <c r="Y237"/>
  <c r="Y238"/>
  <c r="Y239"/>
  <c r="Y240"/>
  <c r="Y241"/>
  <c r="Y242"/>
  <c r="Y243"/>
  <c r="Y244"/>
  <c r="Y245"/>
  <c r="Y246"/>
  <c r="Y247"/>
  <c r="Y248"/>
  <c r="Y249"/>
  <c r="Y250"/>
  <c r="Y251"/>
  <c r="Y252"/>
  <c r="Y253"/>
  <c r="Y254"/>
  <c r="Y255"/>
  <c r="Y256"/>
  <c r="Y257"/>
  <c r="Y258"/>
  <c r="Y259"/>
  <c r="Y260"/>
  <c r="Y261"/>
  <c r="Y262"/>
  <c r="Y263"/>
  <c r="Y264"/>
  <c r="Y265"/>
  <c r="Y266"/>
  <c r="Y267"/>
  <c r="Y268"/>
  <c r="Y269"/>
  <c r="Y270"/>
  <c r="Y271"/>
  <c r="Y272"/>
  <c r="Y273"/>
  <c r="Y274"/>
  <c r="Y275"/>
  <c r="Y276"/>
  <c r="Y277"/>
  <c r="Y278"/>
  <c r="Y279"/>
  <c r="Y280"/>
  <c r="Y281"/>
  <c r="Y282"/>
  <c r="Y283"/>
  <c r="Y284"/>
  <c r="Y285"/>
  <c r="Y286"/>
  <c r="Y287"/>
  <c r="Y288"/>
  <c r="Y289"/>
  <c r="Y290"/>
  <c r="Y291"/>
  <c r="Y292"/>
  <c r="Y293"/>
  <c r="Y294"/>
  <c r="Y295"/>
  <c r="Y296"/>
  <c r="Y297"/>
  <c r="Y298"/>
  <c r="Y299"/>
  <c r="Y300"/>
  <c r="Y301"/>
  <c r="Y302"/>
  <c r="Y303"/>
  <c r="Y304"/>
  <c r="Y305"/>
  <c r="Y306"/>
  <c r="Y307"/>
  <c r="Y308"/>
  <c r="Y309"/>
  <c r="Y310"/>
  <c r="Y311"/>
  <c r="Y312"/>
  <c r="Y313"/>
  <c r="Y314"/>
  <c r="Y315"/>
  <c r="Y316"/>
  <c r="Y317"/>
  <c r="Y318"/>
  <c r="Y319"/>
  <c r="Y320"/>
  <c r="Y321"/>
  <c r="Y322"/>
  <c r="Y323"/>
  <c r="Y324"/>
  <c r="Y325"/>
  <c r="Y326"/>
  <c r="Y327"/>
  <c r="Y328"/>
  <c r="Y329"/>
  <c r="Y330"/>
  <c r="Y331"/>
  <c r="Y332"/>
  <c r="Y333"/>
  <c r="Y334"/>
  <c r="Y335"/>
  <c r="Y336"/>
  <c r="Y337"/>
  <c r="Y338"/>
  <c r="Y339"/>
  <c r="Y340"/>
  <c r="Y341"/>
  <c r="Y342"/>
  <c r="Y343"/>
  <c r="Y344"/>
  <c r="Y345"/>
  <c r="Y346"/>
  <c r="Y347"/>
  <c r="Y348"/>
  <c r="Y349"/>
  <c r="Y350"/>
  <c r="Y351"/>
  <c r="Y352"/>
  <c r="Y353"/>
  <c r="Y354"/>
  <c r="Y355"/>
  <c r="Y356"/>
  <c r="Y357"/>
  <c r="Y358"/>
  <c r="Y359"/>
  <c r="Y360"/>
  <c r="Y361"/>
  <c r="Y362"/>
  <c r="Y363"/>
  <c r="Y364"/>
  <c r="Y365"/>
  <c r="Y366"/>
  <c r="Y367"/>
  <c r="Y368"/>
  <c r="Y369"/>
  <c r="Y370"/>
  <c r="Y371"/>
  <c r="Y372"/>
  <c r="Y373"/>
  <c r="Y374"/>
  <c r="Y375"/>
  <c r="Y376"/>
  <c r="Y377"/>
  <c r="Y378"/>
  <c r="Y379"/>
  <c r="Y380"/>
  <c r="Y381"/>
  <c r="Y382"/>
  <c r="Y383"/>
  <c r="Y384"/>
  <c r="Y385"/>
  <c r="Y386"/>
  <c r="Y387"/>
  <c r="Y388"/>
  <c r="Y389"/>
  <c r="Y390"/>
  <c r="Y391"/>
  <c r="Y392"/>
  <c r="Y393"/>
  <c r="Y394"/>
  <c r="Y395"/>
  <c r="Y396"/>
  <c r="Y397"/>
  <c r="Y398"/>
  <c r="Y399"/>
  <c r="Y400"/>
  <c r="Y401"/>
  <c r="Y402"/>
  <c r="Y403"/>
  <c r="Y404"/>
  <c r="Y405"/>
  <c r="Y406"/>
  <c r="Y407"/>
  <c r="Y408"/>
  <c r="Y409"/>
  <c r="Y410"/>
  <c r="Y411"/>
  <c r="Y412"/>
  <c r="Y413"/>
  <c r="Y414"/>
  <c r="Y415"/>
  <c r="Y416"/>
  <c r="Y417"/>
  <c r="Y418"/>
  <c r="Y419"/>
  <c r="Y420"/>
  <c r="Y421"/>
  <c r="Y422"/>
  <c r="Y423"/>
  <c r="Y424"/>
  <c r="Y425"/>
  <c r="Y426"/>
  <c r="Y427"/>
  <c r="Y428"/>
  <c r="Y429"/>
  <c r="Y430"/>
  <c r="Y431"/>
  <c r="Y432"/>
  <c r="Y433"/>
  <c r="Y434"/>
  <c r="Y435"/>
  <c r="Y436"/>
  <c r="Y437"/>
  <c r="Y438"/>
  <c r="Y439"/>
  <c r="Y440"/>
  <c r="Y441"/>
  <c r="Y442"/>
  <c r="Y443"/>
  <c r="Y444"/>
  <c r="Y445"/>
  <c r="Y446"/>
  <c r="Y447"/>
  <c r="Y448"/>
  <c r="Y449"/>
  <c r="Y450"/>
  <c r="Y451"/>
  <c r="Y452"/>
  <c r="Y453"/>
  <c r="Y454"/>
  <c r="Y455"/>
  <c r="Y456"/>
  <c r="Y457"/>
  <c r="Y458"/>
  <c r="Y459"/>
  <c r="Y460"/>
  <c r="Y461"/>
  <c r="Y462"/>
  <c r="Y463"/>
  <c r="Y464"/>
  <c r="Y465"/>
  <c r="Y466"/>
  <c r="Y467"/>
  <c r="Y468"/>
  <c r="Y469"/>
  <c r="Y470"/>
  <c r="Y471"/>
  <c r="Y472"/>
  <c r="Y473"/>
  <c r="Y474"/>
  <c r="Y475"/>
  <c r="Y476"/>
  <c r="Y477"/>
  <c r="Y478"/>
  <c r="Y479"/>
  <c r="Y480"/>
  <c r="Y481"/>
  <c r="Y482"/>
  <c r="Y483"/>
  <c r="Y484"/>
  <c r="Y485"/>
  <c r="Y486"/>
  <c r="Y487"/>
  <c r="Y488"/>
  <c r="Y489"/>
  <c r="Y490"/>
  <c r="Y491"/>
  <c r="Y492"/>
  <c r="Y493"/>
  <c r="Y494"/>
  <c r="Y495"/>
  <c r="Y496"/>
  <c r="Y497"/>
  <c r="Y498"/>
  <c r="Y499"/>
  <c r="Y500"/>
  <c r="Y501"/>
  <c r="Y502"/>
  <c r="Y503"/>
  <c r="Y504"/>
  <c r="Y505"/>
  <c r="Y506"/>
  <c r="Y507"/>
  <c r="Y508"/>
  <c r="Y509"/>
  <c r="Y510"/>
  <c r="Y511"/>
  <c r="Y512"/>
  <c r="Y513"/>
  <c r="Y514"/>
  <c r="Y515"/>
  <c r="Y516"/>
  <c r="Y517"/>
  <c r="Y518"/>
  <c r="Y519"/>
  <c r="Y520"/>
  <c r="Y521"/>
  <c r="Y522"/>
  <c r="Y523"/>
  <c r="Y524"/>
  <c r="Y525"/>
  <c r="Y526"/>
  <c r="Y527"/>
  <c r="Y528"/>
  <c r="Y529"/>
  <c r="Y530"/>
  <c r="Y531"/>
  <c r="Y532"/>
  <c r="Y533"/>
  <c r="Y534"/>
  <c r="Y535"/>
  <c r="Y536"/>
  <c r="Y537"/>
  <c r="Y538"/>
  <c r="Y539"/>
  <c r="Y540"/>
  <c r="Y541"/>
  <c r="Y542"/>
  <c r="Y543"/>
  <c r="Y544"/>
  <c r="Y545"/>
  <c r="Y546"/>
  <c r="Y547"/>
  <c r="Y548"/>
  <c r="Y549"/>
  <c r="Y550"/>
  <c r="Y551"/>
  <c r="Y552"/>
  <c r="Y553"/>
  <c r="Y554"/>
  <c r="Y555"/>
  <c r="Y556"/>
  <c r="Y557"/>
  <c r="Y558"/>
  <c r="Y559"/>
  <c r="Y560"/>
  <c r="Y561"/>
  <c r="Y562"/>
  <c r="Y563"/>
  <c r="Y564"/>
  <c r="Y565"/>
  <c r="Y566"/>
  <c r="Y567"/>
  <c r="Y568"/>
  <c r="Y569"/>
  <c r="Y570"/>
  <c r="Y571"/>
  <c r="Y572"/>
  <c r="Y573"/>
  <c r="Y574"/>
  <c r="Y575"/>
  <c r="Y576"/>
  <c r="Y577"/>
  <c r="Y578"/>
  <c r="Y579"/>
  <c r="Y580"/>
  <c r="Y581"/>
  <c r="Y582"/>
  <c r="Y583"/>
  <c r="Y584"/>
  <c r="Y585"/>
  <c r="Y586"/>
  <c r="Y587"/>
  <c r="Y588"/>
  <c r="Y589"/>
  <c r="Y590"/>
  <c r="Y591"/>
  <c r="Y592"/>
  <c r="Y593"/>
  <c r="Y594"/>
  <c r="Y595"/>
  <c r="Y596"/>
  <c r="Y597"/>
  <c r="Y598"/>
  <c r="Y599"/>
  <c r="Y600"/>
  <c r="Y601"/>
  <c r="Y602"/>
  <c r="Y603"/>
  <c r="Y604"/>
  <c r="Y605"/>
  <c r="Y606"/>
  <c r="Y607"/>
  <c r="Y608"/>
  <c r="Y609"/>
  <c r="Y610"/>
  <c r="Y611"/>
  <c r="Y612"/>
  <c r="Y613"/>
  <c r="Y614"/>
  <c r="Y615"/>
  <c r="Y616"/>
  <c r="Y617"/>
  <c r="Y618"/>
  <c r="Y619"/>
  <c r="Y620"/>
  <c r="Y621"/>
  <c r="Y622"/>
  <c r="Y623"/>
  <c r="Y624"/>
  <c r="Y625"/>
  <c r="Y626"/>
  <c r="Y627"/>
  <c r="Y628"/>
  <c r="Y629"/>
  <c r="Y630"/>
  <c r="Y631"/>
  <c r="Y632"/>
  <c r="Y633"/>
  <c r="Y634"/>
  <c r="Y635"/>
  <c r="Y636"/>
  <c r="Y637"/>
  <c r="Y638"/>
  <c r="Y639"/>
  <c r="Y640"/>
  <c r="Y641"/>
  <c r="Y642"/>
  <c r="Y643"/>
  <c r="Y644"/>
  <c r="Y645"/>
  <c r="Y646"/>
  <c r="Y647"/>
  <c r="Y648"/>
  <c r="Y649"/>
  <c r="Y650"/>
  <c r="Y651"/>
  <c r="Y652"/>
  <c r="Y653"/>
  <c r="Y654"/>
  <c r="Y655"/>
  <c r="Y656"/>
  <c r="Y657"/>
  <c r="Y658"/>
  <c r="Y659"/>
  <c r="Y660"/>
  <c r="Y661"/>
  <c r="Y662"/>
  <c r="Y663"/>
  <c r="Y664"/>
  <c r="Y665"/>
  <c r="Y666"/>
  <c r="Y667"/>
  <c r="Y668"/>
  <c r="Y669"/>
  <c r="Y670"/>
  <c r="Y671"/>
  <c r="Y672"/>
  <c r="Y673"/>
  <c r="Y674"/>
  <c r="Y675"/>
  <c r="Y676"/>
  <c r="Y677"/>
  <c r="Y678"/>
  <c r="Y679"/>
  <c r="Y680"/>
  <c r="Y681"/>
  <c r="Y682"/>
  <c r="Y683"/>
  <c r="Y684"/>
  <c r="Y685"/>
  <c r="Y686"/>
  <c r="Y687"/>
  <c r="Y688"/>
  <c r="Y689"/>
  <c r="Y690"/>
  <c r="Y691"/>
  <c r="Y692"/>
  <c r="Y693"/>
  <c r="Y694"/>
  <c r="Y695"/>
  <c r="Y696"/>
  <c r="Y697"/>
  <c r="Y698"/>
  <c r="Y699"/>
  <c r="Y700"/>
  <c r="Y701"/>
  <c r="Y702"/>
  <c r="Y703"/>
  <c r="Y704"/>
  <c r="Y705"/>
  <c r="Y706"/>
  <c r="Y707"/>
  <c r="Y708"/>
  <c r="Y709"/>
  <c r="Y710"/>
  <c r="Y711"/>
  <c r="Y712"/>
  <c r="Y713"/>
  <c r="Y714"/>
  <c r="Y715"/>
  <c r="Y716"/>
  <c r="Y717"/>
  <c r="Y718"/>
  <c r="Y719"/>
  <c r="Y720"/>
  <c r="Y721"/>
  <c r="Y722"/>
  <c r="Y723"/>
  <c r="Y724"/>
  <c r="Y725"/>
  <c r="Y726"/>
  <c r="Y727"/>
  <c r="Y728"/>
  <c r="Y729"/>
  <c r="Y730"/>
  <c r="Y731"/>
  <c r="Y732"/>
  <c r="Y733"/>
  <c r="Y734"/>
  <c r="Y735"/>
  <c r="Y736"/>
  <c r="Y737"/>
  <c r="Y738"/>
  <c r="Y739"/>
  <c r="Y740"/>
  <c r="Y741"/>
  <c r="Y742"/>
  <c r="Y743"/>
  <c r="Y744"/>
  <c r="Y745"/>
  <c r="Y746"/>
  <c r="Y747"/>
  <c r="Y748"/>
  <c r="Y749"/>
  <c r="Y750"/>
  <c r="Y751"/>
  <c r="Y752"/>
  <c r="Y753"/>
  <c r="Y754"/>
  <c r="Y755"/>
  <c r="Y756"/>
  <c r="Y757"/>
  <c r="Y758"/>
  <c r="Y759"/>
  <c r="Y760"/>
  <c r="Y761"/>
  <c r="Y762"/>
  <c r="Y763"/>
  <c r="Y764"/>
  <c r="Y765"/>
  <c r="Y766"/>
  <c r="Y767"/>
  <c r="Y768"/>
  <c r="Y769"/>
  <c r="Y770"/>
  <c r="Y771"/>
  <c r="Y772"/>
  <c r="Y773"/>
  <c r="Y774"/>
  <c r="Y775"/>
  <c r="Y776"/>
  <c r="Y777"/>
  <c r="Y778"/>
  <c r="Y779"/>
  <c r="Y780"/>
  <c r="Y781"/>
  <c r="Y782"/>
  <c r="Y783"/>
  <c r="Y784"/>
  <c r="Y785"/>
  <c r="Y786"/>
  <c r="Y787"/>
  <c r="Y788"/>
  <c r="Y789"/>
  <c r="Y790"/>
  <c r="Y791"/>
  <c r="Y792"/>
  <c r="Y793"/>
  <c r="Y794"/>
  <c r="Y795"/>
  <c r="Y796"/>
  <c r="Y797"/>
  <c r="Y798"/>
  <c r="Y799"/>
  <c r="Y800"/>
  <c r="Y801"/>
  <c r="Y802"/>
  <c r="Y803"/>
  <c r="Y804"/>
  <c r="Y805"/>
  <c r="Y806"/>
  <c r="Y807"/>
  <c r="Y808"/>
  <c r="Y809"/>
  <c r="Y810"/>
  <c r="Y811"/>
  <c r="Y812"/>
  <c r="Y813"/>
  <c r="Y814"/>
  <c r="Y815"/>
  <c r="Y816"/>
  <c r="Y817"/>
  <c r="Y818"/>
  <c r="Y819"/>
  <c r="Y820"/>
  <c r="Y821"/>
  <c r="Y822"/>
  <c r="Y823"/>
  <c r="Y824"/>
  <c r="Y825"/>
  <c r="Y826"/>
  <c r="Y827"/>
  <c r="Y828"/>
  <c r="Y829"/>
  <c r="Y830"/>
  <c r="Y831"/>
  <c r="Y832"/>
  <c r="Y833"/>
  <c r="Y834"/>
  <c r="Y835"/>
  <c r="Y836"/>
  <c r="Y837"/>
  <c r="Y838"/>
  <c r="Y839"/>
  <c r="Y840"/>
  <c r="Y841"/>
  <c r="Y842"/>
  <c r="Y843"/>
  <c r="Y844"/>
  <c r="Y845"/>
  <c r="Y846"/>
  <c r="Y847"/>
  <c r="Y848"/>
  <c r="Y849"/>
  <c r="Y850"/>
  <c r="Y851"/>
  <c r="Y852"/>
  <c r="Y853"/>
  <c r="Y854"/>
  <c r="Y855"/>
  <c r="Y856"/>
  <c r="Y857"/>
  <c r="Y858"/>
  <c r="Y859"/>
  <c r="Y860"/>
  <c r="Y861"/>
  <c r="Y862"/>
  <c r="Y863"/>
  <c r="Y864"/>
  <c r="Y865"/>
  <c r="Y866"/>
  <c r="Y867"/>
  <c r="Y868"/>
  <c r="Y869"/>
  <c r="Y870"/>
  <c r="Y871"/>
  <c r="Y872"/>
  <c r="Y873"/>
  <c r="Y874"/>
  <c r="Y875"/>
  <c r="Y876"/>
  <c r="Y877"/>
  <c r="Y878"/>
  <c r="Y879"/>
  <c r="Y880"/>
  <c r="Y881"/>
  <c r="Y882"/>
  <c r="Y883"/>
  <c r="Y884"/>
  <c r="Y885"/>
  <c r="Y886"/>
  <c r="Y887"/>
  <c r="Y888"/>
  <c r="Y889"/>
  <c r="Y890"/>
  <c r="Y891"/>
  <c r="Y892"/>
  <c r="Y893"/>
  <c r="Y894"/>
  <c r="Y895"/>
  <c r="Y896"/>
  <c r="Y897"/>
  <c r="Y898"/>
  <c r="Y899"/>
  <c r="Y900"/>
  <c r="Y901"/>
  <c r="Y902"/>
  <c r="Y903"/>
  <c r="Y904"/>
  <c r="Y905"/>
  <c r="Y906"/>
  <c r="Y907"/>
  <c r="Y908"/>
  <c r="Y909"/>
  <c r="Y910"/>
  <c r="Y911"/>
  <c r="Y912"/>
  <c r="Y913"/>
  <c r="Y914"/>
  <c r="Y915"/>
  <c r="Y916"/>
  <c r="Y917"/>
  <c r="Y918"/>
  <c r="Y919"/>
  <c r="Y920"/>
  <c r="Y921"/>
  <c r="Y922"/>
  <c r="Y923"/>
  <c r="Y924"/>
  <c r="Y925"/>
  <c r="Y926"/>
  <c r="Y927"/>
  <c r="Y928"/>
  <c r="Y929"/>
  <c r="Y930"/>
  <c r="Y931"/>
  <c r="Y932"/>
  <c r="Y933"/>
  <c r="Y934"/>
  <c r="Y935"/>
  <c r="Y936"/>
  <c r="Y937"/>
  <c r="Y938"/>
  <c r="Y939"/>
  <c r="Y940"/>
  <c r="Y941"/>
  <c r="Y942"/>
  <c r="Y943"/>
  <c r="Y944"/>
  <c r="Y945"/>
  <c r="Y946"/>
  <c r="Y947"/>
  <c r="Y948"/>
  <c r="Y949"/>
  <c r="Y950"/>
  <c r="Y1090"/>
  <c r="Y1091"/>
  <c r="Y1092"/>
  <c r="Y1093"/>
  <c r="Y1094"/>
  <c r="Y1095"/>
  <c r="Y1096"/>
  <c r="Y1097"/>
  <c r="Y1098"/>
  <c r="Y1099"/>
  <c r="Y1100"/>
  <c r="Y1101"/>
  <c r="Y1102"/>
  <c r="Y1103"/>
  <c r="Y1104"/>
  <c r="Y1105"/>
  <c r="Y1106"/>
  <c r="Y1107"/>
  <c r="Y1108"/>
  <c r="Y1109"/>
  <c r="Y1110"/>
  <c r="Y1111"/>
  <c r="Y1112"/>
  <c r="Y1113"/>
  <c r="Y1114"/>
  <c r="Y1115"/>
  <c r="Y1116"/>
  <c r="Y1117"/>
  <c r="Y1118"/>
  <c r="Y1119"/>
  <c r="Y1120"/>
  <c r="Y1121"/>
  <c r="Y1122"/>
  <c r="Y1123"/>
  <c r="Y1124"/>
  <c r="Y1125"/>
  <c r="Y1126"/>
  <c r="Y1127"/>
  <c r="Y1128"/>
  <c r="Y1129"/>
  <c r="Y1130"/>
  <c r="Y1131"/>
  <c r="Y1132"/>
  <c r="Y1133"/>
  <c r="Y1134"/>
  <c r="Y1135"/>
  <c r="Y1136"/>
  <c r="Y1137"/>
  <c r="Y1138"/>
  <c r="Y1139"/>
  <c r="Y1140"/>
  <c r="Y1141"/>
  <c r="Y1142"/>
  <c r="Y1143"/>
  <c r="Y1144"/>
  <c r="Y1145"/>
  <c r="Y1146"/>
  <c r="Y1147"/>
  <c r="Y1148"/>
  <c r="Y1149"/>
  <c r="Y1150"/>
  <c r="Y1151"/>
  <c r="Y1152"/>
  <c r="Y1153"/>
  <c r="Y1154"/>
  <c r="Y1155"/>
  <c r="Y1156"/>
  <c r="Y1157"/>
  <c r="Y1158"/>
  <c r="Y1159"/>
  <c r="Y1160"/>
  <c r="Y1161"/>
  <c r="Y1162"/>
  <c r="Y1163"/>
  <c r="Y1164"/>
  <c r="Y1165"/>
  <c r="Y1166"/>
  <c r="Y1167"/>
  <c r="Y1168"/>
  <c r="Y1169"/>
  <c r="Y1170"/>
  <c r="Y1171"/>
  <c r="Y1172"/>
  <c r="Y1173"/>
  <c r="Y1174"/>
  <c r="Y1175"/>
  <c r="Y1176"/>
  <c r="Y1177"/>
  <c r="Y1178"/>
  <c r="Y1179"/>
  <c r="Y1180"/>
  <c r="Y1181"/>
  <c r="Y1182"/>
  <c r="Y1183"/>
  <c r="Y1184"/>
  <c r="Y1185"/>
  <c r="Y1186"/>
  <c r="Y1187"/>
  <c r="Y1188"/>
  <c r="Y1189"/>
  <c r="Y1190"/>
  <c r="Y1191"/>
  <c r="Y1192"/>
  <c r="Y1193"/>
  <c r="Y1194"/>
  <c r="Y1195"/>
  <c r="Y1196"/>
  <c r="Y1197"/>
  <c r="Y1198"/>
  <c r="Y1199"/>
  <c r="Y1200"/>
  <c r="Y1201"/>
  <c r="Y1202"/>
  <c r="Y1203"/>
  <c r="Y1204"/>
  <c r="Y1205"/>
  <c r="Y1206"/>
  <c r="Y1207"/>
  <c r="Y1208"/>
  <c r="Y1209"/>
  <c r="Y1210"/>
  <c r="Y1211"/>
  <c r="Y1212"/>
  <c r="Y1213"/>
  <c r="Y1214"/>
  <c r="Y1215"/>
  <c r="Y1216"/>
  <c r="Y1217"/>
  <c r="Y1218"/>
  <c r="Y1219"/>
  <c r="Y1220"/>
  <c r="Y1221"/>
  <c r="Y1222"/>
  <c r="Y1223"/>
  <c r="Y1224"/>
  <c r="Y1225"/>
  <c r="Y1226"/>
  <c r="Y1227"/>
  <c r="Y1228"/>
  <c r="Y1229"/>
  <c r="Y1230"/>
  <c r="Y1231"/>
  <c r="Y1232"/>
  <c r="Y1233"/>
  <c r="Y1234"/>
  <c r="Y1235"/>
  <c r="Y1236"/>
  <c r="Y1237"/>
  <c r="Y1238"/>
  <c r="Y1239"/>
  <c r="Y1240"/>
  <c r="Y1241"/>
  <c r="Y1242"/>
  <c r="Y1243"/>
  <c r="Y1244"/>
  <c r="Y1245"/>
  <c r="Y1246"/>
  <c r="Y1247"/>
  <c r="Y1248"/>
  <c r="Y1249"/>
  <c r="Y1250"/>
  <c r="Y1251"/>
  <c r="Y1252"/>
  <c r="Y1253"/>
  <c r="Y1254"/>
  <c r="Y1255"/>
  <c r="Y1256"/>
  <c r="Y1257"/>
  <c r="Y1258"/>
  <c r="Y1259"/>
  <c r="Y1260"/>
  <c r="Y1261"/>
  <c r="Y1262"/>
  <c r="Y1263"/>
  <c r="Y1264"/>
  <c r="Y1265"/>
  <c r="Y1266"/>
  <c r="Y1267"/>
  <c r="Y1268"/>
  <c r="Y1269"/>
  <c r="Y1270"/>
  <c r="Y1271"/>
  <c r="Y1272"/>
  <c r="Y1273"/>
  <c r="Y1274"/>
  <c r="Y1275"/>
  <c r="Y1276"/>
  <c r="Y1277"/>
  <c r="Y1278"/>
  <c r="Y1279"/>
  <c r="Y1280"/>
  <c r="Y1281"/>
  <c r="Y1282"/>
  <c r="Y1283"/>
  <c r="Y1284"/>
  <c r="Y1285"/>
  <c r="Y1286"/>
  <c r="Y1287"/>
  <c r="Y1288"/>
  <c r="Y1289"/>
  <c r="Y1290"/>
  <c r="Y1291"/>
  <c r="Y1292"/>
  <c r="Y1293"/>
  <c r="Y1294"/>
  <c r="Y1295"/>
  <c r="Y1296"/>
  <c r="Y1297"/>
  <c r="Y1298"/>
  <c r="Y1299"/>
  <c r="Y1300"/>
  <c r="Y1301"/>
  <c r="Y1302"/>
  <c r="Y1303"/>
  <c r="Y1304"/>
  <c r="Y1305"/>
  <c r="Y1306"/>
  <c r="Y1307"/>
  <c r="Y1308"/>
  <c r="Y1309"/>
  <c r="Y1310"/>
  <c r="Y1311"/>
  <c r="Y1312"/>
  <c r="Y1313"/>
  <c r="Y1314"/>
  <c r="Y1315"/>
  <c r="Y1316"/>
  <c r="Y1317"/>
  <c r="Y1318"/>
  <c r="Y1319"/>
  <c r="Y1320"/>
  <c r="Y1321"/>
  <c r="Y1322"/>
  <c r="Y1323"/>
  <c r="Y1324"/>
  <c r="Y1325"/>
  <c r="Y1326"/>
  <c r="Y1327"/>
  <c r="Y1328"/>
  <c r="Y1329"/>
  <c r="Y1330"/>
  <c r="Y1331"/>
  <c r="Y1332"/>
  <c r="Y1333"/>
  <c r="Y1334"/>
  <c r="Y1335"/>
  <c r="Y1336"/>
  <c r="Y1337"/>
  <c r="Y1338"/>
  <c r="Y1339"/>
  <c r="Y1340"/>
  <c r="Y1341"/>
  <c r="Y1342"/>
  <c r="Y1343"/>
  <c r="Y1344"/>
  <c r="Y1345"/>
  <c r="Y1346"/>
  <c r="Y1347"/>
  <c r="Y1348"/>
  <c r="Y1349"/>
  <c r="Y1350"/>
  <c r="Y1351"/>
  <c r="Y1352"/>
  <c r="Y1353"/>
  <c r="Y1354"/>
  <c r="Y1355"/>
  <c r="Y1356"/>
  <c r="Y1357"/>
  <c r="Y1358"/>
  <c r="Y1359"/>
  <c r="Y1360"/>
  <c r="Y1361"/>
  <c r="Y1362"/>
  <c r="Y1363"/>
  <c r="Y1364"/>
  <c r="Y1365"/>
  <c r="Y1366"/>
  <c r="Y1367"/>
  <c r="Y1368"/>
  <c r="Y1369"/>
  <c r="Y1370"/>
  <c r="Y1371"/>
  <c r="Y1372"/>
  <c r="Y1373"/>
  <c r="Y1374"/>
  <c r="Y1375"/>
  <c r="Y1376"/>
  <c r="Y1377"/>
  <c r="Y1378"/>
  <c r="Y1379"/>
  <c r="Y1380"/>
  <c r="Y1381"/>
  <c r="Y1382"/>
  <c r="Y1383"/>
  <c r="Y1384"/>
  <c r="Y1385"/>
  <c r="Y1386"/>
  <c r="Y1387"/>
  <c r="Y1388"/>
  <c r="Y1389"/>
  <c r="Y1390"/>
  <c r="Y1391"/>
  <c r="Y1392"/>
  <c r="Y1393"/>
  <c r="Y1394"/>
  <c r="Y1395"/>
  <c r="Y1396"/>
  <c r="Y1397"/>
  <c r="Y1398"/>
  <c r="Y1399"/>
  <c r="Y1400"/>
  <c r="Y1401"/>
  <c r="Y1402"/>
  <c r="Y1403"/>
  <c r="Y1404"/>
  <c r="Y1405"/>
  <c r="Y1406"/>
  <c r="Y1407"/>
  <c r="Y1408"/>
  <c r="Y1409"/>
  <c r="Y1410"/>
  <c r="Y1411"/>
  <c r="Y1412"/>
  <c r="Y1413"/>
  <c r="Y1414"/>
  <c r="Y1415"/>
  <c r="Y1416"/>
  <c r="Y1417"/>
  <c r="Y1418"/>
  <c r="Y1419"/>
  <c r="Y1420"/>
  <c r="Y1421"/>
  <c r="Y1422"/>
  <c r="Y1423"/>
  <c r="Y1424"/>
  <c r="Y1425"/>
  <c r="Y1426"/>
  <c r="Y1427"/>
  <c r="Y1428"/>
  <c r="Y1429"/>
  <c r="Y1430"/>
  <c r="Y1431"/>
  <c r="Y1432"/>
  <c r="Y1433"/>
  <c r="Y1434"/>
  <c r="Y1435"/>
  <c r="Y1436"/>
  <c r="Y1437"/>
  <c r="Y1438"/>
  <c r="Y1439"/>
  <c r="Y1440"/>
  <c r="Y1441"/>
  <c r="Y1442"/>
  <c r="Y1443"/>
  <c r="Y1444"/>
  <c r="Y1445"/>
  <c r="Y1446"/>
  <c r="Y1447"/>
  <c r="Y1448"/>
  <c r="Y1449"/>
  <c r="Y1450"/>
  <c r="Y1451"/>
  <c r="Y1452"/>
  <c r="Y1453"/>
  <c r="Y1454"/>
  <c r="Y1455"/>
  <c r="Y1456"/>
  <c r="Y1457"/>
  <c r="Y1458"/>
  <c r="Y1459"/>
  <c r="Y1460"/>
  <c r="Y1461"/>
  <c r="Y1462"/>
  <c r="Y1463"/>
  <c r="Y1464"/>
  <c r="Y1465"/>
  <c r="Y1466"/>
  <c r="Y1467"/>
  <c r="Y1468"/>
  <c r="Y1469"/>
  <c r="Y1470"/>
  <c r="Y1471"/>
  <c r="Y1472"/>
  <c r="Y1473"/>
  <c r="Y1474"/>
  <c r="Y1475"/>
  <c r="Y1476"/>
  <c r="Y1477"/>
  <c r="Y1478"/>
  <c r="Y1479"/>
  <c r="Y1480"/>
  <c r="Y1481"/>
  <c r="Y1482"/>
  <c r="Y1483"/>
  <c r="Y1484"/>
  <c r="Y1485"/>
  <c r="Y1486"/>
  <c r="Y1487"/>
  <c r="Y1488"/>
  <c r="Y1489"/>
  <c r="Y1490"/>
  <c r="Y1491"/>
  <c r="Y1492"/>
  <c r="Y1493"/>
  <c r="Y1494"/>
  <c r="Y1495"/>
  <c r="Y1496"/>
  <c r="Y1497"/>
  <c r="Y1498"/>
  <c r="Y1499"/>
  <c r="Y1500"/>
  <c r="Y1501"/>
  <c r="Y1502"/>
  <c r="Y1503"/>
  <c r="Y1504"/>
  <c r="Y1505"/>
  <c r="Y1506"/>
  <c r="Y1507"/>
  <c r="Y1508"/>
  <c r="Y1509"/>
  <c r="Y1510"/>
  <c r="Y1511"/>
  <c r="Y1512"/>
  <c r="Y1513"/>
  <c r="Y1514"/>
  <c r="Y1515"/>
  <c r="Y1516"/>
  <c r="Y1517"/>
  <c r="Y1518"/>
  <c r="Y1519"/>
  <c r="Y1520"/>
  <c r="Y1521"/>
  <c r="Y1522"/>
  <c r="Y1523"/>
  <c r="Y1524"/>
  <c r="Y1525"/>
  <c r="Y1526"/>
  <c r="Y1527"/>
  <c r="Y1528"/>
  <c r="Y1529"/>
  <c r="Y1530"/>
  <c r="Y1531"/>
  <c r="Y1532"/>
  <c r="Y1533"/>
  <c r="Y1534"/>
  <c r="Y1535"/>
  <c r="Y1536"/>
  <c r="Y1537"/>
  <c r="Y1538"/>
  <c r="Y1539"/>
  <c r="Y1540"/>
  <c r="Y1541"/>
  <c r="Y1542"/>
  <c r="Y1543"/>
  <c r="Y1544"/>
  <c r="Y1545"/>
  <c r="Y1546"/>
  <c r="Y1547"/>
  <c r="Y1548"/>
  <c r="Y1549"/>
  <c r="Y1550"/>
  <c r="Y1551"/>
  <c r="Y1552"/>
  <c r="Y1553"/>
  <c r="Y1554"/>
  <c r="Y1555"/>
  <c r="Y1556"/>
  <c r="Y1557"/>
  <c r="Y1558"/>
  <c r="Y1559"/>
  <c r="Y1560"/>
  <c r="Y1561"/>
  <c r="Y1562"/>
  <c r="Y1563"/>
  <c r="Y1564"/>
  <c r="Y1565"/>
  <c r="Y1566"/>
  <c r="Y1567"/>
  <c r="Y1568"/>
  <c r="Y1569"/>
  <c r="Y1570"/>
  <c r="Y1571"/>
  <c r="Y1572"/>
  <c r="Y1573"/>
  <c r="Y1574"/>
  <c r="Y1575"/>
  <c r="Y1576"/>
  <c r="Y1577"/>
  <c r="Y1578"/>
  <c r="Y1579"/>
  <c r="Y1580"/>
  <c r="Y1581"/>
  <c r="Y1582"/>
  <c r="Y1583"/>
  <c r="Y1584"/>
  <c r="Y1585"/>
  <c r="Y1586"/>
  <c r="Y1587"/>
  <c r="Y1588"/>
  <c r="Y1589"/>
  <c r="Y1590"/>
  <c r="Y1591"/>
  <c r="Y1592"/>
  <c r="Y1593"/>
  <c r="Y1594"/>
  <c r="Y1595"/>
  <c r="Y1596"/>
  <c r="Y1597"/>
  <c r="Y1598"/>
  <c r="Y1599"/>
  <c r="Y1600"/>
  <c r="Y1601"/>
  <c r="Y1602"/>
  <c r="Y1603"/>
  <c r="Y1604"/>
  <c r="Y1605"/>
  <c r="Y1606"/>
  <c r="Y1607"/>
  <c r="Y1608"/>
  <c r="Y1609"/>
  <c r="Y1610"/>
  <c r="Y1611"/>
  <c r="Y1612"/>
  <c r="Y1613"/>
  <c r="Y1614"/>
  <c r="Y1615"/>
  <c r="Y1616"/>
  <c r="Y1617"/>
  <c r="Y1618"/>
  <c r="Y1619"/>
  <c r="Y1620"/>
  <c r="Y1621"/>
  <c r="Y1622"/>
  <c r="Y1623"/>
  <c r="Y1624"/>
  <c r="Y1625"/>
  <c r="Y1626"/>
  <c r="Y1627"/>
  <c r="Y1628"/>
  <c r="Y1629"/>
  <c r="Y1630"/>
  <c r="Y1631"/>
  <c r="Y1632"/>
  <c r="Y1633"/>
  <c r="Y1634"/>
  <c r="Y1635"/>
  <c r="Y1636"/>
  <c r="Y1637"/>
  <c r="Y1638"/>
  <c r="Y1639"/>
  <c r="Y1640"/>
  <c r="Y1641"/>
  <c r="Y1642"/>
  <c r="Y1643"/>
  <c r="Y1644"/>
  <c r="Y1645"/>
  <c r="Y1646"/>
  <c r="Y1647"/>
  <c r="Y1648"/>
  <c r="Y1649"/>
  <c r="Y1650"/>
  <c r="Y1651"/>
  <c r="Y1652"/>
  <c r="Y1653"/>
  <c r="Y1654"/>
  <c r="Y1655"/>
  <c r="Y1656"/>
  <c r="Y1657"/>
  <c r="Y1658"/>
  <c r="Y1659"/>
  <c r="Y1660"/>
  <c r="Y1661"/>
  <c r="Y1662"/>
  <c r="Y1663"/>
  <c r="Y1664"/>
  <c r="Y1665"/>
  <c r="Y1666"/>
  <c r="Y1667"/>
  <c r="Y1668"/>
  <c r="Y1669"/>
  <c r="Y1670"/>
  <c r="Y1671"/>
  <c r="Y1672"/>
  <c r="Y1673"/>
  <c r="Y1674"/>
  <c r="Y1675"/>
  <c r="Y1676"/>
  <c r="Y1677"/>
  <c r="Y1678"/>
  <c r="Y1679"/>
  <c r="Y1680"/>
  <c r="Y1681"/>
  <c r="Y1682"/>
  <c r="Y1683"/>
  <c r="Y1684"/>
  <c r="Y1685"/>
  <c r="Y1686"/>
  <c r="Y1687"/>
  <c r="Y1688"/>
  <c r="Y1689"/>
  <c r="Y1690"/>
  <c r="Y1691"/>
  <c r="Y1692"/>
  <c r="Y1693"/>
  <c r="Y1694"/>
  <c r="Y1695"/>
  <c r="Y1696"/>
  <c r="Y1697"/>
  <c r="Y1698"/>
  <c r="Y1699"/>
  <c r="Y1700"/>
  <c r="Y1701"/>
  <c r="Y1702"/>
  <c r="Y1703"/>
  <c r="Y1704"/>
  <c r="Y1705"/>
  <c r="Y1706"/>
  <c r="Y1707"/>
  <c r="Y1708"/>
  <c r="Y1709"/>
  <c r="Y1710"/>
  <c r="Y1711"/>
  <c r="Y1712"/>
  <c r="Y1713"/>
  <c r="Y1714"/>
  <c r="Y1715"/>
  <c r="Y1716"/>
  <c r="Y1717"/>
  <c r="Y1718"/>
  <c r="Y1719"/>
  <c r="Y1720"/>
  <c r="Y1721"/>
  <c r="Y1722"/>
  <c r="Y1723"/>
  <c r="Y1724"/>
  <c r="Y1725"/>
  <c r="Y1726"/>
  <c r="Y1727"/>
  <c r="Y1728"/>
  <c r="Y1729"/>
  <c r="Y1730"/>
  <c r="Y1731"/>
  <c r="Y1732"/>
  <c r="Y1733"/>
  <c r="Y1734"/>
  <c r="Y1735"/>
  <c r="Y1736"/>
  <c r="Y1737"/>
  <c r="Y1738"/>
  <c r="Y1739"/>
  <c r="Y1740"/>
  <c r="Y1741"/>
  <c r="Y1742"/>
  <c r="Y1743"/>
  <c r="Y1744"/>
  <c r="Y1745"/>
  <c r="Y1746"/>
  <c r="Y1747"/>
  <c r="Y1748"/>
  <c r="Y1749"/>
  <c r="Y1750"/>
  <c r="Y1751"/>
  <c r="Y1752"/>
  <c r="Y1753"/>
  <c r="Y1754"/>
  <c r="Y1755"/>
  <c r="Y1756"/>
  <c r="Y1757"/>
  <c r="Y1758"/>
  <c r="Y1759"/>
  <c r="Y1760"/>
  <c r="Y1761"/>
  <c r="Y1762"/>
  <c r="Y1763"/>
  <c r="Y1764"/>
  <c r="Y1765"/>
  <c r="Y1766"/>
  <c r="Y1767"/>
  <c r="Y1768"/>
  <c r="Y1769"/>
  <c r="Y1770"/>
  <c r="Y1771"/>
  <c r="Y1772"/>
  <c r="Y1773"/>
  <c r="Y1774"/>
  <c r="Y1775"/>
  <c r="Y1776"/>
  <c r="Y1777"/>
  <c r="Y1778"/>
  <c r="Y1779"/>
  <c r="Y1780"/>
  <c r="Y1781"/>
  <c r="Y1782"/>
  <c r="Y1783"/>
  <c r="Y1784"/>
  <c r="Y1785"/>
  <c r="Y1786"/>
  <c r="Y1787"/>
  <c r="Y1788"/>
  <c r="Y1789"/>
  <c r="Y1790"/>
  <c r="Y1791"/>
  <c r="Y1792"/>
  <c r="Y1793"/>
  <c r="Y1794"/>
  <c r="Y1795"/>
  <c r="Y1796"/>
  <c r="Y1797"/>
  <c r="Y1798"/>
  <c r="Y1799"/>
  <c r="Y1800"/>
  <c r="Y1801"/>
  <c r="Y1802"/>
  <c r="Y1803"/>
  <c r="Y1804"/>
  <c r="Y1805"/>
  <c r="Y1806"/>
  <c r="Y1807"/>
  <c r="Y1808"/>
  <c r="Y1809"/>
  <c r="Y1810"/>
  <c r="Y1811"/>
  <c r="Y1812"/>
  <c r="Y1813"/>
  <c r="Y1814"/>
  <c r="Y1815"/>
  <c r="Y1816"/>
  <c r="Y1817"/>
  <c r="Y1818"/>
  <c r="Y1819"/>
  <c r="Y1820"/>
  <c r="Y1821"/>
  <c r="Y1822"/>
  <c r="Y1823"/>
  <c r="Y1824"/>
  <c r="Y1825"/>
  <c r="Y1826"/>
  <c r="Y1827"/>
  <c r="Y1828"/>
  <c r="Y1829"/>
  <c r="Y1830"/>
  <c r="Y1831"/>
  <c r="Y1832"/>
  <c r="Y1833"/>
  <c r="Y1834"/>
  <c r="Y1835"/>
  <c r="Y1836"/>
  <c r="Y1837"/>
  <c r="Y1838"/>
  <c r="Y1839"/>
  <c r="Y1840"/>
  <c r="Y1841"/>
  <c r="Y1842"/>
  <c r="Y1843"/>
  <c r="Y1844"/>
  <c r="Y1845"/>
  <c r="Y1846"/>
  <c r="Y1847"/>
  <c r="Y1848"/>
  <c r="Y1849"/>
  <c r="Y1850"/>
  <c r="Y1851"/>
  <c r="Y1852"/>
  <c r="Y1853"/>
  <c r="Y1854"/>
  <c r="Y1855"/>
  <c r="Y1856"/>
  <c r="Y1857"/>
  <c r="Y1858"/>
  <c r="Y1859"/>
  <c r="Y1860"/>
  <c r="Y1861"/>
  <c r="Y1862"/>
  <c r="Y1863"/>
  <c r="Y1864"/>
  <c r="Y1865"/>
  <c r="Y1866"/>
  <c r="Y1867"/>
  <c r="Y1868"/>
  <c r="Y1869"/>
  <c r="Y1870"/>
  <c r="Y1871"/>
  <c r="Y1872"/>
  <c r="Y1873"/>
  <c r="Y1874"/>
  <c r="Y1875"/>
  <c r="Y1876"/>
  <c r="Y1877"/>
  <c r="Y1878"/>
  <c r="Y1879"/>
  <c r="Y1880"/>
  <c r="Y1881"/>
  <c r="Y1882"/>
  <c r="Y1883"/>
  <c r="Y1884"/>
  <c r="Y1885"/>
  <c r="Y1886"/>
  <c r="Y1887"/>
  <c r="Y1888"/>
  <c r="Y1889"/>
  <c r="Y1890"/>
  <c r="Y1891"/>
  <c r="Y1892"/>
  <c r="Y1893"/>
  <c r="Y1894"/>
  <c r="Y1895"/>
  <c r="Y1896"/>
  <c r="Y1897"/>
  <c r="Y1898"/>
  <c r="Y1899"/>
  <c r="Y1900"/>
  <c r="Y1901"/>
  <c r="Y1902"/>
  <c r="Y1903"/>
  <c r="Y1904"/>
  <c r="Y1905"/>
  <c r="Y1906"/>
  <c r="Y1907"/>
  <c r="Y1908"/>
  <c r="Y1909"/>
  <c r="Y1910"/>
  <c r="Y1911"/>
  <c r="Y1912"/>
  <c r="Y1913"/>
  <c r="Y1914"/>
  <c r="Y1915"/>
  <c r="Y1916"/>
  <c r="Y1917"/>
  <c r="Y1918"/>
  <c r="Y1919"/>
  <c r="Y1920"/>
  <c r="Y1921"/>
  <c r="Y1922"/>
  <c r="Y1923"/>
  <c r="Y1924"/>
  <c r="Y1925"/>
  <c r="Y1926"/>
  <c r="Y1927"/>
  <c r="Y1928"/>
  <c r="Y1929"/>
  <c r="Y1930"/>
  <c r="Y1931"/>
  <c r="Y1932"/>
  <c r="Y1933"/>
  <c r="Y1934"/>
  <c r="Y1935"/>
  <c r="Y1936"/>
  <c r="Y1937"/>
  <c r="Y1938"/>
  <c r="Y1939"/>
  <c r="Y1940"/>
  <c r="Y1941"/>
  <c r="Y1942"/>
  <c r="Y1943"/>
  <c r="Y1944"/>
  <c r="Y1945"/>
  <c r="Y1946"/>
  <c r="Y1947"/>
  <c r="Y1948"/>
  <c r="Y1949"/>
  <c r="Y1950"/>
  <c r="Y1951"/>
  <c r="Y1952"/>
  <c r="Y1953"/>
  <c r="Y1954"/>
  <c r="Y1955"/>
  <c r="Y1956"/>
  <c r="Y1957"/>
  <c r="Y1958"/>
  <c r="Y1959"/>
  <c r="Y1960"/>
  <c r="Y1961"/>
  <c r="Y1962"/>
  <c r="Y1963"/>
  <c r="Y1964"/>
  <c r="Y1965"/>
  <c r="Y1966"/>
  <c r="Y1967"/>
  <c r="Y1968"/>
  <c r="Y1969"/>
  <c r="Y1970"/>
  <c r="Y1971"/>
  <c r="Y1972"/>
  <c r="Y1973"/>
  <c r="Y1974"/>
  <c r="Y1975"/>
  <c r="Y1976"/>
  <c r="Y1977"/>
  <c r="Y1978"/>
  <c r="Y1979"/>
  <c r="Y1980"/>
  <c r="Y1981"/>
  <c r="Y1982"/>
  <c r="Y1983"/>
  <c r="Y1984"/>
  <c r="Y1985"/>
  <c r="Y1986"/>
  <c r="Y1987"/>
  <c r="Y1988"/>
  <c r="Y1989"/>
  <c r="Y1990"/>
  <c r="Y1991"/>
  <c r="Y1992"/>
  <c r="Y1993"/>
  <c r="Y1994"/>
  <c r="Y1995"/>
  <c r="Y1996"/>
  <c r="Y1997"/>
  <c r="Y1998"/>
  <c r="Y1999"/>
  <c r="Y2000"/>
  <c r="Y2001"/>
  <c r="Y2002"/>
  <c r="Y2003"/>
  <c r="Y2004"/>
  <c r="Y2005"/>
  <c r="Y2006"/>
  <c r="Y2007"/>
  <c r="Y2008"/>
  <c r="Y2009"/>
  <c r="Y2010"/>
  <c r="Y2011"/>
  <c r="Y2012"/>
  <c r="Y2013"/>
  <c r="Y2014"/>
  <c r="Y2015"/>
  <c r="Y2016"/>
  <c r="Y2017"/>
  <c r="Y2018"/>
  <c r="Y2019"/>
  <c r="Y2020"/>
  <c r="Y2021"/>
  <c r="Y2022"/>
  <c r="Y2023"/>
  <c r="Y2024"/>
  <c r="Y2025"/>
  <c r="Y2026"/>
  <c r="Y2027"/>
  <c r="Y2028"/>
  <c r="Y2029"/>
  <c r="Y2030"/>
  <c r="Y2031"/>
  <c r="Y2032"/>
  <c r="Y2033"/>
  <c r="Y2034"/>
  <c r="Y2035"/>
  <c r="Y2036"/>
  <c r="Y2037"/>
  <c r="Y2038"/>
  <c r="Y2039"/>
  <c r="Y2040"/>
  <c r="Y2041"/>
  <c r="Y2042"/>
  <c r="Y2043"/>
  <c r="Y2044"/>
  <c r="Y2045"/>
  <c r="Y2046"/>
  <c r="Y2047"/>
  <c r="Y2048"/>
  <c r="Y2049"/>
  <c r="Y2050"/>
  <c r="Y2051"/>
  <c r="Y2052"/>
  <c r="Y2053"/>
  <c r="Y2054"/>
  <c r="Y2055"/>
  <c r="Y2056"/>
  <c r="Y2057"/>
  <c r="Y2058"/>
  <c r="Y2059"/>
  <c r="Y2060"/>
  <c r="Y2061"/>
  <c r="Y2062"/>
  <c r="Y2063"/>
  <c r="Y2064"/>
  <c r="Y2065"/>
  <c r="Y2066"/>
  <c r="Y2067"/>
  <c r="Y2068"/>
  <c r="Y2069"/>
  <c r="Y2070"/>
  <c r="Y2071"/>
  <c r="Y2072"/>
  <c r="Y2073"/>
  <c r="Y2074"/>
  <c r="Y2075"/>
  <c r="Y2076"/>
  <c r="Y2077"/>
  <c r="Y2078"/>
  <c r="Y2079"/>
  <c r="Y2080"/>
  <c r="Y2081"/>
  <c r="Y2082"/>
  <c r="Y2083"/>
  <c r="Y2084"/>
  <c r="Y2085"/>
  <c r="Y2086"/>
  <c r="Y2087"/>
  <c r="Y2088"/>
  <c r="Y2089"/>
  <c r="Y2090"/>
  <c r="Y2091"/>
  <c r="Y2092"/>
  <c r="Y2093"/>
  <c r="Y2094"/>
  <c r="Y2095"/>
  <c r="Y2096"/>
  <c r="Y2097"/>
  <c r="Y2098"/>
  <c r="Y2099"/>
  <c r="Y2100"/>
  <c r="Y2101"/>
  <c r="Y2102"/>
  <c r="Y2103"/>
  <c r="Y2104"/>
  <c r="Y2105"/>
  <c r="Y2106"/>
  <c r="Y2107"/>
  <c r="Y2108"/>
  <c r="Y2109"/>
  <c r="Y2110"/>
  <c r="Y2111"/>
  <c r="Y2112"/>
  <c r="Y2113"/>
  <c r="Y2114"/>
  <c r="Y2115"/>
  <c r="Y2116"/>
  <c r="Y2117"/>
  <c r="Y2118"/>
  <c r="Y2119"/>
  <c r="Y2120"/>
  <c r="Y2121"/>
  <c r="Y2122"/>
  <c r="Y2123"/>
  <c r="Y2124"/>
  <c r="Y2125"/>
  <c r="Y2126"/>
  <c r="Y2127"/>
  <c r="Y2128"/>
  <c r="Y2129"/>
  <c r="Y2130"/>
  <c r="Y2131"/>
  <c r="Y2132"/>
  <c r="Y2133"/>
  <c r="Y2134"/>
  <c r="Y2135"/>
  <c r="Y2136"/>
  <c r="Y2137"/>
  <c r="Y2138"/>
  <c r="Y2139"/>
  <c r="Y2140"/>
  <c r="Y2141"/>
  <c r="Y2142"/>
  <c r="Y2143"/>
  <c r="Y2144"/>
  <c r="Y2145"/>
  <c r="Y2146"/>
  <c r="Y2147"/>
  <c r="Y2148"/>
  <c r="Y2149"/>
  <c r="Y2150"/>
  <c r="Y2151"/>
  <c r="Y2152"/>
  <c r="Y2153"/>
  <c r="Y2154"/>
  <c r="Y2155"/>
  <c r="Y2156"/>
  <c r="Y2157"/>
  <c r="Y2158"/>
  <c r="Y2159"/>
  <c r="Y2160"/>
  <c r="Y2161"/>
  <c r="Y2162"/>
  <c r="Y2163"/>
  <c r="Y2164"/>
  <c r="Y2165"/>
  <c r="Y2166"/>
  <c r="Y2167"/>
  <c r="Y2168"/>
  <c r="Y2169"/>
  <c r="Y2170"/>
  <c r="Y2171"/>
  <c r="Y2172"/>
  <c r="Y2173"/>
  <c r="Y2174"/>
  <c r="Y2175"/>
  <c r="Y2176"/>
  <c r="Y2177"/>
  <c r="Y2178"/>
  <c r="Y2179"/>
  <c r="Y2180"/>
  <c r="Y2181"/>
  <c r="Y2182"/>
  <c r="Y2183"/>
  <c r="Y2184"/>
  <c r="Y2185"/>
  <c r="Y2186"/>
  <c r="Y2187"/>
  <c r="Y2188"/>
  <c r="Y2189"/>
  <c r="Y2190"/>
  <c r="Y2191"/>
  <c r="Y2192"/>
  <c r="Y2193"/>
  <c r="Y2194"/>
  <c r="Y2195"/>
  <c r="Y2196"/>
  <c r="Y2197"/>
  <c r="Y2198"/>
  <c r="Y2199"/>
  <c r="Y2200"/>
  <c r="Y2201"/>
  <c r="Y2202"/>
  <c r="Y2203"/>
  <c r="Y2204"/>
  <c r="Y2205"/>
  <c r="Y2206"/>
  <c r="Y2207"/>
  <c r="Y2208"/>
  <c r="Y2209"/>
  <c r="Y2210"/>
  <c r="Y2211"/>
  <c r="Y2212"/>
  <c r="Y2213"/>
  <c r="Y2214"/>
  <c r="Y2215"/>
  <c r="Y2216"/>
  <c r="Y2217"/>
  <c r="Y2218"/>
  <c r="Y2219"/>
  <c r="Y2220"/>
  <c r="Y2221"/>
  <c r="Y2222"/>
  <c r="Y2223"/>
  <c r="Y2224"/>
  <c r="Y2225"/>
  <c r="Y2226"/>
  <c r="Y2227"/>
  <c r="Y2228"/>
  <c r="Y2229"/>
  <c r="Y2230"/>
  <c r="Y2231"/>
  <c r="Y2232"/>
  <c r="Y2233"/>
  <c r="Y2234"/>
  <c r="Y2235"/>
  <c r="Y2236"/>
  <c r="Y2237"/>
  <c r="Y2238"/>
  <c r="Y2239"/>
  <c r="Y2240"/>
  <c r="Y2241"/>
  <c r="Y2242"/>
  <c r="Y2243"/>
  <c r="Y2244"/>
  <c r="Y2245"/>
  <c r="Y2246"/>
  <c r="Y2247"/>
  <c r="Y2248"/>
  <c r="Y2249"/>
  <c r="Y2250"/>
  <c r="Y2251"/>
  <c r="Y2252"/>
  <c r="Y2253"/>
  <c r="Y2254"/>
  <c r="Y2255"/>
  <c r="Y2256"/>
  <c r="Y2257"/>
  <c r="Y2258"/>
  <c r="Y2259"/>
  <c r="Y2260"/>
  <c r="Y2261"/>
  <c r="Y2262"/>
  <c r="Y2263"/>
  <c r="Y2264"/>
  <c r="Y2265"/>
  <c r="Y2266"/>
  <c r="Y2267"/>
  <c r="Y2268"/>
  <c r="Y2269"/>
  <c r="Y2270"/>
  <c r="Y2271"/>
  <c r="Y2272"/>
  <c r="Y2273"/>
  <c r="Y2274"/>
  <c r="Y2275"/>
  <c r="Y2276"/>
  <c r="Y2277"/>
  <c r="Y2278"/>
  <c r="Y2279"/>
  <c r="Y2280"/>
  <c r="Y2281"/>
  <c r="Y2282"/>
  <c r="Y2283"/>
  <c r="Y2284"/>
  <c r="Y2285"/>
  <c r="Y2286"/>
  <c r="Y2287"/>
  <c r="Y2288"/>
  <c r="Y2289"/>
  <c r="Y2290"/>
  <c r="Y2291"/>
  <c r="Y2292"/>
  <c r="Y2293"/>
  <c r="Y2294"/>
  <c r="Y2295"/>
  <c r="Y2296"/>
  <c r="Y2297"/>
  <c r="Y2298"/>
  <c r="Y2299"/>
  <c r="Y2300"/>
  <c r="Y2301"/>
  <c r="Y2302"/>
  <c r="Y2303"/>
  <c r="Y2304"/>
  <c r="Y2305"/>
  <c r="Y2306"/>
  <c r="Y2307"/>
  <c r="Y2308"/>
  <c r="Y2309"/>
  <c r="Y2310"/>
  <c r="Y2311"/>
  <c r="Y2312"/>
  <c r="Y2313"/>
  <c r="Y2314"/>
  <c r="Y2315"/>
  <c r="Y2316"/>
  <c r="Y2317"/>
  <c r="Y2318"/>
  <c r="Y2319"/>
  <c r="Y2320"/>
  <c r="Y2321"/>
  <c r="Y2322"/>
  <c r="Y2323"/>
  <c r="Y2324"/>
  <c r="Y2325"/>
  <c r="Y2326"/>
  <c r="Y2327"/>
  <c r="Y2328"/>
  <c r="Y2329"/>
  <c r="Y2330"/>
  <c r="Y2331"/>
  <c r="Y2332"/>
  <c r="Y2333"/>
  <c r="Y2334"/>
  <c r="Y2335"/>
  <c r="Y2336"/>
  <c r="Y2337"/>
  <c r="Y2338"/>
  <c r="Y2339"/>
  <c r="Y2340"/>
  <c r="Y2341"/>
  <c r="Y2342"/>
  <c r="Y2343"/>
  <c r="Y2344"/>
  <c r="Y2345"/>
  <c r="Y2346"/>
  <c r="Y2347"/>
  <c r="Y2348"/>
  <c r="Y2349"/>
  <c r="Y2350"/>
  <c r="Y2351"/>
  <c r="Y2352"/>
  <c r="Y2353"/>
  <c r="Y2354"/>
  <c r="Y2355"/>
  <c r="Y2356"/>
  <c r="Y2357"/>
  <c r="Y2358"/>
  <c r="Y2359"/>
  <c r="Y2360"/>
  <c r="Y2361"/>
  <c r="Y2362"/>
  <c r="Y2363"/>
  <c r="Y2364"/>
  <c r="Y2365"/>
  <c r="Y2366"/>
  <c r="Y2367"/>
  <c r="Y2368"/>
  <c r="Y2369"/>
  <c r="Y2370"/>
  <c r="Y2371"/>
  <c r="Y2372"/>
  <c r="Y2373"/>
  <c r="Y2374"/>
  <c r="Y2375"/>
  <c r="Y2376"/>
  <c r="Y2377"/>
  <c r="Y2378"/>
  <c r="Y2379"/>
  <c r="Y2380"/>
  <c r="Y2381"/>
  <c r="Y2382"/>
  <c r="Y2383"/>
  <c r="Y2384"/>
  <c r="Y2385"/>
  <c r="Y2386"/>
  <c r="Y2387"/>
  <c r="Y2388"/>
  <c r="Y2389"/>
  <c r="Y2390"/>
  <c r="Y2391"/>
  <c r="Y2392"/>
  <c r="Y2393"/>
  <c r="Y2394"/>
  <c r="Y2395"/>
  <c r="Y2396"/>
  <c r="Y2397"/>
  <c r="Y2398"/>
  <c r="Y2399"/>
  <c r="Y2400"/>
  <c r="Y2401"/>
  <c r="Y2409"/>
  <c r="Y2410"/>
  <c r="Y2411"/>
  <c r="Y2412"/>
  <c r="Y2413"/>
  <c r="Y2414"/>
  <c r="Y2415"/>
  <c r="Y2416"/>
  <c r="Y2417"/>
  <c r="Y2418"/>
  <c r="Y2419"/>
  <c r="Y2420"/>
  <c r="Y2421"/>
  <c r="Y2422"/>
  <c r="Y2423"/>
  <c r="Y2424"/>
  <c r="Y2425"/>
  <c r="Y2426"/>
  <c r="Y2427"/>
  <c r="Y2428"/>
  <c r="Y2429"/>
  <c r="Y2430"/>
  <c r="Y2431"/>
  <c r="Y2432"/>
  <c r="Y2433"/>
  <c r="Y2434"/>
  <c r="Y2435"/>
  <c r="Y2436"/>
  <c r="Y2437"/>
  <c r="Y2438"/>
  <c r="Y2439"/>
  <c r="Y2440"/>
  <c r="Y2441"/>
  <c r="Y2442"/>
  <c r="Y2402"/>
  <c r="Y2403"/>
  <c r="Y2404"/>
  <c r="Y2405"/>
  <c r="Y2406"/>
  <c r="Y2407"/>
  <c r="Y2408"/>
  <c r="Y2443"/>
  <c r="Y2444"/>
  <c r="Y2445"/>
  <c r="Y2446"/>
  <c r="Y2447"/>
  <c r="Y2448"/>
  <c r="Y2449"/>
  <c r="Y2450"/>
  <c r="Y2451"/>
  <c r="Y2452"/>
  <c r="Y2453"/>
  <c r="Y2454"/>
  <c r="Y2455"/>
  <c r="Y2456"/>
  <c r="Y2457"/>
  <c r="Y2458"/>
  <c r="Y2459"/>
  <c r="Y2460"/>
  <c r="Y2461"/>
  <c r="Y2462"/>
  <c r="Y2463"/>
  <c r="Y2464"/>
  <c r="Y2465"/>
  <c r="Y2466"/>
  <c r="Y2467"/>
  <c r="Y2468"/>
  <c r="Y2469"/>
  <c r="Y2470"/>
  <c r="Y2471"/>
  <c r="Y2472"/>
  <c r="Y2473"/>
  <c r="Y2474"/>
  <c r="Y2475"/>
  <c r="Y2476"/>
  <c r="Y2477"/>
  <c r="Y2478"/>
  <c r="Y2479"/>
  <c r="Y2480"/>
  <c r="Y2481"/>
  <c r="Y2482"/>
  <c r="Y2483"/>
  <c r="Y2484"/>
  <c r="Y2485"/>
  <c r="Y2486"/>
  <c r="Y2487"/>
  <c r="Y2488"/>
  <c r="Y2489"/>
  <c r="Y2490"/>
  <c r="Y2491"/>
  <c r="Y2492"/>
  <c r="Y2493"/>
  <c r="Y2494"/>
  <c r="Y2495"/>
  <c r="Y2496"/>
  <c r="Y2497"/>
  <c r="Y2498"/>
  <c r="Y2499"/>
  <c r="Y2500"/>
  <c r="Y2501"/>
  <c r="Y2502"/>
  <c r="Y2503"/>
  <c r="Y2504"/>
  <c r="Y2505"/>
  <c r="Y2506"/>
  <c r="Y2507"/>
  <c r="Y2508"/>
  <c r="Y2509"/>
  <c r="Y2510"/>
  <c r="Y2511"/>
  <c r="Y2512"/>
  <c r="Y2513"/>
  <c r="Y2514"/>
  <c r="Y2515"/>
  <c r="Y2516"/>
  <c r="Y2517"/>
  <c r="Y2518"/>
  <c r="Y2519"/>
  <c r="Y2520"/>
  <c r="Y2521"/>
  <c r="Y2522"/>
  <c r="Y2523"/>
  <c r="Y2524"/>
  <c r="Y2525"/>
  <c r="Y2526"/>
  <c r="Y2527"/>
  <c r="Y2528"/>
  <c r="Y2529"/>
  <c r="Y2530"/>
  <c r="Y2531"/>
  <c r="Y2532"/>
  <c r="Y2533"/>
  <c r="Y2534"/>
  <c r="Y2535"/>
  <c r="Y2536"/>
  <c r="Y2537"/>
  <c r="Y2538"/>
  <c r="Y2539"/>
  <c r="Y2540"/>
  <c r="Y2541"/>
  <c r="Y2542"/>
  <c r="Y2543"/>
  <c r="Y2544"/>
  <c r="Y2545"/>
  <c r="Y2546"/>
  <c r="Y2547"/>
  <c r="Y2548"/>
  <c r="Y2549"/>
  <c r="Y2550"/>
  <c r="Y2551"/>
  <c r="Y2552"/>
  <c r="Y2553"/>
  <c r="Y2554"/>
  <c r="Y2555"/>
  <c r="Y2556"/>
  <c r="Y2557"/>
  <c r="Y2558"/>
  <c r="Y2559"/>
  <c r="Y2560"/>
  <c r="Y2561"/>
  <c r="Y2562"/>
  <c r="Y2563"/>
  <c r="Y2564"/>
  <c r="Y2565"/>
  <c r="Y2566"/>
  <c r="Y2567"/>
  <c r="Y2568"/>
  <c r="Y2569"/>
  <c r="Y2570"/>
  <c r="Y2571"/>
  <c r="Y2572"/>
  <c r="Y2573"/>
  <c r="Y2574"/>
  <c r="Y2575"/>
  <c r="Y2576"/>
  <c r="Y2577"/>
  <c r="Y2578"/>
  <c r="Y2579"/>
  <c r="Y2580"/>
  <c r="Y2581"/>
  <c r="Y2582"/>
  <c r="Y2583"/>
  <c r="Y2584"/>
  <c r="Y2585"/>
  <c r="Y2586"/>
  <c r="Y2587"/>
  <c r="Y2588"/>
  <c r="Y2589"/>
  <c r="Y2590"/>
  <c r="Y2591"/>
  <c r="Y2592"/>
  <c r="Y2593"/>
  <c r="Y2594"/>
  <c r="Y2595"/>
  <c r="Y2596"/>
  <c r="Y2597"/>
  <c r="Y2598"/>
  <c r="Y2599"/>
  <c r="Y2600"/>
  <c r="Y2601"/>
  <c r="Y2602"/>
  <c r="Y2603"/>
  <c r="Y2604"/>
  <c r="Y2605"/>
  <c r="Y2606"/>
  <c r="Y2607"/>
  <c r="Y2608"/>
  <c r="Y2609"/>
  <c r="Y2610"/>
  <c r="Y2611"/>
  <c r="Y2612"/>
  <c r="Y2613"/>
  <c r="Y2614"/>
  <c r="Y2615"/>
  <c r="Y2616"/>
  <c r="Y2617"/>
  <c r="Y2618"/>
  <c r="Y2619"/>
  <c r="Y2620"/>
  <c r="Y2621"/>
  <c r="Y2622"/>
  <c r="Y2623"/>
  <c r="Y2624"/>
  <c r="Y2625"/>
  <c r="Y2626"/>
  <c r="Y2627"/>
  <c r="Y2628"/>
  <c r="Y2629"/>
  <c r="Y2630"/>
  <c r="Y2631"/>
  <c r="Y2632"/>
  <c r="Y2633"/>
  <c r="Y2634"/>
  <c r="Y2635"/>
  <c r="Y2636"/>
  <c r="Y2637"/>
  <c r="Y2638"/>
  <c r="Y2639"/>
  <c r="Y2640"/>
  <c r="Y2641"/>
  <c r="Y2642"/>
  <c r="Y2643"/>
  <c r="Y2644"/>
  <c r="Y2645"/>
  <c r="Y2646"/>
  <c r="Y2647"/>
  <c r="Y2648"/>
  <c r="Y2649"/>
  <c r="Y2650"/>
  <c r="Y2651"/>
  <c r="Y2652"/>
  <c r="Y2653"/>
  <c r="Y2654"/>
  <c r="Y2655"/>
  <c r="Y2656"/>
  <c r="Y2657"/>
  <c r="Y2658"/>
  <c r="Y2659"/>
  <c r="Y2660"/>
  <c r="Y2661"/>
  <c r="Y2662"/>
  <c r="Y2663"/>
  <c r="Y2664"/>
  <c r="Y2665"/>
  <c r="Y2666"/>
  <c r="Y2667"/>
  <c r="Y2668"/>
  <c r="Y2669"/>
  <c r="Y2670"/>
  <c r="Y2671"/>
  <c r="Y2672"/>
  <c r="Y2673"/>
  <c r="Y2674"/>
  <c r="Y2675"/>
  <c r="Y2676"/>
  <c r="Y2677"/>
  <c r="Y2678"/>
  <c r="Y2679"/>
  <c r="Y2680"/>
  <c r="Y2681"/>
  <c r="Y2682"/>
  <c r="Y2683"/>
  <c r="Y2684"/>
  <c r="Y2685"/>
  <c r="Y2686"/>
  <c r="Y2687"/>
  <c r="Y2688"/>
  <c r="Y2689"/>
  <c r="Y2690"/>
  <c r="Y2691"/>
  <c r="Y2692"/>
  <c r="Y2693"/>
  <c r="Y2694"/>
  <c r="Y2695"/>
  <c r="Y2696"/>
  <c r="Y2697"/>
  <c r="Y2698"/>
  <c r="Y2699"/>
  <c r="Y2700"/>
  <c r="Y2701"/>
  <c r="Y2702"/>
  <c r="Y2703"/>
  <c r="Y2704"/>
  <c r="Y2705"/>
  <c r="Y2706"/>
  <c r="Y2707"/>
  <c r="Y2708"/>
  <c r="Y2709"/>
  <c r="Y2710"/>
  <c r="Y2711"/>
  <c r="Y2712"/>
  <c r="Y2713"/>
  <c r="Y2714"/>
  <c r="Y2715"/>
  <c r="Y2716"/>
  <c r="Y2717"/>
  <c r="Y2718"/>
  <c r="Y2719"/>
  <c r="Y2720"/>
  <c r="Y2721"/>
  <c r="Y2722"/>
  <c r="Y2723"/>
  <c r="Y2724"/>
  <c r="Y2725"/>
  <c r="Y2726"/>
  <c r="Y2727"/>
  <c r="Y2728"/>
  <c r="Y2729"/>
  <c r="Y2730"/>
  <c r="Y2731"/>
  <c r="Y2732"/>
  <c r="Y2733"/>
  <c r="Y2734"/>
  <c r="Y2735"/>
  <c r="Y2736"/>
  <c r="Y2737"/>
  <c r="Y2738"/>
  <c r="Y2740"/>
  <c r="Y2742"/>
  <c r="Y2743"/>
  <c r="Y2744"/>
  <c r="Y2745"/>
  <c r="Y2746"/>
  <c r="Y2747"/>
  <c r="Y2748"/>
  <c r="Y2749"/>
  <c r="Y2750"/>
  <c r="Y2751"/>
  <c r="Y2752"/>
  <c r="Y2753"/>
  <c r="Y2754"/>
  <c r="Y2755"/>
  <c r="Y2756"/>
  <c r="Y2757"/>
  <c r="Y2758"/>
  <c r="Y2759"/>
  <c r="Y2760"/>
  <c r="Y2761"/>
  <c r="Y2762"/>
  <c r="Y2763"/>
  <c r="Y2764"/>
  <c r="Y2765"/>
  <c r="Y2766"/>
  <c r="Y2767"/>
  <c r="Y2768"/>
  <c r="Y2769"/>
  <c r="Y2770"/>
  <c r="Y2771"/>
  <c r="Y2772"/>
  <c r="Y2773"/>
  <c r="Y2774"/>
  <c r="Y2775"/>
  <c r="Y2776"/>
  <c r="Y2777"/>
  <c r="Y2778"/>
  <c r="Y2779"/>
  <c r="Y2780"/>
  <c r="Y2781"/>
  <c r="Y2782"/>
  <c r="Y2783"/>
  <c r="Y2784"/>
  <c r="Y2785"/>
  <c r="Y2786"/>
  <c r="Y2787"/>
  <c r="Y2788"/>
  <c r="Y2789"/>
  <c r="Y2790"/>
  <c r="Y2791"/>
  <c r="Y2792"/>
  <c r="Y2793"/>
  <c r="Y2794"/>
  <c r="Y2795"/>
  <c r="Y2796"/>
  <c r="Y2797"/>
  <c r="Y2798"/>
  <c r="Y2799"/>
  <c r="Y2800"/>
  <c r="Y2801"/>
  <c r="Y2802"/>
  <c r="Y2803"/>
  <c r="Y2804"/>
  <c r="Y2805"/>
  <c r="Y2806"/>
  <c r="Y2807"/>
  <c r="Y2808"/>
  <c r="Y2809"/>
  <c r="Y2810"/>
  <c r="Y2811"/>
  <c r="Y2812"/>
  <c r="Y2813"/>
  <c r="Y2814"/>
  <c r="Y2815"/>
  <c r="Y2816"/>
  <c r="Y2817"/>
  <c r="Y2818"/>
  <c r="Y2819"/>
  <c r="Y2820"/>
  <c r="Y2821"/>
  <c r="Y2822"/>
  <c r="Y2823"/>
  <c r="Y2824"/>
  <c r="Y2825"/>
  <c r="Y2826"/>
  <c r="Y2827"/>
  <c r="Y2828"/>
  <c r="Y2829"/>
  <c r="Y2830"/>
  <c r="Y2831"/>
  <c r="Y2832"/>
  <c r="Y2833"/>
  <c r="Y2834"/>
  <c r="Y2835"/>
  <c r="Y2836"/>
  <c r="Y2837"/>
  <c r="Y2838"/>
  <c r="Y2839"/>
  <c r="Y2840"/>
  <c r="Y2841"/>
  <c r="Y2842"/>
  <c r="Y2843"/>
  <c r="Y2844"/>
  <c r="Y2845"/>
  <c r="Y2846"/>
  <c r="Y2847"/>
  <c r="Y2848"/>
  <c r="Y2849"/>
  <c r="Y2850"/>
  <c r="Y2851"/>
  <c r="Y2852"/>
  <c r="Y2853"/>
  <c r="Y2854"/>
  <c r="Y2855"/>
  <c r="Y2856"/>
  <c r="Y2857"/>
  <c r="Y2858"/>
  <c r="Y2859"/>
  <c r="Y2860"/>
  <c r="Y2861"/>
  <c r="Y2862"/>
  <c r="Y2863"/>
  <c r="Y2864"/>
  <c r="Y2865"/>
  <c r="Y2866"/>
  <c r="Y2867"/>
  <c r="Y2868"/>
  <c r="Y2869"/>
  <c r="Y2870"/>
  <c r="Y2871"/>
  <c r="Y2872"/>
  <c r="Y2873"/>
  <c r="Y2874"/>
  <c r="Y2875"/>
  <c r="Y2876"/>
  <c r="Y2877"/>
  <c r="Y2878"/>
  <c r="Y2879"/>
  <c r="Y2880"/>
  <c r="Y2881"/>
  <c r="Y2882"/>
  <c r="Y2883"/>
  <c r="Y2884"/>
  <c r="Y2885"/>
  <c r="Y2886"/>
  <c r="Y2887"/>
  <c r="Y2888"/>
  <c r="Y2889"/>
  <c r="Y2890"/>
  <c r="Y2891"/>
  <c r="Y2892"/>
  <c r="Y2893"/>
  <c r="Y2894"/>
  <c r="Y2895"/>
  <c r="Y2896"/>
  <c r="Y2897"/>
  <c r="Y2898"/>
  <c r="Y2899"/>
  <c r="Y2900"/>
  <c r="Y2901"/>
  <c r="Y2902"/>
  <c r="Y2903"/>
  <c r="Y2904"/>
  <c r="Y2905"/>
  <c r="Y2906"/>
  <c r="Y2907"/>
  <c r="Y2908"/>
  <c r="Y2909"/>
  <c r="Y2910"/>
  <c r="Y2911"/>
  <c r="Y2912"/>
  <c r="Y2913"/>
  <c r="Y2914"/>
  <c r="Y2915"/>
  <c r="Y2916"/>
  <c r="Y2917"/>
  <c r="Y2918"/>
  <c r="Y2919"/>
  <c r="Y2920"/>
  <c r="Y2921"/>
  <c r="Y2922"/>
  <c r="Y2923"/>
  <c r="Y2924"/>
  <c r="Y2925"/>
  <c r="Y2926"/>
  <c r="Y2927"/>
  <c r="Y2928"/>
  <c r="Y2929"/>
  <c r="Y2930"/>
  <c r="Y2931"/>
  <c r="Y2932"/>
  <c r="Y2933"/>
  <c r="Y2934"/>
  <c r="Y2935"/>
  <c r="Y2936"/>
  <c r="Y2937"/>
  <c r="Y2938"/>
  <c r="Y2939"/>
  <c r="Y2940"/>
  <c r="Y2941"/>
  <c r="Y2942"/>
  <c r="Y2943"/>
  <c r="Y2944"/>
  <c r="Y2945"/>
  <c r="Y2946"/>
  <c r="Y2947"/>
  <c r="Y2948"/>
  <c r="Y2949"/>
  <c r="Y2950"/>
  <c r="Y2951"/>
  <c r="Y2952"/>
  <c r="Y2953"/>
  <c r="Y2954"/>
  <c r="Y2955"/>
  <c r="Y2956"/>
  <c r="Y2957"/>
  <c r="Y2958"/>
  <c r="Y2959"/>
  <c r="Y2960"/>
  <c r="Y2961"/>
  <c r="Y2962"/>
  <c r="Y2963"/>
  <c r="Y2964"/>
  <c r="Y2965"/>
  <c r="Y2966"/>
  <c r="Y2967"/>
  <c r="Y2968"/>
  <c r="Y2969"/>
  <c r="Y2970"/>
  <c r="Y2971"/>
  <c r="Y2972"/>
  <c r="Y2973"/>
  <c r="Y2974"/>
  <c r="Y2975"/>
  <c r="Y2976"/>
  <c r="Y2977"/>
  <c r="Y2978"/>
  <c r="Y2979"/>
  <c r="Y2980"/>
  <c r="Y2981"/>
  <c r="Y2982"/>
  <c r="Y2983"/>
  <c r="Y2984"/>
  <c r="Y2985"/>
  <c r="Y2986"/>
  <c r="Y2987"/>
  <c r="Y2988"/>
  <c r="Y2989"/>
  <c r="Y2990"/>
  <c r="Y2991"/>
  <c r="Y2992"/>
  <c r="Y2993"/>
  <c r="Y2994"/>
  <c r="Y2995"/>
  <c r="Y2996"/>
  <c r="Y2997"/>
  <c r="Y2998"/>
  <c r="Y2999"/>
  <c r="Y3000"/>
  <c r="Y3001"/>
  <c r="Y3002"/>
  <c r="Y3003"/>
  <c r="Y3004"/>
  <c r="Y3005"/>
  <c r="Y3006"/>
  <c r="Y3007"/>
  <c r="Y3008"/>
  <c r="Y3009"/>
  <c r="Y3010"/>
  <c r="Y3011"/>
  <c r="Y3012"/>
  <c r="Y3013"/>
  <c r="Y3014"/>
  <c r="Y3015"/>
  <c r="Y3016"/>
  <c r="Y3018"/>
  <c r="Y3019"/>
  <c r="Y3020"/>
  <c r="Y3021"/>
  <c r="Y3022"/>
  <c r="Y3023"/>
  <c r="Y3024"/>
  <c r="Y3025"/>
  <c r="Y3026"/>
  <c r="Y3027"/>
  <c r="Y3028"/>
  <c r="Y3029"/>
  <c r="Y3030"/>
  <c r="Y3031"/>
  <c r="Y3032"/>
  <c r="Y3033"/>
  <c r="Y3034"/>
  <c r="Y3035"/>
  <c r="Y3036"/>
  <c r="Y3037"/>
  <c r="Y3038"/>
  <c r="Y3039"/>
  <c r="Y3040"/>
  <c r="Y3041"/>
  <c r="Y3042"/>
  <c r="Y3043"/>
  <c r="Y3044"/>
  <c r="Y3045"/>
  <c r="Y3046"/>
  <c r="Y3047"/>
  <c r="Y3048"/>
  <c r="Y3049"/>
  <c r="Y3050"/>
  <c r="Y3051"/>
  <c r="Y3052"/>
  <c r="Y3053"/>
  <c r="Y3054"/>
  <c r="Y3055"/>
  <c r="Y3056"/>
  <c r="Y3057"/>
  <c r="Y3058"/>
  <c r="Y3059"/>
  <c r="Y3060"/>
  <c r="Y3061"/>
  <c r="Y3062"/>
  <c r="Y3063"/>
  <c r="Y3064"/>
  <c r="Y3065"/>
  <c r="Y3066"/>
  <c r="Y3067"/>
  <c r="Y3068"/>
  <c r="Y3069"/>
  <c r="Y3070"/>
  <c r="Y3071"/>
  <c r="Y3072"/>
  <c r="Y3073"/>
  <c r="Y3074"/>
  <c r="Y3075"/>
  <c r="Y3076"/>
  <c r="Y3077"/>
  <c r="Y3078"/>
  <c r="Y3079"/>
  <c r="Y3080"/>
  <c r="Y3081"/>
  <c r="Y3082"/>
  <c r="Y3083"/>
  <c r="Y3084"/>
  <c r="Y3085"/>
  <c r="Y3086"/>
  <c r="Y3087"/>
  <c r="Y3088"/>
  <c r="Y3089"/>
  <c r="Y3090"/>
  <c r="Y3091"/>
  <c r="Y3092"/>
  <c r="Y3093"/>
  <c r="Y3094"/>
  <c r="Y3095"/>
  <c r="Y3096"/>
  <c r="Y3097"/>
  <c r="Y3098"/>
  <c r="Y3099"/>
  <c r="Y3100"/>
  <c r="Y3101"/>
  <c r="Y3102"/>
  <c r="Y3103"/>
  <c r="Y3104"/>
  <c r="Y3105"/>
  <c r="Y3106"/>
  <c r="Y3107"/>
  <c r="Y3108"/>
  <c r="Y3109"/>
  <c r="Y3110"/>
  <c r="Y3111"/>
  <c r="Y3112"/>
  <c r="Y3113"/>
  <c r="Y3114"/>
  <c r="Y3115"/>
  <c r="Y3116"/>
  <c r="Y3117"/>
  <c r="Y3118"/>
  <c r="Y3119"/>
  <c r="Y3120"/>
  <c r="Y3121"/>
  <c r="Y3122"/>
  <c r="Y3123"/>
  <c r="Y3124"/>
  <c r="Y3125"/>
  <c r="Y3126"/>
  <c r="Y3127"/>
  <c r="Y3128"/>
  <c r="Y3129"/>
  <c r="Y3130"/>
  <c r="Y3131"/>
  <c r="Y3132"/>
  <c r="Y3133"/>
  <c r="Y3134"/>
  <c r="Y3135"/>
  <c r="Y3136"/>
  <c r="Y3137"/>
  <c r="Y3138"/>
  <c r="Y3139"/>
  <c r="Y3140"/>
  <c r="Y3141"/>
  <c r="Y3142"/>
  <c r="Y3143"/>
  <c r="Y3144"/>
  <c r="Y3145"/>
  <c r="Y3146"/>
  <c r="Y3147"/>
  <c r="Y3148"/>
  <c r="Y3149"/>
  <c r="Y3150"/>
  <c r="Y3151"/>
  <c r="Y3152"/>
  <c r="Y3153"/>
  <c r="Y3154"/>
  <c r="Y3155"/>
  <c r="Y3156"/>
  <c r="Y3157"/>
  <c r="Y3158"/>
  <c r="Y3159"/>
  <c r="Y3160"/>
  <c r="Y3161"/>
  <c r="Y3162"/>
  <c r="Y3163"/>
  <c r="Y3164"/>
  <c r="Y3165"/>
  <c r="Y3166"/>
  <c r="Y3167"/>
  <c r="Y3168"/>
  <c r="Y3169"/>
  <c r="Y3170"/>
  <c r="Y3171"/>
  <c r="Y3172"/>
  <c r="Y3173"/>
  <c r="Y3174"/>
  <c r="Y3175"/>
  <c r="Y3176"/>
  <c r="Y3177"/>
  <c r="Y3178"/>
  <c r="Y3179"/>
  <c r="Y3180"/>
  <c r="Y3181"/>
  <c r="Y3182"/>
  <c r="Y3183"/>
  <c r="Y3184"/>
  <c r="Y3185"/>
  <c r="Y3186"/>
  <c r="Y3187"/>
  <c r="Y3188"/>
  <c r="Y3189"/>
  <c r="Y3190"/>
  <c r="Y3191"/>
  <c r="Y3192"/>
  <c r="Y3193"/>
  <c r="Y3194"/>
  <c r="Y3195"/>
  <c r="Y3196"/>
  <c r="Y3197"/>
  <c r="Y3198"/>
  <c r="Y3199"/>
  <c r="Y3200"/>
  <c r="Y3201"/>
  <c r="Y3202"/>
  <c r="Y3203"/>
  <c r="Y3204"/>
  <c r="Y3205"/>
  <c r="Y3206"/>
  <c r="Y3207"/>
  <c r="Y3208"/>
  <c r="Y3209"/>
  <c r="Y3210"/>
  <c r="Y3211"/>
  <c r="Y3212"/>
  <c r="Y3213"/>
  <c r="Y3214"/>
  <c r="Y3215"/>
  <c r="Y3216"/>
  <c r="Y3217"/>
  <c r="Y3218"/>
  <c r="Y3219"/>
  <c r="Y3220"/>
  <c r="Y3221"/>
  <c r="Y3222"/>
  <c r="Y3223"/>
  <c r="Y3224"/>
  <c r="Y3225"/>
  <c r="Y3226"/>
  <c r="Y3227"/>
  <c r="Y3228"/>
  <c r="Y3229"/>
  <c r="Y3230"/>
  <c r="Y3231"/>
  <c r="Y3232"/>
  <c r="Y3233"/>
  <c r="Y3234"/>
  <c r="Y3235"/>
  <c r="Y3236"/>
  <c r="Y3237"/>
  <c r="Y3238"/>
  <c r="Y3239"/>
  <c r="Y3240"/>
  <c r="Y3241"/>
  <c r="Y3242"/>
  <c r="Y3243"/>
  <c r="Y3244"/>
  <c r="Y3245"/>
  <c r="Y3246"/>
  <c r="Y3247"/>
  <c r="Y3248"/>
  <c r="Y3249"/>
  <c r="Y3250"/>
  <c r="Y3251"/>
  <c r="Y3252"/>
  <c r="Y3253"/>
  <c r="Y3254"/>
  <c r="Y3255"/>
  <c r="Y3256"/>
  <c r="Y3257"/>
  <c r="Y3258"/>
  <c r="Y3259"/>
  <c r="Y3260"/>
  <c r="Y3261"/>
  <c r="Y3262"/>
  <c r="Y3263"/>
  <c r="Y3264"/>
  <c r="Y3265"/>
  <c r="Y3266"/>
  <c r="Y3267"/>
  <c r="Y3268"/>
  <c r="Y3269"/>
  <c r="Y3270"/>
  <c r="Y3271"/>
  <c r="Y3272"/>
  <c r="Y3273"/>
  <c r="Y3274"/>
  <c r="Y3275"/>
  <c r="Y3276"/>
  <c r="Y3277"/>
  <c r="Y3278"/>
  <c r="Y3279"/>
  <c r="Y3280"/>
  <c r="Y3281"/>
  <c r="Y3282"/>
  <c r="Y3283"/>
  <c r="Y3284"/>
  <c r="Y3285"/>
  <c r="Y3286"/>
  <c r="Y3287"/>
  <c r="Y3288"/>
  <c r="Y3289"/>
  <c r="Y3290"/>
  <c r="Y3291"/>
  <c r="Y3292"/>
  <c r="Y3293"/>
  <c r="Y3294"/>
  <c r="Y3295"/>
  <c r="Y3296"/>
  <c r="Y3297"/>
  <c r="Y3298"/>
  <c r="Y3299"/>
  <c r="Y3300"/>
  <c r="Y3301"/>
  <c r="Y3302"/>
  <c r="Y3303"/>
  <c r="Y3304"/>
  <c r="Y3305"/>
  <c r="Y3306"/>
  <c r="Y3307"/>
  <c r="Y3308"/>
  <c r="Y3309"/>
  <c r="Y3310"/>
  <c r="Y3311"/>
  <c r="Y3312"/>
  <c r="Y3313"/>
  <c r="Y3314"/>
  <c r="Y3315"/>
  <c r="Y3316"/>
  <c r="Y3317"/>
  <c r="Y3318"/>
  <c r="Y3319"/>
  <c r="Y3320"/>
  <c r="Y3321"/>
  <c r="Y3322"/>
  <c r="Y3323"/>
  <c r="Y3324"/>
  <c r="Y3325"/>
  <c r="Y3326"/>
  <c r="Y3327"/>
  <c r="Y3328"/>
  <c r="Y3329"/>
  <c r="Y3330"/>
  <c r="Y3331"/>
  <c r="Y3332"/>
  <c r="Y3333"/>
  <c r="Y3334"/>
  <c r="Y3335"/>
  <c r="Y3336"/>
  <c r="Y3337"/>
  <c r="Y3338"/>
  <c r="Y3339"/>
  <c r="Y3340"/>
  <c r="Y3341"/>
  <c r="Y3342"/>
  <c r="Y3343"/>
  <c r="Y3344"/>
  <c r="Y3345"/>
  <c r="Y3346"/>
  <c r="Y3347"/>
  <c r="Y3348"/>
  <c r="Y3349"/>
  <c r="Y3350"/>
  <c r="Y3351"/>
  <c r="Y3352"/>
  <c r="Y3353"/>
  <c r="Y3354"/>
  <c r="Y3355"/>
  <c r="Y3356"/>
  <c r="Y3357"/>
  <c r="Y3358"/>
  <c r="Y3359"/>
  <c r="Y3360"/>
  <c r="Y3361"/>
  <c r="Y3362"/>
  <c r="Y3363"/>
  <c r="Y3364"/>
  <c r="Y3365"/>
  <c r="Y3366"/>
  <c r="Y3367"/>
  <c r="Y3368"/>
  <c r="Y3369"/>
  <c r="Y3370"/>
  <c r="Y3371"/>
  <c r="Y3372"/>
  <c r="Y3373"/>
  <c r="Y3374"/>
  <c r="Y3375"/>
  <c r="Y3376"/>
  <c r="Y3377"/>
  <c r="Y3378"/>
  <c r="Y3379"/>
  <c r="Y3380"/>
  <c r="Y3381"/>
  <c r="Y3382"/>
  <c r="Y3383"/>
  <c r="Y3384"/>
  <c r="Y3385"/>
  <c r="Y3386"/>
  <c r="Y3387"/>
  <c r="Y3388"/>
  <c r="Y3389"/>
  <c r="Y3390"/>
  <c r="Y3391"/>
  <c r="Y3392"/>
  <c r="Y3393"/>
  <c r="Y3394"/>
  <c r="Y3395"/>
  <c r="R10"/>
  <c r="S10"/>
  <c r="AI10" s="1"/>
  <c r="T10"/>
  <c r="AJ10" s="1"/>
  <c r="R11"/>
  <c r="S11"/>
  <c r="AI11" s="1"/>
  <c r="T11"/>
  <c r="AJ11" s="1"/>
  <c r="R12"/>
  <c r="S12"/>
  <c r="AI12" s="1"/>
  <c r="T12"/>
  <c r="AJ12" s="1"/>
  <c r="R13"/>
  <c r="S13"/>
  <c r="AI13" s="1"/>
  <c r="T13"/>
  <c r="AJ13" s="1"/>
  <c r="R14"/>
  <c r="S14"/>
  <c r="AI14" s="1"/>
  <c r="T14"/>
  <c r="AJ14" s="1"/>
  <c r="R15"/>
  <c r="S15"/>
  <c r="AI15" s="1"/>
  <c r="T15"/>
  <c r="AJ15" s="1"/>
  <c r="R16"/>
  <c r="S16"/>
  <c r="AI16" s="1"/>
  <c r="T16"/>
  <c r="AJ16" s="1"/>
  <c r="R17"/>
  <c r="S17"/>
  <c r="AI17" s="1"/>
  <c r="T17"/>
  <c r="AJ17" s="1"/>
  <c r="R18"/>
  <c r="S18"/>
  <c r="AI18" s="1"/>
  <c r="T18"/>
  <c r="AJ18" s="1"/>
  <c r="R19"/>
  <c r="S19"/>
  <c r="AI19" s="1"/>
  <c r="T19"/>
  <c r="AJ19" s="1"/>
  <c r="R20"/>
  <c r="S20"/>
  <c r="AI20" s="1"/>
  <c r="T20"/>
  <c r="AJ20" s="1"/>
  <c r="R21"/>
  <c r="S21"/>
  <c r="AI21" s="1"/>
  <c r="T21"/>
  <c r="AJ21" s="1"/>
  <c r="R22"/>
  <c r="S22"/>
  <c r="AI22" s="1"/>
  <c r="T22"/>
  <c r="AJ22" s="1"/>
  <c r="R23"/>
  <c r="S23"/>
  <c r="AI23" s="1"/>
  <c r="T23"/>
  <c r="AJ23" s="1"/>
  <c r="R24"/>
  <c r="S24"/>
  <c r="AI24" s="1"/>
  <c r="T24"/>
  <c r="AJ24" s="1"/>
  <c r="R25"/>
  <c r="S25"/>
  <c r="AI25" s="1"/>
  <c r="T25"/>
  <c r="AJ25" s="1"/>
  <c r="R26"/>
  <c r="S26"/>
  <c r="AI26" s="1"/>
  <c r="T26"/>
  <c r="AJ26" s="1"/>
  <c r="R27"/>
  <c r="S27"/>
  <c r="AI27" s="1"/>
  <c r="T27"/>
  <c r="AJ27" s="1"/>
  <c r="R28"/>
  <c r="S28"/>
  <c r="AI28" s="1"/>
  <c r="T28"/>
  <c r="AJ28" s="1"/>
  <c r="R29"/>
  <c r="S29"/>
  <c r="AI29" s="1"/>
  <c r="T29"/>
  <c r="AJ29" s="1"/>
  <c r="R30"/>
  <c r="S30"/>
  <c r="AI30" s="1"/>
  <c r="T30"/>
  <c r="AJ30" s="1"/>
  <c r="R31"/>
  <c r="S31"/>
  <c r="AI31" s="1"/>
  <c r="T31"/>
  <c r="AJ31" s="1"/>
  <c r="R32"/>
  <c r="S32"/>
  <c r="T32"/>
  <c r="R33"/>
  <c r="S33"/>
  <c r="AI33" s="1"/>
  <c r="T33"/>
  <c r="AJ33" s="1"/>
  <c r="R34"/>
  <c r="S34"/>
  <c r="AI34" s="1"/>
  <c r="T34"/>
  <c r="AJ34" s="1"/>
  <c r="R35"/>
  <c r="S35"/>
  <c r="AI35" s="1"/>
  <c r="T35"/>
  <c r="AJ35" s="1"/>
  <c r="R36"/>
  <c r="S36"/>
  <c r="AI36" s="1"/>
  <c r="T36"/>
  <c r="AJ36" s="1"/>
  <c r="R37"/>
  <c r="S37"/>
  <c r="AI37" s="1"/>
  <c r="T37"/>
  <c r="AJ37" s="1"/>
  <c r="R38"/>
  <c r="S38"/>
  <c r="AI38" s="1"/>
  <c r="T38"/>
  <c r="AJ38" s="1"/>
  <c r="R39"/>
  <c r="S39"/>
  <c r="AI39" s="1"/>
  <c r="T39"/>
  <c r="AJ39" s="1"/>
  <c r="R40"/>
  <c r="S40"/>
  <c r="AI40" s="1"/>
  <c r="T40"/>
  <c r="AJ40" s="1"/>
  <c r="R41"/>
  <c r="S41"/>
  <c r="AI41" s="1"/>
  <c r="T41"/>
  <c r="AJ41" s="1"/>
  <c r="R42"/>
  <c r="R43"/>
  <c r="S43"/>
  <c r="AI43" s="1"/>
  <c r="T43"/>
  <c r="AJ43" s="1"/>
  <c r="R44"/>
  <c r="S44"/>
  <c r="AI44" s="1"/>
  <c r="T44"/>
  <c r="AJ44" s="1"/>
  <c r="R45"/>
  <c r="S45"/>
  <c r="AI45" s="1"/>
  <c r="T45"/>
  <c r="AJ45" s="1"/>
  <c r="R46"/>
  <c r="S46"/>
  <c r="AI46" s="1"/>
  <c r="T46"/>
  <c r="AJ46" s="1"/>
  <c r="R47"/>
  <c r="S47"/>
  <c r="AI47" s="1"/>
  <c r="T47"/>
  <c r="AJ47" s="1"/>
  <c r="R48"/>
  <c r="S48"/>
  <c r="AI48" s="1"/>
  <c r="T48"/>
  <c r="AJ48" s="1"/>
  <c r="R49"/>
  <c r="S49"/>
  <c r="AI49" s="1"/>
  <c r="T49"/>
  <c r="AJ49" s="1"/>
  <c r="R50"/>
  <c r="S50"/>
  <c r="AI50" s="1"/>
  <c r="T50"/>
  <c r="AJ50" s="1"/>
  <c r="R51"/>
  <c r="S51"/>
  <c r="AI51" s="1"/>
  <c r="R52"/>
  <c r="S52"/>
  <c r="AI52" s="1"/>
  <c r="T52"/>
  <c r="AJ52" s="1"/>
  <c r="R53"/>
  <c r="S53"/>
  <c r="AI53" s="1"/>
  <c r="T53"/>
  <c r="AJ53" s="1"/>
  <c r="R54"/>
  <c r="S54"/>
  <c r="AI54" s="1"/>
  <c r="T54"/>
  <c r="AJ54" s="1"/>
  <c r="R55"/>
  <c r="S55"/>
  <c r="AI55" s="1"/>
  <c r="T55"/>
  <c r="AJ55" s="1"/>
  <c r="R56"/>
  <c r="S56"/>
  <c r="AI56" s="1"/>
  <c r="T56"/>
  <c r="AJ56" s="1"/>
  <c r="R57"/>
  <c r="S57"/>
  <c r="AI57" s="1"/>
  <c r="T57"/>
  <c r="AJ57" s="1"/>
  <c r="R58"/>
  <c r="S58"/>
  <c r="AI58" s="1"/>
  <c r="T58"/>
  <c r="AJ58" s="1"/>
  <c r="R59"/>
  <c r="S59"/>
  <c r="AI59" s="1"/>
  <c r="T59"/>
  <c r="AJ59" s="1"/>
  <c r="R60"/>
  <c r="S60"/>
  <c r="AI60" s="1"/>
  <c r="R61"/>
  <c r="S61"/>
  <c r="AI61" s="1"/>
  <c r="T61"/>
  <c r="AJ61" s="1"/>
  <c r="R62"/>
  <c r="S62"/>
  <c r="AI62" s="1"/>
  <c r="T62"/>
  <c r="AJ62" s="1"/>
  <c r="R63"/>
  <c r="S63"/>
  <c r="AI63" s="1"/>
  <c r="T63"/>
  <c r="AJ63" s="1"/>
  <c r="R64"/>
  <c r="S64"/>
  <c r="AI64" s="1"/>
  <c r="T64"/>
  <c r="AJ64" s="1"/>
  <c r="R65"/>
  <c r="R66"/>
  <c r="S66"/>
  <c r="AI66" s="1"/>
  <c r="T66"/>
  <c r="AJ66" s="1"/>
  <c r="R67"/>
  <c r="S67"/>
  <c r="AI67" s="1"/>
  <c r="T67"/>
  <c r="AJ67" s="1"/>
  <c r="R68"/>
  <c r="S68"/>
  <c r="AI68" s="1"/>
  <c r="T68"/>
  <c r="AJ68" s="1"/>
  <c r="R69"/>
  <c r="S69"/>
  <c r="AI69" s="1"/>
  <c r="T69"/>
  <c r="AJ69" s="1"/>
  <c r="R70"/>
  <c r="S70"/>
  <c r="AI70" s="1"/>
  <c r="T70"/>
  <c r="AJ70" s="1"/>
  <c r="R71"/>
  <c r="S71"/>
  <c r="AI71" s="1"/>
  <c r="T71"/>
  <c r="AJ71" s="1"/>
  <c r="R72"/>
  <c r="S72"/>
  <c r="AI72" s="1"/>
  <c r="T72"/>
  <c r="AJ72" s="1"/>
  <c r="R73"/>
  <c r="S73"/>
  <c r="AI73" s="1"/>
  <c r="T73"/>
  <c r="AJ73" s="1"/>
  <c r="R74"/>
  <c r="S74"/>
  <c r="AI74" s="1"/>
  <c r="T74"/>
  <c r="AJ74" s="1"/>
  <c r="R75"/>
  <c r="S75"/>
  <c r="AI75" s="1"/>
  <c r="T75"/>
  <c r="AJ75" s="1"/>
  <c r="R76"/>
  <c r="S76"/>
  <c r="AI76" s="1"/>
  <c r="T76"/>
  <c r="AJ76" s="1"/>
  <c r="R77"/>
  <c r="S77"/>
  <c r="AI77" s="1"/>
  <c r="T77"/>
  <c r="AJ77" s="1"/>
  <c r="R78"/>
  <c r="S78"/>
  <c r="AI78" s="1"/>
  <c r="T78"/>
  <c r="AJ78" s="1"/>
  <c r="R79"/>
  <c r="S79"/>
  <c r="AI79" s="1"/>
  <c r="T79"/>
  <c r="AJ79" s="1"/>
  <c r="R80"/>
  <c r="S80"/>
  <c r="AI80" s="1"/>
  <c r="T80"/>
  <c r="AJ80" s="1"/>
  <c r="R81"/>
  <c r="S81"/>
  <c r="AI81" s="1"/>
  <c r="T81"/>
  <c r="AJ81" s="1"/>
  <c r="R82"/>
  <c r="S82"/>
  <c r="AI82" s="1"/>
  <c r="T82"/>
  <c r="AJ82" s="1"/>
  <c r="R83"/>
  <c r="S83"/>
  <c r="AI83" s="1"/>
  <c r="T83"/>
  <c r="AJ83" s="1"/>
  <c r="R84"/>
  <c r="S84"/>
  <c r="AI84" s="1"/>
  <c r="T84"/>
  <c r="AJ84" s="1"/>
  <c r="R85"/>
  <c r="S85"/>
  <c r="AI85" s="1"/>
  <c r="T85"/>
  <c r="AJ85" s="1"/>
  <c r="R86"/>
  <c r="S86"/>
  <c r="AI86" s="1"/>
  <c r="T86"/>
  <c r="AJ86" s="1"/>
  <c r="R87"/>
  <c r="S87"/>
  <c r="AI87" s="1"/>
  <c r="T87"/>
  <c r="AJ87" s="1"/>
  <c r="R88"/>
  <c r="S88"/>
  <c r="AI88" s="1"/>
  <c r="T88"/>
  <c r="AJ88" s="1"/>
  <c r="R89"/>
  <c r="S89"/>
  <c r="AI89" s="1"/>
  <c r="T89"/>
  <c r="AJ89" s="1"/>
  <c r="R90"/>
  <c r="S90"/>
  <c r="AI90" s="1"/>
  <c r="T90"/>
  <c r="AJ90" s="1"/>
  <c r="R91"/>
  <c r="S91"/>
  <c r="AI91" s="1"/>
  <c r="T91"/>
  <c r="AJ91" s="1"/>
  <c r="R92"/>
  <c r="S92"/>
  <c r="AI92" s="1"/>
  <c r="T92"/>
  <c r="AJ92" s="1"/>
  <c r="R93"/>
  <c r="S93"/>
  <c r="AI93" s="1"/>
  <c r="T93"/>
  <c r="AJ93" s="1"/>
  <c r="R94"/>
  <c r="S94"/>
  <c r="AI94" s="1"/>
  <c r="T94"/>
  <c r="AJ94" s="1"/>
  <c r="R95"/>
  <c r="S95"/>
  <c r="AI95" s="1"/>
  <c r="T95"/>
  <c r="AJ95" s="1"/>
  <c r="R96"/>
  <c r="S96"/>
  <c r="AI96" s="1"/>
  <c r="T96"/>
  <c r="AJ96" s="1"/>
  <c r="R97"/>
  <c r="S97"/>
  <c r="AI97" s="1"/>
  <c r="T97"/>
  <c r="AJ97" s="1"/>
  <c r="R98"/>
  <c r="S98"/>
  <c r="AI98" s="1"/>
  <c r="T98"/>
  <c r="AJ98" s="1"/>
  <c r="R99"/>
  <c r="S99"/>
  <c r="AI99" s="1"/>
  <c r="T99"/>
  <c r="AJ99" s="1"/>
  <c r="R100"/>
  <c r="S100"/>
  <c r="AI100" s="1"/>
  <c r="T100"/>
  <c r="AJ100" s="1"/>
  <c r="R101"/>
  <c r="S101"/>
  <c r="AI101" s="1"/>
  <c r="T101"/>
  <c r="AJ101" s="1"/>
  <c r="R102"/>
  <c r="S102"/>
  <c r="AI102" s="1"/>
  <c r="T102"/>
  <c r="AJ102" s="1"/>
  <c r="R103"/>
  <c r="S103"/>
  <c r="AI103" s="1"/>
  <c r="T103"/>
  <c r="AJ103" s="1"/>
  <c r="R104"/>
  <c r="S104"/>
  <c r="AI104" s="1"/>
  <c r="T104"/>
  <c r="AJ104" s="1"/>
  <c r="R105"/>
  <c r="S105"/>
  <c r="AI105" s="1"/>
  <c r="T105"/>
  <c r="AJ105" s="1"/>
  <c r="R106"/>
  <c r="S106"/>
  <c r="AI106" s="1"/>
  <c r="T106"/>
  <c r="AJ106" s="1"/>
  <c r="R107"/>
  <c r="S107"/>
  <c r="AI107" s="1"/>
  <c r="T107"/>
  <c r="AJ107" s="1"/>
  <c r="R108"/>
  <c r="S108"/>
  <c r="AI108" s="1"/>
  <c r="T108"/>
  <c r="AJ108" s="1"/>
  <c r="R109"/>
  <c r="S109"/>
  <c r="AI109" s="1"/>
  <c r="T109"/>
  <c r="AJ109" s="1"/>
  <c r="R110"/>
  <c r="S110"/>
  <c r="AI110" s="1"/>
  <c r="T110"/>
  <c r="AJ110" s="1"/>
  <c r="R111"/>
  <c r="S111"/>
  <c r="AI111" s="1"/>
  <c r="T111"/>
  <c r="AJ111" s="1"/>
  <c r="R112"/>
  <c r="S112"/>
  <c r="AI112" s="1"/>
  <c r="T112"/>
  <c r="AJ112" s="1"/>
  <c r="R113"/>
  <c r="S113"/>
  <c r="AI113" s="1"/>
  <c r="T113"/>
  <c r="AJ113" s="1"/>
  <c r="R114"/>
  <c r="S114"/>
  <c r="AI114" s="1"/>
  <c r="T114"/>
  <c r="AJ114" s="1"/>
  <c r="R115"/>
  <c r="S115"/>
  <c r="AI115" s="1"/>
  <c r="T115"/>
  <c r="AJ115" s="1"/>
  <c r="R116"/>
  <c r="S116"/>
  <c r="AI116" s="1"/>
  <c r="T116"/>
  <c r="AJ116" s="1"/>
  <c r="R117"/>
  <c r="S117"/>
  <c r="AI117" s="1"/>
  <c r="T117"/>
  <c r="AJ117" s="1"/>
  <c r="R118"/>
  <c r="S118"/>
  <c r="AI118" s="1"/>
  <c r="T118"/>
  <c r="AJ118" s="1"/>
  <c r="R119"/>
  <c r="S119"/>
  <c r="AI119" s="1"/>
  <c r="T119"/>
  <c r="AJ119" s="1"/>
  <c r="R120"/>
  <c r="S120"/>
  <c r="AI120" s="1"/>
  <c r="T120"/>
  <c r="AJ120" s="1"/>
  <c r="R121"/>
  <c r="S121"/>
  <c r="AI121" s="1"/>
  <c r="T121"/>
  <c r="AJ121" s="1"/>
  <c r="R122"/>
  <c r="S122"/>
  <c r="AI122" s="1"/>
  <c r="T122"/>
  <c r="AJ122" s="1"/>
  <c r="R123"/>
  <c r="S123"/>
  <c r="AI123" s="1"/>
  <c r="T123"/>
  <c r="AJ123" s="1"/>
  <c r="R124"/>
  <c r="S124"/>
  <c r="AI124" s="1"/>
  <c r="T124"/>
  <c r="AJ124" s="1"/>
  <c r="R125"/>
  <c r="S125"/>
  <c r="AI125" s="1"/>
  <c r="T125"/>
  <c r="AJ125" s="1"/>
  <c r="R126"/>
  <c r="S126"/>
  <c r="AI126" s="1"/>
  <c r="T126"/>
  <c r="AJ126" s="1"/>
  <c r="R127"/>
  <c r="S127"/>
  <c r="AI127" s="1"/>
  <c r="T127"/>
  <c r="AJ127" s="1"/>
  <c r="R128"/>
  <c r="S128"/>
  <c r="AI128" s="1"/>
  <c r="T128"/>
  <c r="AJ128" s="1"/>
  <c r="R129"/>
  <c r="S129"/>
  <c r="AI129" s="1"/>
  <c r="T129"/>
  <c r="AJ129" s="1"/>
  <c r="R130"/>
  <c r="S130"/>
  <c r="AI130" s="1"/>
  <c r="T130"/>
  <c r="AJ130" s="1"/>
  <c r="R131"/>
  <c r="S131"/>
  <c r="AI131" s="1"/>
  <c r="T131"/>
  <c r="AJ131" s="1"/>
  <c r="R132"/>
  <c r="S132"/>
  <c r="AI132" s="1"/>
  <c r="T132"/>
  <c r="AJ132" s="1"/>
  <c r="R133"/>
  <c r="S133"/>
  <c r="AI133" s="1"/>
  <c r="T133"/>
  <c r="AJ133" s="1"/>
  <c r="R134"/>
  <c r="S134"/>
  <c r="AI134" s="1"/>
  <c r="T134"/>
  <c r="AJ134" s="1"/>
  <c r="R135"/>
  <c r="S135"/>
  <c r="AI135" s="1"/>
  <c r="T135"/>
  <c r="AJ135" s="1"/>
  <c r="R136"/>
  <c r="S136"/>
  <c r="AI136" s="1"/>
  <c r="T136"/>
  <c r="AJ136" s="1"/>
  <c r="R137"/>
  <c r="S137"/>
  <c r="AI137" s="1"/>
  <c r="T137"/>
  <c r="AJ137" s="1"/>
  <c r="R138"/>
  <c r="S138"/>
  <c r="AI138" s="1"/>
  <c r="T138"/>
  <c r="AJ138" s="1"/>
  <c r="R139"/>
  <c r="S139"/>
  <c r="AI139" s="1"/>
  <c r="T139"/>
  <c r="AJ139" s="1"/>
  <c r="R140"/>
  <c r="S140"/>
  <c r="AI140" s="1"/>
  <c r="T140"/>
  <c r="AJ140" s="1"/>
  <c r="R141"/>
  <c r="S141"/>
  <c r="AI141" s="1"/>
  <c r="T141"/>
  <c r="AJ141" s="1"/>
  <c r="R142"/>
  <c r="S142"/>
  <c r="AI142" s="1"/>
  <c r="T142"/>
  <c r="AJ142" s="1"/>
  <c r="R143"/>
  <c r="S143"/>
  <c r="AI143" s="1"/>
  <c r="T143"/>
  <c r="AJ143" s="1"/>
  <c r="R144"/>
  <c r="S144"/>
  <c r="AI144" s="1"/>
  <c r="T144"/>
  <c r="AJ144" s="1"/>
  <c r="R145"/>
  <c r="S145"/>
  <c r="AI145" s="1"/>
  <c r="T145"/>
  <c r="AJ145" s="1"/>
  <c r="R146"/>
  <c r="S146"/>
  <c r="AI146" s="1"/>
  <c r="T146"/>
  <c r="AJ146" s="1"/>
  <c r="R147"/>
  <c r="S147"/>
  <c r="AI147" s="1"/>
  <c r="T147"/>
  <c r="AJ147" s="1"/>
  <c r="R148"/>
  <c r="S148"/>
  <c r="AI148" s="1"/>
  <c r="T148"/>
  <c r="AJ148" s="1"/>
  <c r="R149"/>
  <c r="S149"/>
  <c r="AI149" s="1"/>
  <c r="T149"/>
  <c r="AJ149" s="1"/>
  <c r="R150"/>
  <c r="S150"/>
  <c r="AI150" s="1"/>
  <c r="T150"/>
  <c r="AJ150" s="1"/>
  <c r="R151"/>
  <c r="S151"/>
  <c r="AI151" s="1"/>
  <c r="T151"/>
  <c r="AJ151" s="1"/>
  <c r="R152"/>
  <c r="S152"/>
  <c r="AI152" s="1"/>
  <c r="T152"/>
  <c r="AJ152" s="1"/>
  <c r="R153"/>
  <c r="S153"/>
  <c r="AI153" s="1"/>
  <c r="T153"/>
  <c r="AJ153" s="1"/>
  <c r="R154"/>
  <c r="S154"/>
  <c r="AI154" s="1"/>
  <c r="T154"/>
  <c r="AJ154" s="1"/>
  <c r="R155"/>
  <c r="S155"/>
  <c r="AI155" s="1"/>
  <c r="T155"/>
  <c r="AJ155" s="1"/>
  <c r="R156"/>
  <c r="S156"/>
  <c r="AI156" s="1"/>
  <c r="T156"/>
  <c r="AJ156" s="1"/>
  <c r="R157"/>
  <c r="S157"/>
  <c r="AI157" s="1"/>
  <c r="T157"/>
  <c r="AJ157" s="1"/>
  <c r="R158"/>
  <c r="S158"/>
  <c r="AI158" s="1"/>
  <c r="T158"/>
  <c r="AJ158" s="1"/>
  <c r="R159"/>
  <c r="R160"/>
  <c r="S160"/>
  <c r="AI160" s="1"/>
  <c r="T160"/>
  <c r="AJ160" s="1"/>
  <c r="R161"/>
  <c r="S161"/>
  <c r="AI161" s="1"/>
  <c r="T161"/>
  <c r="AJ161" s="1"/>
  <c r="R162"/>
  <c r="S162"/>
  <c r="AI162" s="1"/>
  <c r="T162"/>
  <c r="AJ162" s="1"/>
  <c r="R163"/>
  <c r="S163"/>
  <c r="AI163" s="1"/>
  <c r="T163"/>
  <c r="AJ163" s="1"/>
  <c r="R164"/>
  <c r="S164"/>
  <c r="AI164" s="1"/>
  <c r="T164"/>
  <c r="AJ164" s="1"/>
  <c r="R165"/>
  <c r="S165"/>
  <c r="AI165" s="1"/>
  <c r="T165"/>
  <c r="AJ165" s="1"/>
  <c r="R166"/>
  <c r="S166"/>
  <c r="AI166" s="1"/>
  <c r="T166"/>
  <c r="AJ166" s="1"/>
  <c r="R167"/>
  <c r="S167"/>
  <c r="AI167" s="1"/>
  <c r="T167"/>
  <c r="AJ167" s="1"/>
  <c r="R168"/>
  <c r="S168"/>
  <c r="AI168" s="1"/>
  <c r="T168"/>
  <c r="AJ168" s="1"/>
  <c r="R169"/>
  <c r="S169"/>
  <c r="AI169" s="1"/>
  <c r="T169"/>
  <c r="AJ169" s="1"/>
  <c r="R170"/>
  <c r="S170"/>
  <c r="AI170" s="1"/>
  <c r="T170"/>
  <c r="AJ170" s="1"/>
  <c r="R171"/>
  <c r="S171"/>
  <c r="AI171" s="1"/>
  <c r="T171"/>
  <c r="AJ171" s="1"/>
  <c r="R172"/>
  <c r="S172"/>
  <c r="AI172" s="1"/>
  <c r="T172"/>
  <c r="AJ172" s="1"/>
  <c r="R173"/>
  <c r="S173"/>
  <c r="AI173" s="1"/>
  <c r="T173"/>
  <c r="AJ173" s="1"/>
  <c r="R174"/>
  <c r="S174"/>
  <c r="AI174" s="1"/>
  <c r="T174"/>
  <c r="AJ174" s="1"/>
  <c r="R175"/>
  <c r="S175"/>
  <c r="AI175" s="1"/>
  <c r="T175"/>
  <c r="AJ175" s="1"/>
  <c r="R176"/>
  <c r="S176"/>
  <c r="AI176" s="1"/>
  <c r="T176"/>
  <c r="AJ176" s="1"/>
  <c r="R177"/>
  <c r="S177"/>
  <c r="AI177" s="1"/>
  <c r="T177"/>
  <c r="AJ177" s="1"/>
  <c r="R178"/>
  <c r="S178"/>
  <c r="AI178" s="1"/>
  <c r="T178"/>
  <c r="AJ178" s="1"/>
  <c r="R179"/>
  <c r="S179"/>
  <c r="AI179" s="1"/>
  <c r="T179"/>
  <c r="AJ179" s="1"/>
  <c r="R180"/>
  <c r="S180"/>
  <c r="AI180" s="1"/>
  <c r="T180"/>
  <c r="AJ180" s="1"/>
  <c r="R181"/>
  <c r="S181"/>
  <c r="AI181" s="1"/>
  <c r="T181"/>
  <c r="AJ181" s="1"/>
  <c r="R182"/>
  <c r="S182"/>
  <c r="AI182" s="1"/>
  <c r="T182"/>
  <c r="AJ182" s="1"/>
  <c r="R183"/>
  <c r="S183"/>
  <c r="AI183" s="1"/>
  <c r="T183"/>
  <c r="AJ183" s="1"/>
  <c r="R184"/>
  <c r="S184"/>
  <c r="AI184" s="1"/>
  <c r="T184"/>
  <c r="AJ184" s="1"/>
  <c r="R185"/>
  <c r="S185"/>
  <c r="AI185" s="1"/>
  <c r="T185"/>
  <c r="AJ185" s="1"/>
  <c r="R186"/>
  <c r="S186"/>
  <c r="AI186" s="1"/>
  <c r="T186"/>
  <c r="AJ186" s="1"/>
  <c r="R187"/>
  <c r="S187"/>
  <c r="AI187" s="1"/>
  <c r="T187"/>
  <c r="AJ187" s="1"/>
  <c r="R188"/>
  <c r="S188"/>
  <c r="AI188" s="1"/>
  <c r="T188"/>
  <c r="AJ188" s="1"/>
  <c r="R189"/>
  <c r="S189"/>
  <c r="AI189" s="1"/>
  <c r="T189"/>
  <c r="AJ189" s="1"/>
  <c r="R190"/>
  <c r="S190"/>
  <c r="AI190" s="1"/>
  <c r="T190"/>
  <c r="AJ190" s="1"/>
  <c r="R191"/>
  <c r="S191"/>
  <c r="AI191" s="1"/>
  <c r="T191"/>
  <c r="AJ191" s="1"/>
  <c r="R192"/>
  <c r="S192"/>
  <c r="AI192" s="1"/>
  <c r="T192"/>
  <c r="AJ192" s="1"/>
  <c r="R193"/>
  <c r="S193"/>
  <c r="AI193" s="1"/>
  <c r="T193"/>
  <c r="AJ193" s="1"/>
  <c r="R194"/>
  <c r="S194"/>
  <c r="AI194" s="1"/>
  <c r="T194"/>
  <c r="AJ194" s="1"/>
  <c r="R195"/>
  <c r="S195"/>
  <c r="AI195" s="1"/>
  <c r="T195"/>
  <c r="AJ195" s="1"/>
  <c r="R196"/>
  <c r="S196"/>
  <c r="AI196" s="1"/>
  <c r="T196"/>
  <c r="AJ196" s="1"/>
  <c r="R197"/>
  <c r="S197"/>
  <c r="AI197" s="1"/>
  <c r="T197"/>
  <c r="AJ197" s="1"/>
  <c r="R198"/>
  <c r="S198"/>
  <c r="AI198" s="1"/>
  <c r="T198"/>
  <c r="AJ198" s="1"/>
  <c r="R199"/>
  <c r="S199"/>
  <c r="AI199" s="1"/>
  <c r="T199"/>
  <c r="AJ199" s="1"/>
  <c r="R200"/>
  <c r="S200"/>
  <c r="AI200" s="1"/>
  <c r="T200"/>
  <c r="AJ200" s="1"/>
  <c r="R201"/>
  <c r="S201"/>
  <c r="AI201" s="1"/>
  <c r="T201"/>
  <c r="AJ201" s="1"/>
  <c r="R202"/>
  <c r="S202"/>
  <c r="AI202" s="1"/>
  <c r="T202"/>
  <c r="AJ202" s="1"/>
  <c r="R203"/>
  <c r="S203"/>
  <c r="AI203" s="1"/>
  <c r="T203"/>
  <c r="AJ203" s="1"/>
  <c r="R204"/>
  <c r="S204"/>
  <c r="AI204" s="1"/>
  <c r="T204"/>
  <c r="AJ204" s="1"/>
  <c r="R205"/>
  <c r="S205"/>
  <c r="AI205" s="1"/>
  <c r="T205"/>
  <c r="AJ205" s="1"/>
  <c r="R206"/>
  <c r="S206"/>
  <c r="AI206" s="1"/>
  <c r="T206"/>
  <c r="AJ206" s="1"/>
  <c r="R207"/>
  <c r="S207"/>
  <c r="AI207" s="1"/>
  <c r="T207"/>
  <c r="AJ207" s="1"/>
  <c r="R208"/>
  <c r="S208"/>
  <c r="AI208" s="1"/>
  <c r="T208"/>
  <c r="AJ208" s="1"/>
  <c r="R209"/>
  <c r="S209"/>
  <c r="AI209" s="1"/>
  <c r="T209"/>
  <c r="AJ209" s="1"/>
  <c r="R210"/>
  <c r="S210"/>
  <c r="AI210" s="1"/>
  <c r="T210"/>
  <c r="AJ210" s="1"/>
  <c r="R211"/>
  <c r="S211"/>
  <c r="AI211" s="1"/>
  <c r="T211"/>
  <c r="AJ211" s="1"/>
  <c r="R212"/>
  <c r="S212"/>
  <c r="AI212" s="1"/>
  <c r="R213"/>
  <c r="S213"/>
  <c r="AI213" s="1"/>
  <c r="T213"/>
  <c r="AJ213" s="1"/>
  <c r="R214"/>
  <c r="S214"/>
  <c r="AI214" s="1"/>
  <c r="T214"/>
  <c r="AJ214" s="1"/>
  <c r="R215"/>
  <c r="S215"/>
  <c r="AI215" s="1"/>
  <c r="T215"/>
  <c r="AJ215" s="1"/>
  <c r="R216"/>
  <c r="S216"/>
  <c r="AI216" s="1"/>
  <c r="T216"/>
  <c r="AJ216" s="1"/>
  <c r="R217"/>
  <c r="S217"/>
  <c r="AI217" s="1"/>
  <c r="T217"/>
  <c r="AJ217" s="1"/>
  <c r="R218"/>
  <c r="S218"/>
  <c r="AI218" s="1"/>
  <c r="R219"/>
  <c r="S219"/>
  <c r="AI219" s="1"/>
  <c r="R220"/>
  <c r="S220"/>
  <c r="AI220" s="1"/>
  <c r="T220"/>
  <c r="AJ220" s="1"/>
  <c r="R221"/>
  <c r="S221"/>
  <c r="AI221" s="1"/>
  <c r="T221"/>
  <c r="AJ221" s="1"/>
  <c r="R222"/>
  <c r="S222"/>
  <c r="AI222" s="1"/>
  <c r="R223"/>
  <c r="S223"/>
  <c r="AI223" s="1"/>
  <c r="T223"/>
  <c r="AJ223" s="1"/>
  <c r="R224"/>
  <c r="S224"/>
  <c r="AI224" s="1"/>
  <c r="T224"/>
  <c r="AJ224" s="1"/>
  <c r="R225"/>
  <c r="S225"/>
  <c r="AI225" s="1"/>
  <c r="T225"/>
  <c r="AJ225" s="1"/>
  <c r="R226"/>
  <c r="S226"/>
  <c r="AI226" s="1"/>
  <c r="T226"/>
  <c r="AJ226" s="1"/>
  <c r="R227"/>
  <c r="S227"/>
  <c r="AI227" s="1"/>
  <c r="T227"/>
  <c r="AJ227" s="1"/>
  <c r="R228"/>
  <c r="S228"/>
  <c r="AI228" s="1"/>
  <c r="T228"/>
  <c r="AJ228" s="1"/>
  <c r="R229"/>
  <c r="S229"/>
  <c r="AI229" s="1"/>
  <c r="T229"/>
  <c r="AJ229" s="1"/>
  <c r="R230"/>
  <c r="S230"/>
  <c r="AI230" s="1"/>
  <c r="T230"/>
  <c r="AJ230" s="1"/>
  <c r="R231"/>
  <c r="S231"/>
  <c r="AI231" s="1"/>
  <c r="T231"/>
  <c r="AJ231" s="1"/>
  <c r="R232"/>
  <c r="S232"/>
  <c r="AI232" s="1"/>
  <c r="T232"/>
  <c r="AJ232" s="1"/>
  <c r="R233"/>
  <c r="S233"/>
  <c r="AI233" s="1"/>
  <c r="T233"/>
  <c r="AJ233" s="1"/>
  <c r="R234"/>
  <c r="S234"/>
  <c r="AI234" s="1"/>
  <c r="T234"/>
  <c r="AJ234" s="1"/>
  <c r="R235"/>
  <c r="S235"/>
  <c r="AI235" s="1"/>
  <c r="T235"/>
  <c r="AJ235" s="1"/>
  <c r="R236"/>
  <c r="S236"/>
  <c r="AI236" s="1"/>
  <c r="T236"/>
  <c r="R237"/>
  <c r="S237"/>
  <c r="AI237" s="1"/>
  <c r="T237"/>
  <c r="AJ237" s="1"/>
  <c r="R238"/>
  <c r="S238"/>
  <c r="AI238" s="1"/>
  <c r="T238"/>
  <c r="AJ238" s="1"/>
  <c r="R239"/>
  <c r="S239"/>
  <c r="AI239" s="1"/>
  <c r="T239"/>
  <c r="AJ239" s="1"/>
  <c r="R240"/>
  <c r="S240"/>
  <c r="AI240" s="1"/>
  <c r="T240"/>
  <c r="AJ240" s="1"/>
  <c r="R241"/>
  <c r="S241"/>
  <c r="AI241" s="1"/>
  <c r="T241"/>
  <c r="AJ241" s="1"/>
  <c r="R242"/>
  <c r="S242"/>
  <c r="AI242" s="1"/>
  <c r="T242"/>
  <c r="AJ242" s="1"/>
  <c r="R243"/>
  <c r="S243"/>
  <c r="AI243" s="1"/>
  <c r="T243"/>
  <c r="AJ243" s="1"/>
  <c r="R244"/>
  <c r="S244"/>
  <c r="AI244" s="1"/>
  <c r="T244"/>
  <c r="AJ244" s="1"/>
  <c r="R245"/>
  <c r="S245"/>
  <c r="AI245" s="1"/>
  <c r="T245"/>
  <c r="AJ245" s="1"/>
  <c r="R246"/>
  <c r="S246"/>
  <c r="AI246" s="1"/>
  <c r="T246"/>
  <c r="AJ246" s="1"/>
  <c r="R247"/>
  <c r="S247"/>
  <c r="AI247" s="1"/>
  <c r="T247"/>
  <c r="AJ247" s="1"/>
  <c r="R248"/>
  <c r="S248"/>
  <c r="AI248" s="1"/>
  <c r="T248"/>
  <c r="AJ248" s="1"/>
  <c r="R249"/>
  <c r="S249"/>
  <c r="AI249" s="1"/>
  <c r="T249"/>
  <c r="AJ249" s="1"/>
  <c r="R250"/>
  <c r="S250"/>
  <c r="AI250" s="1"/>
  <c r="T250"/>
  <c r="AJ250" s="1"/>
  <c r="R251"/>
  <c r="S251"/>
  <c r="AI251" s="1"/>
  <c r="T251"/>
  <c r="AJ251" s="1"/>
  <c r="R252"/>
  <c r="S252"/>
  <c r="AI252" s="1"/>
  <c r="T252"/>
  <c r="AJ252" s="1"/>
  <c r="R253"/>
  <c r="S253"/>
  <c r="AI253" s="1"/>
  <c r="T253"/>
  <c r="AJ253" s="1"/>
  <c r="R254"/>
  <c r="S254"/>
  <c r="AI254" s="1"/>
  <c r="T254"/>
  <c r="AJ254" s="1"/>
  <c r="R255"/>
  <c r="S255"/>
  <c r="AI255" s="1"/>
  <c r="T255"/>
  <c r="AJ255" s="1"/>
  <c r="R256"/>
  <c r="S256"/>
  <c r="AI256" s="1"/>
  <c r="T256"/>
  <c r="AJ256" s="1"/>
  <c r="R257"/>
  <c r="S257"/>
  <c r="AI257" s="1"/>
  <c r="T257"/>
  <c r="AJ257" s="1"/>
  <c r="R258"/>
  <c r="S258"/>
  <c r="AI258" s="1"/>
  <c r="T258"/>
  <c r="AJ258" s="1"/>
  <c r="R259"/>
  <c r="S259"/>
  <c r="AI259" s="1"/>
  <c r="T259"/>
  <c r="AJ259" s="1"/>
  <c r="R260"/>
  <c r="S260"/>
  <c r="AI260" s="1"/>
  <c r="T260"/>
  <c r="AJ260" s="1"/>
  <c r="R261"/>
  <c r="S261"/>
  <c r="AI261" s="1"/>
  <c r="T261"/>
  <c r="AJ261" s="1"/>
  <c r="R262"/>
  <c r="S262"/>
  <c r="AI262" s="1"/>
  <c r="T262"/>
  <c r="AJ262" s="1"/>
  <c r="R263"/>
  <c r="S263"/>
  <c r="AI263" s="1"/>
  <c r="T263"/>
  <c r="AJ263" s="1"/>
  <c r="R264"/>
  <c r="S264"/>
  <c r="AI264" s="1"/>
  <c r="T264"/>
  <c r="AJ264" s="1"/>
  <c r="R265"/>
  <c r="S265"/>
  <c r="AI265" s="1"/>
  <c r="T265"/>
  <c r="AJ265" s="1"/>
  <c r="R266"/>
  <c r="S266"/>
  <c r="AI266" s="1"/>
  <c r="T266"/>
  <c r="AJ266" s="1"/>
  <c r="R267"/>
  <c r="S267"/>
  <c r="AI267" s="1"/>
  <c r="T267"/>
  <c r="AJ267" s="1"/>
  <c r="R268"/>
  <c r="S268"/>
  <c r="AI268" s="1"/>
  <c r="T268"/>
  <c r="AJ268" s="1"/>
  <c r="R269"/>
  <c r="S269"/>
  <c r="AI269" s="1"/>
  <c r="T269"/>
  <c r="AJ269" s="1"/>
  <c r="R270"/>
  <c r="S270"/>
  <c r="AI270" s="1"/>
  <c r="T270"/>
  <c r="AJ270" s="1"/>
  <c r="R271"/>
  <c r="S271"/>
  <c r="AI271" s="1"/>
  <c r="T271"/>
  <c r="AJ271" s="1"/>
  <c r="R272"/>
  <c r="S272"/>
  <c r="AI272" s="1"/>
  <c r="T272"/>
  <c r="AJ272" s="1"/>
  <c r="R273"/>
  <c r="S273"/>
  <c r="AI273" s="1"/>
  <c r="T273"/>
  <c r="AJ273" s="1"/>
  <c r="R274"/>
  <c r="S274"/>
  <c r="AI274" s="1"/>
  <c r="T274"/>
  <c r="AJ274" s="1"/>
  <c r="R275"/>
  <c r="S275"/>
  <c r="AI275" s="1"/>
  <c r="T275"/>
  <c r="AJ275" s="1"/>
  <c r="R276"/>
  <c r="S276"/>
  <c r="AI276" s="1"/>
  <c r="T276"/>
  <c r="AJ276" s="1"/>
  <c r="R277"/>
  <c r="S277"/>
  <c r="AI277" s="1"/>
  <c r="T277"/>
  <c r="AJ277" s="1"/>
  <c r="R278"/>
  <c r="S278"/>
  <c r="AI278" s="1"/>
  <c r="T278"/>
  <c r="AJ278" s="1"/>
  <c r="R279"/>
  <c r="S279"/>
  <c r="AI279" s="1"/>
  <c r="T279"/>
  <c r="AJ279" s="1"/>
  <c r="R280"/>
  <c r="S280"/>
  <c r="AI280" s="1"/>
  <c r="T280"/>
  <c r="AJ280" s="1"/>
  <c r="R281"/>
  <c r="S281"/>
  <c r="AI281" s="1"/>
  <c r="T281"/>
  <c r="AJ281" s="1"/>
  <c r="R282"/>
  <c r="S282"/>
  <c r="AI282" s="1"/>
  <c r="T282"/>
  <c r="AJ282" s="1"/>
  <c r="R283"/>
  <c r="S283"/>
  <c r="AI283" s="1"/>
  <c r="T283"/>
  <c r="AJ283" s="1"/>
  <c r="R284"/>
  <c r="S284"/>
  <c r="AI284" s="1"/>
  <c r="T284"/>
  <c r="AJ284" s="1"/>
  <c r="R285"/>
  <c r="S285"/>
  <c r="AI285" s="1"/>
  <c r="T285"/>
  <c r="AJ285" s="1"/>
  <c r="R286"/>
  <c r="S286"/>
  <c r="AI286" s="1"/>
  <c r="T286"/>
  <c r="AJ286" s="1"/>
  <c r="R287"/>
  <c r="S287"/>
  <c r="AI287" s="1"/>
  <c r="T287"/>
  <c r="AJ287" s="1"/>
  <c r="R288"/>
  <c r="S288"/>
  <c r="AI288" s="1"/>
  <c r="T288"/>
  <c r="AJ288" s="1"/>
  <c r="R289"/>
  <c r="S289"/>
  <c r="AI289" s="1"/>
  <c r="T289"/>
  <c r="AJ289" s="1"/>
  <c r="R290"/>
  <c r="S290"/>
  <c r="AI290" s="1"/>
  <c r="T290"/>
  <c r="AJ290" s="1"/>
  <c r="R291"/>
  <c r="S291"/>
  <c r="AI291" s="1"/>
  <c r="T291"/>
  <c r="AJ291" s="1"/>
  <c r="R292"/>
  <c r="S292"/>
  <c r="AI292" s="1"/>
  <c r="T292"/>
  <c r="AJ292" s="1"/>
  <c r="R293"/>
  <c r="S293"/>
  <c r="AI293" s="1"/>
  <c r="T293"/>
  <c r="AJ293" s="1"/>
  <c r="R294"/>
  <c r="S294"/>
  <c r="AI294" s="1"/>
  <c r="T294"/>
  <c r="AJ294" s="1"/>
  <c r="R295"/>
  <c r="S295"/>
  <c r="AI295" s="1"/>
  <c r="T295"/>
  <c r="AJ295" s="1"/>
  <c r="R296"/>
  <c r="S296"/>
  <c r="AI296" s="1"/>
  <c r="T296"/>
  <c r="AJ296" s="1"/>
  <c r="R297"/>
  <c r="S297"/>
  <c r="AI297" s="1"/>
  <c r="T297"/>
  <c r="AJ297" s="1"/>
  <c r="R298"/>
  <c r="S298"/>
  <c r="AI298" s="1"/>
  <c r="T298"/>
  <c r="AJ298" s="1"/>
  <c r="R299"/>
  <c r="S299"/>
  <c r="AI299" s="1"/>
  <c r="T299"/>
  <c r="AJ299" s="1"/>
  <c r="R300"/>
  <c r="S300"/>
  <c r="AI300" s="1"/>
  <c r="T300"/>
  <c r="AJ300" s="1"/>
  <c r="R301"/>
  <c r="S301"/>
  <c r="AI301" s="1"/>
  <c r="T301"/>
  <c r="AJ301" s="1"/>
  <c r="R302"/>
  <c r="S302"/>
  <c r="AI302" s="1"/>
  <c r="T302"/>
  <c r="AJ302" s="1"/>
  <c r="R303"/>
  <c r="S303"/>
  <c r="AI303" s="1"/>
  <c r="T303"/>
  <c r="AJ303" s="1"/>
  <c r="R304"/>
  <c r="S304"/>
  <c r="AI304" s="1"/>
  <c r="T304"/>
  <c r="AJ304" s="1"/>
  <c r="R305"/>
  <c r="S305"/>
  <c r="AI305" s="1"/>
  <c r="T305"/>
  <c r="AJ305" s="1"/>
  <c r="R306"/>
  <c r="S306"/>
  <c r="AI306" s="1"/>
  <c r="T306"/>
  <c r="AJ306" s="1"/>
  <c r="R307"/>
  <c r="S307"/>
  <c r="AI307" s="1"/>
  <c r="T307"/>
  <c r="AJ307" s="1"/>
  <c r="R308"/>
  <c r="S308"/>
  <c r="AI308" s="1"/>
  <c r="T308"/>
  <c r="AJ308" s="1"/>
  <c r="R309"/>
  <c r="S309"/>
  <c r="AI309" s="1"/>
  <c r="T309"/>
  <c r="AJ309" s="1"/>
  <c r="R310"/>
  <c r="S310"/>
  <c r="AI310" s="1"/>
  <c r="T310"/>
  <c r="AJ310" s="1"/>
  <c r="R311"/>
  <c r="S311"/>
  <c r="AI311" s="1"/>
  <c r="T311"/>
  <c r="AJ311" s="1"/>
  <c r="R312"/>
  <c r="S312"/>
  <c r="AI312" s="1"/>
  <c r="T312"/>
  <c r="AJ312" s="1"/>
  <c r="R313"/>
  <c r="S313"/>
  <c r="AI313" s="1"/>
  <c r="T313"/>
  <c r="AJ313" s="1"/>
  <c r="R314"/>
  <c r="S314"/>
  <c r="AI314" s="1"/>
  <c r="T314"/>
  <c r="AJ314" s="1"/>
  <c r="R315"/>
  <c r="S315"/>
  <c r="AI315" s="1"/>
  <c r="T315"/>
  <c r="AJ315" s="1"/>
  <c r="R316"/>
  <c r="S316"/>
  <c r="AI316" s="1"/>
  <c r="T316"/>
  <c r="AJ316" s="1"/>
  <c r="R317"/>
  <c r="S317"/>
  <c r="AI317" s="1"/>
  <c r="T317"/>
  <c r="AJ317" s="1"/>
  <c r="R318"/>
  <c r="S318"/>
  <c r="AI318" s="1"/>
  <c r="T318"/>
  <c r="AJ318" s="1"/>
  <c r="R319"/>
  <c r="S319"/>
  <c r="AI319" s="1"/>
  <c r="T319"/>
  <c r="AJ319" s="1"/>
  <c r="R320"/>
  <c r="S320"/>
  <c r="AI320" s="1"/>
  <c r="T320"/>
  <c r="AJ320" s="1"/>
  <c r="R321"/>
  <c r="S321"/>
  <c r="AI321" s="1"/>
  <c r="T321"/>
  <c r="AJ321" s="1"/>
  <c r="R322"/>
  <c r="S322"/>
  <c r="AI322" s="1"/>
  <c r="T322"/>
  <c r="AJ322" s="1"/>
  <c r="R323"/>
  <c r="S323"/>
  <c r="AI323" s="1"/>
  <c r="T323"/>
  <c r="AJ323" s="1"/>
  <c r="R324"/>
  <c r="S324"/>
  <c r="AI324" s="1"/>
  <c r="T324"/>
  <c r="AJ324" s="1"/>
  <c r="R325"/>
  <c r="S325"/>
  <c r="AI325" s="1"/>
  <c r="T325"/>
  <c r="AJ325" s="1"/>
  <c r="R326"/>
  <c r="S326"/>
  <c r="AI326" s="1"/>
  <c r="T326"/>
  <c r="AJ326" s="1"/>
  <c r="R327"/>
  <c r="S327"/>
  <c r="AI327" s="1"/>
  <c r="T327"/>
  <c r="AJ327" s="1"/>
  <c r="R328"/>
  <c r="S328"/>
  <c r="AI328" s="1"/>
  <c r="T328"/>
  <c r="AJ328" s="1"/>
  <c r="R329"/>
  <c r="S329"/>
  <c r="AI329" s="1"/>
  <c r="T329"/>
  <c r="AJ329" s="1"/>
  <c r="R330"/>
  <c r="S330"/>
  <c r="AI330" s="1"/>
  <c r="T330"/>
  <c r="AJ330" s="1"/>
  <c r="R331"/>
  <c r="S331"/>
  <c r="AI331" s="1"/>
  <c r="T331"/>
  <c r="AJ331" s="1"/>
  <c r="R332"/>
  <c r="S332"/>
  <c r="AI332" s="1"/>
  <c r="T332"/>
  <c r="AJ332" s="1"/>
  <c r="R333"/>
  <c r="S333"/>
  <c r="AI333" s="1"/>
  <c r="T333"/>
  <c r="AJ333" s="1"/>
  <c r="R334"/>
  <c r="S334"/>
  <c r="AI334" s="1"/>
  <c r="T334"/>
  <c r="AJ334" s="1"/>
  <c r="R335"/>
  <c r="S335"/>
  <c r="AI335" s="1"/>
  <c r="T335"/>
  <c r="AJ335" s="1"/>
  <c r="R336"/>
  <c r="S336"/>
  <c r="AI336" s="1"/>
  <c r="T336"/>
  <c r="AJ336" s="1"/>
  <c r="R337"/>
  <c r="S337"/>
  <c r="AI337" s="1"/>
  <c r="T337"/>
  <c r="AJ337" s="1"/>
  <c r="R338"/>
  <c r="S338"/>
  <c r="AI338" s="1"/>
  <c r="T338"/>
  <c r="AJ338" s="1"/>
  <c r="R339"/>
  <c r="S339"/>
  <c r="AI339" s="1"/>
  <c r="T339"/>
  <c r="AJ339" s="1"/>
  <c r="R340"/>
  <c r="S340"/>
  <c r="AI340" s="1"/>
  <c r="T340"/>
  <c r="AJ340" s="1"/>
  <c r="R341"/>
  <c r="S341"/>
  <c r="AI341" s="1"/>
  <c r="T341"/>
  <c r="AJ341" s="1"/>
  <c r="R342"/>
  <c r="S342"/>
  <c r="AI342" s="1"/>
  <c r="T342"/>
  <c r="AJ342" s="1"/>
  <c r="R343"/>
  <c r="S343"/>
  <c r="AI343" s="1"/>
  <c r="T343"/>
  <c r="AJ343" s="1"/>
  <c r="R344"/>
  <c r="S344"/>
  <c r="AI344" s="1"/>
  <c r="T344"/>
  <c r="AJ344" s="1"/>
  <c r="R345"/>
  <c r="S345"/>
  <c r="AI345" s="1"/>
  <c r="T345"/>
  <c r="AJ345" s="1"/>
  <c r="R346"/>
  <c r="S346"/>
  <c r="AI346" s="1"/>
  <c r="T346"/>
  <c r="AJ346" s="1"/>
  <c r="R347"/>
  <c r="S347"/>
  <c r="AI347" s="1"/>
  <c r="T347"/>
  <c r="AJ347" s="1"/>
  <c r="R348"/>
  <c r="S348"/>
  <c r="AI348" s="1"/>
  <c r="T348"/>
  <c r="AJ348" s="1"/>
  <c r="R349"/>
  <c r="S349"/>
  <c r="AI349" s="1"/>
  <c r="T349"/>
  <c r="AJ349" s="1"/>
  <c r="R350"/>
  <c r="S350"/>
  <c r="AI350" s="1"/>
  <c r="T350"/>
  <c r="AJ350" s="1"/>
  <c r="R351"/>
  <c r="S351"/>
  <c r="AI351" s="1"/>
  <c r="T351"/>
  <c r="AJ351" s="1"/>
  <c r="R352"/>
  <c r="S352"/>
  <c r="AI352" s="1"/>
  <c r="T352"/>
  <c r="AJ352" s="1"/>
  <c r="R353"/>
  <c r="S353"/>
  <c r="T353"/>
  <c r="R354"/>
  <c r="S354"/>
  <c r="AI354" s="1"/>
  <c r="T354"/>
  <c r="AJ354" s="1"/>
  <c r="R355"/>
  <c r="S355"/>
  <c r="AI355" s="1"/>
  <c r="T355"/>
  <c r="AJ355" s="1"/>
  <c r="R356"/>
  <c r="S356"/>
  <c r="AI356" s="1"/>
  <c r="T356"/>
  <c r="AJ356" s="1"/>
  <c r="R357"/>
  <c r="S357"/>
  <c r="AI357" s="1"/>
  <c r="T357"/>
  <c r="AJ357" s="1"/>
  <c r="R358"/>
  <c r="S358"/>
  <c r="AI358" s="1"/>
  <c r="T358"/>
  <c r="AJ358" s="1"/>
  <c r="R359"/>
  <c r="S359"/>
  <c r="AI359" s="1"/>
  <c r="T359"/>
  <c r="AJ359" s="1"/>
  <c r="R360"/>
  <c r="S360"/>
  <c r="AI360" s="1"/>
  <c r="T360"/>
  <c r="AJ360" s="1"/>
  <c r="R361"/>
  <c r="S361"/>
  <c r="AI361" s="1"/>
  <c r="T361"/>
  <c r="AJ361" s="1"/>
  <c r="R362"/>
  <c r="S362"/>
  <c r="AI362" s="1"/>
  <c r="T362"/>
  <c r="AJ362" s="1"/>
  <c r="R363"/>
  <c r="S363"/>
  <c r="AI363" s="1"/>
  <c r="T363"/>
  <c r="AJ363" s="1"/>
  <c r="R364"/>
  <c r="S364"/>
  <c r="AI364" s="1"/>
  <c r="T364"/>
  <c r="AJ364" s="1"/>
  <c r="R365"/>
  <c r="S365"/>
  <c r="AI365" s="1"/>
  <c r="T365"/>
  <c r="AJ365" s="1"/>
  <c r="R366"/>
  <c r="S366"/>
  <c r="AI366" s="1"/>
  <c r="T366"/>
  <c r="AJ366" s="1"/>
  <c r="R367"/>
  <c r="S367"/>
  <c r="AI367" s="1"/>
  <c r="T367"/>
  <c r="AJ367" s="1"/>
  <c r="R368"/>
  <c r="S368"/>
  <c r="AI368" s="1"/>
  <c r="T368"/>
  <c r="AJ368" s="1"/>
  <c r="R369"/>
  <c r="S369"/>
  <c r="AI369" s="1"/>
  <c r="T369"/>
  <c r="AJ369" s="1"/>
  <c r="R370"/>
  <c r="S370"/>
  <c r="AI370" s="1"/>
  <c r="T370"/>
  <c r="AJ370" s="1"/>
  <c r="R371"/>
  <c r="S371"/>
  <c r="AI371" s="1"/>
  <c r="T371"/>
  <c r="AJ371" s="1"/>
  <c r="R372"/>
  <c r="S372"/>
  <c r="AI372" s="1"/>
  <c r="T372"/>
  <c r="AJ372" s="1"/>
  <c r="R373"/>
  <c r="S373"/>
  <c r="AI373" s="1"/>
  <c r="T373"/>
  <c r="AJ373" s="1"/>
  <c r="R374"/>
  <c r="S374"/>
  <c r="AI374" s="1"/>
  <c r="T374"/>
  <c r="AJ374" s="1"/>
  <c r="R375"/>
  <c r="S375"/>
  <c r="AI375" s="1"/>
  <c r="T375"/>
  <c r="AJ375" s="1"/>
  <c r="R376"/>
  <c r="S376"/>
  <c r="AI376" s="1"/>
  <c r="T376"/>
  <c r="AJ376" s="1"/>
  <c r="R377"/>
  <c r="S377"/>
  <c r="AI377" s="1"/>
  <c r="T377"/>
  <c r="AJ377" s="1"/>
  <c r="R378"/>
  <c r="S378"/>
  <c r="AI378" s="1"/>
  <c r="T378"/>
  <c r="AJ378" s="1"/>
  <c r="R379"/>
  <c r="S379"/>
  <c r="AI379" s="1"/>
  <c r="T379"/>
  <c r="AJ379" s="1"/>
  <c r="R380"/>
  <c r="S380"/>
  <c r="AI380" s="1"/>
  <c r="T380"/>
  <c r="AJ380" s="1"/>
  <c r="R381"/>
  <c r="S381"/>
  <c r="AI381" s="1"/>
  <c r="T381"/>
  <c r="AJ381" s="1"/>
  <c r="R382"/>
  <c r="S382"/>
  <c r="AI382" s="1"/>
  <c r="T382"/>
  <c r="AJ382" s="1"/>
  <c r="R383"/>
  <c r="S383"/>
  <c r="AI383" s="1"/>
  <c r="T383"/>
  <c r="AJ383" s="1"/>
  <c r="R384"/>
  <c r="S384"/>
  <c r="AI384" s="1"/>
  <c r="T384"/>
  <c r="AJ384" s="1"/>
  <c r="R385"/>
  <c r="S385"/>
  <c r="AI385" s="1"/>
  <c r="T385"/>
  <c r="AJ385" s="1"/>
  <c r="R386"/>
  <c r="S386"/>
  <c r="AI386" s="1"/>
  <c r="T386"/>
  <c r="AJ386" s="1"/>
  <c r="R387"/>
  <c r="S387"/>
  <c r="AI387" s="1"/>
  <c r="T387"/>
  <c r="AJ387" s="1"/>
  <c r="R388"/>
  <c r="S388"/>
  <c r="AI388" s="1"/>
  <c r="T388"/>
  <c r="AJ388" s="1"/>
  <c r="R389"/>
  <c r="S389"/>
  <c r="AI389" s="1"/>
  <c r="T389"/>
  <c r="AJ389" s="1"/>
  <c r="R390"/>
  <c r="S390"/>
  <c r="AI390" s="1"/>
  <c r="T390"/>
  <c r="AJ390" s="1"/>
  <c r="R391"/>
  <c r="S391"/>
  <c r="AI391" s="1"/>
  <c r="T391"/>
  <c r="AJ391" s="1"/>
  <c r="R392"/>
  <c r="S392"/>
  <c r="AI392" s="1"/>
  <c r="T392"/>
  <c r="AJ392" s="1"/>
  <c r="R393"/>
  <c r="S393"/>
  <c r="AI393" s="1"/>
  <c r="T393"/>
  <c r="AJ393" s="1"/>
  <c r="R394"/>
  <c r="S394"/>
  <c r="AI394" s="1"/>
  <c r="T394"/>
  <c r="AJ394" s="1"/>
  <c r="R395"/>
  <c r="S395"/>
  <c r="AI395" s="1"/>
  <c r="T395"/>
  <c r="AJ395" s="1"/>
  <c r="R396"/>
  <c r="S396"/>
  <c r="AI396" s="1"/>
  <c r="T396"/>
  <c r="AJ396" s="1"/>
  <c r="R397"/>
  <c r="S397"/>
  <c r="AI397" s="1"/>
  <c r="T397"/>
  <c r="AJ397" s="1"/>
  <c r="R398"/>
  <c r="S398"/>
  <c r="AI398" s="1"/>
  <c r="T398"/>
  <c r="AJ398" s="1"/>
  <c r="R399"/>
  <c r="S399"/>
  <c r="AI399" s="1"/>
  <c r="T399"/>
  <c r="AJ399" s="1"/>
  <c r="R400"/>
  <c r="S400"/>
  <c r="AI400" s="1"/>
  <c r="T400"/>
  <c r="AJ400" s="1"/>
  <c r="R401"/>
  <c r="S401"/>
  <c r="AI401" s="1"/>
  <c r="T401"/>
  <c r="AJ401" s="1"/>
  <c r="R402"/>
  <c r="S402"/>
  <c r="AI402" s="1"/>
  <c r="T402"/>
  <c r="AJ402" s="1"/>
  <c r="R403"/>
  <c r="S403"/>
  <c r="AI403" s="1"/>
  <c r="T403"/>
  <c r="AJ403" s="1"/>
  <c r="R404"/>
  <c r="S404"/>
  <c r="AI404" s="1"/>
  <c r="T404"/>
  <c r="AJ404" s="1"/>
  <c r="R405"/>
  <c r="S405"/>
  <c r="AI405" s="1"/>
  <c r="T405"/>
  <c r="AJ405" s="1"/>
  <c r="R406"/>
  <c r="S406"/>
  <c r="AI406" s="1"/>
  <c r="T406"/>
  <c r="AJ406" s="1"/>
  <c r="R407"/>
  <c r="S407"/>
  <c r="AI407" s="1"/>
  <c r="T407"/>
  <c r="AJ407" s="1"/>
  <c r="R408"/>
  <c r="S408"/>
  <c r="AI408" s="1"/>
  <c r="T408"/>
  <c r="AJ408" s="1"/>
  <c r="R409"/>
  <c r="S409"/>
  <c r="AI409" s="1"/>
  <c r="T409"/>
  <c r="AJ409" s="1"/>
  <c r="R410"/>
  <c r="S410"/>
  <c r="AI410" s="1"/>
  <c r="T410"/>
  <c r="AJ410" s="1"/>
  <c r="R411"/>
  <c r="S411"/>
  <c r="AI411" s="1"/>
  <c r="T411"/>
  <c r="AJ411" s="1"/>
  <c r="R412"/>
  <c r="S412"/>
  <c r="AI412" s="1"/>
  <c r="T412"/>
  <c r="AJ412" s="1"/>
  <c r="R413"/>
  <c r="S413"/>
  <c r="AI413" s="1"/>
  <c r="T413"/>
  <c r="AJ413" s="1"/>
  <c r="R414"/>
  <c r="S414"/>
  <c r="AI414" s="1"/>
  <c r="T414"/>
  <c r="AJ414" s="1"/>
  <c r="R415"/>
  <c r="S415"/>
  <c r="AI415" s="1"/>
  <c r="T415"/>
  <c r="AJ415" s="1"/>
  <c r="R416"/>
  <c r="S416"/>
  <c r="AI416" s="1"/>
  <c r="T416"/>
  <c r="AJ416" s="1"/>
  <c r="R417"/>
  <c r="S417"/>
  <c r="AI417" s="1"/>
  <c r="T417"/>
  <c r="AJ417" s="1"/>
  <c r="R418"/>
  <c r="S418"/>
  <c r="AI418" s="1"/>
  <c r="T418"/>
  <c r="AJ418" s="1"/>
  <c r="R419"/>
  <c r="S419"/>
  <c r="AI419" s="1"/>
  <c r="T419"/>
  <c r="AJ419" s="1"/>
  <c r="R420"/>
  <c r="S420"/>
  <c r="AI420" s="1"/>
  <c r="T420"/>
  <c r="AJ420" s="1"/>
  <c r="R421"/>
  <c r="S421"/>
  <c r="AI421" s="1"/>
  <c r="T421"/>
  <c r="AJ421" s="1"/>
  <c r="R422"/>
  <c r="S422"/>
  <c r="AI422" s="1"/>
  <c r="T422"/>
  <c r="AJ422" s="1"/>
  <c r="R423"/>
  <c r="S423"/>
  <c r="AI423" s="1"/>
  <c r="T423"/>
  <c r="AJ423" s="1"/>
  <c r="R424"/>
  <c r="S424"/>
  <c r="AI424" s="1"/>
  <c r="T424"/>
  <c r="AJ424" s="1"/>
  <c r="R425"/>
  <c r="S425"/>
  <c r="AI425" s="1"/>
  <c r="T425"/>
  <c r="AJ425" s="1"/>
  <c r="R426"/>
  <c r="S426"/>
  <c r="AI426" s="1"/>
  <c r="T426"/>
  <c r="AJ426" s="1"/>
  <c r="R427"/>
  <c r="S427"/>
  <c r="AI427" s="1"/>
  <c r="T427"/>
  <c r="AJ427" s="1"/>
  <c r="R428"/>
  <c r="S428"/>
  <c r="AI428" s="1"/>
  <c r="T428"/>
  <c r="AJ428" s="1"/>
  <c r="R429"/>
  <c r="S429"/>
  <c r="AI429" s="1"/>
  <c r="T429"/>
  <c r="AJ429" s="1"/>
  <c r="R430"/>
  <c r="S430"/>
  <c r="AI430" s="1"/>
  <c r="T430"/>
  <c r="AJ430" s="1"/>
  <c r="R431"/>
  <c r="S431"/>
  <c r="AI431" s="1"/>
  <c r="T431"/>
  <c r="AJ431" s="1"/>
  <c r="R432"/>
  <c r="S432"/>
  <c r="AI432" s="1"/>
  <c r="T432"/>
  <c r="AJ432" s="1"/>
  <c r="R433"/>
  <c r="S433"/>
  <c r="AI433" s="1"/>
  <c r="T433"/>
  <c r="AJ433" s="1"/>
  <c r="R434"/>
  <c r="S434"/>
  <c r="AI434" s="1"/>
  <c r="T434"/>
  <c r="AJ434" s="1"/>
  <c r="R435"/>
  <c r="S435"/>
  <c r="AI435" s="1"/>
  <c r="T435"/>
  <c r="AJ435" s="1"/>
  <c r="R436"/>
  <c r="S436"/>
  <c r="AI436" s="1"/>
  <c r="T436"/>
  <c r="AJ436" s="1"/>
  <c r="R437"/>
  <c r="S437"/>
  <c r="AI437" s="1"/>
  <c r="T437"/>
  <c r="AJ437" s="1"/>
  <c r="R438"/>
  <c r="S438"/>
  <c r="AI438" s="1"/>
  <c r="T438"/>
  <c r="AJ438" s="1"/>
  <c r="R439"/>
  <c r="S439"/>
  <c r="AI439" s="1"/>
  <c r="T439"/>
  <c r="AJ439" s="1"/>
  <c r="R440"/>
  <c r="S440"/>
  <c r="AI440" s="1"/>
  <c r="T440"/>
  <c r="AJ440" s="1"/>
  <c r="R441"/>
  <c r="S441"/>
  <c r="AI441" s="1"/>
  <c r="T441"/>
  <c r="AJ441" s="1"/>
  <c r="R442"/>
  <c r="S442"/>
  <c r="AI442" s="1"/>
  <c r="T442"/>
  <c r="AJ442" s="1"/>
  <c r="R443"/>
  <c r="S443"/>
  <c r="AI443" s="1"/>
  <c r="T443"/>
  <c r="AJ443" s="1"/>
  <c r="R444"/>
  <c r="S444"/>
  <c r="AI444" s="1"/>
  <c r="T444"/>
  <c r="AJ444" s="1"/>
  <c r="R445"/>
  <c r="S445"/>
  <c r="AI445" s="1"/>
  <c r="T445"/>
  <c r="AJ445" s="1"/>
  <c r="R446"/>
  <c r="S446"/>
  <c r="AI446" s="1"/>
  <c r="T446"/>
  <c r="AJ446" s="1"/>
  <c r="R447"/>
  <c r="S447"/>
  <c r="AI447" s="1"/>
  <c r="T447"/>
  <c r="AJ447" s="1"/>
  <c r="R448"/>
  <c r="S448"/>
  <c r="AI448" s="1"/>
  <c r="T448"/>
  <c r="AJ448" s="1"/>
  <c r="R449"/>
  <c r="S449"/>
  <c r="AI449" s="1"/>
  <c r="T449"/>
  <c r="AJ449" s="1"/>
  <c r="R450"/>
  <c r="S450"/>
  <c r="AI450" s="1"/>
  <c r="T450"/>
  <c r="AJ450" s="1"/>
  <c r="R451"/>
  <c r="S451"/>
  <c r="AI451" s="1"/>
  <c r="T451"/>
  <c r="AJ451" s="1"/>
  <c r="R452"/>
  <c r="S452"/>
  <c r="AI452" s="1"/>
  <c r="T452"/>
  <c r="AJ452" s="1"/>
  <c r="R453"/>
  <c r="S453"/>
  <c r="AI453" s="1"/>
  <c r="T453"/>
  <c r="AJ453" s="1"/>
  <c r="R454"/>
  <c r="S454"/>
  <c r="AI454" s="1"/>
  <c r="T454"/>
  <c r="AJ454" s="1"/>
  <c r="R455"/>
  <c r="S455"/>
  <c r="AI455" s="1"/>
  <c r="T455"/>
  <c r="AJ455" s="1"/>
  <c r="R456"/>
  <c r="S456"/>
  <c r="AI456" s="1"/>
  <c r="T456"/>
  <c r="AJ456" s="1"/>
  <c r="R457"/>
  <c r="S457"/>
  <c r="AI457" s="1"/>
  <c r="T457"/>
  <c r="AJ457" s="1"/>
  <c r="R458"/>
  <c r="S458"/>
  <c r="AI458" s="1"/>
  <c r="T458"/>
  <c r="AJ458" s="1"/>
  <c r="R459"/>
  <c r="S459"/>
  <c r="AI459" s="1"/>
  <c r="T459"/>
  <c r="AJ459" s="1"/>
  <c r="R460"/>
  <c r="S460"/>
  <c r="AI460" s="1"/>
  <c r="T460"/>
  <c r="AJ460" s="1"/>
  <c r="R461"/>
  <c r="S461"/>
  <c r="AI461" s="1"/>
  <c r="T461"/>
  <c r="AJ461" s="1"/>
  <c r="R462"/>
  <c r="S462"/>
  <c r="AI462" s="1"/>
  <c r="T462"/>
  <c r="AJ462" s="1"/>
  <c r="R463"/>
  <c r="S463"/>
  <c r="AI463" s="1"/>
  <c r="T463"/>
  <c r="AJ463" s="1"/>
  <c r="R464"/>
  <c r="S464"/>
  <c r="AI464" s="1"/>
  <c r="T464"/>
  <c r="AJ464" s="1"/>
  <c r="R465"/>
  <c r="S465"/>
  <c r="AI465" s="1"/>
  <c r="T465"/>
  <c r="AJ465" s="1"/>
  <c r="R466"/>
  <c r="S466"/>
  <c r="AI466" s="1"/>
  <c r="T466"/>
  <c r="AJ466" s="1"/>
  <c r="R467"/>
  <c r="S467"/>
  <c r="AI467" s="1"/>
  <c r="T467"/>
  <c r="AJ467" s="1"/>
  <c r="R468"/>
  <c r="S468"/>
  <c r="AI468" s="1"/>
  <c r="T468"/>
  <c r="AJ468" s="1"/>
  <c r="R469"/>
  <c r="S469"/>
  <c r="AI469" s="1"/>
  <c r="T469"/>
  <c r="AJ469" s="1"/>
  <c r="R470"/>
  <c r="S470"/>
  <c r="AI470" s="1"/>
  <c r="T470"/>
  <c r="AJ470" s="1"/>
  <c r="R471"/>
  <c r="S471"/>
  <c r="AI471" s="1"/>
  <c r="T471"/>
  <c r="AJ471" s="1"/>
  <c r="R472"/>
  <c r="S472"/>
  <c r="AI472" s="1"/>
  <c r="T472"/>
  <c r="AJ472" s="1"/>
  <c r="R473"/>
  <c r="S473"/>
  <c r="AI473" s="1"/>
  <c r="T473"/>
  <c r="AJ473" s="1"/>
  <c r="R474"/>
  <c r="S474"/>
  <c r="AI474" s="1"/>
  <c r="T474"/>
  <c r="AJ474" s="1"/>
  <c r="R475"/>
  <c r="S475"/>
  <c r="AI475" s="1"/>
  <c r="T475"/>
  <c r="AJ475" s="1"/>
  <c r="R476"/>
  <c r="S476"/>
  <c r="AI476" s="1"/>
  <c r="T476"/>
  <c r="AJ476" s="1"/>
  <c r="R477"/>
  <c r="S477"/>
  <c r="AI477" s="1"/>
  <c r="T477"/>
  <c r="AJ477" s="1"/>
  <c r="R478"/>
  <c r="S478"/>
  <c r="AI478" s="1"/>
  <c r="T478"/>
  <c r="AJ478" s="1"/>
  <c r="R479"/>
  <c r="S479"/>
  <c r="AI479" s="1"/>
  <c r="T479"/>
  <c r="AJ479" s="1"/>
  <c r="R480"/>
  <c r="S480"/>
  <c r="AI480" s="1"/>
  <c r="T480"/>
  <c r="AJ480" s="1"/>
  <c r="R481"/>
  <c r="S481"/>
  <c r="AI481" s="1"/>
  <c r="T481"/>
  <c r="AJ481" s="1"/>
  <c r="R482"/>
  <c r="S482"/>
  <c r="AI482" s="1"/>
  <c r="T482"/>
  <c r="AJ482" s="1"/>
  <c r="R483"/>
  <c r="S483"/>
  <c r="AI483" s="1"/>
  <c r="T483"/>
  <c r="AJ483" s="1"/>
  <c r="R484"/>
  <c r="S484"/>
  <c r="AI484" s="1"/>
  <c r="T484"/>
  <c r="AJ484" s="1"/>
  <c r="R485"/>
  <c r="S485"/>
  <c r="AI485" s="1"/>
  <c r="T485"/>
  <c r="AJ485" s="1"/>
  <c r="R486"/>
  <c r="S486"/>
  <c r="AI486" s="1"/>
  <c r="T486"/>
  <c r="AJ486" s="1"/>
  <c r="R487"/>
  <c r="S487"/>
  <c r="AI487" s="1"/>
  <c r="T487"/>
  <c r="AJ487" s="1"/>
  <c r="R488"/>
  <c r="S488"/>
  <c r="AI488" s="1"/>
  <c r="T488"/>
  <c r="AJ488" s="1"/>
  <c r="R489"/>
  <c r="S489"/>
  <c r="AI489" s="1"/>
  <c r="T489"/>
  <c r="AJ489" s="1"/>
  <c r="R490"/>
  <c r="S490"/>
  <c r="AI490" s="1"/>
  <c r="T490"/>
  <c r="AJ490" s="1"/>
  <c r="R491"/>
  <c r="S491"/>
  <c r="AI491" s="1"/>
  <c r="T491"/>
  <c r="AJ491" s="1"/>
  <c r="R492"/>
  <c r="S492"/>
  <c r="AI492" s="1"/>
  <c r="T492"/>
  <c r="AJ492" s="1"/>
  <c r="R493"/>
  <c r="S493"/>
  <c r="AI493" s="1"/>
  <c r="T493"/>
  <c r="AJ493" s="1"/>
  <c r="R494"/>
  <c r="S494"/>
  <c r="AI494" s="1"/>
  <c r="T494"/>
  <c r="AJ494" s="1"/>
  <c r="R495"/>
  <c r="S495"/>
  <c r="AI495" s="1"/>
  <c r="T495"/>
  <c r="AJ495" s="1"/>
  <c r="R496"/>
  <c r="S496"/>
  <c r="AI496" s="1"/>
  <c r="T496"/>
  <c r="AJ496" s="1"/>
  <c r="R497"/>
  <c r="S497"/>
  <c r="AI497" s="1"/>
  <c r="T497"/>
  <c r="AJ497" s="1"/>
  <c r="R498"/>
  <c r="S498"/>
  <c r="AI498" s="1"/>
  <c r="T498"/>
  <c r="AJ498" s="1"/>
  <c r="R499"/>
  <c r="S499"/>
  <c r="AI499" s="1"/>
  <c r="T499"/>
  <c r="AJ499" s="1"/>
  <c r="R500"/>
  <c r="S500"/>
  <c r="AI500" s="1"/>
  <c r="T500"/>
  <c r="AJ500" s="1"/>
  <c r="R501"/>
  <c r="S501"/>
  <c r="AI501" s="1"/>
  <c r="T501"/>
  <c r="AJ501" s="1"/>
  <c r="R502"/>
  <c r="S502"/>
  <c r="AI502" s="1"/>
  <c r="T502"/>
  <c r="AJ502" s="1"/>
  <c r="R503"/>
  <c r="S503"/>
  <c r="AI503" s="1"/>
  <c r="T503"/>
  <c r="AJ503" s="1"/>
  <c r="R504"/>
  <c r="S504"/>
  <c r="AI504" s="1"/>
  <c r="T504"/>
  <c r="AJ504" s="1"/>
  <c r="R505"/>
  <c r="S505"/>
  <c r="AI505" s="1"/>
  <c r="T505"/>
  <c r="AJ505" s="1"/>
  <c r="R506"/>
  <c r="S506"/>
  <c r="AI506" s="1"/>
  <c r="T506"/>
  <c r="AJ506" s="1"/>
  <c r="R507"/>
  <c r="S507"/>
  <c r="AI507" s="1"/>
  <c r="T507"/>
  <c r="AJ507" s="1"/>
  <c r="R508"/>
  <c r="S508"/>
  <c r="AI508" s="1"/>
  <c r="T508"/>
  <c r="AJ508" s="1"/>
  <c r="R509"/>
  <c r="S509"/>
  <c r="AI509" s="1"/>
  <c r="T509"/>
  <c r="AJ509" s="1"/>
  <c r="R510"/>
  <c r="S510"/>
  <c r="AI510" s="1"/>
  <c r="T510"/>
  <c r="AJ510" s="1"/>
  <c r="R511"/>
  <c r="S511"/>
  <c r="AI511" s="1"/>
  <c r="T511"/>
  <c r="AJ511" s="1"/>
  <c r="R512"/>
  <c r="S512"/>
  <c r="AI512" s="1"/>
  <c r="T512"/>
  <c r="AJ512" s="1"/>
  <c r="R513"/>
  <c r="S513"/>
  <c r="AI513" s="1"/>
  <c r="T513"/>
  <c r="AJ513" s="1"/>
  <c r="R514"/>
  <c r="S514"/>
  <c r="AI514" s="1"/>
  <c r="T514"/>
  <c r="AJ514" s="1"/>
  <c r="R515"/>
  <c r="S515"/>
  <c r="AI515" s="1"/>
  <c r="T515"/>
  <c r="AJ515" s="1"/>
  <c r="R516"/>
  <c r="S516"/>
  <c r="AI516" s="1"/>
  <c r="T516"/>
  <c r="AJ516" s="1"/>
  <c r="R517"/>
  <c r="S517"/>
  <c r="AI517" s="1"/>
  <c r="T517"/>
  <c r="AJ517" s="1"/>
  <c r="R518"/>
  <c r="S518"/>
  <c r="AI518" s="1"/>
  <c r="T518"/>
  <c r="AJ518" s="1"/>
  <c r="R519"/>
  <c r="S519"/>
  <c r="AI519" s="1"/>
  <c r="T519"/>
  <c r="AJ519" s="1"/>
  <c r="R520"/>
  <c r="S520"/>
  <c r="AI520" s="1"/>
  <c r="T520"/>
  <c r="AJ520" s="1"/>
  <c r="R521"/>
  <c r="S521"/>
  <c r="AI521" s="1"/>
  <c r="T521"/>
  <c r="AJ521" s="1"/>
  <c r="R522"/>
  <c r="S522"/>
  <c r="AI522" s="1"/>
  <c r="T522"/>
  <c r="AJ522" s="1"/>
  <c r="R523"/>
  <c r="S523"/>
  <c r="AI523" s="1"/>
  <c r="T523"/>
  <c r="AJ523" s="1"/>
  <c r="R524"/>
  <c r="S524"/>
  <c r="AI524" s="1"/>
  <c r="T524"/>
  <c r="AJ524" s="1"/>
  <c r="R525"/>
  <c r="S525"/>
  <c r="AI525" s="1"/>
  <c r="T525"/>
  <c r="AJ525" s="1"/>
  <c r="R526"/>
  <c r="S526"/>
  <c r="AI526" s="1"/>
  <c r="T526"/>
  <c r="AJ526" s="1"/>
  <c r="R527"/>
  <c r="S527"/>
  <c r="AI527" s="1"/>
  <c r="T527"/>
  <c r="AJ527" s="1"/>
  <c r="R528"/>
  <c r="S528"/>
  <c r="AI528" s="1"/>
  <c r="T528"/>
  <c r="AJ528" s="1"/>
  <c r="R529"/>
  <c r="S529"/>
  <c r="AI529" s="1"/>
  <c r="T529"/>
  <c r="AJ529" s="1"/>
  <c r="R530"/>
  <c r="S530"/>
  <c r="AI530" s="1"/>
  <c r="T530"/>
  <c r="AJ530" s="1"/>
  <c r="R531"/>
  <c r="S531"/>
  <c r="AI531" s="1"/>
  <c r="T531"/>
  <c r="AJ531" s="1"/>
  <c r="R532"/>
  <c r="S532"/>
  <c r="AI532" s="1"/>
  <c r="T532"/>
  <c r="AJ532" s="1"/>
  <c r="R533"/>
  <c r="S533"/>
  <c r="AI533" s="1"/>
  <c r="T533"/>
  <c r="AJ533" s="1"/>
  <c r="R534"/>
  <c r="S534"/>
  <c r="AI534" s="1"/>
  <c r="T534"/>
  <c r="AJ534" s="1"/>
  <c r="R535"/>
  <c r="S535"/>
  <c r="AI535" s="1"/>
  <c r="T535"/>
  <c r="AJ535" s="1"/>
  <c r="R536"/>
  <c r="S536"/>
  <c r="AI536" s="1"/>
  <c r="T536"/>
  <c r="AJ536" s="1"/>
  <c r="R537"/>
  <c r="S537"/>
  <c r="AI537" s="1"/>
  <c r="T537"/>
  <c r="AJ537" s="1"/>
  <c r="R538"/>
  <c r="S538"/>
  <c r="AI538" s="1"/>
  <c r="T538"/>
  <c r="AJ538" s="1"/>
  <c r="R539"/>
  <c r="S539"/>
  <c r="AI539" s="1"/>
  <c r="T539"/>
  <c r="AJ539" s="1"/>
  <c r="R540"/>
  <c r="S540"/>
  <c r="AI540" s="1"/>
  <c r="T540"/>
  <c r="AJ540" s="1"/>
  <c r="R541"/>
  <c r="S541"/>
  <c r="AI541" s="1"/>
  <c r="T541"/>
  <c r="AJ541" s="1"/>
  <c r="R542"/>
  <c r="S542"/>
  <c r="AI542" s="1"/>
  <c r="T542"/>
  <c r="AJ542" s="1"/>
  <c r="R543"/>
  <c r="S543"/>
  <c r="AI543" s="1"/>
  <c r="T543"/>
  <c r="AJ543" s="1"/>
  <c r="R544"/>
  <c r="S544"/>
  <c r="AI544" s="1"/>
  <c r="T544"/>
  <c r="AJ544" s="1"/>
  <c r="R545"/>
  <c r="S545"/>
  <c r="AI545" s="1"/>
  <c r="T545"/>
  <c r="AJ545" s="1"/>
  <c r="R546"/>
  <c r="S546"/>
  <c r="AI546" s="1"/>
  <c r="T546"/>
  <c r="AJ546" s="1"/>
  <c r="R547"/>
  <c r="S547"/>
  <c r="AI547" s="1"/>
  <c r="T547"/>
  <c r="AJ547" s="1"/>
  <c r="R548"/>
  <c r="S548"/>
  <c r="AI548" s="1"/>
  <c r="T548"/>
  <c r="AJ548" s="1"/>
  <c r="R549"/>
  <c r="S549"/>
  <c r="AI549" s="1"/>
  <c r="T549"/>
  <c r="AJ549" s="1"/>
  <c r="R550"/>
  <c r="S550"/>
  <c r="AI550" s="1"/>
  <c r="T550"/>
  <c r="AJ550" s="1"/>
  <c r="R551"/>
  <c r="S551"/>
  <c r="AI551" s="1"/>
  <c r="T551"/>
  <c r="AJ551" s="1"/>
  <c r="R552"/>
  <c r="S552"/>
  <c r="AI552" s="1"/>
  <c r="T552"/>
  <c r="AJ552" s="1"/>
  <c r="R553"/>
  <c r="S553"/>
  <c r="AI553" s="1"/>
  <c r="T553"/>
  <c r="AJ553" s="1"/>
  <c r="R554"/>
  <c r="S554"/>
  <c r="AI554" s="1"/>
  <c r="T554"/>
  <c r="AJ554" s="1"/>
  <c r="R555"/>
  <c r="S555"/>
  <c r="AI555" s="1"/>
  <c r="T555"/>
  <c r="AJ555" s="1"/>
  <c r="R556"/>
  <c r="S556"/>
  <c r="AI556" s="1"/>
  <c r="T556"/>
  <c r="AJ556" s="1"/>
  <c r="R557"/>
  <c r="S557"/>
  <c r="AI557" s="1"/>
  <c r="T557"/>
  <c r="AJ557" s="1"/>
  <c r="R558"/>
  <c r="S558"/>
  <c r="AI558" s="1"/>
  <c r="T558"/>
  <c r="AJ558" s="1"/>
  <c r="R559"/>
  <c r="S559"/>
  <c r="AI559" s="1"/>
  <c r="T559"/>
  <c r="AJ559" s="1"/>
  <c r="R560"/>
  <c r="S560"/>
  <c r="AI560" s="1"/>
  <c r="T560"/>
  <c r="AJ560" s="1"/>
  <c r="R561"/>
  <c r="S561"/>
  <c r="AI561" s="1"/>
  <c r="T561"/>
  <c r="AJ561" s="1"/>
  <c r="R562"/>
  <c r="S562"/>
  <c r="AI562" s="1"/>
  <c r="T562"/>
  <c r="AJ562" s="1"/>
  <c r="R563"/>
  <c r="S563"/>
  <c r="AI563" s="1"/>
  <c r="T563"/>
  <c r="AJ563" s="1"/>
  <c r="R564"/>
  <c r="S564"/>
  <c r="AI564" s="1"/>
  <c r="T564"/>
  <c r="AJ564" s="1"/>
  <c r="R565"/>
  <c r="S565"/>
  <c r="AI565" s="1"/>
  <c r="T565"/>
  <c r="AJ565" s="1"/>
  <c r="R566"/>
  <c r="S566"/>
  <c r="AI566" s="1"/>
  <c r="T566"/>
  <c r="AJ566" s="1"/>
  <c r="R567"/>
  <c r="S567"/>
  <c r="AI567" s="1"/>
  <c r="T567"/>
  <c r="AJ567" s="1"/>
  <c r="R568"/>
  <c r="S568"/>
  <c r="AI568" s="1"/>
  <c r="T568"/>
  <c r="AJ568" s="1"/>
  <c r="R569"/>
  <c r="S569"/>
  <c r="AI569" s="1"/>
  <c r="T569"/>
  <c r="AJ569" s="1"/>
  <c r="R570"/>
  <c r="S570"/>
  <c r="AI570" s="1"/>
  <c r="T570"/>
  <c r="AJ570" s="1"/>
  <c r="R571"/>
  <c r="S571"/>
  <c r="AI571" s="1"/>
  <c r="T571"/>
  <c r="AJ571" s="1"/>
  <c r="R572"/>
  <c r="S572"/>
  <c r="AI572" s="1"/>
  <c r="T572"/>
  <c r="AJ572" s="1"/>
  <c r="R573"/>
  <c r="S573"/>
  <c r="AI573" s="1"/>
  <c r="T573"/>
  <c r="AJ573" s="1"/>
  <c r="R574"/>
  <c r="S574"/>
  <c r="AI574" s="1"/>
  <c r="T574"/>
  <c r="AJ574" s="1"/>
  <c r="R575"/>
  <c r="S575"/>
  <c r="AI575" s="1"/>
  <c r="T575"/>
  <c r="AJ575" s="1"/>
  <c r="R576"/>
  <c r="S576"/>
  <c r="AI576" s="1"/>
  <c r="T576"/>
  <c r="AJ576" s="1"/>
  <c r="R577"/>
  <c r="S577"/>
  <c r="AI577" s="1"/>
  <c r="T577"/>
  <c r="AJ577" s="1"/>
  <c r="R578"/>
  <c r="S578"/>
  <c r="AI578" s="1"/>
  <c r="T578"/>
  <c r="AJ578" s="1"/>
  <c r="R579"/>
  <c r="S579"/>
  <c r="AI579" s="1"/>
  <c r="T579"/>
  <c r="AJ579" s="1"/>
  <c r="R580"/>
  <c r="S580"/>
  <c r="AI580" s="1"/>
  <c r="T580"/>
  <c r="AJ580" s="1"/>
  <c r="R581"/>
  <c r="S581"/>
  <c r="AI581" s="1"/>
  <c r="T581"/>
  <c r="AJ581" s="1"/>
  <c r="R582"/>
  <c r="S582"/>
  <c r="AI582" s="1"/>
  <c r="T582"/>
  <c r="AJ582" s="1"/>
  <c r="R583"/>
  <c r="S583"/>
  <c r="AI583" s="1"/>
  <c r="T583"/>
  <c r="AJ583" s="1"/>
  <c r="R584"/>
  <c r="S584"/>
  <c r="AI584" s="1"/>
  <c r="T584"/>
  <c r="AJ584" s="1"/>
  <c r="R585"/>
  <c r="S585"/>
  <c r="AI585" s="1"/>
  <c r="T585"/>
  <c r="AJ585" s="1"/>
  <c r="R586"/>
  <c r="S586"/>
  <c r="AI586" s="1"/>
  <c r="T586"/>
  <c r="AJ586" s="1"/>
  <c r="R587"/>
  <c r="S587"/>
  <c r="AI587" s="1"/>
  <c r="T587"/>
  <c r="AJ587" s="1"/>
  <c r="R588"/>
  <c r="S588"/>
  <c r="AI588" s="1"/>
  <c r="T588"/>
  <c r="AJ588" s="1"/>
  <c r="R589"/>
  <c r="S589"/>
  <c r="AI589" s="1"/>
  <c r="T589"/>
  <c r="AJ589" s="1"/>
  <c r="R590"/>
  <c r="S590"/>
  <c r="AI590" s="1"/>
  <c r="T590"/>
  <c r="AJ590" s="1"/>
  <c r="R591"/>
  <c r="S591"/>
  <c r="AI591" s="1"/>
  <c r="T591"/>
  <c r="AJ591" s="1"/>
  <c r="R592"/>
  <c r="S592"/>
  <c r="AI592" s="1"/>
  <c r="T592"/>
  <c r="AJ592" s="1"/>
  <c r="R593"/>
  <c r="S593"/>
  <c r="AI593" s="1"/>
  <c r="T593"/>
  <c r="AJ593" s="1"/>
  <c r="R594"/>
  <c r="S594"/>
  <c r="AI594" s="1"/>
  <c r="T594"/>
  <c r="AJ594" s="1"/>
  <c r="R595"/>
  <c r="S595"/>
  <c r="AI595" s="1"/>
  <c r="T595"/>
  <c r="AJ595" s="1"/>
  <c r="R596"/>
  <c r="S596"/>
  <c r="AI596" s="1"/>
  <c r="T596"/>
  <c r="AJ596" s="1"/>
  <c r="R597"/>
  <c r="S597"/>
  <c r="AI597" s="1"/>
  <c r="T597"/>
  <c r="AJ597" s="1"/>
  <c r="R598"/>
  <c r="S598"/>
  <c r="AI598" s="1"/>
  <c r="T598"/>
  <c r="AJ598" s="1"/>
  <c r="R599"/>
  <c r="S599"/>
  <c r="AI599" s="1"/>
  <c r="T599"/>
  <c r="AJ599" s="1"/>
  <c r="R600"/>
  <c r="S600"/>
  <c r="AI600" s="1"/>
  <c r="T600"/>
  <c r="AJ600" s="1"/>
  <c r="R601"/>
  <c r="S601"/>
  <c r="AI601" s="1"/>
  <c r="T601"/>
  <c r="AJ601" s="1"/>
  <c r="R602"/>
  <c r="S602"/>
  <c r="AI602" s="1"/>
  <c r="T602"/>
  <c r="AJ602" s="1"/>
  <c r="R603"/>
  <c r="S603"/>
  <c r="AI603" s="1"/>
  <c r="T603"/>
  <c r="AJ603" s="1"/>
  <c r="R604"/>
  <c r="S604"/>
  <c r="AI604" s="1"/>
  <c r="T604"/>
  <c r="AJ604" s="1"/>
  <c r="R605"/>
  <c r="S605"/>
  <c r="AI605" s="1"/>
  <c r="T605"/>
  <c r="AJ605" s="1"/>
  <c r="R606"/>
  <c r="S606"/>
  <c r="AI606" s="1"/>
  <c r="T606"/>
  <c r="AJ606" s="1"/>
  <c r="R607"/>
  <c r="S607"/>
  <c r="AI607" s="1"/>
  <c r="T607"/>
  <c r="AJ607" s="1"/>
  <c r="R608"/>
  <c r="S608"/>
  <c r="AI608" s="1"/>
  <c r="T608"/>
  <c r="AJ608" s="1"/>
  <c r="R609"/>
  <c r="S609"/>
  <c r="AI609" s="1"/>
  <c r="T609"/>
  <c r="AJ609" s="1"/>
  <c r="R610"/>
  <c r="S610"/>
  <c r="AI610" s="1"/>
  <c r="T610"/>
  <c r="AJ610" s="1"/>
  <c r="R611"/>
  <c r="S611"/>
  <c r="AI611" s="1"/>
  <c r="T611"/>
  <c r="AJ611" s="1"/>
  <c r="R612"/>
  <c r="S612"/>
  <c r="AI612" s="1"/>
  <c r="T612"/>
  <c r="AJ612" s="1"/>
  <c r="R613"/>
  <c r="S613"/>
  <c r="AI613" s="1"/>
  <c r="T613"/>
  <c r="AJ613" s="1"/>
  <c r="R614"/>
  <c r="S614"/>
  <c r="AI614" s="1"/>
  <c r="T614"/>
  <c r="AJ614" s="1"/>
  <c r="R615"/>
  <c r="S615"/>
  <c r="AI615" s="1"/>
  <c r="T615"/>
  <c r="AJ615" s="1"/>
  <c r="R616"/>
  <c r="S616"/>
  <c r="AI616" s="1"/>
  <c r="T616"/>
  <c r="AJ616" s="1"/>
  <c r="R617"/>
  <c r="S617"/>
  <c r="AI617" s="1"/>
  <c r="T617"/>
  <c r="AJ617" s="1"/>
  <c r="R618"/>
  <c r="S618"/>
  <c r="AI618" s="1"/>
  <c r="T618"/>
  <c r="AJ618" s="1"/>
  <c r="R619"/>
  <c r="S619"/>
  <c r="AI619" s="1"/>
  <c r="T619"/>
  <c r="AJ619" s="1"/>
  <c r="R620"/>
  <c r="S620"/>
  <c r="AI620" s="1"/>
  <c r="T620"/>
  <c r="AJ620" s="1"/>
  <c r="R621"/>
  <c r="S621"/>
  <c r="AI621" s="1"/>
  <c r="T621"/>
  <c r="AJ621" s="1"/>
  <c r="R622"/>
  <c r="S622"/>
  <c r="AI622" s="1"/>
  <c r="T622"/>
  <c r="AJ622" s="1"/>
  <c r="R623"/>
  <c r="S623"/>
  <c r="AI623" s="1"/>
  <c r="T623"/>
  <c r="AJ623" s="1"/>
  <c r="R624"/>
  <c r="S624"/>
  <c r="AI624" s="1"/>
  <c r="T624"/>
  <c r="AJ624" s="1"/>
  <c r="R625"/>
  <c r="S625"/>
  <c r="AI625" s="1"/>
  <c r="T625"/>
  <c r="AJ625" s="1"/>
  <c r="R626"/>
  <c r="S626"/>
  <c r="AI626" s="1"/>
  <c r="T626"/>
  <c r="AJ626" s="1"/>
  <c r="R627"/>
  <c r="S627"/>
  <c r="AI627" s="1"/>
  <c r="T627"/>
  <c r="AJ627" s="1"/>
  <c r="R628"/>
  <c r="S628"/>
  <c r="AI628" s="1"/>
  <c r="T628"/>
  <c r="AJ628" s="1"/>
  <c r="R629"/>
  <c r="S629"/>
  <c r="AI629" s="1"/>
  <c r="T629"/>
  <c r="AJ629" s="1"/>
  <c r="R630"/>
  <c r="S630"/>
  <c r="AI630" s="1"/>
  <c r="T630"/>
  <c r="AJ630" s="1"/>
  <c r="R631"/>
  <c r="S631"/>
  <c r="AI631" s="1"/>
  <c r="T631"/>
  <c r="AJ631" s="1"/>
  <c r="R632"/>
  <c r="S632"/>
  <c r="AI632" s="1"/>
  <c r="T632"/>
  <c r="AJ632" s="1"/>
  <c r="R633"/>
  <c r="S633"/>
  <c r="AI633" s="1"/>
  <c r="T633"/>
  <c r="AJ633" s="1"/>
  <c r="R634"/>
  <c r="S634"/>
  <c r="AI634" s="1"/>
  <c r="T634"/>
  <c r="AJ634" s="1"/>
  <c r="R635"/>
  <c r="S635"/>
  <c r="AI635" s="1"/>
  <c r="T635"/>
  <c r="AJ635" s="1"/>
  <c r="R636"/>
  <c r="S636"/>
  <c r="AI636" s="1"/>
  <c r="T636"/>
  <c r="AJ636" s="1"/>
  <c r="R637"/>
  <c r="S637"/>
  <c r="AI637" s="1"/>
  <c r="T637"/>
  <c r="AJ637" s="1"/>
  <c r="R638"/>
  <c r="S638"/>
  <c r="AI638" s="1"/>
  <c r="T638"/>
  <c r="AJ638" s="1"/>
  <c r="R639"/>
  <c r="S639"/>
  <c r="AI639" s="1"/>
  <c r="T639"/>
  <c r="AJ639" s="1"/>
  <c r="R640"/>
  <c r="S640"/>
  <c r="AI640" s="1"/>
  <c r="T640"/>
  <c r="AJ640" s="1"/>
  <c r="R641"/>
  <c r="S641"/>
  <c r="AI641" s="1"/>
  <c r="T641"/>
  <c r="AJ641" s="1"/>
  <c r="R642"/>
  <c r="S642"/>
  <c r="AI642" s="1"/>
  <c r="T642"/>
  <c r="AJ642" s="1"/>
  <c r="R643"/>
  <c r="S643"/>
  <c r="AI643" s="1"/>
  <c r="T643"/>
  <c r="AJ643" s="1"/>
  <c r="R644"/>
  <c r="S644"/>
  <c r="AI644" s="1"/>
  <c r="T644"/>
  <c r="AJ644" s="1"/>
  <c r="R645"/>
  <c r="S645"/>
  <c r="AI645" s="1"/>
  <c r="T645"/>
  <c r="AJ645" s="1"/>
  <c r="R646"/>
  <c r="S646"/>
  <c r="AI646" s="1"/>
  <c r="T646"/>
  <c r="AJ646" s="1"/>
  <c r="R647"/>
  <c r="S647"/>
  <c r="AI647" s="1"/>
  <c r="T647"/>
  <c r="AJ647" s="1"/>
  <c r="R648"/>
  <c r="S648"/>
  <c r="AI648" s="1"/>
  <c r="T648"/>
  <c r="AJ648" s="1"/>
  <c r="R649"/>
  <c r="S649"/>
  <c r="AI649" s="1"/>
  <c r="T649"/>
  <c r="AJ649" s="1"/>
  <c r="R650"/>
  <c r="S650"/>
  <c r="AI650" s="1"/>
  <c r="T650"/>
  <c r="AJ650" s="1"/>
  <c r="R651"/>
  <c r="S651"/>
  <c r="AI651" s="1"/>
  <c r="T651"/>
  <c r="AJ651" s="1"/>
  <c r="R652"/>
  <c r="S652"/>
  <c r="AI652" s="1"/>
  <c r="T652"/>
  <c r="AJ652" s="1"/>
  <c r="R653"/>
  <c r="S653"/>
  <c r="AI653" s="1"/>
  <c r="T653"/>
  <c r="AJ653" s="1"/>
  <c r="R654"/>
  <c r="S654"/>
  <c r="AI654" s="1"/>
  <c r="T654"/>
  <c r="AJ654" s="1"/>
  <c r="R655"/>
  <c r="S655"/>
  <c r="AI655" s="1"/>
  <c r="T655"/>
  <c r="AJ655" s="1"/>
  <c r="R656"/>
  <c r="S656"/>
  <c r="AI656" s="1"/>
  <c r="T656"/>
  <c r="AJ656" s="1"/>
  <c r="R657"/>
  <c r="S657"/>
  <c r="AI657" s="1"/>
  <c r="T657"/>
  <c r="AJ657" s="1"/>
  <c r="R658"/>
  <c r="S658"/>
  <c r="AI658" s="1"/>
  <c r="T658"/>
  <c r="AJ658" s="1"/>
  <c r="R659"/>
  <c r="S659"/>
  <c r="AI659" s="1"/>
  <c r="T659"/>
  <c r="AJ659" s="1"/>
  <c r="R660"/>
  <c r="S660"/>
  <c r="AI660" s="1"/>
  <c r="T660"/>
  <c r="AJ660" s="1"/>
  <c r="R661"/>
  <c r="S661"/>
  <c r="AI661" s="1"/>
  <c r="T661"/>
  <c r="AJ661" s="1"/>
  <c r="R662"/>
  <c r="S662"/>
  <c r="AI662" s="1"/>
  <c r="T662"/>
  <c r="AJ662" s="1"/>
  <c r="R663"/>
  <c r="S663"/>
  <c r="AI663" s="1"/>
  <c r="T663"/>
  <c r="AJ663" s="1"/>
  <c r="R664"/>
  <c r="S664"/>
  <c r="AI664" s="1"/>
  <c r="T664"/>
  <c r="AJ664" s="1"/>
  <c r="R665"/>
  <c r="S665"/>
  <c r="AI665" s="1"/>
  <c r="T665"/>
  <c r="AJ665" s="1"/>
  <c r="R666"/>
  <c r="S666"/>
  <c r="AI666" s="1"/>
  <c r="T666"/>
  <c r="AJ666" s="1"/>
  <c r="R667"/>
  <c r="S667"/>
  <c r="AI667" s="1"/>
  <c r="T667"/>
  <c r="AJ667" s="1"/>
  <c r="R668"/>
  <c r="S668"/>
  <c r="AI668" s="1"/>
  <c r="T668"/>
  <c r="AJ668" s="1"/>
  <c r="R669"/>
  <c r="S669"/>
  <c r="AI669" s="1"/>
  <c r="T669"/>
  <c r="AJ669" s="1"/>
  <c r="R670"/>
  <c r="S670"/>
  <c r="AI670" s="1"/>
  <c r="T670"/>
  <c r="AJ670" s="1"/>
  <c r="R671"/>
  <c r="S671"/>
  <c r="AI671" s="1"/>
  <c r="T671"/>
  <c r="AJ671" s="1"/>
  <c r="R672"/>
  <c r="S672"/>
  <c r="AI672" s="1"/>
  <c r="T672"/>
  <c r="AJ672" s="1"/>
  <c r="R673"/>
  <c r="S673"/>
  <c r="AI673" s="1"/>
  <c r="T673"/>
  <c r="AJ673" s="1"/>
  <c r="R674"/>
  <c r="S674"/>
  <c r="AI674" s="1"/>
  <c r="T674"/>
  <c r="AJ674" s="1"/>
  <c r="R675"/>
  <c r="S675"/>
  <c r="AI675" s="1"/>
  <c r="T675"/>
  <c r="AJ675" s="1"/>
  <c r="R676"/>
  <c r="S676"/>
  <c r="AI676" s="1"/>
  <c r="T676"/>
  <c r="AJ676" s="1"/>
  <c r="R677"/>
  <c r="S677"/>
  <c r="AI677" s="1"/>
  <c r="T677"/>
  <c r="AJ677" s="1"/>
  <c r="R678"/>
  <c r="S678"/>
  <c r="AI678" s="1"/>
  <c r="T678"/>
  <c r="AJ678" s="1"/>
  <c r="R679"/>
  <c r="S679"/>
  <c r="AI679" s="1"/>
  <c r="T679"/>
  <c r="AJ679" s="1"/>
  <c r="R680"/>
  <c r="S680"/>
  <c r="AI680" s="1"/>
  <c r="T680"/>
  <c r="AJ680" s="1"/>
  <c r="R681"/>
  <c r="S681"/>
  <c r="AI681" s="1"/>
  <c r="T681"/>
  <c r="AJ681" s="1"/>
  <c r="R682"/>
  <c r="S682"/>
  <c r="AI682" s="1"/>
  <c r="T682"/>
  <c r="AJ682" s="1"/>
  <c r="R683"/>
  <c r="S683"/>
  <c r="AI683" s="1"/>
  <c r="T683"/>
  <c r="AJ683" s="1"/>
  <c r="R684"/>
  <c r="S684"/>
  <c r="AI684" s="1"/>
  <c r="T684"/>
  <c r="AJ684" s="1"/>
  <c r="R685"/>
  <c r="S685"/>
  <c r="AI685" s="1"/>
  <c r="T685"/>
  <c r="AJ685" s="1"/>
  <c r="R686"/>
  <c r="S686"/>
  <c r="AI686" s="1"/>
  <c r="T686"/>
  <c r="AJ686" s="1"/>
  <c r="R687"/>
  <c r="S687"/>
  <c r="AI687" s="1"/>
  <c r="T687"/>
  <c r="AJ687" s="1"/>
  <c r="R688"/>
  <c r="S688"/>
  <c r="AI688" s="1"/>
  <c r="T688"/>
  <c r="AJ688" s="1"/>
  <c r="R689"/>
  <c r="S689"/>
  <c r="AI689" s="1"/>
  <c r="T689"/>
  <c r="AJ689" s="1"/>
  <c r="R690"/>
  <c r="S690"/>
  <c r="AI690" s="1"/>
  <c r="T690"/>
  <c r="AJ690" s="1"/>
  <c r="R691"/>
  <c r="S691"/>
  <c r="AI691" s="1"/>
  <c r="T691"/>
  <c r="AJ691" s="1"/>
  <c r="R692"/>
  <c r="S692"/>
  <c r="AI692" s="1"/>
  <c r="T692"/>
  <c r="AJ692" s="1"/>
  <c r="R693"/>
  <c r="S693"/>
  <c r="AI693" s="1"/>
  <c r="T693"/>
  <c r="AJ693" s="1"/>
  <c r="R694"/>
  <c r="S694"/>
  <c r="AI694" s="1"/>
  <c r="T694"/>
  <c r="AJ694" s="1"/>
  <c r="R695"/>
  <c r="S695"/>
  <c r="AI695" s="1"/>
  <c r="T695"/>
  <c r="AJ695" s="1"/>
  <c r="R696"/>
  <c r="S696"/>
  <c r="AI696" s="1"/>
  <c r="T696"/>
  <c r="AJ696" s="1"/>
  <c r="R697"/>
  <c r="S697"/>
  <c r="AI697" s="1"/>
  <c r="T697"/>
  <c r="AJ697" s="1"/>
  <c r="R698"/>
  <c r="S698"/>
  <c r="AI698" s="1"/>
  <c r="T698"/>
  <c r="AJ698" s="1"/>
  <c r="R699"/>
  <c r="S699"/>
  <c r="AI699" s="1"/>
  <c r="T699"/>
  <c r="AJ699" s="1"/>
  <c r="R700"/>
  <c r="S700"/>
  <c r="AI700" s="1"/>
  <c r="T700"/>
  <c r="AJ700" s="1"/>
  <c r="R701"/>
  <c r="S701"/>
  <c r="AI701" s="1"/>
  <c r="T701"/>
  <c r="AJ701" s="1"/>
  <c r="R702"/>
  <c r="S702"/>
  <c r="AI702" s="1"/>
  <c r="T702"/>
  <c r="AJ702" s="1"/>
  <c r="R703"/>
  <c r="S703"/>
  <c r="AI703" s="1"/>
  <c r="T703"/>
  <c r="AJ703" s="1"/>
  <c r="R704"/>
  <c r="S704"/>
  <c r="AI704" s="1"/>
  <c r="T704"/>
  <c r="AJ704" s="1"/>
  <c r="R705"/>
  <c r="S705"/>
  <c r="AI705" s="1"/>
  <c r="T705"/>
  <c r="AJ705" s="1"/>
  <c r="R706"/>
  <c r="S706"/>
  <c r="AI706" s="1"/>
  <c r="T706"/>
  <c r="AJ706" s="1"/>
  <c r="R707"/>
  <c r="S707"/>
  <c r="AI707" s="1"/>
  <c r="T707"/>
  <c r="AJ707" s="1"/>
  <c r="R708"/>
  <c r="S708"/>
  <c r="AI708" s="1"/>
  <c r="T708"/>
  <c r="AJ708" s="1"/>
  <c r="R709"/>
  <c r="S709"/>
  <c r="AI709" s="1"/>
  <c r="T709"/>
  <c r="AJ709" s="1"/>
  <c r="R710"/>
  <c r="S710"/>
  <c r="AI710" s="1"/>
  <c r="T710"/>
  <c r="AJ710" s="1"/>
  <c r="R711"/>
  <c r="S711"/>
  <c r="AI711" s="1"/>
  <c r="T711"/>
  <c r="AJ711" s="1"/>
  <c r="R712"/>
  <c r="S712"/>
  <c r="AI712" s="1"/>
  <c r="T712"/>
  <c r="AJ712" s="1"/>
  <c r="R713"/>
  <c r="S713"/>
  <c r="AI713" s="1"/>
  <c r="T713"/>
  <c r="AJ713" s="1"/>
  <c r="R714"/>
  <c r="S714"/>
  <c r="AI714" s="1"/>
  <c r="T714"/>
  <c r="AJ714" s="1"/>
  <c r="R715"/>
  <c r="S715"/>
  <c r="AI715" s="1"/>
  <c r="T715"/>
  <c r="AJ715" s="1"/>
  <c r="R716"/>
  <c r="S716"/>
  <c r="AI716" s="1"/>
  <c r="T716"/>
  <c r="AJ716" s="1"/>
  <c r="R717"/>
  <c r="S717"/>
  <c r="AI717" s="1"/>
  <c r="T717"/>
  <c r="AJ717" s="1"/>
  <c r="R718"/>
  <c r="S718"/>
  <c r="AI718" s="1"/>
  <c r="T718"/>
  <c r="AJ718" s="1"/>
  <c r="R719"/>
  <c r="S719"/>
  <c r="AI719" s="1"/>
  <c r="T719"/>
  <c r="AJ719" s="1"/>
  <c r="R720"/>
  <c r="S720"/>
  <c r="AI720" s="1"/>
  <c r="T720"/>
  <c r="AJ720" s="1"/>
  <c r="R721"/>
  <c r="S721"/>
  <c r="AI721" s="1"/>
  <c r="T721"/>
  <c r="AJ721" s="1"/>
  <c r="R722"/>
  <c r="S722"/>
  <c r="AI722" s="1"/>
  <c r="T722"/>
  <c r="AJ722" s="1"/>
  <c r="R723"/>
  <c r="S723"/>
  <c r="AI723" s="1"/>
  <c r="T723"/>
  <c r="AJ723" s="1"/>
  <c r="R724"/>
  <c r="S724"/>
  <c r="AI724" s="1"/>
  <c r="T724"/>
  <c r="AJ724" s="1"/>
  <c r="R725"/>
  <c r="S725"/>
  <c r="AI725" s="1"/>
  <c r="T725"/>
  <c r="AJ725" s="1"/>
  <c r="R726"/>
  <c r="S726"/>
  <c r="AI726" s="1"/>
  <c r="T726"/>
  <c r="AJ726" s="1"/>
  <c r="R727"/>
  <c r="S727"/>
  <c r="AI727" s="1"/>
  <c r="T727"/>
  <c r="AJ727" s="1"/>
  <c r="R728"/>
  <c r="S728"/>
  <c r="AI728" s="1"/>
  <c r="T728"/>
  <c r="AJ728" s="1"/>
  <c r="R729"/>
  <c r="S729"/>
  <c r="AI729" s="1"/>
  <c r="T729"/>
  <c r="AJ729" s="1"/>
  <c r="R730"/>
  <c r="S730"/>
  <c r="AI730" s="1"/>
  <c r="T730"/>
  <c r="AJ730" s="1"/>
  <c r="R731"/>
  <c r="S731"/>
  <c r="AI731" s="1"/>
  <c r="T731"/>
  <c r="AJ731" s="1"/>
  <c r="R732"/>
  <c r="S732"/>
  <c r="AI732" s="1"/>
  <c r="T732"/>
  <c r="AJ732" s="1"/>
  <c r="R734"/>
  <c r="S734"/>
  <c r="AI734" s="1"/>
  <c r="T734"/>
  <c r="AJ734" s="1"/>
  <c r="R735"/>
  <c r="S735"/>
  <c r="AI735" s="1"/>
  <c r="T735"/>
  <c r="AJ735" s="1"/>
  <c r="R736"/>
  <c r="S736"/>
  <c r="AI736" s="1"/>
  <c r="T736"/>
  <c r="AJ736" s="1"/>
  <c r="R737"/>
  <c r="S737"/>
  <c r="AI737" s="1"/>
  <c r="T737"/>
  <c r="AJ737" s="1"/>
  <c r="R739"/>
  <c r="S739"/>
  <c r="AI739" s="1"/>
  <c r="T739"/>
  <c r="AJ739" s="1"/>
  <c r="R740"/>
  <c r="S740"/>
  <c r="AI740" s="1"/>
  <c r="T740"/>
  <c r="AJ740" s="1"/>
  <c r="R741"/>
  <c r="S741"/>
  <c r="T741"/>
  <c r="R742"/>
  <c r="S742"/>
  <c r="AI742" s="1"/>
  <c r="T742"/>
  <c r="AJ742" s="1"/>
  <c r="R743"/>
  <c r="S743"/>
  <c r="AI743" s="1"/>
  <c r="T743"/>
  <c r="AJ743" s="1"/>
  <c r="R744"/>
  <c r="S744"/>
  <c r="AI744" s="1"/>
  <c r="T744"/>
  <c r="AJ744" s="1"/>
  <c r="R745"/>
  <c r="S745"/>
  <c r="AI745" s="1"/>
  <c r="R746"/>
  <c r="S746"/>
  <c r="AI746" s="1"/>
  <c r="T746"/>
  <c r="AJ746" s="1"/>
  <c r="R747"/>
  <c r="S747"/>
  <c r="AI747" s="1"/>
  <c r="T747"/>
  <c r="AJ747" s="1"/>
  <c r="R748"/>
  <c r="S748"/>
  <c r="AI748" s="1"/>
  <c r="T748"/>
  <c r="AJ748" s="1"/>
  <c r="R749"/>
  <c r="S749"/>
  <c r="AI749" s="1"/>
  <c r="T749"/>
  <c r="AJ749" s="1"/>
  <c r="R751"/>
  <c r="S751"/>
  <c r="AI751" s="1"/>
  <c r="T751"/>
  <c r="AJ751" s="1"/>
  <c r="R752"/>
  <c r="S752"/>
  <c r="AI752" s="1"/>
  <c r="T752"/>
  <c r="AJ752" s="1"/>
  <c r="R753"/>
  <c r="S753"/>
  <c r="AI753" s="1"/>
  <c r="T753"/>
  <c r="AJ753" s="1"/>
  <c r="R754"/>
  <c r="S754"/>
  <c r="AI754" s="1"/>
  <c r="T754"/>
  <c r="AJ754" s="1"/>
  <c r="R755"/>
  <c r="S755"/>
  <c r="AI755" s="1"/>
  <c r="T755"/>
  <c r="AJ755" s="1"/>
  <c r="R756"/>
  <c r="S756"/>
  <c r="AI756" s="1"/>
  <c r="T756"/>
  <c r="AJ756" s="1"/>
  <c r="R757"/>
  <c r="S757"/>
  <c r="AI757" s="1"/>
  <c r="T757"/>
  <c r="AJ757" s="1"/>
  <c r="R759"/>
  <c r="S759"/>
  <c r="AI759" s="1"/>
  <c r="T759"/>
  <c r="AJ759" s="1"/>
  <c r="R760"/>
  <c r="S760"/>
  <c r="AI760" s="1"/>
  <c r="T760"/>
  <c r="AJ760" s="1"/>
  <c r="R761"/>
  <c r="S761"/>
  <c r="T761"/>
  <c r="R762"/>
  <c r="S762"/>
  <c r="AI762" s="1"/>
  <c r="T762"/>
  <c r="AJ762" s="1"/>
  <c r="R763"/>
  <c r="S763"/>
  <c r="AI763" s="1"/>
  <c r="T763"/>
  <c r="AJ763" s="1"/>
  <c r="R764"/>
  <c r="S764"/>
  <c r="AI764" s="1"/>
  <c r="T764"/>
  <c r="AJ764" s="1"/>
  <c r="R765"/>
  <c r="S765"/>
  <c r="AI765" s="1"/>
  <c r="T765"/>
  <c r="AJ765" s="1"/>
  <c r="R766"/>
  <c r="S766"/>
  <c r="AI766" s="1"/>
  <c r="T766"/>
  <c r="AJ766" s="1"/>
  <c r="R767"/>
  <c r="S767"/>
  <c r="AI767" s="1"/>
  <c r="T767"/>
  <c r="AJ767" s="1"/>
  <c r="R768"/>
  <c r="S768"/>
  <c r="AI768" s="1"/>
  <c r="T768"/>
  <c r="AJ768" s="1"/>
  <c r="R770"/>
  <c r="S770"/>
  <c r="AI770" s="1"/>
  <c r="T770"/>
  <c r="AJ770" s="1"/>
  <c r="R771"/>
  <c r="S771"/>
  <c r="AI771" s="1"/>
  <c r="R772"/>
  <c r="S772"/>
  <c r="T772"/>
  <c r="R773"/>
  <c r="S773"/>
  <c r="AI773" s="1"/>
  <c r="T773"/>
  <c r="AJ773" s="1"/>
  <c r="R774"/>
  <c r="S774"/>
  <c r="AI774" s="1"/>
  <c r="T774"/>
  <c r="AJ774" s="1"/>
  <c r="R775"/>
  <c r="S775"/>
  <c r="AI775" s="1"/>
  <c r="T775"/>
  <c r="AJ775" s="1"/>
  <c r="R776"/>
  <c r="S776"/>
  <c r="AI776" s="1"/>
  <c r="T776"/>
  <c r="AJ776" s="1"/>
  <c r="R777"/>
  <c r="S777"/>
  <c r="AI777" s="1"/>
  <c r="T777"/>
  <c r="AJ777" s="1"/>
  <c r="R779"/>
  <c r="S779"/>
  <c r="AI779" s="1"/>
  <c r="T779"/>
  <c r="AJ779" s="1"/>
  <c r="R780"/>
  <c r="S780"/>
  <c r="AI780" s="1"/>
  <c r="T780"/>
  <c r="AJ780" s="1"/>
  <c r="R781"/>
  <c r="S781"/>
  <c r="AI781" s="1"/>
  <c r="T781"/>
  <c r="AJ781" s="1"/>
  <c r="R782"/>
  <c r="S782"/>
  <c r="AI782" s="1"/>
  <c r="T782"/>
  <c r="AJ782" s="1"/>
  <c r="R783"/>
  <c r="S783"/>
  <c r="AI783" s="1"/>
  <c r="T783"/>
  <c r="AJ783" s="1"/>
  <c r="R784"/>
  <c r="S784"/>
  <c r="AI784" s="1"/>
  <c r="R785"/>
  <c r="S785"/>
  <c r="AI785" s="1"/>
  <c r="T785"/>
  <c r="AJ785" s="1"/>
  <c r="R786"/>
  <c r="S786"/>
  <c r="AI786" s="1"/>
  <c r="T786"/>
  <c r="AJ786" s="1"/>
  <c r="R788"/>
  <c r="S788"/>
  <c r="AI788" s="1"/>
  <c r="T788"/>
  <c r="AJ788" s="1"/>
  <c r="R789"/>
  <c r="S789"/>
  <c r="AI789" s="1"/>
  <c r="T789"/>
  <c r="AJ789" s="1"/>
  <c r="R790"/>
  <c r="S790"/>
  <c r="AI790" s="1"/>
  <c r="T790"/>
  <c r="AJ790" s="1"/>
  <c r="R791"/>
  <c r="S791"/>
  <c r="AI791" s="1"/>
  <c r="T791"/>
  <c r="AJ791" s="1"/>
  <c r="R793"/>
  <c r="S793"/>
  <c r="AI793" s="1"/>
  <c r="T793"/>
  <c r="AJ793" s="1"/>
  <c r="R794"/>
  <c r="S794"/>
  <c r="AI794" s="1"/>
  <c r="T794"/>
  <c r="AJ794" s="1"/>
  <c r="R796"/>
  <c r="S796"/>
  <c r="AI796" s="1"/>
  <c r="T796"/>
  <c r="AJ796" s="1"/>
  <c r="R797"/>
  <c r="S797"/>
  <c r="AI797" s="1"/>
  <c r="T797"/>
  <c r="AJ797" s="1"/>
  <c r="R799"/>
  <c r="S799"/>
  <c r="AI799" s="1"/>
  <c r="T799"/>
  <c r="AJ799" s="1"/>
  <c r="R800"/>
  <c r="S800"/>
  <c r="AI800" s="1"/>
  <c r="T800"/>
  <c r="AJ800" s="1"/>
  <c r="R802"/>
  <c r="S802"/>
  <c r="AI802" s="1"/>
  <c r="T802"/>
  <c r="AJ802" s="1"/>
  <c r="R803"/>
  <c r="S803"/>
  <c r="AI803" s="1"/>
  <c r="T803"/>
  <c r="AJ803" s="1"/>
  <c r="R804"/>
  <c r="S804"/>
  <c r="AI804" s="1"/>
  <c r="T804"/>
  <c r="AJ804" s="1"/>
  <c r="R805"/>
  <c r="S805"/>
  <c r="AI805" s="1"/>
  <c r="T805"/>
  <c r="AJ805" s="1"/>
  <c r="R806"/>
  <c r="S806"/>
  <c r="AI806" s="1"/>
  <c r="T806"/>
  <c r="AJ806" s="1"/>
  <c r="R807"/>
  <c r="S807"/>
  <c r="AI807" s="1"/>
  <c r="T807"/>
  <c r="AJ807" s="1"/>
  <c r="R808"/>
  <c r="S808"/>
  <c r="AI808" s="1"/>
  <c r="T808"/>
  <c r="AJ808" s="1"/>
  <c r="R809"/>
  <c r="S809"/>
  <c r="AI809" s="1"/>
  <c r="T809"/>
  <c r="AJ809" s="1"/>
  <c r="R810"/>
  <c r="S810"/>
  <c r="AI810" s="1"/>
  <c r="T810"/>
  <c r="AJ810" s="1"/>
  <c r="R811"/>
  <c r="S811"/>
  <c r="AI811" s="1"/>
  <c r="T811"/>
  <c r="AJ811" s="1"/>
  <c r="R812"/>
  <c r="S812"/>
  <c r="AI812" s="1"/>
  <c r="T812"/>
  <c r="AJ812" s="1"/>
  <c r="R813"/>
  <c r="S813"/>
  <c r="AI813" s="1"/>
  <c r="T813"/>
  <c r="AJ813" s="1"/>
  <c r="R814"/>
  <c r="S814"/>
  <c r="AI814" s="1"/>
  <c r="T814"/>
  <c r="AJ814" s="1"/>
  <c r="R815"/>
  <c r="S815"/>
  <c r="AI815" s="1"/>
  <c r="T815"/>
  <c r="AJ815" s="1"/>
  <c r="R816"/>
  <c r="S816"/>
  <c r="AI816" s="1"/>
  <c r="T816"/>
  <c r="AJ816" s="1"/>
  <c r="R817"/>
  <c r="S817"/>
  <c r="AI817" s="1"/>
  <c r="T817"/>
  <c r="AJ817" s="1"/>
  <c r="R818"/>
  <c r="S818"/>
  <c r="AI818" s="1"/>
  <c r="T818"/>
  <c r="AJ818" s="1"/>
  <c r="R819"/>
  <c r="S819"/>
  <c r="AI819" s="1"/>
  <c r="T819"/>
  <c r="AJ819" s="1"/>
  <c r="R820"/>
  <c r="S820"/>
  <c r="AI820" s="1"/>
  <c r="T820"/>
  <c r="AJ820" s="1"/>
  <c r="R821"/>
  <c r="S821"/>
  <c r="AI821" s="1"/>
  <c r="T821"/>
  <c r="AJ821" s="1"/>
  <c r="R822"/>
  <c r="S822"/>
  <c r="AI822" s="1"/>
  <c r="T822"/>
  <c r="AJ822" s="1"/>
  <c r="R823"/>
  <c r="S823"/>
  <c r="AI823" s="1"/>
  <c r="T823"/>
  <c r="AJ823" s="1"/>
  <c r="R824"/>
  <c r="S824"/>
  <c r="AI824" s="1"/>
  <c r="T824"/>
  <c r="AJ824" s="1"/>
  <c r="R825"/>
  <c r="S825"/>
  <c r="AI825" s="1"/>
  <c r="T825"/>
  <c r="AJ825" s="1"/>
  <c r="R826"/>
  <c r="S826"/>
  <c r="AI826" s="1"/>
  <c r="T826"/>
  <c r="AJ826" s="1"/>
  <c r="R827"/>
  <c r="S827"/>
  <c r="AI827" s="1"/>
  <c r="T827"/>
  <c r="AJ827" s="1"/>
  <c r="R828"/>
  <c r="S828"/>
  <c r="AI828" s="1"/>
  <c r="T828"/>
  <c r="AJ828" s="1"/>
  <c r="R829"/>
  <c r="S829"/>
  <c r="AI829" s="1"/>
  <c r="T829"/>
  <c r="AJ829" s="1"/>
  <c r="R830"/>
  <c r="S830"/>
  <c r="AI830" s="1"/>
  <c r="T830"/>
  <c r="AJ830" s="1"/>
  <c r="R831"/>
  <c r="S831"/>
  <c r="AI831" s="1"/>
  <c r="T831"/>
  <c r="R832"/>
  <c r="S832"/>
  <c r="AI832" s="1"/>
  <c r="T832"/>
  <c r="AJ832" s="1"/>
  <c r="R833"/>
  <c r="S833"/>
  <c r="AI833" s="1"/>
  <c r="T833"/>
  <c r="AJ833" s="1"/>
  <c r="R834"/>
  <c r="S834"/>
  <c r="AI834" s="1"/>
  <c r="T834"/>
  <c r="AJ834" s="1"/>
  <c r="R835"/>
  <c r="S835"/>
  <c r="AI835" s="1"/>
  <c r="T835"/>
  <c r="AJ835" s="1"/>
  <c r="R836"/>
  <c r="S836"/>
  <c r="AI836" s="1"/>
  <c r="T836"/>
  <c r="AJ836" s="1"/>
  <c r="R837"/>
  <c r="S837"/>
  <c r="AI837" s="1"/>
  <c r="T837"/>
  <c r="AJ837" s="1"/>
  <c r="R838"/>
  <c r="S838"/>
  <c r="AI838" s="1"/>
  <c r="T838"/>
  <c r="AJ838" s="1"/>
  <c r="R839"/>
  <c r="S839"/>
  <c r="AI839" s="1"/>
  <c r="T839"/>
  <c r="AJ839" s="1"/>
  <c r="R840"/>
  <c r="S840"/>
  <c r="AI840" s="1"/>
  <c r="T840"/>
  <c r="AJ840" s="1"/>
  <c r="R841"/>
  <c r="S841"/>
  <c r="AI841" s="1"/>
  <c r="T841"/>
  <c r="AJ841" s="1"/>
  <c r="R842"/>
  <c r="S842"/>
  <c r="AI842" s="1"/>
  <c r="T842"/>
  <c r="AJ842" s="1"/>
  <c r="R843"/>
  <c r="S843"/>
  <c r="AI843" s="1"/>
  <c r="T843"/>
  <c r="AJ843" s="1"/>
  <c r="R844"/>
  <c r="S844"/>
  <c r="AI844" s="1"/>
  <c r="T844"/>
  <c r="AJ844" s="1"/>
  <c r="R845"/>
  <c r="S845"/>
  <c r="AI845" s="1"/>
  <c r="T845"/>
  <c r="AJ845" s="1"/>
  <c r="R846"/>
  <c r="S846"/>
  <c r="AI846" s="1"/>
  <c r="T846"/>
  <c r="AJ846" s="1"/>
  <c r="R847"/>
  <c r="S847"/>
  <c r="AI847" s="1"/>
  <c r="T847"/>
  <c r="AJ847" s="1"/>
  <c r="R848"/>
  <c r="S848"/>
  <c r="AI848" s="1"/>
  <c r="T848"/>
  <c r="AJ848" s="1"/>
  <c r="R849"/>
  <c r="S849"/>
  <c r="AI849" s="1"/>
  <c r="T849"/>
  <c r="AJ849" s="1"/>
  <c r="R850"/>
  <c r="S850"/>
  <c r="AI850" s="1"/>
  <c r="T850"/>
  <c r="AJ850" s="1"/>
  <c r="R851"/>
  <c r="S851"/>
  <c r="AI851" s="1"/>
  <c r="T851"/>
  <c r="AJ851" s="1"/>
  <c r="R852"/>
  <c r="S852"/>
  <c r="AI852" s="1"/>
  <c r="T852"/>
  <c r="AJ852" s="1"/>
  <c r="R853"/>
  <c r="S853"/>
  <c r="AI853" s="1"/>
  <c r="T853"/>
  <c r="AJ853" s="1"/>
  <c r="R854"/>
  <c r="S854"/>
  <c r="AI854" s="1"/>
  <c r="T854"/>
  <c r="AJ854" s="1"/>
  <c r="R855"/>
  <c r="S855"/>
  <c r="AI855" s="1"/>
  <c r="T855"/>
  <c r="AJ855" s="1"/>
  <c r="R856"/>
  <c r="S856"/>
  <c r="AI856" s="1"/>
  <c r="T856"/>
  <c r="AJ856" s="1"/>
  <c r="R857"/>
  <c r="S857"/>
  <c r="AI857" s="1"/>
  <c r="T857"/>
  <c r="AJ857" s="1"/>
  <c r="R858"/>
  <c r="S858"/>
  <c r="AI858" s="1"/>
  <c r="T858"/>
  <c r="AJ858" s="1"/>
  <c r="R859"/>
  <c r="S859"/>
  <c r="AI859" s="1"/>
  <c r="T859"/>
  <c r="AJ859" s="1"/>
  <c r="R860"/>
  <c r="S860"/>
  <c r="AI860" s="1"/>
  <c r="T860"/>
  <c r="AJ860" s="1"/>
  <c r="R861"/>
  <c r="S861"/>
  <c r="AI861" s="1"/>
  <c r="T861"/>
  <c r="AJ861" s="1"/>
  <c r="R862"/>
  <c r="S862"/>
  <c r="AI862" s="1"/>
  <c r="T862"/>
  <c r="AJ862" s="1"/>
  <c r="R863"/>
  <c r="S863"/>
  <c r="AI863" s="1"/>
  <c r="T863"/>
  <c r="AJ863" s="1"/>
  <c r="R864"/>
  <c r="S864"/>
  <c r="AI864" s="1"/>
  <c r="T864"/>
  <c r="AJ864" s="1"/>
  <c r="R865"/>
  <c r="S865"/>
  <c r="AI865" s="1"/>
  <c r="T865"/>
  <c r="AJ865" s="1"/>
  <c r="R866"/>
  <c r="S866"/>
  <c r="AI866" s="1"/>
  <c r="T866"/>
  <c r="AJ866" s="1"/>
  <c r="R867"/>
  <c r="S867"/>
  <c r="AI867" s="1"/>
  <c r="T867"/>
  <c r="AJ867" s="1"/>
  <c r="R868"/>
  <c r="S868"/>
  <c r="AI868" s="1"/>
  <c r="T868"/>
  <c r="AJ868" s="1"/>
  <c r="R869"/>
  <c r="S869"/>
  <c r="AI869" s="1"/>
  <c r="T869"/>
  <c r="AJ869" s="1"/>
  <c r="R870"/>
  <c r="S870"/>
  <c r="AI870" s="1"/>
  <c r="T870"/>
  <c r="AJ870" s="1"/>
  <c r="R871"/>
  <c r="S871"/>
  <c r="AI871" s="1"/>
  <c r="T871"/>
  <c r="AJ871" s="1"/>
  <c r="R872"/>
  <c r="S872"/>
  <c r="AI872" s="1"/>
  <c r="T872"/>
  <c r="AJ872" s="1"/>
  <c r="R873"/>
  <c r="S873"/>
  <c r="AI873" s="1"/>
  <c r="T873"/>
  <c r="AJ873" s="1"/>
  <c r="R874"/>
  <c r="S874"/>
  <c r="AI874" s="1"/>
  <c r="T874"/>
  <c r="AJ874" s="1"/>
  <c r="R875"/>
  <c r="S875"/>
  <c r="AI875" s="1"/>
  <c r="T875"/>
  <c r="AJ875" s="1"/>
  <c r="R876"/>
  <c r="S876"/>
  <c r="AI876" s="1"/>
  <c r="T876"/>
  <c r="AJ876" s="1"/>
  <c r="R877"/>
  <c r="S877"/>
  <c r="AI877" s="1"/>
  <c r="T877"/>
  <c r="AJ877" s="1"/>
  <c r="R878"/>
  <c r="S878"/>
  <c r="AI878" s="1"/>
  <c r="T878"/>
  <c r="AJ878" s="1"/>
  <c r="R879"/>
  <c r="S879"/>
  <c r="AI879" s="1"/>
  <c r="T879"/>
  <c r="AJ879" s="1"/>
  <c r="R880"/>
  <c r="S880"/>
  <c r="AI880" s="1"/>
  <c r="T880"/>
  <c r="AJ880" s="1"/>
  <c r="R881"/>
  <c r="S881"/>
  <c r="AI881" s="1"/>
  <c r="T881"/>
  <c r="AJ881" s="1"/>
  <c r="R882"/>
  <c r="S882"/>
  <c r="AI882" s="1"/>
  <c r="T882"/>
  <c r="AJ882" s="1"/>
  <c r="R883"/>
  <c r="S883"/>
  <c r="AI883" s="1"/>
  <c r="T883"/>
  <c r="AJ883" s="1"/>
  <c r="R884"/>
  <c r="S884"/>
  <c r="AI884" s="1"/>
  <c r="T884"/>
  <c r="AJ884" s="1"/>
  <c r="R885"/>
  <c r="S885"/>
  <c r="AI885" s="1"/>
  <c r="T885"/>
  <c r="AJ885" s="1"/>
  <c r="R886"/>
  <c r="S886"/>
  <c r="AI886" s="1"/>
  <c r="T886"/>
  <c r="AJ886" s="1"/>
  <c r="R887"/>
  <c r="S887"/>
  <c r="AI887" s="1"/>
  <c r="T887"/>
  <c r="AJ887" s="1"/>
  <c r="R888"/>
  <c r="S888"/>
  <c r="AI888" s="1"/>
  <c r="T888"/>
  <c r="AJ888" s="1"/>
  <c r="R889"/>
  <c r="S889"/>
  <c r="AI889" s="1"/>
  <c r="T889"/>
  <c r="AJ889" s="1"/>
  <c r="R890"/>
  <c r="S890"/>
  <c r="AI890" s="1"/>
  <c r="T890"/>
  <c r="AJ890" s="1"/>
  <c r="R891"/>
  <c r="S891"/>
  <c r="AI891" s="1"/>
  <c r="T891"/>
  <c r="AJ891" s="1"/>
  <c r="R892"/>
  <c r="S892"/>
  <c r="AI892" s="1"/>
  <c r="T892"/>
  <c r="AJ892" s="1"/>
  <c r="R893"/>
  <c r="S893"/>
  <c r="AI893" s="1"/>
  <c r="T893"/>
  <c r="AJ893" s="1"/>
  <c r="R894"/>
  <c r="S894"/>
  <c r="AI894" s="1"/>
  <c r="T894"/>
  <c r="AJ894" s="1"/>
  <c r="R895"/>
  <c r="S895"/>
  <c r="AI895" s="1"/>
  <c r="T895"/>
  <c r="AJ895" s="1"/>
  <c r="R896"/>
  <c r="S896"/>
  <c r="AI896" s="1"/>
  <c r="T896"/>
  <c r="AJ896" s="1"/>
  <c r="R897"/>
  <c r="S897"/>
  <c r="AI897" s="1"/>
  <c r="T897"/>
  <c r="AJ897" s="1"/>
  <c r="R898"/>
  <c r="S898"/>
  <c r="AI898" s="1"/>
  <c r="T898"/>
  <c r="AJ898" s="1"/>
  <c r="R899"/>
  <c r="S899"/>
  <c r="AI899" s="1"/>
  <c r="T899"/>
  <c r="AJ899" s="1"/>
  <c r="R900"/>
  <c r="S900"/>
  <c r="AI900" s="1"/>
  <c r="T900"/>
  <c r="AJ900" s="1"/>
  <c r="R901"/>
  <c r="S901"/>
  <c r="AI901" s="1"/>
  <c r="T901"/>
  <c r="AJ901" s="1"/>
  <c r="R902"/>
  <c r="S902"/>
  <c r="AI902" s="1"/>
  <c r="T902"/>
  <c r="AJ902" s="1"/>
  <c r="R903"/>
  <c r="S903"/>
  <c r="AI903" s="1"/>
  <c r="T903"/>
  <c r="AJ903" s="1"/>
  <c r="R904"/>
  <c r="S904"/>
  <c r="AI904" s="1"/>
  <c r="T904"/>
  <c r="AJ904" s="1"/>
  <c r="R905"/>
  <c r="S905"/>
  <c r="AI905" s="1"/>
  <c r="T905"/>
  <c r="AJ905" s="1"/>
  <c r="R906"/>
  <c r="S906"/>
  <c r="AI906" s="1"/>
  <c r="T906"/>
  <c r="AJ906" s="1"/>
  <c r="R907"/>
  <c r="S907"/>
  <c r="AI907" s="1"/>
  <c r="T907"/>
  <c r="AJ907" s="1"/>
  <c r="R908"/>
  <c r="S908"/>
  <c r="AI908" s="1"/>
  <c r="T908"/>
  <c r="AJ908" s="1"/>
  <c r="R909"/>
  <c r="S909"/>
  <c r="AI909" s="1"/>
  <c r="T909"/>
  <c r="AJ909" s="1"/>
  <c r="R910"/>
  <c r="S910"/>
  <c r="AI910" s="1"/>
  <c r="T910"/>
  <c r="AJ910" s="1"/>
  <c r="R911"/>
  <c r="S911"/>
  <c r="AI911" s="1"/>
  <c r="T911"/>
  <c r="AJ911" s="1"/>
  <c r="R912"/>
  <c r="S912"/>
  <c r="AI912" s="1"/>
  <c r="T912"/>
  <c r="AJ912" s="1"/>
  <c r="R913"/>
  <c r="S913"/>
  <c r="AI913" s="1"/>
  <c r="T913"/>
  <c r="AJ913" s="1"/>
  <c r="R914"/>
  <c r="S914"/>
  <c r="AI914" s="1"/>
  <c r="T914"/>
  <c r="AJ914" s="1"/>
  <c r="R915"/>
  <c r="S915"/>
  <c r="AI915" s="1"/>
  <c r="T915"/>
  <c r="AJ915" s="1"/>
  <c r="R916"/>
  <c r="S916"/>
  <c r="AI916" s="1"/>
  <c r="T916"/>
  <c r="AJ916" s="1"/>
  <c r="R917"/>
  <c r="S917"/>
  <c r="AI917" s="1"/>
  <c r="T917"/>
  <c r="AJ917" s="1"/>
  <c r="R918"/>
  <c r="S918"/>
  <c r="AI918" s="1"/>
  <c r="T918"/>
  <c r="AJ918" s="1"/>
  <c r="R919"/>
  <c r="S919"/>
  <c r="AI919" s="1"/>
  <c r="T919"/>
  <c r="AJ919" s="1"/>
  <c r="R920"/>
  <c r="S920"/>
  <c r="AI920" s="1"/>
  <c r="T920"/>
  <c r="AJ920" s="1"/>
  <c r="R921"/>
  <c r="S921"/>
  <c r="AI921" s="1"/>
  <c r="T921"/>
  <c r="AJ921" s="1"/>
  <c r="R922"/>
  <c r="S922"/>
  <c r="AI922" s="1"/>
  <c r="T922"/>
  <c r="AJ922" s="1"/>
  <c r="R923"/>
  <c r="S923"/>
  <c r="AI923" s="1"/>
  <c r="T923"/>
  <c r="AJ923" s="1"/>
  <c r="R924"/>
  <c r="S924"/>
  <c r="AI924" s="1"/>
  <c r="T924"/>
  <c r="AJ924" s="1"/>
  <c r="R925"/>
  <c r="S925"/>
  <c r="AI925" s="1"/>
  <c r="T925"/>
  <c r="AJ925" s="1"/>
  <c r="R926"/>
  <c r="S926"/>
  <c r="AI926" s="1"/>
  <c r="T926"/>
  <c r="AJ926" s="1"/>
  <c r="R927"/>
  <c r="S927"/>
  <c r="AI927" s="1"/>
  <c r="T927"/>
  <c r="AJ927" s="1"/>
  <c r="R928"/>
  <c r="S928"/>
  <c r="AI928" s="1"/>
  <c r="T928"/>
  <c r="AJ928" s="1"/>
  <c r="R929"/>
  <c r="S929"/>
  <c r="AI929" s="1"/>
  <c r="T929"/>
  <c r="AJ929" s="1"/>
  <c r="R930"/>
  <c r="S930"/>
  <c r="AI930" s="1"/>
  <c r="T930"/>
  <c r="AJ930" s="1"/>
  <c r="R931"/>
  <c r="S931"/>
  <c r="AI931" s="1"/>
  <c r="T931"/>
  <c r="AJ931" s="1"/>
  <c r="R932"/>
  <c r="S932"/>
  <c r="AI932" s="1"/>
  <c r="T932"/>
  <c r="AJ932" s="1"/>
  <c r="R933"/>
  <c r="S933"/>
  <c r="AI933" s="1"/>
  <c r="T933"/>
  <c r="AJ933" s="1"/>
  <c r="R934"/>
  <c r="S934"/>
  <c r="AI934" s="1"/>
  <c r="T934"/>
  <c r="AJ934" s="1"/>
  <c r="R935"/>
  <c r="S935"/>
  <c r="AI935" s="1"/>
  <c r="T935"/>
  <c r="AJ935" s="1"/>
  <c r="R936"/>
  <c r="S936"/>
  <c r="AI936" s="1"/>
  <c r="T936"/>
  <c r="AJ936" s="1"/>
  <c r="R937"/>
  <c r="S937"/>
  <c r="AI937" s="1"/>
  <c r="T937"/>
  <c r="AJ937" s="1"/>
  <c r="R938"/>
  <c r="S938"/>
  <c r="AI938" s="1"/>
  <c r="T938"/>
  <c r="AJ938" s="1"/>
  <c r="R939"/>
  <c r="S939"/>
  <c r="AI939" s="1"/>
  <c r="T939"/>
  <c r="AJ939" s="1"/>
  <c r="R940"/>
  <c r="S940"/>
  <c r="AI940" s="1"/>
  <c r="T940"/>
  <c r="AJ940" s="1"/>
  <c r="R941"/>
  <c r="S941"/>
  <c r="AI941" s="1"/>
  <c r="T941"/>
  <c r="AJ941" s="1"/>
  <c r="R942"/>
  <c r="S942"/>
  <c r="AI942" s="1"/>
  <c r="T942"/>
  <c r="AJ942" s="1"/>
  <c r="R943"/>
  <c r="S943"/>
  <c r="AI943" s="1"/>
  <c r="T943"/>
  <c r="AJ943" s="1"/>
  <c r="R944"/>
  <c r="S944"/>
  <c r="AI944" s="1"/>
  <c r="T944"/>
  <c r="AJ944" s="1"/>
  <c r="R945"/>
  <c r="S945"/>
  <c r="AI945" s="1"/>
  <c r="T945"/>
  <c r="AJ945" s="1"/>
  <c r="R946"/>
  <c r="S946"/>
  <c r="AI946" s="1"/>
  <c r="T946"/>
  <c r="AJ946" s="1"/>
  <c r="R947"/>
  <c r="S947"/>
  <c r="AI947" s="1"/>
  <c r="T947"/>
  <c r="AJ947" s="1"/>
  <c r="R948"/>
  <c r="S948"/>
  <c r="AI948" s="1"/>
  <c r="T948"/>
  <c r="AJ948" s="1"/>
  <c r="R949"/>
  <c r="S949"/>
  <c r="AI949" s="1"/>
  <c r="T949"/>
  <c r="AJ949" s="1"/>
  <c r="R950"/>
  <c r="S950"/>
  <c r="AI950" s="1"/>
  <c r="T950"/>
  <c r="AJ950" s="1"/>
  <c r="R1090"/>
  <c r="S1090"/>
  <c r="AI1090" s="1"/>
  <c r="T1090"/>
  <c r="AJ1090" s="1"/>
  <c r="R1091"/>
  <c r="S1091"/>
  <c r="AI1091" s="1"/>
  <c r="T1091"/>
  <c r="AJ1091" s="1"/>
  <c r="R1092"/>
  <c r="S1092"/>
  <c r="AI1092" s="1"/>
  <c r="T1092"/>
  <c r="AJ1092" s="1"/>
  <c r="R1093"/>
  <c r="S1093"/>
  <c r="AI1093" s="1"/>
  <c r="T1093"/>
  <c r="AJ1093" s="1"/>
  <c r="R1094"/>
  <c r="S1094"/>
  <c r="AI1094" s="1"/>
  <c r="T1094"/>
  <c r="AJ1094" s="1"/>
  <c r="R1095"/>
  <c r="S1095"/>
  <c r="AI1095" s="1"/>
  <c r="T1095"/>
  <c r="AJ1095" s="1"/>
  <c r="R1096"/>
  <c r="S1096"/>
  <c r="AI1096" s="1"/>
  <c r="T1096"/>
  <c r="AJ1096" s="1"/>
  <c r="R1097"/>
  <c r="S1097"/>
  <c r="AI1097" s="1"/>
  <c r="T1097"/>
  <c r="AJ1097" s="1"/>
  <c r="R1098"/>
  <c r="S1098"/>
  <c r="AI1098" s="1"/>
  <c r="T1098"/>
  <c r="AJ1098" s="1"/>
  <c r="R1099"/>
  <c r="S1099"/>
  <c r="AI1099" s="1"/>
  <c r="T1099"/>
  <c r="AJ1099" s="1"/>
  <c r="R1100"/>
  <c r="S1100"/>
  <c r="AI1100" s="1"/>
  <c r="T1100"/>
  <c r="AJ1100" s="1"/>
  <c r="R1101"/>
  <c r="T1101"/>
  <c r="AJ1101" s="1"/>
  <c r="R1102"/>
  <c r="S1102"/>
  <c r="AI1102" s="1"/>
  <c r="T1102"/>
  <c r="AJ1102" s="1"/>
  <c r="R1103"/>
  <c r="S1103"/>
  <c r="AI1103" s="1"/>
  <c r="T1103"/>
  <c r="AJ1103" s="1"/>
  <c r="R1104"/>
  <c r="S1104"/>
  <c r="AI1104" s="1"/>
  <c r="T1104"/>
  <c r="AJ1104" s="1"/>
  <c r="R1105"/>
  <c r="S1105"/>
  <c r="AI1105" s="1"/>
  <c r="T1105"/>
  <c r="AJ1105" s="1"/>
  <c r="R1106"/>
  <c r="S1106"/>
  <c r="AI1106" s="1"/>
  <c r="T1106"/>
  <c r="AJ1106" s="1"/>
  <c r="R1107"/>
  <c r="S1107"/>
  <c r="AI1107" s="1"/>
  <c r="T1107"/>
  <c r="AJ1107" s="1"/>
  <c r="R1108"/>
  <c r="S1108"/>
  <c r="AI1108" s="1"/>
  <c r="T1108"/>
  <c r="AJ1108" s="1"/>
  <c r="R1109"/>
  <c r="S1109"/>
  <c r="AI1109" s="1"/>
  <c r="T1109"/>
  <c r="AJ1109" s="1"/>
  <c r="R1110"/>
  <c r="S1110"/>
  <c r="AI1110" s="1"/>
  <c r="T1110"/>
  <c r="AJ1110" s="1"/>
  <c r="R1111"/>
  <c r="S1111"/>
  <c r="AI1111" s="1"/>
  <c r="T1111"/>
  <c r="AJ1111" s="1"/>
  <c r="R1112"/>
  <c r="S1112"/>
  <c r="AI1112" s="1"/>
  <c r="T1112"/>
  <c r="AJ1112" s="1"/>
  <c r="R1113"/>
  <c r="S1113"/>
  <c r="AI1113" s="1"/>
  <c r="T1113"/>
  <c r="AJ1113" s="1"/>
  <c r="R1114"/>
  <c r="S1114"/>
  <c r="AI1114" s="1"/>
  <c r="T1114"/>
  <c r="AJ1114" s="1"/>
  <c r="R1115"/>
  <c r="S1115"/>
  <c r="AI1115" s="1"/>
  <c r="T1115"/>
  <c r="AJ1115" s="1"/>
  <c r="R1116"/>
  <c r="T1116"/>
  <c r="AJ1116" s="1"/>
  <c r="R1117"/>
  <c r="S1117"/>
  <c r="AI1117" s="1"/>
  <c r="T1117"/>
  <c r="AJ1117" s="1"/>
  <c r="R1118"/>
  <c r="S1118"/>
  <c r="AI1118" s="1"/>
  <c r="T1118"/>
  <c r="AJ1118" s="1"/>
  <c r="R1119"/>
  <c r="S1119"/>
  <c r="AI1119" s="1"/>
  <c r="T1119"/>
  <c r="AJ1119" s="1"/>
  <c r="R1120"/>
  <c r="S1120"/>
  <c r="AI1120" s="1"/>
  <c r="T1120"/>
  <c r="AJ1120" s="1"/>
  <c r="R1121"/>
  <c r="S1121"/>
  <c r="AI1121" s="1"/>
  <c r="T1121"/>
  <c r="AJ1121" s="1"/>
  <c r="R1122"/>
  <c r="S1122"/>
  <c r="AI1122" s="1"/>
  <c r="T1122"/>
  <c r="AJ1122" s="1"/>
  <c r="R1123"/>
  <c r="S1123"/>
  <c r="AI1123" s="1"/>
  <c r="T1123"/>
  <c r="AJ1123" s="1"/>
  <c r="R1124"/>
  <c r="S1124"/>
  <c r="AI1124" s="1"/>
  <c r="T1124"/>
  <c r="AJ1124" s="1"/>
  <c r="R1125"/>
  <c r="S1125"/>
  <c r="AI1125" s="1"/>
  <c r="T1125"/>
  <c r="AJ1125" s="1"/>
  <c r="R1126"/>
  <c r="S1126"/>
  <c r="AI1126" s="1"/>
  <c r="T1126"/>
  <c r="AJ1126" s="1"/>
  <c r="R1127"/>
  <c r="S1127"/>
  <c r="AI1127" s="1"/>
  <c r="T1127"/>
  <c r="AJ1127" s="1"/>
  <c r="R1128"/>
  <c r="S1128"/>
  <c r="AI1128" s="1"/>
  <c r="T1128"/>
  <c r="AJ1128" s="1"/>
  <c r="R1129"/>
  <c r="S1129"/>
  <c r="AI1129" s="1"/>
  <c r="T1129"/>
  <c r="AJ1129" s="1"/>
  <c r="R1130"/>
  <c r="S1130"/>
  <c r="AI1130" s="1"/>
  <c r="T1130"/>
  <c r="AJ1130" s="1"/>
  <c r="R1131"/>
  <c r="S1131"/>
  <c r="AI1131" s="1"/>
  <c r="T1131"/>
  <c r="AJ1131" s="1"/>
  <c r="R1132"/>
  <c r="S1132"/>
  <c r="AI1132" s="1"/>
  <c r="T1132"/>
  <c r="AJ1132" s="1"/>
  <c r="R1133"/>
  <c r="S1133"/>
  <c r="AI1133" s="1"/>
  <c r="T1133"/>
  <c r="AJ1133" s="1"/>
  <c r="R1134"/>
  <c r="S1134"/>
  <c r="AI1134" s="1"/>
  <c r="T1134"/>
  <c r="AJ1134" s="1"/>
  <c r="R1135"/>
  <c r="S1135"/>
  <c r="AI1135" s="1"/>
  <c r="T1135"/>
  <c r="AJ1135" s="1"/>
  <c r="R1136"/>
  <c r="S1136"/>
  <c r="AI1136" s="1"/>
  <c r="T1136"/>
  <c r="AJ1136" s="1"/>
  <c r="R1137"/>
  <c r="S1137"/>
  <c r="AI1137" s="1"/>
  <c r="T1137"/>
  <c r="AJ1137" s="1"/>
  <c r="R1138"/>
  <c r="S1138"/>
  <c r="AI1138" s="1"/>
  <c r="T1138"/>
  <c r="AJ1138" s="1"/>
  <c r="R1139"/>
  <c r="S1139"/>
  <c r="AI1139" s="1"/>
  <c r="T1139"/>
  <c r="AJ1139" s="1"/>
  <c r="R1140"/>
  <c r="S1140"/>
  <c r="AI1140" s="1"/>
  <c r="T1140"/>
  <c r="AJ1140" s="1"/>
  <c r="R1141"/>
  <c r="S1141"/>
  <c r="AI1141" s="1"/>
  <c r="T1141"/>
  <c r="AJ1141" s="1"/>
  <c r="R1142"/>
  <c r="S1142"/>
  <c r="AI1142" s="1"/>
  <c r="T1142"/>
  <c r="AJ1142" s="1"/>
  <c r="R1143"/>
  <c r="S1143"/>
  <c r="AI1143" s="1"/>
  <c r="T1143"/>
  <c r="AJ1143" s="1"/>
  <c r="R1144"/>
  <c r="S1144"/>
  <c r="AI1144" s="1"/>
  <c r="T1144"/>
  <c r="AJ1144" s="1"/>
  <c r="R1145"/>
  <c r="S1145"/>
  <c r="AI1145" s="1"/>
  <c r="T1145"/>
  <c r="AJ1145" s="1"/>
  <c r="R1146"/>
  <c r="S1146"/>
  <c r="AI1146" s="1"/>
  <c r="T1146"/>
  <c r="AJ1146" s="1"/>
  <c r="R1147"/>
  <c r="S1147"/>
  <c r="AI1147" s="1"/>
  <c r="T1147"/>
  <c r="AJ1147" s="1"/>
  <c r="R1148"/>
  <c r="S1148"/>
  <c r="AI1148" s="1"/>
  <c r="T1148"/>
  <c r="AJ1148" s="1"/>
  <c r="R1149"/>
  <c r="S1149"/>
  <c r="AI1149" s="1"/>
  <c r="T1149"/>
  <c r="AJ1149" s="1"/>
  <c r="R1150"/>
  <c r="S1150"/>
  <c r="AI1150" s="1"/>
  <c r="T1150"/>
  <c r="AJ1150" s="1"/>
  <c r="R1151"/>
  <c r="S1151"/>
  <c r="AI1151" s="1"/>
  <c r="T1151"/>
  <c r="AJ1151" s="1"/>
  <c r="R1152"/>
  <c r="S1152"/>
  <c r="AI1152" s="1"/>
  <c r="T1152"/>
  <c r="AJ1152" s="1"/>
  <c r="R1153"/>
  <c r="S1153"/>
  <c r="AI1153" s="1"/>
  <c r="T1153"/>
  <c r="AJ1153" s="1"/>
  <c r="R1154"/>
  <c r="S1154"/>
  <c r="AI1154" s="1"/>
  <c r="T1154"/>
  <c r="AJ1154" s="1"/>
  <c r="R1155"/>
  <c r="S1155"/>
  <c r="AI1155" s="1"/>
  <c r="T1155"/>
  <c r="AJ1155" s="1"/>
  <c r="R1156"/>
  <c r="S1156"/>
  <c r="AI1156" s="1"/>
  <c r="T1156"/>
  <c r="AJ1156" s="1"/>
  <c r="R1157"/>
  <c r="S1157"/>
  <c r="AI1157" s="1"/>
  <c r="T1157"/>
  <c r="AJ1157" s="1"/>
  <c r="R1158"/>
  <c r="S1158"/>
  <c r="AI1158" s="1"/>
  <c r="T1158"/>
  <c r="AJ1158" s="1"/>
  <c r="R1159"/>
  <c r="S1159"/>
  <c r="AI1159" s="1"/>
  <c r="T1159"/>
  <c r="AJ1159" s="1"/>
  <c r="R1160"/>
  <c r="S1160"/>
  <c r="AI1160" s="1"/>
  <c r="T1160"/>
  <c r="AJ1160" s="1"/>
  <c r="R1161"/>
  <c r="S1161"/>
  <c r="AI1161" s="1"/>
  <c r="T1161"/>
  <c r="AJ1161" s="1"/>
  <c r="R1162"/>
  <c r="S1162"/>
  <c r="AI1162" s="1"/>
  <c r="T1162"/>
  <c r="AJ1162" s="1"/>
  <c r="R1163"/>
  <c r="S1163"/>
  <c r="AI1163" s="1"/>
  <c r="T1163"/>
  <c r="AJ1163" s="1"/>
  <c r="R1164"/>
  <c r="S1164"/>
  <c r="AI1164" s="1"/>
  <c r="T1164"/>
  <c r="AJ1164" s="1"/>
  <c r="R1165"/>
  <c r="S1165"/>
  <c r="AI1165" s="1"/>
  <c r="T1165"/>
  <c r="AJ1165" s="1"/>
  <c r="R1166"/>
  <c r="S1166"/>
  <c r="AI1166" s="1"/>
  <c r="T1166"/>
  <c r="AJ1166" s="1"/>
  <c r="R1167"/>
  <c r="S1167"/>
  <c r="AI1167" s="1"/>
  <c r="T1167"/>
  <c r="AJ1167" s="1"/>
  <c r="R1168"/>
  <c r="S1168"/>
  <c r="AI1168" s="1"/>
  <c r="T1168"/>
  <c r="AJ1168" s="1"/>
  <c r="R1169"/>
  <c r="S1169"/>
  <c r="AI1169" s="1"/>
  <c r="T1169"/>
  <c r="AJ1169" s="1"/>
  <c r="R1170"/>
  <c r="S1170"/>
  <c r="AI1170" s="1"/>
  <c r="T1170"/>
  <c r="AJ1170" s="1"/>
  <c r="R1171"/>
  <c r="S1171"/>
  <c r="AI1171" s="1"/>
  <c r="T1171"/>
  <c r="AJ1171" s="1"/>
  <c r="R1172"/>
  <c r="S1172"/>
  <c r="AI1172" s="1"/>
  <c r="T1172"/>
  <c r="AJ1172" s="1"/>
  <c r="R1173"/>
  <c r="S1173"/>
  <c r="AI1173" s="1"/>
  <c r="T1173"/>
  <c r="AJ1173" s="1"/>
  <c r="R1174"/>
  <c r="S1174"/>
  <c r="AI1174" s="1"/>
  <c r="T1174"/>
  <c r="AJ1174" s="1"/>
  <c r="R1175"/>
  <c r="S1175"/>
  <c r="AI1175" s="1"/>
  <c r="T1175"/>
  <c r="AJ1175" s="1"/>
  <c r="R1176"/>
  <c r="S1176"/>
  <c r="AI1176" s="1"/>
  <c r="T1176"/>
  <c r="AJ1176" s="1"/>
  <c r="R1177"/>
  <c r="S1177"/>
  <c r="AI1177" s="1"/>
  <c r="T1177"/>
  <c r="AJ1177" s="1"/>
  <c r="R1178"/>
  <c r="S1178"/>
  <c r="AI1178" s="1"/>
  <c r="T1178"/>
  <c r="AJ1178" s="1"/>
  <c r="R1179"/>
  <c r="S1179"/>
  <c r="AI1179" s="1"/>
  <c r="T1179"/>
  <c r="AJ1179" s="1"/>
  <c r="R1180"/>
  <c r="S1180"/>
  <c r="AI1180" s="1"/>
  <c r="T1180"/>
  <c r="AJ1180" s="1"/>
  <c r="R1181"/>
  <c r="S1181"/>
  <c r="AI1181" s="1"/>
  <c r="T1181"/>
  <c r="AJ1181" s="1"/>
  <c r="R1182"/>
  <c r="S1182"/>
  <c r="AI1182" s="1"/>
  <c r="T1182"/>
  <c r="AJ1182" s="1"/>
  <c r="R1183"/>
  <c r="S1183"/>
  <c r="AI1183" s="1"/>
  <c r="T1183"/>
  <c r="AJ1183" s="1"/>
  <c r="R1184"/>
  <c r="S1184"/>
  <c r="AI1184" s="1"/>
  <c r="T1184"/>
  <c r="AJ1184" s="1"/>
  <c r="R1185"/>
  <c r="S1185"/>
  <c r="AI1185" s="1"/>
  <c r="T1185"/>
  <c r="AJ1185" s="1"/>
  <c r="R1186"/>
  <c r="S1186"/>
  <c r="AI1186" s="1"/>
  <c r="T1186"/>
  <c r="AJ1186" s="1"/>
  <c r="R1187"/>
  <c r="S1187"/>
  <c r="AI1187" s="1"/>
  <c r="T1187"/>
  <c r="AJ1187" s="1"/>
  <c r="R1188"/>
  <c r="S1188"/>
  <c r="AI1188" s="1"/>
  <c r="T1188"/>
  <c r="AJ1188" s="1"/>
  <c r="R1189"/>
  <c r="S1189"/>
  <c r="AI1189" s="1"/>
  <c r="T1189"/>
  <c r="AJ1189" s="1"/>
  <c r="R1190"/>
  <c r="S1190"/>
  <c r="AI1190" s="1"/>
  <c r="T1190"/>
  <c r="AJ1190" s="1"/>
  <c r="R1191"/>
  <c r="S1191"/>
  <c r="AI1191" s="1"/>
  <c r="T1191"/>
  <c r="AJ1191" s="1"/>
  <c r="R1192"/>
  <c r="S1192"/>
  <c r="AI1192" s="1"/>
  <c r="T1192"/>
  <c r="AJ1192" s="1"/>
  <c r="R1193"/>
  <c r="S1193"/>
  <c r="AI1193" s="1"/>
  <c r="T1193"/>
  <c r="AJ1193" s="1"/>
  <c r="R1194"/>
  <c r="S1194"/>
  <c r="AI1194" s="1"/>
  <c r="T1194"/>
  <c r="AJ1194" s="1"/>
  <c r="R1195"/>
  <c r="S1195"/>
  <c r="AI1195" s="1"/>
  <c r="T1195"/>
  <c r="AJ1195" s="1"/>
  <c r="R1196"/>
  <c r="S1196"/>
  <c r="AI1196" s="1"/>
  <c r="T1196"/>
  <c r="AJ1196" s="1"/>
  <c r="R1197"/>
  <c r="S1197"/>
  <c r="AI1197" s="1"/>
  <c r="T1197"/>
  <c r="AJ1197" s="1"/>
  <c r="R1198"/>
  <c r="S1198"/>
  <c r="AI1198" s="1"/>
  <c r="T1198"/>
  <c r="AJ1198" s="1"/>
  <c r="R1199"/>
  <c r="S1199"/>
  <c r="AI1199" s="1"/>
  <c r="T1199"/>
  <c r="AJ1199" s="1"/>
  <c r="R1200"/>
  <c r="S1200"/>
  <c r="AI1200" s="1"/>
  <c r="T1200"/>
  <c r="AJ1200" s="1"/>
  <c r="R1201"/>
  <c r="S1201"/>
  <c r="AI1201" s="1"/>
  <c r="T1201"/>
  <c r="AJ1201" s="1"/>
  <c r="R1202"/>
  <c r="S1202"/>
  <c r="AI1202" s="1"/>
  <c r="T1202"/>
  <c r="AJ1202" s="1"/>
  <c r="R1203"/>
  <c r="S1203"/>
  <c r="AI1203" s="1"/>
  <c r="T1203"/>
  <c r="AJ1203" s="1"/>
  <c r="R1204"/>
  <c r="S1204"/>
  <c r="AI1204" s="1"/>
  <c r="T1204"/>
  <c r="AJ1204" s="1"/>
  <c r="R1205"/>
  <c r="S1205"/>
  <c r="AI1205" s="1"/>
  <c r="T1205"/>
  <c r="AJ1205" s="1"/>
  <c r="R1206"/>
  <c r="S1206"/>
  <c r="AI1206" s="1"/>
  <c r="T1206"/>
  <c r="AJ1206" s="1"/>
  <c r="R1207"/>
  <c r="S1207"/>
  <c r="AI1207" s="1"/>
  <c r="T1207"/>
  <c r="AJ1207" s="1"/>
  <c r="R1208"/>
  <c r="S1208"/>
  <c r="AI1208" s="1"/>
  <c r="T1208"/>
  <c r="AJ1208" s="1"/>
  <c r="R1209"/>
  <c r="S1209"/>
  <c r="AI1209" s="1"/>
  <c r="T1209"/>
  <c r="AJ1209" s="1"/>
  <c r="R1210"/>
  <c r="S1210"/>
  <c r="AI1210" s="1"/>
  <c r="T1210"/>
  <c r="AJ1210" s="1"/>
  <c r="R1211"/>
  <c r="S1211"/>
  <c r="AI1211" s="1"/>
  <c r="T1211"/>
  <c r="AJ1211" s="1"/>
  <c r="R1212"/>
  <c r="S1212"/>
  <c r="AI1212" s="1"/>
  <c r="T1212"/>
  <c r="AJ1212" s="1"/>
  <c r="R1213"/>
  <c r="S1213"/>
  <c r="AI1213" s="1"/>
  <c r="T1213"/>
  <c r="AJ1213" s="1"/>
  <c r="R1214"/>
  <c r="S1214"/>
  <c r="AI1214" s="1"/>
  <c r="T1214"/>
  <c r="AJ1214" s="1"/>
  <c r="R1215"/>
  <c r="S1215"/>
  <c r="AI1215" s="1"/>
  <c r="T1215"/>
  <c r="AJ1215" s="1"/>
  <c r="R1216"/>
  <c r="S1216"/>
  <c r="AI1216" s="1"/>
  <c r="T1216"/>
  <c r="AJ1216" s="1"/>
  <c r="R1217"/>
  <c r="S1217"/>
  <c r="AI1217" s="1"/>
  <c r="T1217"/>
  <c r="AJ1217" s="1"/>
  <c r="R1218"/>
  <c r="S1218"/>
  <c r="AI1218" s="1"/>
  <c r="T1218"/>
  <c r="AJ1218" s="1"/>
  <c r="R1219"/>
  <c r="S1219"/>
  <c r="AI1219" s="1"/>
  <c r="T1219"/>
  <c r="AJ1219" s="1"/>
  <c r="R1220"/>
  <c r="S1220"/>
  <c r="AI1220" s="1"/>
  <c r="T1220"/>
  <c r="AJ1220" s="1"/>
  <c r="R1221"/>
  <c r="S1221"/>
  <c r="AI1221" s="1"/>
  <c r="T1221"/>
  <c r="AJ1221" s="1"/>
  <c r="R1222"/>
  <c r="S1222"/>
  <c r="AI1222" s="1"/>
  <c r="T1222"/>
  <c r="AJ1222" s="1"/>
  <c r="R1223"/>
  <c r="S1223"/>
  <c r="AI1223" s="1"/>
  <c r="T1223"/>
  <c r="AJ1223" s="1"/>
  <c r="R1224"/>
  <c r="S1224"/>
  <c r="AI1224" s="1"/>
  <c r="T1224"/>
  <c r="AJ1224" s="1"/>
  <c r="R1225"/>
  <c r="S1225"/>
  <c r="AI1225" s="1"/>
  <c r="T1225"/>
  <c r="AJ1225" s="1"/>
  <c r="R1226"/>
  <c r="S1226"/>
  <c r="AI1226" s="1"/>
  <c r="T1226"/>
  <c r="AJ1226" s="1"/>
  <c r="R1227"/>
  <c r="S1227"/>
  <c r="AI1227" s="1"/>
  <c r="T1227"/>
  <c r="AJ1227" s="1"/>
  <c r="R1228"/>
  <c r="S1228"/>
  <c r="AI1228" s="1"/>
  <c r="T1228"/>
  <c r="AJ1228" s="1"/>
  <c r="R1229"/>
  <c r="S1229"/>
  <c r="AI1229" s="1"/>
  <c r="T1229"/>
  <c r="AJ1229" s="1"/>
  <c r="R1230"/>
  <c r="S1230"/>
  <c r="AI1230" s="1"/>
  <c r="T1230"/>
  <c r="AJ1230" s="1"/>
  <c r="R1231"/>
  <c r="S1231"/>
  <c r="AI1231" s="1"/>
  <c r="T1231"/>
  <c r="AJ1231" s="1"/>
  <c r="R1232"/>
  <c r="S1232"/>
  <c r="AI1232" s="1"/>
  <c r="T1232"/>
  <c r="AJ1232" s="1"/>
  <c r="R1233"/>
  <c r="S1233"/>
  <c r="AI1233" s="1"/>
  <c r="T1233"/>
  <c r="AJ1233" s="1"/>
  <c r="R1234"/>
  <c r="S1234"/>
  <c r="AI1234" s="1"/>
  <c r="T1234"/>
  <c r="AJ1234" s="1"/>
  <c r="R1235"/>
  <c r="S1235"/>
  <c r="AI1235" s="1"/>
  <c r="T1235"/>
  <c r="AJ1235" s="1"/>
  <c r="R1236"/>
  <c r="S1236"/>
  <c r="AI1236" s="1"/>
  <c r="T1236"/>
  <c r="AJ1236" s="1"/>
  <c r="R1237"/>
  <c r="S1237"/>
  <c r="AI1237" s="1"/>
  <c r="T1237"/>
  <c r="AJ1237" s="1"/>
  <c r="R1238"/>
  <c r="S1238"/>
  <c r="AI1238" s="1"/>
  <c r="T1238"/>
  <c r="AJ1238" s="1"/>
  <c r="R1239"/>
  <c r="S1239"/>
  <c r="AI1239" s="1"/>
  <c r="T1239"/>
  <c r="AJ1239" s="1"/>
  <c r="R1240"/>
  <c r="S1240"/>
  <c r="AI1240" s="1"/>
  <c r="T1240"/>
  <c r="AJ1240" s="1"/>
  <c r="R1241"/>
  <c r="S1241"/>
  <c r="AI1241" s="1"/>
  <c r="T1241"/>
  <c r="AJ1241" s="1"/>
  <c r="R1242"/>
  <c r="S1242"/>
  <c r="AI1242" s="1"/>
  <c r="T1242"/>
  <c r="AJ1242" s="1"/>
  <c r="R1243"/>
  <c r="S1243"/>
  <c r="AI1243" s="1"/>
  <c r="T1243"/>
  <c r="AJ1243" s="1"/>
  <c r="S1244"/>
  <c r="AI1244" s="1"/>
  <c r="R1245"/>
  <c r="S1245"/>
  <c r="AI1245" s="1"/>
  <c r="T1245"/>
  <c r="AJ1245" s="1"/>
  <c r="R1246"/>
  <c r="S1246"/>
  <c r="AI1246" s="1"/>
  <c r="T1246"/>
  <c r="AJ1246" s="1"/>
  <c r="R1247"/>
  <c r="S1247"/>
  <c r="AI1247" s="1"/>
  <c r="T1247"/>
  <c r="AJ1247" s="1"/>
  <c r="R1248"/>
  <c r="S1248"/>
  <c r="AI1248" s="1"/>
  <c r="T1248"/>
  <c r="R1249"/>
  <c r="S1249"/>
  <c r="AI1249" s="1"/>
  <c r="T1249"/>
  <c r="AJ1249" s="1"/>
  <c r="R1250"/>
  <c r="S1250"/>
  <c r="AI1250" s="1"/>
  <c r="T1250"/>
  <c r="AJ1250" s="1"/>
  <c r="R1251"/>
  <c r="S1251"/>
  <c r="AI1251" s="1"/>
  <c r="T1251"/>
  <c r="AJ1251" s="1"/>
  <c r="R1252"/>
  <c r="S1252"/>
  <c r="AI1252" s="1"/>
  <c r="T1252"/>
  <c r="AJ1252" s="1"/>
  <c r="R1253"/>
  <c r="S1253"/>
  <c r="AI1253" s="1"/>
  <c r="T1253"/>
  <c r="AJ1253" s="1"/>
  <c r="R1254"/>
  <c r="S1254"/>
  <c r="AI1254" s="1"/>
  <c r="T1254"/>
  <c r="AJ1254" s="1"/>
  <c r="R1255"/>
  <c r="S1255"/>
  <c r="AI1255" s="1"/>
  <c r="T1255"/>
  <c r="AJ1255" s="1"/>
  <c r="R1256"/>
  <c r="S1256"/>
  <c r="AI1256" s="1"/>
  <c r="T1256"/>
  <c r="AJ1256" s="1"/>
  <c r="R1257"/>
  <c r="S1257"/>
  <c r="AI1257" s="1"/>
  <c r="T1257"/>
  <c r="AJ1257" s="1"/>
  <c r="R1258"/>
  <c r="S1258"/>
  <c r="AI1258" s="1"/>
  <c r="T1258"/>
  <c r="AJ1258" s="1"/>
  <c r="R1259"/>
  <c r="S1259"/>
  <c r="AI1259" s="1"/>
  <c r="T1259"/>
  <c r="AJ1259" s="1"/>
  <c r="R1260"/>
  <c r="S1260"/>
  <c r="AI1260" s="1"/>
  <c r="T1260"/>
  <c r="AJ1260" s="1"/>
  <c r="R1261"/>
  <c r="S1261"/>
  <c r="AI1261" s="1"/>
  <c r="T1261"/>
  <c r="AJ1261" s="1"/>
  <c r="R1262"/>
  <c r="S1262"/>
  <c r="AI1262" s="1"/>
  <c r="T1262"/>
  <c r="AJ1262" s="1"/>
  <c r="R1263"/>
  <c r="S1263"/>
  <c r="AI1263" s="1"/>
  <c r="T1263"/>
  <c r="AJ1263" s="1"/>
  <c r="R1264"/>
  <c r="S1264"/>
  <c r="AI1264" s="1"/>
  <c r="T1264"/>
  <c r="AJ1264" s="1"/>
  <c r="R1265"/>
  <c r="S1265"/>
  <c r="AI1265" s="1"/>
  <c r="T1265"/>
  <c r="AJ1265" s="1"/>
  <c r="R1266"/>
  <c r="S1266"/>
  <c r="AI1266" s="1"/>
  <c r="T1266"/>
  <c r="AJ1266" s="1"/>
  <c r="R1267"/>
  <c r="S1267"/>
  <c r="AI1267" s="1"/>
  <c r="T1267"/>
  <c r="AJ1267" s="1"/>
  <c r="R1268"/>
  <c r="S1268"/>
  <c r="AI1268" s="1"/>
  <c r="T1268"/>
  <c r="AJ1268" s="1"/>
  <c r="R1269"/>
  <c r="S1269"/>
  <c r="AI1269" s="1"/>
  <c r="T1269"/>
  <c r="AJ1269" s="1"/>
  <c r="R1270"/>
  <c r="S1270"/>
  <c r="AI1270" s="1"/>
  <c r="T1270"/>
  <c r="AJ1270" s="1"/>
  <c r="R1271"/>
  <c r="S1271"/>
  <c r="AI1271" s="1"/>
  <c r="T1271"/>
  <c r="AJ1271" s="1"/>
  <c r="R1272"/>
  <c r="S1272"/>
  <c r="AI1272" s="1"/>
  <c r="T1272"/>
  <c r="AJ1272" s="1"/>
  <c r="R1273"/>
  <c r="S1273"/>
  <c r="AI1273" s="1"/>
  <c r="T1273"/>
  <c r="AJ1273" s="1"/>
  <c r="R1274"/>
  <c r="S1274"/>
  <c r="AI1274" s="1"/>
  <c r="T1274"/>
  <c r="AJ1274" s="1"/>
  <c r="R1275"/>
  <c r="S1275"/>
  <c r="AI1275" s="1"/>
  <c r="T1275"/>
  <c r="AJ1275" s="1"/>
  <c r="R1276"/>
  <c r="S1276"/>
  <c r="AI1276" s="1"/>
  <c r="T1276"/>
  <c r="AJ1276" s="1"/>
  <c r="R1277"/>
  <c r="S1277"/>
  <c r="AI1277" s="1"/>
  <c r="T1277"/>
  <c r="AJ1277" s="1"/>
  <c r="R1278"/>
  <c r="S1278"/>
  <c r="AI1278" s="1"/>
  <c r="T1278"/>
  <c r="AJ1278" s="1"/>
  <c r="R1279"/>
  <c r="S1279"/>
  <c r="AI1279" s="1"/>
  <c r="T1279"/>
  <c r="AJ1279" s="1"/>
  <c r="R1280"/>
  <c r="S1280"/>
  <c r="AI1280" s="1"/>
  <c r="T1280"/>
  <c r="AJ1280" s="1"/>
  <c r="R1281"/>
  <c r="S1281"/>
  <c r="AI1281" s="1"/>
  <c r="T1281"/>
  <c r="AJ1281" s="1"/>
  <c r="R1282"/>
  <c r="S1282"/>
  <c r="AI1282" s="1"/>
  <c r="T1282"/>
  <c r="AJ1282" s="1"/>
  <c r="R1283"/>
  <c r="S1283"/>
  <c r="AI1283" s="1"/>
  <c r="T1283"/>
  <c r="AJ1283" s="1"/>
  <c r="R1284"/>
  <c r="S1284"/>
  <c r="AI1284" s="1"/>
  <c r="T1284"/>
  <c r="AJ1284" s="1"/>
  <c r="R1285"/>
  <c r="S1285"/>
  <c r="AI1285" s="1"/>
  <c r="T1285"/>
  <c r="AJ1285" s="1"/>
  <c r="R1286"/>
  <c r="S1286"/>
  <c r="AI1286" s="1"/>
  <c r="T1286"/>
  <c r="AJ1286" s="1"/>
  <c r="R1287"/>
  <c r="S1287"/>
  <c r="AI1287" s="1"/>
  <c r="T1287"/>
  <c r="AJ1287" s="1"/>
  <c r="R1288"/>
  <c r="S1288"/>
  <c r="AI1288" s="1"/>
  <c r="T1288"/>
  <c r="AJ1288" s="1"/>
  <c r="R1289"/>
  <c r="S1289"/>
  <c r="AI1289" s="1"/>
  <c r="T1289"/>
  <c r="AJ1289" s="1"/>
  <c r="R1290"/>
  <c r="S1290"/>
  <c r="AI1290" s="1"/>
  <c r="T1290"/>
  <c r="AJ1290" s="1"/>
  <c r="R1291"/>
  <c r="S1291"/>
  <c r="AI1291" s="1"/>
  <c r="T1291"/>
  <c r="AJ1291" s="1"/>
  <c r="R1292"/>
  <c r="S1292"/>
  <c r="AI1292" s="1"/>
  <c r="T1292"/>
  <c r="AJ1292" s="1"/>
  <c r="R1293"/>
  <c r="S1293"/>
  <c r="AI1293" s="1"/>
  <c r="T1293"/>
  <c r="AJ1293" s="1"/>
  <c r="R1294"/>
  <c r="S1294"/>
  <c r="AI1294" s="1"/>
  <c r="T1294"/>
  <c r="AJ1294" s="1"/>
  <c r="R1295"/>
  <c r="S1295"/>
  <c r="AI1295" s="1"/>
  <c r="T1295"/>
  <c r="AJ1295" s="1"/>
  <c r="R1296"/>
  <c r="S1296"/>
  <c r="AI1296" s="1"/>
  <c r="T1296"/>
  <c r="AJ1296" s="1"/>
  <c r="R1297"/>
  <c r="S1297"/>
  <c r="AI1297" s="1"/>
  <c r="T1297"/>
  <c r="AJ1297" s="1"/>
  <c r="R1298"/>
  <c r="S1298"/>
  <c r="AI1298" s="1"/>
  <c r="T1298"/>
  <c r="AJ1298" s="1"/>
  <c r="R1299"/>
  <c r="S1299"/>
  <c r="AI1299" s="1"/>
  <c r="T1299"/>
  <c r="AJ1299" s="1"/>
  <c r="R1300"/>
  <c r="S1300"/>
  <c r="AI1300" s="1"/>
  <c r="T1300"/>
  <c r="AJ1300" s="1"/>
  <c r="R1301"/>
  <c r="S1301"/>
  <c r="AI1301" s="1"/>
  <c r="T1301"/>
  <c r="AJ1301" s="1"/>
  <c r="R1302"/>
  <c r="S1302"/>
  <c r="AI1302" s="1"/>
  <c r="T1302"/>
  <c r="AJ1302" s="1"/>
  <c r="R1303"/>
  <c r="S1303"/>
  <c r="AI1303" s="1"/>
  <c r="T1303"/>
  <c r="AJ1303" s="1"/>
  <c r="R1304"/>
  <c r="S1304"/>
  <c r="AI1304" s="1"/>
  <c r="T1304"/>
  <c r="AJ1304" s="1"/>
  <c r="R1305"/>
  <c r="S1305"/>
  <c r="AI1305" s="1"/>
  <c r="T1305"/>
  <c r="AJ1305" s="1"/>
  <c r="R1306"/>
  <c r="S1306"/>
  <c r="AI1306" s="1"/>
  <c r="T1306"/>
  <c r="AJ1306" s="1"/>
  <c r="R1307"/>
  <c r="S1307"/>
  <c r="AI1307" s="1"/>
  <c r="T1307"/>
  <c r="AJ1307" s="1"/>
  <c r="R1308"/>
  <c r="S1308"/>
  <c r="AI1308" s="1"/>
  <c r="T1308"/>
  <c r="AJ1308" s="1"/>
  <c r="R1309"/>
  <c r="S1309"/>
  <c r="AI1309" s="1"/>
  <c r="T1309"/>
  <c r="AJ1309" s="1"/>
  <c r="R1310"/>
  <c r="S1310"/>
  <c r="AI1310" s="1"/>
  <c r="T1310"/>
  <c r="AJ1310" s="1"/>
  <c r="R1311"/>
  <c r="S1311"/>
  <c r="AI1311" s="1"/>
  <c r="T1311"/>
  <c r="AJ1311" s="1"/>
  <c r="R1312"/>
  <c r="S1312"/>
  <c r="AI1312" s="1"/>
  <c r="T1312"/>
  <c r="AJ1312" s="1"/>
  <c r="R1313"/>
  <c r="S1313"/>
  <c r="AI1313" s="1"/>
  <c r="T1313"/>
  <c r="AJ1313" s="1"/>
  <c r="R1314"/>
  <c r="S1314"/>
  <c r="AI1314" s="1"/>
  <c r="T1314"/>
  <c r="AJ1314" s="1"/>
  <c r="R1315"/>
  <c r="S1315"/>
  <c r="AI1315" s="1"/>
  <c r="T1315"/>
  <c r="AJ1315" s="1"/>
  <c r="R1316"/>
  <c r="S1316"/>
  <c r="AI1316" s="1"/>
  <c r="T1316"/>
  <c r="AJ1316" s="1"/>
  <c r="R1317"/>
  <c r="S1317"/>
  <c r="AI1317" s="1"/>
  <c r="T1317"/>
  <c r="AJ1317" s="1"/>
  <c r="R1318"/>
  <c r="S1318"/>
  <c r="AI1318" s="1"/>
  <c r="T1318"/>
  <c r="AJ1318" s="1"/>
  <c r="R1319"/>
  <c r="S1319"/>
  <c r="AI1319" s="1"/>
  <c r="T1319"/>
  <c r="AJ1319" s="1"/>
  <c r="R1320"/>
  <c r="S1320"/>
  <c r="AI1320" s="1"/>
  <c r="T1320"/>
  <c r="AJ1320" s="1"/>
  <c r="R1321"/>
  <c r="S1321"/>
  <c r="AI1321" s="1"/>
  <c r="T1321"/>
  <c r="AJ1321" s="1"/>
  <c r="R1322"/>
  <c r="S1322"/>
  <c r="AI1322" s="1"/>
  <c r="T1322"/>
  <c r="AJ1322" s="1"/>
  <c r="R1323"/>
  <c r="S1323"/>
  <c r="AI1323" s="1"/>
  <c r="T1323"/>
  <c r="AJ1323" s="1"/>
  <c r="R1324"/>
  <c r="S1324"/>
  <c r="AI1324" s="1"/>
  <c r="T1324"/>
  <c r="AJ1324" s="1"/>
  <c r="R1325"/>
  <c r="S1325"/>
  <c r="AI1325" s="1"/>
  <c r="T1325"/>
  <c r="AJ1325" s="1"/>
  <c r="R1326"/>
  <c r="S1326"/>
  <c r="AI1326" s="1"/>
  <c r="T1326"/>
  <c r="AJ1326" s="1"/>
  <c r="R1327"/>
  <c r="S1327"/>
  <c r="AI1327" s="1"/>
  <c r="T1327"/>
  <c r="AJ1327" s="1"/>
  <c r="R1328"/>
  <c r="S1328"/>
  <c r="AI1328" s="1"/>
  <c r="T1328"/>
  <c r="AJ1328" s="1"/>
  <c r="R1329"/>
  <c r="S1329"/>
  <c r="AI1329" s="1"/>
  <c r="T1329"/>
  <c r="AJ1329" s="1"/>
  <c r="R1330"/>
  <c r="S1330"/>
  <c r="AI1330" s="1"/>
  <c r="T1330"/>
  <c r="AJ1330" s="1"/>
  <c r="R1331"/>
  <c r="S1331"/>
  <c r="AI1331" s="1"/>
  <c r="T1331"/>
  <c r="AJ1331" s="1"/>
  <c r="R1332"/>
  <c r="S1332"/>
  <c r="AI1332" s="1"/>
  <c r="T1332"/>
  <c r="AJ1332" s="1"/>
  <c r="R1333"/>
  <c r="S1333"/>
  <c r="AI1333" s="1"/>
  <c r="T1333"/>
  <c r="AJ1333" s="1"/>
  <c r="R1334"/>
  <c r="S1334"/>
  <c r="AI1334" s="1"/>
  <c r="T1334"/>
  <c r="AJ1334" s="1"/>
  <c r="R1335"/>
  <c r="S1335"/>
  <c r="AI1335" s="1"/>
  <c r="T1335"/>
  <c r="AJ1335" s="1"/>
  <c r="R1336"/>
  <c r="S1336"/>
  <c r="AI1336" s="1"/>
  <c r="T1336"/>
  <c r="AJ1336" s="1"/>
  <c r="R1337"/>
  <c r="S1337"/>
  <c r="AI1337" s="1"/>
  <c r="T1337"/>
  <c r="AJ1337" s="1"/>
  <c r="R1338"/>
  <c r="S1338"/>
  <c r="AI1338" s="1"/>
  <c r="T1338"/>
  <c r="AJ1338" s="1"/>
  <c r="R1339"/>
  <c r="S1339"/>
  <c r="AI1339" s="1"/>
  <c r="T1339"/>
  <c r="AJ1339" s="1"/>
  <c r="R1340"/>
  <c r="S1340"/>
  <c r="AI1340" s="1"/>
  <c r="T1340"/>
  <c r="AJ1340" s="1"/>
  <c r="R1341"/>
  <c r="S1341"/>
  <c r="AI1341" s="1"/>
  <c r="T1341"/>
  <c r="AJ1341" s="1"/>
  <c r="R1342"/>
  <c r="S1342"/>
  <c r="AI1342" s="1"/>
  <c r="T1342"/>
  <c r="AJ1342" s="1"/>
  <c r="R1343"/>
  <c r="S1343"/>
  <c r="AI1343" s="1"/>
  <c r="T1343"/>
  <c r="AJ1343" s="1"/>
  <c r="R1344"/>
  <c r="S1344"/>
  <c r="AI1344" s="1"/>
  <c r="T1344"/>
  <c r="AJ1344" s="1"/>
  <c r="R1345"/>
  <c r="S1345"/>
  <c r="AI1345" s="1"/>
  <c r="T1345"/>
  <c r="AJ1345" s="1"/>
  <c r="R1346"/>
  <c r="S1346"/>
  <c r="AI1346" s="1"/>
  <c r="T1346"/>
  <c r="AJ1346" s="1"/>
  <c r="R1347"/>
  <c r="S1347"/>
  <c r="AI1347" s="1"/>
  <c r="T1347"/>
  <c r="AJ1347" s="1"/>
  <c r="R1348"/>
  <c r="S1348"/>
  <c r="AI1348" s="1"/>
  <c r="T1348"/>
  <c r="AJ1348" s="1"/>
  <c r="R1349"/>
  <c r="S1349"/>
  <c r="AI1349" s="1"/>
  <c r="T1349"/>
  <c r="AJ1349" s="1"/>
  <c r="R1350"/>
  <c r="S1350"/>
  <c r="AI1350" s="1"/>
  <c r="T1350"/>
  <c r="AJ1350" s="1"/>
  <c r="R1351"/>
  <c r="S1351"/>
  <c r="AI1351" s="1"/>
  <c r="T1351"/>
  <c r="AJ1351" s="1"/>
  <c r="R1352"/>
  <c r="S1352"/>
  <c r="AI1352" s="1"/>
  <c r="T1352"/>
  <c r="AJ1352" s="1"/>
  <c r="R1353"/>
  <c r="S1353"/>
  <c r="AI1353" s="1"/>
  <c r="T1353"/>
  <c r="AJ1353" s="1"/>
  <c r="R1354"/>
  <c r="S1354"/>
  <c r="AI1354" s="1"/>
  <c r="T1354"/>
  <c r="AJ1354" s="1"/>
  <c r="R1355"/>
  <c r="S1355"/>
  <c r="AI1355" s="1"/>
  <c r="T1355"/>
  <c r="AJ1355" s="1"/>
  <c r="R1356"/>
  <c r="S1356"/>
  <c r="AI1356" s="1"/>
  <c r="T1356"/>
  <c r="AJ1356" s="1"/>
  <c r="R1357"/>
  <c r="S1357"/>
  <c r="AI1357" s="1"/>
  <c r="T1357"/>
  <c r="AJ1357" s="1"/>
  <c r="R1358"/>
  <c r="S1358"/>
  <c r="AI1358" s="1"/>
  <c r="T1358"/>
  <c r="AJ1358" s="1"/>
  <c r="R1359"/>
  <c r="S1359"/>
  <c r="AI1359" s="1"/>
  <c r="T1359"/>
  <c r="AJ1359" s="1"/>
  <c r="R1360"/>
  <c r="S1360"/>
  <c r="AI1360" s="1"/>
  <c r="T1360"/>
  <c r="AJ1360" s="1"/>
  <c r="R1361"/>
  <c r="S1361"/>
  <c r="AI1361" s="1"/>
  <c r="T1361"/>
  <c r="AJ1361" s="1"/>
  <c r="R1362"/>
  <c r="S1362"/>
  <c r="AI1362" s="1"/>
  <c r="T1362"/>
  <c r="AJ1362" s="1"/>
  <c r="R1363"/>
  <c r="S1363"/>
  <c r="AI1363" s="1"/>
  <c r="T1363"/>
  <c r="AJ1363" s="1"/>
  <c r="R1364"/>
  <c r="S1364"/>
  <c r="AI1364" s="1"/>
  <c r="T1364"/>
  <c r="AJ1364" s="1"/>
  <c r="R1365"/>
  <c r="S1365"/>
  <c r="AI1365" s="1"/>
  <c r="T1365"/>
  <c r="AJ1365" s="1"/>
  <c r="R1366"/>
  <c r="S1366"/>
  <c r="AI1366" s="1"/>
  <c r="T1366"/>
  <c r="AJ1366" s="1"/>
  <c r="R1367"/>
  <c r="S1367"/>
  <c r="AI1367" s="1"/>
  <c r="T1367"/>
  <c r="AJ1367" s="1"/>
  <c r="R1368"/>
  <c r="S1368"/>
  <c r="AI1368" s="1"/>
  <c r="T1368"/>
  <c r="AJ1368" s="1"/>
  <c r="R1369"/>
  <c r="S1369"/>
  <c r="AI1369" s="1"/>
  <c r="T1369"/>
  <c r="AJ1369" s="1"/>
  <c r="R1370"/>
  <c r="S1370"/>
  <c r="AI1370" s="1"/>
  <c r="T1370"/>
  <c r="AJ1370" s="1"/>
  <c r="R1371"/>
  <c r="S1371"/>
  <c r="AI1371" s="1"/>
  <c r="T1371"/>
  <c r="AJ1371" s="1"/>
  <c r="R1372"/>
  <c r="S1372"/>
  <c r="AI1372" s="1"/>
  <c r="T1372"/>
  <c r="AJ1372" s="1"/>
  <c r="R1373"/>
  <c r="S1373"/>
  <c r="AI1373" s="1"/>
  <c r="T1373"/>
  <c r="AJ1373" s="1"/>
  <c r="R1374"/>
  <c r="S1374"/>
  <c r="AI1374" s="1"/>
  <c r="T1374"/>
  <c r="AJ1374" s="1"/>
  <c r="R1375"/>
  <c r="S1375"/>
  <c r="AI1375" s="1"/>
  <c r="T1375"/>
  <c r="AJ1375" s="1"/>
  <c r="R1376"/>
  <c r="S1376"/>
  <c r="AI1376" s="1"/>
  <c r="T1376"/>
  <c r="AJ1376" s="1"/>
  <c r="R1377"/>
  <c r="S1377"/>
  <c r="AI1377" s="1"/>
  <c r="T1377"/>
  <c r="AJ1377" s="1"/>
  <c r="R1378"/>
  <c r="S1378"/>
  <c r="AI1378" s="1"/>
  <c r="T1378"/>
  <c r="AJ1378" s="1"/>
  <c r="R1379"/>
  <c r="S1379"/>
  <c r="AI1379" s="1"/>
  <c r="T1379"/>
  <c r="AJ1379" s="1"/>
  <c r="R1380"/>
  <c r="S1380"/>
  <c r="AI1380" s="1"/>
  <c r="T1380"/>
  <c r="AJ1380" s="1"/>
  <c r="R1381"/>
  <c r="S1381"/>
  <c r="AI1381" s="1"/>
  <c r="T1381"/>
  <c r="AJ1381" s="1"/>
  <c r="R1382"/>
  <c r="S1382"/>
  <c r="AI1382" s="1"/>
  <c r="T1382"/>
  <c r="AJ1382" s="1"/>
  <c r="R1383"/>
  <c r="S1383"/>
  <c r="AI1383" s="1"/>
  <c r="T1383"/>
  <c r="AJ1383" s="1"/>
  <c r="R1384"/>
  <c r="S1384"/>
  <c r="AI1384" s="1"/>
  <c r="T1384"/>
  <c r="AJ1384" s="1"/>
  <c r="R1385"/>
  <c r="S1385"/>
  <c r="AI1385" s="1"/>
  <c r="T1385"/>
  <c r="AJ1385" s="1"/>
  <c r="R1386"/>
  <c r="S1386"/>
  <c r="AI1386" s="1"/>
  <c r="T1386"/>
  <c r="AJ1386" s="1"/>
  <c r="R1387"/>
  <c r="S1387"/>
  <c r="AI1387" s="1"/>
  <c r="T1387"/>
  <c r="AJ1387" s="1"/>
  <c r="R1388"/>
  <c r="S1388"/>
  <c r="AI1388" s="1"/>
  <c r="T1388"/>
  <c r="AJ1388" s="1"/>
  <c r="R1389"/>
  <c r="S1389"/>
  <c r="AI1389" s="1"/>
  <c r="T1389"/>
  <c r="AJ1389" s="1"/>
  <c r="R1390"/>
  <c r="S1390"/>
  <c r="AI1390" s="1"/>
  <c r="T1390"/>
  <c r="AJ1390" s="1"/>
  <c r="R1391"/>
  <c r="S1391"/>
  <c r="AI1391" s="1"/>
  <c r="T1391"/>
  <c r="AJ1391" s="1"/>
  <c r="R1392"/>
  <c r="S1392"/>
  <c r="AI1392" s="1"/>
  <c r="T1392"/>
  <c r="AJ1392" s="1"/>
  <c r="R1393"/>
  <c r="S1393"/>
  <c r="AI1393" s="1"/>
  <c r="T1393"/>
  <c r="AJ1393" s="1"/>
  <c r="R1394"/>
  <c r="S1394"/>
  <c r="AI1394" s="1"/>
  <c r="T1394"/>
  <c r="AJ1394" s="1"/>
  <c r="R1395"/>
  <c r="S1395"/>
  <c r="AI1395" s="1"/>
  <c r="T1395"/>
  <c r="AJ1395" s="1"/>
  <c r="R1396"/>
  <c r="S1396"/>
  <c r="AI1396" s="1"/>
  <c r="T1396"/>
  <c r="AJ1396" s="1"/>
  <c r="R1397"/>
  <c r="S1397"/>
  <c r="AI1397" s="1"/>
  <c r="T1397"/>
  <c r="AJ1397" s="1"/>
  <c r="R1398"/>
  <c r="S1398"/>
  <c r="AI1398" s="1"/>
  <c r="T1398"/>
  <c r="AJ1398" s="1"/>
  <c r="R1399"/>
  <c r="S1399"/>
  <c r="AI1399" s="1"/>
  <c r="T1399"/>
  <c r="AJ1399" s="1"/>
  <c r="R1400"/>
  <c r="S1400"/>
  <c r="AI1400" s="1"/>
  <c r="T1400"/>
  <c r="AJ1400" s="1"/>
  <c r="R1401"/>
  <c r="S1401"/>
  <c r="AI1401" s="1"/>
  <c r="T1401"/>
  <c r="AJ1401" s="1"/>
  <c r="R1402"/>
  <c r="S1402"/>
  <c r="AI1402" s="1"/>
  <c r="T1402"/>
  <c r="AJ1402" s="1"/>
  <c r="R1403"/>
  <c r="S1403"/>
  <c r="AI1403" s="1"/>
  <c r="T1403"/>
  <c r="AJ1403" s="1"/>
  <c r="R1404"/>
  <c r="S1404"/>
  <c r="AI1404" s="1"/>
  <c r="T1404"/>
  <c r="AJ1404" s="1"/>
  <c r="R1405"/>
  <c r="S1405"/>
  <c r="AI1405" s="1"/>
  <c r="T1405"/>
  <c r="AJ1405" s="1"/>
  <c r="R1406"/>
  <c r="S1406"/>
  <c r="AI1406" s="1"/>
  <c r="T1406"/>
  <c r="AJ1406" s="1"/>
  <c r="R1407"/>
  <c r="S1407"/>
  <c r="AI1407" s="1"/>
  <c r="T1407"/>
  <c r="AJ1407" s="1"/>
  <c r="R1408"/>
  <c r="S1408"/>
  <c r="AI1408" s="1"/>
  <c r="T1408"/>
  <c r="AJ1408" s="1"/>
  <c r="R1409"/>
  <c r="S1409"/>
  <c r="AI1409" s="1"/>
  <c r="T1409"/>
  <c r="AJ1409" s="1"/>
  <c r="R1410"/>
  <c r="S1410"/>
  <c r="AI1410" s="1"/>
  <c r="T1410"/>
  <c r="AJ1410" s="1"/>
  <c r="R1411"/>
  <c r="S1411"/>
  <c r="AI1411" s="1"/>
  <c r="T1411"/>
  <c r="AJ1411" s="1"/>
  <c r="R1412"/>
  <c r="S1412"/>
  <c r="AI1412" s="1"/>
  <c r="T1412"/>
  <c r="AJ1412" s="1"/>
  <c r="R1413"/>
  <c r="S1413"/>
  <c r="AI1413" s="1"/>
  <c r="T1413"/>
  <c r="AJ1413" s="1"/>
  <c r="R1414"/>
  <c r="S1414"/>
  <c r="AI1414" s="1"/>
  <c r="T1414"/>
  <c r="AJ1414" s="1"/>
  <c r="R1415"/>
  <c r="S1415"/>
  <c r="AI1415" s="1"/>
  <c r="T1415"/>
  <c r="AJ1415" s="1"/>
  <c r="R1416"/>
  <c r="S1416"/>
  <c r="AI1416" s="1"/>
  <c r="T1416"/>
  <c r="AJ1416" s="1"/>
  <c r="R1417"/>
  <c r="S1417"/>
  <c r="AI1417" s="1"/>
  <c r="T1417"/>
  <c r="AJ1417" s="1"/>
  <c r="R1418"/>
  <c r="S1418"/>
  <c r="AI1418" s="1"/>
  <c r="T1418"/>
  <c r="AJ1418" s="1"/>
  <c r="R1419"/>
  <c r="S1419"/>
  <c r="AI1419" s="1"/>
  <c r="T1419"/>
  <c r="AJ1419" s="1"/>
  <c r="R1420"/>
  <c r="S1420"/>
  <c r="AI1420" s="1"/>
  <c r="T1420"/>
  <c r="AJ1420" s="1"/>
  <c r="R1421"/>
  <c r="S1421"/>
  <c r="AI1421" s="1"/>
  <c r="T1421"/>
  <c r="AJ1421" s="1"/>
  <c r="R1422"/>
  <c r="S1422"/>
  <c r="AI1422" s="1"/>
  <c r="T1422"/>
  <c r="AJ1422" s="1"/>
  <c r="R1423"/>
  <c r="S1423"/>
  <c r="AI1423" s="1"/>
  <c r="T1423"/>
  <c r="AJ1423" s="1"/>
  <c r="R1424"/>
  <c r="S1424"/>
  <c r="AI1424" s="1"/>
  <c r="T1424"/>
  <c r="AJ1424" s="1"/>
  <c r="R1425"/>
  <c r="S1425"/>
  <c r="AI1425" s="1"/>
  <c r="T1425"/>
  <c r="AJ1425" s="1"/>
  <c r="R1426"/>
  <c r="S1426"/>
  <c r="AI1426" s="1"/>
  <c r="T1426"/>
  <c r="AJ1426" s="1"/>
  <c r="R1427"/>
  <c r="S1427"/>
  <c r="AI1427" s="1"/>
  <c r="T1427"/>
  <c r="AJ1427" s="1"/>
  <c r="R1428"/>
  <c r="S1428"/>
  <c r="AI1428" s="1"/>
  <c r="T1428"/>
  <c r="AJ1428" s="1"/>
  <c r="R1429"/>
  <c r="S1429"/>
  <c r="AI1429" s="1"/>
  <c r="T1429"/>
  <c r="AJ1429" s="1"/>
  <c r="R1430"/>
  <c r="S1430"/>
  <c r="AI1430" s="1"/>
  <c r="T1430"/>
  <c r="AJ1430" s="1"/>
  <c r="R1431"/>
  <c r="S1431"/>
  <c r="AI1431" s="1"/>
  <c r="T1431"/>
  <c r="AJ1431" s="1"/>
  <c r="R1432"/>
  <c r="S1432"/>
  <c r="AI1432" s="1"/>
  <c r="T1432"/>
  <c r="AJ1432" s="1"/>
  <c r="R1433"/>
  <c r="S1433"/>
  <c r="AI1433" s="1"/>
  <c r="T1433"/>
  <c r="AJ1433" s="1"/>
  <c r="R1434"/>
  <c r="S1434"/>
  <c r="AI1434" s="1"/>
  <c r="T1434"/>
  <c r="AJ1434" s="1"/>
  <c r="R1435"/>
  <c r="S1435"/>
  <c r="AI1435" s="1"/>
  <c r="T1435"/>
  <c r="AJ1435" s="1"/>
  <c r="R1436"/>
  <c r="S1436"/>
  <c r="AI1436" s="1"/>
  <c r="T1436"/>
  <c r="AJ1436" s="1"/>
  <c r="R1437"/>
  <c r="S1437"/>
  <c r="AI1437" s="1"/>
  <c r="T1437"/>
  <c r="AJ1437" s="1"/>
  <c r="R1438"/>
  <c r="S1438"/>
  <c r="AI1438" s="1"/>
  <c r="T1438"/>
  <c r="AJ1438" s="1"/>
  <c r="R1439"/>
  <c r="S1439"/>
  <c r="AI1439" s="1"/>
  <c r="T1439"/>
  <c r="AJ1439" s="1"/>
  <c r="R1440"/>
  <c r="S1440"/>
  <c r="AI1440" s="1"/>
  <c r="T1440"/>
  <c r="AJ1440" s="1"/>
  <c r="R1441"/>
  <c r="S1441"/>
  <c r="AI1441" s="1"/>
  <c r="T1441"/>
  <c r="AJ1441" s="1"/>
  <c r="R1442"/>
  <c r="S1442"/>
  <c r="AI1442" s="1"/>
  <c r="T1442"/>
  <c r="AJ1442" s="1"/>
  <c r="R1443"/>
  <c r="S1443"/>
  <c r="AI1443" s="1"/>
  <c r="T1443"/>
  <c r="AJ1443" s="1"/>
  <c r="R1444"/>
  <c r="S1444"/>
  <c r="AI1444" s="1"/>
  <c r="T1444"/>
  <c r="AJ1444" s="1"/>
  <c r="R1445"/>
  <c r="S1445"/>
  <c r="AI1445" s="1"/>
  <c r="T1445"/>
  <c r="AJ1445" s="1"/>
  <c r="R1446"/>
  <c r="S1446"/>
  <c r="AI1446" s="1"/>
  <c r="T1446"/>
  <c r="AJ1446" s="1"/>
  <c r="R1447"/>
  <c r="S1447"/>
  <c r="AI1447" s="1"/>
  <c r="T1447"/>
  <c r="AJ1447" s="1"/>
  <c r="R1448"/>
  <c r="S1448"/>
  <c r="AI1448" s="1"/>
  <c r="T1448"/>
  <c r="AJ1448" s="1"/>
  <c r="R1449"/>
  <c r="S1449"/>
  <c r="AI1449" s="1"/>
  <c r="T1449"/>
  <c r="AJ1449" s="1"/>
  <c r="R1450"/>
  <c r="S1450"/>
  <c r="AI1450" s="1"/>
  <c r="T1450"/>
  <c r="AJ1450" s="1"/>
  <c r="R1451"/>
  <c r="S1451"/>
  <c r="AI1451" s="1"/>
  <c r="T1451"/>
  <c r="AJ1451" s="1"/>
  <c r="R1452"/>
  <c r="S1452"/>
  <c r="AI1452" s="1"/>
  <c r="T1452"/>
  <c r="AJ1452" s="1"/>
  <c r="R1453"/>
  <c r="S1453"/>
  <c r="AI1453" s="1"/>
  <c r="T1453"/>
  <c r="AJ1453" s="1"/>
  <c r="R1454"/>
  <c r="S1454"/>
  <c r="AI1454" s="1"/>
  <c r="T1454"/>
  <c r="AJ1454" s="1"/>
  <c r="R1455"/>
  <c r="S1455"/>
  <c r="AI1455" s="1"/>
  <c r="T1455"/>
  <c r="AJ1455" s="1"/>
  <c r="R1456"/>
  <c r="S1456"/>
  <c r="AI1456" s="1"/>
  <c r="T1456"/>
  <c r="AJ1456" s="1"/>
  <c r="R1457"/>
  <c r="S1457"/>
  <c r="AI1457" s="1"/>
  <c r="T1457"/>
  <c r="AJ1457" s="1"/>
  <c r="R1458"/>
  <c r="S1458"/>
  <c r="AI1458" s="1"/>
  <c r="T1458"/>
  <c r="AJ1458" s="1"/>
  <c r="R1459"/>
  <c r="S1459"/>
  <c r="AI1459" s="1"/>
  <c r="T1459"/>
  <c r="AJ1459" s="1"/>
  <c r="R1460"/>
  <c r="S1460"/>
  <c r="AI1460" s="1"/>
  <c r="T1460"/>
  <c r="AJ1460" s="1"/>
  <c r="R1461"/>
  <c r="S1461"/>
  <c r="AI1461" s="1"/>
  <c r="T1461"/>
  <c r="AJ1461" s="1"/>
  <c r="R1462"/>
  <c r="S1462"/>
  <c r="AI1462" s="1"/>
  <c r="T1462"/>
  <c r="AJ1462" s="1"/>
  <c r="R1463"/>
  <c r="S1463"/>
  <c r="AI1463" s="1"/>
  <c r="T1463"/>
  <c r="AJ1463" s="1"/>
  <c r="R1464"/>
  <c r="S1464"/>
  <c r="AI1464" s="1"/>
  <c r="T1464"/>
  <c r="AJ1464" s="1"/>
  <c r="R1465"/>
  <c r="S1465"/>
  <c r="AI1465" s="1"/>
  <c r="T1465"/>
  <c r="AJ1465" s="1"/>
  <c r="R1466"/>
  <c r="S1466"/>
  <c r="AI1466" s="1"/>
  <c r="T1466"/>
  <c r="AJ1466" s="1"/>
  <c r="R1467"/>
  <c r="S1467"/>
  <c r="AI1467" s="1"/>
  <c r="T1467"/>
  <c r="AJ1467" s="1"/>
  <c r="R1468"/>
  <c r="S1468"/>
  <c r="AI1468" s="1"/>
  <c r="T1468"/>
  <c r="AJ1468" s="1"/>
  <c r="R1469"/>
  <c r="S1469"/>
  <c r="AI1469" s="1"/>
  <c r="T1469"/>
  <c r="AJ1469" s="1"/>
  <c r="R1470"/>
  <c r="S1470"/>
  <c r="AI1470" s="1"/>
  <c r="T1470"/>
  <c r="AJ1470" s="1"/>
  <c r="R1471"/>
  <c r="S1471"/>
  <c r="AI1471" s="1"/>
  <c r="T1471"/>
  <c r="AJ1471" s="1"/>
  <c r="R1472"/>
  <c r="S1472"/>
  <c r="AI1472" s="1"/>
  <c r="T1472"/>
  <c r="AJ1472" s="1"/>
  <c r="R1473"/>
  <c r="S1473"/>
  <c r="AI1473" s="1"/>
  <c r="T1473"/>
  <c r="AJ1473" s="1"/>
  <c r="R1474"/>
  <c r="S1474"/>
  <c r="AI1474" s="1"/>
  <c r="T1474"/>
  <c r="AJ1474" s="1"/>
  <c r="R1475"/>
  <c r="S1475"/>
  <c r="AI1475" s="1"/>
  <c r="T1475"/>
  <c r="AJ1475" s="1"/>
  <c r="R1476"/>
  <c r="S1476"/>
  <c r="AI1476" s="1"/>
  <c r="T1476"/>
  <c r="AJ1476" s="1"/>
  <c r="R1477"/>
  <c r="S1477"/>
  <c r="AI1477" s="1"/>
  <c r="T1477"/>
  <c r="AJ1477" s="1"/>
  <c r="R1478"/>
  <c r="S1478"/>
  <c r="AI1478" s="1"/>
  <c r="T1478"/>
  <c r="AJ1478" s="1"/>
  <c r="R1479"/>
  <c r="S1479"/>
  <c r="AI1479" s="1"/>
  <c r="T1479"/>
  <c r="AJ1479" s="1"/>
  <c r="R1480"/>
  <c r="S1480"/>
  <c r="AI1480" s="1"/>
  <c r="T1480"/>
  <c r="AJ1480" s="1"/>
  <c r="R1481"/>
  <c r="S1481"/>
  <c r="AI1481" s="1"/>
  <c r="T1481"/>
  <c r="AJ1481" s="1"/>
  <c r="R1482"/>
  <c r="S1482"/>
  <c r="AI1482" s="1"/>
  <c r="T1482"/>
  <c r="AJ1482" s="1"/>
  <c r="R1483"/>
  <c r="S1483"/>
  <c r="AI1483" s="1"/>
  <c r="T1483"/>
  <c r="AJ1483" s="1"/>
  <c r="R1484"/>
  <c r="S1484"/>
  <c r="AI1484" s="1"/>
  <c r="T1484"/>
  <c r="AJ1484" s="1"/>
  <c r="R1485"/>
  <c r="S1485"/>
  <c r="AI1485" s="1"/>
  <c r="T1485"/>
  <c r="AJ1485" s="1"/>
  <c r="R1486"/>
  <c r="S1486"/>
  <c r="AI1486" s="1"/>
  <c r="T1486"/>
  <c r="AJ1486" s="1"/>
  <c r="R1487"/>
  <c r="S1487"/>
  <c r="AI1487" s="1"/>
  <c r="T1487"/>
  <c r="AJ1487" s="1"/>
  <c r="R1488"/>
  <c r="S1488"/>
  <c r="AI1488" s="1"/>
  <c r="T1488"/>
  <c r="AJ1488" s="1"/>
  <c r="R1489"/>
  <c r="S1489"/>
  <c r="AI1489" s="1"/>
  <c r="T1489"/>
  <c r="AJ1489" s="1"/>
  <c r="R1490"/>
  <c r="S1490"/>
  <c r="AI1490" s="1"/>
  <c r="T1490"/>
  <c r="AJ1490" s="1"/>
  <c r="R1491"/>
  <c r="S1491"/>
  <c r="AI1491" s="1"/>
  <c r="T1491"/>
  <c r="AJ1491" s="1"/>
  <c r="R1492"/>
  <c r="S1492"/>
  <c r="AI1492" s="1"/>
  <c r="T1492"/>
  <c r="AJ1492" s="1"/>
  <c r="R1493"/>
  <c r="S1493"/>
  <c r="AI1493" s="1"/>
  <c r="T1493"/>
  <c r="AJ1493" s="1"/>
  <c r="R1494"/>
  <c r="S1494"/>
  <c r="AI1494" s="1"/>
  <c r="T1494"/>
  <c r="AJ1494" s="1"/>
  <c r="R1495"/>
  <c r="S1495"/>
  <c r="AI1495" s="1"/>
  <c r="T1495"/>
  <c r="AJ1495" s="1"/>
  <c r="R1496"/>
  <c r="S1496"/>
  <c r="AI1496" s="1"/>
  <c r="T1496"/>
  <c r="AJ1496" s="1"/>
  <c r="R1497"/>
  <c r="S1497"/>
  <c r="AI1497" s="1"/>
  <c r="T1497"/>
  <c r="AJ1497" s="1"/>
  <c r="R1498"/>
  <c r="S1498"/>
  <c r="AI1498" s="1"/>
  <c r="T1498"/>
  <c r="AJ1498" s="1"/>
  <c r="R1499"/>
  <c r="S1499"/>
  <c r="AI1499" s="1"/>
  <c r="T1499"/>
  <c r="AJ1499" s="1"/>
  <c r="R1500"/>
  <c r="S1500"/>
  <c r="AI1500" s="1"/>
  <c r="T1500"/>
  <c r="AJ1500" s="1"/>
  <c r="R1501"/>
  <c r="S1501"/>
  <c r="AI1501" s="1"/>
  <c r="T1501"/>
  <c r="AJ1501" s="1"/>
  <c r="R1502"/>
  <c r="S1502"/>
  <c r="AI1502" s="1"/>
  <c r="T1502"/>
  <c r="AJ1502" s="1"/>
  <c r="R1503"/>
  <c r="S1503"/>
  <c r="AI1503" s="1"/>
  <c r="T1503"/>
  <c r="AJ1503" s="1"/>
  <c r="R1504"/>
  <c r="S1504"/>
  <c r="AI1504" s="1"/>
  <c r="T1504"/>
  <c r="AJ1504" s="1"/>
  <c r="R1505"/>
  <c r="S1505"/>
  <c r="AI1505" s="1"/>
  <c r="T1505"/>
  <c r="AJ1505" s="1"/>
  <c r="R1506"/>
  <c r="S1506"/>
  <c r="AI1506" s="1"/>
  <c r="T1506"/>
  <c r="AJ1506" s="1"/>
  <c r="R1507"/>
  <c r="S1507"/>
  <c r="AI1507" s="1"/>
  <c r="T1507"/>
  <c r="AJ1507" s="1"/>
  <c r="R1508"/>
  <c r="S1508"/>
  <c r="AI1508" s="1"/>
  <c r="T1508"/>
  <c r="AJ1508" s="1"/>
  <c r="R1509"/>
  <c r="S1509"/>
  <c r="AI1509" s="1"/>
  <c r="T1509"/>
  <c r="AJ1509" s="1"/>
  <c r="R1510"/>
  <c r="S1510"/>
  <c r="AI1510" s="1"/>
  <c r="T1510"/>
  <c r="AJ1510" s="1"/>
  <c r="R1511"/>
  <c r="S1511"/>
  <c r="AI1511" s="1"/>
  <c r="T1511"/>
  <c r="AJ1511" s="1"/>
  <c r="R1512"/>
  <c r="S1512"/>
  <c r="AI1512" s="1"/>
  <c r="T1512"/>
  <c r="AJ1512" s="1"/>
  <c r="R1513"/>
  <c r="S1513"/>
  <c r="AI1513" s="1"/>
  <c r="T1513"/>
  <c r="AJ1513" s="1"/>
  <c r="R1514"/>
  <c r="S1514"/>
  <c r="AI1514" s="1"/>
  <c r="T1514"/>
  <c r="AJ1514" s="1"/>
  <c r="R1515"/>
  <c r="S1515"/>
  <c r="AI1515" s="1"/>
  <c r="T1515"/>
  <c r="AJ1515" s="1"/>
  <c r="R1516"/>
  <c r="S1516"/>
  <c r="AI1516" s="1"/>
  <c r="T1516"/>
  <c r="AJ1516" s="1"/>
  <c r="R1517"/>
  <c r="S1517"/>
  <c r="AI1517" s="1"/>
  <c r="T1517"/>
  <c r="AJ1517" s="1"/>
  <c r="R1518"/>
  <c r="S1518"/>
  <c r="AI1518" s="1"/>
  <c r="T1518"/>
  <c r="AJ1518" s="1"/>
  <c r="R1519"/>
  <c r="S1519"/>
  <c r="AI1519" s="1"/>
  <c r="T1519"/>
  <c r="AJ1519" s="1"/>
  <c r="R1520"/>
  <c r="S1520"/>
  <c r="AI1520" s="1"/>
  <c r="T1520"/>
  <c r="AJ1520" s="1"/>
  <c r="R1521"/>
  <c r="S1521"/>
  <c r="AI1521" s="1"/>
  <c r="T1521"/>
  <c r="AJ1521" s="1"/>
  <c r="R1522"/>
  <c r="S1522"/>
  <c r="AI1522" s="1"/>
  <c r="T1522"/>
  <c r="AJ1522" s="1"/>
  <c r="R1523"/>
  <c r="S1523"/>
  <c r="AI1523" s="1"/>
  <c r="T1523"/>
  <c r="AJ1523" s="1"/>
  <c r="R1524"/>
  <c r="S1524"/>
  <c r="AI1524" s="1"/>
  <c r="T1524"/>
  <c r="AJ1524" s="1"/>
  <c r="R1525"/>
  <c r="S1525"/>
  <c r="AI1525" s="1"/>
  <c r="T1525"/>
  <c r="AJ1525" s="1"/>
  <c r="R1526"/>
  <c r="S1526"/>
  <c r="AI1526" s="1"/>
  <c r="T1526"/>
  <c r="AJ1526" s="1"/>
  <c r="R1527"/>
  <c r="S1527"/>
  <c r="AI1527" s="1"/>
  <c r="T1527"/>
  <c r="AJ1527" s="1"/>
  <c r="R1528"/>
  <c r="S1528"/>
  <c r="AI1528" s="1"/>
  <c r="T1528"/>
  <c r="AJ1528" s="1"/>
  <c r="R1529"/>
  <c r="S1529"/>
  <c r="AI1529" s="1"/>
  <c r="T1529"/>
  <c r="AJ1529" s="1"/>
  <c r="R1530"/>
  <c r="S1530"/>
  <c r="AI1530" s="1"/>
  <c r="T1530"/>
  <c r="AJ1530" s="1"/>
  <c r="R1531"/>
  <c r="S1531"/>
  <c r="AI1531" s="1"/>
  <c r="T1531"/>
  <c r="AJ1531" s="1"/>
  <c r="R1532"/>
  <c r="S1532"/>
  <c r="AI1532" s="1"/>
  <c r="T1532"/>
  <c r="AJ1532" s="1"/>
  <c r="R1533"/>
  <c r="S1533"/>
  <c r="AI1533" s="1"/>
  <c r="T1533"/>
  <c r="AJ1533" s="1"/>
  <c r="R1534"/>
  <c r="S1534"/>
  <c r="AI1534" s="1"/>
  <c r="T1534"/>
  <c r="AJ1534" s="1"/>
  <c r="R1535"/>
  <c r="S1535"/>
  <c r="AI1535" s="1"/>
  <c r="T1535"/>
  <c r="AJ1535" s="1"/>
  <c r="R1536"/>
  <c r="S1536"/>
  <c r="AI1536" s="1"/>
  <c r="T1536"/>
  <c r="AJ1536" s="1"/>
  <c r="R1537"/>
  <c r="S1537"/>
  <c r="AI1537" s="1"/>
  <c r="T1537"/>
  <c r="AJ1537" s="1"/>
  <c r="R1538"/>
  <c r="S1538"/>
  <c r="AI1538" s="1"/>
  <c r="T1538"/>
  <c r="AJ1538" s="1"/>
  <c r="R1539"/>
  <c r="S1539"/>
  <c r="AI1539" s="1"/>
  <c r="T1539"/>
  <c r="AJ1539" s="1"/>
  <c r="R1540"/>
  <c r="S1540"/>
  <c r="AI1540" s="1"/>
  <c r="T1540"/>
  <c r="AJ1540" s="1"/>
  <c r="R1541"/>
  <c r="S1541"/>
  <c r="AI1541" s="1"/>
  <c r="T1541"/>
  <c r="AJ1541" s="1"/>
  <c r="R1542"/>
  <c r="S1542"/>
  <c r="AI1542" s="1"/>
  <c r="T1542"/>
  <c r="AJ1542" s="1"/>
  <c r="R1543"/>
  <c r="S1543"/>
  <c r="AI1543" s="1"/>
  <c r="T1543"/>
  <c r="AJ1543" s="1"/>
  <c r="R1544"/>
  <c r="S1544"/>
  <c r="AI1544" s="1"/>
  <c r="T1544"/>
  <c r="AJ1544" s="1"/>
  <c r="R1545"/>
  <c r="S1545"/>
  <c r="AI1545" s="1"/>
  <c r="T1545"/>
  <c r="AJ1545" s="1"/>
  <c r="R1546"/>
  <c r="S1546"/>
  <c r="AI1546" s="1"/>
  <c r="T1546"/>
  <c r="AJ1546" s="1"/>
  <c r="R1547"/>
  <c r="S1547"/>
  <c r="AI1547" s="1"/>
  <c r="T1547"/>
  <c r="AJ1547" s="1"/>
  <c r="R1548"/>
  <c r="S1548"/>
  <c r="AI1548" s="1"/>
  <c r="T1548"/>
  <c r="AJ1548" s="1"/>
  <c r="R1549"/>
  <c r="S1549"/>
  <c r="AI1549" s="1"/>
  <c r="T1549"/>
  <c r="AJ1549" s="1"/>
  <c r="R1550"/>
  <c r="S1550"/>
  <c r="AI1550" s="1"/>
  <c r="T1550"/>
  <c r="AJ1550" s="1"/>
  <c r="R1551"/>
  <c r="S1551"/>
  <c r="AI1551" s="1"/>
  <c r="T1551"/>
  <c r="AJ1551" s="1"/>
  <c r="R1552"/>
  <c r="S1552"/>
  <c r="AI1552" s="1"/>
  <c r="T1552"/>
  <c r="AJ1552" s="1"/>
  <c r="R1553"/>
  <c r="S1553"/>
  <c r="AI1553" s="1"/>
  <c r="T1553"/>
  <c r="AJ1553" s="1"/>
  <c r="R1554"/>
  <c r="S1554"/>
  <c r="AI1554" s="1"/>
  <c r="T1554"/>
  <c r="AJ1554" s="1"/>
  <c r="R1555"/>
  <c r="S1555"/>
  <c r="AI1555" s="1"/>
  <c r="T1555"/>
  <c r="AJ1555" s="1"/>
  <c r="R1556"/>
  <c r="S1556"/>
  <c r="AI1556" s="1"/>
  <c r="T1556"/>
  <c r="AJ1556" s="1"/>
  <c r="R1557"/>
  <c r="S1557"/>
  <c r="AI1557" s="1"/>
  <c r="T1557"/>
  <c r="AJ1557" s="1"/>
  <c r="R1558"/>
  <c r="S1558"/>
  <c r="AI1558" s="1"/>
  <c r="T1558"/>
  <c r="AJ1558" s="1"/>
  <c r="R1559"/>
  <c r="S1559"/>
  <c r="AI1559" s="1"/>
  <c r="T1559"/>
  <c r="AJ1559" s="1"/>
  <c r="R1560"/>
  <c r="S1560"/>
  <c r="AI1560" s="1"/>
  <c r="T1560"/>
  <c r="AJ1560" s="1"/>
  <c r="R1561"/>
  <c r="S1561"/>
  <c r="AI1561" s="1"/>
  <c r="T1561"/>
  <c r="AJ1561" s="1"/>
  <c r="R1562"/>
  <c r="S1562"/>
  <c r="AI1562" s="1"/>
  <c r="T1562"/>
  <c r="AJ1562" s="1"/>
  <c r="R1563"/>
  <c r="S1563"/>
  <c r="AI1563" s="1"/>
  <c r="T1563"/>
  <c r="AJ1563" s="1"/>
  <c r="R1564"/>
  <c r="S1564"/>
  <c r="AI1564" s="1"/>
  <c r="T1564"/>
  <c r="AJ1564" s="1"/>
  <c r="R1565"/>
  <c r="S1565"/>
  <c r="AI1565" s="1"/>
  <c r="T1565"/>
  <c r="AJ1565" s="1"/>
  <c r="R1566"/>
  <c r="S1566"/>
  <c r="AI1566" s="1"/>
  <c r="T1566"/>
  <c r="AJ1566" s="1"/>
  <c r="R1567"/>
  <c r="S1567"/>
  <c r="AI1567" s="1"/>
  <c r="T1567"/>
  <c r="AJ1567" s="1"/>
  <c r="R1568"/>
  <c r="S1568"/>
  <c r="AI1568" s="1"/>
  <c r="T1568"/>
  <c r="AJ1568" s="1"/>
  <c r="R1569"/>
  <c r="S1569"/>
  <c r="AI1569" s="1"/>
  <c r="T1569"/>
  <c r="AJ1569" s="1"/>
  <c r="R1570"/>
  <c r="S1570"/>
  <c r="AI1570" s="1"/>
  <c r="T1570"/>
  <c r="AJ1570" s="1"/>
  <c r="R1571"/>
  <c r="S1571"/>
  <c r="AI1571" s="1"/>
  <c r="T1571"/>
  <c r="AJ1571" s="1"/>
  <c r="R1572"/>
  <c r="S1572"/>
  <c r="AI1572" s="1"/>
  <c r="T1572"/>
  <c r="AJ1572" s="1"/>
  <c r="R1573"/>
  <c r="S1573"/>
  <c r="AI1573" s="1"/>
  <c r="T1573"/>
  <c r="AJ1573" s="1"/>
  <c r="R1574"/>
  <c r="S1574"/>
  <c r="AI1574" s="1"/>
  <c r="T1574"/>
  <c r="AJ1574" s="1"/>
  <c r="R1575"/>
  <c r="S1575"/>
  <c r="AI1575" s="1"/>
  <c r="T1575"/>
  <c r="AJ1575" s="1"/>
  <c r="R1576"/>
  <c r="S1576"/>
  <c r="AI1576" s="1"/>
  <c r="T1576"/>
  <c r="AJ1576" s="1"/>
  <c r="R1577"/>
  <c r="S1577"/>
  <c r="AI1577" s="1"/>
  <c r="T1577"/>
  <c r="AJ1577" s="1"/>
  <c r="R1578"/>
  <c r="S1578"/>
  <c r="AI1578" s="1"/>
  <c r="T1578"/>
  <c r="AJ1578" s="1"/>
  <c r="R1579"/>
  <c r="S1579"/>
  <c r="AI1579" s="1"/>
  <c r="T1579"/>
  <c r="AJ1579" s="1"/>
  <c r="R1580"/>
  <c r="S1580"/>
  <c r="AI1580" s="1"/>
  <c r="T1580"/>
  <c r="AJ1580" s="1"/>
  <c r="R1581"/>
  <c r="S1581"/>
  <c r="AI1581" s="1"/>
  <c r="T1581"/>
  <c r="AJ1581" s="1"/>
  <c r="R1582"/>
  <c r="S1582"/>
  <c r="AI1582" s="1"/>
  <c r="T1582"/>
  <c r="AJ1582" s="1"/>
  <c r="R1583"/>
  <c r="S1583"/>
  <c r="AI1583" s="1"/>
  <c r="T1583"/>
  <c r="AJ1583" s="1"/>
  <c r="R1584"/>
  <c r="S1584"/>
  <c r="AI1584" s="1"/>
  <c r="T1584"/>
  <c r="AJ1584" s="1"/>
  <c r="R1585"/>
  <c r="S1585"/>
  <c r="AI1585" s="1"/>
  <c r="T1585"/>
  <c r="AJ1585" s="1"/>
  <c r="R1586"/>
  <c r="S1586"/>
  <c r="AI1586" s="1"/>
  <c r="T1586"/>
  <c r="AJ1586" s="1"/>
  <c r="R1587"/>
  <c r="S1587"/>
  <c r="AI1587" s="1"/>
  <c r="T1587"/>
  <c r="AJ1587" s="1"/>
  <c r="R1588"/>
  <c r="S1588"/>
  <c r="AI1588" s="1"/>
  <c r="T1588"/>
  <c r="AJ1588" s="1"/>
  <c r="R1589"/>
  <c r="S1589"/>
  <c r="AI1589" s="1"/>
  <c r="T1589"/>
  <c r="AJ1589" s="1"/>
  <c r="R1590"/>
  <c r="S1590"/>
  <c r="AI1590" s="1"/>
  <c r="T1590"/>
  <c r="AJ1590" s="1"/>
  <c r="R1591"/>
  <c r="S1591"/>
  <c r="AI1591" s="1"/>
  <c r="T1591"/>
  <c r="AJ1591" s="1"/>
  <c r="R1592"/>
  <c r="S1592"/>
  <c r="AI1592" s="1"/>
  <c r="T1592"/>
  <c r="AJ1592" s="1"/>
  <c r="R1593"/>
  <c r="S1593"/>
  <c r="AI1593" s="1"/>
  <c r="T1593"/>
  <c r="AJ1593" s="1"/>
  <c r="R1594"/>
  <c r="S1594"/>
  <c r="AI1594" s="1"/>
  <c r="T1594"/>
  <c r="AJ1594" s="1"/>
  <c r="R1595"/>
  <c r="S1595"/>
  <c r="AI1595" s="1"/>
  <c r="T1595"/>
  <c r="AJ1595" s="1"/>
  <c r="R1596"/>
  <c r="S1596"/>
  <c r="AI1596" s="1"/>
  <c r="T1596"/>
  <c r="AJ1596" s="1"/>
  <c r="R1597"/>
  <c r="S1597"/>
  <c r="AI1597" s="1"/>
  <c r="T1597"/>
  <c r="AJ1597" s="1"/>
  <c r="R1598"/>
  <c r="S1598"/>
  <c r="AI1598" s="1"/>
  <c r="T1598"/>
  <c r="AJ1598" s="1"/>
  <c r="R1599"/>
  <c r="S1599"/>
  <c r="AI1599" s="1"/>
  <c r="T1599"/>
  <c r="AJ1599" s="1"/>
  <c r="R1600"/>
  <c r="S1600"/>
  <c r="AI1600" s="1"/>
  <c r="T1600"/>
  <c r="AJ1600" s="1"/>
  <c r="R1601"/>
  <c r="S1601"/>
  <c r="AI1601" s="1"/>
  <c r="T1601"/>
  <c r="AJ1601" s="1"/>
  <c r="R1602"/>
  <c r="S1602"/>
  <c r="AI1602" s="1"/>
  <c r="T1602"/>
  <c r="AJ1602" s="1"/>
  <c r="R1603"/>
  <c r="S1603"/>
  <c r="AI1603" s="1"/>
  <c r="T1603"/>
  <c r="AJ1603" s="1"/>
  <c r="R1604"/>
  <c r="S1604"/>
  <c r="AI1604" s="1"/>
  <c r="T1604"/>
  <c r="AJ1604" s="1"/>
  <c r="R1605"/>
  <c r="S1605"/>
  <c r="AI1605" s="1"/>
  <c r="T1605"/>
  <c r="AJ1605" s="1"/>
  <c r="R1606"/>
  <c r="S1606"/>
  <c r="AI1606" s="1"/>
  <c r="T1606"/>
  <c r="AJ1606" s="1"/>
  <c r="R1607"/>
  <c r="S1607"/>
  <c r="AI1607" s="1"/>
  <c r="T1607"/>
  <c r="AJ1607" s="1"/>
  <c r="R1608"/>
  <c r="S1608"/>
  <c r="AI1608" s="1"/>
  <c r="T1608"/>
  <c r="AJ1608" s="1"/>
  <c r="R1609"/>
  <c r="S1609"/>
  <c r="AI1609" s="1"/>
  <c r="T1609"/>
  <c r="AJ1609" s="1"/>
  <c r="R1610"/>
  <c r="S1610"/>
  <c r="AI1610" s="1"/>
  <c r="T1610"/>
  <c r="AJ1610" s="1"/>
  <c r="R1611"/>
  <c r="S1611"/>
  <c r="AI1611" s="1"/>
  <c r="T1611"/>
  <c r="AJ1611" s="1"/>
  <c r="R1612"/>
  <c r="S1612"/>
  <c r="AI1612" s="1"/>
  <c r="T1612"/>
  <c r="AJ1612" s="1"/>
  <c r="R1613"/>
  <c r="S1613"/>
  <c r="AI1613" s="1"/>
  <c r="T1613"/>
  <c r="AJ1613" s="1"/>
  <c r="R1614"/>
  <c r="S1614"/>
  <c r="AI1614" s="1"/>
  <c r="T1614"/>
  <c r="AJ1614" s="1"/>
  <c r="R1615"/>
  <c r="S1615"/>
  <c r="AI1615" s="1"/>
  <c r="T1615"/>
  <c r="AJ1615" s="1"/>
  <c r="R1616"/>
  <c r="S1616"/>
  <c r="AI1616" s="1"/>
  <c r="T1616"/>
  <c r="AJ1616" s="1"/>
  <c r="R1617"/>
  <c r="S1617"/>
  <c r="AI1617" s="1"/>
  <c r="T1617"/>
  <c r="AJ1617" s="1"/>
  <c r="R1618"/>
  <c r="S1618"/>
  <c r="AI1618" s="1"/>
  <c r="T1618"/>
  <c r="AJ1618" s="1"/>
  <c r="R1619"/>
  <c r="S1619"/>
  <c r="AI1619" s="1"/>
  <c r="T1619"/>
  <c r="AJ1619" s="1"/>
  <c r="R1620"/>
  <c r="S1620"/>
  <c r="AI1620" s="1"/>
  <c r="T1620"/>
  <c r="AJ1620" s="1"/>
  <c r="R1621"/>
  <c r="S1621"/>
  <c r="AI1621" s="1"/>
  <c r="T1621"/>
  <c r="AJ1621" s="1"/>
  <c r="R1622"/>
  <c r="S1622"/>
  <c r="AI1622" s="1"/>
  <c r="T1622"/>
  <c r="AJ1622" s="1"/>
  <c r="R1623"/>
  <c r="S1623"/>
  <c r="AI1623" s="1"/>
  <c r="T1623"/>
  <c r="AJ1623" s="1"/>
  <c r="R1624"/>
  <c r="S1624"/>
  <c r="AI1624" s="1"/>
  <c r="T1624"/>
  <c r="AJ1624" s="1"/>
  <c r="R1625"/>
  <c r="S1625"/>
  <c r="AI1625" s="1"/>
  <c r="T1625"/>
  <c r="AJ1625" s="1"/>
  <c r="R1626"/>
  <c r="S1626"/>
  <c r="AI1626" s="1"/>
  <c r="T1626"/>
  <c r="AJ1626" s="1"/>
  <c r="R1627"/>
  <c r="S1627"/>
  <c r="AI1627" s="1"/>
  <c r="T1627"/>
  <c r="AJ1627" s="1"/>
  <c r="R1628"/>
  <c r="S1628"/>
  <c r="AI1628" s="1"/>
  <c r="T1628"/>
  <c r="AJ1628" s="1"/>
  <c r="R1629"/>
  <c r="S1629"/>
  <c r="AI1629" s="1"/>
  <c r="T1629"/>
  <c r="AJ1629" s="1"/>
  <c r="R1630"/>
  <c r="S1630"/>
  <c r="AI1630" s="1"/>
  <c r="T1630"/>
  <c r="AJ1630" s="1"/>
  <c r="R1631"/>
  <c r="S1631"/>
  <c r="AI1631" s="1"/>
  <c r="T1631"/>
  <c r="AJ1631" s="1"/>
  <c r="R1632"/>
  <c r="S1632"/>
  <c r="AI1632" s="1"/>
  <c r="T1632"/>
  <c r="AJ1632" s="1"/>
  <c r="R1633"/>
  <c r="S1633"/>
  <c r="AI1633" s="1"/>
  <c r="T1633"/>
  <c r="AJ1633" s="1"/>
  <c r="R1634"/>
  <c r="S1634"/>
  <c r="AI1634" s="1"/>
  <c r="T1634"/>
  <c r="AJ1634" s="1"/>
  <c r="R1635"/>
  <c r="S1635"/>
  <c r="AI1635" s="1"/>
  <c r="T1635"/>
  <c r="AJ1635" s="1"/>
  <c r="R1636"/>
  <c r="S1636"/>
  <c r="AI1636" s="1"/>
  <c r="T1636"/>
  <c r="AJ1636" s="1"/>
  <c r="R1637"/>
  <c r="S1637"/>
  <c r="AI1637" s="1"/>
  <c r="T1637"/>
  <c r="AJ1637" s="1"/>
  <c r="R1638"/>
  <c r="S1638"/>
  <c r="AI1638" s="1"/>
  <c r="T1638"/>
  <c r="AJ1638" s="1"/>
  <c r="R1639"/>
  <c r="S1639"/>
  <c r="AI1639" s="1"/>
  <c r="T1639"/>
  <c r="AJ1639" s="1"/>
  <c r="R1640"/>
  <c r="S1640"/>
  <c r="AI1640" s="1"/>
  <c r="T1640"/>
  <c r="AJ1640" s="1"/>
  <c r="R1641"/>
  <c r="S1641"/>
  <c r="AI1641" s="1"/>
  <c r="T1641"/>
  <c r="AJ1641" s="1"/>
  <c r="R1642"/>
  <c r="S1642"/>
  <c r="AI1642" s="1"/>
  <c r="T1642"/>
  <c r="AJ1642" s="1"/>
  <c r="R1643"/>
  <c r="S1643"/>
  <c r="AI1643" s="1"/>
  <c r="T1643"/>
  <c r="AJ1643" s="1"/>
  <c r="R1644"/>
  <c r="S1644"/>
  <c r="AI1644" s="1"/>
  <c r="T1644"/>
  <c r="AJ1644" s="1"/>
  <c r="R1645"/>
  <c r="S1645"/>
  <c r="AI1645" s="1"/>
  <c r="T1645"/>
  <c r="AJ1645" s="1"/>
  <c r="R1646"/>
  <c r="S1646"/>
  <c r="AI1646" s="1"/>
  <c r="T1646"/>
  <c r="AJ1646" s="1"/>
  <c r="R1647"/>
  <c r="S1647"/>
  <c r="AI1647" s="1"/>
  <c r="T1647"/>
  <c r="AJ1647" s="1"/>
  <c r="R1648"/>
  <c r="S1648"/>
  <c r="AI1648" s="1"/>
  <c r="T1648"/>
  <c r="AJ1648" s="1"/>
  <c r="R1649"/>
  <c r="S1649"/>
  <c r="AI1649" s="1"/>
  <c r="T1649"/>
  <c r="AJ1649" s="1"/>
  <c r="R1650"/>
  <c r="S1650"/>
  <c r="AI1650" s="1"/>
  <c r="T1650"/>
  <c r="AJ1650" s="1"/>
  <c r="R1651"/>
  <c r="S1651"/>
  <c r="AI1651" s="1"/>
  <c r="T1651"/>
  <c r="AJ1651" s="1"/>
  <c r="R1652"/>
  <c r="S1652"/>
  <c r="AI1652" s="1"/>
  <c r="T1652"/>
  <c r="AJ1652" s="1"/>
  <c r="R1653"/>
  <c r="S1653"/>
  <c r="AI1653" s="1"/>
  <c r="T1653"/>
  <c r="AJ1653" s="1"/>
  <c r="R1654"/>
  <c r="S1654"/>
  <c r="AI1654" s="1"/>
  <c r="T1654"/>
  <c r="AJ1654" s="1"/>
  <c r="R1655"/>
  <c r="S1655"/>
  <c r="AI1655" s="1"/>
  <c r="T1655"/>
  <c r="AJ1655" s="1"/>
  <c r="R1656"/>
  <c r="S1656"/>
  <c r="AI1656" s="1"/>
  <c r="T1656"/>
  <c r="AJ1656" s="1"/>
  <c r="R1657"/>
  <c r="S1657"/>
  <c r="AI1657" s="1"/>
  <c r="T1657"/>
  <c r="AJ1657" s="1"/>
  <c r="R1658"/>
  <c r="S1658"/>
  <c r="AI1658" s="1"/>
  <c r="T1658"/>
  <c r="AJ1658" s="1"/>
  <c r="R1659"/>
  <c r="S1659"/>
  <c r="AI1659" s="1"/>
  <c r="T1659"/>
  <c r="AJ1659" s="1"/>
  <c r="R1660"/>
  <c r="S1660"/>
  <c r="AI1660" s="1"/>
  <c r="T1660"/>
  <c r="AJ1660" s="1"/>
  <c r="R1661"/>
  <c r="S1661"/>
  <c r="AI1661" s="1"/>
  <c r="T1661"/>
  <c r="AJ1661" s="1"/>
  <c r="R1662"/>
  <c r="S1662"/>
  <c r="AI1662" s="1"/>
  <c r="T1662"/>
  <c r="AJ1662" s="1"/>
  <c r="R1663"/>
  <c r="S1663"/>
  <c r="AI1663" s="1"/>
  <c r="T1663"/>
  <c r="AJ1663" s="1"/>
  <c r="R1664"/>
  <c r="S1664"/>
  <c r="AI1664" s="1"/>
  <c r="T1664"/>
  <c r="AJ1664" s="1"/>
  <c r="R1665"/>
  <c r="S1665"/>
  <c r="AI1665" s="1"/>
  <c r="T1665"/>
  <c r="AJ1665" s="1"/>
  <c r="R1666"/>
  <c r="S1666"/>
  <c r="AI1666" s="1"/>
  <c r="T1666"/>
  <c r="AJ1666" s="1"/>
  <c r="R1667"/>
  <c r="S1667"/>
  <c r="AI1667" s="1"/>
  <c r="T1667"/>
  <c r="AJ1667" s="1"/>
  <c r="R1668"/>
  <c r="S1668"/>
  <c r="AI1668" s="1"/>
  <c r="T1668"/>
  <c r="AJ1668" s="1"/>
  <c r="R1669"/>
  <c r="S1669"/>
  <c r="AI1669" s="1"/>
  <c r="T1669"/>
  <c r="AJ1669" s="1"/>
  <c r="R1670"/>
  <c r="S1670"/>
  <c r="AI1670" s="1"/>
  <c r="T1670"/>
  <c r="AJ1670" s="1"/>
  <c r="R1671"/>
  <c r="S1671"/>
  <c r="AI1671" s="1"/>
  <c r="T1671"/>
  <c r="AJ1671" s="1"/>
  <c r="R1672"/>
  <c r="S1672"/>
  <c r="AI1672" s="1"/>
  <c r="T1672"/>
  <c r="AJ1672" s="1"/>
  <c r="R1673"/>
  <c r="S1673"/>
  <c r="AI1673" s="1"/>
  <c r="T1673"/>
  <c r="AJ1673" s="1"/>
  <c r="R1674"/>
  <c r="S1674"/>
  <c r="AI1674" s="1"/>
  <c r="T1674"/>
  <c r="AJ1674" s="1"/>
  <c r="R1675"/>
  <c r="S1675"/>
  <c r="AI1675" s="1"/>
  <c r="T1675"/>
  <c r="AJ1675" s="1"/>
  <c r="R1676"/>
  <c r="S1676"/>
  <c r="AI1676" s="1"/>
  <c r="T1676"/>
  <c r="AJ1676" s="1"/>
  <c r="R1677"/>
  <c r="S1677"/>
  <c r="AI1677" s="1"/>
  <c r="T1677"/>
  <c r="AJ1677" s="1"/>
  <c r="R1678"/>
  <c r="S1678"/>
  <c r="AI1678" s="1"/>
  <c r="T1678"/>
  <c r="AJ1678" s="1"/>
  <c r="R1679"/>
  <c r="S1679"/>
  <c r="AI1679" s="1"/>
  <c r="T1679"/>
  <c r="AJ1679" s="1"/>
  <c r="R1680"/>
  <c r="S1680"/>
  <c r="AI1680" s="1"/>
  <c r="T1680"/>
  <c r="AJ1680" s="1"/>
  <c r="R1681"/>
  <c r="S1681"/>
  <c r="AI1681" s="1"/>
  <c r="T1681"/>
  <c r="AJ1681" s="1"/>
  <c r="R1682"/>
  <c r="S1682"/>
  <c r="AI1682" s="1"/>
  <c r="T1682"/>
  <c r="AJ1682" s="1"/>
  <c r="R1683"/>
  <c r="S1683"/>
  <c r="AI1683" s="1"/>
  <c r="T1683"/>
  <c r="AJ1683" s="1"/>
  <c r="R1684"/>
  <c r="S1684"/>
  <c r="AI1684" s="1"/>
  <c r="T1684"/>
  <c r="AJ1684" s="1"/>
  <c r="R1685"/>
  <c r="S1685"/>
  <c r="AI1685" s="1"/>
  <c r="T1685"/>
  <c r="AJ1685" s="1"/>
  <c r="R1686"/>
  <c r="S1686"/>
  <c r="AI1686" s="1"/>
  <c r="T1686"/>
  <c r="AJ1686" s="1"/>
  <c r="R1687"/>
  <c r="S1687"/>
  <c r="AI1687" s="1"/>
  <c r="T1687"/>
  <c r="AJ1687" s="1"/>
  <c r="R1688"/>
  <c r="S1688"/>
  <c r="AI1688" s="1"/>
  <c r="T1688"/>
  <c r="AJ1688" s="1"/>
  <c r="R1689"/>
  <c r="S1689"/>
  <c r="AI1689" s="1"/>
  <c r="T1689"/>
  <c r="AJ1689" s="1"/>
  <c r="R1690"/>
  <c r="S1690"/>
  <c r="AI1690" s="1"/>
  <c r="T1690"/>
  <c r="AJ1690" s="1"/>
  <c r="R1691"/>
  <c r="S1691"/>
  <c r="AI1691" s="1"/>
  <c r="T1691"/>
  <c r="AJ1691" s="1"/>
  <c r="R1692"/>
  <c r="S1692"/>
  <c r="AI1692" s="1"/>
  <c r="T1692"/>
  <c r="AJ1692" s="1"/>
  <c r="R1693"/>
  <c r="S1693"/>
  <c r="AI1693" s="1"/>
  <c r="T1693"/>
  <c r="AJ1693" s="1"/>
  <c r="R1694"/>
  <c r="S1694"/>
  <c r="AI1694" s="1"/>
  <c r="T1694"/>
  <c r="AJ1694" s="1"/>
  <c r="R1695"/>
  <c r="S1695"/>
  <c r="AI1695" s="1"/>
  <c r="T1695"/>
  <c r="AJ1695" s="1"/>
  <c r="R1696"/>
  <c r="S1696"/>
  <c r="AI1696" s="1"/>
  <c r="T1696"/>
  <c r="AJ1696" s="1"/>
  <c r="R1697"/>
  <c r="S1697"/>
  <c r="AI1697" s="1"/>
  <c r="T1697"/>
  <c r="AJ1697" s="1"/>
  <c r="R1698"/>
  <c r="S1698"/>
  <c r="AI1698" s="1"/>
  <c r="T1698"/>
  <c r="AJ1698" s="1"/>
  <c r="R1699"/>
  <c r="S1699"/>
  <c r="AI1699" s="1"/>
  <c r="T1699"/>
  <c r="AJ1699" s="1"/>
  <c r="R1700"/>
  <c r="S1700"/>
  <c r="AI1700" s="1"/>
  <c r="T1700"/>
  <c r="AJ1700" s="1"/>
  <c r="R1701"/>
  <c r="S1701"/>
  <c r="AI1701" s="1"/>
  <c r="T1701"/>
  <c r="AJ1701" s="1"/>
  <c r="R1702"/>
  <c r="S1702"/>
  <c r="AI1702" s="1"/>
  <c r="T1702"/>
  <c r="AJ1702" s="1"/>
  <c r="R1703"/>
  <c r="S1703"/>
  <c r="AI1703" s="1"/>
  <c r="T1703"/>
  <c r="AJ1703" s="1"/>
  <c r="R1704"/>
  <c r="S1704"/>
  <c r="AI1704" s="1"/>
  <c r="T1704"/>
  <c r="AJ1704" s="1"/>
  <c r="R1705"/>
  <c r="S1705"/>
  <c r="AI1705" s="1"/>
  <c r="T1705"/>
  <c r="AJ1705" s="1"/>
  <c r="R1706"/>
  <c r="S1706"/>
  <c r="AI1706" s="1"/>
  <c r="T1706"/>
  <c r="AJ1706" s="1"/>
  <c r="R1707"/>
  <c r="S1707"/>
  <c r="AI1707" s="1"/>
  <c r="T1707"/>
  <c r="AJ1707" s="1"/>
  <c r="R1708"/>
  <c r="S1708"/>
  <c r="AI1708" s="1"/>
  <c r="T1708"/>
  <c r="AJ1708" s="1"/>
  <c r="R1709"/>
  <c r="S1709"/>
  <c r="AI1709" s="1"/>
  <c r="T1709"/>
  <c r="AJ1709" s="1"/>
  <c r="R1710"/>
  <c r="S1710"/>
  <c r="AI1710" s="1"/>
  <c r="T1710"/>
  <c r="AJ1710" s="1"/>
  <c r="R1711"/>
  <c r="S1711"/>
  <c r="AI1711" s="1"/>
  <c r="T1711"/>
  <c r="AJ1711" s="1"/>
  <c r="R1712"/>
  <c r="S1712"/>
  <c r="AI1712" s="1"/>
  <c r="T1712"/>
  <c r="AJ1712" s="1"/>
  <c r="R1713"/>
  <c r="S1713"/>
  <c r="AI1713" s="1"/>
  <c r="T1713"/>
  <c r="AJ1713" s="1"/>
  <c r="R1714"/>
  <c r="S1714"/>
  <c r="AI1714" s="1"/>
  <c r="T1714"/>
  <c r="AJ1714" s="1"/>
  <c r="R1715"/>
  <c r="S1715"/>
  <c r="AI1715" s="1"/>
  <c r="T1715"/>
  <c r="AJ1715" s="1"/>
  <c r="R1716"/>
  <c r="S1716"/>
  <c r="AI1716" s="1"/>
  <c r="T1716"/>
  <c r="AJ1716" s="1"/>
  <c r="R1717"/>
  <c r="S1717"/>
  <c r="AI1717" s="1"/>
  <c r="T1717"/>
  <c r="AJ1717" s="1"/>
  <c r="R1718"/>
  <c r="S1718"/>
  <c r="AI1718" s="1"/>
  <c r="T1718"/>
  <c r="AJ1718" s="1"/>
  <c r="R1719"/>
  <c r="S1719"/>
  <c r="AI1719" s="1"/>
  <c r="T1719"/>
  <c r="AJ1719" s="1"/>
  <c r="R1720"/>
  <c r="S1720"/>
  <c r="AI1720" s="1"/>
  <c r="T1720"/>
  <c r="AJ1720" s="1"/>
  <c r="R1721"/>
  <c r="S1721"/>
  <c r="AI1721" s="1"/>
  <c r="T1721"/>
  <c r="AJ1721" s="1"/>
  <c r="R1722"/>
  <c r="S1722"/>
  <c r="AI1722" s="1"/>
  <c r="T1722"/>
  <c r="AJ1722" s="1"/>
  <c r="R1723"/>
  <c r="S1723"/>
  <c r="AI1723" s="1"/>
  <c r="T1723"/>
  <c r="AJ1723" s="1"/>
  <c r="R1724"/>
  <c r="S1724"/>
  <c r="AI1724" s="1"/>
  <c r="R1725"/>
  <c r="S1725"/>
  <c r="AI1725" s="1"/>
  <c r="T1725"/>
  <c r="AJ1725" s="1"/>
  <c r="R1726"/>
  <c r="S1726"/>
  <c r="AI1726" s="1"/>
  <c r="T1726"/>
  <c r="AJ1726" s="1"/>
  <c r="R1727"/>
  <c r="S1727"/>
  <c r="AI1727" s="1"/>
  <c r="R1728"/>
  <c r="S1728"/>
  <c r="AI1728" s="1"/>
  <c r="T1728"/>
  <c r="AJ1728" s="1"/>
  <c r="R1729"/>
  <c r="S1729"/>
  <c r="AI1729" s="1"/>
  <c r="T1729"/>
  <c r="AJ1729" s="1"/>
  <c r="R1730"/>
  <c r="S1730"/>
  <c r="AI1730" s="1"/>
  <c r="R1731"/>
  <c r="S1731"/>
  <c r="AI1731" s="1"/>
  <c r="T1731"/>
  <c r="AJ1731" s="1"/>
  <c r="R1732"/>
  <c r="S1732"/>
  <c r="AI1732" s="1"/>
  <c r="T1732"/>
  <c r="AJ1732" s="1"/>
  <c r="R1733"/>
  <c r="S1733"/>
  <c r="AI1733" s="1"/>
  <c r="R1734"/>
  <c r="S1734"/>
  <c r="AI1734" s="1"/>
  <c r="T1734"/>
  <c r="AJ1734" s="1"/>
  <c r="R1735"/>
  <c r="S1735"/>
  <c r="AI1735" s="1"/>
  <c r="T1735"/>
  <c r="AJ1735" s="1"/>
  <c r="R1736"/>
  <c r="S1736"/>
  <c r="AI1736" s="1"/>
  <c r="R1737"/>
  <c r="S1737"/>
  <c r="AI1737" s="1"/>
  <c r="T1737"/>
  <c r="AJ1737" s="1"/>
  <c r="R1738"/>
  <c r="S1738"/>
  <c r="AI1738" s="1"/>
  <c r="T1738"/>
  <c r="AJ1738" s="1"/>
  <c r="R1739"/>
  <c r="S1739"/>
  <c r="AI1739" s="1"/>
  <c r="R1740"/>
  <c r="S1740"/>
  <c r="AI1740" s="1"/>
  <c r="T1740"/>
  <c r="AJ1740" s="1"/>
  <c r="R1741"/>
  <c r="S1741"/>
  <c r="AI1741" s="1"/>
  <c r="T1741"/>
  <c r="AJ1741" s="1"/>
  <c r="R1742"/>
  <c r="S1742"/>
  <c r="AI1742" s="1"/>
  <c r="R1743"/>
  <c r="S1743"/>
  <c r="AI1743" s="1"/>
  <c r="T1743"/>
  <c r="AJ1743" s="1"/>
  <c r="R1744"/>
  <c r="S1744"/>
  <c r="AI1744" s="1"/>
  <c r="T1744"/>
  <c r="AJ1744" s="1"/>
  <c r="R1745"/>
  <c r="S1745"/>
  <c r="AI1745" s="1"/>
  <c r="R1746"/>
  <c r="S1746"/>
  <c r="AI1746" s="1"/>
  <c r="T1746"/>
  <c r="AJ1746" s="1"/>
  <c r="R1747"/>
  <c r="S1747"/>
  <c r="AI1747" s="1"/>
  <c r="T1747"/>
  <c r="AJ1747" s="1"/>
  <c r="R1748"/>
  <c r="S1748"/>
  <c r="AI1748" s="1"/>
  <c r="R1749"/>
  <c r="S1749"/>
  <c r="AI1749" s="1"/>
  <c r="T1749"/>
  <c r="AJ1749" s="1"/>
  <c r="R1750"/>
  <c r="S1750"/>
  <c r="AI1750" s="1"/>
  <c r="T1750"/>
  <c r="AJ1750" s="1"/>
  <c r="R1751"/>
  <c r="S1751"/>
  <c r="AI1751" s="1"/>
  <c r="R1752"/>
  <c r="S1752"/>
  <c r="AI1752" s="1"/>
  <c r="T1752"/>
  <c r="AJ1752" s="1"/>
  <c r="R1753"/>
  <c r="S1753"/>
  <c r="AI1753" s="1"/>
  <c r="T1753"/>
  <c r="AJ1753" s="1"/>
  <c r="R1754"/>
  <c r="S1754"/>
  <c r="AI1754" s="1"/>
  <c r="R1755"/>
  <c r="S1755"/>
  <c r="AI1755" s="1"/>
  <c r="T1755"/>
  <c r="AJ1755" s="1"/>
  <c r="R1756"/>
  <c r="S1756"/>
  <c r="AI1756" s="1"/>
  <c r="T1756"/>
  <c r="AJ1756" s="1"/>
  <c r="R1757"/>
  <c r="S1757"/>
  <c r="AI1757" s="1"/>
  <c r="R1758"/>
  <c r="S1758"/>
  <c r="AI1758" s="1"/>
  <c r="T1758"/>
  <c r="AJ1758" s="1"/>
  <c r="R1759"/>
  <c r="S1759"/>
  <c r="AI1759" s="1"/>
  <c r="T1759"/>
  <c r="AJ1759" s="1"/>
  <c r="R1760"/>
  <c r="S1760"/>
  <c r="AI1760" s="1"/>
  <c r="R1761"/>
  <c r="S1761"/>
  <c r="AI1761" s="1"/>
  <c r="T1761"/>
  <c r="AJ1761" s="1"/>
  <c r="R1762"/>
  <c r="S1762"/>
  <c r="AI1762" s="1"/>
  <c r="T1762"/>
  <c r="AJ1762" s="1"/>
  <c r="R1763"/>
  <c r="S1763"/>
  <c r="AI1763" s="1"/>
  <c r="R1764"/>
  <c r="S1764"/>
  <c r="AI1764" s="1"/>
  <c r="T1764"/>
  <c r="AJ1764" s="1"/>
  <c r="R1765"/>
  <c r="S1765"/>
  <c r="AI1765" s="1"/>
  <c r="T1765"/>
  <c r="AJ1765" s="1"/>
  <c r="R1766"/>
  <c r="S1766"/>
  <c r="AI1766" s="1"/>
  <c r="R1767"/>
  <c r="S1767"/>
  <c r="AI1767" s="1"/>
  <c r="T1767"/>
  <c r="AJ1767" s="1"/>
  <c r="R1768"/>
  <c r="S1768"/>
  <c r="AI1768" s="1"/>
  <c r="T1768"/>
  <c r="AJ1768" s="1"/>
  <c r="R1769"/>
  <c r="S1769"/>
  <c r="AI1769" s="1"/>
  <c r="T1769"/>
  <c r="AJ1769" s="1"/>
  <c r="R1770"/>
  <c r="S1770"/>
  <c r="AI1770" s="1"/>
  <c r="T1770"/>
  <c r="AJ1770" s="1"/>
  <c r="R1771"/>
  <c r="S1771"/>
  <c r="AI1771" s="1"/>
  <c r="R1772"/>
  <c r="S1772"/>
  <c r="AI1772" s="1"/>
  <c r="T1772"/>
  <c r="AJ1772" s="1"/>
  <c r="R1773"/>
  <c r="S1773"/>
  <c r="AI1773" s="1"/>
  <c r="T1773"/>
  <c r="AJ1773" s="1"/>
  <c r="R1774"/>
  <c r="S1774"/>
  <c r="AI1774" s="1"/>
  <c r="T1774"/>
  <c r="AJ1774" s="1"/>
  <c r="R1775"/>
  <c r="S1775"/>
  <c r="AI1775" s="1"/>
  <c r="T1775"/>
  <c r="AJ1775" s="1"/>
  <c r="R1776"/>
  <c r="S1776"/>
  <c r="AI1776" s="1"/>
  <c r="T1776"/>
  <c r="R1777"/>
  <c r="S1777"/>
  <c r="AI1777" s="1"/>
  <c r="T1777"/>
  <c r="AJ1777" s="1"/>
  <c r="R1778"/>
  <c r="S1778"/>
  <c r="AI1778" s="1"/>
  <c r="T1778"/>
  <c r="AJ1778" s="1"/>
  <c r="R1779"/>
  <c r="S1779"/>
  <c r="AI1779" s="1"/>
  <c r="T1779"/>
  <c r="AJ1779" s="1"/>
  <c r="R1780"/>
  <c r="S1780"/>
  <c r="AI1780" s="1"/>
  <c r="T1780"/>
  <c r="AJ1780" s="1"/>
  <c r="R1781"/>
  <c r="S1781"/>
  <c r="AI1781" s="1"/>
  <c r="T1781"/>
  <c r="AJ1781" s="1"/>
  <c r="R1782"/>
  <c r="S1782"/>
  <c r="AI1782" s="1"/>
  <c r="T1782"/>
  <c r="AJ1782" s="1"/>
  <c r="R1783"/>
  <c r="S1783"/>
  <c r="AI1783" s="1"/>
  <c r="T1783"/>
  <c r="AJ1783" s="1"/>
  <c r="R1784"/>
  <c r="S1784"/>
  <c r="AI1784" s="1"/>
  <c r="T1784"/>
  <c r="AJ1784" s="1"/>
  <c r="R1785"/>
  <c r="S1785"/>
  <c r="AI1785" s="1"/>
  <c r="T1785"/>
  <c r="AJ1785" s="1"/>
  <c r="R1786"/>
  <c r="S1786"/>
  <c r="AI1786" s="1"/>
  <c r="T1786"/>
  <c r="AJ1786" s="1"/>
  <c r="R1787"/>
  <c r="S1787"/>
  <c r="AI1787" s="1"/>
  <c r="T1787"/>
  <c r="AJ1787" s="1"/>
  <c r="R1788"/>
  <c r="S1788"/>
  <c r="AI1788" s="1"/>
  <c r="T1788"/>
  <c r="AJ1788" s="1"/>
  <c r="R1789"/>
  <c r="S1789"/>
  <c r="AI1789" s="1"/>
  <c r="T1789"/>
  <c r="AJ1789" s="1"/>
  <c r="R1790"/>
  <c r="S1790"/>
  <c r="AI1790" s="1"/>
  <c r="T1790"/>
  <c r="AJ1790" s="1"/>
  <c r="R1791"/>
  <c r="S1791"/>
  <c r="AI1791" s="1"/>
  <c r="T1791"/>
  <c r="AJ1791" s="1"/>
  <c r="R1792"/>
  <c r="S1792"/>
  <c r="AI1792" s="1"/>
  <c r="T1792"/>
  <c r="AJ1792" s="1"/>
  <c r="R1793"/>
  <c r="S1793"/>
  <c r="AI1793" s="1"/>
  <c r="T1793"/>
  <c r="AJ1793" s="1"/>
  <c r="R1794"/>
  <c r="S1794"/>
  <c r="AI1794" s="1"/>
  <c r="T1794"/>
  <c r="AJ1794" s="1"/>
  <c r="R1795"/>
  <c r="S1795"/>
  <c r="AI1795" s="1"/>
  <c r="T1795"/>
  <c r="AJ1795" s="1"/>
  <c r="R1796"/>
  <c r="S1796"/>
  <c r="AI1796" s="1"/>
  <c r="T1796"/>
  <c r="AJ1796" s="1"/>
  <c r="R1797"/>
  <c r="S1797"/>
  <c r="AI1797" s="1"/>
  <c r="T1797"/>
  <c r="AJ1797" s="1"/>
  <c r="R1798"/>
  <c r="S1798"/>
  <c r="AI1798" s="1"/>
  <c r="T1798"/>
  <c r="AJ1798" s="1"/>
  <c r="R1799"/>
  <c r="S1799"/>
  <c r="AI1799" s="1"/>
  <c r="T1799"/>
  <c r="AJ1799" s="1"/>
  <c r="R1800"/>
  <c r="S1800"/>
  <c r="AI1800" s="1"/>
  <c r="T1800"/>
  <c r="AJ1800" s="1"/>
  <c r="R1801"/>
  <c r="S1801"/>
  <c r="AI1801" s="1"/>
  <c r="T1801"/>
  <c r="AJ1801" s="1"/>
  <c r="R1802"/>
  <c r="S1802"/>
  <c r="AI1802" s="1"/>
  <c r="T1802"/>
  <c r="AJ1802" s="1"/>
  <c r="R1803"/>
  <c r="S1803"/>
  <c r="AI1803" s="1"/>
  <c r="T1803"/>
  <c r="AJ1803" s="1"/>
  <c r="R1804"/>
  <c r="S1804"/>
  <c r="AI1804" s="1"/>
  <c r="T1804"/>
  <c r="AJ1804" s="1"/>
  <c r="R1805"/>
  <c r="S1805"/>
  <c r="AI1805" s="1"/>
  <c r="T1805"/>
  <c r="AJ1805" s="1"/>
  <c r="R1806"/>
  <c r="S1806"/>
  <c r="AI1806" s="1"/>
  <c r="T1806"/>
  <c r="AJ1806" s="1"/>
  <c r="R1807"/>
  <c r="S1807"/>
  <c r="AI1807" s="1"/>
  <c r="T1807"/>
  <c r="AJ1807" s="1"/>
  <c r="R1808"/>
  <c r="S1808"/>
  <c r="AI1808" s="1"/>
  <c r="T1808"/>
  <c r="AJ1808" s="1"/>
  <c r="R1809"/>
  <c r="S1809"/>
  <c r="AI1809" s="1"/>
  <c r="T1809"/>
  <c r="AJ1809" s="1"/>
  <c r="R1810"/>
  <c r="S1810"/>
  <c r="AI1810" s="1"/>
  <c r="T1810"/>
  <c r="AJ1810" s="1"/>
  <c r="R1811"/>
  <c r="S1811"/>
  <c r="AI1811" s="1"/>
  <c r="T1811"/>
  <c r="AJ1811" s="1"/>
  <c r="R1812"/>
  <c r="S1812"/>
  <c r="AI1812" s="1"/>
  <c r="T1812"/>
  <c r="AJ1812" s="1"/>
  <c r="R1813"/>
  <c r="S1813"/>
  <c r="AI1813" s="1"/>
  <c r="T1813"/>
  <c r="AJ1813" s="1"/>
  <c r="R1814"/>
  <c r="S1814"/>
  <c r="AI1814" s="1"/>
  <c r="T1814"/>
  <c r="AJ1814" s="1"/>
  <c r="R1815"/>
  <c r="S1815"/>
  <c r="AI1815" s="1"/>
  <c r="T1815"/>
  <c r="AJ1815" s="1"/>
  <c r="R1816"/>
  <c r="S1816"/>
  <c r="AI1816" s="1"/>
  <c r="T1816"/>
  <c r="AJ1816" s="1"/>
  <c r="R1817"/>
  <c r="S1817"/>
  <c r="AI1817" s="1"/>
  <c r="T1817"/>
  <c r="AJ1817" s="1"/>
  <c r="R1818"/>
  <c r="S1818"/>
  <c r="AI1818" s="1"/>
  <c r="T1818"/>
  <c r="AJ1818" s="1"/>
  <c r="R1819"/>
  <c r="S1819"/>
  <c r="AI1819" s="1"/>
  <c r="T1819"/>
  <c r="AJ1819" s="1"/>
  <c r="R1820"/>
  <c r="S1820"/>
  <c r="AI1820" s="1"/>
  <c r="T1820"/>
  <c r="AJ1820" s="1"/>
  <c r="R1821"/>
  <c r="S1821"/>
  <c r="AI1821" s="1"/>
  <c r="T1821"/>
  <c r="AJ1821" s="1"/>
  <c r="R1822"/>
  <c r="S1822"/>
  <c r="AI1822" s="1"/>
  <c r="T1822"/>
  <c r="AJ1822" s="1"/>
  <c r="R1823"/>
  <c r="S1823"/>
  <c r="AI1823" s="1"/>
  <c r="T1823"/>
  <c r="AJ1823" s="1"/>
  <c r="R1824"/>
  <c r="S1824"/>
  <c r="AI1824" s="1"/>
  <c r="T1824"/>
  <c r="AJ1824" s="1"/>
  <c r="R1825"/>
  <c r="S1825"/>
  <c r="AI1825" s="1"/>
  <c r="T1825"/>
  <c r="AJ1825" s="1"/>
  <c r="R1826"/>
  <c r="S1826"/>
  <c r="AI1826" s="1"/>
  <c r="T1826"/>
  <c r="AJ1826" s="1"/>
  <c r="R1827"/>
  <c r="S1827"/>
  <c r="AI1827" s="1"/>
  <c r="T1827"/>
  <c r="AJ1827" s="1"/>
  <c r="R1828"/>
  <c r="S1828"/>
  <c r="AI1828" s="1"/>
  <c r="T1828"/>
  <c r="AJ1828" s="1"/>
  <c r="R1829"/>
  <c r="S1829"/>
  <c r="AI1829" s="1"/>
  <c r="T1829"/>
  <c r="AJ1829" s="1"/>
  <c r="R1830"/>
  <c r="S1830"/>
  <c r="AI1830" s="1"/>
  <c r="T1830"/>
  <c r="AJ1830" s="1"/>
  <c r="R1831"/>
  <c r="S1831"/>
  <c r="AI1831" s="1"/>
  <c r="T1831"/>
  <c r="AJ1831" s="1"/>
  <c r="R1832"/>
  <c r="S1832"/>
  <c r="AI1832" s="1"/>
  <c r="T1832"/>
  <c r="AJ1832" s="1"/>
  <c r="R1833"/>
  <c r="S1833"/>
  <c r="AI1833" s="1"/>
  <c r="T1833"/>
  <c r="AJ1833" s="1"/>
  <c r="R1834"/>
  <c r="S1834"/>
  <c r="AI1834" s="1"/>
  <c r="T1834"/>
  <c r="AJ1834" s="1"/>
  <c r="R1835"/>
  <c r="S1835"/>
  <c r="AI1835" s="1"/>
  <c r="T1835"/>
  <c r="AJ1835" s="1"/>
  <c r="R1836"/>
  <c r="S1836"/>
  <c r="AI1836" s="1"/>
  <c r="T1836"/>
  <c r="AJ1836" s="1"/>
  <c r="R1837"/>
  <c r="S1837"/>
  <c r="AI1837" s="1"/>
  <c r="T1837"/>
  <c r="AJ1837" s="1"/>
  <c r="R1838"/>
  <c r="S1838"/>
  <c r="AI1838" s="1"/>
  <c r="T1838"/>
  <c r="AJ1838" s="1"/>
  <c r="R1839"/>
  <c r="S1839"/>
  <c r="AI1839" s="1"/>
  <c r="T1839"/>
  <c r="AJ1839" s="1"/>
  <c r="R1840"/>
  <c r="S1840"/>
  <c r="AI1840" s="1"/>
  <c r="T1840"/>
  <c r="AJ1840" s="1"/>
  <c r="R1841"/>
  <c r="S1841"/>
  <c r="AI1841" s="1"/>
  <c r="T1841"/>
  <c r="AJ1841" s="1"/>
  <c r="R1842"/>
  <c r="S1842"/>
  <c r="AI1842" s="1"/>
  <c r="T1842"/>
  <c r="AJ1842" s="1"/>
  <c r="R1843"/>
  <c r="S1843"/>
  <c r="AI1843" s="1"/>
  <c r="T1843"/>
  <c r="AJ1843" s="1"/>
  <c r="R1844"/>
  <c r="S1844"/>
  <c r="AI1844" s="1"/>
  <c r="T1844"/>
  <c r="AJ1844" s="1"/>
  <c r="R1845"/>
  <c r="S1845"/>
  <c r="AI1845" s="1"/>
  <c r="T1845"/>
  <c r="AJ1845" s="1"/>
  <c r="R1846"/>
  <c r="S1846"/>
  <c r="AI1846" s="1"/>
  <c r="T1846"/>
  <c r="AJ1846" s="1"/>
  <c r="R1847"/>
  <c r="S1847"/>
  <c r="AI1847" s="1"/>
  <c r="T1847"/>
  <c r="AJ1847" s="1"/>
  <c r="R1848"/>
  <c r="S1848"/>
  <c r="AI1848" s="1"/>
  <c r="T1848"/>
  <c r="AJ1848" s="1"/>
  <c r="R1849"/>
  <c r="S1849"/>
  <c r="AI1849" s="1"/>
  <c r="T1849"/>
  <c r="AJ1849" s="1"/>
  <c r="R1850"/>
  <c r="S1850"/>
  <c r="AI1850" s="1"/>
  <c r="T1850"/>
  <c r="AJ1850" s="1"/>
  <c r="R1851"/>
  <c r="S1851"/>
  <c r="AI1851" s="1"/>
  <c r="T1851"/>
  <c r="AJ1851" s="1"/>
  <c r="R1852"/>
  <c r="S1852"/>
  <c r="AI1852" s="1"/>
  <c r="T1852"/>
  <c r="AJ1852" s="1"/>
  <c r="R1853"/>
  <c r="S1853"/>
  <c r="AI1853" s="1"/>
  <c r="T1853"/>
  <c r="AJ1853" s="1"/>
  <c r="R1854"/>
  <c r="S1854"/>
  <c r="AI1854" s="1"/>
  <c r="T1854"/>
  <c r="AJ1854" s="1"/>
  <c r="R1855"/>
  <c r="S1855"/>
  <c r="AI1855" s="1"/>
  <c r="T1855"/>
  <c r="AJ1855" s="1"/>
  <c r="R1856"/>
  <c r="S1856"/>
  <c r="AI1856" s="1"/>
  <c r="T1856"/>
  <c r="AJ1856" s="1"/>
  <c r="R1857"/>
  <c r="S1857"/>
  <c r="AI1857" s="1"/>
  <c r="T1857"/>
  <c r="AJ1857" s="1"/>
  <c r="R1858"/>
  <c r="S1858"/>
  <c r="AI1858" s="1"/>
  <c r="T1858"/>
  <c r="AJ1858" s="1"/>
  <c r="R1859"/>
  <c r="S1859"/>
  <c r="AI1859" s="1"/>
  <c r="T1859"/>
  <c r="AJ1859" s="1"/>
  <c r="R1860"/>
  <c r="S1860"/>
  <c r="AI1860" s="1"/>
  <c r="T1860"/>
  <c r="AJ1860" s="1"/>
  <c r="R1861"/>
  <c r="S1861"/>
  <c r="AI1861" s="1"/>
  <c r="T1861"/>
  <c r="AJ1861" s="1"/>
  <c r="R1862"/>
  <c r="S1862"/>
  <c r="AI1862" s="1"/>
  <c r="T1862"/>
  <c r="AJ1862" s="1"/>
  <c r="R1863"/>
  <c r="S1863"/>
  <c r="AI1863" s="1"/>
  <c r="T1863"/>
  <c r="AJ1863" s="1"/>
  <c r="R1864"/>
  <c r="S1864"/>
  <c r="AI1864" s="1"/>
  <c r="T1864"/>
  <c r="AJ1864" s="1"/>
  <c r="R1865"/>
  <c r="S1865"/>
  <c r="AI1865" s="1"/>
  <c r="T1865"/>
  <c r="AJ1865" s="1"/>
  <c r="R1866"/>
  <c r="S1866"/>
  <c r="AI1866" s="1"/>
  <c r="T1866"/>
  <c r="AJ1866" s="1"/>
  <c r="R1867"/>
  <c r="S1867"/>
  <c r="AI1867" s="1"/>
  <c r="T1867"/>
  <c r="AJ1867" s="1"/>
  <c r="R1868"/>
  <c r="S1868"/>
  <c r="AI1868" s="1"/>
  <c r="T1868"/>
  <c r="AJ1868" s="1"/>
  <c r="R1869"/>
  <c r="S1869"/>
  <c r="AI1869" s="1"/>
  <c r="T1869"/>
  <c r="AJ1869" s="1"/>
  <c r="R1870"/>
  <c r="S1870"/>
  <c r="AI1870" s="1"/>
  <c r="T1870"/>
  <c r="AJ1870" s="1"/>
  <c r="R1871"/>
  <c r="S1871"/>
  <c r="AI1871" s="1"/>
  <c r="T1871"/>
  <c r="AJ1871" s="1"/>
  <c r="R1872"/>
  <c r="S1872"/>
  <c r="AI1872" s="1"/>
  <c r="T1872"/>
  <c r="AJ1872" s="1"/>
  <c r="R1873"/>
  <c r="S1873"/>
  <c r="AI1873" s="1"/>
  <c r="T1873"/>
  <c r="AJ1873" s="1"/>
  <c r="R1874"/>
  <c r="S1874"/>
  <c r="AI1874" s="1"/>
  <c r="T1874"/>
  <c r="AJ1874" s="1"/>
  <c r="R1875"/>
  <c r="S1875"/>
  <c r="AI1875" s="1"/>
  <c r="T1875"/>
  <c r="AJ1875" s="1"/>
  <c r="R1876"/>
  <c r="S1876"/>
  <c r="AI1876" s="1"/>
  <c r="T1876"/>
  <c r="AJ1876" s="1"/>
  <c r="R1877"/>
  <c r="S1877"/>
  <c r="AI1877" s="1"/>
  <c r="T1877"/>
  <c r="AJ1877" s="1"/>
  <c r="R1878"/>
  <c r="S1878"/>
  <c r="AI1878" s="1"/>
  <c r="T1878"/>
  <c r="AJ1878" s="1"/>
  <c r="R1879"/>
  <c r="S1879"/>
  <c r="AI1879" s="1"/>
  <c r="T1879"/>
  <c r="AJ1879" s="1"/>
  <c r="R1880"/>
  <c r="S1880"/>
  <c r="AI1880" s="1"/>
  <c r="T1880"/>
  <c r="AJ1880" s="1"/>
  <c r="R1881"/>
  <c r="S1881"/>
  <c r="AI1881" s="1"/>
  <c r="T1881"/>
  <c r="AJ1881" s="1"/>
  <c r="R1882"/>
  <c r="S1882"/>
  <c r="AI1882" s="1"/>
  <c r="T1882"/>
  <c r="AJ1882" s="1"/>
  <c r="R1883"/>
  <c r="S1883"/>
  <c r="AI1883" s="1"/>
  <c r="T1883"/>
  <c r="AJ1883" s="1"/>
  <c r="R1884"/>
  <c r="S1884"/>
  <c r="AI1884" s="1"/>
  <c r="T1884"/>
  <c r="AJ1884" s="1"/>
  <c r="R1885"/>
  <c r="S1885"/>
  <c r="AI1885" s="1"/>
  <c r="T1885"/>
  <c r="AJ1885" s="1"/>
  <c r="R1886"/>
  <c r="S1886"/>
  <c r="AI1886" s="1"/>
  <c r="T1886"/>
  <c r="AJ1886" s="1"/>
  <c r="R1887"/>
  <c r="S1887"/>
  <c r="AI1887" s="1"/>
  <c r="T1887"/>
  <c r="AJ1887" s="1"/>
  <c r="R1888"/>
  <c r="S1888"/>
  <c r="AI1888" s="1"/>
  <c r="T1888"/>
  <c r="AJ1888" s="1"/>
  <c r="R1889"/>
  <c r="S1889"/>
  <c r="AI1889" s="1"/>
  <c r="T1889"/>
  <c r="AJ1889" s="1"/>
  <c r="R1890"/>
  <c r="S1890"/>
  <c r="AI1890" s="1"/>
  <c r="T1890"/>
  <c r="AJ1890" s="1"/>
  <c r="R1891"/>
  <c r="S1891"/>
  <c r="AI1891" s="1"/>
  <c r="T1891"/>
  <c r="AJ1891" s="1"/>
  <c r="R1892"/>
  <c r="S1892"/>
  <c r="AI1892" s="1"/>
  <c r="T1892"/>
  <c r="AJ1892" s="1"/>
  <c r="R1893"/>
  <c r="S1893"/>
  <c r="AI1893" s="1"/>
  <c r="T1893"/>
  <c r="AJ1893" s="1"/>
  <c r="R1894"/>
  <c r="S1894"/>
  <c r="AI1894" s="1"/>
  <c r="T1894"/>
  <c r="AJ1894" s="1"/>
  <c r="R1895"/>
  <c r="S1895"/>
  <c r="AI1895" s="1"/>
  <c r="T1895"/>
  <c r="AJ1895" s="1"/>
  <c r="R1896"/>
  <c r="S1896"/>
  <c r="AI1896" s="1"/>
  <c r="T1896"/>
  <c r="AJ1896" s="1"/>
  <c r="R1897"/>
  <c r="S1897"/>
  <c r="AI1897" s="1"/>
  <c r="T1897"/>
  <c r="AJ1897" s="1"/>
  <c r="R1898"/>
  <c r="S1898"/>
  <c r="AI1898" s="1"/>
  <c r="T1898"/>
  <c r="AJ1898" s="1"/>
  <c r="R1899"/>
  <c r="S1899"/>
  <c r="AI1899" s="1"/>
  <c r="T1899"/>
  <c r="AJ1899" s="1"/>
  <c r="R1900"/>
  <c r="S1900"/>
  <c r="AI1900" s="1"/>
  <c r="T1900"/>
  <c r="AJ1900" s="1"/>
  <c r="R1901"/>
  <c r="S1901"/>
  <c r="AI1901" s="1"/>
  <c r="T1901"/>
  <c r="AJ1901" s="1"/>
  <c r="R1902"/>
  <c r="S1902"/>
  <c r="AI1902" s="1"/>
  <c r="T1902"/>
  <c r="AJ1902" s="1"/>
  <c r="R1903"/>
  <c r="S1903"/>
  <c r="AI1903" s="1"/>
  <c r="T1903"/>
  <c r="AJ1903" s="1"/>
  <c r="R1904"/>
  <c r="S1904"/>
  <c r="AI1904" s="1"/>
  <c r="T1904"/>
  <c r="AJ1904" s="1"/>
  <c r="R1905"/>
  <c r="S1905"/>
  <c r="AI1905" s="1"/>
  <c r="T1905"/>
  <c r="AJ1905" s="1"/>
  <c r="R1906"/>
  <c r="S1906"/>
  <c r="AI1906" s="1"/>
  <c r="T1906"/>
  <c r="AJ1906" s="1"/>
  <c r="R1907"/>
  <c r="S1907"/>
  <c r="AI1907" s="1"/>
  <c r="T1907"/>
  <c r="AJ1907" s="1"/>
  <c r="R1908"/>
  <c r="S1908"/>
  <c r="AI1908" s="1"/>
  <c r="T1908"/>
  <c r="AJ1908" s="1"/>
  <c r="R1909"/>
  <c r="S1909"/>
  <c r="AI1909" s="1"/>
  <c r="T1909"/>
  <c r="AJ1909" s="1"/>
  <c r="R1910"/>
  <c r="S1910"/>
  <c r="AI1910" s="1"/>
  <c r="T1910"/>
  <c r="AJ1910" s="1"/>
  <c r="R1911"/>
  <c r="S1911"/>
  <c r="AI1911" s="1"/>
  <c r="T1911"/>
  <c r="AJ1911" s="1"/>
  <c r="R1912"/>
  <c r="S1912"/>
  <c r="AI1912" s="1"/>
  <c r="T1912"/>
  <c r="AJ1912" s="1"/>
  <c r="R1913"/>
  <c r="S1913"/>
  <c r="AI1913" s="1"/>
  <c r="T1913"/>
  <c r="AJ1913" s="1"/>
  <c r="R1914"/>
  <c r="S1914"/>
  <c r="AI1914" s="1"/>
  <c r="T1914"/>
  <c r="AJ1914" s="1"/>
  <c r="R1915"/>
  <c r="S1915"/>
  <c r="AI1915" s="1"/>
  <c r="T1915"/>
  <c r="AJ1915" s="1"/>
  <c r="R1916"/>
  <c r="S1916"/>
  <c r="AI1916" s="1"/>
  <c r="T1916"/>
  <c r="AJ1916" s="1"/>
  <c r="R1917"/>
  <c r="S1917"/>
  <c r="AI1917" s="1"/>
  <c r="T1917"/>
  <c r="AJ1917" s="1"/>
  <c r="R1918"/>
  <c r="S1918"/>
  <c r="AI1918" s="1"/>
  <c r="T1918"/>
  <c r="AJ1918" s="1"/>
  <c r="R1919"/>
  <c r="S1919"/>
  <c r="AI1919" s="1"/>
  <c r="T1919"/>
  <c r="AJ1919" s="1"/>
  <c r="R1920"/>
  <c r="S1920"/>
  <c r="AI1920" s="1"/>
  <c r="T1920"/>
  <c r="AJ1920" s="1"/>
  <c r="R1921"/>
  <c r="S1921"/>
  <c r="AI1921" s="1"/>
  <c r="T1921"/>
  <c r="AJ1921" s="1"/>
  <c r="R1922"/>
  <c r="S1922"/>
  <c r="AI1922" s="1"/>
  <c r="T1922"/>
  <c r="AJ1922" s="1"/>
  <c r="R1923"/>
  <c r="S1923"/>
  <c r="AI1923" s="1"/>
  <c r="T1923"/>
  <c r="AJ1923" s="1"/>
  <c r="R1924"/>
  <c r="S1924"/>
  <c r="AI1924" s="1"/>
  <c r="T1924"/>
  <c r="AJ1924" s="1"/>
  <c r="R1925"/>
  <c r="S1925"/>
  <c r="AI1925" s="1"/>
  <c r="T1925"/>
  <c r="AJ1925" s="1"/>
  <c r="R1926"/>
  <c r="S1926"/>
  <c r="AI1926" s="1"/>
  <c r="T1926"/>
  <c r="AJ1926" s="1"/>
  <c r="R1927"/>
  <c r="S1927"/>
  <c r="AI1927" s="1"/>
  <c r="T1927"/>
  <c r="AJ1927" s="1"/>
  <c r="R1928"/>
  <c r="S1928"/>
  <c r="AI1928" s="1"/>
  <c r="T1928"/>
  <c r="AJ1928" s="1"/>
  <c r="R1929"/>
  <c r="S1929"/>
  <c r="AI1929" s="1"/>
  <c r="T1929"/>
  <c r="AJ1929" s="1"/>
  <c r="R1930"/>
  <c r="S1930"/>
  <c r="AI1930" s="1"/>
  <c r="T1930"/>
  <c r="AJ1930" s="1"/>
  <c r="R1931"/>
  <c r="S1931"/>
  <c r="AI1931" s="1"/>
  <c r="T1931"/>
  <c r="AJ1931" s="1"/>
  <c r="R1932"/>
  <c r="S1932"/>
  <c r="AI1932" s="1"/>
  <c r="T1932"/>
  <c r="AJ1932" s="1"/>
  <c r="R1933"/>
  <c r="S1933"/>
  <c r="AI1933" s="1"/>
  <c r="T1933"/>
  <c r="AJ1933" s="1"/>
  <c r="R1934"/>
  <c r="S1934"/>
  <c r="AI1934" s="1"/>
  <c r="T1934"/>
  <c r="AJ1934" s="1"/>
  <c r="R1935"/>
  <c r="S1935"/>
  <c r="AI1935" s="1"/>
  <c r="T1935"/>
  <c r="AJ1935" s="1"/>
  <c r="R1936"/>
  <c r="S1936"/>
  <c r="AI1936" s="1"/>
  <c r="T1936"/>
  <c r="AJ1936" s="1"/>
  <c r="R1937"/>
  <c r="S1937"/>
  <c r="AI1937" s="1"/>
  <c r="T1937"/>
  <c r="AJ1937" s="1"/>
  <c r="R1938"/>
  <c r="S1938"/>
  <c r="AI1938" s="1"/>
  <c r="T1938"/>
  <c r="AJ1938" s="1"/>
  <c r="R1939"/>
  <c r="S1939"/>
  <c r="AI1939" s="1"/>
  <c r="T1939"/>
  <c r="AJ1939" s="1"/>
  <c r="R1940"/>
  <c r="S1940"/>
  <c r="AI1940" s="1"/>
  <c r="T1940"/>
  <c r="AJ1940" s="1"/>
  <c r="R1941"/>
  <c r="S1941"/>
  <c r="AI1941" s="1"/>
  <c r="T1941"/>
  <c r="AJ1941" s="1"/>
  <c r="R1942"/>
  <c r="S1942"/>
  <c r="AI1942" s="1"/>
  <c r="T1942"/>
  <c r="AJ1942" s="1"/>
  <c r="R1943"/>
  <c r="S1943"/>
  <c r="AI1943" s="1"/>
  <c r="T1943"/>
  <c r="AJ1943" s="1"/>
  <c r="R1944"/>
  <c r="S1944"/>
  <c r="AI1944" s="1"/>
  <c r="T1944"/>
  <c r="AJ1944" s="1"/>
  <c r="R1945"/>
  <c r="S1945"/>
  <c r="AI1945" s="1"/>
  <c r="T1945"/>
  <c r="AJ1945" s="1"/>
  <c r="R1946"/>
  <c r="S1946"/>
  <c r="AI1946" s="1"/>
  <c r="T1946"/>
  <c r="AJ1946" s="1"/>
  <c r="R1947"/>
  <c r="S1947"/>
  <c r="AI1947" s="1"/>
  <c r="T1947"/>
  <c r="AJ1947" s="1"/>
  <c r="R1948"/>
  <c r="S1948"/>
  <c r="AI1948" s="1"/>
  <c r="T1948"/>
  <c r="AJ1948" s="1"/>
  <c r="R1949"/>
  <c r="S1949"/>
  <c r="AI1949" s="1"/>
  <c r="T1949"/>
  <c r="AJ1949" s="1"/>
  <c r="R1950"/>
  <c r="S1950"/>
  <c r="AI1950" s="1"/>
  <c r="T1950"/>
  <c r="AJ1950" s="1"/>
  <c r="R1951"/>
  <c r="S1951"/>
  <c r="AI1951" s="1"/>
  <c r="T1951"/>
  <c r="AJ1951" s="1"/>
  <c r="R1952"/>
  <c r="S1952"/>
  <c r="AI1952" s="1"/>
  <c r="T1952"/>
  <c r="AJ1952" s="1"/>
  <c r="R1953"/>
  <c r="S1953"/>
  <c r="AI1953" s="1"/>
  <c r="T1953"/>
  <c r="AJ1953" s="1"/>
  <c r="R1954"/>
  <c r="S1954"/>
  <c r="AI1954" s="1"/>
  <c r="T1954"/>
  <c r="AJ1954" s="1"/>
  <c r="R1955"/>
  <c r="S1955"/>
  <c r="AI1955" s="1"/>
  <c r="T1955"/>
  <c r="AJ1955" s="1"/>
  <c r="R1956"/>
  <c r="S1956"/>
  <c r="AI1956" s="1"/>
  <c r="T1956"/>
  <c r="AJ1956" s="1"/>
  <c r="R1957"/>
  <c r="S1957"/>
  <c r="AI1957" s="1"/>
  <c r="T1957"/>
  <c r="AJ1957" s="1"/>
  <c r="R1958"/>
  <c r="S1958"/>
  <c r="AI1958" s="1"/>
  <c r="T1958"/>
  <c r="AJ1958" s="1"/>
  <c r="R1959"/>
  <c r="S1959"/>
  <c r="AI1959" s="1"/>
  <c r="T1959"/>
  <c r="AJ1959" s="1"/>
  <c r="R1960"/>
  <c r="S1960"/>
  <c r="AI1960" s="1"/>
  <c r="T1960"/>
  <c r="AJ1960" s="1"/>
  <c r="R1961"/>
  <c r="S1961"/>
  <c r="AI1961" s="1"/>
  <c r="T1961"/>
  <c r="AJ1961" s="1"/>
  <c r="R1962"/>
  <c r="S1962"/>
  <c r="AI1962" s="1"/>
  <c r="T1962"/>
  <c r="AJ1962" s="1"/>
  <c r="R1963"/>
  <c r="S1963"/>
  <c r="AI1963" s="1"/>
  <c r="T1963"/>
  <c r="AJ1963" s="1"/>
  <c r="R1964"/>
  <c r="S1964"/>
  <c r="AI1964" s="1"/>
  <c r="T1964"/>
  <c r="AJ1964" s="1"/>
  <c r="R1965"/>
  <c r="S1965"/>
  <c r="AI1965" s="1"/>
  <c r="T1965"/>
  <c r="AJ1965" s="1"/>
  <c r="R1966"/>
  <c r="S1966"/>
  <c r="AI1966" s="1"/>
  <c r="T1966"/>
  <c r="AJ1966" s="1"/>
  <c r="R1967"/>
  <c r="S1967"/>
  <c r="AI1967" s="1"/>
  <c r="T1967"/>
  <c r="AJ1967" s="1"/>
  <c r="R1968"/>
  <c r="S1968"/>
  <c r="AI1968" s="1"/>
  <c r="T1968"/>
  <c r="AJ1968" s="1"/>
  <c r="R1969"/>
  <c r="S1969"/>
  <c r="AI1969" s="1"/>
  <c r="T1969"/>
  <c r="AJ1969" s="1"/>
  <c r="R1970"/>
  <c r="S1970"/>
  <c r="AI1970" s="1"/>
  <c r="T1970"/>
  <c r="AJ1970" s="1"/>
  <c r="R1971"/>
  <c r="S1971"/>
  <c r="AI1971" s="1"/>
  <c r="T1971"/>
  <c r="AJ1971" s="1"/>
  <c r="R1972"/>
  <c r="S1972"/>
  <c r="AI1972" s="1"/>
  <c r="T1972"/>
  <c r="AJ1972" s="1"/>
  <c r="R1973"/>
  <c r="S1973"/>
  <c r="AI1973" s="1"/>
  <c r="T1973"/>
  <c r="AJ1973" s="1"/>
  <c r="R1974"/>
  <c r="S1974"/>
  <c r="AI1974" s="1"/>
  <c r="T1974"/>
  <c r="AJ1974" s="1"/>
  <c r="R1975"/>
  <c r="S1975"/>
  <c r="AI1975" s="1"/>
  <c r="T1975"/>
  <c r="AJ1975" s="1"/>
  <c r="R1976"/>
  <c r="S1976"/>
  <c r="AI1976" s="1"/>
  <c r="T1976"/>
  <c r="AJ1976" s="1"/>
  <c r="R1977"/>
  <c r="S1977"/>
  <c r="AI1977" s="1"/>
  <c r="T1977"/>
  <c r="AJ1977" s="1"/>
  <c r="R1978"/>
  <c r="S1978"/>
  <c r="AI1978" s="1"/>
  <c r="T1978"/>
  <c r="AJ1978" s="1"/>
  <c r="R1979"/>
  <c r="S1979"/>
  <c r="AI1979" s="1"/>
  <c r="T1979"/>
  <c r="AJ1979" s="1"/>
  <c r="R1980"/>
  <c r="S1980"/>
  <c r="AI1980" s="1"/>
  <c r="T1980"/>
  <c r="AJ1980" s="1"/>
  <c r="R1981"/>
  <c r="S1981"/>
  <c r="AI1981" s="1"/>
  <c r="T1981"/>
  <c r="AJ1981" s="1"/>
  <c r="R1982"/>
  <c r="S1982"/>
  <c r="AI1982" s="1"/>
  <c r="T1982"/>
  <c r="AJ1982" s="1"/>
  <c r="R1983"/>
  <c r="S1983"/>
  <c r="AI1983" s="1"/>
  <c r="T1983"/>
  <c r="AJ1983" s="1"/>
  <c r="R1984"/>
  <c r="S1984"/>
  <c r="AI1984" s="1"/>
  <c r="T1984"/>
  <c r="AJ1984" s="1"/>
  <c r="R1985"/>
  <c r="S1985"/>
  <c r="AI1985" s="1"/>
  <c r="T1985"/>
  <c r="AJ1985" s="1"/>
  <c r="R1986"/>
  <c r="S1986"/>
  <c r="AI1986" s="1"/>
  <c r="T1986"/>
  <c r="AJ1986" s="1"/>
  <c r="R1987"/>
  <c r="S1987"/>
  <c r="AI1987" s="1"/>
  <c r="T1987"/>
  <c r="AJ1987" s="1"/>
  <c r="R1988"/>
  <c r="S1988"/>
  <c r="AI1988" s="1"/>
  <c r="T1988"/>
  <c r="AJ1988" s="1"/>
  <c r="R1989"/>
  <c r="S1989"/>
  <c r="AI1989" s="1"/>
  <c r="T1989"/>
  <c r="AJ1989" s="1"/>
  <c r="R1990"/>
  <c r="S1990"/>
  <c r="AI1990" s="1"/>
  <c r="T1990"/>
  <c r="AJ1990" s="1"/>
  <c r="R1991"/>
  <c r="S1991"/>
  <c r="AI1991" s="1"/>
  <c r="T1991"/>
  <c r="AJ1991" s="1"/>
  <c r="R1992"/>
  <c r="S1992"/>
  <c r="AI1992" s="1"/>
  <c r="T1992"/>
  <c r="AJ1992" s="1"/>
  <c r="R1993"/>
  <c r="S1993"/>
  <c r="AI1993" s="1"/>
  <c r="T1993"/>
  <c r="AJ1993" s="1"/>
  <c r="R1994"/>
  <c r="S1994"/>
  <c r="AI1994" s="1"/>
  <c r="T1994"/>
  <c r="AJ1994" s="1"/>
  <c r="R1995"/>
  <c r="S1995"/>
  <c r="AI1995" s="1"/>
  <c r="T1995"/>
  <c r="AJ1995" s="1"/>
  <c r="R1996"/>
  <c r="S1996"/>
  <c r="AI1996" s="1"/>
  <c r="T1996"/>
  <c r="AJ1996" s="1"/>
  <c r="R1997"/>
  <c r="S1997"/>
  <c r="AI1997" s="1"/>
  <c r="T1997"/>
  <c r="AJ1997" s="1"/>
  <c r="R1998"/>
  <c r="S1998"/>
  <c r="AI1998" s="1"/>
  <c r="T1998"/>
  <c r="AJ1998" s="1"/>
  <c r="R1999"/>
  <c r="S1999"/>
  <c r="AI1999" s="1"/>
  <c r="T1999"/>
  <c r="AJ1999" s="1"/>
  <c r="R2000"/>
  <c r="S2000"/>
  <c r="AI2000" s="1"/>
  <c r="T2000"/>
  <c r="AJ2000" s="1"/>
  <c r="R2001"/>
  <c r="S2001"/>
  <c r="AI2001" s="1"/>
  <c r="T2001"/>
  <c r="AJ2001" s="1"/>
  <c r="R2002"/>
  <c r="S2002"/>
  <c r="AI2002" s="1"/>
  <c r="T2002"/>
  <c r="AJ2002" s="1"/>
  <c r="R2003"/>
  <c r="S2003"/>
  <c r="AI2003" s="1"/>
  <c r="T2003"/>
  <c r="AJ2003" s="1"/>
  <c r="R2004"/>
  <c r="S2004"/>
  <c r="AI2004" s="1"/>
  <c r="T2004"/>
  <c r="AJ2004" s="1"/>
  <c r="R2005"/>
  <c r="S2005"/>
  <c r="AI2005" s="1"/>
  <c r="T2005"/>
  <c r="AJ2005" s="1"/>
  <c r="R2006"/>
  <c r="S2006"/>
  <c r="AI2006" s="1"/>
  <c r="T2006"/>
  <c r="AJ2006" s="1"/>
  <c r="R2007"/>
  <c r="S2007"/>
  <c r="AI2007" s="1"/>
  <c r="T2007"/>
  <c r="AJ2007" s="1"/>
  <c r="R2008"/>
  <c r="S2008"/>
  <c r="AI2008" s="1"/>
  <c r="T2008"/>
  <c r="AJ2008" s="1"/>
  <c r="R2009"/>
  <c r="S2009"/>
  <c r="AI2009" s="1"/>
  <c r="T2009"/>
  <c r="AJ2009" s="1"/>
  <c r="R2010"/>
  <c r="S2010"/>
  <c r="AI2010" s="1"/>
  <c r="T2010"/>
  <c r="AJ2010" s="1"/>
  <c r="R2011"/>
  <c r="S2011"/>
  <c r="AI2011" s="1"/>
  <c r="T2011"/>
  <c r="AJ2011" s="1"/>
  <c r="R2012"/>
  <c r="S2012"/>
  <c r="AI2012" s="1"/>
  <c r="T2012"/>
  <c r="AJ2012" s="1"/>
  <c r="R2013"/>
  <c r="S2013"/>
  <c r="AI2013" s="1"/>
  <c r="T2013"/>
  <c r="AJ2013" s="1"/>
  <c r="R2014"/>
  <c r="S2014"/>
  <c r="AI2014" s="1"/>
  <c r="T2014"/>
  <c r="AJ2014" s="1"/>
  <c r="R2015"/>
  <c r="S2015"/>
  <c r="AI2015" s="1"/>
  <c r="T2015"/>
  <c r="AJ2015" s="1"/>
  <c r="R2016"/>
  <c r="S2016"/>
  <c r="AI2016" s="1"/>
  <c r="T2016"/>
  <c r="AJ2016" s="1"/>
  <c r="R2017"/>
  <c r="S2017"/>
  <c r="AI2017" s="1"/>
  <c r="T2017"/>
  <c r="AJ2017" s="1"/>
  <c r="R2018"/>
  <c r="S2018"/>
  <c r="AI2018" s="1"/>
  <c r="T2018"/>
  <c r="AJ2018" s="1"/>
  <c r="R2019"/>
  <c r="S2019"/>
  <c r="AI2019" s="1"/>
  <c r="T2019"/>
  <c r="AJ2019" s="1"/>
  <c r="R2020"/>
  <c r="S2020"/>
  <c r="AI2020" s="1"/>
  <c r="T2020"/>
  <c r="AJ2020" s="1"/>
  <c r="R2021"/>
  <c r="S2021"/>
  <c r="AI2021" s="1"/>
  <c r="T2021"/>
  <c r="AJ2021" s="1"/>
  <c r="R2022"/>
  <c r="S2022"/>
  <c r="AI2022" s="1"/>
  <c r="T2022"/>
  <c r="AJ2022" s="1"/>
  <c r="R2023"/>
  <c r="S2023"/>
  <c r="AI2023" s="1"/>
  <c r="T2023"/>
  <c r="AJ2023" s="1"/>
  <c r="R2024"/>
  <c r="S2024"/>
  <c r="AI2024" s="1"/>
  <c r="T2024"/>
  <c r="AJ2024" s="1"/>
  <c r="R2025"/>
  <c r="S2025"/>
  <c r="AI2025" s="1"/>
  <c r="T2025"/>
  <c r="AJ2025" s="1"/>
  <c r="R2026"/>
  <c r="S2026"/>
  <c r="AI2026" s="1"/>
  <c r="T2026"/>
  <c r="AJ2026" s="1"/>
  <c r="R2027"/>
  <c r="S2027"/>
  <c r="AI2027" s="1"/>
  <c r="T2027"/>
  <c r="AJ2027" s="1"/>
  <c r="R2028"/>
  <c r="S2028"/>
  <c r="AI2028" s="1"/>
  <c r="T2028"/>
  <c r="AJ2028" s="1"/>
  <c r="R2029"/>
  <c r="S2029"/>
  <c r="AI2029" s="1"/>
  <c r="T2029"/>
  <c r="AJ2029" s="1"/>
  <c r="R2030"/>
  <c r="S2030"/>
  <c r="AI2030" s="1"/>
  <c r="T2030"/>
  <c r="AJ2030" s="1"/>
  <c r="R2031"/>
  <c r="S2031"/>
  <c r="AI2031" s="1"/>
  <c r="T2031"/>
  <c r="AJ2031" s="1"/>
  <c r="R2032"/>
  <c r="S2032"/>
  <c r="AI2032" s="1"/>
  <c r="T2032"/>
  <c r="AJ2032" s="1"/>
  <c r="R2033"/>
  <c r="S2033"/>
  <c r="AI2033" s="1"/>
  <c r="T2033"/>
  <c r="AJ2033" s="1"/>
  <c r="R2034"/>
  <c r="S2034"/>
  <c r="AI2034" s="1"/>
  <c r="T2034"/>
  <c r="AJ2034" s="1"/>
  <c r="R2035"/>
  <c r="S2035"/>
  <c r="AI2035" s="1"/>
  <c r="T2035"/>
  <c r="AJ2035" s="1"/>
  <c r="R2036"/>
  <c r="S2036"/>
  <c r="AI2036" s="1"/>
  <c r="T2036"/>
  <c r="AJ2036" s="1"/>
  <c r="R2037"/>
  <c r="S2037"/>
  <c r="AI2037" s="1"/>
  <c r="T2037"/>
  <c r="AJ2037" s="1"/>
  <c r="R2038"/>
  <c r="S2038"/>
  <c r="AI2038" s="1"/>
  <c r="T2038"/>
  <c r="AJ2038" s="1"/>
  <c r="R2039"/>
  <c r="S2039"/>
  <c r="AI2039" s="1"/>
  <c r="T2039"/>
  <c r="AJ2039" s="1"/>
  <c r="R2040"/>
  <c r="S2040"/>
  <c r="AI2040" s="1"/>
  <c r="T2040"/>
  <c r="AJ2040" s="1"/>
  <c r="R2041"/>
  <c r="S2041"/>
  <c r="AI2041" s="1"/>
  <c r="T2041"/>
  <c r="AJ2041" s="1"/>
  <c r="R2042"/>
  <c r="S2042"/>
  <c r="AI2042" s="1"/>
  <c r="T2042"/>
  <c r="AJ2042" s="1"/>
  <c r="R2043"/>
  <c r="S2043"/>
  <c r="AI2043" s="1"/>
  <c r="T2043"/>
  <c r="AJ2043" s="1"/>
  <c r="R2044"/>
  <c r="S2044"/>
  <c r="AI2044" s="1"/>
  <c r="T2044"/>
  <c r="AJ2044" s="1"/>
  <c r="R2045"/>
  <c r="S2045"/>
  <c r="AI2045" s="1"/>
  <c r="T2045"/>
  <c r="AJ2045" s="1"/>
  <c r="R2046"/>
  <c r="S2046"/>
  <c r="AI2046" s="1"/>
  <c r="T2046"/>
  <c r="AJ2046" s="1"/>
  <c r="R2047"/>
  <c r="S2047"/>
  <c r="AI2047" s="1"/>
  <c r="T2047"/>
  <c r="AJ2047" s="1"/>
  <c r="R2048"/>
  <c r="S2048"/>
  <c r="AI2048" s="1"/>
  <c r="T2048"/>
  <c r="AJ2048" s="1"/>
  <c r="R2049"/>
  <c r="S2049"/>
  <c r="AI2049" s="1"/>
  <c r="T2049"/>
  <c r="AJ2049" s="1"/>
  <c r="R2050"/>
  <c r="S2050"/>
  <c r="AI2050" s="1"/>
  <c r="T2050"/>
  <c r="AJ2050" s="1"/>
  <c r="R2051"/>
  <c r="S2051"/>
  <c r="AI2051" s="1"/>
  <c r="T2051"/>
  <c r="AJ2051" s="1"/>
  <c r="R2052"/>
  <c r="S2052"/>
  <c r="AI2052" s="1"/>
  <c r="T2052"/>
  <c r="AJ2052" s="1"/>
  <c r="R2053"/>
  <c r="S2053"/>
  <c r="AI2053" s="1"/>
  <c r="T2053"/>
  <c r="AJ2053" s="1"/>
  <c r="R2054"/>
  <c r="S2054"/>
  <c r="AI2054" s="1"/>
  <c r="T2054"/>
  <c r="AJ2054" s="1"/>
  <c r="R2055"/>
  <c r="S2055"/>
  <c r="AI2055" s="1"/>
  <c r="T2055"/>
  <c r="AJ2055" s="1"/>
  <c r="R2056"/>
  <c r="S2056"/>
  <c r="AI2056" s="1"/>
  <c r="T2056"/>
  <c r="AJ2056" s="1"/>
  <c r="R2057"/>
  <c r="S2057"/>
  <c r="AI2057" s="1"/>
  <c r="T2057"/>
  <c r="AJ2057" s="1"/>
  <c r="R2058"/>
  <c r="S2058"/>
  <c r="AI2058" s="1"/>
  <c r="T2058"/>
  <c r="AJ2058" s="1"/>
  <c r="R2059"/>
  <c r="S2059"/>
  <c r="AI2059" s="1"/>
  <c r="T2059"/>
  <c r="AJ2059" s="1"/>
  <c r="R2060"/>
  <c r="S2060"/>
  <c r="AI2060" s="1"/>
  <c r="T2060"/>
  <c r="AJ2060" s="1"/>
  <c r="R2061"/>
  <c r="S2061"/>
  <c r="AI2061" s="1"/>
  <c r="T2061"/>
  <c r="AJ2061" s="1"/>
  <c r="R2062"/>
  <c r="S2062"/>
  <c r="AI2062" s="1"/>
  <c r="T2062"/>
  <c r="AJ2062" s="1"/>
  <c r="R2063"/>
  <c r="S2063"/>
  <c r="AI2063" s="1"/>
  <c r="T2063"/>
  <c r="AJ2063" s="1"/>
  <c r="R2064"/>
  <c r="S2064"/>
  <c r="AI2064" s="1"/>
  <c r="T2064"/>
  <c r="AJ2064" s="1"/>
  <c r="R2065"/>
  <c r="S2065"/>
  <c r="AI2065" s="1"/>
  <c r="T2065"/>
  <c r="AJ2065" s="1"/>
  <c r="R2066"/>
  <c r="S2066"/>
  <c r="AI2066" s="1"/>
  <c r="T2066"/>
  <c r="AJ2066" s="1"/>
  <c r="R2067"/>
  <c r="S2067"/>
  <c r="AI2067" s="1"/>
  <c r="T2067"/>
  <c r="AJ2067" s="1"/>
  <c r="R2068"/>
  <c r="S2068"/>
  <c r="AI2068" s="1"/>
  <c r="T2068"/>
  <c r="AJ2068" s="1"/>
  <c r="R2069"/>
  <c r="S2069"/>
  <c r="AI2069" s="1"/>
  <c r="T2069"/>
  <c r="AJ2069" s="1"/>
  <c r="R2070"/>
  <c r="S2070"/>
  <c r="AI2070" s="1"/>
  <c r="T2070"/>
  <c r="AJ2070" s="1"/>
  <c r="R2071"/>
  <c r="S2071"/>
  <c r="AI2071" s="1"/>
  <c r="T2071"/>
  <c r="AJ2071" s="1"/>
  <c r="R2072"/>
  <c r="S2072"/>
  <c r="AI2072" s="1"/>
  <c r="T2072"/>
  <c r="AJ2072" s="1"/>
  <c r="R2073"/>
  <c r="S2073"/>
  <c r="AI2073" s="1"/>
  <c r="T2073"/>
  <c r="AJ2073" s="1"/>
  <c r="R2074"/>
  <c r="S2074"/>
  <c r="AI2074" s="1"/>
  <c r="T2074"/>
  <c r="AJ2074" s="1"/>
  <c r="R2075"/>
  <c r="S2075"/>
  <c r="AI2075" s="1"/>
  <c r="T2075"/>
  <c r="AJ2075" s="1"/>
  <c r="R2076"/>
  <c r="S2076"/>
  <c r="AI2076" s="1"/>
  <c r="T2076"/>
  <c r="AJ2076" s="1"/>
  <c r="R2077"/>
  <c r="S2077"/>
  <c r="AI2077" s="1"/>
  <c r="T2077"/>
  <c r="AJ2077" s="1"/>
  <c r="R2078"/>
  <c r="S2078"/>
  <c r="AI2078" s="1"/>
  <c r="T2078"/>
  <c r="AJ2078" s="1"/>
  <c r="R2079"/>
  <c r="S2079"/>
  <c r="AI2079" s="1"/>
  <c r="T2079"/>
  <c r="AJ2079" s="1"/>
  <c r="R2080"/>
  <c r="S2080"/>
  <c r="AI2080" s="1"/>
  <c r="T2080"/>
  <c r="AJ2080" s="1"/>
  <c r="R2081"/>
  <c r="S2081"/>
  <c r="AI2081" s="1"/>
  <c r="T2081"/>
  <c r="AJ2081" s="1"/>
  <c r="R2082"/>
  <c r="S2082"/>
  <c r="AI2082" s="1"/>
  <c r="T2082"/>
  <c r="AJ2082" s="1"/>
  <c r="R2083"/>
  <c r="S2083"/>
  <c r="AI2083" s="1"/>
  <c r="T2083"/>
  <c r="AJ2083" s="1"/>
  <c r="R2084"/>
  <c r="S2084"/>
  <c r="AI2084" s="1"/>
  <c r="T2084"/>
  <c r="AJ2084" s="1"/>
  <c r="R2085"/>
  <c r="S2085"/>
  <c r="AI2085" s="1"/>
  <c r="T2085"/>
  <c r="AJ2085" s="1"/>
  <c r="R2086"/>
  <c r="S2086"/>
  <c r="AI2086" s="1"/>
  <c r="T2086"/>
  <c r="AJ2086" s="1"/>
  <c r="R2087"/>
  <c r="S2087"/>
  <c r="AI2087" s="1"/>
  <c r="T2087"/>
  <c r="AJ2087" s="1"/>
  <c r="R2088"/>
  <c r="S2088"/>
  <c r="AI2088" s="1"/>
  <c r="T2088"/>
  <c r="AJ2088" s="1"/>
  <c r="R2089"/>
  <c r="S2089"/>
  <c r="AI2089" s="1"/>
  <c r="T2089"/>
  <c r="AJ2089" s="1"/>
  <c r="R2090"/>
  <c r="S2090"/>
  <c r="AI2090" s="1"/>
  <c r="T2090"/>
  <c r="AJ2090" s="1"/>
  <c r="R2091"/>
  <c r="S2091"/>
  <c r="AI2091" s="1"/>
  <c r="T2091"/>
  <c r="AJ2091" s="1"/>
  <c r="R2092"/>
  <c r="S2092"/>
  <c r="AI2092" s="1"/>
  <c r="T2092"/>
  <c r="AJ2092" s="1"/>
  <c r="R2093"/>
  <c r="S2093"/>
  <c r="AI2093" s="1"/>
  <c r="T2093"/>
  <c r="AJ2093" s="1"/>
  <c r="R2094"/>
  <c r="S2094"/>
  <c r="AI2094" s="1"/>
  <c r="T2094"/>
  <c r="AJ2094" s="1"/>
  <c r="R2095"/>
  <c r="S2095"/>
  <c r="AI2095" s="1"/>
  <c r="T2095"/>
  <c r="AJ2095" s="1"/>
  <c r="R2096"/>
  <c r="S2096"/>
  <c r="AI2096" s="1"/>
  <c r="T2096"/>
  <c r="AJ2096" s="1"/>
  <c r="R2097"/>
  <c r="S2097"/>
  <c r="AI2097" s="1"/>
  <c r="T2097"/>
  <c r="AJ2097" s="1"/>
  <c r="R2098"/>
  <c r="S2098"/>
  <c r="AI2098" s="1"/>
  <c r="T2098"/>
  <c r="AJ2098" s="1"/>
  <c r="R2099"/>
  <c r="S2099"/>
  <c r="AI2099" s="1"/>
  <c r="T2099"/>
  <c r="AJ2099" s="1"/>
  <c r="R2100"/>
  <c r="S2100"/>
  <c r="AI2100" s="1"/>
  <c r="T2100"/>
  <c r="AJ2100" s="1"/>
  <c r="R2101"/>
  <c r="S2101"/>
  <c r="AI2101" s="1"/>
  <c r="T2101"/>
  <c r="AJ2101" s="1"/>
  <c r="R2102"/>
  <c r="S2102"/>
  <c r="AI2102" s="1"/>
  <c r="T2102"/>
  <c r="AJ2102" s="1"/>
  <c r="R2103"/>
  <c r="S2103"/>
  <c r="AI2103" s="1"/>
  <c r="T2103"/>
  <c r="AJ2103" s="1"/>
  <c r="R2104"/>
  <c r="S2104"/>
  <c r="AI2104" s="1"/>
  <c r="T2104"/>
  <c r="AJ2104" s="1"/>
  <c r="R2105"/>
  <c r="S2105"/>
  <c r="AI2105" s="1"/>
  <c r="T2105"/>
  <c r="AJ2105" s="1"/>
  <c r="R2106"/>
  <c r="S2106"/>
  <c r="AI2106" s="1"/>
  <c r="T2106"/>
  <c r="AJ2106" s="1"/>
  <c r="R2107"/>
  <c r="S2107"/>
  <c r="AI2107" s="1"/>
  <c r="T2107"/>
  <c r="AJ2107" s="1"/>
  <c r="R2108"/>
  <c r="S2108"/>
  <c r="AI2108" s="1"/>
  <c r="T2108"/>
  <c r="AJ2108" s="1"/>
  <c r="R2109"/>
  <c r="S2109"/>
  <c r="AI2109" s="1"/>
  <c r="T2109"/>
  <c r="AJ2109" s="1"/>
  <c r="R2110"/>
  <c r="S2110"/>
  <c r="AI2110" s="1"/>
  <c r="T2110"/>
  <c r="AJ2110" s="1"/>
  <c r="R2111"/>
  <c r="S2111"/>
  <c r="AI2111" s="1"/>
  <c r="T2111"/>
  <c r="AJ2111" s="1"/>
  <c r="R2112"/>
  <c r="S2112"/>
  <c r="AI2112" s="1"/>
  <c r="T2112"/>
  <c r="AJ2112" s="1"/>
  <c r="R2113"/>
  <c r="S2113"/>
  <c r="AI2113" s="1"/>
  <c r="T2113"/>
  <c r="AJ2113" s="1"/>
  <c r="R2114"/>
  <c r="S2114"/>
  <c r="AI2114" s="1"/>
  <c r="T2114"/>
  <c r="AJ2114" s="1"/>
  <c r="R2115"/>
  <c r="S2115"/>
  <c r="AI2115" s="1"/>
  <c r="T2115"/>
  <c r="AJ2115" s="1"/>
  <c r="R2116"/>
  <c r="S2116"/>
  <c r="AI2116" s="1"/>
  <c r="T2116"/>
  <c r="AJ2116" s="1"/>
  <c r="R2117"/>
  <c r="S2117"/>
  <c r="AI2117" s="1"/>
  <c r="T2117"/>
  <c r="AJ2117" s="1"/>
  <c r="R2118"/>
  <c r="S2118"/>
  <c r="AI2118" s="1"/>
  <c r="T2118"/>
  <c r="AJ2118" s="1"/>
  <c r="R2119"/>
  <c r="S2119"/>
  <c r="AI2119" s="1"/>
  <c r="T2119"/>
  <c r="AJ2119" s="1"/>
  <c r="R2120"/>
  <c r="S2120"/>
  <c r="AI2120" s="1"/>
  <c r="T2120"/>
  <c r="AJ2120" s="1"/>
  <c r="R2121"/>
  <c r="S2121"/>
  <c r="AI2121" s="1"/>
  <c r="T2121"/>
  <c r="AJ2121" s="1"/>
  <c r="R2122"/>
  <c r="S2122"/>
  <c r="AI2122" s="1"/>
  <c r="T2122"/>
  <c r="AJ2122" s="1"/>
  <c r="R2123"/>
  <c r="S2123"/>
  <c r="AI2123" s="1"/>
  <c r="T2123"/>
  <c r="AJ2123" s="1"/>
  <c r="R2124"/>
  <c r="S2124"/>
  <c r="AI2124" s="1"/>
  <c r="T2124"/>
  <c r="AJ2124" s="1"/>
  <c r="R2125"/>
  <c r="S2125"/>
  <c r="AI2125" s="1"/>
  <c r="T2125"/>
  <c r="AJ2125" s="1"/>
  <c r="R2126"/>
  <c r="S2126"/>
  <c r="AI2126" s="1"/>
  <c r="T2126"/>
  <c r="AJ2126" s="1"/>
  <c r="R2127"/>
  <c r="S2127"/>
  <c r="AI2127" s="1"/>
  <c r="T2127"/>
  <c r="AJ2127" s="1"/>
  <c r="R2128"/>
  <c r="S2128"/>
  <c r="AI2128" s="1"/>
  <c r="T2128"/>
  <c r="AJ2128" s="1"/>
  <c r="R2129"/>
  <c r="S2129"/>
  <c r="AI2129" s="1"/>
  <c r="T2129"/>
  <c r="AJ2129" s="1"/>
  <c r="R2130"/>
  <c r="S2130"/>
  <c r="AI2130" s="1"/>
  <c r="T2130"/>
  <c r="AJ2130" s="1"/>
  <c r="R2131"/>
  <c r="S2131"/>
  <c r="AI2131" s="1"/>
  <c r="T2131"/>
  <c r="AJ2131" s="1"/>
  <c r="R2132"/>
  <c r="S2132"/>
  <c r="AI2132" s="1"/>
  <c r="T2132"/>
  <c r="AJ2132" s="1"/>
  <c r="R2133"/>
  <c r="S2133"/>
  <c r="AI2133" s="1"/>
  <c r="T2133"/>
  <c r="AJ2133" s="1"/>
  <c r="R2134"/>
  <c r="S2134"/>
  <c r="AI2134" s="1"/>
  <c r="T2134"/>
  <c r="AJ2134" s="1"/>
  <c r="R2135"/>
  <c r="S2135"/>
  <c r="AI2135" s="1"/>
  <c r="T2135"/>
  <c r="AJ2135" s="1"/>
  <c r="R2136"/>
  <c r="S2136"/>
  <c r="AI2136" s="1"/>
  <c r="T2136"/>
  <c r="AJ2136" s="1"/>
  <c r="R2137"/>
  <c r="S2137"/>
  <c r="AI2137" s="1"/>
  <c r="T2137"/>
  <c r="AJ2137" s="1"/>
  <c r="R2138"/>
  <c r="S2138"/>
  <c r="AI2138" s="1"/>
  <c r="T2138"/>
  <c r="AJ2138" s="1"/>
  <c r="R2139"/>
  <c r="S2139"/>
  <c r="AI2139" s="1"/>
  <c r="T2139"/>
  <c r="AJ2139" s="1"/>
  <c r="R2140"/>
  <c r="S2140"/>
  <c r="AI2140" s="1"/>
  <c r="T2140"/>
  <c r="AJ2140" s="1"/>
  <c r="R2141"/>
  <c r="S2141"/>
  <c r="AI2141" s="1"/>
  <c r="T2141"/>
  <c r="AJ2141" s="1"/>
  <c r="R2142"/>
  <c r="S2142"/>
  <c r="AI2142" s="1"/>
  <c r="T2142"/>
  <c r="AJ2142" s="1"/>
  <c r="R2143"/>
  <c r="S2143"/>
  <c r="AI2143" s="1"/>
  <c r="T2143"/>
  <c r="AJ2143" s="1"/>
  <c r="R2144"/>
  <c r="S2144"/>
  <c r="AI2144" s="1"/>
  <c r="T2144"/>
  <c r="AJ2144" s="1"/>
  <c r="R2145"/>
  <c r="S2145"/>
  <c r="AI2145" s="1"/>
  <c r="T2145"/>
  <c r="AJ2145" s="1"/>
  <c r="R2146"/>
  <c r="S2146"/>
  <c r="AI2146" s="1"/>
  <c r="T2146"/>
  <c r="AJ2146" s="1"/>
  <c r="R2147"/>
  <c r="S2147"/>
  <c r="AI2147" s="1"/>
  <c r="T2147"/>
  <c r="AJ2147" s="1"/>
  <c r="R2148"/>
  <c r="S2148"/>
  <c r="AI2148" s="1"/>
  <c r="T2148"/>
  <c r="AJ2148" s="1"/>
  <c r="R2149"/>
  <c r="S2149"/>
  <c r="AI2149" s="1"/>
  <c r="T2149"/>
  <c r="AJ2149" s="1"/>
  <c r="R2150"/>
  <c r="S2150"/>
  <c r="AI2150" s="1"/>
  <c r="T2150"/>
  <c r="AJ2150" s="1"/>
  <c r="R2151"/>
  <c r="S2151"/>
  <c r="AI2151" s="1"/>
  <c r="T2151"/>
  <c r="AJ2151" s="1"/>
  <c r="R2152"/>
  <c r="S2152"/>
  <c r="AI2152" s="1"/>
  <c r="T2152"/>
  <c r="AJ2152" s="1"/>
  <c r="R2153"/>
  <c r="S2153"/>
  <c r="AI2153" s="1"/>
  <c r="T2153"/>
  <c r="AJ2153" s="1"/>
  <c r="R2154"/>
  <c r="S2154"/>
  <c r="AI2154" s="1"/>
  <c r="T2154"/>
  <c r="AJ2154" s="1"/>
  <c r="R2155"/>
  <c r="S2155"/>
  <c r="AI2155" s="1"/>
  <c r="T2155"/>
  <c r="AJ2155" s="1"/>
  <c r="R2156"/>
  <c r="S2156"/>
  <c r="AI2156" s="1"/>
  <c r="T2156"/>
  <c r="AJ2156" s="1"/>
  <c r="R2157"/>
  <c r="S2157"/>
  <c r="AI2157" s="1"/>
  <c r="T2157"/>
  <c r="AJ2157" s="1"/>
  <c r="R2158"/>
  <c r="S2158"/>
  <c r="AI2158" s="1"/>
  <c r="T2158"/>
  <c r="AJ2158" s="1"/>
  <c r="R2159"/>
  <c r="S2159"/>
  <c r="AI2159" s="1"/>
  <c r="T2159"/>
  <c r="AJ2159" s="1"/>
  <c r="R2160"/>
  <c r="S2160"/>
  <c r="AI2160" s="1"/>
  <c r="T2160"/>
  <c r="AJ2160" s="1"/>
  <c r="R2161"/>
  <c r="S2161"/>
  <c r="AI2161" s="1"/>
  <c r="T2161"/>
  <c r="AJ2161" s="1"/>
  <c r="R2162"/>
  <c r="S2162"/>
  <c r="AI2162" s="1"/>
  <c r="T2162"/>
  <c r="AJ2162" s="1"/>
  <c r="R2163"/>
  <c r="S2163"/>
  <c r="AI2163" s="1"/>
  <c r="T2163"/>
  <c r="AJ2163" s="1"/>
  <c r="R2164"/>
  <c r="S2164"/>
  <c r="AI2164" s="1"/>
  <c r="T2164"/>
  <c r="AJ2164" s="1"/>
  <c r="R2165"/>
  <c r="S2165"/>
  <c r="AI2165" s="1"/>
  <c r="T2165"/>
  <c r="AJ2165" s="1"/>
  <c r="R2166"/>
  <c r="S2166"/>
  <c r="AI2166" s="1"/>
  <c r="T2166"/>
  <c r="AJ2166" s="1"/>
  <c r="R2167"/>
  <c r="S2167"/>
  <c r="AI2167" s="1"/>
  <c r="T2167"/>
  <c r="AJ2167" s="1"/>
  <c r="R2168"/>
  <c r="S2168"/>
  <c r="AI2168" s="1"/>
  <c r="T2168"/>
  <c r="AJ2168" s="1"/>
  <c r="R2169"/>
  <c r="S2169"/>
  <c r="AI2169" s="1"/>
  <c r="T2169"/>
  <c r="AJ2169" s="1"/>
  <c r="R2170"/>
  <c r="S2170"/>
  <c r="AI2170" s="1"/>
  <c r="T2170"/>
  <c r="AJ2170" s="1"/>
  <c r="R2171"/>
  <c r="S2171"/>
  <c r="AI2171" s="1"/>
  <c r="T2171"/>
  <c r="AJ2171" s="1"/>
  <c r="R2172"/>
  <c r="S2172"/>
  <c r="AI2172" s="1"/>
  <c r="T2172"/>
  <c r="AJ2172" s="1"/>
  <c r="R2173"/>
  <c r="S2173"/>
  <c r="AI2173" s="1"/>
  <c r="T2173"/>
  <c r="AJ2173" s="1"/>
  <c r="R2174"/>
  <c r="S2174"/>
  <c r="AI2174" s="1"/>
  <c r="T2174"/>
  <c r="AJ2174" s="1"/>
  <c r="R2175"/>
  <c r="S2175"/>
  <c r="AI2175" s="1"/>
  <c r="R2176"/>
  <c r="S2176"/>
  <c r="AI2176" s="1"/>
  <c r="T2176"/>
  <c r="AJ2176" s="1"/>
  <c r="R2177"/>
  <c r="S2177"/>
  <c r="AI2177" s="1"/>
  <c r="T2177"/>
  <c r="AJ2177" s="1"/>
  <c r="R2178"/>
  <c r="S2178"/>
  <c r="AI2178" s="1"/>
  <c r="T2178"/>
  <c r="AJ2178" s="1"/>
  <c r="R2179"/>
  <c r="S2179"/>
  <c r="AI2179" s="1"/>
  <c r="T2179"/>
  <c r="AJ2179" s="1"/>
  <c r="R2180"/>
  <c r="S2180"/>
  <c r="AI2180" s="1"/>
  <c r="T2180"/>
  <c r="AJ2180" s="1"/>
  <c r="R2181"/>
  <c r="S2181"/>
  <c r="AI2181" s="1"/>
  <c r="T2181"/>
  <c r="AJ2181" s="1"/>
  <c r="R2182"/>
  <c r="S2182"/>
  <c r="AI2182" s="1"/>
  <c r="T2182"/>
  <c r="AJ2182" s="1"/>
  <c r="R2183"/>
  <c r="S2183"/>
  <c r="AI2183" s="1"/>
  <c r="T2183"/>
  <c r="AJ2183" s="1"/>
  <c r="R2184"/>
  <c r="S2184"/>
  <c r="AI2184" s="1"/>
  <c r="T2184"/>
  <c r="AJ2184" s="1"/>
  <c r="R2185"/>
  <c r="S2185"/>
  <c r="AI2185" s="1"/>
  <c r="T2185"/>
  <c r="AJ2185" s="1"/>
  <c r="R2186"/>
  <c r="S2186"/>
  <c r="AI2186" s="1"/>
  <c r="T2186"/>
  <c r="AJ2186" s="1"/>
  <c r="R2187"/>
  <c r="S2187"/>
  <c r="AI2187" s="1"/>
  <c r="T2187"/>
  <c r="AJ2187" s="1"/>
  <c r="R2188"/>
  <c r="S2188"/>
  <c r="AI2188" s="1"/>
  <c r="T2188"/>
  <c r="AJ2188" s="1"/>
  <c r="R2189"/>
  <c r="S2189"/>
  <c r="AI2189" s="1"/>
  <c r="T2189"/>
  <c r="AJ2189" s="1"/>
  <c r="R2190"/>
  <c r="S2190"/>
  <c r="AI2190" s="1"/>
  <c r="T2190"/>
  <c r="AJ2190" s="1"/>
  <c r="R2191"/>
  <c r="S2191"/>
  <c r="AI2191" s="1"/>
  <c r="T2191"/>
  <c r="AJ2191" s="1"/>
  <c r="R2192"/>
  <c r="S2192"/>
  <c r="AI2192" s="1"/>
  <c r="T2192"/>
  <c r="AJ2192" s="1"/>
  <c r="R2193"/>
  <c r="S2193"/>
  <c r="AI2193" s="1"/>
  <c r="T2193"/>
  <c r="AJ2193" s="1"/>
  <c r="R2194"/>
  <c r="S2194"/>
  <c r="AI2194" s="1"/>
  <c r="T2194"/>
  <c r="AJ2194" s="1"/>
  <c r="R2195"/>
  <c r="S2195"/>
  <c r="AI2195" s="1"/>
  <c r="T2195"/>
  <c r="AJ2195" s="1"/>
  <c r="R2196"/>
  <c r="S2196"/>
  <c r="AI2196" s="1"/>
  <c r="T2196"/>
  <c r="AJ2196" s="1"/>
  <c r="R2197"/>
  <c r="S2197"/>
  <c r="AI2197" s="1"/>
  <c r="T2197"/>
  <c r="AJ2197" s="1"/>
  <c r="R2198"/>
  <c r="S2198"/>
  <c r="AI2198" s="1"/>
  <c r="T2198"/>
  <c r="AJ2198" s="1"/>
  <c r="R2199"/>
  <c r="S2199"/>
  <c r="AI2199" s="1"/>
  <c r="T2199"/>
  <c r="AJ2199" s="1"/>
  <c r="R2200"/>
  <c r="S2200"/>
  <c r="AI2200" s="1"/>
  <c r="T2200"/>
  <c r="AJ2200" s="1"/>
  <c r="R2201"/>
  <c r="S2201"/>
  <c r="AI2201" s="1"/>
  <c r="T2201"/>
  <c r="AJ2201" s="1"/>
  <c r="R2202"/>
  <c r="S2202"/>
  <c r="AI2202" s="1"/>
  <c r="T2202"/>
  <c r="AJ2202" s="1"/>
  <c r="R2203"/>
  <c r="S2203"/>
  <c r="AI2203" s="1"/>
  <c r="T2203"/>
  <c r="AJ2203" s="1"/>
  <c r="R2204"/>
  <c r="S2204"/>
  <c r="AI2204" s="1"/>
  <c r="T2204"/>
  <c r="AJ2204" s="1"/>
  <c r="R2205"/>
  <c r="S2205"/>
  <c r="AI2205" s="1"/>
  <c r="T2205"/>
  <c r="AJ2205" s="1"/>
  <c r="R2206"/>
  <c r="S2206"/>
  <c r="AI2206" s="1"/>
  <c r="T2206"/>
  <c r="AJ2206" s="1"/>
  <c r="R2207"/>
  <c r="S2207"/>
  <c r="AI2207" s="1"/>
  <c r="T2207"/>
  <c r="AJ2207" s="1"/>
  <c r="R2208"/>
  <c r="S2208"/>
  <c r="AI2208" s="1"/>
  <c r="T2208"/>
  <c r="AJ2208" s="1"/>
  <c r="R2209"/>
  <c r="S2209"/>
  <c r="AI2209" s="1"/>
  <c r="T2209"/>
  <c r="AJ2209" s="1"/>
  <c r="R2210"/>
  <c r="S2210"/>
  <c r="AI2210" s="1"/>
  <c r="T2210"/>
  <c r="AJ2210" s="1"/>
  <c r="R2211"/>
  <c r="S2211"/>
  <c r="AI2211" s="1"/>
  <c r="T2211"/>
  <c r="AJ2211" s="1"/>
  <c r="R2212"/>
  <c r="S2212"/>
  <c r="AI2212" s="1"/>
  <c r="T2212"/>
  <c r="AJ2212" s="1"/>
  <c r="R2213"/>
  <c r="S2213"/>
  <c r="AI2213" s="1"/>
  <c r="T2213"/>
  <c r="AJ2213" s="1"/>
  <c r="R2214"/>
  <c r="S2214"/>
  <c r="AI2214" s="1"/>
  <c r="T2214"/>
  <c r="AJ2214" s="1"/>
  <c r="R2215"/>
  <c r="S2215"/>
  <c r="AI2215" s="1"/>
  <c r="T2215"/>
  <c r="AJ2215" s="1"/>
  <c r="R2216"/>
  <c r="S2216"/>
  <c r="AI2216" s="1"/>
  <c r="T2216"/>
  <c r="AJ2216" s="1"/>
  <c r="R2217"/>
  <c r="S2217"/>
  <c r="AI2217" s="1"/>
  <c r="T2217"/>
  <c r="AJ2217" s="1"/>
  <c r="R2218"/>
  <c r="S2218"/>
  <c r="AI2218" s="1"/>
  <c r="T2218"/>
  <c r="AJ2218" s="1"/>
  <c r="R2219"/>
  <c r="S2219"/>
  <c r="AI2219" s="1"/>
  <c r="T2219"/>
  <c r="AJ2219" s="1"/>
  <c r="R2220"/>
  <c r="S2220"/>
  <c r="AI2220" s="1"/>
  <c r="T2220"/>
  <c r="AJ2220" s="1"/>
  <c r="R2221"/>
  <c r="S2221"/>
  <c r="AI2221" s="1"/>
  <c r="T2221"/>
  <c r="AJ2221" s="1"/>
  <c r="R2222"/>
  <c r="S2222"/>
  <c r="AI2222" s="1"/>
  <c r="T2222"/>
  <c r="AJ2222" s="1"/>
  <c r="R2223"/>
  <c r="S2223"/>
  <c r="AI2223" s="1"/>
  <c r="T2223"/>
  <c r="AJ2223" s="1"/>
  <c r="R2224"/>
  <c r="S2224"/>
  <c r="AI2224" s="1"/>
  <c r="T2224"/>
  <c r="R2225"/>
  <c r="S2225"/>
  <c r="AI2225" s="1"/>
  <c r="T2225"/>
  <c r="AJ2225" s="1"/>
  <c r="R2226"/>
  <c r="S2226"/>
  <c r="AI2226" s="1"/>
  <c r="T2226"/>
  <c r="AJ2226" s="1"/>
  <c r="R2227"/>
  <c r="S2227"/>
  <c r="AI2227" s="1"/>
  <c r="T2227"/>
  <c r="AJ2227" s="1"/>
  <c r="R2228"/>
  <c r="S2228"/>
  <c r="AI2228" s="1"/>
  <c r="T2228"/>
  <c r="AJ2228" s="1"/>
  <c r="R2229"/>
  <c r="S2229"/>
  <c r="AI2229" s="1"/>
  <c r="T2229"/>
  <c r="AJ2229" s="1"/>
  <c r="R2230"/>
  <c r="S2230"/>
  <c r="AI2230" s="1"/>
  <c r="T2230"/>
  <c r="AJ2230" s="1"/>
  <c r="R2231"/>
  <c r="S2231"/>
  <c r="AI2231" s="1"/>
  <c r="T2231"/>
  <c r="AJ2231" s="1"/>
  <c r="R2232"/>
  <c r="S2232"/>
  <c r="AI2232" s="1"/>
  <c r="T2232"/>
  <c r="AJ2232" s="1"/>
  <c r="R2233"/>
  <c r="S2233"/>
  <c r="AI2233" s="1"/>
  <c r="T2233"/>
  <c r="AJ2233" s="1"/>
  <c r="R2234"/>
  <c r="S2234"/>
  <c r="AI2234" s="1"/>
  <c r="T2234"/>
  <c r="AJ2234" s="1"/>
  <c r="R2235"/>
  <c r="S2235"/>
  <c r="AI2235" s="1"/>
  <c r="T2235"/>
  <c r="AJ2235" s="1"/>
  <c r="R2236"/>
  <c r="S2236"/>
  <c r="AI2236" s="1"/>
  <c r="T2236"/>
  <c r="AJ2236" s="1"/>
  <c r="R2237"/>
  <c r="S2237"/>
  <c r="AI2237" s="1"/>
  <c r="T2237"/>
  <c r="AJ2237" s="1"/>
  <c r="R2238"/>
  <c r="S2238"/>
  <c r="AI2238" s="1"/>
  <c r="T2238"/>
  <c r="AJ2238" s="1"/>
  <c r="R2239"/>
  <c r="S2239"/>
  <c r="AI2239" s="1"/>
  <c r="T2239"/>
  <c r="AJ2239" s="1"/>
  <c r="R2240"/>
  <c r="S2240"/>
  <c r="AI2240" s="1"/>
  <c r="T2240"/>
  <c r="AJ2240" s="1"/>
  <c r="R2241"/>
  <c r="S2241"/>
  <c r="AI2241" s="1"/>
  <c r="T2241"/>
  <c r="AJ2241" s="1"/>
  <c r="R2242"/>
  <c r="S2242"/>
  <c r="AI2242" s="1"/>
  <c r="T2242"/>
  <c r="AJ2242" s="1"/>
  <c r="R2243"/>
  <c r="S2243"/>
  <c r="AI2243" s="1"/>
  <c r="T2243"/>
  <c r="AJ2243" s="1"/>
  <c r="R2244"/>
  <c r="S2244"/>
  <c r="AI2244" s="1"/>
  <c r="T2244"/>
  <c r="AJ2244" s="1"/>
  <c r="R2245"/>
  <c r="S2245"/>
  <c r="AI2245" s="1"/>
  <c r="T2245"/>
  <c r="AJ2245" s="1"/>
  <c r="R2246"/>
  <c r="S2246"/>
  <c r="AI2246" s="1"/>
  <c r="T2246"/>
  <c r="AJ2246" s="1"/>
  <c r="R2247"/>
  <c r="S2247"/>
  <c r="AI2247" s="1"/>
  <c r="T2247"/>
  <c r="AJ2247" s="1"/>
  <c r="R2248"/>
  <c r="S2248"/>
  <c r="AI2248" s="1"/>
  <c r="T2248"/>
  <c r="AJ2248" s="1"/>
  <c r="R2249"/>
  <c r="S2249"/>
  <c r="AI2249" s="1"/>
  <c r="T2249"/>
  <c r="AJ2249" s="1"/>
  <c r="R2250"/>
  <c r="S2250"/>
  <c r="AI2250" s="1"/>
  <c r="T2250"/>
  <c r="AJ2250" s="1"/>
  <c r="R2251"/>
  <c r="S2251"/>
  <c r="AI2251" s="1"/>
  <c r="T2251"/>
  <c r="AJ2251" s="1"/>
  <c r="R2252"/>
  <c r="S2252"/>
  <c r="AI2252" s="1"/>
  <c r="T2252"/>
  <c r="AJ2252" s="1"/>
  <c r="R2253"/>
  <c r="S2253"/>
  <c r="AI2253" s="1"/>
  <c r="T2253"/>
  <c r="AJ2253" s="1"/>
  <c r="R2254"/>
  <c r="S2254"/>
  <c r="AI2254" s="1"/>
  <c r="T2254"/>
  <c r="AJ2254" s="1"/>
  <c r="R2255"/>
  <c r="S2255"/>
  <c r="AI2255" s="1"/>
  <c r="T2255"/>
  <c r="AJ2255" s="1"/>
  <c r="R2256"/>
  <c r="S2256"/>
  <c r="AI2256" s="1"/>
  <c r="T2256"/>
  <c r="AJ2256" s="1"/>
  <c r="R2257"/>
  <c r="S2257"/>
  <c r="AI2257" s="1"/>
  <c r="T2257"/>
  <c r="AJ2257" s="1"/>
  <c r="R2258"/>
  <c r="S2258"/>
  <c r="AI2258" s="1"/>
  <c r="T2258"/>
  <c r="AJ2258" s="1"/>
  <c r="R2259"/>
  <c r="S2259"/>
  <c r="AI2259" s="1"/>
  <c r="T2259"/>
  <c r="AJ2259" s="1"/>
  <c r="R2260"/>
  <c r="S2260"/>
  <c r="AI2260" s="1"/>
  <c r="T2260"/>
  <c r="AJ2260" s="1"/>
  <c r="R2261"/>
  <c r="S2261"/>
  <c r="AI2261" s="1"/>
  <c r="T2261"/>
  <c r="AJ2261" s="1"/>
  <c r="R2262"/>
  <c r="S2262"/>
  <c r="AI2262" s="1"/>
  <c r="T2262"/>
  <c r="AJ2262" s="1"/>
  <c r="R2263"/>
  <c r="S2263"/>
  <c r="AI2263" s="1"/>
  <c r="T2263"/>
  <c r="AJ2263" s="1"/>
  <c r="R2264"/>
  <c r="S2264"/>
  <c r="AI2264" s="1"/>
  <c r="T2264"/>
  <c r="AJ2264" s="1"/>
  <c r="R2265"/>
  <c r="S2265"/>
  <c r="AI2265" s="1"/>
  <c r="T2265"/>
  <c r="AJ2265" s="1"/>
  <c r="R2266"/>
  <c r="S2266"/>
  <c r="AI2266" s="1"/>
  <c r="T2266"/>
  <c r="AJ2266" s="1"/>
  <c r="R2267"/>
  <c r="S2267"/>
  <c r="AI2267" s="1"/>
  <c r="T2267"/>
  <c r="AJ2267" s="1"/>
  <c r="R2268"/>
  <c r="S2268"/>
  <c r="AI2268" s="1"/>
  <c r="T2268"/>
  <c r="AJ2268" s="1"/>
  <c r="R2269"/>
  <c r="S2269"/>
  <c r="AI2269" s="1"/>
  <c r="T2269"/>
  <c r="AJ2269" s="1"/>
  <c r="R2270"/>
  <c r="S2270"/>
  <c r="AI2270" s="1"/>
  <c r="T2270"/>
  <c r="AJ2270" s="1"/>
  <c r="R2271"/>
  <c r="S2271"/>
  <c r="AI2271" s="1"/>
  <c r="T2271"/>
  <c r="AJ2271" s="1"/>
  <c r="R2272"/>
  <c r="S2272"/>
  <c r="AI2272" s="1"/>
  <c r="T2272"/>
  <c r="AJ2272" s="1"/>
  <c r="R2273"/>
  <c r="S2273"/>
  <c r="AI2273" s="1"/>
  <c r="T2273"/>
  <c r="AJ2273" s="1"/>
  <c r="R2274"/>
  <c r="S2274"/>
  <c r="AI2274" s="1"/>
  <c r="T2274"/>
  <c r="AJ2274" s="1"/>
  <c r="R2275"/>
  <c r="S2275"/>
  <c r="AI2275" s="1"/>
  <c r="T2275"/>
  <c r="AJ2275" s="1"/>
  <c r="R2276"/>
  <c r="S2276"/>
  <c r="AI2276" s="1"/>
  <c r="T2276"/>
  <c r="AJ2276" s="1"/>
  <c r="R2277"/>
  <c r="S2277"/>
  <c r="AI2277" s="1"/>
  <c r="T2277"/>
  <c r="AJ2277" s="1"/>
  <c r="R2278"/>
  <c r="S2278"/>
  <c r="AI2278" s="1"/>
  <c r="T2278"/>
  <c r="AJ2278" s="1"/>
  <c r="R2279"/>
  <c r="S2279"/>
  <c r="AI2279" s="1"/>
  <c r="T2279"/>
  <c r="AJ2279" s="1"/>
  <c r="R2280"/>
  <c r="S2280"/>
  <c r="AI2280" s="1"/>
  <c r="T2280"/>
  <c r="AJ2280" s="1"/>
  <c r="R2281"/>
  <c r="S2281"/>
  <c r="AI2281" s="1"/>
  <c r="T2281"/>
  <c r="AJ2281" s="1"/>
  <c r="R2282"/>
  <c r="S2282"/>
  <c r="AI2282" s="1"/>
  <c r="T2282"/>
  <c r="AJ2282" s="1"/>
  <c r="R2283"/>
  <c r="S2283"/>
  <c r="AI2283" s="1"/>
  <c r="T2283"/>
  <c r="AJ2283" s="1"/>
  <c r="R2284"/>
  <c r="S2284"/>
  <c r="AI2284" s="1"/>
  <c r="T2284"/>
  <c r="AJ2284" s="1"/>
  <c r="R2285"/>
  <c r="S2285"/>
  <c r="AI2285" s="1"/>
  <c r="T2285"/>
  <c r="AJ2285" s="1"/>
  <c r="R2286"/>
  <c r="S2286"/>
  <c r="AI2286" s="1"/>
  <c r="T2286"/>
  <c r="AJ2286" s="1"/>
  <c r="R2287"/>
  <c r="S2287"/>
  <c r="AI2287" s="1"/>
  <c r="T2287"/>
  <c r="AJ2287" s="1"/>
  <c r="R2288"/>
  <c r="S2288"/>
  <c r="AI2288" s="1"/>
  <c r="T2288"/>
  <c r="AJ2288" s="1"/>
  <c r="R2289"/>
  <c r="S2289"/>
  <c r="AI2289" s="1"/>
  <c r="T2289"/>
  <c r="AJ2289" s="1"/>
  <c r="R2290"/>
  <c r="S2290"/>
  <c r="AI2290" s="1"/>
  <c r="T2290"/>
  <c r="AJ2290" s="1"/>
  <c r="R2291"/>
  <c r="S2291"/>
  <c r="AI2291" s="1"/>
  <c r="T2291"/>
  <c r="AJ2291" s="1"/>
  <c r="R2292"/>
  <c r="S2292"/>
  <c r="AI2292" s="1"/>
  <c r="T2292"/>
  <c r="AJ2292" s="1"/>
  <c r="R2293"/>
  <c r="S2293"/>
  <c r="AI2293" s="1"/>
  <c r="T2293"/>
  <c r="AJ2293" s="1"/>
  <c r="R2294"/>
  <c r="S2294"/>
  <c r="AI2294" s="1"/>
  <c r="T2294"/>
  <c r="AJ2294" s="1"/>
  <c r="R2295"/>
  <c r="S2295"/>
  <c r="AI2295" s="1"/>
  <c r="T2295"/>
  <c r="AJ2295" s="1"/>
  <c r="R2296"/>
  <c r="S2296"/>
  <c r="AI2296" s="1"/>
  <c r="T2296"/>
  <c r="AJ2296" s="1"/>
  <c r="R2297"/>
  <c r="S2297"/>
  <c r="AI2297" s="1"/>
  <c r="T2297"/>
  <c r="AJ2297" s="1"/>
  <c r="R2298"/>
  <c r="S2298"/>
  <c r="AI2298" s="1"/>
  <c r="T2298"/>
  <c r="AJ2298" s="1"/>
  <c r="R2299"/>
  <c r="S2299"/>
  <c r="AI2299" s="1"/>
  <c r="T2299"/>
  <c r="AJ2299" s="1"/>
  <c r="R2300"/>
  <c r="S2300"/>
  <c r="AI2300" s="1"/>
  <c r="T2300"/>
  <c r="AJ2300" s="1"/>
  <c r="R2301"/>
  <c r="S2301"/>
  <c r="AI2301" s="1"/>
  <c r="T2301"/>
  <c r="AJ2301" s="1"/>
  <c r="R2302"/>
  <c r="S2302"/>
  <c r="AI2302" s="1"/>
  <c r="T2302"/>
  <c r="AJ2302" s="1"/>
  <c r="R2303"/>
  <c r="S2303"/>
  <c r="AI2303" s="1"/>
  <c r="T2303"/>
  <c r="AJ2303" s="1"/>
  <c r="R2304"/>
  <c r="S2304"/>
  <c r="AI2304" s="1"/>
  <c r="T2304"/>
  <c r="AJ2304" s="1"/>
  <c r="R2305"/>
  <c r="S2305"/>
  <c r="AI2305" s="1"/>
  <c r="T2305"/>
  <c r="AJ2305" s="1"/>
  <c r="R2306"/>
  <c r="S2306"/>
  <c r="AI2306" s="1"/>
  <c r="T2306"/>
  <c r="AJ2306" s="1"/>
  <c r="R2307"/>
  <c r="S2307"/>
  <c r="AI2307" s="1"/>
  <c r="T2307"/>
  <c r="AJ2307" s="1"/>
  <c r="R2308"/>
  <c r="S2308"/>
  <c r="AI2308" s="1"/>
  <c r="T2308"/>
  <c r="AJ2308" s="1"/>
  <c r="R2309"/>
  <c r="S2309"/>
  <c r="AI2309" s="1"/>
  <c r="T2309"/>
  <c r="AJ2309" s="1"/>
  <c r="R2310"/>
  <c r="S2310"/>
  <c r="AI2310" s="1"/>
  <c r="T2310"/>
  <c r="AJ2310" s="1"/>
  <c r="R2311"/>
  <c r="S2311"/>
  <c r="AI2311" s="1"/>
  <c r="T2311"/>
  <c r="AJ2311" s="1"/>
  <c r="R2312"/>
  <c r="S2312"/>
  <c r="AI2312" s="1"/>
  <c r="T2312"/>
  <c r="AJ2312" s="1"/>
  <c r="R2313"/>
  <c r="S2313"/>
  <c r="AI2313" s="1"/>
  <c r="T2313"/>
  <c r="AJ2313" s="1"/>
  <c r="R2314"/>
  <c r="S2314"/>
  <c r="AI2314" s="1"/>
  <c r="T2314"/>
  <c r="AJ2314" s="1"/>
  <c r="R2315"/>
  <c r="S2315"/>
  <c r="AI2315" s="1"/>
  <c r="T2315"/>
  <c r="AJ2315" s="1"/>
  <c r="R2316"/>
  <c r="S2316"/>
  <c r="AI2316" s="1"/>
  <c r="T2316"/>
  <c r="AJ2316" s="1"/>
  <c r="R2317"/>
  <c r="S2317"/>
  <c r="AI2317" s="1"/>
  <c r="T2317"/>
  <c r="AJ2317" s="1"/>
  <c r="R2318"/>
  <c r="S2318"/>
  <c r="AI2318" s="1"/>
  <c r="T2318"/>
  <c r="AJ2318" s="1"/>
  <c r="R2319"/>
  <c r="S2319"/>
  <c r="AI2319" s="1"/>
  <c r="T2319"/>
  <c r="AJ2319" s="1"/>
  <c r="R2320"/>
  <c r="S2320"/>
  <c r="AI2320" s="1"/>
  <c r="T2320"/>
  <c r="AJ2320" s="1"/>
  <c r="R2321"/>
  <c r="S2321"/>
  <c r="AI2321" s="1"/>
  <c r="T2321"/>
  <c r="AJ2321" s="1"/>
  <c r="R2322"/>
  <c r="S2322"/>
  <c r="AI2322" s="1"/>
  <c r="T2322"/>
  <c r="AJ2322" s="1"/>
  <c r="R2323"/>
  <c r="S2323"/>
  <c r="AI2323" s="1"/>
  <c r="T2323"/>
  <c r="AJ2323" s="1"/>
  <c r="R2324"/>
  <c r="S2324"/>
  <c r="AI2324" s="1"/>
  <c r="T2324"/>
  <c r="AJ2324" s="1"/>
  <c r="R2325"/>
  <c r="S2325"/>
  <c r="AI2325" s="1"/>
  <c r="T2325"/>
  <c r="AJ2325" s="1"/>
  <c r="R2326"/>
  <c r="S2326"/>
  <c r="AI2326" s="1"/>
  <c r="T2326"/>
  <c r="AJ2326" s="1"/>
  <c r="R2327"/>
  <c r="S2327"/>
  <c r="AI2327" s="1"/>
  <c r="T2327"/>
  <c r="AJ2327" s="1"/>
  <c r="R2328"/>
  <c r="S2328"/>
  <c r="AI2328" s="1"/>
  <c r="T2328"/>
  <c r="AJ2328" s="1"/>
  <c r="R2329"/>
  <c r="S2329"/>
  <c r="AI2329" s="1"/>
  <c r="T2329"/>
  <c r="AJ2329" s="1"/>
  <c r="R2330"/>
  <c r="S2330"/>
  <c r="AI2330" s="1"/>
  <c r="T2330"/>
  <c r="AJ2330" s="1"/>
  <c r="R2331"/>
  <c r="S2331"/>
  <c r="AI2331" s="1"/>
  <c r="T2331"/>
  <c r="AJ2331" s="1"/>
  <c r="R2332"/>
  <c r="S2332"/>
  <c r="AI2332" s="1"/>
  <c r="T2332"/>
  <c r="AJ2332" s="1"/>
  <c r="R2333"/>
  <c r="S2333"/>
  <c r="AI2333" s="1"/>
  <c r="T2333"/>
  <c r="AJ2333" s="1"/>
  <c r="R2334"/>
  <c r="S2334"/>
  <c r="AI2334" s="1"/>
  <c r="T2334"/>
  <c r="AJ2334" s="1"/>
  <c r="R2335"/>
  <c r="S2335"/>
  <c r="AI2335" s="1"/>
  <c r="T2335"/>
  <c r="AJ2335" s="1"/>
  <c r="R2336"/>
  <c r="S2336"/>
  <c r="AI2336" s="1"/>
  <c r="T2336"/>
  <c r="AJ2336" s="1"/>
  <c r="R2337"/>
  <c r="S2337"/>
  <c r="AI2337" s="1"/>
  <c r="T2337"/>
  <c r="AJ2337" s="1"/>
  <c r="R2338"/>
  <c r="S2338"/>
  <c r="AI2338" s="1"/>
  <c r="T2338"/>
  <c r="AJ2338" s="1"/>
  <c r="R2339"/>
  <c r="S2339"/>
  <c r="AI2339" s="1"/>
  <c r="T2339"/>
  <c r="AJ2339" s="1"/>
  <c r="R2340"/>
  <c r="S2340"/>
  <c r="AI2340" s="1"/>
  <c r="T2340"/>
  <c r="AJ2340" s="1"/>
  <c r="R2341"/>
  <c r="S2341"/>
  <c r="AI2341" s="1"/>
  <c r="T2341"/>
  <c r="AJ2341" s="1"/>
  <c r="R2342"/>
  <c r="S2342"/>
  <c r="AI2342" s="1"/>
  <c r="T2342"/>
  <c r="AJ2342" s="1"/>
  <c r="R2343"/>
  <c r="S2343"/>
  <c r="AI2343" s="1"/>
  <c r="T2343"/>
  <c r="AJ2343" s="1"/>
  <c r="R2344"/>
  <c r="T2344"/>
  <c r="AJ2344" s="1"/>
  <c r="R2345"/>
  <c r="S2345"/>
  <c r="AI2345" s="1"/>
  <c r="T2345"/>
  <c r="AJ2345" s="1"/>
  <c r="R2346"/>
  <c r="S2346"/>
  <c r="AI2346" s="1"/>
  <c r="T2346"/>
  <c r="AJ2346" s="1"/>
  <c r="R2347"/>
  <c r="S2347"/>
  <c r="AI2347" s="1"/>
  <c r="T2347"/>
  <c r="AJ2347" s="1"/>
  <c r="R2348"/>
  <c r="S2348"/>
  <c r="AI2348" s="1"/>
  <c r="T2348"/>
  <c r="AJ2348" s="1"/>
  <c r="R2349"/>
  <c r="S2349"/>
  <c r="AI2349" s="1"/>
  <c r="T2349"/>
  <c r="AJ2349" s="1"/>
  <c r="R2350"/>
  <c r="S2350"/>
  <c r="AI2350" s="1"/>
  <c r="T2350"/>
  <c r="AJ2350" s="1"/>
  <c r="R2351"/>
  <c r="S2351"/>
  <c r="AI2351" s="1"/>
  <c r="T2351"/>
  <c r="AJ2351" s="1"/>
  <c r="R2352"/>
  <c r="S2352"/>
  <c r="AI2352" s="1"/>
  <c r="T2352"/>
  <c r="AJ2352" s="1"/>
  <c r="R2353"/>
  <c r="S2353"/>
  <c r="AI2353" s="1"/>
  <c r="T2353"/>
  <c r="AJ2353" s="1"/>
  <c r="R2354"/>
  <c r="S2354"/>
  <c r="AI2354" s="1"/>
  <c r="T2354"/>
  <c r="AJ2354" s="1"/>
  <c r="R2355"/>
  <c r="S2355"/>
  <c r="AI2355" s="1"/>
  <c r="T2355"/>
  <c r="AJ2355" s="1"/>
  <c r="R2356"/>
  <c r="S2356"/>
  <c r="AI2356" s="1"/>
  <c r="T2356"/>
  <c r="AJ2356" s="1"/>
  <c r="R2357"/>
  <c r="T2357"/>
  <c r="AJ2357" s="1"/>
  <c r="R2358"/>
  <c r="S2358"/>
  <c r="AI2358" s="1"/>
  <c r="T2358"/>
  <c r="AJ2358" s="1"/>
  <c r="R2359"/>
  <c r="S2359"/>
  <c r="AI2359" s="1"/>
  <c r="T2359"/>
  <c r="AJ2359" s="1"/>
  <c r="R2360"/>
  <c r="S2360"/>
  <c r="AI2360" s="1"/>
  <c r="T2360"/>
  <c r="AJ2360" s="1"/>
  <c r="R2361"/>
  <c r="S2361"/>
  <c r="AI2361" s="1"/>
  <c r="T2361"/>
  <c r="AJ2361" s="1"/>
  <c r="R2362"/>
  <c r="S2362"/>
  <c r="AI2362" s="1"/>
  <c r="T2362"/>
  <c r="AJ2362" s="1"/>
  <c r="R2363"/>
  <c r="S2363"/>
  <c r="AI2363" s="1"/>
  <c r="T2363"/>
  <c r="AJ2363" s="1"/>
  <c r="R2364"/>
  <c r="S2364"/>
  <c r="AI2364" s="1"/>
  <c r="T2364"/>
  <c r="AJ2364" s="1"/>
  <c r="R2365"/>
  <c r="S2365"/>
  <c r="AI2365" s="1"/>
  <c r="T2365"/>
  <c r="AJ2365" s="1"/>
  <c r="R2366"/>
  <c r="S2366"/>
  <c r="AI2366" s="1"/>
  <c r="T2366"/>
  <c r="AJ2366" s="1"/>
  <c r="R2367"/>
  <c r="S2367"/>
  <c r="AI2367" s="1"/>
  <c r="T2367"/>
  <c r="AJ2367" s="1"/>
  <c r="R2368"/>
  <c r="S2368"/>
  <c r="AI2368" s="1"/>
  <c r="T2368"/>
  <c r="AJ2368" s="1"/>
  <c r="R2369"/>
  <c r="S2369"/>
  <c r="AI2369" s="1"/>
  <c r="T2369"/>
  <c r="AJ2369" s="1"/>
  <c r="R2370"/>
  <c r="S2370"/>
  <c r="AI2370" s="1"/>
  <c r="T2370"/>
  <c r="AJ2370" s="1"/>
  <c r="R2371"/>
  <c r="S2371"/>
  <c r="AI2371" s="1"/>
  <c r="T2371"/>
  <c r="AJ2371" s="1"/>
  <c r="R2372"/>
  <c r="S2372"/>
  <c r="AI2372" s="1"/>
  <c r="T2372"/>
  <c r="AJ2372" s="1"/>
  <c r="R2373"/>
  <c r="S2373"/>
  <c r="AI2373" s="1"/>
  <c r="T2373"/>
  <c r="AJ2373" s="1"/>
  <c r="R2374"/>
  <c r="S2374"/>
  <c r="AI2374" s="1"/>
  <c r="T2374"/>
  <c r="AJ2374" s="1"/>
  <c r="R2375"/>
  <c r="S2375"/>
  <c r="AI2375" s="1"/>
  <c r="T2375"/>
  <c r="AJ2375" s="1"/>
  <c r="R2376"/>
  <c r="S2376"/>
  <c r="AI2376" s="1"/>
  <c r="T2376"/>
  <c r="AJ2376" s="1"/>
  <c r="R2377"/>
  <c r="S2377"/>
  <c r="AI2377" s="1"/>
  <c r="T2377"/>
  <c r="AJ2377" s="1"/>
  <c r="R2378"/>
  <c r="S2378"/>
  <c r="AI2378" s="1"/>
  <c r="T2378"/>
  <c r="AJ2378" s="1"/>
  <c r="R2379"/>
  <c r="S2379"/>
  <c r="AI2379" s="1"/>
  <c r="T2379"/>
  <c r="AJ2379" s="1"/>
  <c r="R2380"/>
  <c r="S2380"/>
  <c r="AI2380" s="1"/>
  <c r="T2380"/>
  <c r="AJ2380" s="1"/>
  <c r="R2381"/>
  <c r="S2381"/>
  <c r="AI2381" s="1"/>
  <c r="T2381"/>
  <c r="AJ2381" s="1"/>
  <c r="R2382"/>
  <c r="S2382"/>
  <c r="AI2382" s="1"/>
  <c r="T2382"/>
  <c r="AJ2382" s="1"/>
  <c r="R2383"/>
  <c r="S2383"/>
  <c r="AI2383" s="1"/>
  <c r="T2383"/>
  <c r="AJ2383" s="1"/>
  <c r="R2384"/>
  <c r="S2384"/>
  <c r="AI2384" s="1"/>
  <c r="T2384"/>
  <c r="AJ2384" s="1"/>
  <c r="R2385"/>
  <c r="S2385"/>
  <c r="AI2385" s="1"/>
  <c r="T2385"/>
  <c r="AJ2385" s="1"/>
  <c r="R2386"/>
  <c r="S2386"/>
  <c r="AI2386" s="1"/>
  <c r="T2386"/>
  <c r="AJ2386" s="1"/>
  <c r="R2387"/>
  <c r="S2387"/>
  <c r="AI2387" s="1"/>
  <c r="T2387"/>
  <c r="AJ2387" s="1"/>
  <c r="R2388"/>
  <c r="S2388"/>
  <c r="AI2388" s="1"/>
  <c r="T2388"/>
  <c r="AJ2388" s="1"/>
  <c r="R2389"/>
  <c r="S2389"/>
  <c r="AI2389" s="1"/>
  <c r="T2389"/>
  <c r="AJ2389" s="1"/>
  <c r="R2390"/>
  <c r="S2390"/>
  <c r="AI2390" s="1"/>
  <c r="T2390"/>
  <c r="AJ2390" s="1"/>
  <c r="R2391"/>
  <c r="S2391"/>
  <c r="AI2391" s="1"/>
  <c r="T2391"/>
  <c r="AJ2391" s="1"/>
  <c r="R2392"/>
  <c r="S2392"/>
  <c r="AI2392" s="1"/>
  <c r="T2392"/>
  <c r="AJ2392" s="1"/>
  <c r="R2393"/>
  <c r="S2393"/>
  <c r="AI2393" s="1"/>
  <c r="T2393"/>
  <c r="AJ2393" s="1"/>
  <c r="R2394"/>
  <c r="S2394"/>
  <c r="AI2394" s="1"/>
  <c r="T2394"/>
  <c r="AJ2394" s="1"/>
  <c r="R2395"/>
  <c r="S2395"/>
  <c r="AI2395" s="1"/>
  <c r="T2395"/>
  <c r="AJ2395" s="1"/>
  <c r="R2396"/>
  <c r="S2396"/>
  <c r="AI2396" s="1"/>
  <c r="T2396"/>
  <c r="AJ2396" s="1"/>
  <c r="R2397"/>
  <c r="S2397"/>
  <c r="AI2397" s="1"/>
  <c r="T2397"/>
  <c r="AJ2397" s="1"/>
  <c r="R2398"/>
  <c r="S2398"/>
  <c r="AI2398" s="1"/>
  <c r="T2398"/>
  <c r="AJ2398" s="1"/>
  <c r="R2399"/>
  <c r="S2399"/>
  <c r="AI2399" s="1"/>
  <c r="T2399"/>
  <c r="AJ2399" s="1"/>
  <c r="R2400"/>
  <c r="S2400"/>
  <c r="AI2400" s="1"/>
  <c r="T2400"/>
  <c r="AJ2400" s="1"/>
  <c r="R2401"/>
  <c r="S2401"/>
  <c r="AI2401" s="1"/>
  <c r="T2401"/>
  <c r="AJ2401" s="1"/>
  <c r="R2409"/>
  <c r="T2409"/>
  <c r="AJ2409" s="1"/>
  <c r="R2410"/>
  <c r="S2410"/>
  <c r="AI2410" s="1"/>
  <c r="T2410"/>
  <c r="AJ2410" s="1"/>
  <c r="R2411"/>
  <c r="S2411"/>
  <c r="AI2411" s="1"/>
  <c r="T2411"/>
  <c r="AJ2411" s="1"/>
  <c r="R2412"/>
  <c r="S2412"/>
  <c r="AI2412" s="1"/>
  <c r="T2412"/>
  <c r="AJ2412" s="1"/>
  <c r="R2413"/>
  <c r="S2413"/>
  <c r="AI2413" s="1"/>
  <c r="T2413"/>
  <c r="AJ2413" s="1"/>
  <c r="R2414"/>
  <c r="S2414"/>
  <c r="AI2414" s="1"/>
  <c r="T2414"/>
  <c r="AJ2414" s="1"/>
  <c r="R2415"/>
  <c r="S2415"/>
  <c r="AI2415" s="1"/>
  <c r="T2415"/>
  <c r="AJ2415" s="1"/>
  <c r="R2416"/>
  <c r="S2416"/>
  <c r="AI2416" s="1"/>
  <c r="T2416"/>
  <c r="AJ2416" s="1"/>
  <c r="R2417"/>
  <c r="S2417"/>
  <c r="AI2417" s="1"/>
  <c r="T2417"/>
  <c r="AJ2417" s="1"/>
  <c r="R2418"/>
  <c r="S2418"/>
  <c r="AI2418" s="1"/>
  <c r="T2418"/>
  <c r="AJ2418" s="1"/>
  <c r="R2419"/>
  <c r="S2419"/>
  <c r="AI2419" s="1"/>
  <c r="T2419"/>
  <c r="AJ2419" s="1"/>
  <c r="R2420"/>
  <c r="S2420"/>
  <c r="AI2420" s="1"/>
  <c r="T2420"/>
  <c r="AJ2420" s="1"/>
  <c r="R2421"/>
  <c r="S2421"/>
  <c r="AI2421" s="1"/>
  <c r="T2421"/>
  <c r="AJ2421" s="1"/>
  <c r="R2422"/>
  <c r="S2422"/>
  <c r="AI2422" s="1"/>
  <c r="T2422"/>
  <c r="AJ2422" s="1"/>
  <c r="R2423"/>
  <c r="S2423"/>
  <c r="AI2423" s="1"/>
  <c r="T2423"/>
  <c r="AJ2423" s="1"/>
  <c r="R2424"/>
  <c r="S2424"/>
  <c r="AI2424" s="1"/>
  <c r="T2424"/>
  <c r="AJ2424" s="1"/>
  <c r="R2425"/>
  <c r="S2425"/>
  <c r="AI2425" s="1"/>
  <c r="T2425"/>
  <c r="AJ2425" s="1"/>
  <c r="R2426"/>
  <c r="S2426"/>
  <c r="AI2426" s="1"/>
  <c r="T2426"/>
  <c r="AJ2426" s="1"/>
  <c r="R2427"/>
  <c r="S2427"/>
  <c r="AI2427" s="1"/>
  <c r="T2427"/>
  <c r="AJ2427" s="1"/>
  <c r="R2428"/>
  <c r="S2428"/>
  <c r="AI2428" s="1"/>
  <c r="T2428"/>
  <c r="AJ2428" s="1"/>
  <c r="R2429"/>
  <c r="S2429"/>
  <c r="AI2429" s="1"/>
  <c r="T2429"/>
  <c r="AJ2429" s="1"/>
  <c r="R2430"/>
  <c r="S2430"/>
  <c r="AI2430" s="1"/>
  <c r="T2430"/>
  <c r="AJ2430" s="1"/>
  <c r="R2431"/>
  <c r="S2431"/>
  <c r="AI2431" s="1"/>
  <c r="T2431"/>
  <c r="AJ2431" s="1"/>
  <c r="R2432"/>
  <c r="S2432"/>
  <c r="AI2432" s="1"/>
  <c r="T2432"/>
  <c r="AJ2432" s="1"/>
  <c r="R2433"/>
  <c r="S2433"/>
  <c r="AI2433" s="1"/>
  <c r="T2433"/>
  <c r="AJ2433" s="1"/>
  <c r="R2434"/>
  <c r="S2434"/>
  <c r="AI2434" s="1"/>
  <c r="T2434"/>
  <c r="AJ2434" s="1"/>
  <c r="R2435"/>
  <c r="S2435"/>
  <c r="AI2435" s="1"/>
  <c r="T2435"/>
  <c r="AJ2435" s="1"/>
  <c r="R2436"/>
  <c r="S2436"/>
  <c r="AI2436" s="1"/>
  <c r="T2436"/>
  <c r="AJ2436" s="1"/>
  <c r="R2437"/>
  <c r="S2437"/>
  <c r="AI2437" s="1"/>
  <c r="T2437"/>
  <c r="AJ2437" s="1"/>
  <c r="R2438"/>
  <c r="S2438"/>
  <c r="AI2438" s="1"/>
  <c r="T2438"/>
  <c r="AJ2438" s="1"/>
  <c r="R2439"/>
  <c r="S2439"/>
  <c r="AI2439" s="1"/>
  <c r="T2439"/>
  <c r="AJ2439" s="1"/>
  <c r="R2440"/>
  <c r="S2440"/>
  <c r="AI2440" s="1"/>
  <c r="T2440"/>
  <c r="AJ2440" s="1"/>
  <c r="R2441"/>
  <c r="S2441"/>
  <c r="AI2441" s="1"/>
  <c r="T2441"/>
  <c r="AJ2441" s="1"/>
  <c r="R2442"/>
  <c r="S2442"/>
  <c r="AI2442" s="1"/>
  <c r="T2442"/>
  <c r="AJ2442" s="1"/>
  <c r="R2402"/>
  <c r="S2402"/>
  <c r="AI2402" s="1"/>
  <c r="T2402"/>
  <c r="AJ2402" s="1"/>
  <c r="R2403"/>
  <c r="S2403"/>
  <c r="AI2403" s="1"/>
  <c r="T2403"/>
  <c r="AJ2403" s="1"/>
  <c r="R2404"/>
  <c r="S2404"/>
  <c r="AI2404" s="1"/>
  <c r="T2404"/>
  <c r="AJ2404" s="1"/>
  <c r="R2405"/>
  <c r="S2405"/>
  <c r="AI2405" s="1"/>
  <c r="T2405"/>
  <c r="AJ2405" s="1"/>
  <c r="R2406"/>
  <c r="S2406"/>
  <c r="AI2406" s="1"/>
  <c r="T2406"/>
  <c r="AJ2406" s="1"/>
  <c r="R2407"/>
  <c r="S2407"/>
  <c r="AI2407" s="1"/>
  <c r="T2407"/>
  <c r="AJ2407" s="1"/>
  <c r="R2408"/>
  <c r="S2408"/>
  <c r="AI2408" s="1"/>
  <c r="T2408"/>
  <c r="AJ2408" s="1"/>
  <c r="R2443"/>
  <c r="S2443"/>
  <c r="AI2443" s="1"/>
  <c r="T2443"/>
  <c r="AJ2443" s="1"/>
  <c r="R2444"/>
  <c r="S2444"/>
  <c r="AI2444" s="1"/>
  <c r="T2444"/>
  <c r="AJ2444" s="1"/>
  <c r="R2445"/>
  <c r="S2445"/>
  <c r="AI2445" s="1"/>
  <c r="T2445"/>
  <c r="AJ2445" s="1"/>
  <c r="R2446"/>
  <c r="S2446"/>
  <c r="AI2446" s="1"/>
  <c r="T2446"/>
  <c r="AJ2446" s="1"/>
  <c r="R2447"/>
  <c r="S2447"/>
  <c r="AI2447" s="1"/>
  <c r="T2447"/>
  <c r="AJ2447" s="1"/>
  <c r="R2448"/>
  <c r="S2448"/>
  <c r="AI2448" s="1"/>
  <c r="T2448"/>
  <c r="AJ2448" s="1"/>
  <c r="R2449"/>
  <c r="S2449"/>
  <c r="AI2449" s="1"/>
  <c r="T2449"/>
  <c r="AJ2449" s="1"/>
  <c r="R2450"/>
  <c r="S2450"/>
  <c r="AI2450" s="1"/>
  <c r="T2450"/>
  <c r="AJ2450" s="1"/>
  <c r="R2451"/>
  <c r="S2451"/>
  <c r="AI2451" s="1"/>
  <c r="T2451"/>
  <c r="AJ2451" s="1"/>
  <c r="R2452"/>
  <c r="S2452"/>
  <c r="AI2452" s="1"/>
  <c r="T2452"/>
  <c r="AJ2452" s="1"/>
  <c r="R2453"/>
  <c r="S2453"/>
  <c r="AI2453" s="1"/>
  <c r="T2453"/>
  <c r="AJ2453" s="1"/>
  <c r="R2454"/>
  <c r="S2454"/>
  <c r="AI2454" s="1"/>
  <c r="T2454"/>
  <c r="AJ2454" s="1"/>
  <c r="R2455"/>
  <c r="S2455"/>
  <c r="AI2455" s="1"/>
  <c r="T2455"/>
  <c r="AJ2455" s="1"/>
  <c r="R2456"/>
  <c r="S2456"/>
  <c r="AI2456" s="1"/>
  <c r="T2456"/>
  <c r="AJ2456" s="1"/>
  <c r="R2457"/>
  <c r="S2457"/>
  <c r="AI2457" s="1"/>
  <c r="T2457"/>
  <c r="AJ2457" s="1"/>
  <c r="R2458"/>
  <c r="S2458"/>
  <c r="AI2458" s="1"/>
  <c r="T2458"/>
  <c r="AJ2458" s="1"/>
  <c r="R2459"/>
  <c r="S2459"/>
  <c r="AI2459" s="1"/>
  <c r="T2459"/>
  <c r="AJ2459" s="1"/>
  <c r="R2460"/>
  <c r="S2460"/>
  <c r="AI2460" s="1"/>
  <c r="T2460"/>
  <c r="AJ2460" s="1"/>
  <c r="R2461"/>
  <c r="S2461"/>
  <c r="AI2461" s="1"/>
  <c r="T2461"/>
  <c r="AJ2461" s="1"/>
  <c r="R2462"/>
  <c r="S2462"/>
  <c r="AI2462" s="1"/>
  <c r="T2462"/>
  <c r="AJ2462" s="1"/>
  <c r="R2463"/>
  <c r="S2463"/>
  <c r="AI2463" s="1"/>
  <c r="T2463"/>
  <c r="AJ2463" s="1"/>
  <c r="R2464"/>
  <c r="S2464"/>
  <c r="AI2464" s="1"/>
  <c r="T2464"/>
  <c r="AJ2464" s="1"/>
  <c r="R2465"/>
  <c r="S2465"/>
  <c r="AI2465" s="1"/>
  <c r="T2465"/>
  <c r="AJ2465" s="1"/>
  <c r="R2466"/>
  <c r="S2466"/>
  <c r="AI2466" s="1"/>
  <c r="T2466"/>
  <c r="AJ2466" s="1"/>
  <c r="R2467"/>
  <c r="S2467"/>
  <c r="AI2467" s="1"/>
  <c r="T2467"/>
  <c r="AJ2467" s="1"/>
  <c r="R2468"/>
  <c r="S2468"/>
  <c r="AI2468" s="1"/>
  <c r="T2468"/>
  <c r="AJ2468" s="1"/>
  <c r="R2469"/>
  <c r="S2469"/>
  <c r="AI2469" s="1"/>
  <c r="T2469"/>
  <c r="AJ2469" s="1"/>
  <c r="R2470"/>
  <c r="S2470"/>
  <c r="AI2470" s="1"/>
  <c r="T2470"/>
  <c r="AJ2470" s="1"/>
  <c r="R2471"/>
  <c r="S2471"/>
  <c r="AI2471" s="1"/>
  <c r="T2471"/>
  <c r="AJ2471" s="1"/>
  <c r="R2472"/>
  <c r="S2472"/>
  <c r="AI2472" s="1"/>
  <c r="T2472"/>
  <c r="AJ2472" s="1"/>
  <c r="R2473"/>
  <c r="S2473"/>
  <c r="AI2473" s="1"/>
  <c r="T2473"/>
  <c r="AJ2473" s="1"/>
  <c r="R2474"/>
  <c r="S2474"/>
  <c r="AI2474" s="1"/>
  <c r="T2474"/>
  <c r="AJ2474" s="1"/>
  <c r="R2475"/>
  <c r="S2475"/>
  <c r="AI2475" s="1"/>
  <c r="T2475"/>
  <c r="AJ2475" s="1"/>
  <c r="R2476"/>
  <c r="S2476"/>
  <c r="AI2476" s="1"/>
  <c r="T2476"/>
  <c r="AJ2476" s="1"/>
  <c r="R2477"/>
  <c r="S2477"/>
  <c r="AI2477" s="1"/>
  <c r="T2477"/>
  <c r="AJ2477" s="1"/>
  <c r="R2478"/>
  <c r="S2478"/>
  <c r="AI2478" s="1"/>
  <c r="T2478"/>
  <c r="AJ2478" s="1"/>
  <c r="R2479"/>
  <c r="S2479"/>
  <c r="AI2479" s="1"/>
  <c r="T2479"/>
  <c r="AJ2479" s="1"/>
  <c r="R2480"/>
  <c r="S2480"/>
  <c r="AI2480" s="1"/>
  <c r="T2480"/>
  <c r="AJ2480" s="1"/>
  <c r="R2481"/>
  <c r="S2481"/>
  <c r="AI2481" s="1"/>
  <c r="T2481"/>
  <c r="AJ2481" s="1"/>
  <c r="R2482"/>
  <c r="S2482"/>
  <c r="AI2482" s="1"/>
  <c r="T2482"/>
  <c r="AJ2482" s="1"/>
  <c r="R2483"/>
  <c r="S2483"/>
  <c r="AI2483" s="1"/>
  <c r="T2483"/>
  <c r="AJ2483" s="1"/>
  <c r="R2484"/>
  <c r="S2484"/>
  <c r="AI2484" s="1"/>
  <c r="T2484"/>
  <c r="AJ2484" s="1"/>
  <c r="R2485"/>
  <c r="S2485"/>
  <c r="AI2485" s="1"/>
  <c r="T2485"/>
  <c r="AJ2485" s="1"/>
  <c r="R2486"/>
  <c r="S2486"/>
  <c r="AI2486" s="1"/>
  <c r="T2486"/>
  <c r="AJ2486" s="1"/>
  <c r="R2487"/>
  <c r="S2487"/>
  <c r="AI2487" s="1"/>
  <c r="T2487"/>
  <c r="AJ2487" s="1"/>
  <c r="R2488"/>
  <c r="S2488"/>
  <c r="AI2488" s="1"/>
  <c r="T2488"/>
  <c r="AJ2488" s="1"/>
  <c r="R2489"/>
  <c r="S2489"/>
  <c r="AI2489" s="1"/>
  <c r="T2489"/>
  <c r="AJ2489" s="1"/>
  <c r="R2490"/>
  <c r="S2490"/>
  <c r="AI2490" s="1"/>
  <c r="T2490"/>
  <c r="AJ2490" s="1"/>
  <c r="R2491"/>
  <c r="S2491"/>
  <c r="AI2491" s="1"/>
  <c r="T2491"/>
  <c r="AJ2491" s="1"/>
  <c r="R2492"/>
  <c r="S2492"/>
  <c r="AI2492" s="1"/>
  <c r="T2492"/>
  <c r="AJ2492" s="1"/>
  <c r="R2493"/>
  <c r="S2493"/>
  <c r="AI2493" s="1"/>
  <c r="T2493"/>
  <c r="AJ2493" s="1"/>
  <c r="R2494"/>
  <c r="S2494"/>
  <c r="AI2494" s="1"/>
  <c r="T2494"/>
  <c r="AJ2494" s="1"/>
  <c r="R2495"/>
  <c r="S2495"/>
  <c r="AI2495" s="1"/>
  <c r="T2495"/>
  <c r="AJ2495" s="1"/>
  <c r="R2496"/>
  <c r="S2496"/>
  <c r="AI2496" s="1"/>
  <c r="T2496"/>
  <c r="AJ2496" s="1"/>
  <c r="R2497"/>
  <c r="S2497"/>
  <c r="AI2497" s="1"/>
  <c r="T2497"/>
  <c r="AJ2497" s="1"/>
  <c r="R2498"/>
  <c r="S2498"/>
  <c r="AI2498" s="1"/>
  <c r="T2498"/>
  <c r="AJ2498" s="1"/>
  <c r="R2499"/>
  <c r="S2499"/>
  <c r="AI2499" s="1"/>
  <c r="T2499"/>
  <c r="AJ2499" s="1"/>
  <c r="R2500"/>
  <c r="S2500"/>
  <c r="AI2500" s="1"/>
  <c r="T2500"/>
  <c r="AJ2500" s="1"/>
  <c r="R2501"/>
  <c r="S2501"/>
  <c r="AI2501" s="1"/>
  <c r="T2501"/>
  <c r="AJ2501" s="1"/>
  <c r="R2502"/>
  <c r="S2502"/>
  <c r="AI2502" s="1"/>
  <c r="T2502"/>
  <c r="AJ2502" s="1"/>
  <c r="R2503"/>
  <c r="S2503"/>
  <c r="AI2503" s="1"/>
  <c r="T2503"/>
  <c r="AJ2503" s="1"/>
  <c r="R2504"/>
  <c r="S2504"/>
  <c r="AI2504" s="1"/>
  <c r="T2504"/>
  <c r="AJ2504" s="1"/>
  <c r="R2505"/>
  <c r="S2505"/>
  <c r="AI2505" s="1"/>
  <c r="T2505"/>
  <c r="AJ2505" s="1"/>
  <c r="R2506"/>
  <c r="S2506"/>
  <c r="AI2506" s="1"/>
  <c r="T2506"/>
  <c r="AJ2506" s="1"/>
  <c r="R2507"/>
  <c r="S2507"/>
  <c r="AI2507" s="1"/>
  <c r="T2507"/>
  <c r="AJ2507" s="1"/>
  <c r="R2508"/>
  <c r="S2508"/>
  <c r="AI2508" s="1"/>
  <c r="T2508"/>
  <c r="AJ2508" s="1"/>
  <c r="R2509"/>
  <c r="S2509"/>
  <c r="AI2509" s="1"/>
  <c r="T2509"/>
  <c r="AJ2509" s="1"/>
  <c r="R2510"/>
  <c r="S2510"/>
  <c r="AI2510" s="1"/>
  <c r="T2510"/>
  <c r="AJ2510" s="1"/>
  <c r="R2511"/>
  <c r="S2511"/>
  <c r="AI2511" s="1"/>
  <c r="T2511"/>
  <c r="AJ2511" s="1"/>
  <c r="R2512"/>
  <c r="S2512"/>
  <c r="AI2512" s="1"/>
  <c r="T2512"/>
  <c r="AJ2512" s="1"/>
  <c r="R2513"/>
  <c r="S2513"/>
  <c r="AI2513" s="1"/>
  <c r="T2513"/>
  <c r="AJ2513" s="1"/>
  <c r="R2514"/>
  <c r="S2514"/>
  <c r="AI2514" s="1"/>
  <c r="T2514"/>
  <c r="AJ2514" s="1"/>
  <c r="R2515"/>
  <c r="S2515"/>
  <c r="AI2515" s="1"/>
  <c r="T2515"/>
  <c r="AJ2515" s="1"/>
  <c r="R2516"/>
  <c r="S2516"/>
  <c r="AI2516" s="1"/>
  <c r="T2516"/>
  <c r="AJ2516" s="1"/>
  <c r="R2517"/>
  <c r="S2517"/>
  <c r="AI2517" s="1"/>
  <c r="T2517"/>
  <c r="AJ2517" s="1"/>
  <c r="R2518"/>
  <c r="S2518"/>
  <c r="AI2518" s="1"/>
  <c r="T2518"/>
  <c r="AJ2518" s="1"/>
  <c r="R2519"/>
  <c r="S2519"/>
  <c r="AI2519" s="1"/>
  <c r="T2519"/>
  <c r="AJ2519" s="1"/>
  <c r="R2520"/>
  <c r="S2520"/>
  <c r="AI2520" s="1"/>
  <c r="T2520"/>
  <c r="AJ2520" s="1"/>
  <c r="R2521"/>
  <c r="S2521"/>
  <c r="AI2521" s="1"/>
  <c r="T2521"/>
  <c r="AJ2521" s="1"/>
  <c r="R2522"/>
  <c r="S2522"/>
  <c r="AI2522" s="1"/>
  <c r="T2522"/>
  <c r="AJ2522" s="1"/>
  <c r="R2523"/>
  <c r="S2523"/>
  <c r="AI2523" s="1"/>
  <c r="T2523"/>
  <c r="AJ2523" s="1"/>
  <c r="R2524"/>
  <c r="S2524"/>
  <c r="AI2524" s="1"/>
  <c r="T2524"/>
  <c r="AJ2524" s="1"/>
  <c r="R2525"/>
  <c r="S2525"/>
  <c r="AI2525" s="1"/>
  <c r="T2525"/>
  <c r="AJ2525" s="1"/>
  <c r="R2526"/>
  <c r="S2526"/>
  <c r="AI2526" s="1"/>
  <c r="T2526"/>
  <c r="AJ2526" s="1"/>
  <c r="R2527"/>
  <c r="S2527"/>
  <c r="AI2527" s="1"/>
  <c r="T2527"/>
  <c r="AJ2527" s="1"/>
  <c r="R2528"/>
  <c r="S2528"/>
  <c r="AI2528" s="1"/>
  <c r="T2528"/>
  <c r="AJ2528" s="1"/>
  <c r="R2529"/>
  <c r="S2529"/>
  <c r="AI2529" s="1"/>
  <c r="T2529"/>
  <c r="AJ2529" s="1"/>
  <c r="R2530"/>
  <c r="S2530"/>
  <c r="AI2530" s="1"/>
  <c r="T2530"/>
  <c r="AJ2530" s="1"/>
  <c r="R2531"/>
  <c r="S2531"/>
  <c r="AI2531" s="1"/>
  <c r="T2531"/>
  <c r="AJ2531" s="1"/>
  <c r="R2532"/>
  <c r="S2532"/>
  <c r="AI2532" s="1"/>
  <c r="T2532"/>
  <c r="AJ2532" s="1"/>
  <c r="R2533"/>
  <c r="S2533"/>
  <c r="AI2533" s="1"/>
  <c r="T2533"/>
  <c r="AJ2533" s="1"/>
  <c r="R2534"/>
  <c r="S2534"/>
  <c r="AI2534" s="1"/>
  <c r="T2534"/>
  <c r="AJ2534" s="1"/>
  <c r="R2535"/>
  <c r="S2535"/>
  <c r="AI2535" s="1"/>
  <c r="T2535"/>
  <c r="AJ2535" s="1"/>
  <c r="R2536"/>
  <c r="S2536"/>
  <c r="AI2536" s="1"/>
  <c r="T2536"/>
  <c r="AJ2536" s="1"/>
  <c r="R2537"/>
  <c r="S2537"/>
  <c r="AI2537" s="1"/>
  <c r="T2537"/>
  <c r="AJ2537" s="1"/>
  <c r="R2538"/>
  <c r="S2538"/>
  <c r="AI2538" s="1"/>
  <c r="T2538"/>
  <c r="AJ2538" s="1"/>
  <c r="R2539"/>
  <c r="S2539"/>
  <c r="AI2539" s="1"/>
  <c r="T2539"/>
  <c r="AJ2539" s="1"/>
  <c r="R2540"/>
  <c r="S2540"/>
  <c r="AI2540" s="1"/>
  <c r="T2540"/>
  <c r="AJ2540" s="1"/>
  <c r="R2541"/>
  <c r="S2541"/>
  <c r="AI2541" s="1"/>
  <c r="T2541"/>
  <c r="AJ2541" s="1"/>
  <c r="R2542"/>
  <c r="S2542"/>
  <c r="AI2542" s="1"/>
  <c r="T2542"/>
  <c r="AJ2542" s="1"/>
  <c r="R2543"/>
  <c r="S2543"/>
  <c r="AI2543" s="1"/>
  <c r="T2543"/>
  <c r="AJ2543" s="1"/>
  <c r="R2544"/>
  <c r="S2544"/>
  <c r="AI2544" s="1"/>
  <c r="T2544"/>
  <c r="AJ2544" s="1"/>
  <c r="R2545"/>
  <c r="S2545"/>
  <c r="AI2545" s="1"/>
  <c r="T2545"/>
  <c r="AJ2545" s="1"/>
  <c r="R2546"/>
  <c r="S2546"/>
  <c r="AI2546" s="1"/>
  <c r="T2546"/>
  <c r="AJ2546" s="1"/>
  <c r="R2547"/>
  <c r="S2547"/>
  <c r="AI2547" s="1"/>
  <c r="T2547"/>
  <c r="AJ2547" s="1"/>
  <c r="R2548"/>
  <c r="S2548"/>
  <c r="AI2548" s="1"/>
  <c r="T2548"/>
  <c r="AJ2548" s="1"/>
  <c r="R2549"/>
  <c r="S2549"/>
  <c r="AI2549" s="1"/>
  <c r="T2549"/>
  <c r="AJ2549" s="1"/>
  <c r="R2550"/>
  <c r="S2550"/>
  <c r="AI2550" s="1"/>
  <c r="T2550"/>
  <c r="AJ2550" s="1"/>
  <c r="R2551"/>
  <c r="S2551"/>
  <c r="AI2551" s="1"/>
  <c r="T2551"/>
  <c r="AJ2551" s="1"/>
  <c r="R2552"/>
  <c r="S2552"/>
  <c r="AI2552" s="1"/>
  <c r="T2552"/>
  <c r="AJ2552" s="1"/>
  <c r="R2553"/>
  <c r="S2553"/>
  <c r="AI2553" s="1"/>
  <c r="T2553"/>
  <c r="AJ2553" s="1"/>
  <c r="R2554"/>
  <c r="S2554"/>
  <c r="AI2554" s="1"/>
  <c r="T2554"/>
  <c r="AJ2554" s="1"/>
  <c r="R2555"/>
  <c r="S2555"/>
  <c r="AI2555" s="1"/>
  <c r="T2555"/>
  <c r="AJ2555" s="1"/>
  <c r="R2556"/>
  <c r="S2556"/>
  <c r="AI2556" s="1"/>
  <c r="T2556"/>
  <c r="AJ2556" s="1"/>
  <c r="R2557"/>
  <c r="S2557"/>
  <c r="AI2557" s="1"/>
  <c r="T2557"/>
  <c r="AJ2557" s="1"/>
  <c r="R2558"/>
  <c r="S2558"/>
  <c r="AI2558" s="1"/>
  <c r="T2558"/>
  <c r="AJ2558" s="1"/>
  <c r="R2559"/>
  <c r="S2559"/>
  <c r="AI2559" s="1"/>
  <c r="T2559"/>
  <c r="AJ2559" s="1"/>
  <c r="R2560"/>
  <c r="S2560"/>
  <c r="AI2560" s="1"/>
  <c r="T2560"/>
  <c r="AJ2560" s="1"/>
  <c r="R2561"/>
  <c r="S2561"/>
  <c r="AI2561" s="1"/>
  <c r="T2561"/>
  <c r="AJ2561" s="1"/>
  <c r="R2562"/>
  <c r="S2562"/>
  <c r="AI2562" s="1"/>
  <c r="T2562"/>
  <c r="AJ2562" s="1"/>
  <c r="R2563"/>
  <c r="S2563"/>
  <c r="AI2563" s="1"/>
  <c r="T2563"/>
  <c r="AJ2563" s="1"/>
  <c r="R2564"/>
  <c r="S2564"/>
  <c r="AI2564" s="1"/>
  <c r="T2564"/>
  <c r="AJ2564" s="1"/>
  <c r="R2565"/>
  <c r="S2565"/>
  <c r="AI2565" s="1"/>
  <c r="T2565"/>
  <c r="AJ2565" s="1"/>
  <c r="R2566"/>
  <c r="S2566"/>
  <c r="AI2566" s="1"/>
  <c r="T2566"/>
  <c r="AJ2566" s="1"/>
  <c r="R2567"/>
  <c r="S2567"/>
  <c r="AI2567" s="1"/>
  <c r="T2567"/>
  <c r="AJ2567" s="1"/>
  <c r="R2568"/>
  <c r="S2568"/>
  <c r="AI2568" s="1"/>
  <c r="T2568"/>
  <c r="AJ2568" s="1"/>
  <c r="R2569"/>
  <c r="S2569"/>
  <c r="AI2569" s="1"/>
  <c r="T2569"/>
  <c r="AJ2569" s="1"/>
  <c r="R2570"/>
  <c r="S2570"/>
  <c r="AI2570" s="1"/>
  <c r="T2570"/>
  <c r="AJ2570" s="1"/>
  <c r="R2571"/>
  <c r="S2571"/>
  <c r="AI2571" s="1"/>
  <c r="T2571"/>
  <c r="AJ2571" s="1"/>
  <c r="R2572"/>
  <c r="S2572"/>
  <c r="AI2572" s="1"/>
  <c r="T2572"/>
  <c r="AJ2572" s="1"/>
  <c r="R2573"/>
  <c r="S2573"/>
  <c r="AI2573" s="1"/>
  <c r="T2573"/>
  <c r="AJ2573" s="1"/>
  <c r="R2574"/>
  <c r="S2574"/>
  <c r="AI2574" s="1"/>
  <c r="T2574"/>
  <c r="AJ2574" s="1"/>
  <c r="R2575"/>
  <c r="S2575"/>
  <c r="AI2575" s="1"/>
  <c r="T2575"/>
  <c r="AJ2575" s="1"/>
  <c r="R2576"/>
  <c r="S2576"/>
  <c r="AI2576" s="1"/>
  <c r="T2576"/>
  <c r="AJ2576" s="1"/>
  <c r="R2577"/>
  <c r="S2577"/>
  <c r="AI2577" s="1"/>
  <c r="T2577"/>
  <c r="AJ2577" s="1"/>
  <c r="R2578"/>
  <c r="S2578"/>
  <c r="AI2578" s="1"/>
  <c r="T2578"/>
  <c r="AJ2578" s="1"/>
  <c r="R2579"/>
  <c r="S2579"/>
  <c r="AI2579" s="1"/>
  <c r="T2579"/>
  <c r="AJ2579" s="1"/>
  <c r="R2580"/>
  <c r="S2580"/>
  <c r="AI2580" s="1"/>
  <c r="T2580"/>
  <c r="AJ2580" s="1"/>
  <c r="R2581"/>
  <c r="S2581"/>
  <c r="AI2581" s="1"/>
  <c r="T2581"/>
  <c r="AJ2581" s="1"/>
  <c r="R2582"/>
  <c r="S2582"/>
  <c r="AI2582" s="1"/>
  <c r="T2582"/>
  <c r="AJ2582" s="1"/>
  <c r="R2583"/>
  <c r="S2583"/>
  <c r="AI2583" s="1"/>
  <c r="T2583"/>
  <c r="AJ2583" s="1"/>
  <c r="R2584"/>
  <c r="S2584"/>
  <c r="AI2584" s="1"/>
  <c r="T2584"/>
  <c r="AJ2584" s="1"/>
  <c r="R2585"/>
  <c r="S2585"/>
  <c r="AI2585" s="1"/>
  <c r="T2585"/>
  <c r="AJ2585" s="1"/>
  <c r="R2586"/>
  <c r="S2586"/>
  <c r="AI2586" s="1"/>
  <c r="T2586"/>
  <c r="AJ2586" s="1"/>
  <c r="R2587"/>
  <c r="S2587"/>
  <c r="AI2587" s="1"/>
  <c r="T2587"/>
  <c r="AJ2587" s="1"/>
  <c r="R2588"/>
  <c r="S2588"/>
  <c r="AI2588" s="1"/>
  <c r="T2588"/>
  <c r="AJ2588" s="1"/>
  <c r="R2589"/>
  <c r="S2589"/>
  <c r="AI2589" s="1"/>
  <c r="T2589"/>
  <c r="AJ2589" s="1"/>
  <c r="R2590"/>
  <c r="S2590"/>
  <c r="AI2590" s="1"/>
  <c r="T2590"/>
  <c r="AJ2590" s="1"/>
  <c r="R2591"/>
  <c r="S2591"/>
  <c r="AI2591" s="1"/>
  <c r="T2591"/>
  <c r="AJ2591" s="1"/>
  <c r="R2592"/>
  <c r="S2592"/>
  <c r="AI2592" s="1"/>
  <c r="T2592"/>
  <c r="AJ2592" s="1"/>
  <c r="R2593"/>
  <c r="S2593"/>
  <c r="AI2593" s="1"/>
  <c r="T2593"/>
  <c r="AJ2593" s="1"/>
  <c r="R2594"/>
  <c r="S2594"/>
  <c r="AI2594" s="1"/>
  <c r="T2594"/>
  <c r="AJ2594" s="1"/>
  <c r="R2595"/>
  <c r="S2595"/>
  <c r="AI2595" s="1"/>
  <c r="T2595"/>
  <c r="AJ2595" s="1"/>
  <c r="R2596"/>
  <c r="S2596"/>
  <c r="AI2596" s="1"/>
  <c r="T2596"/>
  <c r="AJ2596" s="1"/>
  <c r="R2597"/>
  <c r="S2597"/>
  <c r="AI2597" s="1"/>
  <c r="T2597"/>
  <c r="AJ2597" s="1"/>
  <c r="R2598"/>
  <c r="S2598"/>
  <c r="AI2598" s="1"/>
  <c r="T2598"/>
  <c r="AJ2598" s="1"/>
  <c r="R2599"/>
  <c r="S2599"/>
  <c r="AI2599" s="1"/>
  <c r="T2599"/>
  <c r="AJ2599" s="1"/>
  <c r="R2600"/>
  <c r="S2600"/>
  <c r="AI2600" s="1"/>
  <c r="T2600"/>
  <c r="AJ2600" s="1"/>
  <c r="R2601"/>
  <c r="S2601"/>
  <c r="AI2601" s="1"/>
  <c r="T2601"/>
  <c r="AJ2601" s="1"/>
  <c r="R2602"/>
  <c r="S2602"/>
  <c r="AI2602" s="1"/>
  <c r="T2602"/>
  <c r="AJ2602" s="1"/>
  <c r="R2603"/>
  <c r="S2603"/>
  <c r="AI2603" s="1"/>
  <c r="T2603"/>
  <c r="AJ2603" s="1"/>
  <c r="R2604"/>
  <c r="S2604"/>
  <c r="AI2604" s="1"/>
  <c r="T2604"/>
  <c r="AJ2604" s="1"/>
  <c r="R2605"/>
  <c r="S2605"/>
  <c r="AI2605" s="1"/>
  <c r="T2605"/>
  <c r="AJ2605" s="1"/>
  <c r="R2606"/>
  <c r="S2606"/>
  <c r="AI2606" s="1"/>
  <c r="T2606"/>
  <c r="AJ2606" s="1"/>
  <c r="R2607"/>
  <c r="S2607"/>
  <c r="AI2607" s="1"/>
  <c r="T2607"/>
  <c r="AJ2607" s="1"/>
  <c r="R2608"/>
  <c r="S2608"/>
  <c r="AI2608" s="1"/>
  <c r="T2608"/>
  <c r="AJ2608" s="1"/>
  <c r="R2609"/>
  <c r="S2609"/>
  <c r="AI2609" s="1"/>
  <c r="T2609"/>
  <c r="AJ2609" s="1"/>
  <c r="R2610"/>
  <c r="S2610"/>
  <c r="AI2610" s="1"/>
  <c r="T2610"/>
  <c r="AJ2610" s="1"/>
  <c r="R2611"/>
  <c r="S2611"/>
  <c r="AI2611" s="1"/>
  <c r="T2611"/>
  <c r="AJ2611" s="1"/>
  <c r="R2612"/>
  <c r="S2612"/>
  <c r="AI2612" s="1"/>
  <c r="T2612"/>
  <c r="AJ2612" s="1"/>
  <c r="R2613"/>
  <c r="S2613"/>
  <c r="AI2613" s="1"/>
  <c r="T2613"/>
  <c r="AJ2613" s="1"/>
  <c r="R2614"/>
  <c r="S2614"/>
  <c r="AI2614" s="1"/>
  <c r="T2614"/>
  <c r="AJ2614" s="1"/>
  <c r="R2615"/>
  <c r="S2615"/>
  <c r="AI2615" s="1"/>
  <c r="T2615"/>
  <c r="AJ2615" s="1"/>
  <c r="R2616"/>
  <c r="S2616"/>
  <c r="AI2616" s="1"/>
  <c r="T2616"/>
  <c r="AJ2616" s="1"/>
  <c r="R2617"/>
  <c r="S2617"/>
  <c r="AI2617" s="1"/>
  <c r="T2617"/>
  <c r="AJ2617" s="1"/>
  <c r="R2618"/>
  <c r="S2618"/>
  <c r="AI2618" s="1"/>
  <c r="T2618"/>
  <c r="AJ2618" s="1"/>
  <c r="R2619"/>
  <c r="S2619"/>
  <c r="AI2619" s="1"/>
  <c r="T2619"/>
  <c r="AJ2619" s="1"/>
  <c r="R2620"/>
  <c r="S2620"/>
  <c r="AI2620" s="1"/>
  <c r="T2620"/>
  <c r="AJ2620" s="1"/>
  <c r="R2621"/>
  <c r="S2621"/>
  <c r="AI2621" s="1"/>
  <c r="T2621"/>
  <c r="AJ2621" s="1"/>
  <c r="R2622"/>
  <c r="S2622"/>
  <c r="AI2622" s="1"/>
  <c r="T2622"/>
  <c r="AJ2622" s="1"/>
  <c r="R2623"/>
  <c r="S2623"/>
  <c r="AI2623" s="1"/>
  <c r="T2623"/>
  <c r="AJ2623" s="1"/>
  <c r="R2624"/>
  <c r="S2624"/>
  <c r="AI2624" s="1"/>
  <c r="T2624"/>
  <c r="AJ2624" s="1"/>
  <c r="R2625"/>
  <c r="S2625"/>
  <c r="AI2625" s="1"/>
  <c r="T2625"/>
  <c r="AJ2625" s="1"/>
  <c r="R2626"/>
  <c r="S2626"/>
  <c r="AI2626" s="1"/>
  <c r="T2626"/>
  <c r="AJ2626" s="1"/>
  <c r="R2627"/>
  <c r="S2627"/>
  <c r="AI2627" s="1"/>
  <c r="T2627"/>
  <c r="AJ2627" s="1"/>
  <c r="R2628"/>
  <c r="S2628"/>
  <c r="AI2628" s="1"/>
  <c r="T2628"/>
  <c r="AJ2628" s="1"/>
  <c r="R2629"/>
  <c r="S2629"/>
  <c r="AI2629" s="1"/>
  <c r="T2629"/>
  <c r="AJ2629" s="1"/>
  <c r="R2630"/>
  <c r="S2630"/>
  <c r="AI2630" s="1"/>
  <c r="T2630"/>
  <c r="AJ2630" s="1"/>
  <c r="R2631"/>
  <c r="S2631"/>
  <c r="AI2631" s="1"/>
  <c r="T2631"/>
  <c r="AJ2631" s="1"/>
  <c r="R2632"/>
  <c r="S2632"/>
  <c r="AI2632" s="1"/>
  <c r="T2632"/>
  <c r="AJ2632" s="1"/>
  <c r="R2633"/>
  <c r="S2633"/>
  <c r="AI2633" s="1"/>
  <c r="T2633"/>
  <c r="AJ2633" s="1"/>
  <c r="R2634"/>
  <c r="S2634"/>
  <c r="AI2634" s="1"/>
  <c r="T2634"/>
  <c r="AJ2634" s="1"/>
  <c r="R2635"/>
  <c r="S2635"/>
  <c r="AI2635" s="1"/>
  <c r="T2635"/>
  <c r="AJ2635" s="1"/>
  <c r="R2636"/>
  <c r="S2636"/>
  <c r="AI2636" s="1"/>
  <c r="T2636"/>
  <c r="AJ2636" s="1"/>
  <c r="R2637"/>
  <c r="S2637"/>
  <c r="AI2637" s="1"/>
  <c r="T2637"/>
  <c r="AJ2637" s="1"/>
  <c r="R2638"/>
  <c r="S2638"/>
  <c r="AI2638" s="1"/>
  <c r="T2638"/>
  <c r="AJ2638" s="1"/>
  <c r="R2639"/>
  <c r="S2639"/>
  <c r="AI2639" s="1"/>
  <c r="T2639"/>
  <c r="AJ2639" s="1"/>
  <c r="R2640"/>
  <c r="S2640"/>
  <c r="AI2640" s="1"/>
  <c r="T2640"/>
  <c r="AJ2640" s="1"/>
  <c r="R2641"/>
  <c r="S2641"/>
  <c r="AI2641" s="1"/>
  <c r="T2641"/>
  <c r="AJ2641" s="1"/>
  <c r="R2642"/>
  <c r="S2642"/>
  <c r="AI2642" s="1"/>
  <c r="T2642"/>
  <c r="AJ2642" s="1"/>
  <c r="R2643"/>
  <c r="S2643"/>
  <c r="AI2643" s="1"/>
  <c r="T2643"/>
  <c r="AJ2643" s="1"/>
  <c r="R2644"/>
  <c r="S2644"/>
  <c r="AI2644" s="1"/>
  <c r="T2644"/>
  <c r="AJ2644" s="1"/>
  <c r="R2645"/>
  <c r="S2645"/>
  <c r="AI2645" s="1"/>
  <c r="T2645"/>
  <c r="AJ2645" s="1"/>
  <c r="R2646"/>
  <c r="S2646"/>
  <c r="AI2646" s="1"/>
  <c r="T2646"/>
  <c r="AJ2646" s="1"/>
  <c r="R2647"/>
  <c r="S2647"/>
  <c r="AI2647" s="1"/>
  <c r="T2647"/>
  <c r="AJ2647" s="1"/>
  <c r="R2648"/>
  <c r="S2648"/>
  <c r="AI2648" s="1"/>
  <c r="T2648"/>
  <c r="AJ2648" s="1"/>
  <c r="R2649"/>
  <c r="S2649"/>
  <c r="AI2649" s="1"/>
  <c r="T2649"/>
  <c r="AJ2649" s="1"/>
  <c r="R2650"/>
  <c r="S2650"/>
  <c r="AI2650" s="1"/>
  <c r="T2650"/>
  <c r="AJ2650" s="1"/>
  <c r="R2651"/>
  <c r="S2651"/>
  <c r="AI2651" s="1"/>
  <c r="T2651"/>
  <c r="AJ2651" s="1"/>
  <c r="R2652"/>
  <c r="S2652"/>
  <c r="AI2652" s="1"/>
  <c r="T2652"/>
  <c r="AJ2652" s="1"/>
  <c r="R2653"/>
  <c r="S2653"/>
  <c r="AI2653" s="1"/>
  <c r="T2653"/>
  <c r="AJ2653" s="1"/>
  <c r="R2654"/>
  <c r="S2654"/>
  <c r="AI2654" s="1"/>
  <c r="T2654"/>
  <c r="AJ2654" s="1"/>
  <c r="R2655"/>
  <c r="S2655"/>
  <c r="AI2655" s="1"/>
  <c r="T2655"/>
  <c r="AJ2655" s="1"/>
  <c r="R2656"/>
  <c r="S2656"/>
  <c r="AI2656" s="1"/>
  <c r="T2656"/>
  <c r="AJ2656" s="1"/>
  <c r="R2657"/>
  <c r="S2657"/>
  <c r="AI2657" s="1"/>
  <c r="T2657"/>
  <c r="AJ2657" s="1"/>
  <c r="R2658"/>
  <c r="S2658"/>
  <c r="AI2658" s="1"/>
  <c r="T2658"/>
  <c r="AJ2658" s="1"/>
  <c r="R2659"/>
  <c r="S2659"/>
  <c r="AI2659" s="1"/>
  <c r="T2659"/>
  <c r="AJ2659" s="1"/>
  <c r="R2660"/>
  <c r="S2660"/>
  <c r="AI2660" s="1"/>
  <c r="T2660"/>
  <c r="AJ2660" s="1"/>
  <c r="R2661"/>
  <c r="S2661"/>
  <c r="AI2661" s="1"/>
  <c r="T2661"/>
  <c r="AJ2661" s="1"/>
  <c r="R2662"/>
  <c r="S2662"/>
  <c r="AI2662" s="1"/>
  <c r="T2662"/>
  <c r="AJ2662" s="1"/>
  <c r="R2663"/>
  <c r="S2663"/>
  <c r="AI2663" s="1"/>
  <c r="T2663"/>
  <c r="AJ2663" s="1"/>
  <c r="R2664"/>
  <c r="S2664"/>
  <c r="AI2664" s="1"/>
  <c r="T2664"/>
  <c r="AJ2664" s="1"/>
  <c r="R2665"/>
  <c r="S2665"/>
  <c r="AI2665" s="1"/>
  <c r="T2665"/>
  <c r="AJ2665" s="1"/>
  <c r="R2666"/>
  <c r="S2666"/>
  <c r="AI2666" s="1"/>
  <c r="T2666"/>
  <c r="AJ2666" s="1"/>
  <c r="R2667"/>
  <c r="S2667"/>
  <c r="AI2667" s="1"/>
  <c r="T2667"/>
  <c r="AJ2667" s="1"/>
  <c r="R2668"/>
  <c r="S2668"/>
  <c r="AI2668" s="1"/>
  <c r="T2668"/>
  <c r="AJ2668" s="1"/>
  <c r="R2669"/>
  <c r="S2669"/>
  <c r="AI2669" s="1"/>
  <c r="T2669"/>
  <c r="AJ2669" s="1"/>
  <c r="R2670"/>
  <c r="S2670"/>
  <c r="AI2670" s="1"/>
  <c r="T2670"/>
  <c r="AJ2670" s="1"/>
  <c r="R2671"/>
  <c r="S2671"/>
  <c r="AI2671" s="1"/>
  <c r="T2671"/>
  <c r="AJ2671" s="1"/>
  <c r="R2672"/>
  <c r="S2672"/>
  <c r="AI2672" s="1"/>
  <c r="T2672"/>
  <c r="AJ2672" s="1"/>
  <c r="R2673"/>
  <c r="S2673"/>
  <c r="AI2673" s="1"/>
  <c r="T2673"/>
  <c r="AJ2673" s="1"/>
  <c r="R2674"/>
  <c r="S2674"/>
  <c r="AI2674" s="1"/>
  <c r="T2674"/>
  <c r="AJ2674" s="1"/>
  <c r="R2675"/>
  <c r="S2675"/>
  <c r="AI2675" s="1"/>
  <c r="T2675"/>
  <c r="AJ2675" s="1"/>
  <c r="R2676"/>
  <c r="S2676"/>
  <c r="AI2676" s="1"/>
  <c r="T2676"/>
  <c r="AJ2676" s="1"/>
  <c r="R2677"/>
  <c r="S2677"/>
  <c r="AI2677" s="1"/>
  <c r="T2677"/>
  <c r="AJ2677" s="1"/>
  <c r="R2678"/>
  <c r="S2678"/>
  <c r="AI2678" s="1"/>
  <c r="T2678"/>
  <c r="AJ2678" s="1"/>
  <c r="R2679"/>
  <c r="S2679"/>
  <c r="AI2679" s="1"/>
  <c r="T2679"/>
  <c r="AJ2679" s="1"/>
  <c r="R2680"/>
  <c r="S2680"/>
  <c r="AI2680" s="1"/>
  <c r="T2680"/>
  <c r="AJ2680" s="1"/>
  <c r="R2681"/>
  <c r="S2681"/>
  <c r="AI2681" s="1"/>
  <c r="T2681"/>
  <c r="AJ2681" s="1"/>
  <c r="R2682"/>
  <c r="S2682"/>
  <c r="AI2682" s="1"/>
  <c r="T2682"/>
  <c r="AJ2682" s="1"/>
  <c r="R2683"/>
  <c r="S2683"/>
  <c r="AI2683" s="1"/>
  <c r="T2683"/>
  <c r="AJ2683" s="1"/>
  <c r="R2684"/>
  <c r="S2684"/>
  <c r="AI2684" s="1"/>
  <c r="T2684"/>
  <c r="AJ2684" s="1"/>
  <c r="R2685"/>
  <c r="S2685"/>
  <c r="AI2685" s="1"/>
  <c r="T2685"/>
  <c r="AJ2685" s="1"/>
  <c r="R2686"/>
  <c r="S2686"/>
  <c r="AI2686" s="1"/>
  <c r="T2686"/>
  <c r="AJ2686" s="1"/>
  <c r="R2687"/>
  <c r="S2687"/>
  <c r="AI2687" s="1"/>
  <c r="T2687"/>
  <c r="AJ2687" s="1"/>
  <c r="R2688"/>
  <c r="S2688"/>
  <c r="AI2688" s="1"/>
  <c r="T2688"/>
  <c r="AJ2688" s="1"/>
  <c r="R2689"/>
  <c r="S2689"/>
  <c r="AI2689" s="1"/>
  <c r="T2689"/>
  <c r="AJ2689" s="1"/>
  <c r="R2690"/>
  <c r="S2690"/>
  <c r="AI2690" s="1"/>
  <c r="T2690"/>
  <c r="AJ2690" s="1"/>
  <c r="R2691"/>
  <c r="S2691"/>
  <c r="AI2691" s="1"/>
  <c r="T2691"/>
  <c r="AJ2691" s="1"/>
  <c r="R2692"/>
  <c r="S2692"/>
  <c r="AI2692" s="1"/>
  <c r="T2692"/>
  <c r="AJ2692" s="1"/>
  <c r="R2693"/>
  <c r="S2693"/>
  <c r="AI2693" s="1"/>
  <c r="T2693"/>
  <c r="AJ2693" s="1"/>
  <c r="R2694"/>
  <c r="S2694"/>
  <c r="AI2694" s="1"/>
  <c r="T2694"/>
  <c r="AJ2694" s="1"/>
  <c r="R2695"/>
  <c r="S2695"/>
  <c r="AI2695" s="1"/>
  <c r="T2695"/>
  <c r="AJ2695" s="1"/>
  <c r="R2696"/>
  <c r="S2696"/>
  <c r="AI2696" s="1"/>
  <c r="T2696"/>
  <c r="AJ2696" s="1"/>
  <c r="R2697"/>
  <c r="S2697"/>
  <c r="AI2697" s="1"/>
  <c r="T2697"/>
  <c r="AJ2697" s="1"/>
  <c r="R2698"/>
  <c r="S2698"/>
  <c r="AI2698" s="1"/>
  <c r="T2698"/>
  <c r="AJ2698" s="1"/>
  <c r="R2699"/>
  <c r="S2699"/>
  <c r="AI2699" s="1"/>
  <c r="T2699"/>
  <c r="AJ2699" s="1"/>
  <c r="R2700"/>
  <c r="S2700"/>
  <c r="AI2700" s="1"/>
  <c r="T2700"/>
  <c r="AJ2700" s="1"/>
  <c r="R2701"/>
  <c r="S2701"/>
  <c r="AI2701" s="1"/>
  <c r="T2701"/>
  <c r="AJ2701" s="1"/>
  <c r="R2702"/>
  <c r="S2702"/>
  <c r="AI2702" s="1"/>
  <c r="T2702"/>
  <c r="AJ2702" s="1"/>
  <c r="R2703"/>
  <c r="S2703"/>
  <c r="AI2703" s="1"/>
  <c r="T2703"/>
  <c r="AJ2703" s="1"/>
  <c r="R2704"/>
  <c r="S2704"/>
  <c r="AI2704" s="1"/>
  <c r="T2704"/>
  <c r="AJ2704" s="1"/>
  <c r="R2705"/>
  <c r="S2705"/>
  <c r="AI2705" s="1"/>
  <c r="T2705"/>
  <c r="AJ2705" s="1"/>
  <c r="R2706"/>
  <c r="S2706"/>
  <c r="AI2706" s="1"/>
  <c r="T2706"/>
  <c r="AJ2706" s="1"/>
  <c r="R2707"/>
  <c r="S2707"/>
  <c r="AI2707" s="1"/>
  <c r="T2707"/>
  <c r="AJ2707" s="1"/>
  <c r="R2708"/>
  <c r="S2708"/>
  <c r="AI2708" s="1"/>
  <c r="T2708"/>
  <c r="AJ2708" s="1"/>
  <c r="R2709"/>
  <c r="S2709"/>
  <c r="AI2709" s="1"/>
  <c r="T2709"/>
  <c r="AJ2709" s="1"/>
  <c r="R2710"/>
  <c r="S2710"/>
  <c r="AI2710" s="1"/>
  <c r="T2710"/>
  <c r="AJ2710" s="1"/>
  <c r="R2711"/>
  <c r="S2711"/>
  <c r="AI2711" s="1"/>
  <c r="T2711"/>
  <c r="AJ2711" s="1"/>
  <c r="R2712"/>
  <c r="S2712"/>
  <c r="AI2712" s="1"/>
  <c r="T2712"/>
  <c r="AJ2712" s="1"/>
  <c r="R2713"/>
  <c r="S2713"/>
  <c r="AI2713" s="1"/>
  <c r="T2713"/>
  <c r="AJ2713" s="1"/>
  <c r="R2714"/>
  <c r="S2714"/>
  <c r="AI2714" s="1"/>
  <c r="T2714"/>
  <c r="AJ2714" s="1"/>
  <c r="R2715"/>
  <c r="S2715"/>
  <c r="AI2715" s="1"/>
  <c r="T2715"/>
  <c r="AJ2715" s="1"/>
  <c r="R2716"/>
  <c r="S2716"/>
  <c r="AI2716" s="1"/>
  <c r="T2716"/>
  <c r="AJ2716" s="1"/>
  <c r="R2717"/>
  <c r="S2717"/>
  <c r="AI2717" s="1"/>
  <c r="T2717"/>
  <c r="AJ2717" s="1"/>
  <c r="R2718"/>
  <c r="S2718"/>
  <c r="AI2718" s="1"/>
  <c r="T2718"/>
  <c r="AJ2718" s="1"/>
  <c r="R2719"/>
  <c r="S2719"/>
  <c r="AI2719" s="1"/>
  <c r="T2719"/>
  <c r="AJ2719" s="1"/>
  <c r="R2720"/>
  <c r="S2720"/>
  <c r="AI2720" s="1"/>
  <c r="T2720"/>
  <c r="AJ2720" s="1"/>
  <c r="R2721"/>
  <c r="S2721"/>
  <c r="AI2721" s="1"/>
  <c r="T2721"/>
  <c r="AJ2721" s="1"/>
  <c r="R2722"/>
  <c r="S2722"/>
  <c r="AI2722" s="1"/>
  <c r="T2722"/>
  <c r="AJ2722" s="1"/>
  <c r="R2723"/>
  <c r="S2723"/>
  <c r="AI2723" s="1"/>
  <c r="T2723"/>
  <c r="AJ2723" s="1"/>
  <c r="R2724"/>
  <c r="S2724"/>
  <c r="AI2724" s="1"/>
  <c r="T2724"/>
  <c r="AJ2724" s="1"/>
  <c r="R2725"/>
  <c r="S2725"/>
  <c r="AI2725" s="1"/>
  <c r="T2725"/>
  <c r="AJ2725" s="1"/>
  <c r="R2726"/>
  <c r="S2726"/>
  <c r="AI2726" s="1"/>
  <c r="T2726"/>
  <c r="AJ2726" s="1"/>
  <c r="R2727"/>
  <c r="S2727"/>
  <c r="AI2727" s="1"/>
  <c r="T2727"/>
  <c r="AJ2727" s="1"/>
  <c r="R2728"/>
  <c r="S2728"/>
  <c r="AI2728" s="1"/>
  <c r="T2728"/>
  <c r="AJ2728" s="1"/>
  <c r="R2729"/>
  <c r="S2729"/>
  <c r="AI2729" s="1"/>
  <c r="T2729"/>
  <c r="AJ2729" s="1"/>
  <c r="R2730"/>
  <c r="S2730"/>
  <c r="AI2730" s="1"/>
  <c r="T2730"/>
  <c r="AJ2730" s="1"/>
  <c r="R2731"/>
  <c r="S2731"/>
  <c r="AI2731" s="1"/>
  <c r="T2731"/>
  <c r="AJ2731" s="1"/>
  <c r="R2732"/>
  <c r="S2732"/>
  <c r="AI2732" s="1"/>
  <c r="T2732"/>
  <c r="AJ2732" s="1"/>
  <c r="R2733"/>
  <c r="S2733"/>
  <c r="AI2733" s="1"/>
  <c r="T2733"/>
  <c r="AJ2733" s="1"/>
  <c r="R2734"/>
  <c r="S2734"/>
  <c r="AI2734" s="1"/>
  <c r="T2734"/>
  <c r="AJ2734" s="1"/>
  <c r="R2735"/>
  <c r="S2735"/>
  <c r="AI2735" s="1"/>
  <c r="T2735"/>
  <c r="AJ2735" s="1"/>
  <c r="R2736"/>
  <c r="S2736"/>
  <c r="AI2736" s="1"/>
  <c r="T2736"/>
  <c r="AJ2736" s="1"/>
  <c r="R2737"/>
  <c r="S2737"/>
  <c r="AI2737" s="1"/>
  <c r="T2737"/>
  <c r="AJ2737" s="1"/>
  <c r="R2738"/>
  <c r="S2738"/>
  <c r="AI2738" s="1"/>
  <c r="T2738"/>
  <c r="AJ2738" s="1"/>
  <c r="R2740"/>
  <c r="S2740"/>
  <c r="AI2740" s="1"/>
  <c r="T2740"/>
  <c r="AJ2740" s="1"/>
  <c r="R2742"/>
  <c r="S2742"/>
  <c r="AI2742" s="1"/>
  <c r="T2742"/>
  <c r="AJ2742" s="1"/>
  <c r="R2743"/>
  <c r="S2743"/>
  <c r="AI2743" s="1"/>
  <c r="T2743"/>
  <c r="AJ2743" s="1"/>
  <c r="R2744"/>
  <c r="S2744"/>
  <c r="AI2744" s="1"/>
  <c r="T2744"/>
  <c r="AJ2744" s="1"/>
  <c r="R2745"/>
  <c r="S2745"/>
  <c r="AI2745" s="1"/>
  <c r="T2745"/>
  <c r="AJ2745" s="1"/>
  <c r="R2746"/>
  <c r="S2746"/>
  <c r="AI2746" s="1"/>
  <c r="T2746"/>
  <c r="AJ2746" s="1"/>
  <c r="R2747"/>
  <c r="S2747"/>
  <c r="AI2747" s="1"/>
  <c r="T2747"/>
  <c r="AJ2747" s="1"/>
  <c r="R2748"/>
  <c r="S2748"/>
  <c r="AI2748" s="1"/>
  <c r="T2748"/>
  <c r="AJ2748" s="1"/>
  <c r="R2749"/>
  <c r="S2749"/>
  <c r="AI2749" s="1"/>
  <c r="T2749"/>
  <c r="AJ2749" s="1"/>
  <c r="R2750"/>
  <c r="S2750"/>
  <c r="AI2750" s="1"/>
  <c r="T2750"/>
  <c r="AJ2750" s="1"/>
  <c r="R2751"/>
  <c r="S2751"/>
  <c r="AI2751" s="1"/>
  <c r="T2751"/>
  <c r="AJ2751" s="1"/>
  <c r="R2752"/>
  <c r="S2752"/>
  <c r="AI2752" s="1"/>
  <c r="T2752"/>
  <c r="AJ2752" s="1"/>
  <c r="R2753"/>
  <c r="S2753"/>
  <c r="AI2753" s="1"/>
  <c r="T2753"/>
  <c r="AJ2753" s="1"/>
  <c r="R2754"/>
  <c r="S2754"/>
  <c r="AI2754" s="1"/>
  <c r="T2754"/>
  <c r="AJ2754" s="1"/>
  <c r="R2755"/>
  <c r="S2755"/>
  <c r="AI2755" s="1"/>
  <c r="T2755"/>
  <c r="AJ2755" s="1"/>
  <c r="R2756"/>
  <c r="S2756"/>
  <c r="AI2756" s="1"/>
  <c r="T2756"/>
  <c r="AJ2756" s="1"/>
  <c r="R2757"/>
  <c r="S2757"/>
  <c r="AI2757" s="1"/>
  <c r="T2757"/>
  <c r="AJ2757" s="1"/>
  <c r="R2758"/>
  <c r="S2758"/>
  <c r="AI2758" s="1"/>
  <c r="T2758"/>
  <c r="AJ2758" s="1"/>
  <c r="R2759"/>
  <c r="S2759"/>
  <c r="AI2759" s="1"/>
  <c r="T2759"/>
  <c r="AJ2759" s="1"/>
  <c r="R2760"/>
  <c r="S2760"/>
  <c r="AI2760" s="1"/>
  <c r="T2760"/>
  <c r="AJ2760" s="1"/>
  <c r="R2761"/>
  <c r="S2761"/>
  <c r="AI2761" s="1"/>
  <c r="T2761"/>
  <c r="AJ2761" s="1"/>
  <c r="R2762"/>
  <c r="S2762"/>
  <c r="AI2762" s="1"/>
  <c r="T2762"/>
  <c r="AJ2762" s="1"/>
  <c r="R2763"/>
  <c r="S2763"/>
  <c r="AI2763" s="1"/>
  <c r="T2763"/>
  <c r="AJ2763" s="1"/>
  <c r="R2764"/>
  <c r="S2764"/>
  <c r="AI2764" s="1"/>
  <c r="T2764"/>
  <c r="AJ2764" s="1"/>
  <c r="R2765"/>
  <c r="S2765"/>
  <c r="AI2765" s="1"/>
  <c r="T2765"/>
  <c r="AJ2765" s="1"/>
  <c r="R2766"/>
  <c r="S2766"/>
  <c r="AI2766" s="1"/>
  <c r="T2766"/>
  <c r="AJ2766" s="1"/>
  <c r="R2767"/>
  <c r="S2767"/>
  <c r="AI2767" s="1"/>
  <c r="T2767"/>
  <c r="AJ2767" s="1"/>
  <c r="R2768"/>
  <c r="S2768"/>
  <c r="AI2768" s="1"/>
  <c r="T2768"/>
  <c r="AJ2768" s="1"/>
  <c r="R2769"/>
  <c r="S2769"/>
  <c r="AI2769" s="1"/>
  <c r="T2769"/>
  <c r="AJ2769" s="1"/>
  <c r="R2770"/>
  <c r="S2770"/>
  <c r="AI2770" s="1"/>
  <c r="T2770"/>
  <c r="AJ2770" s="1"/>
  <c r="R2771"/>
  <c r="S2771"/>
  <c r="AI2771" s="1"/>
  <c r="T2771"/>
  <c r="AJ2771" s="1"/>
  <c r="R2772"/>
  <c r="S2772"/>
  <c r="AI2772" s="1"/>
  <c r="T2772"/>
  <c r="AJ2772" s="1"/>
  <c r="R2773"/>
  <c r="S2773"/>
  <c r="AI2773" s="1"/>
  <c r="T2773"/>
  <c r="AJ2773" s="1"/>
  <c r="R2774"/>
  <c r="S2774"/>
  <c r="AI2774" s="1"/>
  <c r="T2774"/>
  <c r="AJ2774" s="1"/>
  <c r="R2775"/>
  <c r="S2775"/>
  <c r="AI2775" s="1"/>
  <c r="T2775"/>
  <c r="AJ2775" s="1"/>
  <c r="R2776"/>
  <c r="S2776"/>
  <c r="AI2776" s="1"/>
  <c r="T2776"/>
  <c r="AJ2776" s="1"/>
  <c r="R2777"/>
  <c r="S2777"/>
  <c r="AI2777" s="1"/>
  <c r="T2777"/>
  <c r="AJ2777" s="1"/>
  <c r="R2778"/>
  <c r="S2778"/>
  <c r="AI2778" s="1"/>
  <c r="T2778"/>
  <c r="AJ2778" s="1"/>
  <c r="R2779"/>
  <c r="S2779"/>
  <c r="AI2779" s="1"/>
  <c r="T2779"/>
  <c r="AJ2779" s="1"/>
  <c r="R2780"/>
  <c r="S2780"/>
  <c r="AI2780" s="1"/>
  <c r="T2780"/>
  <c r="AJ2780" s="1"/>
  <c r="R2781"/>
  <c r="S2781"/>
  <c r="AI2781" s="1"/>
  <c r="T2781"/>
  <c r="AJ2781" s="1"/>
  <c r="R2782"/>
  <c r="S2782"/>
  <c r="AI2782" s="1"/>
  <c r="T2782"/>
  <c r="AJ2782" s="1"/>
  <c r="R2783"/>
  <c r="S2783"/>
  <c r="AI2783" s="1"/>
  <c r="T2783"/>
  <c r="AJ2783" s="1"/>
  <c r="R2784"/>
  <c r="S2784"/>
  <c r="AI2784" s="1"/>
  <c r="T2784"/>
  <c r="AJ2784" s="1"/>
  <c r="R2785"/>
  <c r="S2785"/>
  <c r="AI2785" s="1"/>
  <c r="T2785"/>
  <c r="AJ2785" s="1"/>
  <c r="R2786"/>
  <c r="S2786"/>
  <c r="AI2786" s="1"/>
  <c r="T2786"/>
  <c r="AJ2786" s="1"/>
  <c r="R2787"/>
  <c r="S2787"/>
  <c r="AI2787" s="1"/>
  <c r="T2787"/>
  <c r="AJ2787" s="1"/>
  <c r="R2788"/>
  <c r="S2788"/>
  <c r="AI2788" s="1"/>
  <c r="T2788"/>
  <c r="AJ2788" s="1"/>
  <c r="R2789"/>
  <c r="S2789"/>
  <c r="AI2789" s="1"/>
  <c r="T2789"/>
  <c r="AJ2789" s="1"/>
  <c r="R2790"/>
  <c r="S2790"/>
  <c r="AI2790" s="1"/>
  <c r="T2790"/>
  <c r="AJ2790" s="1"/>
  <c r="R2791"/>
  <c r="S2791"/>
  <c r="AI2791" s="1"/>
  <c r="T2791"/>
  <c r="AJ2791" s="1"/>
  <c r="R2792"/>
  <c r="S2792"/>
  <c r="AI2792" s="1"/>
  <c r="T2792"/>
  <c r="AJ2792" s="1"/>
  <c r="R2793"/>
  <c r="S2793"/>
  <c r="AI2793" s="1"/>
  <c r="T2793"/>
  <c r="AJ2793" s="1"/>
  <c r="R2794"/>
  <c r="S2794"/>
  <c r="AI2794" s="1"/>
  <c r="T2794"/>
  <c r="AJ2794" s="1"/>
  <c r="R2795"/>
  <c r="S2795"/>
  <c r="AI2795" s="1"/>
  <c r="T2795"/>
  <c r="AJ2795" s="1"/>
  <c r="R2796"/>
  <c r="S2796"/>
  <c r="AI2796" s="1"/>
  <c r="T2796"/>
  <c r="AJ2796" s="1"/>
  <c r="R2797"/>
  <c r="S2797"/>
  <c r="AI2797" s="1"/>
  <c r="T2797"/>
  <c r="AJ2797" s="1"/>
  <c r="R2798"/>
  <c r="S2798"/>
  <c r="AI2798" s="1"/>
  <c r="T2798"/>
  <c r="AJ2798" s="1"/>
  <c r="R2799"/>
  <c r="S2799"/>
  <c r="AI2799" s="1"/>
  <c r="T2799"/>
  <c r="AJ2799" s="1"/>
  <c r="R2800"/>
  <c r="S2800"/>
  <c r="AI2800" s="1"/>
  <c r="T2800"/>
  <c r="AJ2800" s="1"/>
  <c r="R2801"/>
  <c r="S2801"/>
  <c r="AI2801" s="1"/>
  <c r="T2801"/>
  <c r="AJ2801" s="1"/>
  <c r="R2802"/>
  <c r="S2802"/>
  <c r="AI2802" s="1"/>
  <c r="T2802"/>
  <c r="AJ2802" s="1"/>
  <c r="R2803"/>
  <c r="S2803"/>
  <c r="AI2803" s="1"/>
  <c r="T2803"/>
  <c r="AJ2803" s="1"/>
  <c r="R2804"/>
  <c r="S2804"/>
  <c r="AI2804" s="1"/>
  <c r="T2804"/>
  <c r="AJ2804" s="1"/>
  <c r="R2805"/>
  <c r="S2805"/>
  <c r="AI2805" s="1"/>
  <c r="T2805"/>
  <c r="AJ2805" s="1"/>
  <c r="R2806"/>
  <c r="S2806"/>
  <c r="AI2806" s="1"/>
  <c r="T2806"/>
  <c r="AJ2806" s="1"/>
  <c r="R2807"/>
  <c r="S2807"/>
  <c r="AI2807" s="1"/>
  <c r="T2807"/>
  <c r="AJ2807" s="1"/>
  <c r="R2808"/>
  <c r="S2808"/>
  <c r="AI2808" s="1"/>
  <c r="T2808"/>
  <c r="AJ2808" s="1"/>
  <c r="R2809"/>
  <c r="S2809"/>
  <c r="AI2809" s="1"/>
  <c r="T2809"/>
  <c r="AJ2809" s="1"/>
  <c r="R2810"/>
  <c r="S2810"/>
  <c r="AI2810" s="1"/>
  <c r="T2810"/>
  <c r="AJ2810" s="1"/>
  <c r="R2811"/>
  <c r="S2811"/>
  <c r="AI2811" s="1"/>
  <c r="T2811"/>
  <c r="AJ2811" s="1"/>
  <c r="R2812"/>
  <c r="S2812"/>
  <c r="AI2812" s="1"/>
  <c r="T2812"/>
  <c r="AJ2812" s="1"/>
  <c r="R2813"/>
  <c r="S2813"/>
  <c r="AI2813" s="1"/>
  <c r="T2813"/>
  <c r="AJ2813" s="1"/>
  <c r="R2814"/>
  <c r="S2814"/>
  <c r="AI2814" s="1"/>
  <c r="T2814"/>
  <c r="AJ2814" s="1"/>
  <c r="R2815"/>
  <c r="S2815"/>
  <c r="AI2815" s="1"/>
  <c r="T2815"/>
  <c r="AJ2815" s="1"/>
  <c r="R2816"/>
  <c r="S2816"/>
  <c r="AI2816" s="1"/>
  <c r="T2816"/>
  <c r="AJ2816" s="1"/>
  <c r="R2817"/>
  <c r="S2817"/>
  <c r="AI2817" s="1"/>
  <c r="T2817"/>
  <c r="AJ2817" s="1"/>
  <c r="R2818"/>
  <c r="S2818"/>
  <c r="AI2818" s="1"/>
  <c r="T2818"/>
  <c r="AJ2818" s="1"/>
  <c r="R2819"/>
  <c r="S2819"/>
  <c r="AI2819" s="1"/>
  <c r="T2819"/>
  <c r="AJ2819" s="1"/>
  <c r="R2820"/>
  <c r="S2820"/>
  <c r="AI2820" s="1"/>
  <c r="T2820"/>
  <c r="AJ2820" s="1"/>
  <c r="R2821"/>
  <c r="S2821"/>
  <c r="AI2821" s="1"/>
  <c r="T2821"/>
  <c r="AJ2821" s="1"/>
  <c r="R2822"/>
  <c r="S2822"/>
  <c r="AI2822" s="1"/>
  <c r="T2822"/>
  <c r="AJ2822" s="1"/>
  <c r="R2823"/>
  <c r="S2823"/>
  <c r="AI2823" s="1"/>
  <c r="T2823"/>
  <c r="AJ2823" s="1"/>
  <c r="R2824"/>
  <c r="S2824"/>
  <c r="AI2824" s="1"/>
  <c r="T2824"/>
  <c r="AJ2824" s="1"/>
  <c r="R2825"/>
  <c r="S2825"/>
  <c r="AI2825" s="1"/>
  <c r="T2825"/>
  <c r="AJ2825" s="1"/>
  <c r="R2826"/>
  <c r="S2826"/>
  <c r="AI2826" s="1"/>
  <c r="T2826"/>
  <c r="AJ2826" s="1"/>
  <c r="R2827"/>
  <c r="S2827"/>
  <c r="AI2827" s="1"/>
  <c r="T2827"/>
  <c r="AJ2827" s="1"/>
  <c r="R2828"/>
  <c r="S2828"/>
  <c r="AI2828" s="1"/>
  <c r="T2828"/>
  <c r="AJ2828" s="1"/>
  <c r="R2829"/>
  <c r="S2829"/>
  <c r="AI2829" s="1"/>
  <c r="T2829"/>
  <c r="AJ2829" s="1"/>
  <c r="R2830"/>
  <c r="S2830"/>
  <c r="AI2830" s="1"/>
  <c r="T2830"/>
  <c r="AJ2830" s="1"/>
  <c r="R2831"/>
  <c r="S2831"/>
  <c r="AI2831" s="1"/>
  <c r="T2831"/>
  <c r="AJ2831" s="1"/>
  <c r="R2832"/>
  <c r="S2832"/>
  <c r="AI2832" s="1"/>
  <c r="T2832"/>
  <c r="AJ2832" s="1"/>
  <c r="R2833"/>
  <c r="S2833"/>
  <c r="AI2833" s="1"/>
  <c r="T2833"/>
  <c r="AJ2833" s="1"/>
  <c r="R2834"/>
  <c r="S2834"/>
  <c r="AI2834" s="1"/>
  <c r="T2834"/>
  <c r="AJ2834" s="1"/>
  <c r="R2835"/>
  <c r="S2835"/>
  <c r="AI2835" s="1"/>
  <c r="T2835"/>
  <c r="AJ2835" s="1"/>
  <c r="R2836"/>
  <c r="S2836"/>
  <c r="AI2836" s="1"/>
  <c r="T2836"/>
  <c r="AJ2836" s="1"/>
  <c r="R2837"/>
  <c r="S2837"/>
  <c r="AI2837" s="1"/>
  <c r="T2837"/>
  <c r="AJ2837" s="1"/>
  <c r="R2838"/>
  <c r="S2838"/>
  <c r="AI2838" s="1"/>
  <c r="T2838"/>
  <c r="AJ2838" s="1"/>
  <c r="R2839"/>
  <c r="S2839"/>
  <c r="AI2839" s="1"/>
  <c r="T2839"/>
  <c r="AJ2839" s="1"/>
  <c r="R2840"/>
  <c r="S2840"/>
  <c r="AI2840" s="1"/>
  <c r="T2840"/>
  <c r="AJ2840" s="1"/>
  <c r="R2841"/>
  <c r="S2841"/>
  <c r="AI2841" s="1"/>
  <c r="T2841"/>
  <c r="AJ2841" s="1"/>
  <c r="R2842"/>
  <c r="S2842"/>
  <c r="AI2842" s="1"/>
  <c r="T2842"/>
  <c r="AJ2842" s="1"/>
  <c r="R2843"/>
  <c r="S2843"/>
  <c r="AI2843" s="1"/>
  <c r="T2843"/>
  <c r="AJ2843" s="1"/>
  <c r="R2844"/>
  <c r="S2844"/>
  <c r="AI2844" s="1"/>
  <c r="T2844"/>
  <c r="AJ2844" s="1"/>
  <c r="R2845"/>
  <c r="S2845"/>
  <c r="AI2845" s="1"/>
  <c r="T2845"/>
  <c r="AJ2845" s="1"/>
  <c r="R2846"/>
  <c r="S2846"/>
  <c r="AI2846" s="1"/>
  <c r="T2846"/>
  <c r="AJ2846" s="1"/>
  <c r="R2847"/>
  <c r="S2847"/>
  <c r="AI2847" s="1"/>
  <c r="T2847"/>
  <c r="AJ2847" s="1"/>
  <c r="R2848"/>
  <c r="S2848"/>
  <c r="AI2848" s="1"/>
  <c r="T2848"/>
  <c r="AJ2848" s="1"/>
  <c r="R2849"/>
  <c r="S2849"/>
  <c r="AI2849" s="1"/>
  <c r="T2849"/>
  <c r="AJ2849" s="1"/>
  <c r="R2850"/>
  <c r="S2850"/>
  <c r="AI2850" s="1"/>
  <c r="T2850"/>
  <c r="AJ2850" s="1"/>
  <c r="R2851"/>
  <c r="S2851"/>
  <c r="AI2851" s="1"/>
  <c r="T2851"/>
  <c r="AJ2851" s="1"/>
  <c r="R2852"/>
  <c r="S2852"/>
  <c r="AI2852" s="1"/>
  <c r="T2852"/>
  <c r="AJ2852" s="1"/>
  <c r="R2853"/>
  <c r="S2853"/>
  <c r="AI2853" s="1"/>
  <c r="T2853"/>
  <c r="AJ2853" s="1"/>
  <c r="R2854"/>
  <c r="S2854"/>
  <c r="AI2854" s="1"/>
  <c r="T2854"/>
  <c r="AJ2854" s="1"/>
  <c r="R2855"/>
  <c r="S2855"/>
  <c r="AI2855" s="1"/>
  <c r="T2855"/>
  <c r="AJ2855" s="1"/>
  <c r="R2856"/>
  <c r="S2856"/>
  <c r="AI2856" s="1"/>
  <c r="T2856"/>
  <c r="AJ2856" s="1"/>
  <c r="R2857"/>
  <c r="S2857"/>
  <c r="AI2857" s="1"/>
  <c r="T2857"/>
  <c r="AJ2857" s="1"/>
  <c r="R2858"/>
  <c r="S2858"/>
  <c r="AI2858" s="1"/>
  <c r="T2858"/>
  <c r="AJ2858" s="1"/>
  <c r="R2859"/>
  <c r="S2859"/>
  <c r="AI2859" s="1"/>
  <c r="T2859"/>
  <c r="AJ2859" s="1"/>
  <c r="R2860"/>
  <c r="S2860"/>
  <c r="AI2860" s="1"/>
  <c r="T2860"/>
  <c r="AJ2860" s="1"/>
  <c r="R2861"/>
  <c r="S2861"/>
  <c r="AI2861" s="1"/>
  <c r="T2861"/>
  <c r="AJ2861" s="1"/>
  <c r="R2862"/>
  <c r="S2862"/>
  <c r="AI2862" s="1"/>
  <c r="T2862"/>
  <c r="AJ2862" s="1"/>
  <c r="R2863"/>
  <c r="S2863"/>
  <c r="AI2863" s="1"/>
  <c r="T2863"/>
  <c r="AJ2863" s="1"/>
  <c r="R2864"/>
  <c r="S2864"/>
  <c r="AI2864" s="1"/>
  <c r="T2864"/>
  <c r="AJ2864" s="1"/>
  <c r="R2865"/>
  <c r="S2865"/>
  <c r="AI2865" s="1"/>
  <c r="T2865"/>
  <c r="AJ2865" s="1"/>
  <c r="R2866"/>
  <c r="S2866"/>
  <c r="AI2866" s="1"/>
  <c r="T2866"/>
  <c r="AJ2866" s="1"/>
  <c r="R2867"/>
  <c r="S2867"/>
  <c r="AI2867" s="1"/>
  <c r="T2867"/>
  <c r="AJ2867" s="1"/>
  <c r="R2868"/>
  <c r="S2868"/>
  <c r="AI2868" s="1"/>
  <c r="T2868"/>
  <c r="AJ2868" s="1"/>
  <c r="R2869"/>
  <c r="S2869"/>
  <c r="AI2869" s="1"/>
  <c r="T2869"/>
  <c r="AJ2869" s="1"/>
  <c r="R2870"/>
  <c r="S2870"/>
  <c r="AI2870" s="1"/>
  <c r="T2870"/>
  <c r="AJ2870" s="1"/>
  <c r="R2871"/>
  <c r="S2871"/>
  <c r="AI2871" s="1"/>
  <c r="T2871"/>
  <c r="AJ2871" s="1"/>
  <c r="R2872"/>
  <c r="S2872"/>
  <c r="AI2872" s="1"/>
  <c r="T2872"/>
  <c r="AJ2872" s="1"/>
  <c r="R2873"/>
  <c r="S2873"/>
  <c r="AI2873" s="1"/>
  <c r="T2873"/>
  <c r="AJ2873" s="1"/>
  <c r="R2874"/>
  <c r="S2874"/>
  <c r="AI2874" s="1"/>
  <c r="T2874"/>
  <c r="AJ2874" s="1"/>
  <c r="R2875"/>
  <c r="S2875"/>
  <c r="AI2875" s="1"/>
  <c r="T2875"/>
  <c r="AJ2875" s="1"/>
  <c r="R2876"/>
  <c r="S2876"/>
  <c r="AI2876" s="1"/>
  <c r="T2876"/>
  <c r="AJ2876" s="1"/>
  <c r="R2877"/>
  <c r="S2877"/>
  <c r="AI2877" s="1"/>
  <c r="T2877"/>
  <c r="AJ2877" s="1"/>
  <c r="R2878"/>
  <c r="S2878"/>
  <c r="AI2878" s="1"/>
  <c r="T2878"/>
  <c r="AJ2878" s="1"/>
  <c r="R2879"/>
  <c r="S2879"/>
  <c r="AI2879" s="1"/>
  <c r="T2879"/>
  <c r="AJ2879" s="1"/>
  <c r="R2880"/>
  <c r="S2880"/>
  <c r="AI2880" s="1"/>
  <c r="T2880"/>
  <c r="AJ2880" s="1"/>
  <c r="R2881"/>
  <c r="S2881"/>
  <c r="AI2881" s="1"/>
  <c r="T2881"/>
  <c r="AJ2881" s="1"/>
  <c r="R2882"/>
  <c r="S2882"/>
  <c r="AI2882" s="1"/>
  <c r="T2882"/>
  <c r="AJ2882" s="1"/>
  <c r="R2883"/>
  <c r="S2883"/>
  <c r="AI2883" s="1"/>
  <c r="T2883"/>
  <c r="AJ2883" s="1"/>
  <c r="R2884"/>
  <c r="S2884"/>
  <c r="AI2884" s="1"/>
  <c r="T2884"/>
  <c r="AJ2884" s="1"/>
  <c r="R2885"/>
  <c r="S2885"/>
  <c r="AI2885" s="1"/>
  <c r="T2885"/>
  <c r="AJ2885" s="1"/>
  <c r="R2886"/>
  <c r="S2886"/>
  <c r="AI2886" s="1"/>
  <c r="T2886"/>
  <c r="AJ2886" s="1"/>
  <c r="R2887"/>
  <c r="S2887"/>
  <c r="AI2887" s="1"/>
  <c r="T2887"/>
  <c r="AJ2887" s="1"/>
  <c r="R2888"/>
  <c r="S2888"/>
  <c r="AI2888" s="1"/>
  <c r="T2888"/>
  <c r="AJ2888" s="1"/>
  <c r="R2889"/>
  <c r="S2889"/>
  <c r="AI2889" s="1"/>
  <c r="T2889"/>
  <c r="AJ2889" s="1"/>
  <c r="R2890"/>
  <c r="S2890"/>
  <c r="AI2890" s="1"/>
  <c r="T2890"/>
  <c r="AJ2890" s="1"/>
  <c r="R2891"/>
  <c r="S2891"/>
  <c r="AI2891" s="1"/>
  <c r="T2891"/>
  <c r="AJ2891" s="1"/>
  <c r="R2892"/>
  <c r="S2892"/>
  <c r="AI2892" s="1"/>
  <c r="T2892"/>
  <c r="AJ2892" s="1"/>
  <c r="R2893"/>
  <c r="S2893"/>
  <c r="AI2893" s="1"/>
  <c r="T2893"/>
  <c r="AJ2893" s="1"/>
  <c r="R2894"/>
  <c r="S2894"/>
  <c r="AI2894" s="1"/>
  <c r="T2894"/>
  <c r="AJ2894" s="1"/>
  <c r="R2895"/>
  <c r="S2895"/>
  <c r="AI2895" s="1"/>
  <c r="T2895"/>
  <c r="AJ2895" s="1"/>
  <c r="R2896"/>
  <c r="S2896"/>
  <c r="AI2896" s="1"/>
  <c r="T2896"/>
  <c r="AJ2896" s="1"/>
  <c r="R2897"/>
  <c r="S2897"/>
  <c r="AI2897" s="1"/>
  <c r="T2897"/>
  <c r="AJ2897" s="1"/>
  <c r="R2898"/>
  <c r="S2898"/>
  <c r="AI2898" s="1"/>
  <c r="T2898"/>
  <c r="AJ2898" s="1"/>
  <c r="R2899"/>
  <c r="S2899"/>
  <c r="AI2899" s="1"/>
  <c r="T2899"/>
  <c r="AJ2899" s="1"/>
  <c r="R2900"/>
  <c r="S2900"/>
  <c r="AI2900" s="1"/>
  <c r="T2900"/>
  <c r="AJ2900" s="1"/>
  <c r="R2901"/>
  <c r="S2901"/>
  <c r="AI2901" s="1"/>
  <c r="T2901"/>
  <c r="AJ2901" s="1"/>
  <c r="R2902"/>
  <c r="S2902"/>
  <c r="AI2902" s="1"/>
  <c r="T2902"/>
  <c r="AJ2902" s="1"/>
  <c r="R2903"/>
  <c r="S2903"/>
  <c r="AI2903" s="1"/>
  <c r="T2903"/>
  <c r="AJ2903" s="1"/>
  <c r="S2904"/>
  <c r="AI2904" s="1"/>
  <c r="R2905"/>
  <c r="S2905"/>
  <c r="AI2905" s="1"/>
  <c r="T2905"/>
  <c r="AJ2905" s="1"/>
  <c r="R2906"/>
  <c r="S2906"/>
  <c r="AI2906" s="1"/>
  <c r="T2906"/>
  <c r="AJ2906" s="1"/>
  <c r="R2907"/>
  <c r="S2907"/>
  <c r="AI2907" s="1"/>
  <c r="T2907"/>
  <c r="AJ2907" s="1"/>
  <c r="R2908"/>
  <c r="S2908"/>
  <c r="AI2908" s="1"/>
  <c r="T2908"/>
  <c r="AJ2908" s="1"/>
  <c r="R2909"/>
  <c r="S2909"/>
  <c r="AI2909" s="1"/>
  <c r="T2909"/>
  <c r="AJ2909" s="1"/>
  <c r="R2910"/>
  <c r="S2910"/>
  <c r="AI2910" s="1"/>
  <c r="T2910"/>
  <c r="AJ2910" s="1"/>
  <c r="R2911"/>
  <c r="S2911"/>
  <c r="AI2911" s="1"/>
  <c r="T2911"/>
  <c r="AJ2911" s="1"/>
  <c r="R2912"/>
  <c r="S2912"/>
  <c r="AI2912" s="1"/>
  <c r="T2912"/>
  <c r="AJ2912" s="1"/>
  <c r="R2913"/>
  <c r="S2913"/>
  <c r="AI2913" s="1"/>
  <c r="T2913"/>
  <c r="AJ2913" s="1"/>
  <c r="R2914"/>
  <c r="S2914"/>
  <c r="AI2914" s="1"/>
  <c r="T2914"/>
  <c r="AJ2914" s="1"/>
  <c r="R2915"/>
  <c r="S2915"/>
  <c r="AI2915" s="1"/>
  <c r="T2915"/>
  <c r="AJ2915" s="1"/>
  <c r="R2916"/>
  <c r="S2916"/>
  <c r="AI2916" s="1"/>
  <c r="T2916"/>
  <c r="AJ2916" s="1"/>
  <c r="R2917"/>
  <c r="S2917"/>
  <c r="AI2917" s="1"/>
  <c r="T2917"/>
  <c r="AJ2917" s="1"/>
  <c r="R2918"/>
  <c r="S2918"/>
  <c r="AI2918" s="1"/>
  <c r="T2918"/>
  <c r="AJ2918" s="1"/>
  <c r="R2919"/>
  <c r="S2919"/>
  <c r="AI2919" s="1"/>
  <c r="T2919"/>
  <c r="AJ2919" s="1"/>
  <c r="R2920"/>
  <c r="S2920"/>
  <c r="AI2920" s="1"/>
  <c r="T2920"/>
  <c r="AJ2920" s="1"/>
  <c r="R2921"/>
  <c r="S2921"/>
  <c r="AI2921" s="1"/>
  <c r="T2921"/>
  <c r="AJ2921" s="1"/>
  <c r="R2922"/>
  <c r="S2922"/>
  <c r="AI2922" s="1"/>
  <c r="T2922"/>
  <c r="AJ2922" s="1"/>
  <c r="R2923"/>
  <c r="S2923"/>
  <c r="AI2923" s="1"/>
  <c r="T2923"/>
  <c r="AJ2923" s="1"/>
  <c r="R2924"/>
  <c r="S2924"/>
  <c r="AI2924" s="1"/>
  <c r="T2924"/>
  <c r="AJ2924" s="1"/>
  <c r="R2925"/>
  <c r="S2925"/>
  <c r="AI2925" s="1"/>
  <c r="T2925"/>
  <c r="AJ2925" s="1"/>
  <c r="R2926"/>
  <c r="S2926"/>
  <c r="AI2926" s="1"/>
  <c r="T2926"/>
  <c r="AJ2926" s="1"/>
  <c r="R2927"/>
  <c r="S2927"/>
  <c r="AI2927" s="1"/>
  <c r="T2927"/>
  <c r="AJ2927" s="1"/>
  <c r="R2928"/>
  <c r="S2928"/>
  <c r="AI2928" s="1"/>
  <c r="T2928"/>
  <c r="AJ2928" s="1"/>
  <c r="R2929"/>
  <c r="S2929"/>
  <c r="AI2929" s="1"/>
  <c r="T2929"/>
  <c r="AJ2929" s="1"/>
  <c r="R2930"/>
  <c r="S2930"/>
  <c r="AI2930" s="1"/>
  <c r="T2930"/>
  <c r="AJ2930" s="1"/>
  <c r="R2931"/>
  <c r="S2931"/>
  <c r="AI2931" s="1"/>
  <c r="T2931"/>
  <c r="AJ2931" s="1"/>
  <c r="R2932"/>
  <c r="S2932"/>
  <c r="AI2932" s="1"/>
  <c r="T2932"/>
  <c r="AJ2932" s="1"/>
  <c r="R2933"/>
  <c r="S2933"/>
  <c r="AI2933" s="1"/>
  <c r="T2933"/>
  <c r="AJ2933" s="1"/>
  <c r="R2934"/>
  <c r="S2934"/>
  <c r="AI2934" s="1"/>
  <c r="T2934"/>
  <c r="AJ2934" s="1"/>
  <c r="R2935"/>
  <c r="S2935"/>
  <c r="AI2935" s="1"/>
  <c r="T2935"/>
  <c r="AJ2935" s="1"/>
  <c r="R2936"/>
  <c r="S2936"/>
  <c r="AI2936" s="1"/>
  <c r="T2936"/>
  <c r="AJ2936" s="1"/>
  <c r="R2937"/>
  <c r="S2937"/>
  <c r="AI2937" s="1"/>
  <c r="T2937"/>
  <c r="AJ2937" s="1"/>
  <c r="R2938"/>
  <c r="S2938"/>
  <c r="AI2938" s="1"/>
  <c r="T2938"/>
  <c r="AJ2938" s="1"/>
  <c r="R2939"/>
  <c r="S2939"/>
  <c r="AI2939" s="1"/>
  <c r="T2939"/>
  <c r="AJ2939" s="1"/>
  <c r="R2940"/>
  <c r="S2940"/>
  <c r="AI2940" s="1"/>
  <c r="T2940"/>
  <c r="AJ2940" s="1"/>
  <c r="R2941"/>
  <c r="S2941"/>
  <c r="AI2941" s="1"/>
  <c r="T2941"/>
  <c r="AJ2941" s="1"/>
  <c r="R2942"/>
  <c r="S2942"/>
  <c r="AI2942" s="1"/>
  <c r="T2942"/>
  <c r="AJ2942" s="1"/>
  <c r="R2943"/>
  <c r="S2943"/>
  <c r="AI2943" s="1"/>
  <c r="T2943"/>
  <c r="AJ2943" s="1"/>
  <c r="R2944"/>
  <c r="S2944"/>
  <c r="AI2944" s="1"/>
  <c r="T2944"/>
  <c r="AJ2944" s="1"/>
  <c r="R2945"/>
  <c r="S2945"/>
  <c r="AI2945" s="1"/>
  <c r="T2945"/>
  <c r="AJ2945" s="1"/>
  <c r="R2946"/>
  <c r="S2946"/>
  <c r="AI2946" s="1"/>
  <c r="T2946"/>
  <c r="AJ2946" s="1"/>
  <c r="R2947"/>
  <c r="S2947"/>
  <c r="AI2947" s="1"/>
  <c r="T2947"/>
  <c r="AJ2947" s="1"/>
  <c r="R2948"/>
  <c r="S2948"/>
  <c r="AI2948" s="1"/>
  <c r="T2948"/>
  <c r="AJ2948" s="1"/>
  <c r="R2949"/>
  <c r="S2949"/>
  <c r="AI2949" s="1"/>
  <c r="T2949"/>
  <c r="AJ2949" s="1"/>
  <c r="R2950"/>
  <c r="S2950"/>
  <c r="AI2950" s="1"/>
  <c r="T2950"/>
  <c r="AJ2950" s="1"/>
  <c r="R2951"/>
  <c r="S2951"/>
  <c r="AI2951" s="1"/>
  <c r="T2951"/>
  <c r="AJ2951" s="1"/>
  <c r="R2952"/>
  <c r="S2952"/>
  <c r="AI2952" s="1"/>
  <c r="T2952"/>
  <c r="AJ2952" s="1"/>
  <c r="R2953"/>
  <c r="S2953"/>
  <c r="AI2953" s="1"/>
  <c r="T2953"/>
  <c r="AJ2953" s="1"/>
  <c r="R2954"/>
  <c r="S2954"/>
  <c r="AI2954" s="1"/>
  <c r="T2954"/>
  <c r="AJ2954" s="1"/>
  <c r="R2955"/>
  <c r="S2955"/>
  <c r="AI2955" s="1"/>
  <c r="T2955"/>
  <c r="AJ2955" s="1"/>
  <c r="R2956"/>
  <c r="S2956"/>
  <c r="AI2956" s="1"/>
  <c r="T2956"/>
  <c r="AJ2956" s="1"/>
  <c r="R2957"/>
  <c r="S2957"/>
  <c r="AI2957" s="1"/>
  <c r="T2957"/>
  <c r="AJ2957" s="1"/>
  <c r="R2958"/>
  <c r="S2958"/>
  <c r="AI2958" s="1"/>
  <c r="T2958"/>
  <c r="AJ2958" s="1"/>
  <c r="R2959"/>
  <c r="S2959"/>
  <c r="AI2959" s="1"/>
  <c r="T2959"/>
  <c r="AJ2959" s="1"/>
  <c r="R2960"/>
  <c r="S2960"/>
  <c r="AI2960" s="1"/>
  <c r="T2960"/>
  <c r="AJ2960" s="1"/>
  <c r="R2961"/>
  <c r="S2961"/>
  <c r="AI2961" s="1"/>
  <c r="T2961"/>
  <c r="AJ2961" s="1"/>
  <c r="R2962"/>
  <c r="S2962"/>
  <c r="AI2962" s="1"/>
  <c r="T2962"/>
  <c r="AJ2962" s="1"/>
  <c r="R2963"/>
  <c r="S2963"/>
  <c r="AI2963" s="1"/>
  <c r="T2963"/>
  <c r="AJ2963" s="1"/>
  <c r="R2964"/>
  <c r="S2964"/>
  <c r="AI2964" s="1"/>
  <c r="T2964"/>
  <c r="AJ2964" s="1"/>
  <c r="R2965"/>
  <c r="S2965"/>
  <c r="AI2965" s="1"/>
  <c r="T2965"/>
  <c r="AJ2965" s="1"/>
  <c r="R2966"/>
  <c r="S2966"/>
  <c r="AI2966" s="1"/>
  <c r="T2966"/>
  <c r="AJ2966" s="1"/>
  <c r="R2967"/>
  <c r="S2967"/>
  <c r="AI2967" s="1"/>
  <c r="T2967"/>
  <c r="AJ2967" s="1"/>
  <c r="R2968"/>
  <c r="S2968"/>
  <c r="AI2968" s="1"/>
  <c r="T2968"/>
  <c r="AJ2968" s="1"/>
  <c r="R2969"/>
  <c r="S2969"/>
  <c r="AI2969" s="1"/>
  <c r="T2969"/>
  <c r="AJ2969" s="1"/>
  <c r="R2970"/>
  <c r="S2970"/>
  <c r="AI2970" s="1"/>
  <c r="T2970"/>
  <c r="AJ2970" s="1"/>
  <c r="R2971"/>
  <c r="S2971"/>
  <c r="AI2971" s="1"/>
  <c r="T2971"/>
  <c r="AJ2971" s="1"/>
  <c r="R2972"/>
  <c r="S2972"/>
  <c r="AI2972" s="1"/>
  <c r="T2972"/>
  <c r="AJ2972" s="1"/>
  <c r="R2973"/>
  <c r="S2973"/>
  <c r="AI2973" s="1"/>
  <c r="T2973"/>
  <c r="AJ2973" s="1"/>
  <c r="R2974"/>
  <c r="S2974"/>
  <c r="AI2974" s="1"/>
  <c r="T2974"/>
  <c r="AJ2974" s="1"/>
  <c r="R2975"/>
  <c r="S2975"/>
  <c r="AI2975" s="1"/>
  <c r="T2975"/>
  <c r="AJ2975" s="1"/>
  <c r="R2976"/>
  <c r="S2976"/>
  <c r="AI2976" s="1"/>
  <c r="T2976"/>
  <c r="AJ2976" s="1"/>
  <c r="R2977"/>
  <c r="S2977"/>
  <c r="AI2977" s="1"/>
  <c r="T2977"/>
  <c r="AJ2977" s="1"/>
  <c r="R2978"/>
  <c r="S2978"/>
  <c r="AI2978" s="1"/>
  <c r="T2978"/>
  <c r="AJ2978" s="1"/>
  <c r="R2979"/>
  <c r="S2979"/>
  <c r="AI2979" s="1"/>
  <c r="T2979"/>
  <c r="AJ2979" s="1"/>
  <c r="R2980"/>
  <c r="S2980"/>
  <c r="AI2980" s="1"/>
  <c r="T2980"/>
  <c r="AJ2980" s="1"/>
  <c r="R2981"/>
  <c r="S2981"/>
  <c r="AI2981" s="1"/>
  <c r="T2981"/>
  <c r="AJ2981" s="1"/>
  <c r="R2982"/>
  <c r="S2982"/>
  <c r="AI2982" s="1"/>
  <c r="T2982"/>
  <c r="AJ2982" s="1"/>
  <c r="R2983"/>
  <c r="S2983"/>
  <c r="AI2983" s="1"/>
  <c r="T2983"/>
  <c r="AJ2983" s="1"/>
  <c r="R2984"/>
  <c r="S2984"/>
  <c r="AI2984" s="1"/>
  <c r="T2984"/>
  <c r="AJ2984" s="1"/>
  <c r="R2985"/>
  <c r="S2985"/>
  <c r="AI2985" s="1"/>
  <c r="T2985"/>
  <c r="AJ2985" s="1"/>
  <c r="R2986"/>
  <c r="S2986"/>
  <c r="AI2986" s="1"/>
  <c r="T2986"/>
  <c r="AJ2986" s="1"/>
  <c r="R2987"/>
  <c r="S2987"/>
  <c r="AI2987" s="1"/>
  <c r="T2987"/>
  <c r="AJ2987" s="1"/>
  <c r="R2988"/>
  <c r="S2988"/>
  <c r="AI2988" s="1"/>
  <c r="T2988"/>
  <c r="AJ2988" s="1"/>
  <c r="R2989"/>
  <c r="S2989"/>
  <c r="AI2989" s="1"/>
  <c r="T2989"/>
  <c r="AJ2989" s="1"/>
  <c r="R2990"/>
  <c r="S2990"/>
  <c r="AI2990" s="1"/>
  <c r="T2990"/>
  <c r="AJ2990" s="1"/>
  <c r="R2991"/>
  <c r="S2991"/>
  <c r="AI2991" s="1"/>
  <c r="T2991"/>
  <c r="AJ2991" s="1"/>
  <c r="R2992"/>
  <c r="S2992"/>
  <c r="AI2992" s="1"/>
  <c r="T2992"/>
  <c r="AJ2992" s="1"/>
  <c r="R2993"/>
  <c r="S2993"/>
  <c r="AI2993" s="1"/>
  <c r="T2993"/>
  <c r="AJ2993" s="1"/>
  <c r="R2994"/>
  <c r="S2994"/>
  <c r="AI2994" s="1"/>
  <c r="T2994"/>
  <c r="AJ2994" s="1"/>
  <c r="R2995"/>
  <c r="S2995"/>
  <c r="AI2995" s="1"/>
  <c r="T2995"/>
  <c r="AJ2995" s="1"/>
  <c r="R2996"/>
  <c r="S2996"/>
  <c r="AI2996" s="1"/>
  <c r="T2996"/>
  <c r="AJ2996" s="1"/>
  <c r="R2997"/>
  <c r="S2997"/>
  <c r="AI2997" s="1"/>
  <c r="T2997"/>
  <c r="AJ2997" s="1"/>
  <c r="R2998"/>
  <c r="S2998"/>
  <c r="AI2998" s="1"/>
  <c r="T2998"/>
  <c r="AJ2998" s="1"/>
  <c r="R2999"/>
  <c r="S2999"/>
  <c r="AI2999" s="1"/>
  <c r="T2999"/>
  <c r="AJ2999" s="1"/>
  <c r="R3000"/>
  <c r="S3000"/>
  <c r="AI3000" s="1"/>
  <c r="T3000"/>
  <c r="AJ3000" s="1"/>
  <c r="R3001"/>
  <c r="S3001"/>
  <c r="AI3001" s="1"/>
  <c r="T3001"/>
  <c r="AJ3001" s="1"/>
  <c r="R3002"/>
  <c r="S3002"/>
  <c r="AI3002" s="1"/>
  <c r="T3002"/>
  <c r="AJ3002" s="1"/>
  <c r="R3003"/>
  <c r="S3003"/>
  <c r="AI3003" s="1"/>
  <c r="T3003"/>
  <c r="AJ3003" s="1"/>
  <c r="R3004"/>
  <c r="S3004"/>
  <c r="AI3004" s="1"/>
  <c r="T3004"/>
  <c r="AJ3004" s="1"/>
  <c r="R3005"/>
  <c r="S3005"/>
  <c r="AI3005" s="1"/>
  <c r="T3005"/>
  <c r="AJ3005" s="1"/>
  <c r="R3006"/>
  <c r="S3006"/>
  <c r="AI3006" s="1"/>
  <c r="T3006"/>
  <c r="AJ3006" s="1"/>
  <c r="R3007"/>
  <c r="S3007"/>
  <c r="AI3007" s="1"/>
  <c r="T3007"/>
  <c r="AJ3007" s="1"/>
  <c r="R3008"/>
  <c r="S3008"/>
  <c r="AI3008" s="1"/>
  <c r="T3008"/>
  <c r="AJ3008" s="1"/>
  <c r="R3009"/>
  <c r="S3009"/>
  <c r="AI3009" s="1"/>
  <c r="T3009"/>
  <c r="AJ3009" s="1"/>
  <c r="R3010"/>
  <c r="S3010"/>
  <c r="AI3010" s="1"/>
  <c r="T3010"/>
  <c r="AJ3010" s="1"/>
  <c r="R3011"/>
  <c r="S3011"/>
  <c r="AI3011" s="1"/>
  <c r="T3011"/>
  <c r="AJ3011" s="1"/>
  <c r="R3012"/>
  <c r="S3012"/>
  <c r="AI3012" s="1"/>
  <c r="T3012"/>
  <c r="AJ3012" s="1"/>
  <c r="R3013"/>
  <c r="S3013"/>
  <c r="AI3013" s="1"/>
  <c r="T3013"/>
  <c r="AJ3013" s="1"/>
  <c r="R3014"/>
  <c r="S3014"/>
  <c r="AI3014" s="1"/>
  <c r="T3014"/>
  <c r="AJ3014" s="1"/>
  <c r="R3015"/>
  <c r="S3015"/>
  <c r="AI3015" s="1"/>
  <c r="T3015"/>
  <c r="AJ3015" s="1"/>
  <c r="R3016"/>
  <c r="S3016"/>
  <c r="AI3016" s="1"/>
  <c r="T3016"/>
  <c r="AJ3016" s="1"/>
  <c r="R3018"/>
  <c r="S3018"/>
  <c r="AI3018" s="1"/>
  <c r="T3018"/>
  <c r="AJ3018" s="1"/>
  <c r="R3019"/>
  <c r="S3019"/>
  <c r="AI3019" s="1"/>
  <c r="T3019"/>
  <c r="AJ3019" s="1"/>
  <c r="R3020"/>
  <c r="S3020"/>
  <c r="AI3020" s="1"/>
  <c r="T3020"/>
  <c r="AJ3020" s="1"/>
  <c r="R3021"/>
  <c r="S3021"/>
  <c r="AI3021" s="1"/>
  <c r="T3021"/>
  <c r="AJ3021" s="1"/>
  <c r="R3022"/>
  <c r="S3022"/>
  <c r="AI3022" s="1"/>
  <c r="T3022"/>
  <c r="AJ3022" s="1"/>
  <c r="R3023"/>
  <c r="S3023"/>
  <c r="AI3023" s="1"/>
  <c r="T3023"/>
  <c r="AJ3023" s="1"/>
  <c r="R3024"/>
  <c r="S3024"/>
  <c r="AI3024" s="1"/>
  <c r="T3024"/>
  <c r="AJ3024" s="1"/>
  <c r="R3025"/>
  <c r="S3025"/>
  <c r="AI3025" s="1"/>
  <c r="T3025"/>
  <c r="AJ3025" s="1"/>
  <c r="R3026"/>
  <c r="S3026"/>
  <c r="AI3026" s="1"/>
  <c r="T3026"/>
  <c r="AJ3026" s="1"/>
  <c r="R3027"/>
  <c r="S3027"/>
  <c r="AI3027" s="1"/>
  <c r="T3027"/>
  <c r="AJ3027" s="1"/>
  <c r="R3028"/>
  <c r="S3028"/>
  <c r="AI3028" s="1"/>
  <c r="T3028"/>
  <c r="AJ3028" s="1"/>
  <c r="R3029"/>
  <c r="S3029"/>
  <c r="AI3029" s="1"/>
  <c r="T3029"/>
  <c r="AJ3029" s="1"/>
  <c r="R3030"/>
  <c r="S3030"/>
  <c r="AI3030" s="1"/>
  <c r="T3030"/>
  <c r="AJ3030" s="1"/>
  <c r="R3031"/>
  <c r="S3031"/>
  <c r="AI3031" s="1"/>
  <c r="T3031"/>
  <c r="AJ3031" s="1"/>
  <c r="R3032"/>
  <c r="S3032"/>
  <c r="AI3032" s="1"/>
  <c r="T3032"/>
  <c r="AJ3032" s="1"/>
  <c r="R3033"/>
  <c r="S3033"/>
  <c r="AI3033" s="1"/>
  <c r="T3033"/>
  <c r="AJ3033" s="1"/>
  <c r="R3034"/>
  <c r="S3034"/>
  <c r="AI3034" s="1"/>
  <c r="T3034"/>
  <c r="AJ3034" s="1"/>
  <c r="R3035"/>
  <c r="S3035"/>
  <c r="AI3035" s="1"/>
  <c r="T3035"/>
  <c r="AJ3035" s="1"/>
  <c r="R3036"/>
  <c r="S3036"/>
  <c r="AI3036" s="1"/>
  <c r="T3036"/>
  <c r="AJ3036" s="1"/>
  <c r="R3037"/>
  <c r="S3037"/>
  <c r="AI3037" s="1"/>
  <c r="T3037"/>
  <c r="AJ3037" s="1"/>
  <c r="R3038"/>
  <c r="S3038"/>
  <c r="AI3038" s="1"/>
  <c r="T3038"/>
  <c r="AJ3038" s="1"/>
  <c r="R3039"/>
  <c r="S3039"/>
  <c r="AI3039" s="1"/>
  <c r="T3039"/>
  <c r="AJ3039" s="1"/>
  <c r="R3040"/>
  <c r="S3040"/>
  <c r="AI3040" s="1"/>
  <c r="T3040"/>
  <c r="AJ3040" s="1"/>
  <c r="R3041"/>
  <c r="S3041"/>
  <c r="AI3041" s="1"/>
  <c r="T3041"/>
  <c r="AJ3041" s="1"/>
  <c r="R3042"/>
  <c r="S3042"/>
  <c r="AI3042" s="1"/>
  <c r="T3042"/>
  <c r="AJ3042" s="1"/>
  <c r="R3043"/>
  <c r="S3043"/>
  <c r="AI3043" s="1"/>
  <c r="T3043"/>
  <c r="AJ3043" s="1"/>
  <c r="R3044"/>
  <c r="S3044"/>
  <c r="AI3044" s="1"/>
  <c r="T3044"/>
  <c r="AJ3044" s="1"/>
  <c r="R3045"/>
  <c r="S3045"/>
  <c r="AI3045" s="1"/>
  <c r="T3045"/>
  <c r="AJ3045" s="1"/>
  <c r="R3046"/>
  <c r="S3046"/>
  <c r="AI3046" s="1"/>
  <c r="T3046"/>
  <c r="AJ3046" s="1"/>
  <c r="R3047"/>
  <c r="S3047"/>
  <c r="AI3047" s="1"/>
  <c r="T3047"/>
  <c r="AJ3047" s="1"/>
  <c r="R3048"/>
  <c r="S3048"/>
  <c r="AI3048" s="1"/>
  <c r="T3048"/>
  <c r="R3049"/>
  <c r="S3049"/>
  <c r="AI3049" s="1"/>
  <c r="T3049"/>
  <c r="AJ3049" s="1"/>
  <c r="R3050"/>
  <c r="S3050"/>
  <c r="AI3050" s="1"/>
  <c r="T3050"/>
  <c r="AJ3050" s="1"/>
  <c r="R3051"/>
  <c r="S3051"/>
  <c r="AI3051" s="1"/>
  <c r="T3051"/>
  <c r="AJ3051" s="1"/>
  <c r="R3052"/>
  <c r="S3052"/>
  <c r="AI3052" s="1"/>
  <c r="T3052"/>
  <c r="AJ3052" s="1"/>
  <c r="R3053"/>
  <c r="S3053"/>
  <c r="AI3053" s="1"/>
  <c r="T3053"/>
  <c r="AJ3053" s="1"/>
  <c r="R3054"/>
  <c r="S3054"/>
  <c r="AI3054" s="1"/>
  <c r="T3054"/>
  <c r="AJ3054" s="1"/>
  <c r="R3055"/>
  <c r="S3055"/>
  <c r="AI3055" s="1"/>
  <c r="T3055"/>
  <c r="R3056"/>
  <c r="S3056"/>
  <c r="AI3056" s="1"/>
  <c r="T3056"/>
  <c r="AJ3056" s="1"/>
  <c r="R3057"/>
  <c r="S3057"/>
  <c r="AI3057" s="1"/>
  <c r="T3057"/>
  <c r="AJ3057" s="1"/>
  <c r="R3058"/>
  <c r="S3058"/>
  <c r="AI3058" s="1"/>
  <c r="T3058"/>
  <c r="AJ3058" s="1"/>
  <c r="R3059"/>
  <c r="S3059"/>
  <c r="AI3059" s="1"/>
  <c r="T3059"/>
  <c r="AJ3059" s="1"/>
  <c r="R3060"/>
  <c r="S3060"/>
  <c r="AI3060" s="1"/>
  <c r="T3060"/>
  <c r="AJ3060" s="1"/>
  <c r="R3061"/>
  <c r="S3061"/>
  <c r="AI3061" s="1"/>
  <c r="T3061"/>
  <c r="AJ3061" s="1"/>
  <c r="R3062"/>
  <c r="S3062"/>
  <c r="AI3062" s="1"/>
  <c r="T3062"/>
  <c r="AJ3062" s="1"/>
  <c r="R3063"/>
  <c r="S3063"/>
  <c r="AI3063" s="1"/>
  <c r="T3063"/>
  <c r="AJ3063" s="1"/>
  <c r="R3064"/>
  <c r="S3064"/>
  <c r="AI3064" s="1"/>
  <c r="T3064"/>
  <c r="AJ3064" s="1"/>
  <c r="R3065"/>
  <c r="S3065"/>
  <c r="AI3065" s="1"/>
  <c r="T3065"/>
  <c r="AJ3065" s="1"/>
  <c r="R3066"/>
  <c r="S3066"/>
  <c r="AI3066" s="1"/>
  <c r="T3066"/>
  <c r="AJ3066" s="1"/>
  <c r="R3067"/>
  <c r="S3067"/>
  <c r="AI3067" s="1"/>
  <c r="T3067"/>
  <c r="AJ3067" s="1"/>
  <c r="R3068"/>
  <c r="S3068"/>
  <c r="AI3068" s="1"/>
  <c r="T3068"/>
  <c r="AJ3068" s="1"/>
  <c r="R3069"/>
  <c r="S3069"/>
  <c r="AI3069" s="1"/>
  <c r="T3069"/>
  <c r="AJ3069" s="1"/>
  <c r="R3070"/>
  <c r="S3070"/>
  <c r="AI3070" s="1"/>
  <c r="T3070"/>
  <c r="AJ3070" s="1"/>
  <c r="R3071"/>
  <c r="S3071"/>
  <c r="AI3071" s="1"/>
  <c r="T3071"/>
  <c r="AJ3071" s="1"/>
  <c r="R3072"/>
  <c r="S3072"/>
  <c r="AI3072" s="1"/>
  <c r="T3072"/>
  <c r="AJ3072" s="1"/>
  <c r="R3073"/>
  <c r="S3073"/>
  <c r="AI3073" s="1"/>
  <c r="T3073"/>
  <c r="AJ3073" s="1"/>
  <c r="R3074"/>
  <c r="S3074"/>
  <c r="AI3074" s="1"/>
  <c r="T3074"/>
  <c r="AJ3074" s="1"/>
  <c r="R3075"/>
  <c r="S3075"/>
  <c r="AI3075" s="1"/>
  <c r="T3075"/>
  <c r="AJ3075" s="1"/>
  <c r="R3076"/>
  <c r="S3076"/>
  <c r="AI3076" s="1"/>
  <c r="T3076"/>
  <c r="AJ3076" s="1"/>
  <c r="R3077"/>
  <c r="S3077"/>
  <c r="AI3077" s="1"/>
  <c r="T3077"/>
  <c r="AJ3077" s="1"/>
  <c r="R3078"/>
  <c r="S3078"/>
  <c r="AI3078" s="1"/>
  <c r="T3078"/>
  <c r="AJ3078" s="1"/>
  <c r="R3079"/>
  <c r="S3079"/>
  <c r="AI3079" s="1"/>
  <c r="T3079"/>
  <c r="AJ3079" s="1"/>
  <c r="R3080"/>
  <c r="S3080"/>
  <c r="AI3080" s="1"/>
  <c r="T3080"/>
  <c r="AJ3080" s="1"/>
  <c r="R3081"/>
  <c r="S3081"/>
  <c r="AI3081" s="1"/>
  <c r="T3081"/>
  <c r="AJ3081" s="1"/>
  <c r="R3082"/>
  <c r="S3082"/>
  <c r="AI3082" s="1"/>
  <c r="T3082"/>
  <c r="AJ3082" s="1"/>
  <c r="R3083"/>
  <c r="S3083"/>
  <c r="AI3083" s="1"/>
  <c r="T3083"/>
  <c r="AJ3083" s="1"/>
  <c r="R3084"/>
  <c r="S3084"/>
  <c r="AI3084" s="1"/>
  <c r="T3084"/>
  <c r="AJ3084" s="1"/>
  <c r="R3085"/>
  <c r="S3085"/>
  <c r="AI3085" s="1"/>
  <c r="T3085"/>
  <c r="AJ3085" s="1"/>
  <c r="R3086"/>
  <c r="S3086"/>
  <c r="AI3086" s="1"/>
  <c r="T3086"/>
  <c r="AJ3086" s="1"/>
  <c r="R3087"/>
  <c r="S3087"/>
  <c r="AI3087" s="1"/>
  <c r="T3087"/>
  <c r="AJ3087" s="1"/>
  <c r="R3088"/>
  <c r="S3088"/>
  <c r="AI3088" s="1"/>
  <c r="T3088"/>
  <c r="AJ3088" s="1"/>
  <c r="R3089"/>
  <c r="S3089"/>
  <c r="AI3089" s="1"/>
  <c r="T3089"/>
  <c r="AJ3089" s="1"/>
  <c r="R3090"/>
  <c r="S3090"/>
  <c r="AI3090" s="1"/>
  <c r="T3090"/>
  <c r="AJ3090" s="1"/>
  <c r="R3091"/>
  <c r="S3091"/>
  <c r="AI3091" s="1"/>
  <c r="T3091"/>
  <c r="AJ3091" s="1"/>
  <c r="R3092"/>
  <c r="S3092"/>
  <c r="AI3092" s="1"/>
  <c r="T3092"/>
  <c r="AJ3092" s="1"/>
  <c r="R3093"/>
  <c r="S3093"/>
  <c r="AI3093" s="1"/>
  <c r="T3093"/>
  <c r="AJ3093" s="1"/>
  <c r="R3094"/>
  <c r="S3094"/>
  <c r="AI3094" s="1"/>
  <c r="T3094"/>
  <c r="AJ3094" s="1"/>
  <c r="R3095"/>
  <c r="S3095"/>
  <c r="AI3095" s="1"/>
  <c r="T3095"/>
  <c r="AJ3095" s="1"/>
  <c r="R3096"/>
  <c r="S3096"/>
  <c r="AI3096" s="1"/>
  <c r="T3096"/>
  <c r="AJ3096" s="1"/>
  <c r="R3097"/>
  <c r="S3097"/>
  <c r="AI3097" s="1"/>
  <c r="T3097"/>
  <c r="AJ3097" s="1"/>
  <c r="R3098"/>
  <c r="S3098"/>
  <c r="AI3098" s="1"/>
  <c r="T3098"/>
  <c r="AJ3098" s="1"/>
  <c r="R3099"/>
  <c r="S3099"/>
  <c r="AI3099" s="1"/>
  <c r="T3099"/>
  <c r="AJ3099" s="1"/>
  <c r="R3100"/>
  <c r="S3100"/>
  <c r="AI3100" s="1"/>
  <c r="T3100"/>
  <c r="AJ3100" s="1"/>
  <c r="R3101"/>
  <c r="S3101"/>
  <c r="AI3101" s="1"/>
  <c r="T3101"/>
  <c r="AJ3101" s="1"/>
  <c r="R3102"/>
  <c r="S3102"/>
  <c r="AI3102" s="1"/>
  <c r="T3102"/>
  <c r="AJ3102" s="1"/>
  <c r="R3103"/>
  <c r="S3103"/>
  <c r="AI3103" s="1"/>
  <c r="T3103"/>
  <c r="AJ3103" s="1"/>
  <c r="R3104"/>
  <c r="S3104"/>
  <c r="AI3104" s="1"/>
  <c r="T3104"/>
  <c r="AJ3104" s="1"/>
  <c r="R3105"/>
  <c r="S3105"/>
  <c r="AI3105" s="1"/>
  <c r="T3105"/>
  <c r="AJ3105" s="1"/>
  <c r="R3106"/>
  <c r="S3106"/>
  <c r="AI3106" s="1"/>
  <c r="T3106"/>
  <c r="AJ3106" s="1"/>
  <c r="R3107"/>
  <c r="S3107"/>
  <c r="AI3107" s="1"/>
  <c r="T3107"/>
  <c r="AJ3107" s="1"/>
  <c r="R3108"/>
  <c r="S3108"/>
  <c r="AI3108" s="1"/>
  <c r="T3108"/>
  <c r="AJ3108" s="1"/>
  <c r="R3109"/>
  <c r="S3109"/>
  <c r="AI3109" s="1"/>
  <c r="T3109"/>
  <c r="AJ3109" s="1"/>
  <c r="R3110"/>
  <c r="S3110"/>
  <c r="AI3110" s="1"/>
  <c r="T3110"/>
  <c r="AJ3110" s="1"/>
  <c r="R3111"/>
  <c r="S3111"/>
  <c r="AI3111" s="1"/>
  <c r="T3111"/>
  <c r="AJ3111" s="1"/>
  <c r="R3112"/>
  <c r="S3112"/>
  <c r="AI3112" s="1"/>
  <c r="T3112"/>
  <c r="AJ3112" s="1"/>
  <c r="R3113"/>
  <c r="S3113"/>
  <c r="AI3113" s="1"/>
  <c r="T3113"/>
  <c r="AJ3113" s="1"/>
  <c r="R3114"/>
  <c r="S3114"/>
  <c r="AI3114" s="1"/>
  <c r="T3114"/>
  <c r="AJ3114" s="1"/>
  <c r="R3115"/>
  <c r="S3115"/>
  <c r="AI3115" s="1"/>
  <c r="T3115"/>
  <c r="AJ3115" s="1"/>
  <c r="R3116"/>
  <c r="S3116"/>
  <c r="AI3116" s="1"/>
  <c r="T3116"/>
  <c r="AJ3116" s="1"/>
  <c r="R3117"/>
  <c r="S3117"/>
  <c r="AI3117" s="1"/>
  <c r="T3117"/>
  <c r="AJ3117" s="1"/>
  <c r="R3118"/>
  <c r="S3118"/>
  <c r="AI3118" s="1"/>
  <c r="T3118"/>
  <c r="AJ3118" s="1"/>
  <c r="R3119"/>
  <c r="S3119"/>
  <c r="AI3119" s="1"/>
  <c r="T3119"/>
  <c r="AJ3119" s="1"/>
  <c r="R3120"/>
  <c r="S3120"/>
  <c r="AI3120" s="1"/>
  <c r="T3120"/>
  <c r="AJ3120" s="1"/>
  <c r="R3121"/>
  <c r="S3121"/>
  <c r="AI3121" s="1"/>
  <c r="T3121"/>
  <c r="AJ3121" s="1"/>
  <c r="R3122"/>
  <c r="S3122"/>
  <c r="AI3122" s="1"/>
  <c r="T3122"/>
  <c r="AJ3122" s="1"/>
  <c r="R3123"/>
  <c r="S3123"/>
  <c r="AI3123" s="1"/>
  <c r="T3123"/>
  <c r="AJ3123" s="1"/>
  <c r="R3124"/>
  <c r="S3124"/>
  <c r="AI3124" s="1"/>
  <c r="T3124"/>
  <c r="AJ3124" s="1"/>
  <c r="R3125"/>
  <c r="S3125"/>
  <c r="AI3125" s="1"/>
  <c r="T3125"/>
  <c r="AJ3125" s="1"/>
  <c r="R3126"/>
  <c r="S3126"/>
  <c r="AI3126" s="1"/>
  <c r="T3126"/>
  <c r="AJ3126" s="1"/>
  <c r="R3127"/>
  <c r="S3127"/>
  <c r="AI3127" s="1"/>
  <c r="T3127"/>
  <c r="AJ3127" s="1"/>
  <c r="R3128"/>
  <c r="S3128"/>
  <c r="AI3128" s="1"/>
  <c r="T3128"/>
  <c r="AJ3128" s="1"/>
  <c r="R3129"/>
  <c r="S3129"/>
  <c r="AI3129" s="1"/>
  <c r="T3129"/>
  <c r="AJ3129" s="1"/>
  <c r="R3130"/>
  <c r="S3130"/>
  <c r="AI3130" s="1"/>
  <c r="T3130"/>
  <c r="AJ3130" s="1"/>
  <c r="R3131"/>
  <c r="S3131"/>
  <c r="AI3131" s="1"/>
  <c r="T3131"/>
  <c r="AJ3131" s="1"/>
  <c r="R3132"/>
  <c r="S3132"/>
  <c r="AI3132" s="1"/>
  <c r="T3132"/>
  <c r="AJ3132" s="1"/>
  <c r="R3133"/>
  <c r="S3133"/>
  <c r="AI3133" s="1"/>
  <c r="T3133"/>
  <c r="AJ3133" s="1"/>
  <c r="R3134"/>
  <c r="S3134"/>
  <c r="AI3134" s="1"/>
  <c r="T3134"/>
  <c r="AJ3134" s="1"/>
  <c r="R3135"/>
  <c r="S3135"/>
  <c r="AI3135" s="1"/>
  <c r="T3135"/>
  <c r="AJ3135" s="1"/>
  <c r="R3136"/>
  <c r="S3136"/>
  <c r="AI3136" s="1"/>
  <c r="T3136"/>
  <c r="AJ3136" s="1"/>
  <c r="R3137"/>
  <c r="S3137"/>
  <c r="AI3137" s="1"/>
  <c r="T3137"/>
  <c r="AJ3137" s="1"/>
  <c r="R3138"/>
  <c r="S3138"/>
  <c r="AI3138" s="1"/>
  <c r="T3138"/>
  <c r="AJ3138" s="1"/>
  <c r="R3139"/>
  <c r="S3139"/>
  <c r="AI3139" s="1"/>
  <c r="T3139"/>
  <c r="AJ3139" s="1"/>
  <c r="R3140"/>
  <c r="S3140"/>
  <c r="AI3140" s="1"/>
  <c r="T3140"/>
  <c r="AJ3140" s="1"/>
  <c r="R3141"/>
  <c r="S3141"/>
  <c r="AI3141" s="1"/>
  <c r="T3141"/>
  <c r="AJ3141" s="1"/>
  <c r="R3142"/>
  <c r="S3142"/>
  <c r="AI3142" s="1"/>
  <c r="T3142"/>
  <c r="AJ3142" s="1"/>
  <c r="R3143"/>
  <c r="S3143"/>
  <c r="AI3143" s="1"/>
  <c r="T3143"/>
  <c r="AJ3143" s="1"/>
  <c r="R3144"/>
  <c r="S3144"/>
  <c r="AI3144" s="1"/>
  <c r="R3145"/>
  <c r="S3145"/>
  <c r="AI3145" s="1"/>
  <c r="T3145"/>
  <c r="AJ3145" s="1"/>
  <c r="R3146"/>
  <c r="S3146"/>
  <c r="AI3146" s="1"/>
  <c r="R3147"/>
  <c r="S3147"/>
  <c r="AI3147" s="1"/>
  <c r="T3147"/>
  <c r="AJ3147" s="1"/>
  <c r="R3148"/>
  <c r="S3148"/>
  <c r="AI3148" s="1"/>
  <c r="T3148"/>
  <c r="AJ3148" s="1"/>
  <c r="R3149"/>
  <c r="S3149"/>
  <c r="AI3149" s="1"/>
  <c r="T3149"/>
  <c r="AJ3149" s="1"/>
  <c r="R3150"/>
  <c r="S3150"/>
  <c r="AI3150" s="1"/>
  <c r="T3150"/>
  <c r="AJ3150" s="1"/>
  <c r="R3151"/>
  <c r="S3151"/>
  <c r="AI3151" s="1"/>
  <c r="T3151"/>
  <c r="AJ3151" s="1"/>
  <c r="R3152"/>
  <c r="S3152"/>
  <c r="AI3152" s="1"/>
  <c r="T3152"/>
  <c r="AJ3152" s="1"/>
  <c r="R3153"/>
  <c r="S3153"/>
  <c r="AI3153" s="1"/>
  <c r="R3154"/>
  <c r="S3154"/>
  <c r="AI3154" s="1"/>
  <c r="T3154"/>
  <c r="AJ3154" s="1"/>
  <c r="R3155"/>
  <c r="S3155"/>
  <c r="AI3155" s="1"/>
  <c r="T3155"/>
  <c r="AJ3155" s="1"/>
  <c r="R3156"/>
  <c r="S3156"/>
  <c r="AI3156" s="1"/>
  <c r="T3156"/>
  <c r="AJ3156" s="1"/>
  <c r="R3157"/>
  <c r="S3157"/>
  <c r="AI3157" s="1"/>
  <c r="T3157"/>
  <c r="AJ3157" s="1"/>
  <c r="R3158"/>
  <c r="S3158"/>
  <c r="AI3158" s="1"/>
  <c r="T3158"/>
  <c r="AJ3158" s="1"/>
  <c r="R3159"/>
  <c r="S3159"/>
  <c r="AI3159" s="1"/>
  <c r="T3159"/>
  <c r="AJ3159" s="1"/>
  <c r="R3160"/>
  <c r="S3160"/>
  <c r="AI3160" s="1"/>
  <c r="T3160"/>
  <c r="AJ3160" s="1"/>
  <c r="R3161"/>
  <c r="S3161"/>
  <c r="AI3161" s="1"/>
  <c r="T3161"/>
  <c r="AJ3161" s="1"/>
  <c r="R3162"/>
  <c r="S3162"/>
  <c r="AI3162" s="1"/>
  <c r="T3162"/>
  <c r="AJ3162" s="1"/>
  <c r="R3163"/>
  <c r="S3163"/>
  <c r="AI3163" s="1"/>
  <c r="T3163"/>
  <c r="AJ3163" s="1"/>
  <c r="R3164"/>
  <c r="S3164"/>
  <c r="AI3164" s="1"/>
  <c r="T3164"/>
  <c r="AJ3164" s="1"/>
  <c r="R3165"/>
  <c r="S3165"/>
  <c r="AI3165" s="1"/>
  <c r="T3165"/>
  <c r="AJ3165" s="1"/>
  <c r="R3166"/>
  <c r="S3166"/>
  <c r="AI3166" s="1"/>
  <c r="T3166"/>
  <c r="AJ3166" s="1"/>
  <c r="R3167"/>
  <c r="S3167"/>
  <c r="AI3167" s="1"/>
  <c r="T3167"/>
  <c r="AJ3167" s="1"/>
  <c r="R3168"/>
  <c r="S3168"/>
  <c r="AI3168" s="1"/>
  <c r="T3168"/>
  <c r="AJ3168" s="1"/>
  <c r="R3169"/>
  <c r="S3169"/>
  <c r="AI3169" s="1"/>
  <c r="T3169"/>
  <c r="AJ3169" s="1"/>
  <c r="R3170"/>
  <c r="S3170"/>
  <c r="AI3170" s="1"/>
  <c r="T3170"/>
  <c r="AJ3170" s="1"/>
  <c r="R3171"/>
  <c r="S3171"/>
  <c r="AI3171" s="1"/>
  <c r="T3171"/>
  <c r="AJ3171" s="1"/>
  <c r="R3172"/>
  <c r="S3172"/>
  <c r="AI3172" s="1"/>
  <c r="T3172"/>
  <c r="AJ3172" s="1"/>
  <c r="R3173"/>
  <c r="S3173"/>
  <c r="AI3173" s="1"/>
  <c r="T3173"/>
  <c r="AJ3173" s="1"/>
  <c r="R3174"/>
  <c r="S3174"/>
  <c r="AI3174" s="1"/>
  <c r="T3174"/>
  <c r="AJ3174" s="1"/>
  <c r="R3175"/>
  <c r="S3175"/>
  <c r="AI3175" s="1"/>
  <c r="T3175"/>
  <c r="AJ3175" s="1"/>
  <c r="R3176"/>
  <c r="S3176"/>
  <c r="AI3176" s="1"/>
  <c r="T3176"/>
  <c r="AJ3176" s="1"/>
  <c r="R3177"/>
  <c r="S3177"/>
  <c r="AI3177" s="1"/>
  <c r="T3177"/>
  <c r="AJ3177" s="1"/>
  <c r="R3178"/>
  <c r="S3178"/>
  <c r="AI3178" s="1"/>
  <c r="T3178"/>
  <c r="AJ3178" s="1"/>
  <c r="R3179"/>
  <c r="S3179"/>
  <c r="AI3179" s="1"/>
  <c r="T3179"/>
  <c r="AJ3179" s="1"/>
  <c r="R3180"/>
  <c r="S3180"/>
  <c r="AI3180" s="1"/>
  <c r="T3180"/>
  <c r="AJ3180" s="1"/>
  <c r="R3181"/>
  <c r="S3181"/>
  <c r="AI3181" s="1"/>
  <c r="T3181"/>
  <c r="AJ3181" s="1"/>
  <c r="R3182"/>
  <c r="S3182"/>
  <c r="AI3182" s="1"/>
  <c r="T3182"/>
  <c r="AJ3182" s="1"/>
  <c r="R3183"/>
  <c r="S3183"/>
  <c r="AI3183" s="1"/>
  <c r="T3183"/>
  <c r="AJ3183" s="1"/>
  <c r="R3184"/>
  <c r="S3184"/>
  <c r="AI3184" s="1"/>
  <c r="T3184"/>
  <c r="AJ3184" s="1"/>
  <c r="R3185"/>
  <c r="S3185"/>
  <c r="AI3185" s="1"/>
  <c r="T3185"/>
  <c r="AJ3185" s="1"/>
  <c r="R3186"/>
  <c r="S3186"/>
  <c r="AI3186" s="1"/>
  <c r="T3186"/>
  <c r="AJ3186" s="1"/>
  <c r="R3187"/>
  <c r="S3187"/>
  <c r="AI3187" s="1"/>
  <c r="T3187"/>
  <c r="AJ3187" s="1"/>
  <c r="R3188"/>
  <c r="S3188"/>
  <c r="AI3188" s="1"/>
  <c r="R3189"/>
  <c r="S3189"/>
  <c r="AI3189" s="1"/>
  <c r="T3189"/>
  <c r="R3190"/>
  <c r="S3190"/>
  <c r="AI3190" s="1"/>
  <c r="T3190"/>
  <c r="AJ3190" s="1"/>
  <c r="R3191"/>
  <c r="S3191"/>
  <c r="AI3191" s="1"/>
  <c r="T3191"/>
  <c r="AJ3191" s="1"/>
  <c r="R3192"/>
  <c r="S3192"/>
  <c r="AI3192" s="1"/>
  <c r="T3192"/>
  <c r="AJ3192" s="1"/>
  <c r="R3193"/>
  <c r="S3193"/>
  <c r="AI3193" s="1"/>
  <c r="T3193"/>
  <c r="AJ3193" s="1"/>
  <c r="R3194"/>
  <c r="S3194"/>
  <c r="AI3194" s="1"/>
  <c r="T3194"/>
  <c r="AJ3194" s="1"/>
  <c r="R3195"/>
  <c r="S3195"/>
  <c r="AI3195" s="1"/>
  <c r="T3195"/>
  <c r="AJ3195" s="1"/>
  <c r="R3196"/>
  <c r="S3196"/>
  <c r="AI3196" s="1"/>
  <c r="T3196"/>
  <c r="AJ3196" s="1"/>
  <c r="R3197"/>
  <c r="S3197"/>
  <c r="AI3197" s="1"/>
  <c r="T3197"/>
  <c r="AJ3197" s="1"/>
  <c r="R3198"/>
  <c r="S3198"/>
  <c r="AI3198" s="1"/>
  <c r="T3198"/>
  <c r="AJ3198" s="1"/>
  <c r="R3199"/>
  <c r="S3199"/>
  <c r="AI3199" s="1"/>
  <c r="T3199"/>
  <c r="AJ3199" s="1"/>
  <c r="R3200"/>
  <c r="S3200"/>
  <c r="AI3200" s="1"/>
  <c r="T3200"/>
  <c r="AJ3200" s="1"/>
  <c r="R3201"/>
  <c r="S3201"/>
  <c r="AI3201" s="1"/>
  <c r="T3201"/>
  <c r="AJ3201" s="1"/>
  <c r="R3202"/>
  <c r="S3202"/>
  <c r="AI3202" s="1"/>
  <c r="T3202"/>
  <c r="AJ3202" s="1"/>
  <c r="R3203"/>
  <c r="S3203"/>
  <c r="AI3203" s="1"/>
  <c r="T3203"/>
  <c r="AJ3203" s="1"/>
  <c r="R3204"/>
  <c r="S3204"/>
  <c r="AI3204" s="1"/>
  <c r="T3204"/>
  <c r="AJ3204" s="1"/>
  <c r="R3205"/>
  <c r="S3205"/>
  <c r="AI3205" s="1"/>
  <c r="T3205"/>
  <c r="AJ3205" s="1"/>
  <c r="R3206"/>
  <c r="S3206"/>
  <c r="AI3206" s="1"/>
  <c r="T3206"/>
  <c r="AJ3206" s="1"/>
  <c r="R3207"/>
  <c r="S3207"/>
  <c r="AI3207" s="1"/>
  <c r="T3207"/>
  <c r="AJ3207" s="1"/>
  <c r="R3208"/>
  <c r="S3208"/>
  <c r="AI3208" s="1"/>
  <c r="T3208"/>
  <c r="AJ3208" s="1"/>
  <c r="R3209"/>
  <c r="S3209"/>
  <c r="AI3209" s="1"/>
  <c r="T3209"/>
  <c r="AJ3209" s="1"/>
  <c r="R3210"/>
  <c r="S3210"/>
  <c r="AI3210" s="1"/>
  <c r="T3210"/>
  <c r="AJ3210" s="1"/>
  <c r="R3211"/>
  <c r="S3211"/>
  <c r="AI3211" s="1"/>
  <c r="T3211"/>
  <c r="AJ3211" s="1"/>
  <c r="R3212"/>
  <c r="S3212"/>
  <c r="AI3212" s="1"/>
  <c r="T3212"/>
  <c r="AJ3212" s="1"/>
  <c r="R3213"/>
  <c r="S3213"/>
  <c r="AI3213" s="1"/>
  <c r="T3213"/>
  <c r="AJ3213" s="1"/>
  <c r="R3214"/>
  <c r="S3214"/>
  <c r="AI3214" s="1"/>
  <c r="T3214"/>
  <c r="AJ3214" s="1"/>
  <c r="R3215"/>
  <c r="S3215"/>
  <c r="AI3215" s="1"/>
  <c r="T3215"/>
  <c r="AJ3215" s="1"/>
  <c r="R3216"/>
  <c r="S3216"/>
  <c r="AI3216" s="1"/>
  <c r="T3216"/>
  <c r="AJ3216" s="1"/>
  <c r="R3217"/>
  <c r="S3217"/>
  <c r="AI3217" s="1"/>
  <c r="T3217"/>
  <c r="AJ3217" s="1"/>
  <c r="R3218"/>
  <c r="S3218"/>
  <c r="AI3218" s="1"/>
  <c r="T3218"/>
  <c r="AJ3218" s="1"/>
  <c r="R3219"/>
  <c r="S3219"/>
  <c r="AI3219" s="1"/>
  <c r="T3219"/>
  <c r="AJ3219" s="1"/>
  <c r="R3220"/>
  <c r="S3220"/>
  <c r="AI3220" s="1"/>
  <c r="T3220"/>
  <c r="AJ3220" s="1"/>
  <c r="R3221"/>
  <c r="S3221"/>
  <c r="AI3221" s="1"/>
  <c r="T3221"/>
  <c r="AJ3221" s="1"/>
  <c r="R3222"/>
  <c r="S3222"/>
  <c r="AI3222" s="1"/>
  <c r="T3222"/>
  <c r="AJ3222" s="1"/>
  <c r="R3223"/>
  <c r="S3223"/>
  <c r="AI3223" s="1"/>
  <c r="T3223"/>
  <c r="AJ3223" s="1"/>
  <c r="R3224"/>
  <c r="S3224"/>
  <c r="AI3224" s="1"/>
  <c r="T3224"/>
  <c r="AJ3224" s="1"/>
  <c r="R3225"/>
  <c r="S3225"/>
  <c r="AI3225" s="1"/>
  <c r="T3225"/>
  <c r="AJ3225" s="1"/>
  <c r="R3226"/>
  <c r="S3226"/>
  <c r="AI3226" s="1"/>
  <c r="T3226"/>
  <c r="AJ3226" s="1"/>
  <c r="R3227"/>
  <c r="S3227"/>
  <c r="AI3227" s="1"/>
  <c r="T3227"/>
  <c r="AJ3227" s="1"/>
  <c r="R3228"/>
  <c r="S3228"/>
  <c r="AI3228" s="1"/>
  <c r="T3228"/>
  <c r="AJ3228" s="1"/>
  <c r="R3229"/>
  <c r="S3229"/>
  <c r="AI3229" s="1"/>
  <c r="T3229"/>
  <c r="AJ3229" s="1"/>
  <c r="R3230"/>
  <c r="S3230"/>
  <c r="AI3230" s="1"/>
  <c r="T3230"/>
  <c r="AJ3230" s="1"/>
  <c r="R3231"/>
  <c r="S3231"/>
  <c r="AI3231" s="1"/>
  <c r="T3231"/>
  <c r="AJ3231" s="1"/>
  <c r="R3232"/>
  <c r="S3232"/>
  <c r="AI3232" s="1"/>
  <c r="T3232"/>
  <c r="AJ3232" s="1"/>
  <c r="R3233"/>
  <c r="S3233"/>
  <c r="AI3233" s="1"/>
  <c r="T3233"/>
  <c r="AJ3233" s="1"/>
  <c r="R3234"/>
  <c r="S3234"/>
  <c r="AI3234" s="1"/>
  <c r="T3234"/>
  <c r="AJ3234" s="1"/>
  <c r="R3235"/>
  <c r="S3235"/>
  <c r="AI3235" s="1"/>
  <c r="T3235"/>
  <c r="AJ3235" s="1"/>
  <c r="R3236"/>
  <c r="S3236"/>
  <c r="AI3236" s="1"/>
  <c r="T3236"/>
  <c r="AJ3236" s="1"/>
  <c r="R3237"/>
  <c r="S3237"/>
  <c r="AI3237" s="1"/>
  <c r="T3237"/>
  <c r="AJ3237" s="1"/>
  <c r="R3238"/>
  <c r="S3238"/>
  <c r="AI3238" s="1"/>
  <c r="T3238"/>
  <c r="AJ3238" s="1"/>
  <c r="R3239"/>
  <c r="S3239"/>
  <c r="AI3239" s="1"/>
  <c r="T3239"/>
  <c r="AJ3239" s="1"/>
  <c r="R3240"/>
  <c r="S3240"/>
  <c r="AI3240" s="1"/>
  <c r="T3240"/>
  <c r="AJ3240" s="1"/>
  <c r="R3241"/>
  <c r="S3241"/>
  <c r="AI3241" s="1"/>
  <c r="T3241"/>
  <c r="AJ3241" s="1"/>
  <c r="R3242"/>
  <c r="S3242"/>
  <c r="AI3242" s="1"/>
  <c r="T3242"/>
  <c r="AJ3242" s="1"/>
  <c r="R3243"/>
  <c r="S3243"/>
  <c r="AI3243" s="1"/>
  <c r="T3243"/>
  <c r="AJ3243" s="1"/>
  <c r="R3244"/>
  <c r="S3244"/>
  <c r="AI3244" s="1"/>
  <c r="T3244"/>
  <c r="AJ3244" s="1"/>
  <c r="R3245"/>
  <c r="S3245"/>
  <c r="AI3245" s="1"/>
  <c r="T3245"/>
  <c r="AJ3245" s="1"/>
  <c r="R3246"/>
  <c r="S3246"/>
  <c r="AI3246" s="1"/>
  <c r="T3246"/>
  <c r="AJ3246" s="1"/>
  <c r="R3247"/>
  <c r="S3247"/>
  <c r="AI3247" s="1"/>
  <c r="T3247"/>
  <c r="AJ3247" s="1"/>
  <c r="R3248"/>
  <c r="S3248"/>
  <c r="AI3248" s="1"/>
  <c r="T3248"/>
  <c r="AJ3248" s="1"/>
  <c r="R3249"/>
  <c r="S3249"/>
  <c r="AI3249" s="1"/>
  <c r="R3250"/>
  <c r="S3250"/>
  <c r="AI3250" s="1"/>
  <c r="T3250"/>
  <c r="AJ3250" s="1"/>
  <c r="R3251"/>
  <c r="S3251"/>
  <c r="AI3251" s="1"/>
  <c r="T3251"/>
  <c r="AJ3251" s="1"/>
  <c r="R3252"/>
  <c r="S3252"/>
  <c r="AI3252" s="1"/>
  <c r="T3252"/>
  <c r="AJ3252" s="1"/>
  <c r="R3253"/>
  <c r="S3253"/>
  <c r="AI3253" s="1"/>
  <c r="T3253"/>
  <c r="AJ3253" s="1"/>
  <c r="R3254"/>
  <c r="S3254"/>
  <c r="AI3254" s="1"/>
  <c r="T3254"/>
  <c r="AJ3254" s="1"/>
  <c r="R3255"/>
  <c r="S3255"/>
  <c r="AI3255" s="1"/>
  <c r="T3255"/>
  <c r="AJ3255" s="1"/>
  <c r="R3256"/>
  <c r="S3256"/>
  <c r="AI3256" s="1"/>
  <c r="T3256"/>
  <c r="AJ3256" s="1"/>
  <c r="R3257"/>
  <c r="S3257"/>
  <c r="AI3257" s="1"/>
  <c r="T3257"/>
  <c r="AJ3257" s="1"/>
  <c r="R3258"/>
  <c r="S3258"/>
  <c r="AI3258" s="1"/>
  <c r="R3259"/>
  <c r="S3259"/>
  <c r="AI3259" s="1"/>
  <c r="T3259"/>
  <c r="AJ3259" s="1"/>
  <c r="R3260"/>
  <c r="S3260"/>
  <c r="AI3260" s="1"/>
  <c r="R3261"/>
  <c r="S3261"/>
  <c r="AI3261" s="1"/>
  <c r="T3261"/>
  <c r="AJ3261" s="1"/>
  <c r="R3262"/>
  <c r="S3262"/>
  <c r="AI3262" s="1"/>
  <c r="T3262"/>
  <c r="AJ3262" s="1"/>
  <c r="R3263"/>
  <c r="S3263"/>
  <c r="AI3263" s="1"/>
  <c r="T3263"/>
  <c r="AJ3263" s="1"/>
  <c r="R3264"/>
  <c r="S3264"/>
  <c r="AI3264" s="1"/>
  <c r="T3264"/>
  <c r="AJ3264" s="1"/>
  <c r="R3265"/>
  <c r="S3265"/>
  <c r="AI3265" s="1"/>
  <c r="T3265"/>
  <c r="AJ3265" s="1"/>
  <c r="R3266"/>
  <c r="S3266"/>
  <c r="AI3266" s="1"/>
  <c r="R3267"/>
  <c r="S3267"/>
  <c r="AI3267" s="1"/>
  <c r="T3267"/>
  <c r="AJ3267" s="1"/>
  <c r="R3268"/>
  <c r="S3268"/>
  <c r="AI3268" s="1"/>
  <c r="T3268"/>
  <c r="AJ3268" s="1"/>
  <c r="R3269"/>
  <c r="S3269"/>
  <c r="AI3269" s="1"/>
  <c r="T3269"/>
  <c r="AJ3269" s="1"/>
  <c r="R3270"/>
  <c r="S3270"/>
  <c r="AI3270" s="1"/>
  <c r="T3270"/>
  <c r="AJ3270" s="1"/>
  <c r="R3271"/>
  <c r="S3271"/>
  <c r="AI3271" s="1"/>
  <c r="T3271"/>
  <c r="AJ3271" s="1"/>
  <c r="S3272"/>
  <c r="AI3272" s="1"/>
  <c r="T3272"/>
  <c r="AJ3272" s="1"/>
  <c r="R3273"/>
  <c r="S3273"/>
  <c r="AI3273" s="1"/>
  <c r="T3273"/>
  <c r="AJ3273" s="1"/>
  <c r="R3274"/>
  <c r="S3274"/>
  <c r="AI3274" s="1"/>
  <c r="R3275"/>
  <c r="S3275"/>
  <c r="AI3275" s="1"/>
  <c r="T3275"/>
  <c r="AJ3275" s="1"/>
  <c r="S3276"/>
  <c r="AI3276" s="1"/>
  <c r="R3277"/>
  <c r="S3277"/>
  <c r="AI3277" s="1"/>
  <c r="T3277"/>
  <c r="AJ3277" s="1"/>
  <c r="S3278"/>
  <c r="AI3278" s="1"/>
  <c r="R3279"/>
  <c r="S3279"/>
  <c r="AI3279" s="1"/>
  <c r="T3279"/>
  <c r="AJ3279" s="1"/>
  <c r="S3280"/>
  <c r="AI3280" s="1"/>
  <c r="T3280"/>
  <c r="AJ3280" s="1"/>
  <c r="R3281"/>
  <c r="S3281"/>
  <c r="AI3281" s="1"/>
  <c r="R3282"/>
  <c r="S3282"/>
  <c r="AI3282" s="1"/>
  <c r="T3282"/>
  <c r="AJ3282" s="1"/>
  <c r="R3283"/>
  <c r="S3283"/>
  <c r="AI3283" s="1"/>
  <c r="T3283"/>
  <c r="AJ3283" s="1"/>
  <c r="R3284"/>
  <c r="S3284"/>
  <c r="AI3284" s="1"/>
  <c r="R3285"/>
  <c r="S3285"/>
  <c r="AI3285" s="1"/>
  <c r="T3285"/>
  <c r="AJ3285" s="1"/>
  <c r="R3286"/>
  <c r="S3286"/>
  <c r="AI3286" s="1"/>
  <c r="T3286"/>
  <c r="AJ3286" s="1"/>
  <c r="R3287"/>
  <c r="S3287"/>
  <c r="AI3287" s="1"/>
  <c r="T3287"/>
  <c r="AJ3287" s="1"/>
  <c r="R3288"/>
  <c r="S3288"/>
  <c r="AI3288" s="1"/>
  <c r="T3288"/>
  <c r="AJ3288" s="1"/>
  <c r="R3289"/>
  <c r="S3289"/>
  <c r="AI3289" s="1"/>
  <c r="T3289"/>
  <c r="AJ3289" s="1"/>
  <c r="R3290"/>
  <c r="S3290"/>
  <c r="AI3290" s="1"/>
  <c r="T3290"/>
  <c r="AJ3290" s="1"/>
  <c r="R3291"/>
  <c r="S3291"/>
  <c r="AI3291" s="1"/>
  <c r="T3291"/>
  <c r="AJ3291" s="1"/>
  <c r="R3292"/>
  <c r="S3292"/>
  <c r="AI3292" s="1"/>
  <c r="T3292"/>
  <c r="AJ3292" s="1"/>
  <c r="R3293"/>
  <c r="S3293"/>
  <c r="AI3293" s="1"/>
  <c r="T3293"/>
  <c r="AJ3293" s="1"/>
  <c r="R3294"/>
  <c r="S3294"/>
  <c r="AI3294" s="1"/>
  <c r="T3294"/>
  <c r="AJ3294" s="1"/>
  <c r="R3295"/>
  <c r="S3295"/>
  <c r="AI3295" s="1"/>
  <c r="T3295"/>
  <c r="AJ3295" s="1"/>
  <c r="R3296"/>
  <c r="S3296"/>
  <c r="AI3296" s="1"/>
  <c r="T3296"/>
  <c r="AJ3296" s="1"/>
  <c r="R3297"/>
  <c r="S3297"/>
  <c r="AI3297" s="1"/>
  <c r="T3297"/>
  <c r="AJ3297" s="1"/>
  <c r="R3298"/>
  <c r="S3298"/>
  <c r="AI3298" s="1"/>
  <c r="T3298"/>
  <c r="AJ3298" s="1"/>
  <c r="R3299"/>
  <c r="S3299"/>
  <c r="AI3299" s="1"/>
  <c r="T3299"/>
  <c r="AJ3299" s="1"/>
  <c r="R3300"/>
  <c r="S3300"/>
  <c r="AI3300" s="1"/>
  <c r="T3300"/>
  <c r="AJ3300" s="1"/>
  <c r="R3301"/>
  <c r="S3301"/>
  <c r="AI3301" s="1"/>
  <c r="T3301"/>
  <c r="AJ3301" s="1"/>
  <c r="R3302"/>
  <c r="S3302"/>
  <c r="AI3302" s="1"/>
  <c r="T3302"/>
  <c r="AJ3302" s="1"/>
  <c r="R3303"/>
  <c r="S3303"/>
  <c r="AI3303" s="1"/>
  <c r="T3303"/>
  <c r="AJ3303" s="1"/>
  <c r="R3304"/>
  <c r="S3304"/>
  <c r="AI3304" s="1"/>
  <c r="T3304"/>
  <c r="AJ3304" s="1"/>
  <c r="R3305"/>
  <c r="S3305"/>
  <c r="AI3305" s="1"/>
  <c r="T3305"/>
  <c r="AJ3305" s="1"/>
  <c r="R3306"/>
  <c r="S3306"/>
  <c r="AI3306" s="1"/>
  <c r="T3306"/>
  <c r="AJ3306" s="1"/>
  <c r="R3307"/>
  <c r="S3307"/>
  <c r="AI3307" s="1"/>
  <c r="T3307"/>
  <c r="AJ3307" s="1"/>
  <c r="R3308"/>
  <c r="S3308"/>
  <c r="AI3308" s="1"/>
  <c r="T3308"/>
  <c r="AJ3308" s="1"/>
  <c r="R3309"/>
  <c r="S3309"/>
  <c r="AI3309" s="1"/>
  <c r="T3309"/>
  <c r="AJ3309" s="1"/>
  <c r="R3310"/>
  <c r="S3310"/>
  <c r="AI3310" s="1"/>
  <c r="T3310"/>
  <c r="AJ3310" s="1"/>
  <c r="R3311"/>
  <c r="S3311"/>
  <c r="AI3311" s="1"/>
  <c r="T3311"/>
  <c r="AJ3311" s="1"/>
  <c r="R3312"/>
  <c r="S3312"/>
  <c r="AI3312" s="1"/>
  <c r="T3312"/>
  <c r="AJ3312" s="1"/>
  <c r="R3313"/>
  <c r="S3313"/>
  <c r="AI3313" s="1"/>
  <c r="T3313"/>
  <c r="AJ3313" s="1"/>
  <c r="R3314"/>
  <c r="S3314"/>
  <c r="AI3314" s="1"/>
  <c r="T3314"/>
  <c r="AJ3314" s="1"/>
  <c r="R3315"/>
  <c r="S3315"/>
  <c r="AI3315" s="1"/>
  <c r="T3315"/>
  <c r="AJ3315" s="1"/>
  <c r="R3316"/>
  <c r="S3316"/>
  <c r="AI3316" s="1"/>
  <c r="T3316"/>
  <c r="AJ3316" s="1"/>
  <c r="R3317"/>
  <c r="S3317"/>
  <c r="AI3317" s="1"/>
  <c r="T3317"/>
  <c r="AJ3317" s="1"/>
  <c r="R3318"/>
  <c r="S3318"/>
  <c r="AI3318" s="1"/>
  <c r="T3318"/>
  <c r="AJ3318" s="1"/>
  <c r="R3319"/>
  <c r="S3319"/>
  <c r="AI3319" s="1"/>
  <c r="T3319"/>
  <c r="AJ3319" s="1"/>
  <c r="R3320"/>
  <c r="S3320"/>
  <c r="AI3320" s="1"/>
  <c r="T3320"/>
  <c r="AJ3320" s="1"/>
  <c r="R3321"/>
  <c r="S3321"/>
  <c r="AI3321" s="1"/>
  <c r="T3321"/>
  <c r="AJ3321" s="1"/>
  <c r="R3322"/>
  <c r="S3322"/>
  <c r="AI3322" s="1"/>
  <c r="T3322"/>
  <c r="AJ3322" s="1"/>
  <c r="R3323"/>
  <c r="S3323"/>
  <c r="AI3323" s="1"/>
  <c r="T3323"/>
  <c r="AJ3323" s="1"/>
  <c r="R3324"/>
  <c r="S3324"/>
  <c r="AI3324" s="1"/>
  <c r="T3324"/>
  <c r="AJ3324" s="1"/>
  <c r="R3325"/>
  <c r="S3325"/>
  <c r="AI3325" s="1"/>
  <c r="T3325"/>
  <c r="AJ3325" s="1"/>
  <c r="R3326"/>
  <c r="S3326"/>
  <c r="AI3326" s="1"/>
  <c r="T3326"/>
  <c r="AJ3326" s="1"/>
  <c r="R3327"/>
  <c r="S3327"/>
  <c r="AI3327" s="1"/>
  <c r="T3327"/>
  <c r="AJ3327" s="1"/>
  <c r="R3328"/>
  <c r="S3328"/>
  <c r="AI3328" s="1"/>
  <c r="T3328"/>
  <c r="AJ3328" s="1"/>
  <c r="R3329"/>
  <c r="S3329"/>
  <c r="AI3329" s="1"/>
  <c r="T3329"/>
  <c r="AJ3329" s="1"/>
  <c r="R3330"/>
  <c r="S3330"/>
  <c r="AI3330" s="1"/>
  <c r="T3330"/>
  <c r="AJ3330" s="1"/>
  <c r="R3331"/>
  <c r="S3331"/>
  <c r="AI3331" s="1"/>
  <c r="T3331"/>
  <c r="AJ3331" s="1"/>
  <c r="R3332"/>
  <c r="S3332"/>
  <c r="AI3332" s="1"/>
  <c r="T3332"/>
  <c r="AJ3332" s="1"/>
  <c r="R3333"/>
  <c r="S3333"/>
  <c r="AI3333" s="1"/>
  <c r="T3333"/>
  <c r="AJ3333" s="1"/>
  <c r="R3334"/>
  <c r="S3334"/>
  <c r="AI3334" s="1"/>
  <c r="T3334"/>
  <c r="AJ3334" s="1"/>
  <c r="R3335"/>
  <c r="S3335"/>
  <c r="AI3335" s="1"/>
  <c r="T3335"/>
  <c r="AJ3335" s="1"/>
  <c r="R3336"/>
  <c r="S3336"/>
  <c r="AI3336" s="1"/>
  <c r="T3336"/>
  <c r="AJ3336" s="1"/>
  <c r="R3337"/>
  <c r="S3337"/>
  <c r="AI3337" s="1"/>
  <c r="T3337"/>
  <c r="AJ3337" s="1"/>
  <c r="R3338"/>
  <c r="S3338"/>
  <c r="AI3338" s="1"/>
  <c r="T3338"/>
  <c r="AJ3338" s="1"/>
  <c r="R3339"/>
  <c r="S3339"/>
  <c r="AI3339" s="1"/>
  <c r="T3339"/>
  <c r="AJ3339" s="1"/>
  <c r="R3340"/>
  <c r="S3340"/>
  <c r="AI3340" s="1"/>
  <c r="T3340"/>
  <c r="AJ3340" s="1"/>
  <c r="R3341"/>
  <c r="S3341"/>
  <c r="AI3341" s="1"/>
  <c r="T3341"/>
  <c r="AJ3341" s="1"/>
  <c r="R3342"/>
  <c r="S3342"/>
  <c r="AI3342" s="1"/>
  <c r="T3342"/>
  <c r="AJ3342" s="1"/>
  <c r="R3343"/>
  <c r="S3343"/>
  <c r="AI3343" s="1"/>
  <c r="T3343"/>
  <c r="AJ3343" s="1"/>
  <c r="R3344"/>
  <c r="S3344"/>
  <c r="AI3344" s="1"/>
  <c r="T3344"/>
  <c r="AJ3344" s="1"/>
  <c r="R3345"/>
  <c r="S3345"/>
  <c r="AI3345" s="1"/>
  <c r="T3345"/>
  <c r="AJ3345" s="1"/>
  <c r="R3346"/>
  <c r="S3346"/>
  <c r="AI3346" s="1"/>
  <c r="T3346"/>
  <c r="AJ3346" s="1"/>
  <c r="R3347"/>
  <c r="S3347"/>
  <c r="AI3347" s="1"/>
  <c r="T3347"/>
  <c r="AJ3347" s="1"/>
  <c r="R3348"/>
  <c r="S3348"/>
  <c r="AI3348" s="1"/>
  <c r="T3348"/>
  <c r="AJ3348" s="1"/>
  <c r="R3349"/>
  <c r="S3349"/>
  <c r="AI3349" s="1"/>
  <c r="T3349"/>
  <c r="AJ3349" s="1"/>
  <c r="R3350"/>
  <c r="S3350"/>
  <c r="AI3350" s="1"/>
  <c r="T3350"/>
  <c r="AJ3350" s="1"/>
  <c r="R3351"/>
  <c r="S3351"/>
  <c r="AI3351" s="1"/>
  <c r="T3351"/>
  <c r="AJ3351" s="1"/>
  <c r="R3352"/>
  <c r="S3352"/>
  <c r="AI3352" s="1"/>
  <c r="T3352"/>
  <c r="AJ3352" s="1"/>
  <c r="R3353"/>
  <c r="S3353"/>
  <c r="AI3353" s="1"/>
  <c r="T3353"/>
  <c r="AJ3353" s="1"/>
  <c r="R3354"/>
  <c r="S3354"/>
  <c r="AI3354" s="1"/>
  <c r="T3354"/>
  <c r="AJ3354" s="1"/>
  <c r="R3355"/>
  <c r="S3355"/>
  <c r="AI3355" s="1"/>
  <c r="T3355"/>
  <c r="AJ3355" s="1"/>
  <c r="R3356"/>
  <c r="S3356"/>
  <c r="AI3356" s="1"/>
  <c r="T3356"/>
  <c r="AJ3356" s="1"/>
  <c r="R3357"/>
  <c r="S3357"/>
  <c r="AI3357" s="1"/>
  <c r="T3357"/>
  <c r="AJ3357" s="1"/>
  <c r="R3358"/>
  <c r="S3358"/>
  <c r="AI3358" s="1"/>
  <c r="T3358"/>
  <c r="AJ3358" s="1"/>
  <c r="R3359"/>
  <c r="S3359"/>
  <c r="AI3359" s="1"/>
  <c r="T3359"/>
  <c r="AJ3359" s="1"/>
  <c r="R3360"/>
  <c r="S3360"/>
  <c r="AI3360" s="1"/>
  <c r="T3360"/>
  <c r="AJ3360" s="1"/>
  <c r="R3361"/>
  <c r="S3361"/>
  <c r="AI3361" s="1"/>
  <c r="T3361"/>
  <c r="AJ3361" s="1"/>
  <c r="R3362"/>
  <c r="S3362"/>
  <c r="AI3362" s="1"/>
  <c r="T3362"/>
  <c r="AJ3362" s="1"/>
  <c r="R3363"/>
  <c r="S3363"/>
  <c r="AI3363" s="1"/>
  <c r="T3363"/>
  <c r="AJ3363" s="1"/>
  <c r="R3364"/>
  <c r="S3364"/>
  <c r="AI3364" s="1"/>
  <c r="T3364"/>
  <c r="AJ3364" s="1"/>
  <c r="R3365"/>
  <c r="S3365"/>
  <c r="AI3365" s="1"/>
  <c r="T3365"/>
  <c r="AJ3365" s="1"/>
  <c r="R3366"/>
  <c r="S3366"/>
  <c r="AI3366" s="1"/>
  <c r="T3366"/>
  <c r="AJ3366" s="1"/>
  <c r="R3367"/>
  <c r="S3367"/>
  <c r="AI3367" s="1"/>
  <c r="T3367"/>
  <c r="AJ3367" s="1"/>
  <c r="R3368"/>
  <c r="S3368"/>
  <c r="AI3368" s="1"/>
  <c r="T3368"/>
  <c r="AJ3368" s="1"/>
  <c r="R3369"/>
  <c r="S3369"/>
  <c r="AI3369" s="1"/>
  <c r="T3369"/>
  <c r="AJ3369" s="1"/>
  <c r="R3370"/>
  <c r="S3370"/>
  <c r="AI3370" s="1"/>
  <c r="T3370"/>
  <c r="AJ3370" s="1"/>
  <c r="R3371"/>
  <c r="S3371"/>
  <c r="AI3371" s="1"/>
  <c r="T3371"/>
  <c r="AJ3371" s="1"/>
  <c r="R3372"/>
  <c r="S3372"/>
  <c r="AI3372" s="1"/>
  <c r="T3372"/>
  <c r="AJ3372" s="1"/>
  <c r="R3373"/>
  <c r="S3373"/>
  <c r="AI3373" s="1"/>
  <c r="T3373"/>
  <c r="AJ3373" s="1"/>
  <c r="R3374"/>
  <c r="S3374"/>
  <c r="AI3374" s="1"/>
  <c r="T3374"/>
  <c r="AJ3374" s="1"/>
  <c r="R3375"/>
  <c r="S3375"/>
  <c r="AI3375" s="1"/>
  <c r="T3375"/>
  <c r="AJ3375" s="1"/>
  <c r="R3376"/>
  <c r="S3376"/>
  <c r="AI3376" s="1"/>
  <c r="T3376"/>
  <c r="AJ3376" s="1"/>
  <c r="R3377"/>
  <c r="S3377"/>
  <c r="AI3377" s="1"/>
  <c r="T3377"/>
  <c r="AJ3377" s="1"/>
  <c r="R3378"/>
  <c r="S3378"/>
  <c r="AI3378" s="1"/>
  <c r="T3378"/>
  <c r="AJ3378" s="1"/>
  <c r="R3379"/>
  <c r="S3379"/>
  <c r="AI3379" s="1"/>
  <c r="T3379"/>
  <c r="AJ3379" s="1"/>
  <c r="R3380"/>
  <c r="S3380"/>
  <c r="AI3380" s="1"/>
  <c r="T3380"/>
  <c r="AJ3380" s="1"/>
  <c r="R3381"/>
  <c r="S3381"/>
  <c r="AI3381" s="1"/>
  <c r="T3381"/>
  <c r="AJ3381" s="1"/>
  <c r="R3382"/>
  <c r="S3382"/>
  <c r="AI3382" s="1"/>
  <c r="T3382"/>
  <c r="AJ3382" s="1"/>
  <c r="R3383"/>
  <c r="S3383"/>
  <c r="AI3383" s="1"/>
  <c r="T3383"/>
  <c r="AJ3383" s="1"/>
  <c r="R3384"/>
  <c r="S3384"/>
  <c r="AI3384" s="1"/>
  <c r="T3384"/>
  <c r="AJ3384" s="1"/>
  <c r="R3385"/>
  <c r="S3385"/>
  <c r="AI3385" s="1"/>
  <c r="T3385"/>
  <c r="AJ3385" s="1"/>
  <c r="R3386"/>
  <c r="S3386"/>
  <c r="AI3386" s="1"/>
  <c r="T3386"/>
  <c r="AJ3386" s="1"/>
  <c r="R3387"/>
  <c r="S3387"/>
  <c r="AI3387" s="1"/>
  <c r="T3387"/>
  <c r="AJ3387" s="1"/>
  <c r="R3388"/>
  <c r="S3388"/>
  <c r="AI3388" s="1"/>
  <c r="T3388"/>
  <c r="AJ3388" s="1"/>
  <c r="R3389"/>
  <c r="S3389"/>
  <c r="AI3389" s="1"/>
  <c r="T3389"/>
  <c r="AJ3389" s="1"/>
  <c r="R3390"/>
  <c r="S3390"/>
  <c r="AI3390" s="1"/>
  <c r="T3390"/>
  <c r="AJ3390" s="1"/>
  <c r="R3391"/>
  <c r="S3391"/>
  <c r="AI3391" s="1"/>
  <c r="T3391"/>
  <c r="AJ3391" s="1"/>
  <c r="R3392"/>
  <c r="S3392"/>
  <c r="AI3392" s="1"/>
  <c r="T3392"/>
  <c r="AJ3392" s="1"/>
  <c r="R3393"/>
  <c r="S3393"/>
  <c r="AI3393" s="1"/>
  <c r="T3393"/>
  <c r="AJ3393" s="1"/>
  <c r="R3394"/>
  <c r="S3394"/>
  <c r="AI3394" s="1"/>
  <c r="T3394"/>
  <c r="AJ3394" s="1"/>
  <c r="R3395"/>
  <c r="S3395"/>
  <c r="AI3395" s="1"/>
  <c r="T3395"/>
  <c r="AJ3395" s="1"/>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O528"/>
  <c r="O529"/>
  <c r="O530"/>
  <c r="O531"/>
  <c r="O532"/>
  <c r="O533"/>
  <c r="O534"/>
  <c r="O535"/>
  <c r="O536"/>
  <c r="O537"/>
  <c r="O538"/>
  <c r="O539"/>
  <c r="O540"/>
  <c r="O541"/>
  <c r="O542"/>
  <c r="O543"/>
  <c r="O544"/>
  <c r="O545"/>
  <c r="O546"/>
  <c r="O547"/>
  <c r="O548"/>
  <c r="O549"/>
  <c r="O550"/>
  <c r="O551"/>
  <c r="O552"/>
  <c r="O553"/>
  <c r="O554"/>
  <c r="O555"/>
  <c r="O556"/>
  <c r="O557"/>
  <c r="O558"/>
  <c r="O559"/>
  <c r="O560"/>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4"/>
  <c r="O735"/>
  <c r="O736"/>
  <c r="O737"/>
  <c r="O739"/>
  <c r="O740"/>
  <c r="O741"/>
  <c r="O742"/>
  <c r="O743"/>
  <c r="O744"/>
  <c r="O745"/>
  <c r="O746"/>
  <c r="O747"/>
  <c r="O748"/>
  <c r="O749"/>
  <c r="O751"/>
  <c r="O752"/>
  <c r="O753"/>
  <c r="O754"/>
  <c r="O755"/>
  <c r="O756"/>
  <c r="O757"/>
  <c r="O759"/>
  <c r="O760"/>
  <c r="O761"/>
  <c r="O762"/>
  <c r="O763"/>
  <c r="O764"/>
  <c r="O765"/>
  <c r="O766"/>
  <c r="O767"/>
  <c r="O768"/>
  <c r="O770"/>
  <c r="O771"/>
  <c r="O772"/>
  <c r="O773"/>
  <c r="O774"/>
  <c r="O775"/>
  <c r="O776"/>
  <c r="O777"/>
  <c r="O779"/>
  <c r="O780"/>
  <c r="O781"/>
  <c r="O782"/>
  <c r="O783"/>
  <c r="O784"/>
  <c r="O785"/>
  <c r="O786"/>
  <c r="O788"/>
  <c r="O789"/>
  <c r="O790"/>
  <c r="O791"/>
  <c r="O793"/>
  <c r="O794"/>
  <c r="O796"/>
  <c r="O797"/>
  <c r="O799"/>
  <c r="O800"/>
  <c r="O802"/>
  <c r="O803"/>
  <c r="O804"/>
  <c r="O805"/>
  <c r="O806"/>
  <c r="O807"/>
  <c r="O808"/>
  <c r="O809"/>
  <c r="O810"/>
  <c r="O811"/>
  <c r="O812"/>
  <c r="O813"/>
  <c r="O814"/>
  <c r="O815"/>
  <c r="O816"/>
  <c r="O817"/>
  <c r="O818"/>
  <c r="O819"/>
  <c r="O820"/>
  <c r="O821"/>
  <c r="O822"/>
  <c r="O823"/>
  <c r="O824"/>
  <c r="O825"/>
  <c r="O826"/>
  <c r="O827"/>
  <c r="O828"/>
  <c r="O829"/>
  <c r="O830"/>
  <c r="O831"/>
  <c r="O832"/>
  <c r="O833"/>
  <c r="O834"/>
  <c r="O835"/>
  <c r="O836"/>
  <c r="O837"/>
  <c r="O838"/>
  <c r="O839"/>
  <c r="O840"/>
  <c r="O841"/>
  <c r="O842"/>
  <c r="O843"/>
  <c r="O844"/>
  <c r="O845"/>
  <c r="O846"/>
  <c r="O847"/>
  <c r="O848"/>
  <c r="O849"/>
  <c r="O850"/>
  <c r="O851"/>
  <c r="O852"/>
  <c r="O853"/>
  <c r="O854"/>
  <c r="O855"/>
  <c r="O856"/>
  <c r="O857"/>
  <c r="O858"/>
  <c r="O859"/>
  <c r="O860"/>
  <c r="O861"/>
  <c r="O862"/>
  <c r="O863"/>
  <c r="O864"/>
  <c r="O865"/>
  <c r="O866"/>
  <c r="O867"/>
  <c r="O868"/>
  <c r="O869"/>
  <c r="O870"/>
  <c r="O871"/>
  <c r="O872"/>
  <c r="O873"/>
  <c r="O874"/>
  <c r="O875"/>
  <c r="O876"/>
  <c r="O877"/>
  <c r="O878"/>
  <c r="O879"/>
  <c r="O880"/>
  <c r="O881"/>
  <c r="O882"/>
  <c r="O883"/>
  <c r="O884"/>
  <c r="O885"/>
  <c r="O886"/>
  <c r="O887"/>
  <c r="O888"/>
  <c r="O889"/>
  <c r="O890"/>
  <c r="O891"/>
  <c r="O892"/>
  <c r="O893"/>
  <c r="O894"/>
  <c r="O895"/>
  <c r="O896"/>
  <c r="O897"/>
  <c r="O898"/>
  <c r="O899"/>
  <c r="O900"/>
  <c r="O901"/>
  <c r="O902"/>
  <c r="O903"/>
  <c r="O904"/>
  <c r="O905"/>
  <c r="O906"/>
  <c r="O907"/>
  <c r="O908"/>
  <c r="O909"/>
  <c r="O910"/>
  <c r="O911"/>
  <c r="O912"/>
  <c r="O913"/>
  <c r="O914"/>
  <c r="O915"/>
  <c r="O916"/>
  <c r="O917"/>
  <c r="O918"/>
  <c r="O919"/>
  <c r="O920"/>
  <c r="O921"/>
  <c r="O922"/>
  <c r="O923"/>
  <c r="O924"/>
  <c r="O925"/>
  <c r="O926"/>
  <c r="O927"/>
  <c r="O928"/>
  <c r="O929"/>
  <c r="O930"/>
  <c r="O931"/>
  <c r="O932"/>
  <c r="O933"/>
  <c r="O934"/>
  <c r="O935"/>
  <c r="O936"/>
  <c r="O937"/>
  <c r="O938"/>
  <c r="O939"/>
  <c r="O940"/>
  <c r="O941"/>
  <c r="O942"/>
  <c r="O943"/>
  <c r="O944"/>
  <c r="O945"/>
  <c r="O946"/>
  <c r="O947"/>
  <c r="O948"/>
  <c r="O949"/>
  <c r="O950"/>
  <c r="O1090"/>
  <c r="O1091"/>
  <c r="O1092"/>
  <c r="O1093"/>
  <c r="O1094"/>
  <c r="O1095"/>
  <c r="O1096"/>
  <c r="O1097"/>
  <c r="O1098"/>
  <c r="O1099"/>
  <c r="O1100"/>
  <c r="O1102"/>
  <c r="O1103"/>
  <c r="O1104"/>
  <c r="O1105"/>
  <c r="O1106"/>
  <c r="O1107"/>
  <c r="O1108"/>
  <c r="O1109"/>
  <c r="O1110"/>
  <c r="O1111"/>
  <c r="O1112"/>
  <c r="O1113"/>
  <c r="O1114"/>
  <c r="O1115"/>
  <c r="O1117"/>
  <c r="O1118"/>
  <c r="O1119"/>
  <c r="O1120"/>
  <c r="O1121"/>
  <c r="O1122"/>
  <c r="O1123"/>
  <c r="O1124"/>
  <c r="O1125"/>
  <c r="O1126"/>
  <c r="O1127"/>
  <c r="O1128"/>
  <c r="O1129"/>
  <c r="O1130"/>
  <c r="O1131"/>
  <c r="O1132"/>
  <c r="O1133"/>
  <c r="O1134"/>
  <c r="O1135"/>
  <c r="O1136"/>
  <c r="O1137"/>
  <c r="O1138"/>
  <c r="O1139"/>
  <c r="O1140"/>
  <c r="O1141"/>
  <c r="O1142"/>
  <c r="O1143"/>
  <c r="O1144"/>
  <c r="O1145"/>
  <c r="O1146"/>
  <c r="O1147"/>
  <c r="O1148"/>
  <c r="O1149"/>
  <c r="O1150"/>
  <c r="O1151"/>
  <c r="O1152"/>
  <c r="O1153"/>
  <c r="O1154"/>
  <c r="O1155"/>
  <c r="O1156"/>
  <c r="O1157"/>
  <c r="O1158"/>
  <c r="O1159"/>
  <c r="O1160"/>
  <c r="O1161"/>
  <c r="O1162"/>
  <c r="O1163"/>
  <c r="O1164"/>
  <c r="O1165"/>
  <c r="O1166"/>
  <c r="O1167"/>
  <c r="O1168"/>
  <c r="O1169"/>
  <c r="O1170"/>
  <c r="O1171"/>
  <c r="O1172"/>
  <c r="O1173"/>
  <c r="O1174"/>
  <c r="O1175"/>
  <c r="O1176"/>
  <c r="O1177"/>
  <c r="O1178"/>
  <c r="O1179"/>
  <c r="O1180"/>
  <c r="O1181"/>
  <c r="O1182"/>
  <c r="O1183"/>
  <c r="O1184"/>
  <c r="O1185"/>
  <c r="O1186"/>
  <c r="O1187"/>
  <c r="O1188"/>
  <c r="O1189"/>
  <c r="O1190"/>
  <c r="O1191"/>
  <c r="O1192"/>
  <c r="O1193"/>
  <c r="O1194"/>
  <c r="O1195"/>
  <c r="O1196"/>
  <c r="O1197"/>
  <c r="O1198"/>
  <c r="O1199"/>
  <c r="O1200"/>
  <c r="O1201"/>
  <c r="O1202"/>
  <c r="O1203"/>
  <c r="O1204"/>
  <c r="O1205"/>
  <c r="O1206"/>
  <c r="O1207"/>
  <c r="O1208"/>
  <c r="O1209"/>
  <c r="O1210"/>
  <c r="O1211"/>
  <c r="O1212"/>
  <c r="O1213"/>
  <c r="O1214"/>
  <c r="O1215"/>
  <c r="O1216"/>
  <c r="O1217"/>
  <c r="O1218"/>
  <c r="O1219"/>
  <c r="O1220"/>
  <c r="O1221"/>
  <c r="O1222"/>
  <c r="O1223"/>
  <c r="O1224"/>
  <c r="O1225"/>
  <c r="O1226"/>
  <c r="O1227"/>
  <c r="O1228"/>
  <c r="O1229"/>
  <c r="O1230"/>
  <c r="O1231"/>
  <c r="O1232"/>
  <c r="O1233"/>
  <c r="O1234"/>
  <c r="O1235"/>
  <c r="O1236"/>
  <c r="O1237"/>
  <c r="O1238"/>
  <c r="O1239"/>
  <c r="O1240"/>
  <c r="O1241"/>
  <c r="O1242"/>
  <c r="O1243"/>
  <c r="O1244"/>
  <c r="O1245"/>
  <c r="O1246"/>
  <c r="O1247"/>
  <c r="O1248"/>
  <c r="O1249"/>
  <c r="O1250"/>
  <c r="O1251"/>
  <c r="O1252"/>
  <c r="O1253"/>
  <c r="O1254"/>
  <c r="O1255"/>
  <c r="O1256"/>
  <c r="O1257"/>
  <c r="O1258"/>
  <c r="O1259"/>
  <c r="O1260"/>
  <c r="O1261"/>
  <c r="O1262"/>
  <c r="O1263"/>
  <c r="O1264"/>
  <c r="O1265"/>
  <c r="O1266"/>
  <c r="O1267"/>
  <c r="O1268"/>
  <c r="O1269"/>
  <c r="O1270"/>
  <c r="O1271"/>
  <c r="O1272"/>
  <c r="O1273"/>
  <c r="O1274"/>
  <c r="O1275"/>
  <c r="O1276"/>
  <c r="O1277"/>
  <c r="O1278"/>
  <c r="O1279"/>
  <c r="O1280"/>
  <c r="O1281"/>
  <c r="O1282"/>
  <c r="O1283"/>
  <c r="O1284"/>
  <c r="O1285"/>
  <c r="O1286"/>
  <c r="O1287"/>
  <c r="O1288"/>
  <c r="O1289"/>
  <c r="O1290"/>
  <c r="O1291"/>
  <c r="O1292"/>
  <c r="O1293"/>
  <c r="O1294"/>
  <c r="O1295"/>
  <c r="O1296"/>
  <c r="O1297"/>
  <c r="O1298"/>
  <c r="O1299"/>
  <c r="O1300"/>
  <c r="O1301"/>
  <c r="O1302"/>
  <c r="O1303"/>
  <c r="O1304"/>
  <c r="O1305"/>
  <c r="O1306"/>
  <c r="O1307"/>
  <c r="O1308"/>
  <c r="O1309"/>
  <c r="O1310"/>
  <c r="O1311"/>
  <c r="O1312"/>
  <c r="O1313"/>
  <c r="O1314"/>
  <c r="O1315"/>
  <c r="O1316"/>
  <c r="O1317"/>
  <c r="O1318"/>
  <c r="O1319"/>
  <c r="O1320"/>
  <c r="O1321"/>
  <c r="O1322"/>
  <c r="O1323"/>
  <c r="O1324"/>
  <c r="O1325"/>
  <c r="O1326"/>
  <c r="O1327"/>
  <c r="O1328"/>
  <c r="O1329"/>
  <c r="O1330"/>
  <c r="O1331"/>
  <c r="O1332"/>
  <c r="O1333"/>
  <c r="O1334"/>
  <c r="O1335"/>
  <c r="O1336"/>
  <c r="O1337"/>
  <c r="O1338"/>
  <c r="O1339"/>
  <c r="O1340"/>
  <c r="O1341"/>
  <c r="O1342"/>
  <c r="O1343"/>
  <c r="O1344"/>
  <c r="O1345"/>
  <c r="O1346"/>
  <c r="O1347"/>
  <c r="O1348"/>
  <c r="O1349"/>
  <c r="O1350"/>
  <c r="O1351"/>
  <c r="O1352"/>
  <c r="O1353"/>
  <c r="O1354"/>
  <c r="O1355"/>
  <c r="O1356"/>
  <c r="O1357"/>
  <c r="O1358"/>
  <c r="O1359"/>
  <c r="O1360"/>
  <c r="O1361"/>
  <c r="O1362"/>
  <c r="O1363"/>
  <c r="O1364"/>
  <c r="O1365"/>
  <c r="O1366"/>
  <c r="O1367"/>
  <c r="O1368"/>
  <c r="O1369"/>
  <c r="O1370"/>
  <c r="O1371"/>
  <c r="O1372"/>
  <c r="O1373"/>
  <c r="O1374"/>
  <c r="O1375"/>
  <c r="O1376"/>
  <c r="O1377"/>
  <c r="O1378"/>
  <c r="O1379"/>
  <c r="O1380"/>
  <c r="O1381"/>
  <c r="O1382"/>
  <c r="O1383"/>
  <c r="O1384"/>
  <c r="O1385"/>
  <c r="O1386"/>
  <c r="O1387"/>
  <c r="O1388"/>
  <c r="O1389"/>
  <c r="O1390"/>
  <c r="O1391"/>
  <c r="O1392"/>
  <c r="O1393"/>
  <c r="O1394"/>
  <c r="O1395"/>
  <c r="O1396"/>
  <c r="O1397"/>
  <c r="O1398"/>
  <c r="O1399"/>
  <c r="O1400"/>
  <c r="O1401"/>
  <c r="O1402"/>
  <c r="O1403"/>
  <c r="O1404"/>
  <c r="O1405"/>
  <c r="O1406"/>
  <c r="O1407"/>
  <c r="O1408"/>
  <c r="O1409"/>
  <c r="O1410"/>
  <c r="O1411"/>
  <c r="O1412"/>
  <c r="O1413"/>
  <c r="O1414"/>
  <c r="O1415"/>
  <c r="O1416"/>
  <c r="O1417"/>
  <c r="O1418"/>
  <c r="O1419"/>
  <c r="O1420"/>
  <c r="O1421"/>
  <c r="O1422"/>
  <c r="O1423"/>
  <c r="O1424"/>
  <c r="O1425"/>
  <c r="O1426"/>
  <c r="O1427"/>
  <c r="O1428"/>
  <c r="O1429"/>
  <c r="O1430"/>
  <c r="O1431"/>
  <c r="O1432"/>
  <c r="O1433"/>
  <c r="O1434"/>
  <c r="O1435"/>
  <c r="O1436"/>
  <c r="O1437"/>
  <c r="O1438"/>
  <c r="O1439"/>
  <c r="O1440"/>
  <c r="O1441"/>
  <c r="O1442"/>
  <c r="O1443"/>
  <c r="O1444"/>
  <c r="O1445"/>
  <c r="O1446"/>
  <c r="O1447"/>
  <c r="O1448"/>
  <c r="O1449"/>
  <c r="O1450"/>
  <c r="O1451"/>
  <c r="O1452"/>
  <c r="O1453"/>
  <c r="O1454"/>
  <c r="O1455"/>
  <c r="O1456"/>
  <c r="O1457"/>
  <c r="O1458"/>
  <c r="O1459"/>
  <c r="O1460"/>
  <c r="O1461"/>
  <c r="O1462"/>
  <c r="O1463"/>
  <c r="O1464"/>
  <c r="O1465"/>
  <c r="O1466"/>
  <c r="O1467"/>
  <c r="O1468"/>
  <c r="O1469"/>
  <c r="O1470"/>
  <c r="O1471"/>
  <c r="O1472"/>
  <c r="O1473"/>
  <c r="O1474"/>
  <c r="O1475"/>
  <c r="O1476"/>
  <c r="O1477"/>
  <c r="O1478"/>
  <c r="O1479"/>
  <c r="O1480"/>
  <c r="O1481"/>
  <c r="O1482"/>
  <c r="O1483"/>
  <c r="O1484"/>
  <c r="O1485"/>
  <c r="O1486"/>
  <c r="O1487"/>
  <c r="O1488"/>
  <c r="O1489"/>
  <c r="O1490"/>
  <c r="O1491"/>
  <c r="O1492"/>
  <c r="O1493"/>
  <c r="O1494"/>
  <c r="O1495"/>
  <c r="O1496"/>
  <c r="O1497"/>
  <c r="O1498"/>
  <c r="O1499"/>
  <c r="O1500"/>
  <c r="O1501"/>
  <c r="O1502"/>
  <c r="O1503"/>
  <c r="O1504"/>
  <c r="O1505"/>
  <c r="O1506"/>
  <c r="O1507"/>
  <c r="O1508"/>
  <c r="O1509"/>
  <c r="O1510"/>
  <c r="O1511"/>
  <c r="O1512"/>
  <c r="O1513"/>
  <c r="O1514"/>
  <c r="O1515"/>
  <c r="O1516"/>
  <c r="O1517"/>
  <c r="O1518"/>
  <c r="O1519"/>
  <c r="O1520"/>
  <c r="O1521"/>
  <c r="O1522"/>
  <c r="O1523"/>
  <c r="O1524"/>
  <c r="O1525"/>
  <c r="O1526"/>
  <c r="O1527"/>
  <c r="O1528"/>
  <c r="O1529"/>
  <c r="O1530"/>
  <c r="O1531"/>
  <c r="O1532"/>
  <c r="O1533"/>
  <c r="O1534"/>
  <c r="O1535"/>
  <c r="O1536"/>
  <c r="O1537"/>
  <c r="O1538"/>
  <c r="O1539"/>
  <c r="O1540"/>
  <c r="O1541"/>
  <c r="O1542"/>
  <c r="O1543"/>
  <c r="O1544"/>
  <c r="O1545"/>
  <c r="O1546"/>
  <c r="O1547"/>
  <c r="O1548"/>
  <c r="O1549"/>
  <c r="O1550"/>
  <c r="O1551"/>
  <c r="O1552"/>
  <c r="O1553"/>
  <c r="O1554"/>
  <c r="O1555"/>
  <c r="O1556"/>
  <c r="O1557"/>
  <c r="O1558"/>
  <c r="O1559"/>
  <c r="O1560"/>
  <c r="O1561"/>
  <c r="O1562"/>
  <c r="O1563"/>
  <c r="O1564"/>
  <c r="O1565"/>
  <c r="O1566"/>
  <c r="O1567"/>
  <c r="O1568"/>
  <c r="O1569"/>
  <c r="O1570"/>
  <c r="O1571"/>
  <c r="O1572"/>
  <c r="O1573"/>
  <c r="O1574"/>
  <c r="O1575"/>
  <c r="O1576"/>
  <c r="O1577"/>
  <c r="O1578"/>
  <c r="O1579"/>
  <c r="O1580"/>
  <c r="O1581"/>
  <c r="O1582"/>
  <c r="O1583"/>
  <c r="O1584"/>
  <c r="O1585"/>
  <c r="O1586"/>
  <c r="O1587"/>
  <c r="O1588"/>
  <c r="O1589"/>
  <c r="O1590"/>
  <c r="O1591"/>
  <c r="O1592"/>
  <c r="O1593"/>
  <c r="O1594"/>
  <c r="O1595"/>
  <c r="O1596"/>
  <c r="O1597"/>
  <c r="O1598"/>
  <c r="O1599"/>
  <c r="O1600"/>
  <c r="O1601"/>
  <c r="O1602"/>
  <c r="O1603"/>
  <c r="O1604"/>
  <c r="O1605"/>
  <c r="O1606"/>
  <c r="O1607"/>
  <c r="O1608"/>
  <c r="O1609"/>
  <c r="O1610"/>
  <c r="O1611"/>
  <c r="O1612"/>
  <c r="O1613"/>
  <c r="O1614"/>
  <c r="O1615"/>
  <c r="O1616"/>
  <c r="O1617"/>
  <c r="O1618"/>
  <c r="O1619"/>
  <c r="O1620"/>
  <c r="O1621"/>
  <c r="O1622"/>
  <c r="O1623"/>
  <c r="O1624"/>
  <c r="O1625"/>
  <c r="O1626"/>
  <c r="O1627"/>
  <c r="O1628"/>
  <c r="O1629"/>
  <c r="O1630"/>
  <c r="O1631"/>
  <c r="O1632"/>
  <c r="O1633"/>
  <c r="O1634"/>
  <c r="O1635"/>
  <c r="O1636"/>
  <c r="O1637"/>
  <c r="O1638"/>
  <c r="O1639"/>
  <c r="O1640"/>
  <c r="O1641"/>
  <c r="O1642"/>
  <c r="O1643"/>
  <c r="O1644"/>
  <c r="O1645"/>
  <c r="O1646"/>
  <c r="O1647"/>
  <c r="O1648"/>
  <c r="O1649"/>
  <c r="O1650"/>
  <c r="O1651"/>
  <c r="O1652"/>
  <c r="O1653"/>
  <c r="O1654"/>
  <c r="O1655"/>
  <c r="O1656"/>
  <c r="O1657"/>
  <c r="O1658"/>
  <c r="O1659"/>
  <c r="O1660"/>
  <c r="O1661"/>
  <c r="O1662"/>
  <c r="O1663"/>
  <c r="O1664"/>
  <c r="O1665"/>
  <c r="O1666"/>
  <c r="O1667"/>
  <c r="O1668"/>
  <c r="O1669"/>
  <c r="O1670"/>
  <c r="O1671"/>
  <c r="O1672"/>
  <c r="O1673"/>
  <c r="O1674"/>
  <c r="O1675"/>
  <c r="O1676"/>
  <c r="O1677"/>
  <c r="O1678"/>
  <c r="O1679"/>
  <c r="O1680"/>
  <c r="O1681"/>
  <c r="O1682"/>
  <c r="O1683"/>
  <c r="O1684"/>
  <c r="O1685"/>
  <c r="O1686"/>
  <c r="O1687"/>
  <c r="O1688"/>
  <c r="O1689"/>
  <c r="O1690"/>
  <c r="O1691"/>
  <c r="O1692"/>
  <c r="O1693"/>
  <c r="O1694"/>
  <c r="O1695"/>
  <c r="O1696"/>
  <c r="O1697"/>
  <c r="O1698"/>
  <c r="O1699"/>
  <c r="O1700"/>
  <c r="O1701"/>
  <c r="O1702"/>
  <c r="O1703"/>
  <c r="O1704"/>
  <c r="O1705"/>
  <c r="O1706"/>
  <c r="O1707"/>
  <c r="O1708"/>
  <c r="O1709"/>
  <c r="O1710"/>
  <c r="O1711"/>
  <c r="O1712"/>
  <c r="O1713"/>
  <c r="O1714"/>
  <c r="O1715"/>
  <c r="O1716"/>
  <c r="O1717"/>
  <c r="O1718"/>
  <c r="O1719"/>
  <c r="O1720"/>
  <c r="O1721"/>
  <c r="O1722"/>
  <c r="O1723"/>
  <c r="O1724"/>
  <c r="O1725"/>
  <c r="O1726"/>
  <c r="O1727"/>
  <c r="O1728"/>
  <c r="O1729"/>
  <c r="O1730"/>
  <c r="O1731"/>
  <c r="O1732"/>
  <c r="O1733"/>
  <c r="O1734"/>
  <c r="O1735"/>
  <c r="O1736"/>
  <c r="O1737"/>
  <c r="O1738"/>
  <c r="O1739"/>
  <c r="O1740"/>
  <c r="O1741"/>
  <c r="O1742"/>
  <c r="O1743"/>
  <c r="O1744"/>
  <c r="O1745"/>
  <c r="O1746"/>
  <c r="O1747"/>
  <c r="O1748"/>
  <c r="O1749"/>
  <c r="O1750"/>
  <c r="O1751"/>
  <c r="O1752"/>
  <c r="O1753"/>
  <c r="O1754"/>
  <c r="O1755"/>
  <c r="O1756"/>
  <c r="O1757"/>
  <c r="O1758"/>
  <c r="O1759"/>
  <c r="O1760"/>
  <c r="O1761"/>
  <c r="O1762"/>
  <c r="O1763"/>
  <c r="O1764"/>
  <c r="O1765"/>
  <c r="O1766"/>
  <c r="O1767"/>
  <c r="O1768"/>
  <c r="O1769"/>
  <c r="O1770"/>
  <c r="O1771"/>
  <c r="O1772"/>
  <c r="O1773"/>
  <c r="O1774"/>
  <c r="O1775"/>
  <c r="O1776"/>
  <c r="O1777"/>
  <c r="O1778"/>
  <c r="O1779"/>
  <c r="O1780"/>
  <c r="O1781"/>
  <c r="O1782"/>
  <c r="O1783"/>
  <c r="O1784"/>
  <c r="O1785"/>
  <c r="O1786"/>
  <c r="O1787"/>
  <c r="O1788"/>
  <c r="O1789"/>
  <c r="O1790"/>
  <c r="O1791"/>
  <c r="O1792"/>
  <c r="O1793"/>
  <c r="O1794"/>
  <c r="O1795"/>
  <c r="O1796"/>
  <c r="O1797"/>
  <c r="O1798"/>
  <c r="O1799"/>
  <c r="O1800"/>
  <c r="O1801"/>
  <c r="O1802"/>
  <c r="O1803"/>
  <c r="O1804"/>
  <c r="O1805"/>
  <c r="O1806"/>
  <c r="O1807"/>
  <c r="O1808"/>
  <c r="O1809"/>
  <c r="O1810"/>
  <c r="O1811"/>
  <c r="O1812"/>
  <c r="O1813"/>
  <c r="O1814"/>
  <c r="O1815"/>
  <c r="O1816"/>
  <c r="O1817"/>
  <c r="O1818"/>
  <c r="O1819"/>
  <c r="O1820"/>
  <c r="O1821"/>
  <c r="O1822"/>
  <c r="O1823"/>
  <c r="O1824"/>
  <c r="O1825"/>
  <c r="O1826"/>
  <c r="O1827"/>
  <c r="O1828"/>
  <c r="O1829"/>
  <c r="O1830"/>
  <c r="O1831"/>
  <c r="O1832"/>
  <c r="O1833"/>
  <c r="O1834"/>
  <c r="O1835"/>
  <c r="O1836"/>
  <c r="O1837"/>
  <c r="O1838"/>
  <c r="O1839"/>
  <c r="O1840"/>
  <c r="O1841"/>
  <c r="O1842"/>
  <c r="O1843"/>
  <c r="O1844"/>
  <c r="O1845"/>
  <c r="O1846"/>
  <c r="O1847"/>
  <c r="O1848"/>
  <c r="O1849"/>
  <c r="O1850"/>
  <c r="O1851"/>
  <c r="O1852"/>
  <c r="O1853"/>
  <c r="O1854"/>
  <c r="O1855"/>
  <c r="O1856"/>
  <c r="O1857"/>
  <c r="O1858"/>
  <c r="O1859"/>
  <c r="O1860"/>
  <c r="O1861"/>
  <c r="O1862"/>
  <c r="O1863"/>
  <c r="O1864"/>
  <c r="O1865"/>
  <c r="O1866"/>
  <c r="O1867"/>
  <c r="O1868"/>
  <c r="O1869"/>
  <c r="O1870"/>
  <c r="O1871"/>
  <c r="O1872"/>
  <c r="O1873"/>
  <c r="O1874"/>
  <c r="O1875"/>
  <c r="O1876"/>
  <c r="O1877"/>
  <c r="O1878"/>
  <c r="O1879"/>
  <c r="O1880"/>
  <c r="O1881"/>
  <c r="O1882"/>
  <c r="O1883"/>
  <c r="O1884"/>
  <c r="O1885"/>
  <c r="O1886"/>
  <c r="O1887"/>
  <c r="O1888"/>
  <c r="O1889"/>
  <c r="O1890"/>
  <c r="O1891"/>
  <c r="O1892"/>
  <c r="O1893"/>
  <c r="O1894"/>
  <c r="O1895"/>
  <c r="O1896"/>
  <c r="O1897"/>
  <c r="O1898"/>
  <c r="O1899"/>
  <c r="O1900"/>
  <c r="O1901"/>
  <c r="O1902"/>
  <c r="O1903"/>
  <c r="O1904"/>
  <c r="O1905"/>
  <c r="O1906"/>
  <c r="O1907"/>
  <c r="O1908"/>
  <c r="O1909"/>
  <c r="O1910"/>
  <c r="O1911"/>
  <c r="O1912"/>
  <c r="O1913"/>
  <c r="O1914"/>
  <c r="O1915"/>
  <c r="O1916"/>
  <c r="O1917"/>
  <c r="O1918"/>
  <c r="O1919"/>
  <c r="O1920"/>
  <c r="O1921"/>
  <c r="O1922"/>
  <c r="O1923"/>
  <c r="O1924"/>
  <c r="O1925"/>
  <c r="O1926"/>
  <c r="O1927"/>
  <c r="O1928"/>
  <c r="O1929"/>
  <c r="O1930"/>
  <c r="O1931"/>
  <c r="O1932"/>
  <c r="O1933"/>
  <c r="O1934"/>
  <c r="O1935"/>
  <c r="O1936"/>
  <c r="O1937"/>
  <c r="O1938"/>
  <c r="O1939"/>
  <c r="O1940"/>
  <c r="O1941"/>
  <c r="O1942"/>
  <c r="O1943"/>
  <c r="O1944"/>
  <c r="O1945"/>
  <c r="O1946"/>
  <c r="O1947"/>
  <c r="O1948"/>
  <c r="O1949"/>
  <c r="O1950"/>
  <c r="O1951"/>
  <c r="O1952"/>
  <c r="O1953"/>
  <c r="O1954"/>
  <c r="O1955"/>
  <c r="O1956"/>
  <c r="O1957"/>
  <c r="O1958"/>
  <c r="O1959"/>
  <c r="O1960"/>
  <c r="O1961"/>
  <c r="O1962"/>
  <c r="O1963"/>
  <c r="O1964"/>
  <c r="O1965"/>
  <c r="O1966"/>
  <c r="O1967"/>
  <c r="O1968"/>
  <c r="O1969"/>
  <c r="O1970"/>
  <c r="O1971"/>
  <c r="O1972"/>
  <c r="O1973"/>
  <c r="O1974"/>
  <c r="O1975"/>
  <c r="O1976"/>
  <c r="O1977"/>
  <c r="O1978"/>
  <c r="O1979"/>
  <c r="O1980"/>
  <c r="O1981"/>
  <c r="O1982"/>
  <c r="O1983"/>
  <c r="O1984"/>
  <c r="O1985"/>
  <c r="O1986"/>
  <c r="O1987"/>
  <c r="O1988"/>
  <c r="O1989"/>
  <c r="O1990"/>
  <c r="O1991"/>
  <c r="O1992"/>
  <c r="O1993"/>
  <c r="O1994"/>
  <c r="O1995"/>
  <c r="O1996"/>
  <c r="O1997"/>
  <c r="O1998"/>
  <c r="O1999"/>
  <c r="O2000"/>
  <c r="O2001"/>
  <c r="O2002"/>
  <c r="O2003"/>
  <c r="O2004"/>
  <c r="O2005"/>
  <c r="O2006"/>
  <c r="O2007"/>
  <c r="O2008"/>
  <c r="O2009"/>
  <c r="O2010"/>
  <c r="O2011"/>
  <c r="O2012"/>
  <c r="O2013"/>
  <c r="O2014"/>
  <c r="O2015"/>
  <c r="O2016"/>
  <c r="O2017"/>
  <c r="O2018"/>
  <c r="O2019"/>
  <c r="O2020"/>
  <c r="O2021"/>
  <c r="O2022"/>
  <c r="O2023"/>
  <c r="O2024"/>
  <c r="O2025"/>
  <c r="O2026"/>
  <c r="O2027"/>
  <c r="O2028"/>
  <c r="O2029"/>
  <c r="O2030"/>
  <c r="O2031"/>
  <c r="O2032"/>
  <c r="O2033"/>
  <c r="O2034"/>
  <c r="O2035"/>
  <c r="O2036"/>
  <c r="O2037"/>
  <c r="O2038"/>
  <c r="O2039"/>
  <c r="O2040"/>
  <c r="O2041"/>
  <c r="O2042"/>
  <c r="O2043"/>
  <c r="O2044"/>
  <c r="O2045"/>
  <c r="O2046"/>
  <c r="O2047"/>
  <c r="O2048"/>
  <c r="O2049"/>
  <c r="O2050"/>
  <c r="O2051"/>
  <c r="O2052"/>
  <c r="O2053"/>
  <c r="O2054"/>
  <c r="O2055"/>
  <c r="O2056"/>
  <c r="O2057"/>
  <c r="O2058"/>
  <c r="O2059"/>
  <c r="O2060"/>
  <c r="O2061"/>
  <c r="O2062"/>
  <c r="O2063"/>
  <c r="O2064"/>
  <c r="O2065"/>
  <c r="O2066"/>
  <c r="O2067"/>
  <c r="O2068"/>
  <c r="O2069"/>
  <c r="O2070"/>
  <c r="O2071"/>
  <c r="O2072"/>
  <c r="O2073"/>
  <c r="O2074"/>
  <c r="O2075"/>
  <c r="O2076"/>
  <c r="O2077"/>
  <c r="O2078"/>
  <c r="O2079"/>
  <c r="O2080"/>
  <c r="O2081"/>
  <c r="O2082"/>
  <c r="O2083"/>
  <c r="O2084"/>
  <c r="O2085"/>
  <c r="O2086"/>
  <c r="O2087"/>
  <c r="O2088"/>
  <c r="O2089"/>
  <c r="O2090"/>
  <c r="O2091"/>
  <c r="O2092"/>
  <c r="O2093"/>
  <c r="O2094"/>
  <c r="O2095"/>
  <c r="O2096"/>
  <c r="O2097"/>
  <c r="O2098"/>
  <c r="O2099"/>
  <c r="O2100"/>
  <c r="O2101"/>
  <c r="O2102"/>
  <c r="O2103"/>
  <c r="O2104"/>
  <c r="O2105"/>
  <c r="O2106"/>
  <c r="O2107"/>
  <c r="O2108"/>
  <c r="O2109"/>
  <c r="O2110"/>
  <c r="O2111"/>
  <c r="O2112"/>
  <c r="O2113"/>
  <c r="O2114"/>
  <c r="O2115"/>
  <c r="O2116"/>
  <c r="O2117"/>
  <c r="O2118"/>
  <c r="O2119"/>
  <c r="O2120"/>
  <c r="O2121"/>
  <c r="O2122"/>
  <c r="O2123"/>
  <c r="O2124"/>
  <c r="O2125"/>
  <c r="O2126"/>
  <c r="O2127"/>
  <c r="O2128"/>
  <c r="O2129"/>
  <c r="O2130"/>
  <c r="O2131"/>
  <c r="O2132"/>
  <c r="O2133"/>
  <c r="O2134"/>
  <c r="O2135"/>
  <c r="O2136"/>
  <c r="O2137"/>
  <c r="O2138"/>
  <c r="O2139"/>
  <c r="O2140"/>
  <c r="O2141"/>
  <c r="O2142"/>
  <c r="O2143"/>
  <c r="O2144"/>
  <c r="O2145"/>
  <c r="O2146"/>
  <c r="O2147"/>
  <c r="O2148"/>
  <c r="O2149"/>
  <c r="O2150"/>
  <c r="O2151"/>
  <c r="O2152"/>
  <c r="O2153"/>
  <c r="O2154"/>
  <c r="O2155"/>
  <c r="O2156"/>
  <c r="O2157"/>
  <c r="O2158"/>
  <c r="O2159"/>
  <c r="O2160"/>
  <c r="O2161"/>
  <c r="O2162"/>
  <c r="O2163"/>
  <c r="O2164"/>
  <c r="O2165"/>
  <c r="O2166"/>
  <c r="O2167"/>
  <c r="O2168"/>
  <c r="O2169"/>
  <c r="O2170"/>
  <c r="O2171"/>
  <c r="O2172"/>
  <c r="O2173"/>
  <c r="O2174"/>
  <c r="O2175"/>
  <c r="O2176"/>
  <c r="O2177"/>
  <c r="O2178"/>
  <c r="O2179"/>
  <c r="O2180"/>
  <c r="O2181"/>
  <c r="O2182"/>
  <c r="O2183"/>
  <c r="O2184"/>
  <c r="O2185"/>
  <c r="O2186"/>
  <c r="O2187"/>
  <c r="O2188"/>
  <c r="O2189"/>
  <c r="O2190"/>
  <c r="O2191"/>
  <c r="O2192"/>
  <c r="O2193"/>
  <c r="O2194"/>
  <c r="O2195"/>
  <c r="O2196"/>
  <c r="O2197"/>
  <c r="O2198"/>
  <c r="O2199"/>
  <c r="O2200"/>
  <c r="O2201"/>
  <c r="O2202"/>
  <c r="O2203"/>
  <c r="O2204"/>
  <c r="O2205"/>
  <c r="O2206"/>
  <c r="O2207"/>
  <c r="O2208"/>
  <c r="O2209"/>
  <c r="O2210"/>
  <c r="O2211"/>
  <c r="O2212"/>
  <c r="O2213"/>
  <c r="O2214"/>
  <c r="O2215"/>
  <c r="O2216"/>
  <c r="O2217"/>
  <c r="O2218"/>
  <c r="O2219"/>
  <c r="O2220"/>
  <c r="O2221"/>
  <c r="O2222"/>
  <c r="O2223"/>
  <c r="O2224"/>
  <c r="O2225"/>
  <c r="O2226"/>
  <c r="O2227"/>
  <c r="O2228"/>
  <c r="O2229"/>
  <c r="O2230"/>
  <c r="O2231"/>
  <c r="O2232"/>
  <c r="O2233"/>
  <c r="O2234"/>
  <c r="O2235"/>
  <c r="O2236"/>
  <c r="O2237"/>
  <c r="O2238"/>
  <c r="O2239"/>
  <c r="O2240"/>
  <c r="O2241"/>
  <c r="O2242"/>
  <c r="O2243"/>
  <c r="O2244"/>
  <c r="O2245"/>
  <c r="O2246"/>
  <c r="O2247"/>
  <c r="O2248"/>
  <c r="O2249"/>
  <c r="O2250"/>
  <c r="O2251"/>
  <c r="O2252"/>
  <c r="O2253"/>
  <c r="O2254"/>
  <c r="O2255"/>
  <c r="O2256"/>
  <c r="O2257"/>
  <c r="O2258"/>
  <c r="O2259"/>
  <c r="O2260"/>
  <c r="O2261"/>
  <c r="O2262"/>
  <c r="O2263"/>
  <c r="O2264"/>
  <c r="O2265"/>
  <c r="O2266"/>
  <c r="O2267"/>
  <c r="O2268"/>
  <c r="O2269"/>
  <c r="O2270"/>
  <c r="O2271"/>
  <c r="O2272"/>
  <c r="O2273"/>
  <c r="O2274"/>
  <c r="O2275"/>
  <c r="O2276"/>
  <c r="O2277"/>
  <c r="O2278"/>
  <c r="O2279"/>
  <c r="O2280"/>
  <c r="O2281"/>
  <c r="O2282"/>
  <c r="O2283"/>
  <c r="O2284"/>
  <c r="O2285"/>
  <c r="O2286"/>
  <c r="O2287"/>
  <c r="O2288"/>
  <c r="O2289"/>
  <c r="O2290"/>
  <c r="O2291"/>
  <c r="O2292"/>
  <c r="O2293"/>
  <c r="O2294"/>
  <c r="O2295"/>
  <c r="O2296"/>
  <c r="O2297"/>
  <c r="O2298"/>
  <c r="O2299"/>
  <c r="O2300"/>
  <c r="O2301"/>
  <c r="O2302"/>
  <c r="O2303"/>
  <c r="O2304"/>
  <c r="O2305"/>
  <c r="O2306"/>
  <c r="O2307"/>
  <c r="O2308"/>
  <c r="O2309"/>
  <c r="O2310"/>
  <c r="O2311"/>
  <c r="O2312"/>
  <c r="O2313"/>
  <c r="O2314"/>
  <c r="O2315"/>
  <c r="O2316"/>
  <c r="O2317"/>
  <c r="O2318"/>
  <c r="O2319"/>
  <c r="O2320"/>
  <c r="O2321"/>
  <c r="O2322"/>
  <c r="O2323"/>
  <c r="O2324"/>
  <c r="O2325"/>
  <c r="O2326"/>
  <c r="O2327"/>
  <c r="O2328"/>
  <c r="O2329"/>
  <c r="O2330"/>
  <c r="O2331"/>
  <c r="O2332"/>
  <c r="O2333"/>
  <c r="O2334"/>
  <c r="O2335"/>
  <c r="O2336"/>
  <c r="O2337"/>
  <c r="O2338"/>
  <c r="O2339"/>
  <c r="O2340"/>
  <c r="O2341"/>
  <c r="O2342"/>
  <c r="O2343"/>
  <c r="O2344"/>
  <c r="O2345"/>
  <c r="O2346"/>
  <c r="O2347"/>
  <c r="O2348"/>
  <c r="O2349"/>
  <c r="O2350"/>
  <c r="O2351"/>
  <c r="O2352"/>
  <c r="O2353"/>
  <c r="O2354"/>
  <c r="O2355"/>
  <c r="O2356"/>
  <c r="O2357"/>
  <c r="O2358"/>
  <c r="O2359"/>
  <c r="O2360"/>
  <c r="O2361"/>
  <c r="O2362"/>
  <c r="O2363"/>
  <c r="O2364"/>
  <c r="O2365"/>
  <c r="O2366"/>
  <c r="O2367"/>
  <c r="O2368"/>
  <c r="O2369"/>
  <c r="O2370"/>
  <c r="O2371"/>
  <c r="O2372"/>
  <c r="O2373"/>
  <c r="O2374"/>
  <c r="O2375"/>
  <c r="O2376"/>
  <c r="O2377"/>
  <c r="O2378"/>
  <c r="O2379"/>
  <c r="O2380"/>
  <c r="O2381"/>
  <c r="O2382"/>
  <c r="O2383"/>
  <c r="O2384"/>
  <c r="O2385"/>
  <c r="O2386"/>
  <c r="O2387"/>
  <c r="O2388"/>
  <c r="O2389"/>
  <c r="O2390"/>
  <c r="O2391"/>
  <c r="O2392"/>
  <c r="O2393"/>
  <c r="O2394"/>
  <c r="O2395"/>
  <c r="O2396"/>
  <c r="O2397"/>
  <c r="O2398"/>
  <c r="O2399"/>
  <c r="O2400"/>
  <c r="O2401"/>
  <c r="O2409"/>
  <c r="O2410"/>
  <c r="O2411"/>
  <c r="O2412"/>
  <c r="O2413"/>
  <c r="O2414"/>
  <c r="O2415"/>
  <c r="O2416"/>
  <c r="O2417"/>
  <c r="O2418"/>
  <c r="O2419"/>
  <c r="O2420"/>
  <c r="O2421"/>
  <c r="O2422"/>
  <c r="O2423"/>
  <c r="O2424"/>
  <c r="O2425"/>
  <c r="O2426"/>
  <c r="O2427"/>
  <c r="O2428"/>
  <c r="O2429"/>
  <c r="O2430"/>
  <c r="O2431"/>
  <c r="O2432"/>
  <c r="O2433"/>
  <c r="O2434"/>
  <c r="O2435"/>
  <c r="O2436"/>
  <c r="O2437"/>
  <c r="O2438"/>
  <c r="O2439"/>
  <c r="O2440"/>
  <c r="O2441"/>
  <c r="O2442"/>
  <c r="O2402"/>
  <c r="O2403"/>
  <c r="O2404"/>
  <c r="O2405"/>
  <c r="O2406"/>
  <c r="O2407"/>
  <c r="O2408"/>
  <c r="O2443"/>
  <c r="O2444"/>
  <c r="O2445"/>
  <c r="O2446"/>
  <c r="O2447"/>
  <c r="O2448"/>
  <c r="O2449"/>
  <c r="O2450"/>
  <c r="O2451"/>
  <c r="O2452"/>
  <c r="O2453"/>
  <c r="O2454"/>
  <c r="O2455"/>
  <c r="O2456"/>
  <c r="O2457"/>
  <c r="O2458"/>
  <c r="O2459"/>
  <c r="O2460"/>
  <c r="O2461"/>
  <c r="O2462"/>
  <c r="O2463"/>
  <c r="O2464"/>
  <c r="O2465"/>
  <c r="O2466"/>
  <c r="O2467"/>
  <c r="O2468"/>
  <c r="O2469"/>
  <c r="O2470"/>
  <c r="O2471"/>
  <c r="O2472"/>
  <c r="O2473"/>
  <c r="O2474"/>
  <c r="O2475"/>
  <c r="O2476"/>
  <c r="O2477"/>
  <c r="O2478"/>
  <c r="O2479"/>
  <c r="O2480"/>
  <c r="O2481"/>
  <c r="O2482"/>
  <c r="O2483"/>
  <c r="O2484"/>
  <c r="O2485"/>
  <c r="O2486"/>
  <c r="O2487"/>
  <c r="O2488"/>
  <c r="O2489"/>
  <c r="O2490"/>
  <c r="O2491"/>
  <c r="O2492"/>
  <c r="O2493"/>
  <c r="O2494"/>
  <c r="O2495"/>
  <c r="O2496"/>
  <c r="O2497"/>
  <c r="O2498"/>
  <c r="O2499"/>
  <c r="O2500"/>
  <c r="O2501"/>
  <c r="O2502"/>
  <c r="O2503"/>
  <c r="O2504"/>
  <c r="O2505"/>
  <c r="O2506"/>
  <c r="O2507"/>
  <c r="O2508"/>
  <c r="O2509"/>
  <c r="O2510"/>
  <c r="O2511"/>
  <c r="O2512"/>
  <c r="O2513"/>
  <c r="O2514"/>
  <c r="O2515"/>
  <c r="O2516"/>
  <c r="O2517"/>
  <c r="O2518"/>
  <c r="O2519"/>
  <c r="O2520"/>
  <c r="O2521"/>
  <c r="O2522"/>
  <c r="O2523"/>
  <c r="O2524"/>
  <c r="O2525"/>
  <c r="O2526"/>
  <c r="O2527"/>
  <c r="O2528"/>
  <c r="O2529"/>
  <c r="O2530"/>
  <c r="O2531"/>
  <c r="O2532"/>
  <c r="O2533"/>
  <c r="O2534"/>
  <c r="O2535"/>
  <c r="O2536"/>
  <c r="O2537"/>
  <c r="O2538"/>
  <c r="O2539"/>
  <c r="O2540"/>
  <c r="O2541"/>
  <c r="O2542"/>
  <c r="O2543"/>
  <c r="O2544"/>
  <c r="O2545"/>
  <c r="O2546"/>
  <c r="O2547"/>
  <c r="O2548"/>
  <c r="O2549"/>
  <c r="O2550"/>
  <c r="O2551"/>
  <c r="O2552"/>
  <c r="O2553"/>
  <c r="O2554"/>
  <c r="O2555"/>
  <c r="O2556"/>
  <c r="O2557"/>
  <c r="O2558"/>
  <c r="O2559"/>
  <c r="O2560"/>
  <c r="O2561"/>
  <c r="O2562"/>
  <c r="O2563"/>
  <c r="O2564"/>
  <c r="O2565"/>
  <c r="O2566"/>
  <c r="O2567"/>
  <c r="O2568"/>
  <c r="O2569"/>
  <c r="O2570"/>
  <c r="O2571"/>
  <c r="O2572"/>
  <c r="O2573"/>
  <c r="O2574"/>
  <c r="O2575"/>
  <c r="O2576"/>
  <c r="O2577"/>
  <c r="O2578"/>
  <c r="O2579"/>
  <c r="O2580"/>
  <c r="O2581"/>
  <c r="O2582"/>
  <c r="O2583"/>
  <c r="O2584"/>
  <c r="O2585"/>
  <c r="O2586"/>
  <c r="O2587"/>
  <c r="O2588"/>
  <c r="O2589"/>
  <c r="O2590"/>
  <c r="O2591"/>
  <c r="O2592"/>
  <c r="O2593"/>
  <c r="O2594"/>
  <c r="O2595"/>
  <c r="O2596"/>
  <c r="O2597"/>
  <c r="O2598"/>
  <c r="O2599"/>
  <c r="O2600"/>
  <c r="O2601"/>
  <c r="O2602"/>
  <c r="O2603"/>
  <c r="O2604"/>
  <c r="O2605"/>
  <c r="O2606"/>
  <c r="O2607"/>
  <c r="O2608"/>
  <c r="O2609"/>
  <c r="O2610"/>
  <c r="O2611"/>
  <c r="O2612"/>
  <c r="O2613"/>
  <c r="O2614"/>
  <c r="O2615"/>
  <c r="O2616"/>
  <c r="O2617"/>
  <c r="O2618"/>
  <c r="O2619"/>
  <c r="O2620"/>
  <c r="O2621"/>
  <c r="O2622"/>
  <c r="O2623"/>
  <c r="O2624"/>
  <c r="O2625"/>
  <c r="O2626"/>
  <c r="O2627"/>
  <c r="O2628"/>
  <c r="O2629"/>
  <c r="O2630"/>
  <c r="O2631"/>
  <c r="O2632"/>
  <c r="O2633"/>
  <c r="O2634"/>
  <c r="O2635"/>
  <c r="O2636"/>
  <c r="O2637"/>
  <c r="O2638"/>
  <c r="O2639"/>
  <c r="O2640"/>
  <c r="O2641"/>
  <c r="O2642"/>
  <c r="O2643"/>
  <c r="O2644"/>
  <c r="O2645"/>
  <c r="O2646"/>
  <c r="O2647"/>
  <c r="O2648"/>
  <c r="O2649"/>
  <c r="O2650"/>
  <c r="O2651"/>
  <c r="O2652"/>
  <c r="O2653"/>
  <c r="O2654"/>
  <c r="O2655"/>
  <c r="O2656"/>
  <c r="O2657"/>
  <c r="O2658"/>
  <c r="O2659"/>
  <c r="O2660"/>
  <c r="O2661"/>
  <c r="O2662"/>
  <c r="O2663"/>
  <c r="O2664"/>
  <c r="O2665"/>
  <c r="O2666"/>
  <c r="O2667"/>
  <c r="O2668"/>
  <c r="O2669"/>
  <c r="O2670"/>
  <c r="O2671"/>
  <c r="O2672"/>
  <c r="O2673"/>
  <c r="O2674"/>
  <c r="O2675"/>
  <c r="O2676"/>
  <c r="O2677"/>
  <c r="O2678"/>
  <c r="O2679"/>
  <c r="O2680"/>
  <c r="O2681"/>
  <c r="O2682"/>
  <c r="O2683"/>
  <c r="O2684"/>
  <c r="O2685"/>
  <c r="O2686"/>
  <c r="O2687"/>
  <c r="O2688"/>
  <c r="O2689"/>
  <c r="O2690"/>
  <c r="O2691"/>
  <c r="O2692"/>
  <c r="O2693"/>
  <c r="O2694"/>
  <c r="O2695"/>
  <c r="O2696"/>
  <c r="O2697"/>
  <c r="O2698"/>
  <c r="O2699"/>
  <c r="O2700"/>
  <c r="O2701"/>
  <c r="O2702"/>
  <c r="O2703"/>
  <c r="O2704"/>
  <c r="O2705"/>
  <c r="O2706"/>
  <c r="O2707"/>
  <c r="O2708"/>
  <c r="O2709"/>
  <c r="O2710"/>
  <c r="O2711"/>
  <c r="O2712"/>
  <c r="O2713"/>
  <c r="O2714"/>
  <c r="O2715"/>
  <c r="O2716"/>
  <c r="O2717"/>
  <c r="O2718"/>
  <c r="O2719"/>
  <c r="O2720"/>
  <c r="O2721"/>
  <c r="O2722"/>
  <c r="O2723"/>
  <c r="O2724"/>
  <c r="O2725"/>
  <c r="O2726"/>
  <c r="O2727"/>
  <c r="O2728"/>
  <c r="O2729"/>
  <c r="O2730"/>
  <c r="O2731"/>
  <c r="O2732"/>
  <c r="O2733"/>
  <c r="O2734"/>
  <c r="O2735"/>
  <c r="O2736"/>
  <c r="O2737"/>
  <c r="O2738"/>
  <c r="O2740"/>
  <c r="O2742"/>
  <c r="O2743"/>
  <c r="O2744"/>
  <c r="O2745"/>
  <c r="O2746"/>
  <c r="O2747"/>
  <c r="O2748"/>
  <c r="O2749"/>
  <c r="O2750"/>
  <c r="O2751"/>
  <c r="O2752"/>
  <c r="O2753"/>
  <c r="O2754"/>
  <c r="O2755"/>
  <c r="O2756"/>
  <c r="O2757"/>
  <c r="O2758"/>
  <c r="O2759"/>
  <c r="O2760"/>
  <c r="O2761"/>
  <c r="O2762"/>
  <c r="O2763"/>
  <c r="O2764"/>
  <c r="O2765"/>
  <c r="O2766"/>
  <c r="O2767"/>
  <c r="O2768"/>
  <c r="O2769"/>
  <c r="O2770"/>
  <c r="O2771"/>
  <c r="O2772"/>
  <c r="O2773"/>
  <c r="O2774"/>
  <c r="O2775"/>
  <c r="O2776"/>
  <c r="O2777"/>
  <c r="O2778"/>
  <c r="O2779"/>
  <c r="O2780"/>
  <c r="O2781"/>
  <c r="O2782"/>
  <c r="O2783"/>
  <c r="O2784"/>
  <c r="O2785"/>
  <c r="O2786"/>
  <c r="O2787"/>
  <c r="O2788"/>
  <c r="O2789"/>
  <c r="O2790"/>
  <c r="O2791"/>
  <c r="O2792"/>
  <c r="O2793"/>
  <c r="O2794"/>
  <c r="O2795"/>
  <c r="O2796"/>
  <c r="O2797"/>
  <c r="O2798"/>
  <c r="O2799"/>
  <c r="O2800"/>
  <c r="O2801"/>
  <c r="O2802"/>
  <c r="O2803"/>
  <c r="O2804"/>
  <c r="O2805"/>
  <c r="O2806"/>
  <c r="O2807"/>
  <c r="O2808"/>
  <c r="O2809"/>
  <c r="O2810"/>
  <c r="O2811"/>
  <c r="O2812"/>
  <c r="O2813"/>
  <c r="O2814"/>
  <c r="O2815"/>
  <c r="O2816"/>
  <c r="O2817"/>
  <c r="O2818"/>
  <c r="O2819"/>
  <c r="O2820"/>
  <c r="O2821"/>
  <c r="O2822"/>
  <c r="O2823"/>
  <c r="O2824"/>
  <c r="O2825"/>
  <c r="O2826"/>
  <c r="O2827"/>
  <c r="O2828"/>
  <c r="O2829"/>
  <c r="O2830"/>
  <c r="O2831"/>
  <c r="O2832"/>
  <c r="O2833"/>
  <c r="O2834"/>
  <c r="O2835"/>
  <c r="O2836"/>
  <c r="O2837"/>
  <c r="O2838"/>
  <c r="O2839"/>
  <c r="O2840"/>
  <c r="O2841"/>
  <c r="O2842"/>
  <c r="O2843"/>
  <c r="O2844"/>
  <c r="O2845"/>
  <c r="O2846"/>
  <c r="O2847"/>
  <c r="O2848"/>
  <c r="O2849"/>
  <c r="O2850"/>
  <c r="O2851"/>
  <c r="O2852"/>
  <c r="O2853"/>
  <c r="O2854"/>
  <c r="O2855"/>
  <c r="O2856"/>
  <c r="O2857"/>
  <c r="O2858"/>
  <c r="O2859"/>
  <c r="O2860"/>
  <c r="O2861"/>
  <c r="O2862"/>
  <c r="O2863"/>
  <c r="O2864"/>
  <c r="O2865"/>
  <c r="O2866"/>
  <c r="O2867"/>
  <c r="O2868"/>
  <c r="O2869"/>
  <c r="O2870"/>
  <c r="O2871"/>
  <c r="O2872"/>
  <c r="O2873"/>
  <c r="O2874"/>
  <c r="O2875"/>
  <c r="O2876"/>
  <c r="O2877"/>
  <c r="O2878"/>
  <c r="O2879"/>
  <c r="O2880"/>
  <c r="O2881"/>
  <c r="O2882"/>
  <c r="O2883"/>
  <c r="O2884"/>
  <c r="O2885"/>
  <c r="O2886"/>
  <c r="O2887"/>
  <c r="O2888"/>
  <c r="O2889"/>
  <c r="O2890"/>
  <c r="O2891"/>
  <c r="O2892"/>
  <c r="O2893"/>
  <c r="O2894"/>
  <c r="O2895"/>
  <c r="O2896"/>
  <c r="O2897"/>
  <c r="O2898"/>
  <c r="O2899"/>
  <c r="O2900"/>
  <c r="O2901"/>
  <c r="O2902"/>
  <c r="O2903"/>
  <c r="O2904"/>
  <c r="O2905"/>
  <c r="O2906"/>
  <c r="O2907"/>
  <c r="O2908"/>
  <c r="O2909"/>
  <c r="O2910"/>
  <c r="O2911"/>
  <c r="O2912"/>
  <c r="O2913"/>
  <c r="O2914"/>
  <c r="O2915"/>
  <c r="O2916"/>
  <c r="O2917"/>
  <c r="O2918"/>
  <c r="O2919"/>
  <c r="O2920"/>
  <c r="O2921"/>
  <c r="O2922"/>
  <c r="O2923"/>
  <c r="O2924"/>
  <c r="O2925"/>
  <c r="O2926"/>
  <c r="O2927"/>
  <c r="O2928"/>
  <c r="O2929"/>
  <c r="O2930"/>
  <c r="O2931"/>
  <c r="O2932"/>
  <c r="O2933"/>
  <c r="O2934"/>
  <c r="O2935"/>
  <c r="O2936"/>
  <c r="O2937"/>
  <c r="O2938"/>
  <c r="O2939"/>
  <c r="O2940"/>
  <c r="O2941"/>
  <c r="O2942"/>
  <c r="O2943"/>
  <c r="O2944"/>
  <c r="O2945"/>
  <c r="O2946"/>
  <c r="O2947"/>
  <c r="O2948"/>
  <c r="O2949"/>
  <c r="O2950"/>
  <c r="O2951"/>
  <c r="O2952"/>
  <c r="O2953"/>
  <c r="O2954"/>
  <c r="O2955"/>
  <c r="O2956"/>
  <c r="O2957"/>
  <c r="O2958"/>
  <c r="O2959"/>
  <c r="O2960"/>
  <c r="O2961"/>
  <c r="O2962"/>
  <c r="O2963"/>
  <c r="O2964"/>
  <c r="O2965"/>
  <c r="O2966"/>
  <c r="O2967"/>
  <c r="O2968"/>
  <c r="O2969"/>
  <c r="O2970"/>
  <c r="O2971"/>
  <c r="O2972"/>
  <c r="O2973"/>
  <c r="O2974"/>
  <c r="O2975"/>
  <c r="O2976"/>
  <c r="O2977"/>
  <c r="O2978"/>
  <c r="O2979"/>
  <c r="O2980"/>
  <c r="O2981"/>
  <c r="O2982"/>
  <c r="O2983"/>
  <c r="O2984"/>
  <c r="O2985"/>
  <c r="O2986"/>
  <c r="O2987"/>
  <c r="O2988"/>
  <c r="O2989"/>
  <c r="O2990"/>
  <c r="O2991"/>
  <c r="O2992"/>
  <c r="O2993"/>
  <c r="O2994"/>
  <c r="O2995"/>
  <c r="O2996"/>
  <c r="O2997"/>
  <c r="O2998"/>
  <c r="O2999"/>
  <c r="O3000"/>
  <c r="O3001"/>
  <c r="O3002"/>
  <c r="O3003"/>
  <c r="O3004"/>
  <c r="O3005"/>
  <c r="O3006"/>
  <c r="O3007"/>
  <c r="O3008"/>
  <c r="O3009"/>
  <c r="O3010"/>
  <c r="O3011"/>
  <c r="O3012"/>
  <c r="O3013"/>
  <c r="O3014"/>
  <c r="O3015"/>
  <c r="O3016"/>
  <c r="O3018"/>
  <c r="O3019"/>
  <c r="O3020"/>
  <c r="O3021"/>
  <c r="O3022"/>
  <c r="O3023"/>
  <c r="O3024"/>
  <c r="O3025"/>
  <c r="O3026"/>
  <c r="O3027"/>
  <c r="O3028"/>
  <c r="O3029"/>
  <c r="O3030"/>
  <c r="O3031"/>
  <c r="O3032"/>
  <c r="O3033"/>
  <c r="O3034"/>
  <c r="O3035"/>
  <c r="O3036"/>
  <c r="O3037"/>
  <c r="O3038"/>
  <c r="O3039"/>
  <c r="O3040"/>
  <c r="O3041"/>
  <c r="O3042"/>
  <c r="O3043"/>
  <c r="O3044"/>
  <c r="O3045"/>
  <c r="O3046"/>
  <c r="O3047"/>
  <c r="O3048"/>
  <c r="O3049"/>
  <c r="O3050"/>
  <c r="O3051"/>
  <c r="O3052"/>
  <c r="O3053"/>
  <c r="O3054"/>
  <c r="O3055"/>
  <c r="O3056"/>
  <c r="O3057"/>
  <c r="O3058"/>
  <c r="O3059"/>
  <c r="O3060"/>
  <c r="O3061"/>
  <c r="O3062"/>
  <c r="O3063"/>
  <c r="O3064"/>
  <c r="O3065"/>
  <c r="O3066"/>
  <c r="O3067"/>
  <c r="O3068"/>
  <c r="O3069"/>
  <c r="O3070"/>
  <c r="O3071"/>
  <c r="O3072"/>
  <c r="O3073"/>
  <c r="O3074"/>
  <c r="O3075"/>
  <c r="O3076"/>
  <c r="O3077"/>
  <c r="O3078"/>
  <c r="O3079"/>
  <c r="O3080"/>
  <c r="O3081"/>
  <c r="O3082"/>
  <c r="O3083"/>
  <c r="O3084"/>
  <c r="O3085"/>
  <c r="O3086"/>
  <c r="O3087"/>
  <c r="O3088"/>
  <c r="O3089"/>
  <c r="O3090"/>
  <c r="O3091"/>
  <c r="O3092"/>
  <c r="O3093"/>
  <c r="O3094"/>
  <c r="O3095"/>
  <c r="O3096"/>
  <c r="O3097"/>
  <c r="O3098"/>
  <c r="O3099"/>
  <c r="O3100"/>
  <c r="O3101"/>
  <c r="O3102"/>
  <c r="O3103"/>
  <c r="O3104"/>
  <c r="O3105"/>
  <c r="O3106"/>
  <c r="O3107"/>
  <c r="O3108"/>
  <c r="O3109"/>
  <c r="O3110"/>
  <c r="O3111"/>
  <c r="O3112"/>
  <c r="O3113"/>
  <c r="O3114"/>
  <c r="O3115"/>
  <c r="O3116"/>
  <c r="O3117"/>
  <c r="O3118"/>
  <c r="O3119"/>
  <c r="O3120"/>
  <c r="O3121"/>
  <c r="O3122"/>
  <c r="O3123"/>
  <c r="O3124"/>
  <c r="O3125"/>
  <c r="O3126"/>
  <c r="O3127"/>
  <c r="O3128"/>
  <c r="O3129"/>
  <c r="O3130"/>
  <c r="O3131"/>
  <c r="O3132"/>
  <c r="O3133"/>
  <c r="O3134"/>
  <c r="O3135"/>
  <c r="O3136"/>
  <c r="O3137"/>
  <c r="O3138"/>
  <c r="O3139"/>
  <c r="O3140"/>
  <c r="O3141"/>
  <c r="O3142"/>
  <c r="O3143"/>
  <c r="O3144"/>
  <c r="O3145"/>
  <c r="O3146"/>
  <c r="O3147"/>
  <c r="O3148"/>
  <c r="O3149"/>
  <c r="O3150"/>
  <c r="O3151"/>
  <c r="O3152"/>
  <c r="O3153"/>
  <c r="O3154"/>
  <c r="O3155"/>
  <c r="O3156"/>
  <c r="O3157"/>
  <c r="O3158"/>
  <c r="O3159"/>
  <c r="O3160"/>
  <c r="O3161"/>
  <c r="O3162"/>
  <c r="O3163"/>
  <c r="O3164"/>
  <c r="O3165"/>
  <c r="O3166"/>
  <c r="O3167"/>
  <c r="O3168"/>
  <c r="O3169"/>
  <c r="O3170"/>
  <c r="O3171"/>
  <c r="O3172"/>
  <c r="O3173"/>
  <c r="O3174"/>
  <c r="O3175"/>
  <c r="O3176"/>
  <c r="O3177"/>
  <c r="O3178"/>
  <c r="O3179"/>
  <c r="O3180"/>
  <c r="O3181"/>
  <c r="O3182"/>
  <c r="O3183"/>
  <c r="O3184"/>
  <c r="O3185"/>
  <c r="O3186"/>
  <c r="O3187"/>
  <c r="O3188"/>
  <c r="O3189"/>
  <c r="O3190"/>
  <c r="O3191"/>
  <c r="O3192"/>
  <c r="O3193"/>
  <c r="O3194"/>
  <c r="O3195"/>
  <c r="O3196"/>
  <c r="O3197"/>
  <c r="O3198"/>
  <c r="O3199"/>
  <c r="O3200"/>
  <c r="O3201"/>
  <c r="O3202"/>
  <c r="O3203"/>
  <c r="O3204"/>
  <c r="O3205"/>
  <c r="O3206"/>
  <c r="O3207"/>
  <c r="O3208"/>
  <c r="O3209"/>
  <c r="O3210"/>
  <c r="O3211"/>
  <c r="O3212"/>
  <c r="O3213"/>
  <c r="O3214"/>
  <c r="O3215"/>
  <c r="O3216"/>
  <c r="O3217"/>
  <c r="O3218"/>
  <c r="O3219"/>
  <c r="O3220"/>
  <c r="O3221"/>
  <c r="O3222"/>
  <c r="O3223"/>
  <c r="O3224"/>
  <c r="O3225"/>
  <c r="O3226"/>
  <c r="O3227"/>
  <c r="O3228"/>
  <c r="O3229"/>
  <c r="O3230"/>
  <c r="O3231"/>
  <c r="O3232"/>
  <c r="O3233"/>
  <c r="O3234"/>
  <c r="O3235"/>
  <c r="O3236"/>
  <c r="O3237"/>
  <c r="O3238"/>
  <c r="O3239"/>
  <c r="O3240"/>
  <c r="O3241"/>
  <c r="O3242"/>
  <c r="O3243"/>
  <c r="O3244"/>
  <c r="O3245"/>
  <c r="O3246"/>
  <c r="O3247"/>
  <c r="O3248"/>
  <c r="O3249"/>
  <c r="O3250"/>
  <c r="O3251"/>
  <c r="O3252"/>
  <c r="O3253"/>
  <c r="O3254"/>
  <c r="O3255"/>
  <c r="O3256"/>
  <c r="O3257"/>
  <c r="O3258"/>
  <c r="O3259"/>
  <c r="O3260"/>
  <c r="O3261"/>
  <c r="O3262"/>
  <c r="O3263"/>
  <c r="O3264"/>
  <c r="O3265"/>
  <c r="O3266"/>
  <c r="O3267"/>
  <c r="O3268"/>
  <c r="O3269"/>
  <c r="O3270"/>
  <c r="O3271"/>
  <c r="O3272"/>
  <c r="O3273"/>
  <c r="O3274"/>
  <c r="O3275"/>
  <c r="O3276"/>
  <c r="O3277"/>
  <c r="O3278"/>
  <c r="O3279"/>
  <c r="O3280"/>
  <c r="O3281"/>
  <c r="O3282"/>
  <c r="O3283"/>
  <c r="O3284"/>
  <c r="O3285"/>
  <c r="O3286"/>
  <c r="O3287"/>
  <c r="O3288"/>
  <c r="O3289"/>
  <c r="O3290"/>
  <c r="O3291"/>
  <c r="O3292"/>
  <c r="O3293"/>
  <c r="O3294"/>
  <c r="O3295"/>
  <c r="O3296"/>
  <c r="O3297"/>
  <c r="O3298"/>
  <c r="O3299"/>
  <c r="O3300"/>
  <c r="O3301"/>
  <c r="O3302"/>
  <c r="O3303"/>
  <c r="O3304"/>
  <c r="O3305"/>
  <c r="O3306"/>
  <c r="O3307"/>
  <c r="O3308"/>
  <c r="O3309"/>
  <c r="O3310"/>
  <c r="O3311"/>
  <c r="O3312"/>
  <c r="O3313"/>
  <c r="O3314"/>
  <c r="O3315"/>
  <c r="O3316"/>
  <c r="O3317"/>
  <c r="O3318"/>
  <c r="O3319"/>
  <c r="O3320"/>
  <c r="O3321"/>
  <c r="O3322"/>
  <c r="O3323"/>
  <c r="O3324"/>
  <c r="O3325"/>
  <c r="O3326"/>
  <c r="O3327"/>
  <c r="O3328"/>
  <c r="O3329"/>
  <c r="O3330"/>
  <c r="O3331"/>
  <c r="O3332"/>
  <c r="O3333"/>
  <c r="O3334"/>
  <c r="O3335"/>
  <c r="O3336"/>
  <c r="O3337"/>
  <c r="O3338"/>
  <c r="O3339"/>
  <c r="O3340"/>
  <c r="O3341"/>
  <c r="O3342"/>
  <c r="O3343"/>
  <c r="O3344"/>
  <c r="O3345"/>
  <c r="O3346"/>
  <c r="O3347"/>
  <c r="O3348"/>
  <c r="O3349"/>
  <c r="O3350"/>
  <c r="O3351"/>
  <c r="O3352"/>
  <c r="O3353"/>
  <c r="O3354"/>
  <c r="O3355"/>
  <c r="O3356"/>
  <c r="O3357"/>
  <c r="O3358"/>
  <c r="O3359"/>
  <c r="O3360"/>
  <c r="O3361"/>
  <c r="O3362"/>
  <c r="O3363"/>
  <c r="O3364"/>
  <c r="O3365"/>
  <c r="O3366"/>
  <c r="O3367"/>
  <c r="O3368"/>
  <c r="O3369"/>
  <c r="O3370"/>
  <c r="O3371"/>
  <c r="O3372"/>
  <c r="O3373"/>
  <c r="O3374"/>
  <c r="O3375"/>
  <c r="O3376"/>
  <c r="O3377"/>
  <c r="O3378"/>
  <c r="O3379"/>
  <c r="O3380"/>
  <c r="O3381"/>
  <c r="O3382"/>
  <c r="O3383"/>
  <c r="O3384"/>
  <c r="O3385"/>
  <c r="O3386"/>
  <c r="O3387"/>
  <c r="O3388"/>
  <c r="O3389"/>
  <c r="O3390"/>
  <c r="O3391"/>
  <c r="O3392"/>
  <c r="O3393"/>
  <c r="O3394"/>
  <c r="O3395"/>
  <c r="V353"/>
  <c r="U353"/>
  <c r="AJ353" l="1"/>
  <c r="AI353"/>
  <c r="M437" i="22"/>
  <c r="M200" i="64"/>
  <c r="M201"/>
  <c r="M202"/>
  <c r="M203"/>
  <c r="M204"/>
  <c r="M205"/>
  <c r="M206"/>
  <c r="M207"/>
  <c r="M208"/>
  <c r="M209"/>
  <c r="M210"/>
  <c r="M211"/>
  <c r="M212"/>
  <c r="M213"/>
  <c r="M214"/>
  <c r="M215"/>
  <c r="M216"/>
  <c r="M217"/>
  <c r="M218"/>
  <c r="M219"/>
  <c r="M199"/>
  <c r="M168"/>
  <c r="M169"/>
  <c r="M170"/>
  <c r="M171"/>
  <c r="M172"/>
  <c r="M173"/>
  <c r="M174"/>
  <c r="M175"/>
  <c r="M176"/>
  <c r="M177"/>
  <c r="M178"/>
  <c r="M179"/>
  <c r="M180"/>
  <c r="M181"/>
  <c r="M182"/>
  <c r="M183"/>
  <c r="M184"/>
  <c r="M185"/>
  <c r="M186"/>
  <c r="M187"/>
  <c r="M167"/>
  <c r="M136"/>
  <c r="M137"/>
  <c r="M138"/>
  <c r="M139"/>
  <c r="M140"/>
  <c r="M141"/>
  <c r="M142"/>
  <c r="M143"/>
  <c r="M144"/>
  <c r="M145"/>
  <c r="M146"/>
  <c r="M147"/>
  <c r="M148"/>
  <c r="M149"/>
  <c r="M150"/>
  <c r="M151"/>
  <c r="M152"/>
  <c r="M153"/>
  <c r="M154"/>
  <c r="M155"/>
  <c r="M135"/>
  <c r="M104"/>
  <c r="M105"/>
  <c r="C105" s="1"/>
  <c r="M106"/>
  <c r="C106" s="1"/>
  <c r="M107"/>
  <c r="C107" s="1"/>
  <c r="M108"/>
  <c r="C108" s="1"/>
  <c r="M109"/>
  <c r="M110"/>
  <c r="C110" s="1"/>
  <c r="M111"/>
  <c r="C111" s="1"/>
  <c r="M112"/>
  <c r="C112" s="1"/>
  <c r="M113"/>
  <c r="C113" s="1"/>
  <c r="M114"/>
  <c r="M115"/>
  <c r="C115" s="1"/>
  <c r="M116"/>
  <c r="C116" s="1"/>
  <c r="M117"/>
  <c r="C117" s="1"/>
  <c r="M118"/>
  <c r="C118" s="1"/>
  <c r="M119"/>
  <c r="M120"/>
  <c r="C120" s="1"/>
  <c r="M121"/>
  <c r="C121" s="1"/>
  <c r="M122"/>
  <c r="C122" s="1"/>
  <c r="M123"/>
  <c r="M103"/>
  <c r="C103" s="1"/>
  <c r="M72"/>
  <c r="M73"/>
  <c r="M74"/>
  <c r="M75"/>
  <c r="M76"/>
  <c r="M77"/>
  <c r="M78"/>
  <c r="M79"/>
  <c r="M80"/>
  <c r="M81"/>
  <c r="M82"/>
  <c r="M83"/>
  <c r="M84"/>
  <c r="M85"/>
  <c r="M86"/>
  <c r="M87"/>
  <c r="M88"/>
  <c r="M89"/>
  <c r="M90"/>
  <c r="M91"/>
  <c r="M71"/>
  <c r="M37"/>
  <c r="M36"/>
  <c r="M35"/>
  <c r="M8"/>
  <c r="M9"/>
  <c r="M10"/>
  <c r="M11"/>
  <c r="M12"/>
  <c r="M13"/>
  <c r="M14"/>
  <c r="M15"/>
  <c r="M16"/>
  <c r="M17"/>
  <c r="M18"/>
  <c r="M19"/>
  <c r="M20"/>
  <c r="M21"/>
  <c r="M22"/>
  <c r="M23"/>
  <c r="M24"/>
  <c r="M25"/>
  <c r="M26"/>
  <c r="M27"/>
  <c r="M7"/>
  <c r="M6"/>
  <c r="M5"/>
  <c r="N437" i="22"/>
  <c r="M74"/>
  <c r="N28"/>
  <c r="N27"/>
  <c r="N26"/>
  <c r="N25"/>
  <c r="N23"/>
  <c r="N22"/>
  <c r="N21"/>
  <c r="N20"/>
  <c r="N18"/>
  <c r="N17"/>
  <c r="N16"/>
  <c r="N15"/>
  <c r="N13"/>
  <c r="N12"/>
  <c r="N11"/>
  <c r="N10"/>
  <c r="N8"/>
  <c r="H3284" i="8" l="1"/>
  <c r="T3284" s="1"/>
  <c r="AJ3284" s="1"/>
  <c r="H3281"/>
  <c r="T3281" s="1"/>
  <c r="AJ3281" s="1"/>
  <c r="Q3280"/>
  <c r="R3280" s="1"/>
  <c r="Q3278"/>
  <c r="R3278" s="1"/>
  <c r="H3278"/>
  <c r="T3278" s="1"/>
  <c r="AJ3278" s="1"/>
  <c r="Q3276"/>
  <c r="R3276" s="1"/>
  <c r="H3276"/>
  <c r="T3276" s="1"/>
  <c r="AJ3276" s="1"/>
  <c r="H3274"/>
  <c r="T3274" s="1"/>
  <c r="AJ3274" s="1"/>
  <c r="Q3272"/>
  <c r="R3272" s="1"/>
  <c r="J3266"/>
  <c r="T3266" s="1"/>
  <c r="AJ3266" s="1"/>
  <c r="J3260"/>
  <c r="T3260" s="1"/>
  <c r="AJ3260" s="1"/>
  <c r="J3258"/>
  <c r="T3258" s="1"/>
  <c r="AJ3258" s="1"/>
  <c r="J3249"/>
  <c r="T3249" s="1"/>
  <c r="AJ3249" s="1"/>
  <c r="V3189" l="1"/>
  <c r="AJ3189" s="1"/>
  <c r="H3188"/>
  <c r="T3188" s="1"/>
  <c r="AJ3188" s="1"/>
  <c r="H3153"/>
  <c r="T3153" s="1"/>
  <c r="AJ3153" s="1"/>
  <c r="J3146"/>
  <c r="H3146"/>
  <c r="H3144"/>
  <c r="T3144" s="1"/>
  <c r="AJ3144" s="1"/>
  <c r="T3146" l="1"/>
  <c r="AJ3146" s="1"/>
  <c r="V3055"/>
  <c r="AJ3055" s="1"/>
  <c r="V3048"/>
  <c r="AJ3048" s="1"/>
  <c r="P2904"/>
  <c r="R2904" s="1"/>
  <c r="H2904"/>
  <c r="T2904" l="1"/>
  <c r="AJ2904" s="1"/>
  <c r="G2409"/>
  <c r="S2409" s="1"/>
  <c r="AI2409" s="1"/>
  <c r="G2357"/>
  <c r="S2357" s="1"/>
  <c r="AI2357" s="1"/>
  <c r="G2344"/>
  <c r="S2344" s="1"/>
  <c r="AI2344" s="1"/>
  <c r="V2224" l="1"/>
  <c r="AJ2224" s="1"/>
  <c r="H2175"/>
  <c r="T2175" s="1"/>
  <c r="AJ2175" s="1"/>
  <c r="V1776"/>
  <c r="AJ1776" s="1"/>
  <c r="J1771"/>
  <c r="T1771" s="1"/>
  <c r="AJ1771" s="1"/>
  <c r="H1766"/>
  <c r="T1766" s="1"/>
  <c r="AJ1766" s="1"/>
  <c r="H1763"/>
  <c r="T1763" s="1"/>
  <c r="AJ1763" s="1"/>
  <c r="H1760"/>
  <c r="T1760" s="1"/>
  <c r="AJ1760" s="1"/>
  <c r="H1757"/>
  <c r="T1757" s="1"/>
  <c r="AJ1757" s="1"/>
  <c r="H1754"/>
  <c r="T1754" s="1"/>
  <c r="AJ1754" s="1"/>
  <c r="H1751"/>
  <c r="T1751" s="1"/>
  <c r="AJ1751" s="1"/>
  <c r="H1748"/>
  <c r="T1748" s="1"/>
  <c r="AJ1748" s="1"/>
  <c r="H1745"/>
  <c r="T1745" s="1"/>
  <c r="AJ1745" s="1"/>
  <c r="H1742"/>
  <c r="T1742" s="1"/>
  <c r="AJ1742" s="1"/>
  <c r="H1739"/>
  <c r="T1739" s="1"/>
  <c r="AJ1739" s="1"/>
  <c r="H1736"/>
  <c r="T1736" s="1"/>
  <c r="AJ1736" s="1"/>
  <c r="H1733"/>
  <c r="T1733" s="1"/>
  <c r="AJ1733" s="1"/>
  <c r="H1730"/>
  <c r="T1730" s="1"/>
  <c r="AJ1730" s="1"/>
  <c r="H1727"/>
  <c r="T1727" s="1"/>
  <c r="AJ1727" s="1"/>
  <c r="H1724"/>
  <c r="T1724" s="1"/>
  <c r="AJ1724" s="1"/>
  <c r="AD1248" l="1"/>
  <c r="AJ1248" s="1"/>
  <c r="P1244"/>
  <c r="R1244" s="1"/>
  <c r="H1244"/>
  <c r="M1116"/>
  <c r="O1116" s="1"/>
  <c r="G1116"/>
  <c r="M1101"/>
  <c r="O1101" s="1"/>
  <c r="G1101"/>
  <c r="S1116" l="1"/>
  <c r="AI1116" s="1"/>
  <c r="S1101"/>
  <c r="AI1101" s="1"/>
  <c r="T1244"/>
  <c r="AJ1244" s="1"/>
  <c r="V831"/>
  <c r="AJ831" s="1"/>
  <c r="P801"/>
  <c r="R801" s="1"/>
  <c r="M801"/>
  <c r="O801" s="1"/>
  <c r="H801"/>
  <c r="T801" s="1"/>
  <c r="AJ801" s="1"/>
  <c r="G801"/>
  <c r="P798"/>
  <c r="R798" s="1"/>
  <c r="M798"/>
  <c r="O798" s="1"/>
  <c r="H798"/>
  <c r="G798"/>
  <c r="P795"/>
  <c r="R795" s="1"/>
  <c r="M795"/>
  <c r="O795" s="1"/>
  <c r="H795"/>
  <c r="T795" s="1"/>
  <c r="AJ795" s="1"/>
  <c r="G795"/>
  <c r="P792"/>
  <c r="R792" s="1"/>
  <c r="M792"/>
  <c r="O792" s="1"/>
  <c r="H792"/>
  <c r="G792"/>
  <c r="P787"/>
  <c r="R787" s="1"/>
  <c r="M787"/>
  <c r="O787" s="1"/>
  <c r="H787"/>
  <c r="T787" s="1"/>
  <c r="AJ787" s="1"/>
  <c r="G787"/>
  <c r="J784"/>
  <c r="T784" s="1"/>
  <c r="AJ784" s="1"/>
  <c r="P778"/>
  <c r="R778" s="1"/>
  <c r="M778"/>
  <c r="O778" s="1"/>
  <c r="H778"/>
  <c r="G778"/>
  <c r="AD772"/>
  <c r="AJ772" s="1"/>
  <c r="AC772"/>
  <c r="AI772" s="1"/>
  <c r="J771"/>
  <c r="T771" s="1"/>
  <c r="AJ771" s="1"/>
  <c r="P769"/>
  <c r="R769" s="1"/>
  <c r="M769"/>
  <c r="O769" s="1"/>
  <c r="H769"/>
  <c r="G769"/>
  <c r="AD761"/>
  <c r="AJ761" s="1"/>
  <c r="AC761"/>
  <c r="AI761" s="1"/>
  <c r="P758"/>
  <c r="R758" s="1"/>
  <c r="M758"/>
  <c r="O758" s="1"/>
  <c r="H758"/>
  <c r="G758"/>
  <c r="P750"/>
  <c r="R750" s="1"/>
  <c r="M750"/>
  <c r="O750" s="1"/>
  <c r="H750"/>
  <c r="G750"/>
  <c r="S750" s="1"/>
  <c r="AI750" s="1"/>
  <c r="J745"/>
  <c r="T745" s="1"/>
  <c r="AJ745" s="1"/>
  <c r="AD741"/>
  <c r="AJ741" s="1"/>
  <c r="AC741"/>
  <c r="AI741" s="1"/>
  <c r="P738"/>
  <c r="R738" s="1"/>
  <c r="M738"/>
  <c r="O738" s="1"/>
  <c r="H738"/>
  <c r="G738"/>
  <c r="P733"/>
  <c r="R733" s="1"/>
  <c r="M733"/>
  <c r="O733" s="1"/>
  <c r="H733"/>
  <c r="G733"/>
  <c r="S787" l="1"/>
  <c r="AI787" s="1"/>
  <c r="S795"/>
  <c r="AI795" s="1"/>
  <c r="S801"/>
  <c r="AI801" s="1"/>
  <c r="T733"/>
  <c r="AJ733" s="1"/>
  <c r="S733"/>
  <c r="AI733" s="1"/>
  <c r="T758"/>
  <c r="AJ758" s="1"/>
  <c r="S758"/>
  <c r="AI758" s="1"/>
  <c r="T769"/>
  <c r="AJ769" s="1"/>
  <c r="T792"/>
  <c r="AJ792" s="1"/>
  <c r="T798"/>
  <c r="AJ798" s="1"/>
  <c r="T738"/>
  <c r="AJ738" s="1"/>
  <c r="S769"/>
  <c r="AI769" s="1"/>
  <c r="T778"/>
  <c r="AJ778" s="1"/>
  <c r="S792"/>
  <c r="AI792" s="1"/>
  <c r="S798"/>
  <c r="AI798" s="1"/>
  <c r="S738"/>
  <c r="AI738" s="1"/>
  <c r="T750"/>
  <c r="AJ750" s="1"/>
  <c r="S778"/>
  <c r="AI778" s="1"/>
  <c r="M66" i="64"/>
  <c r="M404" i="22"/>
  <c r="M370"/>
  <c r="M337"/>
  <c r="M303"/>
  <c r="M270"/>
  <c r="M225"/>
  <c r="M224"/>
  <c r="M223"/>
  <c r="M222"/>
  <c r="M221"/>
  <c r="M220"/>
  <c r="M219"/>
  <c r="M218"/>
  <c r="M217"/>
  <c r="M216"/>
  <c r="M215"/>
  <c r="M214"/>
  <c r="M213"/>
  <c r="M212"/>
  <c r="M211"/>
  <c r="M210"/>
  <c r="M209"/>
  <c r="M208"/>
  <c r="M207"/>
  <c r="M205"/>
  <c r="M192"/>
  <c r="M191"/>
  <c r="M190"/>
  <c r="M189"/>
  <c r="M188"/>
  <c r="M187"/>
  <c r="M186"/>
  <c r="M185"/>
  <c r="M184"/>
  <c r="M183"/>
  <c r="M182"/>
  <c r="M181"/>
  <c r="M180"/>
  <c r="M179"/>
  <c r="M178"/>
  <c r="M177"/>
  <c r="M176"/>
  <c r="M175"/>
  <c r="M174"/>
  <c r="M172"/>
  <c r="M159"/>
  <c r="M158"/>
  <c r="M157"/>
  <c r="M156"/>
  <c r="M155"/>
  <c r="M154"/>
  <c r="M153"/>
  <c r="M152"/>
  <c r="M151"/>
  <c r="M150"/>
  <c r="M149"/>
  <c r="M148"/>
  <c r="M147"/>
  <c r="M146"/>
  <c r="M145"/>
  <c r="M144"/>
  <c r="M143"/>
  <c r="M142"/>
  <c r="M141"/>
  <c r="M139"/>
  <c r="M127"/>
  <c r="M126"/>
  <c r="M125"/>
  <c r="M124"/>
  <c r="M123"/>
  <c r="M122"/>
  <c r="M121"/>
  <c r="M120"/>
  <c r="M119"/>
  <c r="M118"/>
  <c r="M117"/>
  <c r="M116"/>
  <c r="M115"/>
  <c r="M114"/>
  <c r="M113"/>
  <c r="M112"/>
  <c r="M111"/>
  <c r="M110"/>
  <c r="M109"/>
  <c r="M107"/>
  <c r="M94"/>
  <c r="M93"/>
  <c r="M92"/>
  <c r="M91"/>
  <c r="M90"/>
  <c r="M89"/>
  <c r="M88"/>
  <c r="M87"/>
  <c r="M86"/>
  <c r="M85"/>
  <c r="M84"/>
  <c r="M83"/>
  <c r="M82"/>
  <c r="M81"/>
  <c r="M80"/>
  <c r="M79"/>
  <c r="M78"/>
  <c r="M77"/>
  <c r="M76"/>
  <c r="M61"/>
  <c r="M60"/>
  <c r="M59"/>
  <c r="M58"/>
  <c r="M57"/>
  <c r="M56"/>
  <c r="M55"/>
  <c r="M54"/>
  <c r="M53"/>
  <c r="M52"/>
  <c r="M51"/>
  <c r="M50"/>
  <c r="M49"/>
  <c r="M48"/>
  <c r="M47"/>
  <c r="M46"/>
  <c r="M45"/>
  <c r="M44"/>
  <c r="M43"/>
  <c r="M41"/>
  <c r="M8"/>
  <c r="AJ236" i="8"/>
  <c r="J222"/>
  <c r="T222" s="1"/>
  <c r="AJ222" s="1"/>
  <c r="T219"/>
  <c r="AJ219" s="1"/>
  <c r="T218"/>
  <c r="AJ218" s="1"/>
  <c r="J212"/>
  <c r="T212" s="1"/>
  <c r="AJ212" s="1"/>
  <c r="H159"/>
  <c r="T159" s="1"/>
  <c r="AJ159" s="1"/>
  <c r="G159"/>
  <c r="S159" s="1"/>
  <c r="AI159" s="1"/>
  <c r="H65"/>
  <c r="T65" s="1"/>
  <c r="AJ65" s="1"/>
  <c r="G65"/>
  <c r="S65" s="1"/>
  <c r="AI65" s="1"/>
  <c r="H60"/>
  <c r="T60" s="1"/>
  <c r="AJ60" s="1"/>
  <c r="J51"/>
  <c r="T51" s="1"/>
  <c r="AJ51" s="1"/>
  <c r="H42"/>
  <c r="T42" s="1"/>
  <c r="AJ42" s="1"/>
  <c r="G42"/>
  <c r="S42" s="1"/>
  <c r="AI42" s="1"/>
  <c r="AD32"/>
  <c r="AJ32" s="1"/>
  <c r="AC32"/>
  <c r="AI32" s="1"/>
  <c r="AB9"/>
  <c r="Y9"/>
  <c r="R9"/>
  <c r="O9"/>
  <c r="H9"/>
  <c r="T9" s="1"/>
  <c r="AJ9" s="1"/>
  <c r="G9"/>
  <c r="S9" s="1"/>
  <c r="AI9" s="1"/>
  <c r="C71" i="64" l="1"/>
  <c r="D71"/>
  <c r="B71"/>
  <c r="E544"/>
  <c r="E538"/>
  <c r="E534"/>
  <c r="E532"/>
  <c r="D524"/>
  <c r="D475"/>
  <c r="I475" s="1"/>
  <c r="D473"/>
  <c r="D465"/>
  <c r="I465" s="1"/>
  <c r="D463"/>
  <c r="D448"/>
  <c r="D446"/>
  <c r="D415"/>
  <c r="I415" s="1"/>
  <c r="D413"/>
  <c r="D405"/>
  <c r="I405" s="1"/>
  <c r="D403"/>
  <c r="I403" s="1"/>
  <c r="D395"/>
  <c r="D380"/>
  <c r="I380" s="1"/>
  <c r="D378"/>
  <c r="I378" s="1"/>
  <c r="D370"/>
  <c r="I370" s="1"/>
  <c r="D368"/>
  <c r="I368" s="1"/>
  <c r="D348"/>
  <c r="I348" s="1"/>
  <c r="D346"/>
  <c r="D338"/>
  <c r="D336"/>
  <c r="I336" s="1"/>
  <c r="D328"/>
  <c r="D314"/>
  <c r="I314" s="1"/>
  <c r="D312"/>
  <c r="I312" s="1"/>
  <c r="D304"/>
  <c r="I304" s="1"/>
  <c r="D302"/>
  <c r="B7"/>
  <c r="E512"/>
  <c r="J512" s="1"/>
  <c r="E511"/>
  <c r="J511" s="1"/>
  <c r="E510"/>
  <c r="J510" s="1"/>
  <c r="E509"/>
  <c r="E507"/>
  <c r="J507" s="1"/>
  <c r="E506"/>
  <c r="E505"/>
  <c r="J505" s="1"/>
  <c r="E504"/>
  <c r="J504" s="1"/>
  <c r="E502"/>
  <c r="J502" s="1"/>
  <c r="E501"/>
  <c r="E500"/>
  <c r="D512"/>
  <c r="D511"/>
  <c r="I511" s="1"/>
  <c r="D510"/>
  <c r="D509"/>
  <c r="I509" s="1"/>
  <c r="D507"/>
  <c r="I507" s="1"/>
  <c r="D506"/>
  <c r="I506" s="1"/>
  <c r="D505"/>
  <c r="D504"/>
  <c r="D502"/>
  <c r="D501"/>
  <c r="I501" s="1"/>
  <c r="D500"/>
  <c r="I500" s="1"/>
  <c r="C512"/>
  <c r="C511"/>
  <c r="H511" s="1"/>
  <c r="C510"/>
  <c r="C509"/>
  <c r="C507"/>
  <c r="C506"/>
  <c r="C505"/>
  <c r="C504"/>
  <c r="C502"/>
  <c r="C501"/>
  <c r="C500"/>
  <c r="E499"/>
  <c r="D499"/>
  <c r="C499"/>
  <c r="B512"/>
  <c r="G512" s="1"/>
  <c r="B511"/>
  <c r="B510"/>
  <c r="G510" s="1"/>
  <c r="B509"/>
  <c r="B507"/>
  <c r="G507" s="1"/>
  <c r="B506"/>
  <c r="B505"/>
  <c r="G505" s="1"/>
  <c r="B504"/>
  <c r="B502"/>
  <c r="G502" s="1"/>
  <c r="B501"/>
  <c r="B500"/>
  <c r="G500" s="1"/>
  <c r="B499"/>
  <c r="D54"/>
  <c r="D52"/>
  <c r="C48"/>
  <c r="C46"/>
  <c r="D44"/>
  <c r="C42"/>
  <c r="D47"/>
  <c r="D49"/>
  <c r="C51"/>
  <c r="C53"/>
  <c r="C56"/>
  <c r="D57"/>
  <c r="C58"/>
  <c r="D59"/>
  <c r="D73"/>
  <c r="C74"/>
  <c r="G74" s="1"/>
  <c r="D75"/>
  <c r="H75" s="1"/>
  <c r="C76"/>
  <c r="D78"/>
  <c r="C79"/>
  <c r="G79" s="1"/>
  <c r="D80"/>
  <c r="C81"/>
  <c r="G81" s="1"/>
  <c r="D83"/>
  <c r="C84"/>
  <c r="G84" s="1"/>
  <c r="D85"/>
  <c r="H85" s="1"/>
  <c r="C86"/>
  <c r="G86" s="1"/>
  <c r="D88"/>
  <c r="C89"/>
  <c r="D90"/>
  <c r="C91"/>
  <c r="G91" s="1"/>
  <c r="D103"/>
  <c r="B106"/>
  <c r="D107"/>
  <c r="H107" s="1"/>
  <c r="D108"/>
  <c r="G110"/>
  <c r="D111"/>
  <c r="D113"/>
  <c r="G115"/>
  <c r="D116"/>
  <c r="G117"/>
  <c r="D118"/>
  <c r="D121"/>
  <c r="G122"/>
  <c r="D123"/>
  <c r="C135"/>
  <c r="D137"/>
  <c r="C138"/>
  <c r="D139"/>
  <c r="C140"/>
  <c r="D142"/>
  <c r="C143"/>
  <c r="D144"/>
  <c r="C145"/>
  <c r="G145" s="1"/>
  <c r="D147"/>
  <c r="C148"/>
  <c r="G148" s="1"/>
  <c r="D149"/>
  <c r="H149" s="1"/>
  <c r="C150"/>
  <c r="D152"/>
  <c r="C153"/>
  <c r="D154"/>
  <c r="C155"/>
  <c r="G155" s="1"/>
  <c r="D167"/>
  <c r="C169"/>
  <c r="D170"/>
  <c r="C171"/>
  <c r="G171" s="1"/>
  <c r="D172"/>
  <c r="H172" s="1"/>
  <c r="C174"/>
  <c r="D175"/>
  <c r="C176"/>
  <c r="G176" s="1"/>
  <c r="D177"/>
  <c r="H177" s="1"/>
  <c r="C179"/>
  <c r="G179" s="1"/>
  <c r="D180"/>
  <c r="C181"/>
  <c r="G181" s="1"/>
  <c r="D182"/>
  <c r="C184"/>
  <c r="G184" s="1"/>
  <c r="D185"/>
  <c r="C186"/>
  <c r="D187"/>
  <c r="C199"/>
  <c r="D201"/>
  <c r="C202"/>
  <c r="D203"/>
  <c r="C204"/>
  <c r="D206"/>
  <c r="C207"/>
  <c r="G207" s="1"/>
  <c r="D208"/>
  <c r="C209"/>
  <c r="G209" s="1"/>
  <c r="D211"/>
  <c r="C212"/>
  <c r="D213"/>
  <c r="C214"/>
  <c r="D216"/>
  <c r="H216" s="1"/>
  <c r="B217"/>
  <c r="D218"/>
  <c r="C219"/>
  <c r="D231"/>
  <c r="D233"/>
  <c r="D234"/>
  <c r="D235"/>
  <c r="D236"/>
  <c r="D238"/>
  <c r="D239"/>
  <c r="D240"/>
  <c r="D241"/>
  <c r="D243"/>
  <c r="D244"/>
  <c r="D245"/>
  <c r="D246"/>
  <c r="D248"/>
  <c r="D249"/>
  <c r="D250"/>
  <c r="D251"/>
  <c r="D263"/>
  <c r="D265"/>
  <c r="I265" s="1"/>
  <c r="D266"/>
  <c r="D267"/>
  <c r="I267" s="1"/>
  <c r="D268"/>
  <c r="D270"/>
  <c r="D271"/>
  <c r="I271" s="1"/>
  <c r="D272"/>
  <c r="I272" s="1"/>
  <c r="D273"/>
  <c r="D275"/>
  <c r="D276"/>
  <c r="D277"/>
  <c r="D278"/>
  <c r="I278" s="1"/>
  <c r="D280"/>
  <c r="I280" s="1"/>
  <c r="D281"/>
  <c r="D282"/>
  <c r="I282" s="1"/>
  <c r="D283"/>
  <c r="I283" s="1"/>
  <c r="D295"/>
  <c r="D297"/>
  <c r="D298"/>
  <c r="D299"/>
  <c r="I299" s="1"/>
  <c r="D300"/>
  <c r="D303"/>
  <c r="D305"/>
  <c r="D307"/>
  <c r="D308"/>
  <c r="D309"/>
  <c r="D310"/>
  <c r="D313"/>
  <c r="D315"/>
  <c r="I315" s="1"/>
  <c r="D330"/>
  <c r="D331"/>
  <c r="D332"/>
  <c r="I332" s="1"/>
  <c r="D333"/>
  <c r="D335"/>
  <c r="I335" s="1"/>
  <c r="D337"/>
  <c r="I337" s="1"/>
  <c r="D340"/>
  <c r="D341"/>
  <c r="D342"/>
  <c r="D343"/>
  <c r="D345"/>
  <c r="I345" s="1"/>
  <c r="D347"/>
  <c r="I347" s="1"/>
  <c r="D361"/>
  <c r="D363"/>
  <c r="D364"/>
  <c r="D365"/>
  <c r="I365" s="1"/>
  <c r="D366"/>
  <c r="D369"/>
  <c r="I369" s="1"/>
  <c r="D371"/>
  <c r="D373"/>
  <c r="D374"/>
  <c r="D375"/>
  <c r="I375" s="1"/>
  <c r="D376"/>
  <c r="D379"/>
  <c r="D381"/>
  <c r="I381" s="1"/>
  <c r="D397"/>
  <c r="I397" s="1"/>
  <c r="D398"/>
  <c r="D399"/>
  <c r="I399" s="1"/>
  <c r="D400"/>
  <c r="I400" s="1"/>
  <c r="D402"/>
  <c r="I402" s="1"/>
  <c r="D404"/>
  <c r="D407"/>
  <c r="I407" s="1"/>
  <c r="D408"/>
  <c r="D409"/>
  <c r="I409" s="1"/>
  <c r="D410"/>
  <c r="D412"/>
  <c r="D414"/>
  <c r="D428"/>
  <c r="D430"/>
  <c r="D431"/>
  <c r="D432"/>
  <c r="D433"/>
  <c r="D435"/>
  <c r="I435" s="1"/>
  <c r="D436"/>
  <c r="I436" s="1"/>
  <c r="D437"/>
  <c r="I437" s="1"/>
  <c r="D438"/>
  <c r="I438" s="1"/>
  <c r="D440"/>
  <c r="I440" s="1"/>
  <c r="D441"/>
  <c r="I441" s="1"/>
  <c r="D442"/>
  <c r="D443"/>
  <c r="D460"/>
  <c r="D462"/>
  <c r="I462" s="1"/>
  <c r="D464"/>
  <c r="I464" s="1"/>
  <c r="D467"/>
  <c r="I467" s="1"/>
  <c r="D468"/>
  <c r="I468" s="1"/>
  <c r="D469"/>
  <c r="D470"/>
  <c r="I470" s="1"/>
  <c r="D472"/>
  <c r="I472" s="1"/>
  <c r="D474"/>
  <c r="I474" s="1"/>
  <c r="D477"/>
  <c r="I477" s="1"/>
  <c r="D478"/>
  <c r="I478" s="1"/>
  <c r="D479"/>
  <c r="I479" s="1"/>
  <c r="D480"/>
  <c r="I480" s="1"/>
  <c r="D492"/>
  <c r="D494"/>
  <c r="I494" s="1"/>
  <c r="D495"/>
  <c r="D496"/>
  <c r="I496" s="1"/>
  <c r="D497"/>
  <c r="D526"/>
  <c r="I526" s="1"/>
  <c r="D527"/>
  <c r="I527" s="1"/>
  <c r="D528"/>
  <c r="I528" s="1"/>
  <c r="D529"/>
  <c r="I529" s="1"/>
  <c r="D531"/>
  <c r="I531" s="1"/>
  <c r="D533"/>
  <c r="I533" s="1"/>
  <c r="E536"/>
  <c r="E542"/>
  <c r="J542" s="1"/>
  <c r="F540"/>
  <c r="F535"/>
  <c r="F530"/>
  <c r="F525"/>
  <c r="F508"/>
  <c r="I504"/>
  <c r="F503"/>
  <c r="J500"/>
  <c r="F498"/>
  <c r="B448"/>
  <c r="D447"/>
  <c r="B447"/>
  <c r="B446"/>
  <c r="D445"/>
  <c r="B445"/>
  <c r="J411"/>
  <c r="I411"/>
  <c r="H411"/>
  <c r="G411"/>
  <c r="F411"/>
  <c r="K411" s="1"/>
  <c r="J406"/>
  <c r="I406"/>
  <c r="H406"/>
  <c r="G406"/>
  <c r="F406"/>
  <c r="K406" s="1"/>
  <c r="J401"/>
  <c r="I401"/>
  <c r="H401"/>
  <c r="G401"/>
  <c r="F401"/>
  <c r="K401" s="1"/>
  <c r="J396"/>
  <c r="I396"/>
  <c r="H396"/>
  <c r="G396"/>
  <c r="F396"/>
  <c r="K396" s="1"/>
  <c r="F377"/>
  <c r="F372"/>
  <c r="F367"/>
  <c r="F362"/>
  <c r="F344"/>
  <c r="F339"/>
  <c r="F334"/>
  <c r="F296"/>
  <c r="F279"/>
  <c r="F274"/>
  <c r="F269"/>
  <c r="I119"/>
  <c r="H119"/>
  <c r="G119"/>
  <c r="F119"/>
  <c r="I114"/>
  <c r="H114"/>
  <c r="G114"/>
  <c r="F114"/>
  <c r="I109"/>
  <c r="H109"/>
  <c r="G109"/>
  <c r="F109"/>
  <c r="I87"/>
  <c r="H87"/>
  <c r="G87"/>
  <c r="F87"/>
  <c r="I82"/>
  <c r="H82"/>
  <c r="G82"/>
  <c r="F82"/>
  <c r="I77"/>
  <c r="H77"/>
  <c r="G77"/>
  <c r="F77"/>
  <c r="I55"/>
  <c r="H55"/>
  <c r="G55"/>
  <c r="F55"/>
  <c r="I50"/>
  <c r="H50"/>
  <c r="G50"/>
  <c r="F50"/>
  <c r="I45"/>
  <c r="H45"/>
  <c r="G45"/>
  <c r="F45"/>
  <c r="C43"/>
  <c r="I499" l="1"/>
  <c r="I275"/>
  <c r="I373"/>
  <c r="I307"/>
  <c r="I340"/>
  <c r="C430"/>
  <c r="E430"/>
  <c r="C431"/>
  <c r="H431" s="1"/>
  <c r="E431"/>
  <c r="J431" s="1"/>
  <c r="C432"/>
  <c r="H432" s="1"/>
  <c r="E432"/>
  <c r="J432" s="1"/>
  <c r="C433"/>
  <c r="H433" s="1"/>
  <c r="E433"/>
  <c r="J433" s="1"/>
  <c r="C435"/>
  <c r="H435" s="1"/>
  <c r="E435"/>
  <c r="C436"/>
  <c r="H436" s="1"/>
  <c r="E436"/>
  <c r="F436" s="1"/>
  <c r="C437"/>
  <c r="H437" s="1"/>
  <c r="E437"/>
  <c r="C438"/>
  <c r="H438" s="1"/>
  <c r="E438"/>
  <c r="J438" s="1"/>
  <c r="C440"/>
  <c r="E440"/>
  <c r="J440" s="1"/>
  <c r="C441"/>
  <c r="H441" s="1"/>
  <c r="E441"/>
  <c r="J441" s="1"/>
  <c r="C442"/>
  <c r="H442" s="1"/>
  <c r="E442"/>
  <c r="C443"/>
  <c r="E443"/>
  <c r="C460"/>
  <c r="E460"/>
  <c r="C462"/>
  <c r="E462"/>
  <c r="C463"/>
  <c r="H463" s="1"/>
  <c r="E463"/>
  <c r="J463" s="1"/>
  <c r="C464"/>
  <c r="H464" s="1"/>
  <c r="E464"/>
  <c r="J464" s="1"/>
  <c r="C465"/>
  <c r="H465" s="1"/>
  <c r="E465"/>
  <c r="C467"/>
  <c r="E467"/>
  <c r="C468"/>
  <c r="H468" s="1"/>
  <c r="E468"/>
  <c r="C469"/>
  <c r="H469" s="1"/>
  <c r="E469"/>
  <c r="C470"/>
  <c r="H470" s="1"/>
  <c r="E470"/>
  <c r="J470" s="1"/>
  <c r="C472"/>
  <c r="H472" s="1"/>
  <c r="E472"/>
  <c r="J472" s="1"/>
  <c r="C473"/>
  <c r="H473" s="1"/>
  <c r="E473"/>
  <c r="J473" s="1"/>
  <c r="C474"/>
  <c r="H474" s="1"/>
  <c r="E474"/>
  <c r="C475"/>
  <c r="H475" s="1"/>
  <c r="E475"/>
  <c r="J475" s="1"/>
  <c r="C477"/>
  <c r="H477" s="1"/>
  <c r="E477"/>
  <c r="J477" s="1"/>
  <c r="C478"/>
  <c r="H478" s="1"/>
  <c r="E478"/>
  <c r="J478" s="1"/>
  <c r="C479"/>
  <c r="H479" s="1"/>
  <c r="E479"/>
  <c r="J479" s="1"/>
  <c r="C480"/>
  <c r="H480" s="1"/>
  <c r="E480"/>
  <c r="J480" s="1"/>
  <c r="C492"/>
  <c r="E492"/>
  <c r="F492" s="1"/>
  <c r="C494"/>
  <c r="H504" s="1"/>
  <c r="E494"/>
  <c r="C495"/>
  <c r="H495" s="1"/>
  <c r="E495"/>
  <c r="J495" s="1"/>
  <c r="C496"/>
  <c r="H496" s="1"/>
  <c r="E496"/>
  <c r="J496" s="1"/>
  <c r="C497"/>
  <c r="H497" s="1"/>
  <c r="E497"/>
  <c r="J497" s="1"/>
  <c r="C524"/>
  <c r="E524"/>
  <c r="C526"/>
  <c r="H526" s="1"/>
  <c r="E526"/>
  <c r="J526" s="1"/>
  <c r="C527"/>
  <c r="H527" s="1"/>
  <c r="E527"/>
  <c r="J527" s="1"/>
  <c r="C528"/>
  <c r="H528" s="1"/>
  <c r="E528"/>
  <c r="J528" s="1"/>
  <c r="C529"/>
  <c r="H529" s="1"/>
  <c r="E529"/>
  <c r="J529" s="1"/>
  <c r="C531"/>
  <c r="H531" s="1"/>
  <c r="E531"/>
  <c r="J531" s="1"/>
  <c r="C532"/>
  <c r="H532" s="1"/>
  <c r="C533"/>
  <c r="E533"/>
  <c r="C534"/>
  <c r="H534" s="1"/>
  <c r="C536"/>
  <c r="H536" s="1"/>
  <c r="C537"/>
  <c r="H537" s="1"/>
  <c r="E537"/>
  <c r="J537" s="1"/>
  <c r="C538"/>
  <c r="H538" s="1"/>
  <c r="C539"/>
  <c r="H539" s="1"/>
  <c r="E539"/>
  <c r="C541"/>
  <c r="H541" s="1"/>
  <c r="E541"/>
  <c r="J541" s="1"/>
  <c r="C542"/>
  <c r="H542" s="1"/>
  <c r="C543"/>
  <c r="H543" s="1"/>
  <c r="E543"/>
  <c r="J543" s="1"/>
  <c r="C544"/>
  <c r="H544" s="1"/>
  <c r="J544"/>
  <c r="J538"/>
  <c r="J536"/>
  <c r="J534"/>
  <c r="J532"/>
  <c r="B430"/>
  <c r="B431"/>
  <c r="G431" s="1"/>
  <c r="B432"/>
  <c r="G432" s="1"/>
  <c r="B433"/>
  <c r="G433" s="1"/>
  <c r="B435"/>
  <c r="B436"/>
  <c r="B437"/>
  <c r="B438"/>
  <c r="G438" s="1"/>
  <c r="B440"/>
  <c r="G440" s="1"/>
  <c r="B441"/>
  <c r="G441" s="1"/>
  <c r="B442"/>
  <c r="B443"/>
  <c r="G443" s="1"/>
  <c r="B460"/>
  <c r="B462"/>
  <c r="B463"/>
  <c r="G463" s="1"/>
  <c r="B464"/>
  <c r="G464" s="1"/>
  <c r="B465"/>
  <c r="G465" s="1"/>
  <c r="B467"/>
  <c r="B468"/>
  <c r="B469"/>
  <c r="B470"/>
  <c r="B472"/>
  <c r="G472" s="1"/>
  <c r="B473"/>
  <c r="G473" s="1"/>
  <c r="B474"/>
  <c r="B475"/>
  <c r="G475" s="1"/>
  <c r="B477"/>
  <c r="G477" s="1"/>
  <c r="B478"/>
  <c r="G478" s="1"/>
  <c r="B479"/>
  <c r="G479" s="1"/>
  <c r="B480"/>
  <c r="G480" s="1"/>
  <c r="B492"/>
  <c r="B494"/>
  <c r="B495"/>
  <c r="G495" s="1"/>
  <c r="B496"/>
  <c r="G496" s="1"/>
  <c r="B497"/>
  <c r="G497" s="1"/>
  <c r="B524"/>
  <c r="B526"/>
  <c r="G526" s="1"/>
  <c r="B527"/>
  <c r="G527" s="1"/>
  <c r="B528"/>
  <c r="G528" s="1"/>
  <c r="B529"/>
  <c r="G529" s="1"/>
  <c r="B531"/>
  <c r="G531" s="1"/>
  <c r="B532"/>
  <c r="G532" s="1"/>
  <c r="D532"/>
  <c r="I532" s="1"/>
  <c r="B533"/>
  <c r="B534"/>
  <c r="G534" s="1"/>
  <c r="D534"/>
  <c r="B536"/>
  <c r="G536" s="1"/>
  <c r="D536"/>
  <c r="I536" s="1"/>
  <c r="B537"/>
  <c r="G537" s="1"/>
  <c r="D537"/>
  <c r="I537" s="1"/>
  <c r="B538"/>
  <c r="G538" s="1"/>
  <c r="D538"/>
  <c r="I538" s="1"/>
  <c r="B539"/>
  <c r="G539" s="1"/>
  <c r="D539"/>
  <c r="B541"/>
  <c r="G541" s="1"/>
  <c r="D541"/>
  <c r="I541" s="1"/>
  <c r="B542"/>
  <c r="G542" s="1"/>
  <c r="D542"/>
  <c r="I542" s="1"/>
  <c r="B543"/>
  <c r="G543" s="1"/>
  <c r="D543"/>
  <c r="I543" s="1"/>
  <c r="B544"/>
  <c r="G544" s="1"/>
  <c r="D544"/>
  <c r="C233"/>
  <c r="E233"/>
  <c r="C234"/>
  <c r="E234"/>
  <c r="C235"/>
  <c r="E235"/>
  <c r="C236"/>
  <c r="E236"/>
  <c r="C238"/>
  <c r="E238"/>
  <c r="C239"/>
  <c r="E239"/>
  <c r="C240"/>
  <c r="E240"/>
  <c r="C241"/>
  <c r="E241"/>
  <c r="C243"/>
  <c r="E243"/>
  <c r="C244"/>
  <c r="E244"/>
  <c r="C245"/>
  <c r="E245"/>
  <c r="C246"/>
  <c r="E246"/>
  <c r="C248"/>
  <c r="E248"/>
  <c r="C249"/>
  <c r="E249"/>
  <c r="C250"/>
  <c r="E250"/>
  <c r="C251"/>
  <c r="E251"/>
  <c r="C263"/>
  <c r="E263"/>
  <c r="F263" s="1"/>
  <c r="C265"/>
  <c r="H265" s="1"/>
  <c r="E265"/>
  <c r="J265" s="1"/>
  <c r="C266"/>
  <c r="H266" s="1"/>
  <c r="E266"/>
  <c r="J266" s="1"/>
  <c r="C267"/>
  <c r="H267" s="1"/>
  <c r="E267"/>
  <c r="J267" s="1"/>
  <c r="C268"/>
  <c r="H268" s="1"/>
  <c r="J268"/>
  <c r="C270"/>
  <c r="H270" s="1"/>
  <c r="E270"/>
  <c r="C271"/>
  <c r="H271" s="1"/>
  <c r="E271"/>
  <c r="C272"/>
  <c r="H272" s="1"/>
  <c r="E272"/>
  <c r="C273"/>
  <c r="H273" s="1"/>
  <c r="E273"/>
  <c r="J273" s="1"/>
  <c r="C275"/>
  <c r="E275"/>
  <c r="C276"/>
  <c r="H276" s="1"/>
  <c r="E276"/>
  <c r="J276" s="1"/>
  <c r="C277"/>
  <c r="H277" s="1"/>
  <c r="E277"/>
  <c r="C278"/>
  <c r="H278" s="1"/>
  <c r="E278"/>
  <c r="J278" s="1"/>
  <c r="C280"/>
  <c r="H280" s="1"/>
  <c r="E280"/>
  <c r="J280" s="1"/>
  <c r="C281"/>
  <c r="H281" s="1"/>
  <c r="E281"/>
  <c r="C282"/>
  <c r="H282" s="1"/>
  <c r="E282"/>
  <c r="J282" s="1"/>
  <c r="C283"/>
  <c r="E283"/>
  <c r="J283" s="1"/>
  <c r="C295"/>
  <c r="E295"/>
  <c r="C297"/>
  <c r="E297"/>
  <c r="C298"/>
  <c r="H298" s="1"/>
  <c r="E298"/>
  <c r="C299"/>
  <c r="H299" s="1"/>
  <c r="E299"/>
  <c r="J299" s="1"/>
  <c r="C300"/>
  <c r="H300" s="1"/>
  <c r="E300"/>
  <c r="C302"/>
  <c r="H302" s="1"/>
  <c r="E302"/>
  <c r="C303"/>
  <c r="H303" s="1"/>
  <c r="E303"/>
  <c r="C304"/>
  <c r="H304" s="1"/>
  <c r="E304"/>
  <c r="C305"/>
  <c r="H305" s="1"/>
  <c r="E305"/>
  <c r="C307"/>
  <c r="E307"/>
  <c r="C308"/>
  <c r="E308"/>
  <c r="C309"/>
  <c r="H309" s="1"/>
  <c r="E309"/>
  <c r="C310"/>
  <c r="E310"/>
  <c r="C312"/>
  <c r="H312" s="1"/>
  <c r="E312"/>
  <c r="C313"/>
  <c r="H313" s="1"/>
  <c r="E313"/>
  <c r="C314"/>
  <c r="H314" s="1"/>
  <c r="E314"/>
  <c r="J314" s="1"/>
  <c r="C315"/>
  <c r="H315" s="1"/>
  <c r="E315"/>
  <c r="J315" s="1"/>
  <c r="C328"/>
  <c r="E328"/>
  <c r="C330"/>
  <c r="E330"/>
  <c r="C331"/>
  <c r="E331"/>
  <c r="C332"/>
  <c r="H332" s="1"/>
  <c r="E332"/>
  <c r="C333"/>
  <c r="H333" s="1"/>
  <c r="E333"/>
  <c r="C335"/>
  <c r="H335" s="1"/>
  <c r="E335"/>
  <c r="C336"/>
  <c r="H336" s="1"/>
  <c r="E336"/>
  <c r="C337"/>
  <c r="H337" s="1"/>
  <c r="E337"/>
  <c r="C338"/>
  <c r="H338" s="1"/>
  <c r="E338"/>
  <c r="C340"/>
  <c r="E340"/>
  <c r="C341"/>
  <c r="E341"/>
  <c r="C342"/>
  <c r="H342" s="1"/>
  <c r="E342"/>
  <c r="C343"/>
  <c r="E343"/>
  <c r="C345"/>
  <c r="H345" s="1"/>
  <c r="E345"/>
  <c r="C346"/>
  <c r="H346" s="1"/>
  <c r="E346"/>
  <c r="C347"/>
  <c r="H347" s="1"/>
  <c r="E347"/>
  <c r="J347" s="1"/>
  <c r="C348"/>
  <c r="H348" s="1"/>
  <c r="E348"/>
  <c r="J348" s="1"/>
  <c r="C361"/>
  <c r="E361"/>
  <c r="C363"/>
  <c r="E363"/>
  <c r="C364"/>
  <c r="E364"/>
  <c r="C365"/>
  <c r="H365" s="1"/>
  <c r="E365"/>
  <c r="J365" s="1"/>
  <c r="C366"/>
  <c r="H366" s="1"/>
  <c r="E366"/>
  <c r="C368"/>
  <c r="E368"/>
  <c r="C369"/>
  <c r="H369" s="1"/>
  <c r="E369"/>
  <c r="C370"/>
  <c r="H370" s="1"/>
  <c r="E370"/>
  <c r="C371"/>
  <c r="H371" s="1"/>
  <c r="E371"/>
  <c r="C373"/>
  <c r="E373"/>
  <c r="C374"/>
  <c r="E374"/>
  <c r="C375"/>
  <c r="H375" s="1"/>
  <c r="E375"/>
  <c r="C376"/>
  <c r="E376"/>
  <c r="C378"/>
  <c r="H378" s="1"/>
  <c r="E378"/>
  <c r="C379"/>
  <c r="H379" s="1"/>
  <c r="E379"/>
  <c r="C380"/>
  <c r="H380" s="1"/>
  <c r="E380"/>
  <c r="C381"/>
  <c r="H381" s="1"/>
  <c r="E381"/>
  <c r="C395"/>
  <c r="E395"/>
  <c r="C397"/>
  <c r="H397" s="1"/>
  <c r="E397"/>
  <c r="J397" s="1"/>
  <c r="C398"/>
  <c r="H398" s="1"/>
  <c r="E398"/>
  <c r="J398" s="1"/>
  <c r="C399"/>
  <c r="H399" s="1"/>
  <c r="E399"/>
  <c r="J399" s="1"/>
  <c r="C400"/>
  <c r="H400" s="1"/>
  <c r="E400"/>
  <c r="J400" s="1"/>
  <c r="C402"/>
  <c r="H402" s="1"/>
  <c r="E402"/>
  <c r="J402" s="1"/>
  <c r="C403"/>
  <c r="H403" s="1"/>
  <c r="E403"/>
  <c r="J403" s="1"/>
  <c r="C404"/>
  <c r="H404" s="1"/>
  <c r="E404"/>
  <c r="J404" s="1"/>
  <c r="C405"/>
  <c r="H405" s="1"/>
  <c r="E405"/>
  <c r="J405" s="1"/>
  <c r="C407"/>
  <c r="H407" s="1"/>
  <c r="E407"/>
  <c r="J407" s="1"/>
  <c r="C408"/>
  <c r="H408" s="1"/>
  <c r="E408"/>
  <c r="J408" s="1"/>
  <c r="C409"/>
  <c r="H409" s="1"/>
  <c r="E409"/>
  <c r="J409" s="1"/>
  <c r="C410"/>
  <c r="H410" s="1"/>
  <c r="E410"/>
  <c r="J410" s="1"/>
  <c r="C412"/>
  <c r="H412" s="1"/>
  <c r="E412"/>
  <c r="J412" s="1"/>
  <c r="C413"/>
  <c r="H413" s="1"/>
  <c r="E413"/>
  <c r="C414"/>
  <c r="H414" s="1"/>
  <c r="E414"/>
  <c r="C415"/>
  <c r="H415" s="1"/>
  <c r="E415"/>
  <c r="J415" s="1"/>
  <c r="C428"/>
  <c r="E428"/>
  <c r="B233"/>
  <c r="B234"/>
  <c r="B235"/>
  <c r="B236"/>
  <c r="B238"/>
  <c r="B239"/>
  <c r="B240"/>
  <c r="B241"/>
  <c r="B243"/>
  <c r="B244"/>
  <c r="B245"/>
  <c r="B246"/>
  <c r="B248"/>
  <c r="B249"/>
  <c r="B250"/>
  <c r="B251"/>
  <c r="B263"/>
  <c r="B265"/>
  <c r="G265" s="1"/>
  <c r="B266"/>
  <c r="G266" s="1"/>
  <c r="B267"/>
  <c r="B268"/>
  <c r="B270"/>
  <c r="B271"/>
  <c r="G271" s="1"/>
  <c r="B272"/>
  <c r="B273"/>
  <c r="G273" s="1"/>
  <c r="B275"/>
  <c r="G275" s="1"/>
  <c r="B276"/>
  <c r="G276" s="1"/>
  <c r="B277"/>
  <c r="B278"/>
  <c r="B280"/>
  <c r="G280" s="1"/>
  <c r="B281"/>
  <c r="B282"/>
  <c r="G282" s="1"/>
  <c r="B283"/>
  <c r="B295"/>
  <c r="B297"/>
  <c r="B298"/>
  <c r="B299"/>
  <c r="G299" s="1"/>
  <c r="B300"/>
  <c r="B302"/>
  <c r="B303"/>
  <c r="B304"/>
  <c r="B305"/>
  <c r="B307"/>
  <c r="B308"/>
  <c r="B309"/>
  <c r="B310"/>
  <c r="B312"/>
  <c r="B313"/>
  <c r="B314"/>
  <c r="G314" s="1"/>
  <c r="B315"/>
  <c r="G315" s="1"/>
  <c r="B328"/>
  <c r="B330"/>
  <c r="B331"/>
  <c r="B332"/>
  <c r="B333"/>
  <c r="B335"/>
  <c r="B336"/>
  <c r="B337"/>
  <c r="B338"/>
  <c r="B340"/>
  <c r="B341"/>
  <c r="B342"/>
  <c r="B343"/>
  <c r="B345"/>
  <c r="B346"/>
  <c r="B347"/>
  <c r="G347" s="1"/>
  <c r="B348"/>
  <c r="G348" s="1"/>
  <c r="B361"/>
  <c r="B363"/>
  <c r="B364"/>
  <c r="B365"/>
  <c r="G365" s="1"/>
  <c r="B366"/>
  <c r="B368"/>
  <c r="B369"/>
  <c r="B370"/>
  <c r="B371"/>
  <c r="B373"/>
  <c r="B374"/>
  <c r="B375"/>
  <c r="B376"/>
  <c r="B378"/>
  <c r="B379"/>
  <c r="B380"/>
  <c r="B381"/>
  <c r="B395"/>
  <c r="B397"/>
  <c r="G397" s="1"/>
  <c r="B398"/>
  <c r="G398" s="1"/>
  <c r="B399"/>
  <c r="G399" s="1"/>
  <c r="B400"/>
  <c r="G400" s="1"/>
  <c r="B402"/>
  <c r="G402" s="1"/>
  <c r="B403"/>
  <c r="G403" s="1"/>
  <c r="B404"/>
  <c r="G404" s="1"/>
  <c r="B405"/>
  <c r="G405" s="1"/>
  <c r="B407"/>
  <c r="G407" s="1"/>
  <c r="B408"/>
  <c r="G408" s="1"/>
  <c r="B409"/>
  <c r="G409" s="1"/>
  <c r="B410"/>
  <c r="G410" s="1"/>
  <c r="B412"/>
  <c r="G412" s="1"/>
  <c r="B413"/>
  <c r="B414"/>
  <c r="B415"/>
  <c r="G415" s="1"/>
  <c r="B428"/>
  <c r="D42"/>
  <c r="C44"/>
  <c r="D46"/>
  <c r="C47"/>
  <c r="D48"/>
  <c r="C49"/>
  <c r="D51"/>
  <c r="C52"/>
  <c r="D53"/>
  <c r="C54"/>
  <c r="D56"/>
  <c r="C57"/>
  <c r="D58"/>
  <c r="C59"/>
  <c r="C73"/>
  <c r="G73" s="1"/>
  <c r="B74"/>
  <c r="F74" s="1"/>
  <c r="D74"/>
  <c r="H74" s="1"/>
  <c r="C75"/>
  <c r="G75" s="1"/>
  <c r="B76"/>
  <c r="D76"/>
  <c r="C78"/>
  <c r="B79"/>
  <c r="D79"/>
  <c r="H79" s="1"/>
  <c r="C80"/>
  <c r="G80" s="1"/>
  <c r="B81"/>
  <c r="D81"/>
  <c r="C83"/>
  <c r="B84"/>
  <c r="D84"/>
  <c r="C85"/>
  <c r="G85" s="1"/>
  <c r="B86"/>
  <c r="F86" s="1"/>
  <c r="D86"/>
  <c r="H86" s="1"/>
  <c r="C88"/>
  <c r="G88" s="1"/>
  <c r="B89"/>
  <c r="D89"/>
  <c r="C90"/>
  <c r="B91"/>
  <c r="F91" s="1"/>
  <c r="D91"/>
  <c r="H91" s="1"/>
  <c r="B105"/>
  <c r="D105"/>
  <c r="G107"/>
  <c r="D106"/>
  <c r="B110"/>
  <c r="D110"/>
  <c r="B112"/>
  <c r="D112"/>
  <c r="G113"/>
  <c r="B115"/>
  <c r="D115"/>
  <c r="H115" s="1"/>
  <c r="G116"/>
  <c r="B117"/>
  <c r="D117"/>
  <c r="B120"/>
  <c r="D120"/>
  <c r="B122"/>
  <c r="D122"/>
  <c r="C123"/>
  <c r="B135"/>
  <c r="D135"/>
  <c r="C137"/>
  <c r="B138"/>
  <c r="D138"/>
  <c r="C139"/>
  <c r="G139" s="1"/>
  <c r="B140"/>
  <c r="D140"/>
  <c r="C142"/>
  <c r="B143"/>
  <c r="D143"/>
  <c r="C144"/>
  <c r="G144" s="1"/>
  <c r="B145"/>
  <c r="D145"/>
  <c r="C147"/>
  <c r="B148"/>
  <c r="D148"/>
  <c r="C149"/>
  <c r="G149" s="1"/>
  <c r="B150"/>
  <c r="D150"/>
  <c r="C152"/>
  <c r="B153"/>
  <c r="D153"/>
  <c r="C154"/>
  <c r="B155"/>
  <c r="F155" s="1"/>
  <c r="D155"/>
  <c r="H155" s="1"/>
  <c r="C167"/>
  <c r="B169"/>
  <c r="D169"/>
  <c r="C170"/>
  <c r="B171"/>
  <c r="F171" s="1"/>
  <c r="D171"/>
  <c r="H171" s="1"/>
  <c r="C172"/>
  <c r="G172" s="1"/>
  <c r="B174"/>
  <c r="D174"/>
  <c r="C175"/>
  <c r="B176"/>
  <c r="F176" s="1"/>
  <c r="D176"/>
  <c r="H176" s="1"/>
  <c r="C177"/>
  <c r="G177" s="1"/>
  <c r="B179"/>
  <c r="D179"/>
  <c r="C180"/>
  <c r="G180" s="1"/>
  <c r="B181"/>
  <c r="D181"/>
  <c r="C182"/>
  <c r="B184"/>
  <c r="D184"/>
  <c r="C185"/>
  <c r="B186"/>
  <c r="C187"/>
  <c r="B199"/>
  <c r="D199"/>
  <c r="C201"/>
  <c r="B202"/>
  <c r="D202"/>
  <c r="C203"/>
  <c r="G203" s="1"/>
  <c r="B204"/>
  <c r="E204" s="1"/>
  <c r="D204"/>
  <c r="C206"/>
  <c r="G206" s="1"/>
  <c r="B207"/>
  <c r="F207" s="1"/>
  <c r="D207"/>
  <c r="H207" s="1"/>
  <c r="C208"/>
  <c r="G208" s="1"/>
  <c r="B209"/>
  <c r="D209"/>
  <c r="C211"/>
  <c r="G211" s="1"/>
  <c r="B212"/>
  <c r="D212"/>
  <c r="C213"/>
  <c r="G213" s="1"/>
  <c r="B214"/>
  <c r="D214"/>
  <c r="D217"/>
  <c r="C218"/>
  <c r="G218" s="1"/>
  <c r="B219"/>
  <c r="E219" s="1"/>
  <c r="D219"/>
  <c r="C216"/>
  <c r="G216" s="1"/>
  <c r="C217"/>
  <c r="C231"/>
  <c r="E231"/>
  <c r="E59"/>
  <c r="B73"/>
  <c r="B75"/>
  <c r="F75" s="1"/>
  <c r="B78"/>
  <c r="B80"/>
  <c r="B83"/>
  <c r="B85"/>
  <c r="F85" s="1"/>
  <c r="B88"/>
  <c r="F88" s="1"/>
  <c r="B90"/>
  <c r="B103"/>
  <c r="B107"/>
  <c r="F107" s="1"/>
  <c r="B108"/>
  <c r="B111"/>
  <c r="B113"/>
  <c r="B116"/>
  <c r="B118"/>
  <c r="B121"/>
  <c r="B123"/>
  <c r="B137"/>
  <c r="B139"/>
  <c r="B142"/>
  <c r="B144"/>
  <c r="B147"/>
  <c r="B149"/>
  <c r="F149" s="1"/>
  <c r="B152"/>
  <c r="B154"/>
  <c r="B167"/>
  <c r="B170"/>
  <c r="B172"/>
  <c r="F172" s="1"/>
  <c r="B175"/>
  <c r="B177"/>
  <c r="F177" s="1"/>
  <c r="B180"/>
  <c r="B182"/>
  <c r="B185"/>
  <c r="B187"/>
  <c r="B201"/>
  <c r="B203"/>
  <c r="F203" s="1"/>
  <c r="B206"/>
  <c r="B208"/>
  <c r="F208" s="1"/>
  <c r="B211"/>
  <c r="F211" s="1"/>
  <c r="B213"/>
  <c r="B218"/>
  <c r="B216"/>
  <c r="F216" s="1"/>
  <c r="B231"/>
  <c r="J539"/>
  <c r="D26"/>
  <c r="B26"/>
  <c r="C26"/>
  <c r="D24"/>
  <c r="B24"/>
  <c r="C24"/>
  <c r="D21"/>
  <c r="B21"/>
  <c r="C21"/>
  <c r="D19"/>
  <c r="B19"/>
  <c r="C19"/>
  <c r="D16"/>
  <c r="B16"/>
  <c r="C16"/>
  <c r="D14"/>
  <c r="B14"/>
  <c r="C14"/>
  <c r="D11"/>
  <c r="B11"/>
  <c r="C11"/>
  <c r="D9"/>
  <c r="B9"/>
  <c r="C9"/>
  <c r="C7"/>
  <c r="D7"/>
  <c r="C27"/>
  <c r="D27"/>
  <c r="B27"/>
  <c r="C25"/>
  <c r="D25"/>
  <c r="B25"/>
  <c r="C22"/>
  <c r="D22"/>
  <c r="B22"/>
  <c r="C20"/>
  <c r="D20"/>
  <c r="B20"/>
  <c r="C17"/>
  <c r="B17"/>
  <c r="D17"/>
  <c r="C15"/>
  <c r="D15"/>
  <c r="B15"/>
  <c r="C12"/>
  <c r="D12"/>
  <c r="B12"/>
  <c r="C10"/>
  <c r="B10"/>
  <c r="D10"/>
  <c r="I430"/>
  <c r="I431"/>
  <c r="I432"/>
  <c r="I433"/>
  <c r="F501"/>
  <c r="F509"/>
  <c r="H208"/>
  <c r="I270"/>
  <c r="I277"/>
  <c r="I302"/>
  <c r="I442"/>
  <c r="E39"/>
  <c r="D43"/>
  <c r="E43" s="1"/>
  <c r="E71"/>
  <c r="F79"/>
  <c r="H88"/>
  <c r="G202"/>
  <c r="H203"/>
  <c r="H211"/>
  <c r="I266"/>
  <c r="I268"/>
  <c r="I273"/>
  <c r="I276"/>
  <c r="I300"/>
  <c r="I303"/>
  <c r="H152"/>
  <c r="G212"/>
  <c r="I281"/>
  <c r="I308"/>
  <c r="I310"/>
  <c r="G267"/>
  <c r="I333"/>
  <c r="I366"/>
  <c r="I404"/>
  <c r="I408"/>
  <c r="I410"/>
  <c r="I412"/>
  <c r="I463"/>
  <c r="I469"/>
  <c r="G470"/>
  <c r="I473"/>
  <c r="I495"/>
  <c r="I497"/>
  <c r="F499"/>
  <c r="I502"/>
  <c r="F504"/>
  <c r="G504"/>
  <c r="I505"/>
  <c r="F506"/>
  <c r="I510"/>
  <c r="F511"/>
  <c r="K511" s="1"/>
  <c r="G511"/>
  <c r="I512"/>
  <c r="I534"/>
  <c r="I539"/>
  <c r="I544"/>
  <c r="E41"/>
  <c r="I233"/>
  <c r="I234"/>
  <c r="I235"/>
  <c r="I236"/>
  <c r="I238"/>
  <c r="I239"/>
  <c r="I240"/>
  <c r="I241"/>
  <c r="I243"/>
  <c r="I244"/>
  <c r="I245"/>
  <c r="I246"/>
  <c r="I248"/>
  <c r="I249"/>
  <c r="I250"/>
  <c r="I413"/>
  <c r="I398"/>
  <c r="I251"/>
  <c r="G278"/>
  <c r="I298"/>
  <c r="H331"/>
  <c r="I331"/>
  <c r="I376"/>
  <c r="I305"/>
  <c r="I309"/>
  <c r="I414"/>
  <c r="I443"/>
  <c r="I445"/>
  <c r="E445"/>
  <c r="C445"/>
  <c r="I446"/>
  <c r="E446"/>
  <c r="C446"/>
  <c r="I447"/>
  <c r="E447"/>
  <c r="C447"/>
  <c r="I448"/>
  <c r="E448"/>
  <c r="C448"/>
  <c r="H467"/>
  <c r="H440"/>
  <c r="G446"/>
  <c r="G447"/>
  <c r="G448"/>
  <c r="J465"/>
  <c r="H500"/>
  <c r="H502"/>
  <c r="H505"/>
  <c r="H507"/>
  <c r="H510"/>
  <c r="H512"/>
  <c r="E153" l="1"/>
  <c r="J341"/>
  <c r="J331"/>
  <c r="J309"/>
  <c r="F115"/>
  <c r="E115"/>
  <c r="J330"/>
  <c r="J337"/>
  <c r="J304"/>
  <c r="J298"/>
  <c r="J281"/>
  <c r="H283"/>
  <c r="E123"/>
  <c r="G106"/>
  <c r="E147"/>
  <c r="E116"/>
  <c r="F430"/>
  <c r="E106"/>
  <c r="E187"/>
  <c r="E137"/>
  <c r="F212"/>
  <c r="J494"/>
  <c r="E80"/>
  <c r="J506"/>
  <c r="F368"/>
  <c r="E90"/>
  <c r="J501"/>
  <c r="E11"/>
  <c r="E184"/>
  <c r="E179"/>
  <c r="E174"/>
  <c r="E143"/>
  <c r="G123"/>
  <c r="E120"/>
  <c r="E110"/>
  <c r="E89"/>
  <c r="E76"/>
  <c r="E56"/>
  <c r="E46"/>
  <c r="E42"/>
  <c r="E22"/>
  <c r="E186"/>
  <c r="E26"/>
  <c r="E214"/>
  <c r="E150"/>
  <c r="F376"/>
  <c r="E117"/>
  <c r="E53"/>
  <c r="G336"/>
  <c r="J533"/>
  <c r="G272"/>
  <c r="G268"/>
  <c r="G430"/>
  <c r="G297"/>
  <c r="J335"/>
  <c r="J302"/>
  <c r="J312"/>
  <c r="J305"/>
  <c r="J343"/>
  <c r="J277"/>
  <c r="E49"/>
  <c r="H84"/>
  <c r="G51"/>
  <c r="G380"/>
  <c r="E16"/>
  <c r="G283"/>
  <c r="H206"/>
  <c r="G302"/>
  <c r="G243"/>
  <c r="G474"/>
  <c r="E12"/>
  <c r="F10"/>
  <c r="G137"/>
  <c r="G376"/>
  <c r="G233"/>
  <c r="E169"/>
  <c r="G19"/>
  <c r="G21"/>
  <c r="G509"/>
  <c r="F441"/>
  <c r="K441" s="1"/>
  <c r="F438"/>
  <c r="K438" s="1"/>
  <c r="E79"/>
  <c r="I79" s="1"/>
  <c r="E21"/>
  <c r="F282"/>
  <c r="K282" s="1"/>
  <c r="F470"/>
  <c r="K470" s="1"/>
  <c r="F437"/>
  <c r="F435"/>
  <c r="E175"/>
  <c r="I175" s="1"/>
  <c r="G22"/>
  <c r="H202"/>
  <c r="H143"/>
  <c r="E83"/>
  <c r="E52"/>
  <c r="G343"/>
  <c r="G342"/>
  <c r="G307"/>
  <c r="G308"/>
  <c r="G248"/>
  <c r="G238"/>
  <c r="F340"/>
  <c r="G118"/>
  <c r="G41"/>
  <c r="F407"/>
  <c r="K407" s="1"/>
  <c r="F218"/>
  <c r="E144"/>
  <c r="E113"/>
  <c r="G175"/>
  <c r="G53"/>
  <c r="G150"/>
  <c r="G111"/>
  <c r="F332"/>
  <c r="H170"/>
  <c r="F123"/>
  <c r="E17"/>
  <c r="E27"/>
  <c r="E7"/>
  <c r="E19"/>
  <c r="F428"/>
  <c r="F399"/>
  <c r="K399" s="1"/>
  <c r="F397"/>
  <c r="K397" s="1"/>
  <c r="G374"/>
  <c r="G373"/>
  <c r="G335"/>
  <c r="G333"/>
  <c r="G305"/>
  <c r="G300"/>
  <c r="G304"/>
  <c r="G235"/>
  <c r="J380"/>
  <c r="F378"/>
  <c r="F370"/>
  <c r="F363"/>
  <c r="J346"/>
  <c r="J345"/>
  <c r="J342"/>
  <c r="J338"/>
  <c r="J333"/>
  <c r="F328"/>
  <c r="J313"/>
  <c r="J310"/>
  <c r="J308"/>
  <c r="J303"/>
  <c r="J300"/>
  <c r="J297"/>
  <c r="J272"/>
  <c r="J270"/>
  <c r="G501"/>
  <c r="J499"/>
  <c r="F214"/>
  <c r="G219"/>
  <c r="G169"/>
  <c r="G445"/>
  <c r="G12"/>
  <c r="F12"/>
  <c r="G14"/>
  <c r="G24"/>
  <c r="J509"/>
  <c r="F464"/>
  <c r="K464" s="1"/>
  <c r="F432"/>
  <c r="K432" s="1"/>
  <c r="F398"/>
  <c r="K398" s="1"/>
  <c r="G375"/>
  <c r="G309"/>
  <c r="G413"/>
  <c r="F403"/>
  <c r="K403" s="1"/>
  <c r="G346"/>
  <c r="G338"/>
  <c r="G281"/>
  <c r="G462"/>
  <c r="E207"/>
  <c r="I207" s="1"/>
  <c r="E201"/>
  <c r="E180"/>
  <c r="E170"/>
  <c r="E73"/>
  <c r="E24"/>
  <c r="E14"/>
  <c r="F217"/>
  <c r="E208"/>
  <c r="I208" s="1"/>
  <c r="E140"/>
  <c r="E107"/>
  <c r="I107" s="1"/>
  <c r="E86"/>
  <c r="I86" s="1"/>
  <c r="G186"/>
  <c r="G58"/>
  <c r="G47"/>
  <c r="G250"/>
  <c r="G245"/>
  <c r="G240"/>
  <c r="G143"/>
  <c r="G90"/>
  <c r="G9"/>
  <c r="G15"/>
  <c r="F541"/>
  <c r="K541" s="1"/>
  <c r="F536"/>
  <c r="F472"/>
  <c r="K472" s="1"/>
  <c r="F415"/>
  <c r="K415" s="1"/>
  <c r="H179"/>
  <c r="H153"/>
  <c r="F108"/>
  <c r="H43"/>
  <c r="H10"/>
  <c r="E10"/>
  <c r="E15"/>
  <c r="F17"/>
  <c r="E20"/>
  <c r="E25"/>
  <c r="G25"/>
  <c r="E211"/>
  <c r="I211" s="1"/>
  <c r="F206"/>
  <c r="F219"/>
  <c r="E154"/>
  <c r="E139"/>
  <c r="E118"/>
  <c r="E108"/>
  <c r="E103"/>
  <c r="E78"/>
  <c r="E57"/>
  <c r="E47"/>
  <c r="G217"/>
  <c r="H214"/>
  <c r="E209"/>
  <c r="H212"/>
  <c r="E202"/>
  <c r="G182"/>
  <c r="E181"/>
  <c r="H174"/>
  <c r="H169"/>
  <c r="E155"/>
  <c r="I155" s="1"/>
  <c r="E148"/>
  <c r="G147"/>
  <c r="E145"/>
  <c r="E142"/>
  <c r="H142"/>
  <c r="G140"/>
  <c r="E122"/>
  <c r="G121"/>
  <c r="E112"/>
  <c r="E111"/>
  <c r="H118"/>
  <c r="G108"/>
  <c r="E105"/>
  <c r="E84"/>
  <c r="E81"/>
  <c r="E58"/>
  <c r="E54"/>
  <c r="E51"/>
  <c r="E48"/>
  <c r="G46"/>
  <c r="F395"/>
  <c r="F380"/>
  <c r="G378"/>
  <c r="F375"/>
  <c r="F373"/>
  <c r="G368"/>
  <c r="F365"/>
  <c r="K365" s="1"/>
  <c r="G364"/>
  <c r="G341"/>
  <c r="G332"/>
  <c r="G312"/>
  <c r="F299"/>
  <c r="K299" s="1"/>
  <c r="F297"/>
  <c r="G270"/>
  <c r="G234"/>
  <c r="F374"/>
  <c r="F361"/>
  <c r="F330"/>
  <c r="F308"/>
  <c r="H307"/>
  <c r="F295"/>
  <c r="F275"/>
  <c r="F543"/>
  <c r="K543" s="1"/>
  <c r="F538"/>
  <c r="K538" s="1"/>
  <c r="G533"/>
  <c r="F474"/>
  <c r="G469"/>
  <c r="G467"/>
  <c r="G468"/>
  <c r="F433"/>
  <c r="K433" s="1"/>
  <c r="F431"/>
  <c r="K431" s="1"/>
  <c r="F533"/>
  <c r="F524"/>
  <c r="F460"/>
  <c r="F442"/>
  <c r="F440"/>
  <c r="K440" s="1"/>
  <c r="G506"/>
  <c r="G499"/>
  <c r="F462"/>
  <c r="G414"/>
  <c r="F400"/>
  <c r="K400" s="1"/>
  <c r="G379"/>
  <c r="G337"/>
  <c r="G303"/>
  <c r="F409"/>
  <c r="K409" s="1"/>
  <c r="F405"/>
  <c r="K405" s="1"/>
  <c r="G371"/>
  <c r="G369"/>
  <c r="G366"/>
  <c r="G331"/>
  <c r="G310"/>
  <c r="G298"/>
  <c r="G251"/>
  <c r="H218"/>
  <c r="E203"/>
  <c r="I203" s="1"/>
  <c r="G201"/>
  <c r="E182"/>
  <c r="E176"/>
  <c r="I176" s="1"/>
  <c r="E172"/>
  <c r="I172" s="1"/>
  <c r="E149"/>
  <c r="I149" s="1"/>
  <c r="E91"/>
  <c r="I91" s="1"/>
  <c r="E85"/>
  <c r="I85" s="1"/>
  <c r="E75"/>
  <c r="I75" s="1"/>
  <c r="E44"/>
  <c r="F27"/>
  <c r="F25"/>
  <c r="F22"/>
  <c r="F20"/>
  <c r="F15"/>
  <c r="E9"/>
  <c r="E213"/>
  <c r="E206"/>
  <c r="E177"/>
  <c r="I177" s="1"/>
  <c r="E171"/>
  <c r="I171" s="1"/>
  <c r="E138"/>
  <c r="E121"/>
  <c r="I115"/>
  <c r="E88"/>
  <c r="I88" s="1"/>
  <c r="E74"/>
  <c r="I74" s="1"/>
  <c r="G11"/>
  <c r="G154"/>
  <c r="G120"/>
  <c r="G83"/>
  <c r="G57"/>
  <c r="G48"/>
  <c r="G26"/>
  <c r="G16"/>
  <c r="G249"/>
  <c r="G246"/>
  <c r="G244"/>
  <c r="G241"/>
  <c r="G239"/>
  <c r="G236"/>
  <c r="G153"/>
  <c r="G112"/>
  <c r="G56"/>
  <c r="G27"/>
  <c r="F496"/>
  <c r="K496" s="1"/>
  <c r="F494"/>
  <c r="F342"/>
  <c r="F335"/>
  <c r="F267"/>
  <c r="K267" s="1"/>
  <c r="F265"/>
  <c r="K265" s="1"/>
  <c r="H180"/>
  <c r="F337"/>
  <c r="F272"/>
  <c r="F468"/>
  <c r="F381"/>
  <c r="E152"/>
  <c r="H112"/>
  <c r="F53"/>
  <c r="H111"/>
  <c r="F122"/>
  <c r="F78"/>
  <c r="H501"/>
  <c r="H533"/>
  <c r="H506"/>
  <c r="H499"/>
  <c r="F9"/>
  <c r="G340"/>
  <c r="J336"/>
  <c r="F213"/>
  <c r="F26"/>
  <c r="F24"/>
  <c r="F21"/>
  <c r="F19"/>
  <c r="F16"/>
  <c r="F14"/>
  <c r="F11"/>
  <c r="G89"/>
  <c r="G78"/>
  <c r="F345"/>
  <c r="F204"/>
  <c r="H117"/>
  <c r="F186"/>
  <c r="E167"/>
  <c r="E199"/>
  <c r="G187"/>
  <c r="F148"/>
  <c r="F184"/>
  <c r="F138"/>
  <c r="F147"/>
  <c r="F137"/>
  <c r="F185"/>
  <c r="F81"/>
  <c r="F76"/>
  <c r="H373"/>
  <c r="H340"/>
  <c r="E217"/>
  <c r="G170"/>
  <c r="G42"/>
  <c r="E185"/>
  <c r="G185"/>
  <c r="G54"/>
  <c r="G44"/>
  <c r="G59"/>
  <c r="G52"/>
  <c r="G49"/>
  <c r="F413"/>
  <c r="H275"/>
  <c r="H509"/>
  <c r="J275"/>
  <c r="J271"/>
  <c r="E212"/>
  <c r="E218"/>
  <c r="F43"/>
  <c r="G43"/>
  <c r="H139"/>
  <c r="H11"/>
  <c r="J332"/>
  <c r="F139"/>
  <c r="H49"/>
  <c r="H19"/>
  <c r="G10"/>
  <c r="H14"/>
  <c r="F180"/>
  <c r="F175"/>
  <c r="F170"/>
  <c r="F154"/>
  <c r="F144"/>
  <c r="F118"/>
  <c r="F113"/>
  <c r="F105"/>
  <c r="F57"/>
  <c r="F52"/>
  <c r="F46"/>
  <c r="H204"/>
  <c r="G214"/>
  <c r="F174"/>
  <c r="F181"/>
  <c r="F153"/>
  <c r="H150"/>
  <c r="F143"/>
  <c r="H137"/>
  <c r="E135"/>
  <c r="H122"/>
  <c r="F112"/>
  <c r="H121"/>
  <c r="H108"/>
  <c r="H81"/>
  <c r="H80"/>
  <c r="G76"/>
  <c r="G17"/>
  <c r="G20"/>
  <c r="G204"/>
  <c r="H187"/>
  <c r="H184"/>
  <c r="H147"/>
  <c r="H140"/>
  <c r="H90"/>
  <c r="G138"/>
  <c r="G105"/>
  <c r="H17"/>
  <c r="H59"/>
  <c r="H42"/>
  <c r="E216"/>
  <c r="I216" s="1"/>
  <c r="J373"/>
  <c r="J340"/>
  <c r="J307"/>
  <c r="H41"/>
  <c r="H368"/>
  <c r="G174"/>
  <c r="G142"/>
  <c r="G152"/>
  <c r="H57"/>
  <c r="I338"/>
  <c r="F59"/>
  <c r="J437"/>
  <c r="F120"/>
  <c r="F90"/>
  <c r="F84"/>
  <c r="F80"/>
  <c r="F73"/>
  <c r="J376"/>
  <c r="F347"/>
  <c r="K347" s="1"/>
  <c r="J442"/>
  <c r="J430"/>
  <c r="H376"/>
  <c r="G435"/>
  <c r="J435"/>
  <c r="J436"/>
  <c r="F298"/>
  <c r="J379"/>
  <c r="F49"/>
  <c r="F448"/>
  <c r="K448" s="1"/>
  <c r="F250"/>
  <c r="F248"/>
  <c r="F245"/>
  <c r="F243"/>
  <c r="F240"/>
  <c r="F238"/>
  <c r="F235"/>
  <c r="F233"/>
  <c r="F529"/>
  <c r="K529" s="1"/>
  <c r="F500"/>
  <c r="K500" s="1"/>
  <c r="F447"/>
  <c r="K447" s="1"/>
  <c r="F348"/>
  <c r="K348" s="1"/>
  <c r="F346"/>
  <c r="F336"/>
  <c r="G437"/>
  <c r="F313"/>
  <c r="F187"/>
  <c r="H154"/>
  <c r="F140"/>
  <c r="H123"/>
  <c r="F58"/>
  <c r="F47"/>
  <c r="F251"/>
  <c r="F249"/>
  <c r="F246"/>
  <c r="F244"/>
  <c r="F241"/>
  <c r="F239"/>
  <c r="F236"/>
  <c r="F234"/>
  <c r="H20"/>
  <c r="J370"/>
  <c r="I346"/>
  <c r="F201"/>
  <c r="H175"/>
  <c r="F150"/>
  <c r="F111"/>
  <c r="H106"/>
  <c r="I313"/>
  <c r="I297"/>
  <c r="F445"/>
  <c r="F266"/>
  <c r="J381"/>
  <c r="J374"/>
  <c r="H363"/>
  <c r="G436"/>
  <c r="G442"/>
  <c r="I371"/>
  <c r="G363"/>
  <c r="G381"/>
  <c r="I343"/>
  <c r="I341"/>
  <c r="G330"/>
  <c r="F315"/>
  <c r="K315" s="1"/>
  <c r="F307"/>
  <c r="F303"/>
  <c r="H209"/>
  <c r="H219"/>
  <c r="H201"/>
  <c r="H185"/>
  <c r="H181"/>
  <c r="F169"/>
  <c r="F152"/>
  <c r="F145"/>
  <c r="F142"/>
  <c r="F121"/>
  <c r="F117"/>
  <c r="F106"/>
  <c r="F89"/>
  <c r="F83"/>
  <c r="H76"/>
  <c r="F54"/>
  <c r="F51"/>
  <c r="F48"/>
  <c r="F44"/>
  <c r="F41"/>
  <c r="H25"/>
  <c r="F56"/>
  <c r="H51"/>
  <c r="H46"/>
  <c r="H27"/>
  <c r="H22"/>
  <c r="H12"/>
  <c r="F277"/>
  <c r="F270"/>
  <c r="H213"/>
  <c r="F209"/>
  <c r="G313"/>
  <c r="H186"/>
  <c r="H26"/>
  <c r="H182"/>
  <c r="H116"/>
  <c r="H83"/>
  <c r="H58"/>
  <c r="H44"/>
  <c r="H16"/>
  <c r="H21"/>
  <c r="I364"/>
  <c r="I363"/>
  <c r="I342"/>
  <c r="I330"/>
  <c r="H430"/>
  <c r="G494"/>
  <c r="I379"/>
  <c r="F531"/>
  <c r="K531" s="1"/>
  <c r="F528"/>
  <c r="K528" s="1"/>
  <c r="F526"/>
  <c r="K526" s="1"/>
  <c r="F480"/>
  <c r="K480" s="1"/>
  <c r="F478"/>
  <c r="K478" s="1"/>
  <c r="F379"/>
  <c r="I374"/>
  <c r="G370"/>
  <c r="G345"/>
  <c r="F309"/>
  <c r="F305"/>
  <c r="H217"/>
  <c r="F182"/>
  <c r="F179"/>
  <c r="H148"/>
  <c r="H144"/>
  <c r="H138"/>
  <c r="F116"/>
  <c r="H113"/>
  <c r="F110"/>
  <c r="H105"/>
  <c r="H78"/>
  <c r="H53"/>
  <c r="H47"/>
  <c r="H15"/>
  <c r="H56"/>
  <c r="H52"/>
  <c r="F42"/>
  <c r="H24"/>
  <c r="H9"/>
  <c r="G277"/>
  <c r="H145"/>
  <c r="F280"/>
  <c r="F202"/>
  <c r="H120"/>
  <c r="H110"/>
  <c r="H89"/>
  <c r="H73"/>
  <c r="H48"/>
  <c r="H54"/>
  <c r="J448"/>
  <c r="J447"/>
  <c r="J446"/>
  <c r="J445"/>
  <c r="J443"/>
  <c r="J250"/>
  <c r="J249"/>
  <c r="J248"/>
  <c r="J246"/>
  <c r="J245"/>
  <c r="J244"/>
  <c r="J243"/>
  <c r="J241"/>
  <c r="J240"/>
  <c r="J239"/>
  <c r="J238"/>
  <c r="J236"/>
  <c r="J235"/>
  <c r="J234"/>
  <c r="J233"/>
  <c r="F544"/>
  <c r="K544" s="1"/>
  <c r="F539"/>
  <c r="K539" s="1"/>
  <c r="F534"/>
  <c r="K534" s="1"/>
  <c r="F532"/>
  <c r="K532" s="1"/>
  <c r="F527"/>
  <c r="F510"/>
  <c r="K510" s="1"/>
  <c r="F507"/>
  <c r="K507" s="1"/>
  <c r="F505"/>
  <c r="K505" s="1"/>
  <c r="F495"/>
  <c r="K504" s="1"/>
  <c r="F477"/>
  <c r="K477" s="1"/>
  <c r="F473"/>
  <c r="K473" s="1"/>
  <c r="F467"/>
  <c r="J462"/>
  <c r="F446"/>
  <c r="F443"/>
  <c r="H494"/>
  <c r="J469"/>
  <c r="J468"/>
  <c r="J467"/>
  <c r="F364"/>
  <c r="F331"/>
  <c r="J414"/>
  <c r="J413"/>
  <c r="F410"/>
  <c r="K410" s="1"/>
  <c r="H343"/>
  <c r="H341"/>
  <c r="J378"/>
  <c r="J375"/>
  <c r="J369"/>
  <c r="F314"/>
  <c r="K314" s="1"/>
  <c r="F304"/>
  <c r="F283"/>
  <c r="F281"/>
  <c r="F271"/>
  <c r="F371"/>
  <c r="J368"/>
  <c r="F366"/>
  <c r="J363"/>
  <c r="F343"/>
  <c r="H297"/>
  <c r="F276"/>
  <c r="K276" s="1"/>
  <c r="J251"/>
  <c r="H448"/>
  <c r="H447"/>
  <c r="H446"/>
  <c r="H445"/>
  <c r="H443"/>
  <c r="H251"/>
  <c r="H250"/>
  <c r="H249"/>
  <c r="H248"/>
  <c r="H246"/>
  <c r="H245"/>
  <c r="H244"/>
  <c r="H243"/>
  <c r="H241"/>
  <c r="H240"/>
  <c r="H239"/>
  <c r="H238"/>
  <c r="H236"/>
  <c r="H235"/>
  <c r="H234"/>
  <c r="H233"/>
  <c r="F231"/>
  <c r="F542"/>
  <c r="K542" s="1"/>
  <c r="F537"/>
  <c r="K537" s="1"/>
  <c r="F512"/>
  <c r="F502"/>
  <c r="F497"/>
  <c r="K497" s="1"/>
  <c r="F479"/>
  <c r="K479" s="1"/>
  <c r="F475"/>
  <c r="K475" s="1"/>
  <c r="F469"/>
  <c r="H462"/>
  <c r="J474"/>
  <c r="F465"/>
  <c r="K465" s="1"/>
  <c r="F414"/>
  <c r="F412"/>
  <c r="K412" s="1"/>
  <c r="H364"/>
  <c r="H310"/>
  <c r="H308"/>
  <c r="F463"/>
  <c r="F369"/>
  <c r="F312"/>
  <c r="F310"/>
  <c r="F278"/>
  <c r="K278" s="1"/>
  <c r="F402"/>
  <c r="K402" s="1"/>
  <c r="J371"/>
  <c r="J366"/>
  <c r="J364"/>
  <c r="H374"/>
  <c r="F341"/>
  <c r="F338"/>
  <c r="F333"/>
  <c r="H330"/>
  <c r="F302"/>
  <c r="F300"/>
  <c r="F273"/>
  <c r="F268"/>
  <c r="I152"/>
  <c r="F408"/>
  <c r="K408" s="1"/>
  <c r="F404"/>
  <c r="K404" s="1"/>
  <c r="K239" l="1"/>
  <c r="I44"/>
  <c r="I73"/>
  <c r="I123"/>
  <c r="I80"/>
  <c r="I84"/>
  <c r="I49"/>
  <c r="I59"/>
  <c r="I54"/>
  <c r="I56"/>
  <c r="I20"/>
  <c r="I138"/>
  <c r="I182"/>
  <c r="I47"/>
  <c r="I112"/>
  <c r="I184"/>
  <c r="I170"/>
  <c r="I21"/>
  <c r="I9"/>
  <c r="I81"/>
  <c r="I116"/>
  <c r="I154"/>
  <c r="I27"/>
  <c r="I46"/>
  <c r="I187"/>
  <c r="I120"/>
  <c r="I209"/>
  <c r="I144"/>
  <c r="I57"/>
  <c r="I111"/>
  <c r="I148"/>
  <c r="I169"/>
  <c r="I179"/>
  <c r="I106"/>
  <c r="I143"/>
  <c r="I180"/>
  <c r="I113"/>
  <c r="I122"/>
  <c r="I185"/>
  <c r="I118"/>
  <c r="I58"/>
  <c r="I202"/>
  <c r="I218"/>
  <c r="I219"/>
  <c r="I213"/>
  <c r="I212"/>
  <c r="I17"/>
  <c r="I16"/>
  <c r="I26"/>
  <c r="I10"/>
  <c r="I43"/>
  <c r="K235"/>
  <c r="I214"/>
  <c r="I41"/>
  <c r="I51"/>
  <c r="I78"/>
  <c r="I105"/>
  <c r="I121"/>
  <c r="I142"/>
  <c r="I206"/>
  <c r="I217"/>
  <c r="I42"/>
  <c r="I52"/>
  <c r="I83"/>
  <c r="I110"/>
  <c r="I137"/>
  <c r="I147"/>
  <c r="I174"/>
  <c r="I201"/>
  <c r="I12"/>
  <c r="I22"/>
  <c r="I14"/>
  <c r="I19"/>
  <c r="I24"/>
  <c r="I53"/>
  <c r="I76"/>
  <c r="I90"/>
  <c r="I117"/>
  <c r="I140"/>
  <c r="I150"/>
  <c r="I181"/>
  <c r="I204"/>
  <c r="I48"/>
  <c r="I108"/>
  <c r="I145"/>
  <c r="I186"/>
  <c r="I11"/>
  <c r="I15"/>
  <c r="I25"/>
  <c r="I89"/>
  <c r="I153"/>
  <c r="I139"/>
  <c r="K273"/>
  <c r="K502"/>
  <c r="K271"/>
  <c r="K266"/>
  <c r="K275"/>
  <c r="K512"/>
  <c r="K280"/>
  <c r="K536"/>
  <c r="K332"/>
  <c r="K445"/>
  <c r="K373"/>
  <c r="K340"/>
  <c r="K307"/>
  <c r="K243"/>
  <c r="K251"/>
  <c r="K244"/>
  <c r="K249"/>
  <c r="K234"/>
  <c r="K236"/>
  <c r="K241"/>
  <c r="K246"/>
  <c r="K430"/>
  <c r="K381"/>
  <c r="K250"/>
  <c r="K238"/>
  <c r="K248"/>
  <c r="K369"/>
  <c r="K233"/>
  <c r="K240"/>
  <c r="K245"/>
  <c r="K436"/>
  <c r="K333"/>
  <c r="K370"/>
  <c r="K376"/>
  <c r="K462"/>
  <c r="K268"/>
  <c r="K300"/>
  <c r="K375"/>
  <c r="K379"/>
  <c r="K341"/>
  <c r="K443"/>
  <c r="K495"/>
  <c r="K501"/>
  <c r="K509"/>
  <c r="K494"/>
  <c r="K499"/>
  <c r="K506"/>
  <c r="K527"/>
  <c r="K533"/>
  <c r="K309"/>
  <c r="K302"/>
  <c r="K338"/>
  <c r="K310"/>
  <c r="K336"/>
  <c r="K363"/>
  <c r="K380"/>
  <c r="K469"/>
  <c r="K272"/>
  <c r="K313"/>
  <c r="K281"/>
  <c r="K297"/>
  <c r="K298"/>
  <c r="K364"/>
  <c r="K413"/>
  <c r="K437"/>
  <c r="K442"/>
  <c r="K308"/>
  <c r="K463"/>
  <c r="K468"/>
  <c r="K474"/>
  <c r="K331"/>
  <c r="K330"/>
  <c r="K342"/>
  <c r="K337"/>
  <c r="K335"/>
  <c r="K345"/>
  <c r="K446"/>
  <c r="K270"/>
  <c r="K303"/>
  <c r="K312"/>
  <c r="K346"/>
  <c r="K414"/>
  <c r="K305"/>
  <c r="K343"/>
  <c r="K366"/>
  <c r="K371"/>
  <c r="K277"/>
  <c r="K283"/>
  <c r="K304"/>
  <c r="K368"/>
  <c r="K378"/>
  <c r="K467"/>
  <c r="K435"/>
  <c r="K374"/>
  <c r="T438" i="22" l="1"/>
  <c r="Q438"/>
  <c r="P438"/>
  <c r="O438"/>
  <c r="Q238"/>
  <c r="P238"/>
  <c r="O238"/>
  <c r="T238"/>
  <c r="T29"/>
  <c r="S239"/>
  <c r="R240"/>
  <c r="S241"/>
  <c r="R242"/>
  <c r="S244"/>
  <c r="R245"/>
  <c r="S246"/>
  <c r="R247"/>
  <c r="S249"/>
  <c r="R250"/>
  <c r="S251"/>
  <c r="R252"/>
  <c r="S254"/>
  <c r="R255"/>
  <c r="S256"/>
  <c r="R257"/>
  <c r="R237"/>
  <c r="S10"/>
  <c r="S11"/>
  <c r="S12"/>
  <c r="R13"/>
  <c r="R15"/>
  <c r="R16"/>
  <c r="R17"/>
  <c r="R18"/>
  <c r="S20"/>
  <c r="S21"/>
  <c r="S22"/>
  <c r="S23"/>
  <c r="S25"/>
  <c r="S26"/>
  <c r="S27"/>
  <c r="S28"/>
  <c r="R8"/>
  <c r="S8" l="1"/>
  <c r="T8" s="1"/>
  <c r="R10"/>
  <c r="T10" s="1"/>
  <c r="R11"/>
  <c r="T11" s="1"/>
  <c r="S13"/>
  <c r="R12"/>
  <c r="S15"/>
  <c r="T15" s="1"/>
  <c r="S16"/>
  <c r="T16" s="1"/>
  <c r="S17"/>
  <c r="T17" s="1"/>
  <c r="S18"/>
  <c r="T18" s="1"/>
  <c r="R20"/>
  <c r="T20" s="1"/>
  <c r="R21"/>
  <c r="R22"/>
  <c r="T22" s="1"/>
  <c r="R23"/>
  <c r="T23" s="1"/>
  <c r="R25"/>
  <c r="T25" s="1"/>
  <c r="R26"/>
  <c r="T26" s="1"/>
  <c r="R27"/>
  <c r="T27" s="1"/>
  <c r="R28"/>
  <c r="T28" s="1"/>
  <c r="S237"/>
  <c r="T237" s="1"/>
  <c r="S240"/>
  <c r="T240" s="1"/>
  <c r="S242"/>
  <c r="T242" s="1"/>
  <c r="S245"/>
  <c r="T245" s="1"/>
  <c r="S247"/>
  <c r="T247" s="1"/>
  <c r="S250"/>
  <c r="T250" s="1"/>
  <c r="S252"/>
  <c r="T252" s="1"/>
  <c r="S255"/>
  <c r="T255" s="1"/>
  <c r="S257"/>
  <c r="T257" s="1"/>
  <c r="R239"/>
  <c r="T239" s="1"/>
  <c r="R241"/>
  <c r="T241" s="1"/>
  <c r="R244"/>
  <c r="T244" s="1"/>
  <c r="R246"/>
  <c r="T246" s="1"/>
  <c r="R249"/>
  <c r="T249" s="1"/>
  <c r="R251"/>
  <c r="T251" s="1"/>
  <c r="R254"/>
  <c r="T254" s="1"/>
  <c r="R256"/>
  <c r="T256" s="1"/>
  <c r="T21"/>
  <c r="T13"/>
  <c r="T12"/>
  <c r="R439"/>
  <c r="R457" l="1"/>
  <c r="S457"/>
  <c r="R456"/>
  <c r="S456"/>
  <c r="R455"/>
  <c r="S455"/>
  <c r="R454"/>
  <c r="S454"/>
  <c r="R452"/>
  <c r="S452"/>
  <c r="R451"/>
  <c r="S451"/>
  <c r="R450"/>
  <c r="S450"/>
  <c r="R449"/>
  <c r="S449"/>
  <c r="R447"/>
  <c r="S447"/>
  <c r="R446"/>
  <c r="S446"/>
  <c r="R445"/>
  <c r="S445"/>
  <c r="R444"/>
  <c r="S444"/>
  <c r="R442"/>
  <c r="S442"/>
  <c r="R441"/>
  <c r="S441"/>
  <c r="R440"/>
  <c r="S440"/>
  <c r="S439"/>
  <c r="T439" s="1"/>
  <c r="T440" l="1"/>
  <c r="T441"/>
  <c r="T442"/>
  <c r="T444"/>
  <c r="T445"/>
  <c r="T446"/>
  <c r="T447"/>
  <c r="T449"/>
  <c r="T450"/>
  <c r="T451"/>
  <c r="T452"/>
  <c r="T454"/>
  <c r="T455"/>
  <c r="T456"/>
  <c r="T457"/>
  <c r="G24" i="65"/>
  <c r="D9"/>
  <c r="G7"/>
  <c r="E20"/>
  <c r="N17"/>
  <c r="C17"/>
  <c r="I26"/>
  <c r="F20"/>
  <c r="G22"/>
  <c r="C25"/>
  <c r="N19"/>
  <c r="L12"/>
  <c r="N11"/>
  <c r="N24"/>
  <c r="L15"/>
  <c r="N22"/>
  <c r="G17"/>
  <c r="M27"/>
  <c r="B19"/>
  <c r="N7"/>
  <c r="F15"/>
  <c r="I10"/>
  <c r="G9"/>
  <c r="D12"/>
  <c r="M24"/>
  <c r="M15"/>
  <c r="I22"/>
  <c r="G27"/>
  <c r="I9"/>
  <c r="J11"/>
  <c r="C26"/>
  <c r="J14"/>
  <c r="E15"/>
  <c r="L7"/>
  <c r="F22"/>
  <c r="M21"/>
  <c r="K14"/>
  <c r="C14"/>
  <c r="G11"/>
  <c r="L21"/>
  <c r="L10"/>
  <c r="F7"/>
  <c r="L19"/>
  <c r="I16"/>
  <c r="E19"/>
  <c r="G10"/>
  <c r="E24"/>
  <c r="M19"/>
  <c r="J22"/>
  <c r="L24"/>
  <c r="J10"/>
  <c r="B20"/>
  <c r="E27"/>
  <c r="D10"/>
  <c r="D11"/>
  <c r="N27"/>
  <c r="N9"/>
  <c r="B21"/>
  <c r="F24"/>
  <c r="M10"/>
  <c r="E22"/>
  <c r="C16"/>
  <c r="F21"/>
  <c r="I21"/>
  <c r="I15"/>
  <c r="L20"/>
  <c r="B15"/>
  <c r="J27"/>
  <c r="E16"/>
  <c r="F16"/>
  <c r="B16"/>
  <c r="E14"/>
  <c r="F12"/>
  <c r="F9"/>
  <c r="I14"/>
  <c r="B10"/>
  <c r="N12"/>
  <c r="G15"/>
  <c r="M11"/>
  <c r="J15"/>
  <c r="K10"/>
  <c r="C12"/>
  <c r="B17"/>
  <c r="C22"/>
  <c r="L14"/>
  <c r="J25"/>
  <c r="M20"/>
  <c r="L25"/>
  <c r="K25"/>
  <c r="N26"/>
  <c r="D21"/>
  <c r="B26"/>
  <c r="I25"/>
  <c r="N20"/>
  <c r="B12"/>
  <c r="K16"/>
  <c r="K26"/>
  <c r="F14"/>
  <c r="L27"/>
  <c r="G21"/>
  <c r="C24"/>
  <c r="D27"/>
  <c r="C15"/>
  <c r="D20"/>
  <c r="M12"/>
  <c r="D16"/>
  <c r="K7"/>
  <c r="N16"/>
  <c r="E26"/>
  <c r="I11"/>
  <c r="I27"/>
  <c r="I20"/>
  <c r="L16"/>
  <c r="D15"/>
  <c r="B9"/>
  <c r="G12"/>
  <c r="K15"/>
  <c r="E9"/>
  <c r="G25"/>
  <c r="N14"/>
  <c r="C27"/>
  <c r="K24"/>
  <c r="M25"/>
  <c r="F25"/>
  <c r="J26"/>
  <c r="L9"/>
  <c r="B11"/>
  <c r="C9"/>
  <c r="I7"/>
  <c r="K27"/>
  <c r="C21"/>
  <c r="K21"/>
  <c r="K20"/>
  <c r="N10"/>
  <c r="D7"/>
  <c r="F27"/>
  <c r="K12"/>
  <c r="M14"/>
  <c r="F10"/>
  <c r="I24"/>
  <c r="E21"/>
  <c r="F19"/>
  <c r="E12"/>
  <c r="E11"/>
  <c r="F26"/>
  <c r="I17"/>
  <c r="B7"/>
  <c r="N25"/>
  <c r="D26"/>
  <c r="M17"/>
  <c r="M26"/>
  <c r="C19"/>
  <c r="E7"/>
  <c r="E10"/>
  <c r="I12"/>
  <c r="C7"/>
  <c r="B24"/>
  <c r="J19"/>
  <c r="L26"/>
  <c r="G16"/>
  <c r="F17"/>
  <c r="J20"/>
  <c r="M9"/>
  <c r="G26"/>
  <c r="E17"/>
  <c r="J12"/>
  <c r="K22"/>
  <c r="N21"/>
  <c r="B22"/>
  <c r="D14"/>
  <c r="J9"/>
  <c r="K9"/>
  <c r="G14"/>
  <c r="D24"/>
  <c r="D19"/>
  <c r="K19"/>
  <c r="B25"/>
  <c r="N15"/>
  <c r="L17"/>
  <c r="E25"/>
  <c r="J17"/>
  <c r="C20"/>
  <c r="J21"/>
  <c r="D22"/>
  <c r="G19"/>
  <c r="D17"/>
  <c r="B14"/>
  <c r="C10"/>
  <c r="M16"/>
  <c r="F11"/>
  <c r="B27"/>
  <c r="J7"/>
  <c r="I19"/>
  <c r="M7"/>
  <c r="C11"/>
  <c r="L11"/>
  <c r="K17"/>
  <c r="J16"/>
  <c r="G20"/>
  <c r="M22"/>
  <c r="D25"/>
  <c r="L22"/>
  <c r="J24"/>
  <c r="K11"/>
  <c r="O9" l="1"/>
  <c r="H21"/>
  <c r="O26"/>
  <c r="H20"/>
  <c r="H17"/>
  <c r="H24"/>
  <c r="O25"/>
  <c r="O16"/>
  <c r="H11"/>
  <c r="P11" s="1"/>
  <c r="H27"/>
  <c r="H22"/>
  <c r="O21"/>
  <c r="O15"/>
  <c r="H25"/>
  <c r="O7"/>
  <c r="O20"/>
  <c r="H7"/>
  <c r="O27"/>
  <c r="H15"/>
  <c r="O24"/>
  <c r="P24" s="1"/>
  <c r="O19"/>
  <c r="O17"/>
  <c r="O14"/>
  <c r="H14"/>
  <c r="H26"/>
  <c r="O10"/>
  <c r="O11"/>
  <c r="O22"/>
  <c r="H12"/>
  <c r="O12"/>
  <c r="H10"/>
  <c r="H19"/>
  <c r="H16"/>
  <c r="P16" s="1"/>
  <c r="H9"/>
  <c r="AM96" i="51"/>
  <c r="AL96"/>
  <c r="AK96"/>
  <c r="AJ96"/>
  <c r="AI96"/>
  <c r="AH96"/>
  <c r="AG96"/>
  <c r="AF96"/>
  <c r="AE96"/>
  <c r="AD96"/>
  <c r="AC96"/>
  <c r="AB96"/>
  <c r="AA96"/>
  <c r="Z96"/>
  <c r="Y96"/>
  <c r="X96"/>
  <c r="W96"/>
  <c r="AM94"/>
  <c r="AL94"/>
  <c r="AK94"/>
  <c r="AJ94"/>
  <c r="AI94"/>
  <c r="AH94"/>
  <c r="AG94"/>
  <c r="AF94"/>
  <c r="AE94"/>
  <c r="AD94"/>
  <c r="AC94"/>
  <c r="AB94"/>
  <c r="AA94"/>
  <c r="Z94"/>
  <c r="Y94"/>
  <c r="X94"/>
  <c r="W94"/>
  <c r="AM92"/>
  <c r="AL92"/>
  <c r="AK92"/>
  <c r="AJ92"/>
  <c r="AI92"/>
  <c r="AH92"/>
  <c r="AG92"/>
  <c r="AF92"/>
  <c r="AE92"/>
  <c r="AD92"/>
  <c r="AC92"/>
  <c r="AB92"/>
  <c r="AA92"/>
  <c r="Z92"/>
  <c r="Y92"/>
  <c r="X92"/>
  <c r="W92"/>
  <c r="AM90"/>
  <c r="AL90"/>
  <c r="AK90"/>
  <c r="AJ90"/>
  <c r="AI90"/>
  <c r="AH90"/>
  <c r="AG90"/>
  <c r="AF90"/>
  <c r="AE90"/>
  <c r="AD90"/>
  <c r="AC90"/>
  <c r="AB90"/>
  <c r="AA90"/>
  <c r="Z90"/>
  <c r="Y90"/>
  <c r="X90"/>
  <c r="W90"/>
  <c r="AM88"/>
  <c r="AL88"/>
  <c r="AK88"/>
  <c r="AJ88"/>
  <c r="AI88"/>
  <c r="AH88"/>
  <c r="AG88"/>
  <c r="AF88"/>
  <c r="AE88"/>
  <c r="AD88"/>
  <c r="AC88"/>
  <c r="AB88"/>
  <c r="AA88"/>
  <c r="Z88"/>
  <c r="Y88"/>
  <c r="X88"/>
  <c r="W88"/>
  <c r="AM86"/>
  <c r="AL86"/>
  <c r="AK86"/>
  <c r="AJ86"/>
  <c r="AI86"/>
  <c r="AH86"/>
  <c r="AG86"/>
  <c r="AF86"/>
  <c r="AE86"/>
  <c r="AD86"/>
  <c r="AC86"/>
  <c r="AB86"/>
  <c r="AA86"/>
  <c r="Z86"/>
  <c r="Y86"/>
  <c r="X86"/>
  <c r="W86"/>
  <c r="AM84"/>
  <c r="AL84"/>
  <c r="AK84"/>
  <c r="AJ84"/>
  <c r="AI84"/>
  <c r="AH84"/>
  <c r="AG84"/>
  <c r="AF84"/>
  <c r="AE84"/>
  <c r="AD84"/>
  <c r="AC84"/>
  <c r="AB84"/>
  <c r="AA84"/>
  <c r="Z84"/>
  <c r="Y84"/>
  <c r="X84"/>
  <c r="W84"/>
  <c r="AM82"/>
  <c r="AL82"/>
  <c r="AK82"/>
  <c r="AJ82"/>
  <c r="AI82"/>
  <c r="AH82"/>
  <c r="AG82"/>
  <c r="AF82"/>
  <c r="AE82"/>
  <c r="AD82"/>
  <c r="AC82"/>
  <c r="AB82"/>
  <c r="AA82"/>
  <c r="Z82"/>
  <c r="Y82"/>
  <c r="X82"/>
  <c r="W82"/>
  <c r="AM80"/>
  <c r="AL80"/>
  <c r="AK80"/>
  <c r="AJ80"/>
  <c r="AI80"/>
  <c r="AH80"/>
  <c r="AG80"/>
  <c r="AF80"/>
  <c r="AE80"/>
  <c r="AD80"/>
  <c r="AC80"/>
  <c r="AB80"/>
  <c r="AA80"/>
  <c r="Z80"/>
  <c r="Y80"/>
  <c r="X80"/>
  <c r="W80"/>
  <c r="AM78"/>
  <c r="AL78"/>
  <c r="AK78"/>
  <c r="AJ78"/>
  <c r="AI78"/>
  <c r="AH78"/>
  <c r="AG78"/>
  <c r="AF78"/>
  <c r="AE78"/>
  <c r="AD78"/>
  <c r="AC78"/>
  <c r="AB78"/>
  <c r="AA78"/>
  <c r="Z78"/>
  <c r="Y78"/>
  <c r="X78"/>
  <c r="W78"/>
  <c r="AM76"/>
  <c r="AL76"/>
  <c r="AK76"/>
  <c r="AJ76"/>
  <c r="AI76"/>
  <c r="AH76"/>
  <c r="AG76"/>
  <c r="AF76"/>
  <c r="AE76"/>
  <c r="AD76"/>
  <c r="AC76"/>
  <c r="AB76"/>
  <c r="AA76"/>
  <c r="Z76"/>
  <c r="Y76"/>
  <c r="X76"/>
  <c r="W76"/>
  <c r="AM74"/>
  <c r="AL74"/>
  <c r="AK74"/>
  <c r="AJ74"/>
  <c r="AI74"/>
  <c r="AH74"/>
  <c r="AG74"/>
  <c r="AF74"/>
  <c r="AE74"/>
  <c r="AD74"/>
  <c r="AC74"/>
  <c r="AB74"/>
  <c r="AA74"/>
  <c r="Z74"/>
  <c r="Y74"/>
  <c r="X74"/>
  <c r="W74"/>
  <c r="AM72"/>
  <c r="AL72"/>
  <c r="AK72"/>
  <c r="AJ72"/>
  <c r="AI72"/>
  <c r="AH72"/>
  <c r="AG72"/>
  <c r="AF72"/>
  <c r="AE72"/>
  <c r="AD72"/>
  <c r="AC72"/>
  <c r="AB72"/>
  <c r="AA72"/>
  <c r="Z72"/>
  <c r="Y72"/>
  <c r="X72"/>
  <c r="W72"/>
  <c r="AM70"/>
  <c r="AL70"/>
  <c r="AK70"/>
  <c r="AJ70"/>
  <c r="AI70"/>
  <c r="AH70"/>
  <c r="AG70"/>
  <c r="AF70"/>
  <c r="AE70"/>
  <c r="AD70"/>
  <c r="AC70"/>
  <c r="AB70"/>
  <c r="AA70"/>
  <c r="Z70"/>
  <c r="Y70"/>
  <c r="X70"/>
  <c r="W70"/>
  <c r="AM68"/>
  <c r="AL68"/>
  <c r="AK68"/>
  <c r="AJ68"/>
  <c r="AI68"/>
  <c r="AH68"/>
  <c r="AG68"/>
  <c r="AF68"/>
  <c r="AE68"/>
  <c r="AD68"/>
  <c r="AC68"/>
  <c r="AB68"/>
  <c r="AA68"/>
  <c r="Z68"/>
  <c r="Y68"/>
  <c r="X68"/>
  <c r="W68"/>
  <c r="AM66"/>
  <c r="AL66"/>
  <c r="AK66"/>
  <c r="AJ66"/>
  <c r="AI66"/>
  <c r="AH66"/>
  <c r="AG66"/>
  <c r="AF66"/>
  <c r="AE66"/>
  <c r="AD66"/>
  <c r="AC66"/>
  <c r="AB66"/>
  <c r="AA66"/>
  <c r="Z66"/>
  <c r="Y66"/>
  <c r="X66"/>
  <c r="W66"/>
  <c r="AM64"/>
  <c r="AL64"/>
  <c r="AK64"/>
  <c r="AJ64"/>
  <c r="AI64"/>
  <c r="AH64"/>
  <c r="AG64"/>
  <c r="AF64"/>
  <c r="AE64"/>
  <c r="AD64"/>
  <c r="AC64"/>
  <c r="AB64"/>
  <c r="AA64"/>
  <c r="Z64"/>
  <c r="Y64"/>
  <c r="X64"/>
  <c r="W64"/>
  <c r="AM62"/>
  <c r="AL62"/>
  <c r="AK62"/>
  <c r="AJ62"/>
  <c r="AI62"/>
  <c r="AH62"/>
  <c r="AG62"/>
  <c r="AF62"/>
  <c r="AE62"/>
  <c r="AD62"/>
  <c r="AC62"/>
  <c r="AB62"/>
  <c r="AA62"/>
  <c r="Z62"/>
  <c r="Y62"/>
  <c r="X62"/>
  <c r="W62"/>
  <c r="AM60"/>
  <c r="AL60"/>
  <c r="AK60"/>
  <c r="AJ60"/>
  <c r="AI60"/>
  <c r="AH60"/>
  <c r="AG60"/>
  <c r="AF60"/>
  <c r="AE60"/>
  <c r="AD60"/>
  <c r="AC60"/>
  <c r="AB60"/>
  <c r="AA60"/>
  <c r="Z60"/>
  <c r="Y60"/>
  <c r="X60"/>
  <c r="W60"/>
  <c r="AM58"/>
  <c r="AL58"/>
  <c r="AK58"/>
  <c r="AJ58"/>
  <c r="AI58"/>
  <c r="AH58"/>
  <c r="AG58"/>
  <c r="AF58"/>
  <c r="AE58"/>
  <c r="AD58"/>
  <c r="AC58"/>
  <c r="AB58"/>
  <c r="AA58"/>
  <c r="Z58"/>
  <c r="Y58"/>
  <c r="X58"/>
  <c r="W58"/>
  <c r="AM56"/>
  <c r="AL56"/>
  <c r="AK56"/>
  <c r="AJ56"/>
  <c r="AI56"/>
  <c r="AH56"/>
  <c r="AG56"/>
  <c r="AF56"/>
  <c r="AE56"/>
  <c r="AD56"/>
  <c r="AC56"/>
  <c r="AB56"/>
  <c r="AA56"/>
  <c r="Z56"/>
  <c r="Y56"/>
  <c r="X56"/>
  <c r="W56"/>
  <c r="AM54"/>
  <c r="AL54"/>
  <c r="AK54"/>
  <c r="AJ54"/>
  <c r="AI54"/>
  <c r="AH54"/>
  <c r="AG54"/>
  <c r="AF54"/>
  <c r="AE54"/>
  <c r="AD54"/>
  <c r="AC54"/>
  <c r="AB54"/>
  <c r="AA54"/>
  <c r="Z54"/>
  <c r="Y54"/>
  <c r="X54"/>
  <c r="W54"/>
  <c r="AM52"/>
  <c r="AL52"/>
  <c r="AK52"/>
  <c r="AJ52"/>
  <c r="AI52"/>
  <c r="AH52"/>
  <c r="AG52"/>
  <c r="AF52"/>
  <c r="AE52"/>
  <c r="AD52"/>
  <c r="AC52"/>
  <c r="AB52"/>
  <c r="AA52"/>
  <c r="Z52"/>
  <c r="Y52"/>
  <c r="X52"/>
  <c r="W52"/>
  <c r="AM50"/>
  <c r="AL50"/>
  <c r="AK50"/>
  <c r="AJ50"/>
  <c r="AI50"/>
  <c r="AH50"/>
  <c r="AG50"/>
  <c r="AF50"/>
  <c r="AE50"/>
  <c r="AD50"/>
  <c r="AC50"/>
  <c r="AB50"/>
  <c r="AA50"/>
  <c r="Z50"/>
  <c r="Y50"/>
  <c r="X50"/>
  <c r="W50"/>
  <c r="AM48"/>
  <c r="AL48"/>
  <c r="AK48"/>
  <c r="AJ48"/>
  <c r="AI48"/>
  <c r="AH48"/>
  <c r="AG48"/>
  <c r="AF48"/>
  <c r="AE48"/>
  <c r="AD48"/>
  <c r="AC48"/>
  <c r="AB48"/>
  <c r="AA48"/>
  <c r="Z48"/>
  <c r="Y48"/>
  <c r="X48"/>
  <c r="W48"/>
  <c r="AM46"/>
  <c r="AL46"/>
  <c r="AK46"/>
  <c r="AJ46"/>
  <c r="AI46"/>
  <c r="AH46"/>
  <c r="AG46"/>
  <c r="AF46"/>
  <c r="AE46"/>
  <c r="AD46"/>
  <c r="AC46"/>
  <c r="AB46"/>
  <c r="AA46"/>
  <c r="Z46"/>
  <c r="Y46"/>
  <c r="X46"/>
  <c r="W46"/>
  <c r="AM44"/>
  <c r="AL44"/>
  <c r="AK44"/>
  <c r="AJ44"/>
  <c r="AI44"/>
  <c r="AH44"/>
  <c r="AG44"/>
  <c r="AF44"/>
  <c r="AE44"/>
  <c r="AD44"/>
  <c r="AC44"/>
  <c r="AB44"/>
  <c r="AA44"/>
  <c r="Z44"/>
  <c r="Y44"/>
  <c r="X44"/>
  <c r="W44"/>
  <c r="AM42"/>
  <c r="AL42"/>
  <c r="AK42"/>
  <c r="AJ42"/>
  <c r="AI42"/>
  <c r="AH42"/>
  <c r="AG42"/>
  <c r="AF42"/>
  <c r="AE42"/>
  <c r="AD42"/>
  <c r="AC42"/>
  <c r="AB42"/>
  <c r="AA42"/>
  <c r="Z42"/>
  <c r="Y42"/>
  <c r="X42"/>
  <c r="W42"/>
  <c r="AM40"/>
  <c r="AL40"/>
  <c r="AK40"/>
  <c r="AJ40"/>
  <c r="AI40"/>
  <c r="AH40"/>
  <c r="AG40"/>
  <c r="AF40"/>
  <c r="AE40"/>
  <c r="AD40"/>
  <c r="AC40"/>
  <c r="AB40"/>
  <c r="AA40"/>
  <c r="Z40"/>
  <c r="Y40"/>
  <c r="X40"/>
  <c r="W40"/>
  <c r="AM38"/>
  <c r="AL38"/>
  <c r="AK38"/>
  <c r="AJ38"/>
  <c r="AI38"/>
  <c r="AH38"/>
  <c r="AG38"/>
  <c r="AF38"/>
  <c r="AE38"/>
  <c r="AD38"/>
  <c r="AC38"/>
  <c r="AB38"/>
  <c r="AA38"/>
  <c r="Z38"/>
  <c r="Y38"/>
  <c r="X38"/>
  <c r="W38"/>
  <c r="AM36"/>
  <c r="AL36"/>
  <c r="AK36"/>
  <c r="AJ36"/>
  <c r="AI36"/>
  <c r="AH36"/>
  <c r="AG36"/>
  <c r="AF36"/>
  <c r="AE36"/>
  <c r="AD36"/>
  <c r="AC36"/>
  <c r="AB36"/>
  <c r="AA36"/>
  <c r="Z36"/>
  <c r="Y36"/>
  <c r="X36"/>
  <c r="W36"/>
  <c r="AM34"/>
  <c r="AL34"/>
  <c r="AK34"/>
  <c r="AJ34"/>
  <c r="AI34"/>
  <c r="AH34"/>
  <c r="AG34"/>
  <c r="AF34"/>
  <c r="AE34"/>
  <c r="AD34"/>
  <c r="AC34"/>
  <c r="AB34"/>
  <c r="AA34"/>
  <c r="Z34"/>
  <c r="Y34"/>
  <c r="X34"/>
  <c r="W34"/>
  <c r="AM32"/>
  <c r="AL32"/>
  <c r="AK32"/>
  <c r="AJ32"/>
  <c r="AI32"/>
  <c r="AH32"/>
  <c r="AG32"/>
  <c r="AF32"/>
  <c r="AE32"/>
  <c r="AD32"/>
  <c r="AC32"/>
  <c r="AB32"/>
  <c r="AA32"/>
  <c r="Z32"/>
  <c r="Y32"/>
  <c r="X32"/>
  <c r="W32"/>
  <c r="AM30"/>
  <c r="AL30"/>
  <c r="AK30"/>
  <c r="AJ30"/>
  <c r="AI30"/>
  <c r="AH30"/>
  <c r="AG30"/>
  <c r="AF30"/>
  <c r="AE30"/>
  <c r="AD30"/>
  <c r="AC30"/>
  <c r="AB30"/>
  <c r="AA30"/>
  <c r="Z30"/>
  <c r="Y30"/>
  <c r="X30"/>
  <c r="W30"/>
  <c r="AM28"/>
  <c r="AL28"/>
  <c r="AK28"/>
  <c r="AJ28"/>
  <c r="AI28"/>
  <c r="AH28"/>
  <c r="AG28"/>
  <c r="AF28"/>
  <c r="AE28"/>
  <c r="AD28"/>
  <c r="AC28"/>
  <c r="AB28"/>
  <c r="AA28"/>
  <c r="Z28"/>
  <c r="Y28"/>
  <c r="X28"/>
  <c r="W28"/>
  <c r="AM26"/>
  <c r="AL26"/>
  <c r="AK26"/>
  <c r="AJ26"/>
  <c r="AI26"/>
  <c r="AH26"/>
  <c r="AG26"/>
  <c r="AF26"/>
  <c r="AE26"/>
  <c r="AD26"/>
  <c r="AC26"/>
  <c r="AB26"/>
  <c r="AA26"/>
  <c r="Z26"/>
  <c r="Y26"/>
  <c r="X26"/>
  <c r="W26"/>
  <c r="AM24"/>
  <c r="AL24"/>
  <c r="AK24"/>
  <c r="AJ24"/>
  <c r="AI24"/>
  <c r="AH24"/>
  <c r="AG24"/>
  <c r="AF24"/>
  <c r="AE24"/>
  <c r="AD24"/>
  <c r="AC24"/>
  <c r="AB24"/>
  <c r="AA24"/>
  <c r="Z24"/>
  <c r="Y24"/>
  <c r="X24"/>
  <c r="W24"/>
  <c r="AM22"/>
  <c r="AL22"/>
  <c r="AK22"/>
  <c r="AJ22"/>
  <c r="AI22"/>
  <c r="AH22"/>
  <c r="AG22"/>
  <c r="AF22"/>
  <c r="AE22"/>
  <c r="AD22"/>
  <c r="AC22"/>
  <c r="AB22"/>
  <c r="AA22"/>
  <c r="Z22"/>
  <c r="Y22"/>
  <c r="X22"/>
  <c r="W22"/>
  <c r="AM20"/>
  <c r="AL20"/>
  <c r="AK20"/>
  <c r="AJ20"/>
  <c r="AI20"/>
  <c r="AH20"/>
  <c r="AG20"/>
  <c r="AF20"/>
  <c r="AE20"/>
  <c r="AD20"/>
  <c r="AC20"/>
  <c r="AB20"/>
  <c r="AA20"/>
  <c r="Z20"/>
  <c r="Y20"/>
  <c r="X20"/>
  <c r="W20"/>
  <c r="AM18"/>
  <c r="AL18"/>
  <c r="AK18"/>
  <c r="AJ18"/>
  <c r="AI18"/>
  <c r="AH18"/>
  <c r="AG18"/>
  <c r="AF18"/>
  <c r="AE18"/>
  <c r="AD18"/>
  <c r="AC18"/>
  <c r="AB18"/>
  <c r="AA18"/>
  <c r="Z18"/>
  <c r="Y18"/>
  <c r="X18"/>
  <c r="W18"/>
  <c r="AM16"/>
  <c r="AL16"/>
  <c r="AK16"/>
  <c r="AJ16"/>
  <c r="AI16"/>
  <c r="AH16"/>
  <c r="AG16"/>
  <c r="AF16"/>
  <c r="AE16"/>
  <c r="AD16"/>
  <c r="AC16"/>
  <c r="AB16"/>
  <c r="AA16"/>
  <c r="Z16"/>
  <c r="Y16"/>
  <c r="X16"/>
  <c r="W16"/>
  <c r="AM14"/>
  <c r="AL14"/>
  <c r="AK14"/>
  <c r="AJ14"/>
  <c r="AI14"/>
  <c r="AH14"/>
  <c r="AG14"/>
  <c r="AF14"/>
  <c r="AE14"/>
  <c r="AD14"/>
  <c r="AC14"/>
  <c r="AB14"/>
  <c r="AA14"/>
  <c r="Z14"/>
  <c r="Y14"/>
  <c r="X14"/>
  <c r="W14"/>
  <c r="AM12"/>
  <c r="AL12"/>
  <c r="AK12"/>
  <c r="AJ12"/>
  <c r="AI12"/>
  <c r="AH12"/>
  <c r="AG12"/>
  <c r="AF12"/>
  <c r="AE12"/>
  <c r="AD12"/>
  <c r="AC12"/>
  <c r="AB12"/>
  <c r="AA12"/>
  <c r="Z12"/>
  <c r="Y12"/>
  <c r="X12"/>
  <c r="W12"/>
  <c r="AM10"/>
  <c r="AL10"/>
  <c r="AK10"/>
  <c r="AJ10"/>
  <c r="AI10"/>
  <c r="AH10"/>
  <c r="AG10"/>
  <c r="AF10"/>
  <c r="AE10"/>
  <c r="AD10"/>
  <c r="AC10"/>
  <c r="AB10"/>
  <c r="AA10"/>
  <c r="Z10"/>
  <c r="Y10"/>
  <c r="X10"/>
  <c r="W10"/>
  <c r="AM8"/>
  <c r="AL8"/>
  <c r="AK8"/>
  <c r="AJ8"/>
  <c r="AI8"/>
  <c r="AH8"/>
  <c r="AG8"/>
  <c r="AF8"/>
  <c r="AE8"/>
  <c r="AD8"/>
  <c r="AC8"/>
  <c r="AB8"/>
  <c r="AA8"/>
  <c r="Z8"/>
  <c r="Y8"/>
  <c r="X8"/>
  <c r="W8"/>
  <c r="AM6"/>
  <c r="AL6"/>
  <c r="AK6"/>
  <c r="AJ6"/>
  <c r="AI6"/>
  <c r="AH6"/>
  <c r="AG6"/>
  <c r="AF6"/>
  <c r="AE6"/>
  <c r="AD6"/>
  <c r="AC6"/>
  <c r="AB6"/>
  <c r="AA6"/>
  <c r="Z6"/>
  <c r="Y6"/>
  <c r="X6"/>
  <c r="W6"/>
  <c r="X4"/>
  <c r="Y4"/>
  <c r="Z4"/>
  <c r="AA4"/>
  <c r="AB4"/>
  <c r="AC4"/>
  <c r="AD4"/>
  <c r="AE4"/>
  <c r="AF4"/>
  <c r="AG4"/>
  <c r="AH4"/>
  <c r="AI4"/>
  <c r="AJ4"/>
  <c r="AK4"/>
  <c r="AL4"/>
  <c r="AM4"/>
  <c r="W4"/>
  <c r="P27" i="65" l="1"/>
  <c r="AC27" s="1"/>
  <c r="P21"/>
  <c r="X21" s="1"/>
  <c r="P9"/>
  <c r="S9" s="1"/>
  <c r="P20"/>
  <c r="U20" s="1"/>
  <c r="P25"/>
  <c r="V25" s="1"/>
  <c r="P19"/>
  <c r="U19" s="1"/>
  <c r="P22"/>
  <c r="AE22" s="1"/>
  <c r="P10"/>
  <c r="S10" s="1"/>
  <c r="P14"/>
  <c r="S14" s="1"/>
  <c r="P17"/>
  <c r="U17" s="1"/>
  <c r="P12"/>
  <c r="S12" s="1"/>
  <c r="P7"/>
  <c r="AF7" s="1"/>
  <c r="AB20"/>
  <c r="P15"/>
  <c r="X20"/>
  <c r="P26"/>
  <c r="T22"/>
  <c r="W22"/>
  <c r="AC11"/>
  <c r="AF11"/>
  <c r="V11"/>
  <c r="AA11"/>
  <c r="AB11"/>
  <c r="S11"/>
  <c r="U11"/>
  <c r="AD11"/>
  <c r="T11"/>
  <c r="X11"/>
  <c r="AE11"/>
  <c r="Z11"/>
  <c r="W11"/>
  <c r="V9"/>
  <c r="AB9"/>
  <c r="W9"/>
  <c r="S25"/>
  <c r="AA25"/>
  <c r="AF25"/>
  <c r="AE25"/>
  <c r="U25"/>
  <c r="T25"/>
  <c r="Z25"/>
  <c r="AD16"/>
  <c r="V16"/>
  <c r="U16"/>
  <c r="Z16"/>
  <c r="W16"/>
  <c r="T16"/>
  <c r="AC16"/>
  <c r="X16"/>
  <c r="AE16"/>
  <c r="AB16"/>
  <c r="AF16"/>
  <c r="AA16"/>
  <c r="S16"/>
  <c r="AD19"/>
  <c r="S24"/>
  <c r="W24"/>
  <c r="X24"/>
  <c r="U24"/>
  <c r="AD24"/>
  <c r="T24"/>
  <c r="AB24"/>
  <c r="Z24"/>
  <c r="AF24"/>
  <c r="AE24"/>
  <c r="V24"/>
  <c r="AC24"/>
  <c r="AA24"/>
  <c r="Z17"/>
  <c r="AA17"/>
  <c r="X17"/>
  <c r="AE17"/>
  <c r="T14"/>
  <c r="AB14"/>
  <c r="X14"/>
  <c r="AF14"/>
  <c r="S437" i="22"/>
  <c r="R437"/>
  <c r="U14" i="65" l="1"/>
  <c r="Y14" s="1"/>
  <c r="AG14" s="1"/>
  <c r="AA14"/>
  <c r="V14"/>
  <c r="Z14"/>
  <c r="AF21"/>
  <c r="AB21"/>
  <c r="AA10"/>
  <c r="AC14"/>
  <c r="S17"/>
  <c r="AF10"/>
  <c r="AD14"/>
  <c r="AC17"/>
  <c r="T27"/>
  <c r="W20"/>
  <c r="AE20"/>
  <c r="AA12"/>
  <c r="T21"/>
  <c r="Z21"/>
  <c r="W19"/>
  <c r="AB27"/>
  <c r="AA22"/>
  <c r="W21"/>
  <c r="AD10"/>
  <c r="AA19"/>
  <c r="Z27"/>
  <c r="AF27"/>
  <c r="T9"/>
  <c r="V22"/>
  <c r="AE21"/>
  <c r="AB10"/>
  <c r="AE14"/>
  <c r="X27"/>
  <c r="AE27"/>
  <c r="X25"/>
  <c r="AD9"/>
  <c r="S22"/>
  <c r="AA21"/>
  <c r="AD20"/>
  <c r="AC21"/>
  <c r="AA27"/>
  <c r="S27"/>
  <c r="X9"/>
  <c r="AC9"/>
  <c r="AC22"/>
  <c r="AD21"/>
  <c r="S21"/>
  <c r="AC19"/>
  <c r="AD27"/>
  <c r="U27"/>
  <c r="AF9"/>
  <c r="AB22"/>
  <c r="V21"/>
  <c r="V27"/>
  <c r="W27"/>
  <c r="Z9"/>
  <c r="U22"/>
  <c r="AF22"/>
  <c r="U21"/>
  <c r="AC10"/>
  <c r="X19"/>
  <c r="AB25"/>
  <c r="AE9"/>
  <c r="U9"/>
  <c r="Y9" s="1"/>
  <c r="AG9" s="1"/>
  <c r="X22"/>
  <c r="Y22" s="1"/>
  <c r="S20"/>
  <c r="Y20" s="1"/>
  <c r="AG20" s="1"/>
  <c r="AA20"/>
  <c r="AC20"/>
  <c r="AE10"/>
  <c r="W14"/>
  <c r="AF19"/>
  <c r="AD25"/>
  <c r="W25"/>
  <c r="AA9"/>
  <c r="AD22"/>
  <c r="AF20"/>
  <c r="Z10"/>
  <c r="AB17"/>
  <c r="AB19"/>
  <c r="AC25"/>
  <c r="Z22"/>
  <c r="T20"/>
  <c r="V20"/>
  <c r="Z20"/>
  <c r="U12"/>
  <c r="X12"/>
  <c r="T10"/>
  <c r="V10"/>
  <c r="W10"/>
  <c r="U10"/>
  <c r="Y10" s="1"/>
  <c r="AG10" s="1"/>
  <c r="X10"/>
  <c r="AD17"/>
  <c r="T17"/>
  <c r="W17"/>
  <c r="AF17"/>
  <c r="V17"/>
  <c r="V19"/>
  <c r="Z19"/>
  <c r="T19"/>
  <c r="S19"/>
  <c r="AE19"/>
  <c r="AD12"/>
  <c r="T12"/>
  <c r="AC12"/>
  <c r="Z12"/>
  <c r="AB12"/>
  <c r="AE12"/>
  <c r="AF12"/>
  <c r="W12"/>
  <c r="V12"/>
  <c r="T7"/>
  <c r="AD7"/>
  <c r="AE7"/>
  <c r="AC7"/>
  <c r="S7"/>
  <c r="W7"/>
  <c r="Z7"/>
  <c r="X7"/>
  <c r="V7"/>
  <c r="AA7"/>
  <c r="AB7"/>
  <c r="U7"/>
  <c r="AC15"/>
  <c r="AA15"/>
  <c r="Z15"/>
  <c r="AF15"/>
  <c r="V15"/>
  <c r="AD15"/>
  <c r="U15"/>
  <c r="S15"/>
  <c r="W15"/>
  <c r="X15"/>
  <c r="AB15"/>
  <c r="AE15"/>
  <c r="T15"/>
  <c r="AF26"/>
  <c r="AB26"/>
  <c r="T26"/>
  <c r="AE26"/>
  <c r="X26"/>
  <c r="AD26"/>
  <c r="W26"/>
  <c r="AA26"/>
  <c r="V26"/>
  <c r="AC26"/>
  <c r="S26"/>
  <c r="Z26"/>
  <c r="U26"/>
  <c r="Y11"/>
  <c r="AG11" s="1"/>
  <c r="Y17"/>
  <c r="Y16"/>
  <c r="AG16" s="1"/>
  <c r="Y24"/>
  <c r="AG24" s="1"/>
  <c r="T437" i="22"/>
  <c r="B8"/>
  <c r="Y27" i="65" l="1"/>
  <c r="AG27" s="1"/>
  <c r="Y25"/>
  <c r="AG25" s="1"/>
  <c r="Y19"/>
  <c r="AG19" s="1"/>
  <c r="Y21"/>
  <c r="AG21" s="1"/>
  <c r="AG22"/>
  <c r="Y12"/>
  <c r="AG12" s="1"/>
  <c r="AG17"/>
  <c r="Y7"/>
  <c r="AG7" s="1"/>
  <c r="Y26"/>
  <c r="AG26" s="1"/>
  <c r="Y15"/>
  <c r="AG15" s="1"/>
  <c r="E437" i="22"/>
  <c r="D437"/>
  <c r="AB437" s="1"/>
  <c r="AC437" l="1"/>
  <c r="P437"/>
  <c r="V437" s="1"/>
  <c r="C437"/>
  <c r="AA437" s="1"/>
  <c r="B437"/>
  <c r="H52" i="59"/>
  <c r="I52"/>
  <c r="J52"/>
  <c r="I54"/>
  <c r="J54"/>
  <c r="H55"/>
  <c r="I55"/>
  <c r="J55"/>
  <c r="H56"/>
  <c r="J56"/>
  <c r="H57"/>
  <c r="I57"/>
  <c r="J57"/>
  <c r="I58"/>
  <c r="J58"/>
  <c r="H59"/>
  <c r="J59"/>
  <c r="H60"/>
  <c r="I60"/>
  <c r="H61"/>
  <c r="I61"/>
  <c r="J61"/>
  <c r="I62"/>
  <c r="J62"/>
  <c r="H63"/>
  <c r="J63"/>
  <c r="H64"/>
  <c r="I64"/>
  <c r="H65"/>
  <c r="I65"/>
  <c r="J65"/>
  <c r="I66"/>
  <c r="J66"/>
  <c r="H67"/>
  <c r="J67"/>
  <c r="H68"/>
  <c r="I68"/>
  <c r="H69"/>
  <c r="I69"/>
  <c r="J69"/>
  <c r="S23"/>
  <c r="I74"/>
  <c r="J74"/>
  <c r="H76"/>
  <c r="J76"/>
  <c r="H77"/>
  <c r="I77"/>
  <c r="H78"/>
  <c r="I78"/>
  <c r="J78"/>
  <c r="J99" s="1"/>
  <c r="I79"/>
  <c r="J79"/>
  <c r="H80"/>
  <c r="H101" s="1"/>
  <c r="J80"/>
  <c r="H81"/>
  <c r="H102" s="1"/>
  <c r="I81"/>
  <c r="H82"/>
  <c r="H103" s="1"/>
  <c r="I82"/>
  <c r="I103" s="1"/>
  <c r="J82"/>
  <c r="I83"/>
  <c r="I104" s="1"/>
  <c r="J83"/>
  <c r="H84"/>
  <c r="J84"/>
  <c r="H85"/>
  <c r="I85"/>
  <c r="H86"/>
  <c r="H107" s="1"/>
  <c r="I86"/>
  <c r="I107" s="1"/>
  <c r="J86"/>
  <c r="H87"/>
  <c r="I87"/>
  <c r="H88"/>
  <c r="H109" s="1"/>
  <c r="I88"/>
  <c r="I109" s="1"/>
  <c r="J88"/>
  <c r="H89"/>
  <c r="H110" s="1"/>
  <c r="I89"/>
  <c r="J89"/>
  <c r="H90"/>
  <c r="I90"/>
  <c r="J90"/>
  <c r="H91"/>
  <c r="H112" s="1"/>
  <c r="I91"/>
  <c r="I112" s="1"/>
  <c r="J91"/>
  <c r="H54"/>
  <c r="E56"/>
  <c r="I56"/>
  <c r="H58"/>
  <c r="I59"/>
  <c r="J60"/>
  <c r="H62"/>
  <c r="I63"/>
  <c r="J64"/>
  <c r="H66"/>
  <c r="I67"/>
  <c r="J68"/>
  <c r="H74"/>
  <c r="I76"/>
  <c r="J77"/>
  <c r="H79"/>
  <c r="I80"/>
  <c r="I101" s="1"/>
  <c r="J81"/>
  <c r="H83"/>
  <c r="H104" s="1"/>
  <c r="I84"/>
  <c r="J85"/>
  <c r="J87"/>
  <c r="J108" s="1"/>
  <c r="D10" i="22"/>
  <c r="P10" s="1"/>
  <c r="V10" s="1"/>
  <c r="B12"/>
  <c r="C11"/>
  <c r="AA11" s="1"/>
  <c r="C12"/>
  <c r="AA12" s="1"/>
  <c r="D12"/>
  <c r="P12" s="1"/>
  <c r="V12" s="1"/>
  <c r="B13"/>
  <c r="B15"/>
  <c r="C16"/>
  <c r="AA16" s="1"/>
  <c r="B17"/>
  <c r="B21"/>
  <c r="C21"/>
  <c r="AA21" s="1"/>
  <c r="B23"/>
  <c r="C23"/>
  <c r="AA23" s="1"/>
  <c r="B25"/>
  <c r="C25"/>
  <c r="AA25" s="1"/>
  <c r="B27"/>
  <c r="C27"/>
  <c r="AA27" s="1"/>
  <c r="B41"/>
  <c r="C41"/>
  <c r="B43"/>
  <c r="D44"/>
  <c r="C45"/>
  <c r="C46"/>
  <c r="F47"/>
  <c r="G47"/>
  <c r="H47"/>
  <c r="I47"/>
  <c r="C48"/>
  <c r="B49"/>
  <c r="C49"/>
  <c r="B51"/>
  <c r="F52"/>
  <c r="G52"/>
  <c r="H52"/>
  <c r="I52"/>
  <c r="B53"/>
  <c r="C53"/>
  <c r="C54"/>
  <c r="B55"/>
  <c r="C55"/>
  <c r="D55"/>
  <c r="F57"/>
  <c r="G57"/>
  <c r="H57"/>
  <c r="I57"/>
  <c r="B59"/>
  <c r="C60"/>
  <c r="B61"/>
  <c r="B77"/>
  <c r="F77" s="1"/>
  <c r="B78"/>
  <c r="F78" s="1"/>
  <c r="D77"/>
  <c r="C77"/>
  <c r="G77" s="1"/>
  <c r="H77"/>
  <c r="B79"/>
  <c r="F80"/>
  <c r="G80"/>
  <c r="H80"/>
  <c r="I80"/>
  <c r="B81"/>
  <c r="C81"/>
  <c r="C82"/>
  <c r="G82" s="1"/>
  <c r="B83"/>
  <c r="C83"/>
  <c r="G83" s="1"/>
  <c r="C84"/>
  <c r="G84" s="1"/>
  <c r="F85"/>
  <c r="G85"/>
  <c r="H85"/>
  <c r="I85"/>
  <c r="C86"/>
  <c r="B87"/>
  <c r="C88"/>
  <c r="G88" s="1"/>
  <c r="B89"/>
  <c r="F89" s="1"/>
  <c r="F90"/>
  <c r="G90"/>
  <c r="H90"/>
  <c r="I90"/>
  <c r="B91"/>
  <c r="C91"/>
  <c r="G91" s="1"/>
  <c r="C92"/>
  <c r="B93"/>
  <c r="C93"/>
  <c r="B107"/>
  <c r="B109"/>
  <c r="C109"/>
  <c r="D110"/>
  <c r="C111"/>
  <c r="G111" s="1"/>
  <c r="C112"/>
  <c r="F113"/>
  <c r="G113"/>
  <c r="H113"/>
  <c r="I113"/>
  <c r="C114"/>
  <c r="G114" s="1"/>
  <c r="B115"/>
  <c r="B117"/>
  <c r="C117"/>
  <c r="G117" s="1"/>
  <c r="F118"/>
  <c r="G118"/>
  <c r="H118"/>
  <c r="I118"/>
  <c r="B119"/>
  <c r="C119"/>
  <c r="G119" s="1"/>
  <c r="B121"/>
  <c r="F123"/>
  <c r="G123"/>
  <c r="H123"/>
  <c r="I123"/>
  <c r="B125"/>
  <c r="C125"/>
  <c r="D125"/>
  <c r="B127"/>
  <c r="C127"/>
  <c r="D127"/>
  <c r="C139"/>
  <c r="C141"/>
  <c r="B142"/>
  <c r="B143"/>
  <c r="C142"/>
  <c r="D142"/>
  <c r="B144"/>
  <c r="C144"/>
  <c r="D144"/>
  <c r="B146"/>
  <c r="C146"/>
  <c r="D146"/>
  <c r="B148"/>
  <c r="B152"/>
  <c r="B154"/>
  <c r="B156"/>
  <c r="B158"/>
  <c r="C159"/>
  <c r="G159" s="1"/>
  <c r="B172"/>
  <c r="C172"/>
  <c r="B174"/>
  <c r="D175"/>
  <c r="C176"/>
  <c r="G176" s="1"/>
  <c r="B180"/>
  <c r="C180"/>
  <c r="D180"/>
  <c r="C181"/>
  <c r="G181" s="1"/>
  <c r="B182"/>
  <c r="F182" s="1"/>
  <c r="C182"/>
  <c r="G182" s="1"/>
  <c r="B184"/>
  <c r="C185"/>
  <c r="G185" s="1"/>
  <c r="B186"/>
  <c r="C187"/>
  <c r="C189"/>
  <c r="G189" s="1"/>
  <c r="B190"/>
  <c r="C191"/>
  <c r="B192"/>
  <c r="C205"/>
  <c r="C207"/>
  <c r="B208"/>
  <c r="B209"/>
  <c r="C208"/>
  <c r="D209"/>
  <c r="H209" s="1"/>
  <c r="B210"/>
  <c r="B212"/>
  <c r="C212"/>
  <c r="G212" s="1"/>
  <c r="D212"/>
  <c r="C213"/>
  <c r="G213" s="1"/>
  <c r="B214"/>
  <c r="C214"/>
  <c r="G214" s="1"/>
  <c r="D214"/>
  <c r="H214" s="1"/>
  <c r="C215"/>
  <c r="G215" s="1"/>
  <c r="C217"/>
  <c r="G217" s="1"/>
  <c r="B218"/>
  <c r="C218"/>
  <c r="G218" s="1"/>
  <c r="D218"/>
  <c r="C219"/>
  <c r="G219" s="1"/>
  <c r="B220"/>
  <c r="C220"/>
  <c r="D220"/>
  <c r="B222"/>
  <c r="F222" s="1"/>
  <c r="C222"/>
  <c r="G222" s="1"/>
  <c r="D222"/>
  <c r="H222" s="1"/>
  <c r="B223"/>
  <c r="B224"/>
  <c r="C224"/>
  <c r="G224" s="1"/>
  <c r="D224"/>
  <c r="B225"/>
  <c r="B237"/>
  <c r="C237"/>
  <c r="AA237" s="1"/>
  <c r="D237"/>
  <c r="AB237" s="1"/>
  <c r="E237"/>
  <c r="B239"/>
  <c r="B240"/>
  <c r="B241"/>
  <c r="E241"/>
  <c r="P241" s="1"/>
  <c r="V241" s="1"/>
  <c r="B242"/>
  <c r="C242"/>
  <c r="H242" s="1"/>
  <c r="D242"/>
  <c r="I242" s="1"/>
  <c r="E242"/>
  <c r="B244"/>
  <c r="C244"/>
  <c r="AA244" s="1"/>
  <c r="E244"/>
  <c r="B245"/>
  <c r="B246"/>
  <c r="C246"/>
  <c r="AA246" s="1"/>
  <c r="E246"/>
  <c r="B247"/>
  <c r="B249"/>
  <c r="C249"/>
  <c r="AA249" s="1"/>
  <c r="E249"/>
  <c r="B250"/>
  <c r="C250"/>
  <c r="AA250" s="1"/>
  <c r="E250"/>
  <c r="B251"/>
  <c r="B252"/>
  <c r="C252"/>
  <c r="AA252" s="1"/>
  <c r="D252"/>
  <c r="AB252" s="1"/>
  <c r="E252"/>
  <c r="B254"/>
  <c r="B255"/>
  <c r="C255"/>
  <c r="AA255" s="1"/>
  <c r="E255"/>
  <c r="B256"/>
  <c r="C256"/>
  <c r="AA256" s="1"/>
  <c r="D256"/>
  <c r="AB256" s="1"/>
  <c r="E256"/>
  <c r="B257"/>
  <c r="F276"/>
  <c r="F281"/>
  <c r="B284"/>
  <c r="B285"/>
  <c r="C285"/>
  <c r="E285"/>
  <c r="F286"/>
  <c r="B287"/>
  <c r="E287"/>
  <c r="B288"/>
  <c r="E288"/>
  <c r="B289"/>
  <c r="B290"/>
  <c r="E290"/>
  <c r="B303"/>
  <c r="C303"/>
  <c r="E303"/>
  <c r="F304"/>
  <c r="B305"/>
  <c r="B306"/>
  <c r="B307"/>
  <c r="D306"/>
  <c r="I306" s="1"/>
  <c r="B308"/>
  <c r="E308"/>
  <c r="B310"/>
  <c r="E310"/>
  <c r="B311"/>
  <c r="E311"/>
  <c r="B312"/>
  <c r="B313"/>
  <c r="E313"/>
  <c r="B315"/>
  <c r="C315"/>
  <c r="E315"/>
  <c r="B316"/>
  <c r="B317"/>
  <c r="E317"/>
  <c r="B318"/>
  <c r="E318"/>
  <c r="B320"/>
  <c r="E320"/>
  <c r="B321"/>
  <c r="C321"/>
  <c r="H321" s="1"/>
  <c r="E321"/>
  <c r="B322"/>
  <c r="C322"/>
  <c r="H322" s="1"/>
  <c r="E322"/>
  <c r="J322" s="1"/>
  <c r="B323"/>
  <c r="B337"/>
  <c r="B339"/>
  <c r="E339"/>
  <c r="B340"/>
  <c r="B341"/>
  <c r="C340"/>
  <c r="H340" s="1"/>
  <c r="E340"/>
  <c r="E342"/>
  <c r="F343"/>
  <c r="B344"/>
  <c r="E344"/>
  <c r="B345"/>
  <c r="C345"/>
  <c r="H345" s="1"/>
  <c r="E345"/>
  <c r="C346"/>
  <c r="H346" s="1"/>
  <c r="B347"/>
  <c r="F348"/>
  <c r="C349"/>
  <c r="E350"/>
  <c r="B351"/>
  <c r="C351"/>
  <c r="H351" s="1"/>
  <c r="E351"/>
  <c r="B352"/>
  <c r="E352"/>
  <c r="F353"/>
  <c r="C354"/>
  <c r="H354" s="1"/>
  <c r="E354"/>
  <c r="E355"/>
  <c r="B356"/>
  <c r="G356" s="1"/>
  <c r="E356"/>
  <c r="J356" s="1"/>
  <c r="B357"/>
  <c r="C357"/>
  <c r="H357" s="1"/>
  <c r="E357"/>
  <c r="C370"/>
  <c r="F371"/>
  <c r="C372"/>
  <c r="E372"/>
  <c r="B373"/>
  <c r="C373"/>
  <c r="E373"/>
  <c r="E375"/>
  <c r="F376"/>
  <c r="B377"/>
  <c r="C377"/>
  <c r="D377"/>
  <c r="I377" s="1"/>
  <c r="E377"/>
  <c r="B378"/>
  <c r="C379"/>
  <c r="H379" s="1"/>
  <c r="B380"/>
  <c r="E380"/>
  <c r="F381"/>
  <c r="C382"/>
  <c r="E382"/>
  <c r="E383"/>
  <c r="B384"/>
  <c r="C384"/>
  <c r="H384" s="1"/>
  <c r="D384"/>
  <c r="I384" s="1"/>
  <c r="E384"/>
  <c r="B385"/>
  <c r="F386"/>
  <c r="C387"/>
  <c r="H387" s="1"/>
  <c r="E388"/>
  <c r="B389"/>
  <c r="C389"/>
  <c r="H389" s="1"/>
  <c r="E389"/>
  <c r="B390"/>
  <c r="E390"/>
  <c r="C404"/>
  <c r="E404"/>
  <c r="F405"/>
  <c r="K405" s="1"/>
  <c r="G405"/>
  <c r="H405"/>
  <c r="I405"/>
  <c r="J405"/>
  <c r="B406"/>
  <c r="C407"/>
  <c r="H407" s="1"/>
  <c r="E408"/>
  <c r="J408" s="1"/>
  <c r="B409"/>
  <c r="G409" s="1"/>
  <c r="C409"/>
  <c r="H409" s="1"/>
  <c r="E409"/>
  <c r="J409" s="1"/>
  <c r="F410"/>
  <c r="K410" s="1"/>
  <c r="G410"/>
  <c r="H410"/>
  <c r="I410"/>
  <c r="J410"/>
  <c r="B411"/>
  <c r="G411" s="1"/>
  <c r="C411"/>
  <c r="H411" s="1"/>
  <c r="E411"/>
  <c r="J411" s="1"/>
  <c r="B412"/>
  <c r="E412"/>
  <c r="J412" s="1"/>
  <c r="C413"/>
  <c r="H413" s="1"/>
  <c r="E413"/>
  <c r="J413" s="1"/>
  <c r="E414"/>
  <c r="J414" s="1"/>
  <c r="F415"/>
  <c r="K415" s="1"/>
  <c r="G415"/>
  <c r="H415"/>
  <c r="I415"/>
  <c r="J415"/>
  <c r="E416"/>
  <c r="J416" s="1"/>
  <c r="B417"/>
  <c r="G417" s="1"/>
  <c r="C417"/>
  <c r="H417" s="1"/>
  <c r="D417"/>
  <c r="I417" s="1"/>
  <c r="E417"/>
  <c r="J417" s="1"/>
  <c r="B418"/>
  <c r="C419"/>
  <c r="H419" s="1"/>
  <c r="E419"/>
  <c r="J419" s="1"/>
  <c r="F420"/>
  <c r="K420" s="1"/>
  <c r="G420"/>
  <c r="H420"/>
  <c r="I420"/>
  <c r="J420"/>
  <c r="C421"/>
  <c r="H421" s="1"/>
  <c r="E421"/>
  <c r="J421" s="1"/>
  <c r="B422"/>
  <c r="E422"/>
  <c r="B423"/>
  <c r="B424"/>
  <c r="D423"/>
  <c r="E424"/>
  <c r="J424" s="1"/>
  <c r="C423"/>
  <c r="H423" s="1"/>
  <c r="C424"/>
  <c r="H424" s="1"/>
  <c r="E439"/>
  <c r="B440"/>
  <c r="E441"/>
  <c r="D440"/>
  <c r="I440" s="1"/>
  <c r="B442"/>
  <c r="C442"/>
  <c r="H442" s="1"/>
  <c r="E442"/>
  <c r="B444"/>
  <c r="C444"/>
  <c r="AA444" s="1"/>
  <c r="E444"/>
  <c r="B445"/>
  <c r="B446"/>
  <c r="C446"/>
  <c r="AA446" s="1"/>
  <c r="E446"/>
  <c r="B447"/>
  <c r="B449"/>
  <c r="C449"/>
  <c r="AA449" s="1"/>
  <c r="E449"/>
  <c r="C450"/>
  <c r="AA450" s="1"/>
  <c r="B451"/>
  <c r="C452"/>
  <c r="AA452" s="1"/>
  <c r="E452"/>
  <c r="B454"/>
  <c r="C456"/>
  <c r="AA456" s="1"/>
  <c r="B457"/>
  <c r="B469"/>
  <c r="C469"/>
  <c r="D469"/>
  <c r="E469"/>
  <c r="B471"/>
  <c r="B473"/>
  <c r="E473"/>
  <c r="J473" s="1"/>
  <c r="C474"/>
  <c r="E474"/>
  <c r="J474" s="1"/>
  <c r="E476"/>
  <c r="B477"/>
  <c r="E478"/>
  <c r="B479"/>
  <c r="C482"/>
  <c r="E482"/>
  <c r="J482" s="1"/>
  <c r="B483"/>
  <c r="C483"/>
  <c r="H483" s="1"/>
  <c r="E483"/>
  <c r="C484"/>
  <c r="C486"/>
  <c r="H486" s="1"/>
  <c r="B487"/>
  <c r="C487"/>
  <c r="H487" s="1"/>
  <c r="E487"/>
  <c r="J487" s="1"/>
  <c r="E488"/>
  <c r="J488" s="1"/>
  <c r="B489"/>
  <c r="B501"/>
  <c r="E501"/>
  <c r="C503"/>
  <c r="B504"/>
  <c r="G504" s="1"/>
  <c r="B505"/>
  <c r="C504"/>
  <c r="H504" s="1"/>
  <c r="E504"/>
  <c r="J504" s="1"/>
  <c r="D504"/>
  <c r="I504" s="1"/>
  <c r="C506"/>
  <c r="H506" s="1"/>
  <c r="F507"/>
  <c r="B508"/>
  <c r="C508"/>
  <c r="E508"/>
  <c r="C510"/>
  <c r="E510"/>
  <c r="C511"/>
  <c r="H511" s="1"/>
  <c r="E511"/>
  <c r="J511" s="1"/>
  <c r="F512"/>
  <c r="B513"/>
  <c r="G513" s="1"/>
  <c r="C513"/>
  <c r="H513" s="1"/>
  <c r="D513"/>
  <c r="I513" s="1"/>
  <c r="E513"/>
  <c r="J513" s="1"/>
  <c r="E515"/>
  <c r="C516"/>
  <c r="H516" s="1"/>
  <c r="E516"/>
  <c r="J516" s="1"/>
  <c r="F517"/>
  <c r="B518"/>
  <c r="C518"/>
  <c r="D518"/>
  <c r="I518" s="1"/>
  <c r="E518"/>
  <c r="C520"/>
  <c r="H520" s="1"/>
  <c r="E520"/>
  <c r="J520" s="1"/>
  <c r="C521"/>
  <c r="H521" s="1"/>
  <c r="B533"/>
  <c r="C533"/>
  <c r="E533"/>
  <c r="F534"/>
  <c r="C536"/>
  <c r="H536" s="1"/>
  <c r="B537"/>
  <c r="C537"/>
  <c r="H537" s="1"/>
  <c r="E537"/>
  <c r="J537" s="1"/>
  <c r="C538"/>
  <c r="H538" s="1"/>
  <c r="E538"/>
  <c r="J538" s="1"/>
  <c r="F539"/>
  <c r="B540"/>
  <c r="G540" s="1"/>
  <c r="C540"/>
  <c r="H540" s="1"/>
  <c r="D540"/>
  <c r="I540" s="1"/>
  <c r="E540"/>
  <c r="J540" s="1"/>
  <c r="C542"/>
  <c r="E542"/>
  <c r="C543"/>
  <c r="H543" s="1"/>
  <c r="F544"/>
  <c r="C546"/>
  <c r="H546" s="1"/>
  <c r="B547"/>
  <c r="G547" s="1"/>
  <c r="C547"/>
  <c r="H547" s="1"/>
  <c r="E547"/>
  <c r="J547" s="1"/>
  <c r="C548"/>
  <c r="H548" s="1"/>
  <c r="F549"/>
  <c r="B550"/>
  <c r="G550" s="1"/>
  <c r="C550"/>
  <c r="H550" s="1"/>
  <c r="E550"/>
  <c r="J550" s="1"/>
  <c r="C551"/>
  <c r="H551" s="1"/>
  <c r="B552"/>
  <c r="G552" s="1"/>
  <c r="C552"/>
  <c r="E552"/>
  <c r="J552" s="1"/>
  <c r="C553"/>
  <c r="H553" s="1"/>
  <c r="J110" i="59" l="1"/>
  <c r="I97"/>
  <c r="H99"/>
  <c r="I110"/>
  <c r="I99"/>
  <c r="H105"/>
  <c r="O27" i="22"/>
  <c r="U27" s="1"/>
  <c r="O25"/>
  <c r="U25" s="1"/>
  <c r="O23"/>
  <c r="U23" s="1"/>
  <c r="O21"/>
  <c r="U21" s="1"/>
  <c r="AC255"/>
  <c r="P255"/>
  <c r="V255" s="1"/>
  <c r="Z237"/>
  <c r="O237"/>
  <c r="U237" s="1"/>
  <c r="O12"/>
  <c r="U12" s="1"/>
  <c r="AC452"/>
  <c r="P452"/>
  <c r="V452" s="1"/>
  <c r="Z256"/>
  <c r="O256"/>
  <c r="U256" s="1"/>
  <c r="AC252"/>
  <c r="P252"/>
  <c r="V252" s="1"/>
  <c r="AC449"/>
  <c r="P449"/>
  <c r="V449" s="1"/>
  <c r="AC446"/>
  <c r="P446"/>
  <c r="V446" s="1"/>
  <c r="Z446"/>
  <c r="AC444"/>
  <c r="P444"/>
  <c r="V444" s="1"/>
  <c r="Z444"/>
  <c r="J442"/>
  <c r="P442"/>
  <c r="V442" s="1"/>
  <c r="G442"/>
  <c r="J441"/>
  <c r="P441"/>
  <c r="V441" s="1"/>
  <c r="AC439"/>
  <c r="P439"/>
  <c r="V439" s="1"/>
  <c r="AC256"/>
  <c r="P256"/>
  <c r="V256" s="1"/>
  <c r="Z252"/>
  <c r="O252"/>
  <c r="U252" s="1"/>
  <c r="AC250"/>
  <c r="P250"/>
  <c r="V250" s="1"/>
  <c r="AC249"/>
  <c r="P249"/>
  <c r="V249" s="1"/>
  <c r="AC246"/>
  <c r="P246"/>
  <c r="V246" s="1"/>
  <c r="AC244"/>
  <c r="P244"/>
  <c r="V244" s="1"/>
  <c r="AC242"/>
  <c r="P242"/>
  <c r="V242" s="1"/>
  <c r="AC237"/>
  <c r="P237"/>
  <c r="V237" s="1"/>
  <c r="Z15"/>
  <c r="Z437"/>
  <c r="O437"/>
  <c r="U437" s="1"/>
  <c r="O242"/>
  <c r="U242" s="1"/>
  <c r="B52" i="59"/>
  <c r="I102"/>
  <c r="G56"/>
  <c r="C56"/>
  <c r="I98"/>
  <c r="I95"/>
  <c r="D282" i="22"/>
  <c r="B283"/>
  <c r="G283" s="1"/>
  <c r="I106" i="59"/>
  <c r="I108"/>
  <c r="I100"/>
  <c r="AB440" i="22"/>
  <c r="AA242"/>
  <c r="C501"/>
  <c r="E486"/>
  <c r="J486" s="1"/>
  <c r="D533"/>
  <c r="F533" s="1"/>
  <c r="E521"/>
  <c r="J521" s="1"/>
  <c r="D508"/>
  <c r="I508" s="1"/>
  <c r="E506"/>
  <c r="J506" s="1"/>
  <c r="D505"/>
  <c r="I505" s="1"/>
  <c r="E505"/>
  <c r="J505" s="1"/>
  <c r="C505"/>
  <c r="H505" s="1"/>
  <c r="E503"/>
  <c r="D501"/>
  <c r="E489"/>
  <c r="J489" s="1"/>
  <c r="E479"/>
  <c r="J479" s="1"/>
  <c r="E450"/>
  <c r="AC450" s="1"/>
  <c r="D449"/>
  <c r="AB449" s="1"/>
  <c r="D446"/>
  <c r="F446" s="1"/>
  <c r="D444"/>
  <c r="AB444" s="1"/>
  <c r="E418"/>
  <c r="J418" s="1"/>
  <c r="D411"/>
  <c r="I411" s="1"/>
  <c r="E407"/>
  <c r="J407" s="1"/>
  <c r="E406"/>
  <c r="J406" s="1"/>
  <c r="C390"/>
  <c r="E387"/>
  <c r="E385"/>
  <c r="C380"/>
  <c r="H380" s="1"/>
  <c r="E379"/>
  <c r="E378"/>
  <c r="C356"/>
  <c r="H356" s="1"/>
  <c r="C352"/>
  <c r="E349"/>
  <c r="E347"/>
  <c r="E346"/>
  <c r="C344"/>
  <c r="H344" s="1"/>
  <c r="C339"/>
  <c r="E323"/>
  <c r="J323" s="1"/>
  <c r="C317"/>
  <c r="H317" s="1"/>
  <c r="E316"/>
  <c r="C313"/>
  <c r="H313" s="1"/>
  <c r="C310"/>
  <c r="H310" s="1"/>
  <c r="C308"/>
  <c r="H308" s="1"/>
  <c r="C290"/>
  <c r="C287"/>
  <c r="H287" s="1"/>
  <c r="E283"/>
  <c r="J283" s="1"/>
  <c r="E239"/>
  <c r="C192"/>
  <c r="C174"/>
  <c r="C158"/>
  <c r="C156"/>
  <c r="G156" s="1"/>
  <c r="C154"/>
  <c r="C152"/>
  <c r="G152" s="1"/>
  <c r="C148"/>
  <c r="G148" s="1"/>
  <c r="C121"/>
  <c r="G121" s="1"/>
  <c r="D117"/>
  <c r="E117" s="1"/>
  <c r="C107"/>
  <c r="C79"/>
  <c r="C61"/>
  <c r="C51"/>
  <c r="D41"/>
  <c r="E41" s="1"/>
  <c r="C17"/>
  <c r="AA17" s="1"/>
  <c r="C15"/>
  <c r="AA15" s="1"/>
  <c r="C13"/>
  <c r="AA13" s="1"/>
  <c r="C63" i="59"/>
  <c r="G62"/>
  <c r="D60"/>
  <c r="C59"/>
  <c r="G58"/>
  <c r="AC442" i="22"/>
  <c r="F242"/>
  <c r="F377"/>
  <c r="G91" i="59"/>
  <c r="E91"/>
  <c r="E90"/>
  <c r="G89"/>
  <c r="G110" s="1"/>
  <c r="C89"/>
  <c r="C110" s="1"/>
  <c r="G88"/>
  <c r="C88"/>
  <c r="E87"/>
  <c r="E86"/>
  <c r="E107" s="1"/>
  <c r="F85"/>
  <c r="D85"/>
  <c r="B85"/>
  <c r="G84"/>
  <c r="G105" s="1"/>
  <c r="C84"/>
  <c r="G83"/>
  <c r="E83"/>
  <c r="C83"/>
  <c r="E82"/>
  <c r="F81"/>
  <c r="D81"/>
  <c r="B81"/>
  <c r="G80"/>
  <c r="C80"/>
  <c r="G79"/>
  <c r="E79"/>
  <c r="C79"/>
  <c r="E78"/>
  <c r="E99" s="1"/>
  <c r="F77"/>
  <c r="D77"/>
  <c r="B77"/>
  <c r="G76"/>
  <c r="C76"/>
  <c r="F74"/>
  <c r="D74"/>
  <c r="B74"/>
  <c r="G74"/>
  <c r="E74"/>
  <c r="C74"/>
  <c r="G69"/>
  <c r="E69"/>
  <c r="C69"/>
  <c r="F68"/>
  <c r="D68"/>
  <c r="B68"/>
  <c r="G67"/>
  <c r="C67"/>
  <c r="G66"/>
  <c r="E66"/>
  <c r="C66"/>
  <c r="E65"/>
  <c r="F64"/>
  <c r="D64"/>
  <c r="B64"/>
  <c r="G63"/>
  <c r="E62"/>
  <c r="C62"/>
  <c r="E61"/>
  <c r="F60"/>
  <c r="B60"/>
  <c r="G59"/>
  <c r="E58"/>
  <c r="C58"/>
  <c r="E57"/>
  <c r="F55"/>
  <c r="D55"/>
  <c r="B55"/>
  <c r="B98" s="1"/>
  <c r="F54"/>
  <c r="D54"/>
  <c r="B54"/>
  <c r="F52"/>
  <c r="D52"/>
  <c r="J102"/>
  <c r="F513" i="22"/>
  <c r="K513" s="1"/>
  <c r="H482"/>
  <c r="H474"/>
  <c r="AA442"/>
  <c r="F237"/>
  <c r="J112" i="59"/>
  <c r="J98"/>
  <c r="G55"/>
  <c r="J9"/>
  <c r="C55"/>
  <c r="G52"/>
  <c r="C52"/>
  <c r="C95" s="1"/>
  <c r="I105"/>
  <c r="G90"/>
  <c r="C90"/>
  <c r="E89"/>
  <c r="E110" s="1"/>
  <c r="E88"/>
  <c r="J109"/>
  <c r="G87"/>
  <c r="G86"/>
  <c r="C86"/>
  <c r="J107"/>
  <c r="G85"/>
  <c r="E85"/>
  <c r="E84"/>
  <c r="J105"/>
  <c r="F83"/>
  <c r="D83"/>
  <c r="B83"/>
  <c r="G82"/>
  <c r="C82"/>
  <c r="J103"/>
  <c r="G81"/>
  <c r="E81"/>
  <c r="E80"/>
  <c r="J101"/>
  <c r="F79"/>
  <c r="D79"/>
  <c r="B79"/>
  <c r="G78"/>
  <c r="G99" s="1"/>
  <c r="C78"/>
  <c r="G77"/>
  <c r="E77"/>
  <c r="E76"/>
  <c r="G68"/>
  <c r="E68"/>
  <c r="E67"/>
  <c r="F66"/>
  <c r="D66"/>
  <c r="B66"/>
  <c r="G65"/>
  <c r="C65"/>
  <c r="G64"/>
  <c r="E64"/>
  <c r="E63"/>
  <c r="F62"/>
  <c r="D62"/>
  <c r="B62"/>
  <c r="G61"/>
  <c r="C61"/>
  <c r="G60"/>
  <c r="E60"/>
  <c r="E59"/>
  <c r="F58"/>
  <c r="D58"/>
  <c r="B58"/>
  <c r="G57"/>
  <c r="C57"/>
  <c r="K8"/>
  <c r="F469" i="22"/>
  <c r="H452"/>
  <c r="K47" i="59"/>
  <c r="K45"/>
  <c r="K43"/>
  <c r="K41"/>
  <c r="K39"/>
  <c r="K37"/>
  <c r="K35"/>
  <c r="K33"/>
  <c r="K30"/>
  <c r="K22"/>
  <c r="K20"/>
  <c r="K18"/>
  <c r="K16"/>
  <c r="K14"/>
  <c r="K12"/>
  <c r="I111"/>
  <c r="C91"/>
  <c r="C112" s="1"/>
  <c r="C87"/>
  <c r="C85"/>
  <c r="C81"/>
  <c r="C77"/>
  <c r="C68"/>
  <c r="C64"/>
  <c r="C60"/>
  <c r="E55"/>
  <c r="E52"/>
  <c r="J46"/>
  <c r="M46" s="1"/>
  <c r="T46" s="1"/>
  <c r="J44"/>
  <c r="J42"/>
  <c r="J40"/>
  <c r="J38"/>
  <c r="J36"/>
  <c r="J34"/>
  <c r="J32"/>
  <c r="J23"/>
  <c r="J21"/>
  <c r="J19"/>
  <c r="J17"/>
  <c r="J15"/>
  <c r="J13"/>
  <c r="J11"/>
  <c r="K9"/>
  <c r="M9" s="1"/>
  <c r="T9" s="1"/>
  <c r="H98"/>
  <c r="J95"/>
  <c r="H95"/>
  <c r="F91"/>
  <c r="D91"/>
  <c r="B91"/>
  <c r="H111"/>
  <c r="K46"/>
  <c r="F89"/>
  <c r="D89"/>
  <c r="D110" s="1"/>
  <c r="B89"/>
  <c r="B110" s="1"/>
  <c r="K44"/>
  <c r="F87"/>
  <c r="D87"/>
  <c r="B87"/>
  <c r="K42"/>
  <c r="K40"/>
  <c r="K38"/>
  <c r="K36"/>
  <c r="K34"/>
  <c r="K32"/>
  <c r="K23"/>
  <c r="K21"/>
  <c r="K19"/>
  <c r="K17"/>
  <c r="K15"/>
  <c r="K13"/>
  <c r="K11"/>
  <c r="J111"/>
  <c r="J10"/>
  <c r="H484" i="22"/>
  <c r="G537"/>
  <c r="B441"/>
  <c r="Z441" s="1"/>
  <c r="C441"/>
  <c r="H441" s="1"/>
  <c r="B421"/>
  <c r="G421" s="1"/>
  <c r="D421"/>
  <c r="I421" s="1"/>
  <c r="B419"/>
  <c r="D419"/>
  <c r="I419" s="1"/>
  <c r="B414"/>
  <c r="G414" s="1"/>
  <c r="C414"/>
  <c r="H414" s="1"/>
  <c r="B413"/>
  <c r="D413"/>
  <c r="I413" s="1"/>
  <c r="B404"/>
  <c r="D404"/>
  <c r="B383"/>
  <c r="C383"/>
  <c r="B382"/>
  <c r="D382"/>
  <c r="B375"/>
  <c r="C375"/>
  <c r="H375" s="1"/>
  <c r="B374"/>
  <c r="C374"/>
  <c r="D374"/>
  <c r="I374" s="1"/>
  <c r="E374"/>
  <c r="B372"/>
  <c r="D372"/>
  <c r="B355"/>
  <c r="C355"/>
  <c r="H355" s="1"/>
  <c r="B354"/>
  <c r="D354"/>
  <c r="I354" s="1"/>
  <c r="B346"/>
  <c r="D346"/>
  <c r="I346" s="1"/>
  <c r="G323"/>
  <c r="Z17"/>
  <c r="C545"/>
  <c r="E553"/>
  <c r="J553" s="1"/>
  <c r="H552"/>
  <c r="D552"/>
  <c r="I552" s="1"/>
  <c r="E551"/>
  <c r="J551" s="1"/>
  <c r="D550"/>
  <c r="I550" s="1"/>
  <c r="E548"/>
  <c r="J548" s="1"/>
  <c r="D547"/>
  <c r="I547" s="1"/>
  <c r="E546"/>
  <c r="J546" s="1"/>
  <c r="D545"/>
  <c r="I545" s="1"/>
  <c r="E543"/>
  <c r="J543" s="1"/>
  <c r="F540"/>
  <c r="K540" s="1"/>
  <c r="D537"/>
  <c r="I537" s="1"/>
  <c r="E536"/>
  <c r="J536" s="1"/>
  <c r="D535"/>
  <c r="I535" s="1"/>
  <c r="B535"/>
  <c r="G535" s="1"/>
  <c r="F504"/>
  <c r="K504" s="1"/>
  <c r="D503"/>
  <c r="I503" s="1"/>
  <c r="B503"/>
  <c r="C489"/>
  <c r="H489" s="1"/>
  <c r="D488"/>
  <c r="I488" s="1"/>
  <c r="D484"/>
  <c r="I484" s="1"/>
  <c r="B484"/>
  <c r="G484" s="1"/>
  <c r="C481"/>
  <c r="H481" s="1"/>
  <c r="C479"/>
  <c r="H479" s="1"/>
  <c r="C477"/>
  <c r="H477" s="1"/>
  <c r="D476"/>
  <c r="I476" s="1"/>
  <c r="C473"/>
  <c r="H473" s="1"/>
  <c r="C471"/>
  <c r="D456"/>
  <c r="AB456" s="1"/>
  <c r="B456"/>
  <c r="E455"/>
  <c r="P455" s="1"/>
  <c r="V455" s="1"/>
  <c r="C455"/>
  <c r="D373"/>
  <c r="F373" s="1"/>
  <c r="B450"/>
  <c r="D450"/>
  <c r="AB450" s="1"/>
  <c r="Z449"/>
  <c r="G449"/>
  <c r="B439"/>
  <c r="C439"/>
  <c r="AA439" s="1"/>
  <c r="B416"/>
  <c r="G416" s="1"/>
  <c r="C416"/>
  <c r="H416" s="1"/>
  <c r="B408"/>
  <c r="G408" s="1"/>
  <c r="C408"/>
  <c r="H408" s="1"/>
  <c r="B407"/>
  <c r="D407"/>
  <c r="I407" s="1"/>
  <c r="B388"/>
  <c r="C388"/>
  <c r="H388" s="1"/>
  <c r="B387"/>
  <c r="D387"/>
  <c r="I387" s="1"/>
  <c r="B379"/>
  <c r="D379"/>
  <c r="I379" s="1"/>
  <c r="B370"/>
  <c r="D370"/>
  <c r="B350"/>
  <c r="C350"/>
  <c r="B349"/>
  <c r="D349"/>
  <c r="B342"/>
  <c r="C342"/>
  <c r="H342" s="1"/>
  <c r="Z255"/>
  <c r="Z250"/>
  <c r="Z249"/>
  <c r="G249"/>
  <c r="Z246"/>
  <c r="G246"/>
  <c r="Z244"/>
  <c r="G244"/>
  <c r="E484"/>
  <c r="J484" s="1"/>
  <c r="E477"/>
  <c r="E471"/>
  <c r="E456"/>
  <c r="P456" s="1"/>
  <c r="V456" s="1"/>
  <c r="E214"/>
  <c r="I214" s="1"/>
  <c r="F417"/>
  <c r="K417" s="1"/>
  <c r="F384"/>
  <c r="E341"/>
  <c r="D341"/>
  <c r="I341" s="1"/>
  <c r="C341"/>
  <c r="D339"/>
  <c r="C337"/>
  <c r="D323"/>
  <c r="I323" s="1"/>
  <c r="D321"/>
  <c r="F321" s="1"/>
  <c r="D318"/>
  <c r="D316"/>
  <c r="C312"/>
  <c r="H312" s="1"/>
  <c r="D311"/>
  <c r="I311" s="1"/>
  <c r="D308"/>
  <c r="I308" s="1"/>
  <c r="E307"/>
  <c r="J307" s="1"/>
  <c r="C307"/>
  <c r="H307" s="1"/>
  <c r="C305"/>
  <c r="C289"/>
  <c r="H289" s="1"/>
  <c r="D288"/>
  <c r="C284"/>
  <c r="H284" s="1"/>
  <c r="D283"/>
  <c r="I283" s="1"/>
  <c r="H255"/>
  <c r="D255"/>
  <c r="AB255" s="1"/>
  <c r="D250"/>
  <c r="AB250" s="1"/>
  <c r="D249"/>
  <c r="F249" s="1"/>
  <c r="Q249" s="1"/>
  <c r="W249" s="1"/>
  <c r="D246"/>
  <c r="F246" s="1"/>
  <c r="Q246" s="1"/>
  <c r="W246" s="1"/>
  <c r="D244"/>
  <c r="F244" s="1"/>
  <c r="Q244" s="1"/>
  <c r="W244" s="1"/>
  <c r="D240"/>
  <c r="AB240" s="1"/>
  <c r="C225"/>
  <c r="C223"/>
  <c r="D210"/>
  <c r="D208"/>
  <c r="E208" s="1"/>
  <c r="C209"/>
  <c r="E209" s="1"/>
  <c r="I209" s="1"/>
  <c r="D190"/>
  <c r="D186"/>
  <c r="D184"/>
  <c r="D182"/>
  <c r="H182" s="1"/>
  <c r="D174"/>
  <c r="D143"/>
  <c r="C143"/>
  <c r="D115"/>
  <c r="D109"/>
  <c r="E109" s="1"/>
  <c r="D93"/>
  <c r="E93" s="1"/>
  <c r="D91"/>
  <c r="E91" s="1"/>
  <c r="D89"/>
  <c r="H89" s="1"/>
  <c r="D87"/>
  <c r="D83"/>
  <c r="D81"/>
  <c r="E81" s="1"/>
  <c r="D61"/>
  <c r="D59"/>
  <c r="D53"/>
  <c r="E53" s="1"/>
  <c r="D49"/>
  <c r="E49" s="1"/>
  <c r="D43"/>
  <c r="D17"/>
  <c r="P17" s="1"/>
  <c r="V17" s="1"/>
  <c r="C8"/>
  <c r="H456"/>
  <c r="J452"/>
  <c r="H450"/>
  <c r="G316"/>
  <c r="G313"/>
  <c r="H256"/>
  <c r="F256"/>
  <c r="F252"/>
  <c r="F214"/>
  <c r="E142"/>
  <c r="J47" i="59"/>
  <c r="J45"/>
  <c r="J43"/>
  <c r="J41"/>
  <c r="J39"/>
  <c r="J37"/>
  <c r="J35"/>
  <c r="J33"/>
  <c r="J97"/>
  <c r="J30"/>
  <c r="J22"/>
  <c r="J20"/>
  <c r="J18"/>
  <c r="J106"/>
  <c r="J16"/>
  <c r="J104"/>
  <c r="J14"/>
  <c r="J12"/>
  <c r="J100"/>
  <c r="K10"/>
  <c r="G54"/>
  <c r="J8"/>
  <c r="C54"/>
  <c r="B56"/>
  <c r="F518" i="22"/>
  <c r="E224"/>
  <c r="B90" i="59"/>
  <c r="B88"/>
  <c r="B86"/>
  <c r="B107" s="1"/>
  <c r="B84"/>
  <c r="B82"/>
  <c r="B80"/>
  <c r="B78"/>
  <c r="H97"/>
  <c r="B76"/>
  <c r="B69"/>
  <c r="B67"/>
  <c r="H108"/>
  <c r="B65"/>
  <c r="H106"/>
  <c r="B63"/>
  <c r="B61"/>
  <c r="B104" s="1"/>
  <c r="B59"/>
  <c r="H100"/>
  <c r="B57"/>
  <c r="G489" i="22"/>
  <c r="G479"/>
  <c r="G473"/>
  <c r="Z451"/>
  <c r="G418"/>
  <c r="G412"/>
  <c r="G406"/>
  <c r="G357"/>
  <c r="G322"/>
  <c r="G320"/>
  <c r="G317"/>
  <c r="G310"/>
  <c r="G306"/>
  <c r="G257"/>
  <c r="Z257"/>
  <c r="Z254"/>
  <c r="G254"/>
  <c r="Z251"/>
  <c r="G251"/>
  <c r="G240"/>
  <c r="Z240"/>
  <c r="G321"/>
  <c r="G318"/>
  <c r="G311"/>
  <c r="G308"/>
  <c r="G242"/>
  <c r="B553"/>
  <c r="D553"/>
  <c r="I553" s="1"/>
  <c r="B551"/>
  <c r="D551"/>
  <c r="I551" s="1"/>
  <c r="B548"/>
  <c r="D548"/>
  <c r="I548" s="1"/>
  <c r="B546"/>
  <c r="D546"/>
  <c r="I546" s="1"/>
  <c r="B543"/>
  <c r="D543"/>
  <c r="I543" s="1"/>
  <c r="B541"/>
  <c r="D541"/>
  <c r="I541" s="1"/>
  <c r="B538"/>
  <c r="D538"/>
  <c r="I538" s="1"/>
  <c r="B536"/>
  <c r="D536"/>
  <c r="I536" s="1"/>
  <c r="B521"/>
  <c r="D521"/>
  <c r="I521" s="1"/>
  <c r="B519"/>
  <c r="D519"/>
  <c r="I519" s="1"/>
  <c r="B516"/>
  <c r="D516"/>
  <c r="I516" s="1"/>
  <c r="B514"/>
  <c r="D514"/>
  <c r="I514" s="1"/>
  <c r="B511"/>
  <c r="D511"/>
  <c r="I511" s="1"/>
  <c r="B509"/>
  <c r="D509"/>
  <c r="I509" s="1"/>
  <c r="B506"/>
  <c r="D506"/>
  <c r="I506" s="1"/>
  <c r="G505"/>
  <c r="G487"/>
  <c r="G457"/>
  <c r="Z457"/>
  <c r="Z454"/>
  <c r="G447"/>
  <c r="Z447"/>
  <c r="Z445"/>
  <c r="G440"/>
  <c r="Z440"/>
  <c r="G424"/>
  <c r="G315"/>
  <c r="G312"/>
  <c r="G307"/>
  <c r="G305"/>
  <c r="G289"/>
  <c r="G247"/>
  <c r="Z247"/>
  <c r="G245"/>
  <c r="Z245"/>
  <c r="G241"/>
  <c r="Z241"/>
  <c r="G239"/>
  <c r="Z239"/>
  <c r="B179"/>
  <c r="D179"/>
  <c r="B177"/>
  <c r="D177"/>
  <c r="B176"/>
  <c r="D176"/>
  <c r="B157"/>
  <c r="D157"/>
  <c r="B153"/>
  <c r="D153"/>
  <c r="H153" s="1"/>
  <c r="B151"/>
  <c r="D151"/>
  <c r="B149"/>
  <c r="D149"/>
  <c r="B147"/>
  <c r="D147"/>
  <c r="B126"/>
  <c r="D126"/>
  <c r="B124"/>
  <c r="D124"/>
  <c r="B122"/>
  <c r="D122"/>
  <c r="B120"/>
  <c r="D120"/>
  <c r="B116"/>
  <c r="D116"/>
  <c r="B110"/>
  <c r="C110"/>
  <c r="B94"/>
  <c r="D94"/>
  <c r="H94" s="1"/>
  <c r="B76"/>
  <c r="D76"/>
  <c r="B74"/>
  <c r="D74"/>
  <c r="B58"/>
  <c r="D58"/>
  <c r="B56"/>
  <c r="D56"/>
  <c r="B50"/>
  <c r="D50"/>
  <c r="B44"/>
  <c r="C44"/>
  <c r="B28"/>
  <c r="D28"/>
  <c r="P28" s="1"/>
  <c r="V28" s="1"/>
  <c r="B26"/>
  <c r="D26"/>
  <c r="P26" s="1"/>
  <c r="V26" s="1"/>
  <c r="B22"/>
  <c r="D22"/>
  <c r="P22" s="1"/>
  <c r="V22" s="1"/>
  <c r="B20"/>
  <c r="D20"/>
  <c r="P20" s="1"/>
  <c r="V20" s="1"/>
  <c r="B18"/>
  <c r="D18"/>
  <c r="P18" s="1"/>
  <c r="V18" s="1"/>
  <c r="AB12"/>
  <c r="E12"/>
  <c r="Q12" s="1"/>
  <c r="W12" s="1"/>
  <c r="Z12"/>
  <c r="AB10"/>
  <c r="Z8"/>
  <c r="E180"/>
  <c r="E146"/>
  <c r="E144"/>
  <c r="E127"/>
  <c r="E125"/>
  <c r="E77"/>
  <c r="I77" s="1"/>
  <c r="B219"/>
  <c r="D219"/>
  <c r="B217"/>
  <c r="D217"/>
  <c r="H217" s="1"/>
  <c r="B215"/>
  <c r="D215"/>
  <c r="B213"/>
  <c r="D213"/>
  <c r="H213" s="1"/>
  <c r="F209"/>
  <c r="B207"/>
  <c r="D207"/>
  <c r="B205"/>
  <c r="D205"/>
  <c r="B191"/>
  <c r="D191"/>
  <c r="B189"/>
  <c r="D189"/>
  <c r="B187"/>
  <c r="D187"/>
  <c r="B185"/>
  <c r="D185"/>
  <c r="B181"/>
  <c r="D181"/>
  <c r="B175"/>
  <c r="C175"/>
  <c r="B159"/>
  <c r="D159"/>
  <c r="H159" s="1"/>
  <c r="B141"/>
  <c r="D141"/>
  <c r="B139"/>
  <c r="D139"/>
  <c r="B114"/>
  <c r="D114"/>
  <c r="B112"/>
  <c r="D112"/>
  <c r="B111"/>
  <c r="D111"/>
  <c r="B92"/>
  <c r="D92"/>
  <c r="B88"/>
  <c r="D88"/>
  <c r="H88" s="1"/>
  <c r="B86"/>
  <c r="D86"/>
  <c r="B84"/>
  <c r="D84"/>
  <c r="B82"/>
  <c r="D82"/>
  <c r="H82" s="1"/>
  <c r="B60"/>
  <c r="D60"/>
  <c r="B54"/>
  <c r="D54"/>
  <c r="B48"/>
  <c r="D48"/>
  <c r="B46"/>
  <c r="D46"/>
  <c r="B45"/>
  <c r="D45"/>
  <c r="B16"/>
  <c r="O16" s="1"/>
  <c r="U16" s="1"/>
  <c r="D16"/>
  <c r="P16" s="1"/>
  <c r="V16" s="1"/>
  <c r="D11"/>
  <c r="P11" s="1"/>
  <c r="V11" s="1"/>
  <c r="B11"/>
  <c r="O11" s="1"/>
  <c r="U11" s="1"/>
  <c r="B10"/>
  <c r="C10"/>
  <c r="D489"/>
  <c r="I489" s="1"/>
  <c r="D487"/>
  <c r="I487" s="1"/>
  <c r="D483"/>
  <c r="I483" s="1"/>
  <c r="D481"/>
  <c r="I481" s="1"/>
  <c r="D479"/>
  <c r="I479" s="1"/>
  <c r="D477"/>
  <c r="I477" s="1"/>
  <c r="D473"/>
  <c r="I473" s="1"/>
  <c r="E472"/>
  <c r="C472"/>
  <c r="H472" s="1"/>
  <c r="D471"/>
  <c r="I471" s="1"/>
  <c r="E457"/>
  <c r="P457" s="1"/>
  <c r="V457" s="1"/>
  <c r="D457"/>
  <c r="C457"/>
  <c r="E454"/>
  <c r="P454" s="1"/>
  <c r="V454" s="1"/>
  <c r="D454"/>
  <c r="C454"/>
  <c r="E451"/>
  <c r="P451" s="1"/>
  <c r="V451" s="1"/>
  <c r="D451"/>
  <c r="C451"/>
  <c r="J449"/>
  <c r="H449"/>
  <c r="E447"/>
  <c r="P447" s="1"/>
  <c r="V447" s="1"/>
  <c r="D447"/>
  <c r="C447"/>
  <c r="H446"/>
  <c r="E445"/>
  <c r="P445" s="1"/>
  <c r="V445" s="1"/>
  <c r="D445"/>
  <c r="C445"/>
  <c r="H444"/>
  <c r="Z442"/>
  <c r="AC441"/>
  <c r="D441"/>
  <c r="E440"/>
  <c r="P440" s="1"/>
  <c r="V440" s="1"/>
  <c r="C440"/>
  <c r="O440" s="1"/>
  <c r="U440" s="1"/>
  <c r="D439"/>
  <c r="E423"/>
  <c r="D424"/>
  <c r="I424" s="1"/>
  <c r="D422"/>
  <c r="D418"/>
  <c r="I418" s="1"/>
  <c r="D416"/>
  <c r="I416" s="1"/>
  <c r="D414"/>
  <c r="I414" s="1"/>
  <c r="D412"/>
  <c r="I412" s="1"/>
  <c r="D408"/>
  <c r="I408" s="1"/>
  <c r="D406"/>
  <c r="I406" s="1"/>
  <c r="D390"/>
  <c r="I390" s="1"/>
  <c r="D388"/>
  <c r="D385"/>
  <c r="D383"/>
  <c r="D380"/>
  <c r="D378"/>
  <c r="I378" s="1"/>
  <c r="D375"/>
  <c r="I375" s="1"/>
  <c r="D357"/>
  <c r="I357" s="1"/>
  <c r="D355"/>
  <c r="D352"/>
  <c r="D350"/>
  <c r="D347"/>
  <c r="D345"/>
  <c r="I345" s="1"/>
  <c r="D342"/>
  <c r="I342" s="1"/>
  <c r="D337"/>
  <c r="D322"/>
  <c r="I322" s="1"/>
  <c r="D320"/>
  <c r="I320" s="1"/>
  <c r="D317"/>
  <c r="D315"/>
  <c r="D312"/>
  <c r="I312" s="1"/>
  <c r="D310"/>
  <c r="I310" s="1"/>
  <c r="E306"/>
  <c r="D307"/>
  <c r="I307" s="1"/>
  <c r="C306"/>
  <c r="D305"/>
  <c r="D303"/>
  <c r="F303" s="1"/>
  <c r="D289"/>
  <c r="I289" s="1"/>
  <c r="D287"/>
  <c r="I287" s="1"/>
  <c r="D284"/>
  <c r="G256"/>
  <c r="G255"/>
  <c r="E257"/>
  <c r="P257" s="1"/>
  <c r="V257" s="1"/>
  <c r="D257"/>
  <c r="C257"/>
  <c r="G252"/>
  <c r="E254"/>
  <c r="P254" s="1"/>
  <c r="V254" s="1"/>
  <c r="D254"/>
  <c r="C254"/>
  <c r="G250"/>
  <c r="E251"/>
  <c r="P251" s="1"/>
  <c r="V251" s="1"/>
  <c r="D251"/>
  <c r="C251"/>
  <c r="E247"/>
  <c r="P247" s="1"/>
  <c r="V247" s="1"/>
  <c r="D247"/>
  <c r="C247"/>
  <c r="H246"/>
  <c r="E245"/>
  <c r="P245" s="1"/>
  <c r="V245" s="1"/>
  <c r="D245"/>
  <c r="C245"/>
  <c r="AB242"/>
  <c r="Z242"/>
  <c r="AC241"/>
  <c r="E240"/>
  <c r="P240" s="1"/>
  <c r="V240" s="1"/>
  <c r="D241"/>
  <c r="C240"/>
  <c r="D239"/>
  <c r="D225"/>
  <c r="D223"/>
  <c r="E222"/>
  <c r="I222" s="1"/>
  <c r="E220"/>
  <c r="E218"/>
  <c r="E212"/>
  <c r="C179"/>
  <c r="C177"/>
  <c r="C157"/>
  <c r="C153"/>
  <c r="G153" s="1"/>
  <c r="C151"/>
  <c r="C149"/>
  <c r="G149" s="1"/>
  <c r="C147"/>
  <c r="C126"/>
  <c r="C124"/>
  <c r="C122"/>
  <c r="C120"/>
  <c r="G120" s="1"/>
  <c r="F119"/>
  <c r="C116"/>
  <c r="C94"/>
  <c r="G94" s="1"/>
  <c r="C76"/>
  <c r="C74"/>
  <c r="C58"/>
  <c r="C56"/>
  <c r="E55"/>
  <c r="C50"/>
  <c r="C28"/>
  <c r="Z27"/>
  <c r="C26"/>
  <c r="Z25"/>
  <c r="Z23"/>
  <c r="C22"/>
  <c r="Z21"/>
  <c r="C20"/>
  <c r="C18"/>
  <c r="Z13"/>
  <c r="F90" i="59"/>
  <c r="F111" s="1"/>
  <c r="D90"/>
  <c r="D111" s="1"/>
  <c r="F88"/>
  <c r="D88"/>
  <c r="D109" s="1"/>
  <c r="F86"/>
  <c r="F107" s="1"/>
  <c r="D86"/>
  <c r="D107" s="1"/>
  <c r="F84"/>
  <c r="F105" s="1"/>
  <c r="D84"/>
  <c r="D105" s="1"/>
  <c r="F82"/>
  <c r="F103" s="1"/>
  <c r="D82"/>
  <c r="F80"/>
  <c r="D80"/>
  <c r="D101" s="1"/>
  <c r="F78"/>
  <c r="D78"/>
  <c r="F76"/>
  <c r="F97" s="1"/>
  <c r="D76"/>
  <c r="F69"/>
  <c r="D69"/>
  <c r="D112" s="1"/>
  <c r="F67"/>
  <c r="D67"/>
  <c r="F65"/>
  <c r="D65"/>
  <c r="F63"/>
  <c r="D63"/>
  <c r="F61"/>
  <c r="D61"/>
  <c r="F59"/>
  <c r="D59"/>
  <c r="F57"/>
  <c r="F100" s="1"/>
  <c r="D57"/>
  <c r="F56"/>
  <c r="D56"/>
  <c r="E54"/>
  <c r="D8" i="22"/>
  <c r="D106" i="59" l="1"/>
  <c r="C99"/>
  <c r="I456" i="22"/>
  <c r="C106" i="59"/>
  <c r="C102"/>
  <c r="C98"/>
  <c r="F109"/>
  <c r="F101"/>
  <c r="E103"/>
  <c r="F501" i="22"/>
  <c r="M10" i="59"/>
  <c r="T10" s="1"/>
  <c r="D95"/>
  <c r="B106"/>
  <c r="B95"/>
  <c r="D100"/>
  <c r="D102"/>
  <c r="D104"/>
  <c r="D108"/>
  <c r="D97"/>
  <c r="D103"/>
  <c r="B111"/>
  <c r="M16"/>
  <c r="T16" s="1"/>
  <c r="M35"/>
  <c r="T35" s="1"/>
  <c r="M39"/>
  <c r="T39" s="1"/>
  <c r="M43"/>
  <c r="T43" s="1"/>
  <c r="M47"/>
  <c r="T47" s="1"/>
  <c r="E182" i="22"/>
  <c r="I182" s="1"/>
  <c r="E174"/>
  <c r="F339"/>
  <c r="G102" i="59"/>
  <c r="G106"/>
  <c r="K54"/>
  <c r="D98"/>
  <c r="G383" i="22"/>
  <c r="G345"/>
  <c r="J383"/>
  <c r="B99" i="59"/>
  <c r="G355" i="22"/>
  <c r="G372"/>
  <c r="G423"/>
  <c r="J373"/>
  <c r="F192"/>
  <c r="O240"/>
  <c r="U240" s="1"/>
  <c r="G390"/>
  <c r="J382"/>
  <c r="G340"/>
  <c r="G373"/>
  <c r="G422"/>
  <c r="I446"/>
  <c r="G389"/>
  <c r="B108" i="59"/>
  <c r="B102"/>
  <c r="O251" i="22"/>
  <c r="U251" s="1"/>
  <c r="O254"/>
  <c r="U254" s="1"/>
  <c r="O257"/>
  <c r="U257" s="1"/>
  <c r="O445"/>
  <c r="U445" s="1"/>
  <c r="O447"/>
  <c r="U447" s="1"/>
  <c r="O454"/>
  <c r="U454" s="1"/>
  <c r="O245"/>
  <c r="U245" s="1"/>
  <c r="O247"/>
  <c r="U247" s="1"/>
  <c r="O451"/>
  <c r="U451" s="1"/>
  <c r="O457"/>
  <c r="U457" s="1"/>
  <c r="Z456"/>
  <c r="O456"/>
  <c r="U456" s="1"/>
  <c r="G441"/>
  <c r="O441"/>
  <c r="U441" s="1"/>
  <c r="AD242"/>
  <c r="Q242"/>
  <c r="W242" s="1"/>
  <c r="AC239"/>
  <c r="P239"/>
  <c r="V239" s="1"/>
  <c r="AD446"/>
  <c r="Q446"/>
  <c r="W446" s="1"/>
  <c r="J450"/>
  <c r="P450"/>
  <c r="V450" s="1"/>
  <c r="O246"/>
  <c r="U246" s="1"/>
  <c r="O250"/>
  <c r="U250" s="1"/>
  <c r="O449"/>
  <c r="U449" s="1"/>
  <c r="O15"/>
  <c r="U15" s="1"/>
  <c r="O444"/>
  <c r="U444" s="1"/>
  <c r="O446"/>
  <c r="U446" s="1"/>
  <c r="AD252"/>
  <c r="Q252"/>
  <c r="W252" s="1"/>
  <c r="AB8"/>
  <c r="P8"/>
  <c r="V8" s="1"/>
  <c r="AD256"/>
  <c r="Q256"/>
  <c r="W256" s="1"/>
  <c r="AA8"/>
  <c r="O8"/>
  <c r="U8" s="1"/>
  <c r="Z439"/>
  <c r="O439"/>
  <c r="U439" s="1"/>
  <c r="Z450"/>
  <c r="O450"/>
  <c r="U450" s="1"/>
  <c r="AD237"/>
  <c r="Q237"/>
  <c r="W237" s="1"/>
  <c r="O10"/>
  <c r="U10" s="1"/>
  <c r="O18"/>
  <c r="U18" s="1"/>
  <c r="O20"/>
  <c r="U20" s="1"/>
  <c r="O22"/>
  <c r="U22" s="1"/>
  <c r="O26"/>
  <c r="U26" s="1"/>
  <c r="O28"/>
  <c r="U28" s="1"/>
  <c r="O17"/>
  <c r="U17" s="1"/>
  <c r="O244"/>
  <c r="U244" s="1"/>
  <c r="O249"/>
  <c r="U249" s="1"/>
  <c r="O255"/>
  <c r="U255" s="1"/>
  <c r="O13"/>
  <c r="U13" s="1"/>
  <c r="J388"/>
  <c r="J345"/>
  <c r="J390"/>
  <c r="F449"/>
  <c r="F208"/>
  <c r="G95" i="59"/>
  <c r="G157" i="22"/>
  <c r="G126"/>
  <c r="M32" i="59"/>
  <c r="T32" s="1"/>
  <c r="M17"/>
  <c r="T17" s="1"/>
  <c r="M40"/>
  <c r="T40" s="1"/>
  <c r="K55"/>
  <c r="D121" s="1"/>
  <c r="B112"/>
  <c r="G97"/>
  <c r="M14"/>
  <c r="T14" s="1"/>
  <c r="M18"/>
  <c r="T18" s="1"/>
  <c r="M22"/>
  <c r="T22" s="1"/>
  <c r="M13"/>
  <c r="T13" s="1"/>
  <c r="M21"/>
  <c r="T21" s="1"/>
  <c r="M36"/>
  <c r="T36" s="1"/>
  <c r="E97"/>
  <c r="F102"/>
  <c r="G104"/>
  <c r="E61" i="22"/>
  <c r="J385"/>
  <c r="AA441"/>
  <c r="G450"/>
  <c r="G347"/>
  <c r="G380"/>
  <c r="G351"/>
  <c r="G384"/>
  <c r="F450"/>
  <c r="K450" s="1"/>
  <c r="AB446"/>
  <c r="F127"/>
  <c r="F144"/>
  <c r="F110" i="59"/>
  <c r="M44"/>
  <c r="T44" s="1"/>
  <c r="M11"/>
  <c r="T11" s="1"/>
  <c r="M15"/>
  <c r="T15" s="1"/>
  <c r="M19"/>
  <c r="T19" s="1"/>
  <c r="M23"/>
  <c r="T23" s="1"/>
  <c r="M34"/>
  <c r="T34" s="1"/>
  <c r="M38"/>
  <c r="T38" s="1"/>
  <c r="M42"/>
  <c r="T42" s="1"/>
  <c r="B100"/>
  <c r="B97"/>
  <c r="B103"/>
  <c r="F95"/>
  <c r="F210" i="22"/>
  <c r="G350"/>
  <c r="G388"/>
  <c r="G385"/>
  <c r="G375"/>
  <c r="G378"/>
  <c r="G342"/>
  <c r="G352"/>
  <c r="G339"/>
  <c r="F421"/>
  <c r="K421" s="1"/>
  <c r="E95" i="59"/>
  <c r="C111"/>
  <c r="E111"/>
  <c r="F550" i="22"/>
  <c r="K550" s="1"/>
  <c r="J350"/>
  <c r="J355"/>
  <c r="F212"/>
  <c r="F374"/>
  <c r="J387"/>
  <c r="E143"/>
  <c r="F125"/>
  <c r="J423"/>
  <c r="F441"/>
  <c r="Q441" s="1"/>
  <c r="W441" s="1"/>
  <c r="I450"/>
  <c r="G456"/>
  <c r="F505"/>
  <c r="K505" s="1"/>
  <c r="F444"/>
  <c r="I444"/>
  <c r="I449"/>
  <c r="E17"/>
  <c r="J380"/>
  <c r="J384"/>
  <c r="J389"/>
  <c r="F411"/>
  <c r="K411" s="1"/>
  <c r="K449"/>
  <c r="F508"/>
  <c r="F456"/>
  <c r="C282"/>
  <c r="B282"/>
  <c r="E282"/>
  <c r="G154"/>
  <c r="E109" i="59"/>
  <c r="K74"/>
  <c r="K52"/>
  <c r="D118" s="1"/>
  <c r="G100"/>
  <c r="G109"/>
  <c r="M8"/>
  <c r="T8" s="1"/>
  <c r="M33"/>
  <c r="T33" s="1"/>
  <c r="M37"/>
  <c r="T37" s="1"/>
  <c r="M41"/>
  <c r="T41" s="1"/>
  <c r="M45"/>
  <c r="T45" s="1"/>
  <c r="G209" i="22"/>
  <c r="J378"/>
  <c r="G144"/>
  <c r="F15"/>
  <c r="F180"/>
  <c r="F158"/>
  <c r="F156"/>
  <c r="F148"/>
  <c r="F146"/>
  <c r="F142"/>
  <c r="F59"/>
  <c r="F79"/>
  <c r="F121"/>
  <c r="F51"/>
  <c r="F117"/>
  <c r="F152"/>
  <c r="F154"/>
  <c r="F174"/>
  <c r="F341"/>
  <c r="C108" i="59"/>
  <c r="F108"/>
  <c r="G107"/>
  <c r="C97"/>
  <c r="C100"/>
  <c r="C105"/>
  <c r="F106"/>
  <c r="F112"/>
  <c r="C103"/>
  <c r="F104"/>
  <c r="C101"/>
  <c r="C104"/>
  <c r="C109"/>
  <c r="J375" i="22"/>
  <c r="F547"/>
  <c r="K547" s="1"/>
  <c r="E98" i="59"/>
  <c r="C107"/>
  <c r="G98"/>
  <c r="F12" i="22"/>
  <c r="F143"/>
  <c r="J241"/>
  <c r="F99" i="59"/>
  <c r="G151" i="22"/>
  <c r="G12"/>
  <c r="F27"/>
  <c r="G374"/>
  <c r="K62" i="59"/>
  <c r="D128" s="1"/>
  <c r="K83"/>
  <c r="D99"/>
  <c r="G341" i="22"/>
  <c r="F503"/>
  <c r="C541"/>
  <c r="H541" s="1"/>
  <c r="E541"/>
  <c r="J541" s="1"/>
  <c r="C519"/>
  <c r="H519" s="1"/>
  <c r="E519"/>
  <c r="J519" s="1"/>
  <c r="B515"/>
  <c r="D515"/>
  <c r="I515" s="1"/>
  <c r="C509"/>
  <c r="E509"/>
  <c r="B481"/>
  <c r="G481" s="1"/>
  <c r="E481"/>
  <c r="J481" s="1"/>
  <c r="B478"/>
  <c r="D478"/>
  <c r="I478" s="1"/>
  <c r="B472"/>
  <c r="D472"/>
  <c r="I472" s="1"/>
  <c r="B545"/>
  <c r="G545" s="1"/>
  <c r="E545"/>
  <c r="J545" s="1"/>
  <c r="B542"/>
  <c r="G542" s="1"/>
  <c r="D542"/>
  <c r="I542" s="1"/>
  <c r="C535"/>
  <c r="E535"/>
  <c r="J535" s="1"/>
  <c r="B520"/>
  <c r="D520"/>
  <c r="I520" s="1"/>
  <c r="C514"/>
  <c r="H514" s="1"/>
  <c r="E514"/>
  <c r="J514" s="1"/>
  <c r="B510"/>
  <c r="D510"/>
  <c r="I510" s="1"/>
  <c r="B488"/>
  <c r="C488"/>
  <c r="H488" s="1"/>
  <c r="B486"/>
  <c r="D486"/>
  <c r="I486" s="1"/>
  <c r="B482"/>
  <c r="D482"/>
  <c r="I482" s="1"/>
  <c r="B476"/>
  <c r="C476"/>
  <c r="H476" s="1"/>
  <c r="B474"/>
  <c r="D474"/>
  <c r="I474" s="1"/>
  <c r="B455"/>
  <c r="D455"/>
  <c r="B452"/>
  <c r="D452"/>
  <c r="C515"/>
  <c r="H515" s="1"/>
  <c r="C478"/>
  <c r="H478" s="1"/>
  <c r="D442"/>
  <c r="O442" s="1"/>
  <c r="U442" s="1"/>
  <c r="F437"/>
  <c r="C422"/>
  <c r="H422" s="1"/>
  <c r="C418"/>
  <c r="H418" s="1"/>
  <c r="C412"/>
  <c r="H412" s="1"/>
  <c r="D409"/>
  <c r="I422" s="1"/>
  <c r="C406"/>
  <c r="H406" s="1"/>
  <c r="D389"/>
  <c r="I388" s="1"/>
  <c r="C385"/>
  <c r="F385" s="1"/>
  <c r="C378"/>
  <c r="E370"/>
  <c r="F370" s="1"/>
  <c r="D356"/>
  <c r="D351"/>
  <c r="F351" s="1"/>
  <c r="C347"/>
  <c r="H347" s="1"/>
  <c r="D344"/>
  <c r="D340"/>
  <c r="F340" s="1"/>
  <c r="E337"/>
  <c r="F337" s="1"/>
  <c r="C323"/>
  <c r="H323" s="1"/>
  <c r="C320"/>
  <c r="H320" s="1"/>
  <c r="C318"/>
  <c r="C316"/>
  <c r="F316" s="1"/>
  <c r="D313"/>
  <c r="F313" s="1"/>
  <c r="E312"/>
  <c r="F312" s="1"/>
  <c r="C311"/>
  <c r="H311" s="1"/>
  <c r="E305"/>
  <c r="D290"/>
  <c r="E289"/>
  <c r="J289" s="1"/>
  <c r="C288"/>
  <c r="H288" s="1"/>
  <c r="D285"/>
  <c r="E284"/>
  <c r="F284" s="1"/>
  <c r="C283"/>
  <c r="H283" s="1"/>
  <c r="D280"/>
  <c r="C241"/>
  <c r="C239"/>
  <c r="C210"/>
  <c r="G220" s="1"/>
  <c r="D192"/>
  <c r="H187" s="1"/>
  <c r="C190"/>
  <c r="C186"/>
  <c r="C184"/>
  <c r="D172"/>
  <c r="E172" s="1"/>
  <c r="D158"/>
  <c r="E158" s="1"/>
  <c r="D156"/>
  <c r="E156" s="1"/>
  <c r="D154"/>
  <c r="E154" s="1"/>
  <c r="D152"/>
  <c r="E152" s="1"/>
  <c r="D148"/>
  <c r="E148" s="1"/>
  <c r="D121"/>
  <c r="E121" s="1"/>
  <c r="D119"/>
  <c r="C115"/>
  <c r="E115" s="1"/>
  <c r="D107"/>
  <c r="E107" s="1"/>
  <c r="C89"/>
  <c r="C87"/>
  <c r="D79"/>
  <c r="E79" s="1"/>
  <c r="C78"/>
  <c r="D78"/>
  <c r="H78" s="1"/>
  <c r="C59"/>
  <c r="E59" s="1"/>
  <c r="D51"/>
  <c r="H50" s="1"/>
  <c r="C43"/>
  <c r="D27"/>
  <c r="P27" s="1"/>
  <c r="V27" s="1"/>
  <c r="D25"/>
  <c r="P25" s="1"/>
  <c r="V25" s="1"/>
  <c r="D23"/>
  <c r="P23" s="1"/>
  <c r="V23" s="1"/>
  <c r="D21"/>
  <c r="P21" s="1"/>
  <c r="V21" s="1"/>
  <c r="D15"/>
  <c r="P15" s="1"/>
  <c r="V15" s="1"/>
  <c r="D13"/>
  <c r="P13" s="1"/>
  <c r="V13" s="1"/>
  <c r="K89" i="59"/>
  <c r="B101"/>
  <c r="B105"/>
  <c r="B109"/>
  <c r="M12"/>
  <c r="T12" s="1"/>
  <c r="M20"/>
  <c r="T20" s="1"/>
  <c r="M30"/>
  <c r="T30" s="1"/>
  <c r="K91"/>
  <c r="E101"/>
  <c r="E105"/>
  <c r="G101"/>
  <c r="F21" i="22"/>
  <c r="F184"/>
  <c r="K60" i="59"/>
  <c r="D126" s="1"/>
  <c r="F98"/>
  <c r="E104"/>
  <c r="E108"/>
  <c r="E112"/>
  <c r="E100"/>
  <c r="G112"/>
  <c r="H212" i="22"/>
  <c r="F53"/>
  <c r="F81"/>
  <c r="G377"/>
  <c r="G108" i="59"/>
  <c r="J446" i="22"/>
  <c r="F17"/>
  <c r="K58" i="59"/>
  <c r="D124" s="1"/>
  <c r="K66"/>
  <c r="D132" s="1"/>
  <c r="K79"/>
  <c r="E102"/>
  <c r="G103"/>
  <c r="E106"/>
  <c r="G111"/>
  <c r="G143" i="22"/>
  <c r="G146"/>
  <c r="J340"/>
  <c r="J344"/>
  <c r="J374"/>
  <c r="J377"/>
  <c r="G147"/>
  <c r="J249"/>
  <c r="J244"/>
  <c r="J246"/>
  <c r="G15"/>
  <c r="F25"/>
  <c r="F83"/>
  <c r="G344"/>
  <c r="J346"/>
  <c r="J379"/>
  <c r="G17"/>
  <c r="K87" i="59"/>
  <c r="K77"/>
  <c r="K68"/>
  <c r="D134" s="1"/>
  <c r="K81"/>
  <c r="K85"/>
  <c r="K64"/>
  <c r="D130" s="1"/>
  <c r="AD246" i="22"/>
  <c r="AB244"/>
  <c r="I244"/>
  <c r="AB249"/>
  <c r="I249"/>
  <c r="G349"/>
  <c r="F349"/>
  <c r="G379"/>
  <c r="F379"/>
  <c r="G387"/>
  <c r="F387"/>
  <c r="G407"/>
  <c r="F407"/>
  <c r="K407" s="1"/>
  <c r="AC455"/>
  <c r="J455"/>
  <c r="G346"/>
  <c r="F346"/>
  <c r="G354"/>
  <c r="F354"/>
  <c r="G382"/>
  <c r="F382"/>
  <c r="G413"/>
  <c r="F413"/>
  <c r="K413" s="1"/>
  <c r="G419"/>
  <c r="F419"/>
  <c r="K419" s="1"/>
  <c r="G158"/>
  <c r="J347"/>
  <c r="J351"/>
  <c r="E83"/>
  <c r="J349"/>
  <c r="F250"/>
  <c r="F552"/>
  <c r="K552" s="1"/>
  <c r="F372"/>
  <c r="F404"/>
  <c r="J372"/>
  <c r="F484"/>
  <c r="K484" s="1"/>
  <c r="AB17"/>
  <c r="AB246"/>
  <c r="I246"/>
  <c r="H341"/>
  <c r="J341"/>
  <c r="J339"/>
  <c r="AC456"/>
  <c r="J456"/>
  <c r="AA455"/>
  <c r="H455"/>
  <c r="H545"/>
  <c r="H374"/>
  <c r="G142"/>
  <c r="F307"/>
  <c r="K307" s="1"/>
  <c r="F473"/>
  <c r="K473" s="1"/>
  <c r="J352"/>
  <c r="J357"/>
  <c r="F255"/>
  <c r="G141"/>
  <c r="F308"/>
  <c r="J354"/>
  <c r="J342"/>
  <c r="F537"/>
  <c r="K537" s="1"/>
  <c r="AD244"/>
  <c r="K56" i="59"/>
  <c r="D122" s="1"/>
  <c r="K67"/>
  <c r="D133" s="1"/>
  <c r="H223" i="22"/>
  <c r="AD249"/>
  <c r="G18"/>
  <c r="AA18"/>
  <c r="I239"/>
  <c r="AB239"/>
  <c r="I245"/>
  <c r="AB245"/>
  <c r="AB251"/>
  <c r="I251"/>
  <c r="AB254"/>
  <c r="I254"/>
  <c r="J440"/>
  <c r="AC440"/>
  <c r="I445"/>
  <c r="AB445"/>
  <c r="AB451"/>
  <c r="I451"/>
  <c r="G20"/>
  <c r="AA20"/>
  <c r="G26"/>
  <c r="AA26"/>
  <c r="AA240"/>
  <c r="J240"/>
  <c r="AC240"/>
  <c r="J242"/>
  <c r="J250"/>
  <c r="J252"/>
  <c r="J255"/>
  <c r="J256"/>
  <c r="AA245"/>
  <c r="H245"/>
  <c r="AC245"/>
  <c r="J245"/>
  <c r="AA247"/>
  <c r="H247"/>
  <c r="AC247"/>
  <c r="J247"/>
  <c r="H251"/>
  <c r="AA251"/>
  <c r="J251"/>
  <c r="AC251"/>
  <c r="H254"/>
  <c r="AA254"/>
  <c r="J254"/>
  <c r="AC254"/>
  <c r="AA257"/>
  <c r="AC257"/>
  <c r="J257"/>
  <c r="H306"/>
  <c r="H440"/>
  <c r="AA440"/>
  <c r="I441"/>
  <c r="AB441"/>
  <c r="AA445"/>
  <c r="H445"/>
  <c r="AC445"/>
  <c r="J445"/>
  <c r="I447"/>
  <c r="AB447"/>
  <c r="H451"/>
  <c r="AA451"/>
  <c r="J451"/>
  <c r="AC451"/>
  <c r="H454"/>
  <c r="AA454"/>
  <c r="J454"/>
  <c r="AC454"/>
  <c r="AA457"/>
  <c r="H457"/>
  <c r="AC457"/>
  <c r="J457"/>
  <c r="E10"/>
  <c r="Q10" s="1"/>
  <c r="W10" s="1"/>
  <c r="Z10"/>
  <c r="F10"/>
  <c r="AB11"/>
  <c r="F16"/>
  <c r="Z16"/>
  <c r="E16"/>
  <c r="Q16" s="1"/>
  <c r="W16" s="1"/>
  <c r="F45"/>
  <c r="E45"/>
  <c r="F46"/>
  <c r="E46"/>
  <c r="F48"/>
  <c r="E48"/>
  <c r="F54"/>
  <c r="E54"/>
  <c r="F60"/>
  <c r="E60"/>
  <c r="F82"/>
  <c r="E82"/>
  <c r="I82" s="1"/>
  <c r="F84"/>
  <c r="E84"/>
  <c r="F86"/>
  <c r="E86"/>
  <c r="F88"/>
  <c r="E88"/>
  <c r="I88" s="1"/>
  <c r="F92"/>
  <c r="E92"/>
  <c r="F111"/>
  <c r="E111"/>
  <c r="I111" s="1"/>
  <c r="F112"/>
  <c r="E112"/>
  <c r="F114"/>
  <c r="E114"/>
  <c r="F141"/>
  <c r="E141"/>
  <c r="F159"/>
  <c r="E159"/>
  <c r="I159" s="1"/>
  <c r="E175"/>
  <c r="F175"/>
  <c r="F186"/>
  <c r="F190"/>
  <c r="F181"/>
  <c r="E181"/>
  <c r="F185"/>
  <c r="E185"/>
  <c r="F187"/>
  <c r="E187"/>
  <c r="F189"/>
  <c r="E189"/>
  <c r="F191"/>
  <c r="E191"/>
  <c r="F207"/>
  <c r="E207"/>
  <c r="F218"/>
  <c r="F220"/>
  <c r="F224"/>
  <c r="F213"/>
  <c r="E213"/>
  <c r="I213" s="1"/>
  <c r="F215"/>
  <c r="E215"/>
  <c r="F217"/>
  <c r="E217"/>
  <c r="I217" s="1"/>
  <c r="F219"/>
  <c r="E219"/>
  <c r="AB18"/>
  <c r="AB20"/>
  <c r="AB22"/>
  <c r="AB26"/>
  <c r="AB28"/>
  <c r="H91"/>
  <c r="H176"/>
  <c r="F13"/>
  <c r="F23"/>
  <c r="G177"/>
  <c r="H225"/>
  <c r="I250"/>
  <c r="I252"/>
  <c r="I255"/>
  <c r="E139"/>
  <c r="E205"/>
  <c r="K57" i="59"/>
  <c r="D123" s="1"/>
  <c r="K59"/>
  <c r="D125" s="1"/>
  <c r="K61"/>
  <c r="D127" s="1"/>
  <c r="K63"/>
  <c r="D129" s="1"/>
  <c r="K65"/>
  <c r="D131" s="1"/>
  <c r="K69"/>
  <c r="D135" s="1"/>
  <c r="K76"/>
  <c r="K78"/>
  <c r="K80"/>
  <c r="K82"/>
  <c r="K84"/>
  <c r="K86"/>
  <c r="K107" s="1"/>
  <c r="C130" s="1"/>
  <c r="K88"/>
  <c r="K90"/>
  <c r="H177" i="22"/>
  <c r="J239"/>
  <c r="J422"/>
  <c r="F245"/>
  <c r="Q245" s="1"/>
  <c r="W245" s="1"/>
  <c r="F247"/>
  <c r="Q247" s="1"/>
  <c r="W247" s="1"/>
  <c r="F315"/>
  <c r="F345"/>
  <c r="F350"/>
  <c r="F355"/>
  <c r="F383"/>
  <c r="F388"/>
  <c r="F408"/>
  <c r="K408" s="1"/>
  <c r="F414"/>
  <c r="K414" s="1"/>
  <c r="F416"/>
  <c r="K416" s="1"/>
  <c r="F424"/>
  <c r="K424" s="1"/>
  <c r="F445"/>
  <c r="Q445" s="1"/>
  <c r="W445" s="1"/>
  <c r="F454"/>
  <c r="Q454" s="1"/>
  <c r="W454" s="1"/>
  <c r="E223"/>
  <c r="E225"/>
  <c r="F306"/>
  <c r="G22"/>
  <c r="AA22"/>
  <c r="G28"/>
  <c r="AA28"/>
  <c r="I241"/>
  <c r="AB241"/>
  <c r="I247"/>
  <c r="AB247"/>
  <c r="I257"/>
  <c r="AB257"/>
  <c r="AB439"/>
  <c r="I439"/>
  <c r="AA447"/>
  <c r="H447"/>
  <c r="AC447"/>
  <c r="J447"/>
  <c r="AB454"/>
  <c r="I454"/>
  <c r="I457"/>
  <c r="AB457"/>
  <c r="J472"/>
  <c r="G13"/>
  <c r="G21"/>
  <c r="G23"/>
  <c r="G25"/>
  <c r="G27"/>
  <c r="G10"/>
  <c r="AA10"/>
  <c r="G11"/>
  <c r="G16"/>
  <c r="F11"/>
  <c r="Z11"/>
  <c r="E11"/>
  <c r="Q11" s="1"/>
  <c r="W11" s="1"/>
  <c r="AB16"/>
  <c r="H111"/>
  <c r="H207"/>
  <c r="H208"/>
  <c r="H210"/>
  <c r="H218"/>
  <c r="H220"/>
  <c r="H224"/>
  <c r="AC12"/>
  <c r="F18"/>
  <c r="Z18"/>
  <c r="E18"/>
  <c r="Q18" s="1"/>
  <c r="W18" s="1"/>
  <c r="F20"/>
  <c r="Z20"/>
  <c r="E20"/>
  <c r="Q20" s="1"/>
  <c r="W20" s="1"/>
  <c r="F22"/>
  <c r="Z22"/>
  <c r="E22"/>
  <c r="Q22" s="1"/>
  <c r="W22" s="1"/>
  <c r="F26"/>
  <c r="Z26"/>
  <c r="E26"/>
  <c r="Q26" s="1"/>
  <c r="W26" s="1"/>
  <c r="F28"/>
  <c r="Z28"/>
  <c r="E28"/>
  <c r="Q28" s="1"/>
  <c r="W28" s="1"/>
  <c r="E44"/>
  <c r="F44"/>
  <c r="F43"/>
  <c r="F49"/>
  <c r="F55"/>
  <c r="F61"/>
  <c r="F50"/>
  <c r="E50"/>
  <c r="F56"/>
  <c r="E56"/>
  <c r="F58"/>
  <c r="E58"/>
  <c r="F76"/>
  <c r="E76"/>
  <c r="F87"/>
  <c r="F91"/>
  <c r="F93"/>
  <c r="F94"/>
  <c r="E94"/>
  <c r="I94" s="1"/>
  <c r="E110"/>
  <c r="F110"/>
  <c r="F109"/>
  <c r="F115"/>
  <c r="F116"/>
  <c r="E116"/>
  <c r="F120"/>
  <c r="E120"/>
  <c r="F122"/>
  <c r="E122"/>
  <c r="F124"/>
  <c r="E124"/>
  <c r="F126"/>
  <c r="E126"/>
  <c r="F147"/>
  <c r="E147"/>
  <c r="F149"/>
  <c r="E149"/>
  <c r="F151"/>
  <c r="E151"/>
  <c r="F153"/>
  <c r="E153"/>
  <c r="I153" s="1"/>
  <c r="F157"/>
  <c r="E157"/>
  <c r="E176"/>
  <c r="I176" s="1"/>
  <c r="F176"/>
  <c r="F177"/>
  <c r="E177"/>
  <c r="F179"/>
  <c r="E179"/>
  <c r="F506"/>
  <c r="K506" s="1"/>
  <c r="G506"/>
  <c r="G509"/>
  <c r="F511"/>
  <c r="K511" s="1"/>
  <c r="G511"/>
  <c r="G514"/>
  <c r="F516"/>
  <c r="K516" s="1"/>
  <c r="G516"/>
  <c r="G519"/>
  <c r="F521"/>
  <c r="K521" s="1"/>
  <c r="G521"/>
  <c r="F536"/>
  <c r="K536" s="1"/>
  <c r="G536"/>
  <c r="F538"/>
  <c r="K538" s="1"/>
  <c r="G538"/>
  <c r="G541"/>
  <c r="F543"/>
  <c r="K543" s="1"/>
  <c r="G543"/>
  <c r="F546"/>
  <c r="K546" s="1"/>
  <c r="G546"/>
  <c r="F548"/>
  <c r="K548" s="1"/>
  <c r="G548"/>
  <c r="F551"/>
  <c r="K551" s="1"/>
  <c r="G551"/>
  <c r="F553"/>
  <c r="K553" s="1"/>
  <c r="G553"/>
  <c r="I256"/>
  <c r="J444"/>
  <c r="H215"/>
  <c r="H219"/>
  <c r="E8"/>
  <c r="E74"/>
  <c r="I240"/>
  <c r="H439"/>
  <c r="F440"/>
  <c r="Q440" s="1"/>
  <c r="W440" s="1"/>
  <c r="F447"/>
  <c r="Q447" s="1"/>
  <c r="W447" s="1"/>
  <c r="F457"/>
  <c r="Q457" s="1"/>
  <c r="W457" s="1"/>
  <c r="F477"/>
  <c r="F483"/>
  <c r="F487"/>
  <c r="K487" s="1"/>
  <c r="J439"/>
  <c r="F223"/>
  <c r="F225"/>
  <c r="F240"/>
  <c r="Q240" s="1"/>
  <c r="W240" s="1"/>
  <c r="F251"/>
  <c r="Q251" s="1"/>
  <c r="W251" s="1"/>
  <c r="F254"/>
  <c r="Q254" s="1"/>
  <c r="W254" s="1"/>
  <c r="F257"/>
  <c r="Q257" s="1"/>
  <c r="W257" s="1"/>
  <c r="F287"/>
  <c r="F310"/>
  <c r="F317"/>
  <c r="F322"/>
  <c r="K322" s="1"/>
  <c r="F342"/>
  <c r="F352"/>
  <c r="F357"/>
  <c r="F375"/>
  <c r="F380"/>
  <c r="F390"/>
  <c r="F423"/>
  <c r="F439"/>
  <c r="Q439" s="1"/>
  <c r="W439" s="1"/>
  <c r="F451"/>
  <c r="Q451" s="1"/>
  <c r="W451" s="1"/>
  <c r="F471"/>
  <c r="F479"/>
  <c r="K479" s="1"/>
  <c r="F489"/>
  <c r="K489" s="1"/>
  <c r="I423" l="1"/>
  <c r="G510"/>
  <c r="G53"/>
  <c r="J306"/>
  <c r="K105" i="59"/>
  <c r="C128" s="1"/>
  <c r="AD441" i="22"/>
  <c r="K98" i="59"/>
  <c r="C121" s="1"/>
  <c r="H510" i="22"/>
  <c r="H45"/>
  <c r="I382"/>
  <c r="G76"/>
  <c r="F406"/>
  <c r="K406" s="1"/>
  <c r="J320"/>
  <c r="G46"/>
  <c r="G478"/>
  <c r="G51"/>
  <c r="J316"/>
  <c r="G518"/>
  <c r="G192"/>
  <c r="D120" i="59"/>
  <c r="E120" s="1"/>
  <c r="K101"/>
  <c r="C124" s="1"/>
  <c r="E127"/>
  <c r="F378" i="22"/>
  <c r="H390"/>
  <c r="H535"/>
  <c r="H542"/>
  <c r="H518"/>
  <c r="H508"/>
  <c r="I349"/>
  <c r="F412"/>
  <c r="K412" s="1"/>
  <c r="F320"/>
  <c r="J305"/>
  <c r="I157"/>
  <c r="J317"/>
  <c r="F422"/>
  <c r="F289"/>
  <c r="K289" s="1"/>
  <c r="G60"/>
  <c r="G59"/>
  <c r="G44"/>
  <c r="J321"/>
  <c r="J308"/>
  <c r="G56"/>
  <c r="G225"/>
  <c r="H10"/>
  <c r="G109"/>
  <c r="H87"/>
  <c r="F347"/>
  <c r="H154"/>
  <c r="H112"/>
  <c r="H127"/>
  <c r="H110"/>
  <c r="H471"/>
  <c r="I316"/>
  <c r="H117"/>
  <c r="H149"/>
  <c r="H180"/>
  <c r="G112"/>
  <c r="H27"/>
  <c r="E122" i="59"/>
  <c r="A122" s="1"/>
  <c r="G79" i="22"/>
  <c r="G187"/>
  <c r="F509"/>
  <c r="K509" s="1"/>
  <c r="AD255"/>
  <c r="Q255"/>
  <c r="W255" s="1"/>
  <c r="H257"/>
  <c r="O239"/>
  <c r="U239" s="1"/>
  <c r="Q437"/>
  <c r="W437" s="1"/>
  <c r="AD437"/>
  <c r="AD456"/>
  <c r="Q456"/>
  <c r="W456" s="1"/>
  <c r="AD444"/>
  <c r="Q444"/>
  <c r="W444" s="1"/>
  <c r="AD450"/>
  <c r="Q450"/>
  <c r="W450" s="1"/>
  <c r="AD449"/>
  <c r="Q449"/>
  <c r="W449" s="1"/>
  <c r="AC8"/>
  <c r="Q8"/>
  <c r="W8" s="1"/>
  <c r="AD250"/>
  <c r="Q250"/>
  <c r="W250" s="1"/>
  <c r="F241"/>
  <c r="O241"/>
  <c r="U241" s="1"/>
  <c r="G451"/>
  <c r="O452"/>
  <c r="U452" s="1"/>
  <c r="AC17"/>
  <c r="Q17"/>
  <c r="W17" s="1"/>
  <c r="H54"/>
  <c r="G175"/>
  <c r="H16"/>
  <c r="H152"/>
  <c r="H122"/>
  <c r="I317"/>
  <c r="H61"/>
  <c r="K441"/>
  <c r="G115"/>
  <c r="H93"/>
  <c r="H13"/>
  <c r="H11"/>
  <c r="H250"/>
  <c r="H240"/>
  <c r="F476"/>
  <c r="I351"/>
  <c r="I380"/>
  <c r="H339"/>
  <c r="O455"/>
  <c r="U455" s="1"/>
  <c r="H23"/>
  <c r="F481"/>
  <c r="K481" s="1"/>
  <c r="F418"/>
  <c r="K418" s="1"/>
  <c r="F282"/>
  <c r="H305"/>
  <c r="H109"/>
  <c r="F472"/>
  <c r="K472" s="1"/>
  <c r="H121"/>
  <c r="H60"/>
  <c r="H46"/>
  <c r="F541"/>
  <c r="K541" s="1"/>
  <c r="F519"/>
  <c r="K519" s="1"/>
  <c r="F514"/>
  <c r="K514" s="1"/>
  <c r="H142"/>
  <c r="H59"/>
  <c r="J476"/>
  <c r="I321"/>
  <c r="I318"/>
  <c r="H239"/>
  <c r="F239"/>
  <c r="Q239" s="1"/>
  <c r="W239" s="1"/>
  <c r="H126"/>
  <c r="H58"/>
  <c r="H190"/>
  <c r="G127"/>
  <c r="G110"/>
  <c r="H79"/>
  <c r="H76"/>
  <c r="H316"/>
  <c r="I373"/>
  <c r="G174"/>
  <c r="G180"/>
  <c r="H186"/>
  <c r="H174"/>
  <c r="H185"/>
  <c r="G483"/>
  <c r="J483"/>
  <c r="G92"/>
  <c r="G191"/>
  <c r="G125"/>
  <c r="G223"/>
  <c r="G58"/>
  <c r="J310"/>
  <c r="H382"/>
  <c r="J515"/>
  <c r="H349"/>
  <c r="H315"/>
  <c r="H249"/>
  <c r="G50"/>
  <c r="H372"/>
  <c r="H51"/>
  <c r="H44"/>
  <c r="H56"/>
  <c r="H49"/>
  <c r="H18"/>
  <c r="H21"/>
  <c r="H25"/>
  <c r="G93"/>
  <c r="H120"/>
  <c r="J312"/>
  <c r="E121" i="59"/>
  <c r="A121" s="1"/>
  <c r="E126"/>
  <c r="A126" s="1"/>
  <c r="E133"/>
  <c r="A133" s="1"/>
  <c r="E128"/>
  <c r="A128" s="1"/>
  <c r="E118"/>
  <c r="A118" s="1"/>
  <c r="H158" i="22"/>
  <c r="H141"/>
  <c r="F305"/>
  <c r="H157"/>
  <c r="H147"/>
  <c r="H124"/>
  <c r="K111" i="59"/>
  <c r="C134" s="1"/>
  <c r="K103"/>
  <c r="C126" s="1"/>
  <c r="K99"/>
  <c r="C122" s="1"/>
  <c r="G54" i="22"/>
  <c r="G61"/>
  <c r="G55"/>
  <c r="G49"/>
  <c r="G43"/>
  <c r="H28"/>
  <c r="H26"/>
  <c r="H22"/>
  <c r="H20"/>
  <c r="J318"/>
  <c r="J313"/>
  <c r="F283"/>
  <c r="K283" s="1"/>
  <c r="G207"/>
  <c r="F545"/>
  <c r="K545" s="1"/>
  <c r="F535"/>
  <c r="K535" s="1"/>
  <c r="G48"/>
  <c r="F455"/>
  <c r="Q455" s="1"/>
  <c r="W455" s="1"/>
  <c r="F288"/>
  <c r="I350"/>
  <c r="H125"/>
  <c r="H116"/>
  <c r="H383"/>
  <c r="F323"/>
  <c r="K323" s="1"/>
  <c r="H350"/>
  <c r="F311"/>
  <c r="I340"/>
  <c r="I372"/>
  <c r="I385"/>
  <c r="I355"/>
  <c r="I315"/>
  <c r="I383"/>
  <c r="H17"/>
  <c r="I339"/>
  <c r="H189"/>
  <c r="H84"/>
  <c r="I347"/>
  <c r="H179"/>
  <c r="J542"/>
  <c r="K456"/>
  <c r="G81"/>
  <c r="H377"/>
  <c r="H83"/>
  <c r="H184"/>
  <c r="H181"/>
  <c r="H175"/>
  <c r="H191"/>
  <c r="H92"/>
  <c r="I352"/>
  <c r="G124"/>
  <c r="H148"/>
  <c r="H53"/>
  <c r="H151"/>
  <c r="H146"/>
  <c r="H156"/>
  <c r="H48"/>
  <c r="J478"/>
  <c r="H252"/>
  <c r="B280"/>
  <c r="G280" s="1"/>
  <c r="E280"/>
  <c r="J280" s="1"/>
  <c r="C280"/>
  <c r="H280" s="1"/>
  <c r="H385"/>
  <c r="I313"/>
  <c r="I305"/>
  <c r="H352"/>
  <c r="H318"/>
  <c r="K95" i="59"/>
  <c r="C118" s="1"/>
  <c r="G122" i="22"/>
  <c r="H15"/>
  <c r="H144"/>
  <c r="I144"/>
  <c r="K109" i="59"/>
  <c r="C132" s="1"/>
  <c r="K97"/>
  <c r="C120" s="1"/>
  <c r="H12" i="22"/>
  <c r="I143"/>
  <c r="E43"/>
  <c r="G45"/>
  <c r="H81"/>
  <c r="H114"/>
  <c r="H86"/>
  <c r="H43"/>
  <c r="H143"/>
  <c r="G86"/>
  <c r="H115"/>
  <c r="F542"/>
  <c r="AB15"/>
  <c r="E15"/>
  <c r="AB23"/>
  <c r="E23"/>
  <c r="AB27"/>
  <c r="E27"/>
  <c r="E51"/>
  <c r="I59" s="1"/>
  <c r="H55"/>
  <c r="G89"/>
  <c r="E89"/>
  <c r="I89" s="1"/>
  <c r="G186"/>
  <c r="E186"/>
  <c r="H192"/>
  <c r="E192"/>
  <c r="H244"/>
  <c r="AA239"/>
  <c r="I280"/>
  <c r="I290"/>
  <c r="F290"/>
  <c r="I356"/>
  <c r="F356"/>
  <c r="K356" s="1"/>
  <c r="H378"/>
  <c r="H373"/>
  <c r="I389"/>
  <c r="F389"/>
  <c r="K385" s="1"/>
  <c r="I409"/>
  <c r="F409"/>
  <c r="K409" s="1"/>
  <c r="AB452"/>
  <c r="I452"/>
  <c r="AB455"/>
  <c r="I455"/>
  <c r="G471"/>
  <c r="G472"/>
  <c r="G477"/>
  <c r="H509"/>
  <c r="H503"/>
  <c r="G515"/>
  <c r="F515"/>
  <c r="F478"/>
  <c r="G116"/>
  <c r="AB13"/>
  <c r="E13"/>
  <c r="Q13" s="1"/>
  <c r="W13" s="1"/>
  <c r="AB21"/>
  <c r="E21"/>
  <c r="AB25"/>
  <c r="E25"/>
  <c r="G78"/>
  <c r="E78"/>
  <c r="I78" s="1"/>
  <c r="G87"/>
  <c r="E87"/>
  <c r="H119"/>
  <c r="E119"/>
  <c r="I116" s="1"/>
  <c r="G184"/>
  <c r="E184"/>
  <c r="G190"/>
  <c r="E190"/>
  <c r="G210"/>
  <c r="E210"/>
  <c r="I212" s="1"/>
  <c r="G208"/>
  <c r="H241"/>
  <c r="AA241"/>
  <c r="F285"/>
  <c r="I344"/>
  <c r="F344"/>
  <c r="I442"/>
  <c r="F442"/>
  <c r="Q442" s="1"/>
  <c r="W442" s="1"/>
  <c r="AB442"/>
  <c r="Z452"/>
  <c r="G439"/>
  <c r="G454"/>
  <c r="F452"/>
  <c r="Q452" s="1"/>
  <c r="W452" s="1"/>
  <c r="G446"/>
  <c r="G444"/>
  <c r="G445"/>
  <c r="G452"/>
  <c r="Z455"/>
  <c r="G455"/>
  <c r="G474"/>
  <c r="F474"/>
  <c r="K474" s="1"/>
  <c r="G482"/>
  <c r="F482"/>
  <c r="K482" s="1"/>
  <c r="G486"/>
  <c r="F486"/>
  <c r="K486" s="1"/>
  <c r="G488"/>
  <c r="F488"/>
  <c r="K488" s="1"/>
  <c r="F510"/>
  <c r="G503"/>
  <c r="G520"/>
  <c r="F520"/>
  <c r="K520" s="1"/>
  <c r="J509"/>
  <c r="J508"/>
  <c r="J510"/>
  <c r="J503"/>
  <c r="J518"/>
  <c r="G476"/>
  <c r="F318"/>
  <c r="J471"/>
  <c r="G179"/>
  <c r="G508"/>
  <c r="I146"/>
  <c r="K110" i="59"/>
  <c r="C133" s="1"/>
  <c r="I151" i="22"/>
  <c r="I156"/>
  <c r="I148"/>
  <c r="K357"/>
  <c r="I149"/>
  <c r="I147"/>
  <c r="I154"/>
  <c r="I158"/>
  <c r="I152"/>
  <c r="AD439"/>
  <c r="AD240"/>
  <c r="K447"/>
  <c r="AD447"/>
  <c r="AC28"/>
  <c r="AC22"/>
  <c r="AC18"/>
  <c r="AD454"/>
  <c r="AD245"/>
  <c r="K108" i="59"/>
  <c r="C131" s="1"/>
  <c r="K104"/>
  <c r="C127" s="1"/>
  <c r="K100"/>
  <c r="C123" s="1"/>
  <c r="AD254" i="22"/>
  <c r="AD451"/>
  <c r="AD257"/>
  <c r="AD251"/>
  <c r="K457"/>
  <c r="AD457"/>
  <c r="K440"/>
  <c r="AD440"/>
  <c r="AC26"/>
  <c r="AC20"/>
  <c r="AC11"/>
  <c r="AD445"/>
  <c r="AD247"/>
  <c r="K112" i="59"/>
  <c r="C135" s="1"/>
  <c r="K106"/>
  <c r="C129" s="1"/>
  <c r="K102"/>
  <c r="C125" s="1"/>
  <c r="I141" i="22"/>
  <c r="I142"/>
  <c r="AC16"/>
  <c r="AC10"/>
  <c r="I177"/>
  <c r="K245" l="1"/>
  <c r="K240"/>
  <c r="I87"/>
  <c r="K256"/>
  <c r="K244"/>
  <c r="K382"/>
  <c r="K375"/>
  <c r="K341"/>
  <c r="K252"/>
  <c r="AD239"/>
  <c r="K251"/>
  <c r="AD455"/>
  <c r="I190"/>
  <c r="K422"/>
  <c r="K423"/>
  <c r="I93"/>
  <c r="I60"/>
  <c r="I51"/>
  <c r="K241"/>
  <c r="I92"/>
  <c r="K250"/>
  <c r="K255"/>
  <c r="K242"/>
  <c r="K239"/>
  <c r="K247"/>
  <c r="K257"/>
  <c r="K254"/>
  <c r="K455"/>
  <c r="K246"/>
  <c r="K249"/>
  <c r="K310"/>
  <c r="I191"/>
  <c r="I187"/>
  <c r="I109"/>
  <c r="K384"/>
  <c r="K388"/>
  <c r="K380"/>
  <c r="I174"/>
  <c r="K390"/>
  <c r="K542"/>
  <c r="I224"/>
  <c r="AC25"/>
  <c r="Q25"/>
  <c r="W25" s="1"/>
  <c r="AC21"/>
  <c r="Q21"/>
  <c r="W21" s="1"/>
  <c r="AC27"/>
  <c r="Q27"/>
  <c r="W27" s="1"/>
  <c r="AC23"/>
  <c r="Q23"/>
  <c r="W23" s="1"/>
  <c r="AC15"/>
  <c r="Q15"/>
  <c r="W15" s="1"/>
  <c r="AD241"/>
  <c r="Q241"/>
  <c r="W241" s="1"/>
  <c r="K451"/>
  <c r="I125"/>
  <c r="I126"/>
  <c r="I48"/>
  <c r="I54"/>
  <c r="I56"/>
  <c r="K351"/>
  <c r="K383"/>
  <c r="K387"/>
  <c r="K483"/>
  <c r="I120"/>
  <c r="K515"/>
  <c r="I192"/>
  <c r="K379"/>
  <c r="K377"/>
  <c r="K354"/>
  <c r="K352"/>
  <c r="K321"/>
  <c r="I46"/>
  <c r="I43"/>
  <c r="I49"/>
  <c r="I50"/>
  <c r="I44"/>
  <c r="I53"/>
  <c r="E130" i="59"/>
  <c r="A130" s="1"/>
  <c r="A120"/>
  <c r="E135"/>
  <c r="A135" s="1"/>
  <c r="E124"/>
  <c r="A124" s="1"/>
  <c r="I61" i="22"/>
  <c r="I55"/>
  <c r="I58"/>
  <c r="E129" i="59"/>
  <c r="A129" s="1"/>
  <c r="E131"/>
  <c r="A131" s="1"/>
  <c r="E125"/>
  <c r="A125" s="1"/>
  <c r="A127"/>
  <c r="E123"/>
  <c r="A123" s="1"/>
  <c r="E132"/>
  <c r="A132" s="1"/>
  <c r="E134"/>
  <c r="A134" s="1"/>
  <c r="K444" i="22"/>
  <c r="I28"/>
  <c r="K476"/>
  <c r="I115"/>
  <c r="K454"/>
  <c r="I22"/>
  <c r="I175"/>
  <c r="I26"/>
  <c r="I186"/>
  <c r="I84"/>
  <c r="I185"/>
  <c r="I189"/>
  <c r="I23"/>
  <c r="I91"/>
  <c r="I124"/>
  <c r="I79"/>
  <c r="I10"/>
  <c r="I16"/>
  <c r="I207"/>
  <c r="I20"/>
  <c r="I223"/>
  <c r="I225"/>
  <c r="K439"/>
  <c r="F280"/>
  <c r="K280" s="1"/>
  <c r="B279"/>
  <c r="D279"/>
  <c r="I279" s="1"/>
  <c r="C279"/>
  <c r="H279" s="1"/>
  <c r="E279"/>
  <c r="E278"/>
  <c r="B278"/>
  <c r="D278"/>
  <c r="I278" s="1"/>
  <c r="C278"/>
  <c r="H278" s="1"/>
  <c r="K317"/>
  <c r="K320"/>
  <c r="K389"/>
  <c r="K446"/>
  <c r="K311"/>
  <c r="I219"/>
  <c r="I25"/>
  <c r="K372"/>
  <c r="K378"/>
  <c r="I86"/>
  <c r="J477"/>
  <c r="J315"/>
  <c r="J311"/>
  <c r="K471"/>
  <c r="K316"/>
  <c r="K349"/>
  <c r="K340"/>
  <c r="K312"/>
  <c r="I15"/>
  <c r="I181"/>
  <c r="I13"/>
  <c r="I112"/>
  <c r="I27"/>
  <c r="I122"/>
  <c r="I121"/>
  <c r="K477"/>
  <c r="I208"/>
  <c r="K445"/>
  <c r="I11"/>
  <c r="I180"/>
  <c r="K313"/>
  <c r="K308"/>
  <c r="K318"/>
  <c r="K305"/>
  <c r="I18"/>
  <c r="I215"/>
  <c r="I218"/>
  <c r="I21"/>
  <c r="I110"/>
  <c r="I117"/>
  <c r="K373"/>
  <c r="I220"/>
  <c r="K345"/>
  <c r="K306"/>
  <c r="K350"/>
  <c r="K344"/>
  <c r="K510"/>
  <c r="I184"/>
  <c r="K478"/>
  <c r="AC13"/>
  <c r="I12"/>
  <c r="I45"/>
  <c r="K374"/>
  <c r="K355"/>
  <c r="K508"/>
  <c r="K342"/>
  <c r="K315"/>
  <c r="K518"/>
  <c r="K503"/>
  <c r="I76"/>
  <c r="K347"/>
  <c r="I114"/>
  <c r="I210"/>
  <c r="K339"/>
  <c r="K346"/>
  <c r="I83"/>
  <c r="I17"/>
  <c r="I179"/>
  <c r="I81"/>
  <c r="AD452"/>
  <c r="K452"/>
  <c r="K442"/>
  <c r="AD442"/>
  <c r="I119"/>
  <c r="I127"/>
  <c r="T54" i="66"/>
  <c r="F34"/>
  <c r="O11"/>
  <c r="S33"/>
  <c r="D12"/>
  <c r="L12"/>
  <c r="E52"/>
  <c r="J43"/>
  <c r="G29"/>
  <c r="I44"/>
  <c r="S40"/>
  <c r="H44"/>
  <c r="O44"/>
  <c r="I12"/>
  <c r="L30"/>
  <c r="M45"/>
  <c r="O35"/>
  <c r="Q17"/>
  <c r="E22"/>
  <c r="I50"/>
  <c r="T48"/>
  <c r="D51"/>
  <c r="H20"/>
  <c r="E50"/>
  <c r="L50"/>
  <c r="R20"/>
  <c r="Q5"/>
  <c r="K34"/>
  <c r="M52"/>
  <c r="D50"/>
  <c r="R21"/>
  <c r="H5"/>
  <c r="F44"/>
  <c r="D48"/>
  <c r="N49"/>
  <c r="M51"/>
  <c r="K5"/>
  <c r="R51"/>
  <c r="S44"/>
  <c r="F22"/>
  <c r="Q22"/>
  <c r="J10"/>
  <c r="H53"/>
  <c r="J40"/>
  <c r="H50"/>
  <c r="O14"/>
  <c r="T35"/>
  <c r="F28"/>
  <c r="L5"/>
  <c r="R38"/>
  <c r="E44"/>
  <c r="L16"/>
  <c r="J37"/>
  <c r="F30"/>
  <c r="E39"/>
  <c r="H27"/>
  <c r="O42"/>
  <c r="N46"/>
  <c r="L40"/>
  <c r="I51"/>
  <c r="Q37"/>
  <c r="F39"/>
  <c r="F18"/>
  <c r="Q38"/>
  <c r="D31"/>
  <c r="I8"/>
  <c r="T39"/>
  <c r="R50"/>
  <c r="P14"/>
  <c r="T50"/>
  <c r="R8"/>
  <c r="G14"/>
  <c r="S47"/>
  <c r="Q53"/>
  <c r="T52"/>
  <c r="L27"/>
  <c r="J35"/>
  <c r="K44"/>
  <c r="S50"/>
  <c r="E31"/>
  <c r="E16"/>
  <c r="T11"/>
  <c r="F40"/>
  <c r="M8"/>
  <c r="E30"/>
  <c r="M39"/>
  <c r="P17"/>
  <c r="K29"/>
  <c r="H22"/>
  <c r="J8"/>
  <c r="D41"/>
  <c r="S51"/>
  <c r="N38"/>
  <c r="H43"/>
  <c r="J53"/>
  <c r="D13"/>
  <c r="L47"/>
  <c r="E8"/>
  <c r="Q41"/>
  <c r="G27"/>
  <c r="G20"/>
  <c r="L37"/>
  <c r="O12"/>
  <c r="T28"/>
  <c r="T22"/>
  <c r="J33"/>
  <c r="E51"/>
  <c r="P16"/>
  <c r="Q10"/>
  <c r="L18"/>
  <c r="K38"/>
  <c r="G31"/>
  <c r="E21"/>
  <c r="J41"/>
  <c r="N9"/>
  <c r="J31"/>
  <c r="O20"/>
  <c r="J54"/>
  <c r="S9"/>
  <c r="R10"/>
  <c r="E19"/>
  <c r="G39"/>
  <c r="O38"/>
  <c r="H18"/>
  <c r="E53"/>
  <c r="D49"/>
  <c r="F35"/>
  <c r="R29"/>
  <c r="S52"/>
  <c r="J16"/>
  <c r="M19"/>
  <c r="H11"/>
  <c r="F52"/>
  <c r="O28"/>
  <c r="S11"/>
  <c r="E9"/>
  <c r="O48"/>
  <c r="I43"/>
  <c r="S45"/>
  <c r="T14"/>
  <c r="K51"/>
  <c r="S48"/>
  <c r="I14"/>
  <c r="N18"/>
  <c r="M46"/>
  <c r="G22"/>
  <c r="L14"/>
  <c r="J13"/>
  <c r="K16"/>
  <c r="L52"/>
  <c r="K37"/>
  <c r="N21"/>
  <c r="M33"/>
  <c r="S42"/>
  <c r="K48"/>
  <c r="N50"/>
  <c r="J14"/>
  <c r="P28"/>
  <c r="G13"/>
  <c r="M38"/>
  <c r="L44"/>
  <c r="Q30"/>
  <c r="M10"/>
  <c r="F47"/>
  <c r="F54"/>
  <c r="O54"/>
  <c r="T43"/>
  <c r="R22"/>
  <c r="H19"/>
  <c r="O19"/>
  <c r="E42"/>
  <c r="O43"/>
  <c r="J21"/>
  <c r="G47"/>
  <c r="O30"/>
  <c r="I41"/>
  <c r="D5"/>
  <c r="Q18"/>
  <c r="K52"/>
  <c r="P13"/>
  <c r="N8"/>
  <c r="D54"/>
  <c r="M43"/>
  <c r="R40"/>
  <c r="K43"/>
  <c r="D29"/>
  <c r="T40"/>
  <c r="D45"/>
  <c r="P39"/>
  <c r="M53"/>
  <c r="J46"/>
  <c r="E45"/>
  <c r="K31"/>
  <c r="K30"/>
  <c r="D37"/>
  <c r="E29"/>
  <c r="G28"/>
  <c r="Q34"/>
  <c r="I5"/>
  <c r="S43"/>
  <c r="J19"/>
  <c r="H13"/>
  <c r="S54"/>
  <c r="H39"/>
  <c r="G19"/>
  <c r="E27"/>
  <c r="T38"/>
  <c r="H28"/>
  <c r="D17"/>
  <c r="K12"/>
  <c r="L53"/>
  <c r="I53"/>
  <c r="M22"/>
  <c r="I49"/>
  <c r="O16"/>
  <c r="P20"/>
  <c r="N16"/>
  <c r="L46"/>
  <c r="R52"/>
  <c r="R35"/>
  <c r="R28"/>
  <c r="R14"/>
  <c r="I20"/>
  <c r="S27"/>
  <c r="M42"/>
  <c r="Q16"/>
  <c r="N30"/>
  <c r="G50"/>
  <c r="I39"/>
  <c r="G11"/>
  <c r="S35"/>
  <c r="R31"/>
  <c r="K20"/>
  <c r="T5"/>
  <c r="G48"/>
  <c r="T44"/>
  <c r="D53"/>
  <c r="D18"/>
  <c r="E43"/>
  <c r="F9"/>
  <c r="T34"/>
  <c r="H31"/>
  <c r="R41"/>
  <c r="G40"/>
  <c r="Q54"/>
  <c r="R47"/>
  <c r="P47"/>
  <c r="O51"/>
  <c r="F42"/>
  <c r="Q29"/>
  <c r="Q45"/>
  <c r="I16"/>
  <c r="T51"/>
  <c r="E54"/>
  <c r="R18"/>
  <c r="S22"/>
  <c r="L17"/>
  <c r="D20"/>
  <c r="S17"/>
  <c r="K45"/>
  <c r="I9"/>
  <c r="M20"/>
  <c r="D33"/>
  <c r="G37"/>
  <c r="K46"/>
  <c r="P37"/>
  <c r="P53"/>
  <c r="F43"/>
  <c r="T27"/>
  <c r="Q9"/>
  <c r="G46"/>
  <c r="H41"/>
  <c r="D39"/>
  <c r="I28"/>
  <c r="I48"/>
  <c r="K53"/>
  <c r="M21"/>
  <c r="F17"/>
  <c r="I40"/>
  <c r="N40"/>
  <c r="I30"/>
  <c r="L34"/>
  <c r="O21"/>
  <c r="K35"/>
  <c r="I29"/>
  <c r="D9"/>
  <c r="T21"/>
  <c r="R33"/>
  <c r="I54"/>
  <c r="Q8"/>
  <c r="N10"/>
  <c r="R30"/>
  <c r="F29"/>
  <c r="G5"/>
  <c r="E10"/>
  <c r="I18"/>
  <c r="N29"/>
  <c r="J11"/>
  <c r="L11"/>
  <c r="M11"/>
  <c r="O41"/>
  <c r="D44"/>
  <c r="R34"/>
  <c r="H54"/>
  <c r="L29"/>
  <c r="P52"/>
  <c r="N31"/>
  <c r="R19"/>
  <c r="N42"/>
  <c r="R49"/>
  <c r="H34"/>
  <c r="M31"/>
  <c r="E33"/>
  <c r="O52"/>
  <c r="L20"/>
  <c r="N27"/>
  <c r="I37"/>
  <c r="G33"/>
  <c r="I10"/>
  <c r="H46"/>
  <c r="O45"/>
  <c r="L49"/>
  <c r="P22"/>
  <c r="K28"/>
  <c r="N12"/>
  <c r="S21"/>
  <c r="H9"/>
  <c r="T17"/>
  <c r="H16"/>
  <c r="P41"/>
  <c r="S29"/>
  <c r="E11"/>
  <c r="R27"/>
  <c r="M27"/>
  <c r="K8"/>
  <c r="O31"/>
  <c r="L48"/>
  <c r="R42"/>
  <c r="G51"/>
  <c r="J34"/>
  <c r="S14"/>
  <c r="D30"/>
  <c r="D40"/>
  <c r="L10"/>
  <c r="P9"/>
  <c r="M18"/>
  <c r="L9"/>
  <c r="R16"/>
  <c r="I27"/>
  <c r="G21"/>
  <c r="Q40"/>
  <c r="J18"/>
  <c r="N13"/>
  <c r="L33"/>
  <c r="H30"/>
  <c r="M48"/>
  <c r="F16"/>
  <c r="G30"/>
  <c r="J48"/>
  <c r="T20"/>
  <c r="T45"/>
  <c r="S12"/>
  <c r="P49"/>
  <c r="P38"/>
  <c r="O37"/>
  <c r="I13"/>
  <c r="O10"/>
  <c r="E49"/>
  <c r="K54"/>
  <c r="J39"/>
  <c r="M30"/>
  <c r="Q33"/>
  <c r="Q28"/>
  <c r="E13"/>
  <c r="L35"/>
  <c r="F5"/>
  <c r="Q19"/>
  <c r="T18"/>
  <c r="N43"/>
  <c r="N33"/>
  <c r="F10"/>
  <c r="J51"/>
  <c r="Q31"/>
  <c r="G42"/>
  <c r="F11"/>
  <c r="O29"/>
  <c r="J28"/>
  <c r="K13"/>
  <c r="T16"/>
  <c r="I17"/>
  <c r="P18"/>
  <c r="F33"/>
  <c r="M16"/>
  <c r="E35"/>
  <c r="R9"/>
  <c r="N11"/>
  <c r="F8"/>
  <c r="E46"/>
  <c r="L42"/>
  <c r="J45"/>
  <c r="T30"/>
  <c r="E20"/>
  <c r="O8"/>
  <c r="E37"/>
  <c r="K14"/>
  <c r="T33"/>
  <c r="P40"/>
  <c r="P33"/>
  <c r="E14"/>
  <c r="M13"/>
  <c r="P8"/>
  <c r="J44"/>
  <c r="K11"/>
  <c r="P27"/>
  <c r="L43"/>
  <c r="S39"/>
  <c r="S34"/>
  <c r="M41"/>
  <c r="J49"/>
  <c r="N53"/>
  <c r="P30"/>
  <c r="F48"/>
  <c r="I22"/>
  <c r="M12"/>
  <c r="P34"/>
  <c r="L54"/>
  <c r="D27"/>
  <c r="O18"/>
  <c r="D10"/>
  <c r="R13"/>
  <c r="L38"/>
  <c r="D52"/>
  <c r="R46"/>
  <c r="G8"/>
  <c r="N41"/>
  <c r="G35"/>
  <c r="S5"/>
  <c r="S53"/>
  <c r="N44"/>
  <c r="G10"/>
  <c r="R5"/>
  <c r="S37"/>
  <c r="F37"/>
  <c r="T31"/>
  <c r="H52"/>
  <c r="O50"/>
  <c r="R54"/>
  <c r="T53"/>
  <c r="P5"/>
  <c r="G18"/>
  <c r="K9"/>
  <c r="H45"/>
  <c r="D11"/>
  <c r="P54"/>
  <c r="L13"/>
  <c r="P35"/>
  <c r="K18"/>
  <c r="S13"/>
  <c r="R11"/>
  <c r="N22"/>
  <c r="L39"/>
  <c r="N28"/>
  <c r="H14"/>
  <c r="H51"/>
  <c r="Q50"/>
  <c r="D19"/>
  <c r="P43"/>
  <c r="N37"/>
  <c r="H21"/>
  <c r="M54"/>
  <c r="G34"/>
  <c r="P44"/>
  <c r="T49"/>
  <c r="T37"/>
  <c r="S16"/>
  <c r="D22"/>
  <c r="S31"/>
  <c r="I31"/>
  <c r="Q42"/>
  <c r="T10"/>
  <c r="O9"/>
  <c r="D14"/>
  <c r="D35"/>
  <c r="N34"/>
  <c r="D47"/>
  <c r="S19"/>
  <c r="F53"/>
  <c r="M34"/>
  <c r="I45"/>
  <c r="R44"/>
  <c r="N45"/>
  <c r="S8"/>
  <c r="L41"/>
  <c r="Q27"/>
  <c r="L22"/>
  <c r="E28"/>
  <c r="G38"/>
  <c r="D8"/>
  <c r="I11"/>
  <c r="H37"/>
  <c r="E17"/>
  <c r="I42"/>
  <c r="S10"/>
  <c r="S41"/>
  <c r="P42"/>
  <c r="R12"/>
  <c r="J22"/>
  <c r="L28"/>
  <c r="G43"/>
  <c r="K22"/>
  <c r="H12"/>
  <c r="N51"/>
  <c r="Q48"/>
  <c r="H38"/>
  <c r="Q12"/>
  <c r="Q44"/>
  <c r="P50"/>
  <c r="K47"/>
  <c r="M29"/>
  <c r="P46"/>
  <c r="M47"/>
  <c r="H40"/>
  <c r="O46"/>
  <c r="O33"/>
  <c r="Q21"/>
  <c r="F19"/>
  <c r="D38"/>
  <c r="O47"/>
  <c r="O27"/>
  <c r="I33"/>
  <c r="M28"/>
  <c r="D42"/>
  <c r="L45"/>
  <c r="F41"/>
  <c r="E47"/>
  <c r="E12"/>
  <c r="F50"/>
  <c r="O13"/>
  <c r="F45"/>
  <c r="N5"/>
  <c r="I38"/>
  <c r="G17"/>
  <c r="N48"/>
  <c r="G12"/>
  <c r="R53"/>
  <c r="K17"/>
  <c r="T46"/>
  <c r="L31"/>
  <c r="J38"/>
  <c r="S38"/>
  <c r="D34"/>
  <c r="D21"/>
  <c r="E18"/>
  <c r="Q35"/>
  <c r="H29"/>
  <c r="N14"/>
  <c r="M49"/>
  <c r="J9"/>
  <c r="R17"/>
  <c r="O22"/>
  <c r="J27"/>
  <c r="H49"/>
  <c r="S46"/>
  <c r="F14"/>
  <c r="M44"/>
  <c r="I47"/>
  <c r="O39"/>
  <c r="J30"/>
  <c r="E48"/>
  <c r="I34"/>
  <c r="R48"/>
  <c r="O40"/>
  <c r="G49"/>
  <c r="K41"/>
  <c r="O34"/>
  <c r="H47"/>
  <c r="P48"/>
  <c r="Q39"/>
  <c r="O17"/>
  <c r="M37"/>
  <c r="R39"/>
  <c r="F31"/>
  <c r="F12"/>
  <c r="F27"/>
  <c r="F38"/>
  <c r="H17"/>
  <c r="Q43"/>
  <c r="Q52"/>
  <c r="D46"/>
  <c r="I21"/>
  <c r="T47"/>
  <c r="L51"/>
  <c r="M5"/>
  <c r="R45"/>
  <c r="P21"/>
  <c r="R37"/>
  <c r="G44"/>
  <c r="S30"/>
  <c r="T12"/>
  <c r="K10"/>
  <c r="K49"/>
  <c r="F13"/>
  <c r="T19"/>
  <c r="N39"/>
  <c r="G53"/>
  <c r="G9"/>
  <c r="P19"/>
  <c r="O49"/>
  <c r="K33"/>
  <c r="K19"/>
  <c r="J20"/>
  <c r="H48"/>
  <c r="S18"/>
  <c r="G54"/>
  <c r="T41"/>
  <c r="L19"/>
  <c r="D43"/>
  <c r="F49"/>
  <c r="J29"/>
  <c r="T42"/>
  <c r="T8"/>
  <c r="J47"/>
  <c r="Q14"/>
  <c r="G41"/>
  <c r="N35"/>
  <c r="F20"/>
  <c r="E5"/>
  <c r="G45"/>
  <c r="Q49"/>
  <c r="T29"/>
  <c r="E34"/>
  <c r="N20"/>
  <c r="O53"/>
  <c r="H10"/>
  <c r="D28"/>
  <c r="L8"/>
  <c r="M14"/>
  <c r="P12"/>
  <c r="T13"/>
  <c r="S28"/>
  <c r="P10"/>
  <c r="P45"/>
  <c r="N47"/>
  <c r="J52"/>
  <c r="F21"/>
  <c r="H8"/>
  <c r="J17"/>
  <c r="Q11"/>
  <c r="N19"/>
  <c r="R43"/>
  <c r="J50"/>
  <c r="K39"/>
  <c r="K50"/>
  <c r="K27"/>
  <c r="E41"/>
  <c r="J42"/>
  <c r="K42"/>
  <c r="P31"/>
  <c r="H33"/>
  <c r="M40"/>
  <c r="M35"/>
  <c r="G52"/>
  <c r="E38"/>
  <c r="I19"/>
  <c r="H35"/>
  <c r="G16"/>
  <c r="K21"/>
  <c r="P51"/>
  <c r="K40"/>
  <c r="N54"/>
  <c r="Q20"/>
  <c r="Q46"/>
  <c r="O5"/>
  <c r="P29"/>
  <c r="I35"/>
  <c r="J12"/>
  <c r="E40"/>
  <c r="N17"/>
  <c r="J5"/>
  <c r="S49"/>
  <c r="Q51"/>
  <c r="F46"/>
  <c r="S20"/>
  <c r="D16"/>
  <c r="N52"/>
  <c r="F51"/>
  <c r="T9"/>
  <c r="Q13"/>
  <c r="H42"/>
  <c r="Q47"/>
  <c r="I46"/>
  <c r="M50"/>
  <c r="M17"/>
  <c r="P11"/>
  <c r="M9"/>
  <c r="L21"/>
  <c r="I52"/>
  <c r="D36" l="1"/>
  <c r="D13" i="67" s="1"/>
  <c r="Q11"/>
  <c r="I14"/>
  <c r="K11"/>
  <c r="O15"/>
  <c r="D14"/>
  <c r="O36" i="66"/>
  <c r="O13" i="67" s="1"/>
  <c r="E26" i="66"/>
  <c r="E10" i="67" s="1"/>
  <c r="M6" i="66"/>
  <c r="J32"/>
  <c r="J12" i="67" s="1"/>
  <c r="M15"/>
  <c r="T32" i="66"/>
  <c r="T12" i="67" s="1"/>
  <c r="G15" i="66"/>
  <c r="G8" i="67" s="1"/>
  <c r="E15" i="66"/>
  <c r="E8" i="67" s="1"/>
  <c r="N32" i="66"/>
  <c r="N12" i="67" s="1"/>
  <c r="E11"/>
  <c r="E5"/>
  <c r="I15" i="66"/>
  <c r="I8" i="67" s="1"/>
  <c r="J6" i="66"/>
  <c r="S16" i="67"/>
  <c r="T9"/>
  <c r="F15" i="66"/>
  <c r="F8" i="67" s="1"/>
  <c r="R15"/>
  <c r="L26" i="66"/>
  <c r="L10" i="67" s="1"/>
  <c r="I32" i="66"/>
  <c r="I12" i="67" s="1"/>
  <c r="T14"/>
  <c r="D16"/>
  <c r="Q15"/>
  <c r="N6" i="66"/>
  <c r="L32"/>
  <c r="L12" i="67" s="1"/>
  <c r="T6" i="66"/>
  <c r="E36"/>
  <c r="E13" i="67" s="1"/>
  <c r="K14"/>
  <c r="F5"/>
  <c r="K26" i="66"/>
  <c r="K10" i="67" s="1"/>
  <c r="K15"/>
  <c r="R6" i="66"/>
  <c r="O26"/>
  <c r="O10" i="67" s="1"/>
  <c r="D5"/>
  <c r="O6" i="66"/>
  <c r="P16" i="67"/>
  <c r="I26" i="66"/>
  <c r="I10" i="67" s="1"/>
  <c r="R15" i="66"/>
  <c r="R8" i="67" s="1"/>
  <c r="I5"/>
  <c r="H9"/>
  <c r="G16"/>
  <c r="I6" i="66"/>
  <c r="D26"/>
  <c r="D10" i="67" s="1"/>
  <c r="L11"/>
  <c r="D11"/>
  <c r="Q15" i="66"/>
  <c r="Q8" i="67" s="1"/>
  <c r="Q32" i="66"/>
  <c r="Q12" i="67" s="1"/>
  <c r="G14"/>
  <c r="K32" i="66"/>
  <c r="K12" i="67" s="1"/>
  <c r="L16"/>
  <c r="Q36" i="66"/>
  <c r="Q13" i="67" s="1"/>
  <c r="R9"/>
  <c r="L36" i="66"/>
  <c r="L13" i="67" s="1"/>
  <c r="O16"/>
  <c r="S26" i="66"/>
  <c r="S10" i="67" s="1"/>
  <c r="F16"/>
  <c r="G15"/>
  <c r="H26" i="66"/>
  <c r="H10" i="67" s="1"/>
  <c r="O11"/>
  <c r="K6" i="66"/>
  <c r="M26"/>
  <c r="M10" i="67" s="1"/>
  <c r="K16"/>
  <c r="J36" i="66"/>
  <c r="J13" i="67" s="1"/>
  <c r="R26" i="66"/>
  <c r="R10" i="67" s="1"/>
  <c r="P5"/>
  <c r="L15" i="66"/>
  <c r="L8" i="67" s="1"/>
  <c r="K9"/>
  <c r="N14"/>
  <c r="F6" i="66"/>
  <c r="I9" i="67"/>
  <c r="T15"/>
  <c r="L5"/>
  <c r="H15" i="66"/>
  <c r="H8" i="67" s="1"/>
  <c r="J9"/>
  <c r="R36" i="66"/>
  <c r="R13" i="67" s="1"/>
  <c r="Q16"/>
  <c r="D15" i="66"/>
  <c r="D8" i="67" s="1"/>
  <c r="G26" i="66"/>
  <c r="G10" i="67" s="1"/>
  <c r="T26" i="66"/>
  <c r="T10" i="67" s="1"/>
  <c r="R16"/>
  <c r="M32" i="66"/>
  <c r="M12" i="67" s="1"/>
  <c r="M5"/>
  <c r="N5"/>
  <c r="K36" i="66"/>
  <c r="K13" i="67" s="1"/>
  <c r="H15"/>
  <c r="L14"/>
  <c r="P9"/>
  <c r="K15" i="66"/>
  <c r="K8" i="67" s="1"/>
  <c r="H36" i="66"/>
  <c r="H13" i="67" s="1"/>
  <c r="R14"/>
  <c r="P15"/>
  <c r="Q9"/>
  <c r="Q14"/>
  <c r="H14"/>
  <c r="F9"/>
  <c r="D6" i="66"/>
  <c r="D6" i="67" s="1"/>
  <c r="C7" s="1"/>
  <c r="N15"/>
  <c r="G9"/>
  <c r="H32" i="66"/>
  <c r="H12" i="67" s="1"/>
  <c r="P36" i="66"/>
  <c r="P13" i="67" s="1"/>
  <c r="G32" i="66"/>
  <c r="G12" i="67" s="1"/>
  <c r="H11"/>
  <c r="T11"/>
  <c r="K5"/>
  <c r="I36" i="66"/>
  <c r="I13" i="67" s="1"/>
  <c r="L9"/>
  <c r="F26" i="66"/>
  <c r="F10" i="67" s="1"/>
  <c r="M15" i="66"/>
  <c r="M8" i="67" s="1"/>
  <c r="E6" i="66"/>
  <c r="N26"/>
  <c r="N10" i="67" s="1"/>
  <c r="Q26" i="66"/>
  <c r="Q10" i="67" s="1"/>
  <c r="N15" i="66"/>
  <c r="N8" i="67" s="1"/>
  <c r="F11"/>
  <c r="O32" i="66"/>
  <c r="O12" i="67" s="1"/>
  <c r="F36" i="66"/>
  <c r="F13" i="67" s="1"/>
  <c r="O14"/>
  <c r="S6" i="66"/>
  <c r="H6"/>
  <c r="J5" i="67"/>
  <c r="E32" i="66"/>
  <c r="E12" i="67" s="1"/>
  <c r="M36" i="66"/>
  <c r="M13" i="67" s="1"/>
  <c r="F32" i="66"/>
  <c r="F12" i="67" s="1"/>
  <c r="G36" i="66"/>
  <c r="G13" i="67" s="1"/>
  <c r="H5"/>
  <c r="M11"/>
  <c r="S36" i="66"/>
  <c r="S13" i="67" s="1"/>
  <c r="O15" i="66"/>
  <c r="O8" i="67" s="1"/>
  <c r="D32" i="66"/>
  <c r="D12" i="67" s="1"/>
  <c r="M14"/>
  <c r="F15"/>
  <c r="R5"/>
  <c r="Q5"/>
  <c r="N11"/>
  <c r="F14"/>
  <c r="P14"/>
  <c r="M9"/>
  <c r="H16"/>
  <c r="J14"/>
  <c r="J15" i="66"/>
  <c r="J8" i="67" s="1"/>
  <c r="T15" i="66"/>
  <c r="T8" i="67" s="1"/>
  <c r="S14"/>
  <c r="I15"/>
  <c r="J15"/>
  <c r="P11"/>
  <c r="I11"/>
  <c r="D15"/>
  <c r="E9"/>
  <c r="S11"/>
  <c r="P26" i="66"/>
  <c r="P10" i="67" s="1"/>
  <c r="S15"/>
  <c r="E15"/>
  <c r="D9"/>
  <c r="L15"/>
  <c r="S15" i="66"/>
  <c r="S8" i="67" s="1"/>
  <c r="O5"/>
  <c r="T36" i="66"/>
  <c r="T13" i="67" s="1"/>
  <c r="S5"/>
  <c r="G5"/>
  <c r="J26" i="66"/>
  <c r="J10" i="67" s="1"/>
  <c r="O9"/>
  <c r="M16"/>
  <c r="J16"/>
  <c r="P6" i="66"/>
  <c r="Q6"/>
  <c r="Q7" s="1"/>
  <c r="N36"/>
  <c r="N13" i="67" s="1"/>
  <c r="J11"/>
  <c r="I16"/>
  <c r="T5"/>
  <c r="S9"/>
  <c r="R32" i="66"/>
  <c r="R12" i="67" s="1"/>
  <c r="N16"/>
  <c r="E14"/>
  <c r="G6" i="66"/>
  <c r="G11" i="67"/>
  <c r="S32" i="66"/>
  <c r="S12" i="67" s="1"/>
  <c r="R11"/>
  <c r="E16"/>
  <c r="N9"/>
  <c r="L6" i="66"/>
  <c r="L7" s="1"/>
  <c r="L55" s="1"/>
  <c r="P32"/>
  <c r="P12" i="67" s="1"/>
  <c r="T16"/>
  <c r="P15" i="66"/>
  <c r="P8" i="67" s="1"/>
  <c r="D7" i="66"/>
  <c r="D7" i="67"/>
  <c r="F279" i="22"/>
  <c r="F278"/>
  <c r="E277"/>
  <c r="B277"/>
  <c r="C277"/>
  <c r="H277" s="1"/>
  <c r="D277"/>
  <c r="I277" s="1"/>
  <c r="Q6" i="67" l="1"/>
  <c r="Q7" s="1"/>
  <c r="Q17" s="1"/>
  <c r="D55" i="66"/>
  <c r="D17" i="67"/>
  <c r="G7" i="66"/>
  <c r="G55" s="1"/>
  <c r="G6" i="67"/>
  <c r="G7" s="1"/>
  <c r="G17" s="1"/>
  <c r="P7" i="66"/>
  <c r="P55" s="1"/>
  <c r="P6" i="67"/>
  <c r="P7" s="1"/>
  <c r="P17" s="1"/>
  <c r="S7" i="66"/>
  <c r="S55" s="1"/>
  <c r="S6" i="67"/>
  <c r="S7" s="1"/>
  <c r="S17" s="1"/>
  <c r="H6"/>
  <c r="H7" s="1"/>
  <c r="H17" s="1"/>
  <c r="H7" i="66"/>
  <c r="H55" s="1"/>
  <c r="K6" i="67"/>
  <c r="K7" s="1"/>
  <c r="K17" s="1"/>
  <c r="K7" i="66"/>
  <c r="K55" s="1"/>
  <c r="I7"/>
  <c r="I55" s="1"/>
  <c r="I6" i="67"/>
  <c r="I7" s="1"/>
  <c r="I17" s="1"/>
  <c r="R7" i="66"/>
  <c r="R55" s="1"/>
  <c r="R6" i="67"/>
  <c r="R7" s="1"/>
  <c r="R17" s="1"/>
  <c r="T6"/>
  <c r="T7" s="1"/>
  <c r="T17" s="1"/>
  <c r="T7" i="66"/>
  <c r="T55" s="1"/>
  <c r="N6" i="67"/>
  <c r="N7" s="1"/>
  <c r="N17" s="1"/>
  <c r="N7" i="66"/>
  <c r="N55" s="1"/>
  <c r="J7"/>
  <c r="J55" s="1"/>
  <c r="J6" i="67"/>
  <c r="J7" s="1"/>
  <c r="J17" s="1"/>
  <c r="M7" i="66"/>
  <c r="M55" s="1"/>
  <c r="M6" i="67"/>
  <c r="M7" s="1"/>
  <c r="M17" s="1"/>
  <c r="L6"/>
  <c r="L7" s="1"/>
  <c r="L17" s="1"/>
  <c r="Q55" i="66"/>
  <c r="E6" i="67"/>
  <c r="E7" s="1"/>
  <c r="E17" s="1"/>
  <c r="E7" i="66"/>
  <c r="E55" s="1"/>
  <c r="F6" i="67"/>
  <c r="F7" s="1"/>
  <c r="F17" s="1"/>
  <c r="F7" i="66"/>
  <c r="F55" s="1"/>
  <c r="O7"/>
  <c r="O55" s="1"/>
  <c r="O6" i="67"/>
  <c r="O7" s="1"/>
  <c r="O17" s="1"/>
  <c r="F277" i="22"/>
  <c r="C275"/>
  <c r="H275" s="1"/>
  <c r="B275"/>
  <c r="E275"/>
  <c r="D275"/>
  <c r="I275" s="1"/>
  <c r="C274"/>
  <c r="H274" s="1"/>
  <c r="B274"/>
  <c r="E274"/>
  <c r="J274" s="1"/>
  <c r="D274"/>
  <c r="I274" s="1"/>
  <c r="G274" l="1"/>
  <c r="F274"/>
  <c r="K274" s="1"/>
  <c r="F275"/>
  <c r="B270"/>
  <c r="E270"/>
  <c r="C270"/>
  <c r="D270"/>
  <c r="C272"/>
  <c r="H282" s="1"/>
  <c r="B272"/>
  <c r="E272"/>
  <c r="D272"/>
  <c r="B273"/>
  <c r="E273"/>
  <c r="J273" s="1"/>
  <c r="D273"/>
  <c r="I273" s="1"/>
  <c r="C273"/>
  <c r="H273" s="1"/>
  <c r="J287" l="1"/>
  <c r="J282"/>
  <c r="J278"/>
  <c r="I282"/>
  <c r="I285"/>
  <c r="G287"/>
  <c r="G282"/>
  <c r="G278"/>
  <c r="I284"/>
  <c r="J288"/>
  <c r="I272"/>
  <c r="I288"/>
  <c r="G288"/>
  <c r="H290"/>
  <c r="J275"/>
  <c r="J284"/>
  <c r="G284"/>
  <c r="F270"/>
  <c r="G285"/>
  <c r="G272"/>
  <c r="G290"/>
  <c r="F272"/>
  <c r="G279"/>
  <c r="G277"/>
  <c r="G275"/>
  <c r="G273"/>
  <c r="F273"/>
  <c r="K273" s="1"/>
  <c r="J272"/>
  <c r="J285"/>
  <c r="J290"/>
  <c r="J279"/>
  <c r="J277"/>
  <c r="H272"/>
  <c r="H285"/>
  <c r="K287" l="1"/>
  <c r="K282"/>
  <c r="K278"/>
  <c r="K288"/>
  <c r="K275"/>
  <c r="K284"/>
  <c r="K272"/>
  <c r="K290"/>
  <c r="K285"/>
  <c r="K279"/>
  <c r="K277"/>
  <c r="M13" i="21"/>
  <c r="B14"/>
  <c r="D29"/>
  <c r="K24"/>
  <c r="F13"/>
  <c r="B28"/>
  <c r="J19"/>
  <c r="N14"/>
  <c r="E14"/>
  <c r="C12"/>
  <c r="M23"/>
  <c r="J17"/>
  <c r="N22"/>
  <c r="E29"/>
  <c r="I27"/>
  <c r="I17"/>
  <c r="K12"/>
  <c r="B23"/>
  <c r="G26"/>
  <c r="G16"/>
  <c r="J14"/>
  <c r="E21"/>
  <c r="I13"/>
  <c r="M26"/>
  <c r="E19"/>
  <c r="I18"/>
  <c r="N17"/>
  <c r="D9"/>
  <c r="L22"/>
  <c r="C14"/>
  <c r="F24"/>
  <c r="D17"/>
  <c r="I21"/>
  <c r="L23"/>
  <c r="C24"/>
  <c r="K22"/>
  <c r="D13"/>
  <c r="N9"/>
  <c r="J11"/>
  <c r="F29"/>
  <c r="C9"/>
  <c r="K28"/>
  <c r="I19"/>
  <c r="E22"/>
  <c r="M21"/>
  <c r="D22"/>
  <c r="L17"/>
  <c r="N21"/>
  <c r="B11"/>
  <c r="G11"/>
  <c r="M9"/>
  <c r="F21"/>
  <c r="K23"/>
  <c r="D21"/>
  <c r="C23"/>
  <c r="L24"/>
  <c r="L16"/>
  <c r="B27"/>
  <c r="C29"/>
  <c r="G18"/>
  <c r="B17"/>
  <c r="D19"/>
  <c r="F23"/>
  <c r="C22"/>
  <c r="G21"/>
  <c r="E27"/>
  <c r="M28"/>
  <c r="I11"/>
  <c r="B18"/>
  <c r="I24"/>
  <c r="N18"/>
  <c r="N13"/>
  <c r="B19"/>
  <c r="I9"/>
  <c r="B13"/>
  <c r="K29"/>
  <c r="E18"/>
  <c r="G13"/>
  <c r="N24"/>
  <c r="K17"/>
  <c r="C28"/>
  <c r="E12"/>
  <c r="J23"/>
  <c r="C21"/>
  <c r="J26"/>
  <c r="B26"/>
  <c r="D11"/>
  <c r="G22"/>
  <c r="E17"/>
  <c r="E9"/>
  <c r="M27"/>
  <c r="I12"/>
  <c r="F17"/>
  <c r="L13"/>
  <c r="C18"/>
  <c r="J21"/>
  <c r="L12"/>
  <c r="F18"/>
  <c r="L14"/>
  <c r="G27"/>
  <c r="I29"/>
  <c r="M18"/>
  <c r="E11"/>
  <c r="G14"/>
  <c r="B24"/>
  <c r="B12"/>
  <c r="F26"/>
  <c r="N23"/>
  <c r="N26"/>
  <c r="N16"/>
  <c r="L19"/>
  <c r="D14"/>
  <c r="G29"/>
  <c r="E26"/>
  <c r="J29"/>
  <c r="K27"/>
  <c r="G28"/>
  <c r="K26"/>
  <c r="G24"/>
  <c r="L18"/>
  <c r="G17"/>
  <c r="K18"/>
  <c r="E13"/>
  <c r="N28"/>
  <c r="J13"/>
  <c r="F28"/>
  <c r="K21"/>
  <c r="G12"/>
  <c r="J9"/>
  <c r="D28"/>
  <c r="G9"/>
  <c r="I22"/>
  <c r="K9"/>
  <c r="N12"/>
  <c r="C17"/>
  <c r="J24"/>
  <c r="B21"/>
  <c r="C13"/>
  <c r="J12"/>
  <c r="L26"/>
  <c r="L9"/>
  <c r="I23"/>
  <c r="M12"/>
  <c r="J27"/>
  <c r="F16"/>
  <c r="F27"/>
  <c r="M22"/>
  <c r="K13"/>
  <c r="D18"/>
  <c r="D16"/>
  <c r="F19"/>
  <c r="D27"/>
  <c r="M17"/>
  <c r="J16"/>
  <c r="L29"/>
  <c r="N29"/>
  <c r="M29"/>
  <c r="E16"/>
  <c r="G23"/>
  <c r="I26"/>
  <c r="I28"/>
  <c r="M24"/>
  <c r="C27"/>
  <c r="K11"/>
  <c r="C11"/>
  <c r="J28"/>
  <c r="L27"/>
  <c r="G19"/>
  <c r="F22"/>
  <c r="I14"/>
  <c r="N11"/>
  <c r="D26"/>
  <c r="K14"/>
  <c r="B29"/>
  <c r="B22"/>
  <c r="F12"/>
  <c r="E23"/>
  <c r="J22"/>
  <c r="D12"/>
  <c r="E28"/>
  <c r="J18"/>
  <c r="D24"/>
  <c r="D23"/>
  <c r="I16"/>
  <c r="M11"/>
  <c r="L28"/>
  <c r="N19"/>
  <c r="M19"/>
  <c r="K16"/>
  <c r="B16"/>
  <c r="C26"/>
  <c r="K19"/>
  <c r="F9"/>
  <c r="M14"/>
  <c r="M16"/>
  <c r="N27"/>
  <c r="E24"/>
  <c r="F14"/>
  <c r="C16"/>
  <c r="C19"/>
  <c r="L11"/>
  <c r="F11"/>
  <c r="L21"/>
  <c r="H18" l="1"/>
  <c r="H23"/>
  <c r="O28"/>
  <c r="O21"/>
  <c r="O24"/>
  <c r="O23"/>
  <c r="O13"/>
  <c r="H27"/>
  <c r="H12"/>
  <c r="O17"/>
  <c r="O12"/>
  <c r="O18"/>
  <c r="O9"/>
  <c r="O29"/>
  <c r="H14"/>
  <c r="O16"/>
  <c r="O22"/>
  <c r="H11"/>
  <c r="H21"/>
  <c r="O26"/>
  <c r="H17"/>
  <c r="H29"/>
  <c r="H24"/>
  <c r="O14"/>
  <c r="O27"/>
  <c r="H28"/>
  <c r="H16"/>
  <c r="H9"/>
  <c r="O11"/>
  <c r="H13"/>
  <c r="H22"/>
  <c r="H19"/>
  <c r="O19"/>
  <c r="H26"/>
  <c r="P26" l="1"/>
  <c r="AD26" s="1"/>
  <c r="P12"/>
  <c r="AF12" s="1"/>
  <c r="P23"/>
  <c r="Z23" s="1"/>
  <c r="P13"/>
  <c r="AA13" s="1"/>
  <c r="P14"/>
  <c r="T14" s="1"/>
  <c r="P11"/>
  <c r="V11" s="1"/>
  <c r="P17"/>
  <c r="U17" s="1"/>
  <c r="V23"/>
  <c r="P27"/>
  <c r="AC27" s="1"/>
  <c r="P16"/>
  <c r="AE16" s="1"/>
  <c r="T23"/>
  <c r="P18"/>
  <c r="AF18" s="1"/>
  <c r="P29"/>
  <c r="S29" s="1"/>
  <c r="W13"/>
  <c r="P19"/>
  <c r="U19" s="1"/>
  <c r="P24"/>
  <c r="P28"/>
  <c r="P22"/>
  <c r="P9"/>
  <c r="P21"/>
  <c r="AF14"/>
  <c r="W14"/>
  <c r="AA14"/>
  <c r="Z14"/>
  <c r="V26"/>
  <c r="T26"/>
  <c r="AC26"/>
  <c r="AB26"/>
  <c r="U11" l="1"/>
  <c r="AF11"/>
  <c r="S11"/>
  <c r="W26"/>
  <c r="U26"/>
  <c r="Z27"/>
  <c r="AE26"/>
  <c r="U27"/>
  <c r="S26"/>
  <c r="AB16"/>
  <c r="AF23"/>
  <c r="AA26"/>
  <c r="S16"/>
  <c r="T12"/>
  <c r="T13"/>
  <c r="V13"/>
  <c r="X14"/>
  <c r="U14"/>
  <c r="X13"/>
  <c r="AB14"/>
  <c r="AC14"/>
  <c r="V14"/>
  <c r="S14"/>
  <c r="AE14"/>
  <c r="S13"/>
  <c r="Z26"/>
  <c r="X26"/>
  <c r="AD14"/>
  <c r="AF26"/>
  <c r="T17"/>
  <c r="AC13"/>
  <c r="Z17"/>
  <c r="AC16"/>
  <c r="AE11"/>
  <c r="AA12"/>
  <c r="AA23"/>
  <c r="AE23"/>
  <c r="S12"/>
  <c r="W12"/>
  <c r="AE12"/>
  <c r="Z12"/>
  <c r="AB12"/>
  <c r="AC12"/>
  <c r="AB17"/>
  <c r="X12"/>
  <c r="S17"/>
  <c r="U23"/>
  <c r="S23"/>
  <c r="AD12"/>
  <c r="X23"/>
  <c r="W23"/>
  <c r="V12"/>
  <c r="T18"/>
  <c r="AD23"/>
  <c r="U12"/>
  <c r="AA17"/>
  <c r="W17"/>
  <c r="AD16"/>
  <c r="T11"/>
  <c r="AC23"/>
  <c r="AB23"/>
  <c r="X16"/>
  <c r="U16"/>
  <c r="X11"/>
  <c r="V17"/>
  <c r="AE19"/>
  <c r="AB19"/>
  <c r="V16"/>
  <c r="W16"/>
  <c r="T16"/>
  <c r="AF16"/>
  <c r="AA16"/>
  <c r="Z16"/>
  <c r="AB11"/>
  <c r="W11"/>
  <c r="AC11"/>
  <c r="AD11"/>
  <c r="Z11"/>
  <c r="AA11"/>
  <c r="X19"/>
  <c r="Z18"/>
  <c r="AF13"/>
  <c r="U13"/>
  <c r="AD13"/>
  <c r="Z13"/>
  <c r="AB13"/>
  <c r="AE13"/>
  <c r="AD17"/>
  <c r="AC17"/>
  <c r="X17"/>
  <c r="AF17"/>
  <c r="AE17"/>
  <c r="AE27"/>
  <c r="S27"/>
  <c r="AE29"/>
  <c r="V27"/>
  <c r="T27"/>
  <c r="AF27"/>
  <c r="AB29"/>
  <c r="U29"/>
  <c r="W29"/>
  <c r="AB27"/>
  <c r="AD27"/>
  <c r="AA27"/>
  <c r="W27"/>
  <c r="X27"/>
  <c r="Z29"/>
  <c r="AA29"/>
  <c r="AC29"/>
  <c r="X29"/>
  <c r="T29"/>
  <c r="AF29"/>
  <c r="AD29"/>
  <c r="V29"/>
  <c r="S19"/>
  <c r="AC19"/>
  <c r="V19"/>
  <c r="AA19"/>
  <c r="W19"/>
  <c r="W18"/>
  <c r="AB18"/>
  <c r="S18"/>
  <c r="AA18"/>
  <c r="AD18"/>
  <c r="AC18"/>
  <c r="U18"/>
  <c r="AE18"/>
  <c r="X18"/>
  <c r="V18"/>
  <c r="AD19"/>
  <c r="Z19"/>
  <c r="AF19"/>
  <c r="V9"/>
  <c r="W9"/>
  <c r="T9"/>
  <c r="AD9"/>
  <c r="AC9"/>
  <c r="X9"/>
  <c r="U9"/>
  <c r="AA9"/>
  <c r="AE9"/>
  <c r="AB9"/>
  <c r="AF9"/>
  <c r="Z9"/>
  <c r="S9"/>
  <c r="V28"/>
  <c r="X28"/>
  <c r="AB28"/>
  <c r="AA28"/>
  <c r="Z28"/>
  <c r="AC28"/>
  <c r="W28"/>
  <c r="AD28"/>
  <c r="U28"/>
  <c r="S28"/>
  <c r="AE28"/>
  <c r="AF28"/>
  <c r="T28"/>
  <c r="V21"/>
  <c r="AE21"/>
  <c r="AB21"/>
  <c r="AA21"/>
  <c r="U21"/>
  <c r="X21"/>
  <c r="AC21"/>
  <c r="AF21"/>
  <c r="T21"/>
  <c r="Z21"/>
  <c r="AD21"/>
  <c r="W21"/>
  <c r="S21"/>
  <c r="AF22"/>
  <c r="U22"/>
  <c r="S22"/>
  <c r="W22"/>
  <c r="AD22"/>
  <c r="AE22"/>
  <c r="Z22"/>
  <c r="X22"/>
  <c r="T22"/>
  <c r="AC22"/>
  <c r="AA22"/>
  <c r="V22"/>
  <c r="AB22"/>
  <c r="AB24"/>
  <c r="T24"/>
  <c r="AD24"/>
  <c r="AA24"/>
  <c r="W24"/>
  <c r="AF24"/>
  <c r="X24"/>
  <c r="AC24"/>
  <c r="AE24"/>
  <c r="S24"/>
  <c r="U24"/>
  <c r="V24"/>
  <c r="Z24"/>
  <c r="Y13" l="1"/>
  <c r="Y11"/>
  <c r="AG11" s="1"/>
  <c r="Y26"/>
  <c r="AG26" s="1"/>
  <c r="Y27"/>
  <c r="AG27" s="1"/>
  <c r="Y14"/>
  <c r="AG14" s="1"/>
  <c r="AG13"/>
  <c r="Y16"/>
  <c r="AG16" s="1"/>
  <c r="Y17"/>
  <c r="AG17" s="1"/>
  <c r="Y12"/>
  <c r="AG12" s="1"/>
  <c r="Y29"/>
  <c r="AG29" s="1"/>
  <c r="Y23"/>
  <c r="AG23" s="1"/>
  <c r="T19"/>
  <c r="Y19" s="1"/>
  <c r="AG19" s="1"/>
  <c r="Y9"/>
  <c r="AG9" s="1"/>
  <c r="Y18"/>
  <c r="AG18" s="1"/>
  <c r="Y21"/>
  <c r="AG21" s="1"/>
  <c r="Y28"/>
  <c r="AG28" s="1"/>
  <c r="Y24"/>
  <c r="AG24" s="1"/>
  <c r="Y22"/>
  <c r="AG22" s="1"/>
  <c r="T1000" i="8" l="1"/>
  <c r="AJ1000" s="1"/>
  <c r="K31" i="53" l="1"/>
  <c r="P52"/>
  <c r="L50"/>
  <c r="N56"/>
  <c r="J31"/>
  <c r="O32"/>
  <c r="Q20"/>
  <c r="I45"/>
  <c r="H50"/>
  <c r="I54"/>
  <c r="Q21"/>
  <c r="T50"/>
  <c r="M37"/>
  <c r="O37"/>
  <c r="E44"/>
  <c r="O16"/>
  <c r="N18"/>
  <c r="N20"/>
  <c r="F19"/>
  <c r="H18"/>
  <c r="P15"/>
  <c r="N41"/>
  <c r="F20"/>
  <c r="J52"/>
  <c r="R29"/>
  <c r="L16"/>
  <c r="R40"/>
  <c r="G20"/>
  <c r="F41"/>
  <c r="K43"/>
  <c r="N14"/>
  <c r="F14"/>
  <c r="G50"/>
  <c r="N36"/>
  <c r="D23"/>
  <c r="M48"/>
  <c r="F49"/>
  <c r="M43"/>
  <c r="D55"/>
  <c r="I12"/>
  <c r="N42"/>
  <c r="I35"/>
  <c r="S31"/>
  <c r="H39"/>
  <c r="E30"/>
  <c r="L44"/>
  <c r="L47"/>
  <c r="S45"/>
  <c r="L37"/>
  <c r="D22"/>
  <c r="I29"/>
  <c r="G29"/>
  <c r="G31"/>
  <c r="T33"/>
  <c r="O11"/>
  <c r="I22"/>
  <c r="T43"/>
  <c r="D42"/>
  <c r="K21"/>
  <c r="T19"/>
  <c r="I56"/>
  <c r="Q13"/>
  <c r="D7"/>
  <c r="L33"/>
  <c r="R55"/>
  <c r="I39"/>
  <c r="I14"/>
  <c r="G49"/>
  <c r="E16"/>
  <c r="J18"/>
  <c r="J46"/>
  <c r="L31"/>
  <c r="M42"/>
  <c r="R35"/>
  <c r="K37"/>
  <c r="E41"/>
  <c r="F10"/>
  <c r="T49"/>
  <c r="L43"/>
  <c r="S24"/>
  <c r="S56"/>
  <c r="K42"/>
  <c r="T30"/>
  <c r="S41"/>
  <c r="E11"/>
  <c r="G10"/>
  <c r="O23"/>
  <c r="M18"/>
  <c r="R11"/>
  <c r="E12"/>
  <c r="N39"/>
  <c r="Q51"/>
  <c r="N13"/>
  <c r="F36"/>
  <c r="F31"/>
  <c r="H11"/>
  <c r="O53"/>
  <c r="E19"/>
  <c r="Q19"/>
  <c r="K15"/>
  <c r="Q30"/>
  <c r="F43"/>
  <c r="H43"/>
  <c r="J33"/>
  <c r="P30"/>
  <c r="R13"/>
  <c r="R44"/>
  <c r="D51"/>
  <c r="H31"/>
  <c r="E52"/>
  <c r="Q14"/>
  <c r="O13"/>
  <c r="H30"/>
  <c r="G55"/>
  <c r="K23"/>
  <c r="J10"/>
  <c r="L52"/>
  <c r="I31"/>
  <c r="M47"/>
  <c r="N16"/>
  <c r="P48"/>
  <c r="O51"/>
  <c r="D30"/>
  <c r="R12"/>
  <c r="P47"/>
  <c r="L45"/>
  <c r="F44"/>
  <c r="Q31"/>
  <c r="H36"/>
  <c r="K10"/>
  <c r="P50"/>
  <c r="G41"/>
  <c r="S10"/>
  <c r="S55"/>
  <c r="D18"/>
  <c r="K19"/>
  <c r="N54"/>
  <c r="O52"/>
  <c r="J20"/>
  <c r="P24"/>
  <c r="G7"/>
  <c r="D43"/>
  <c r="P37"/>
  <c r="O7"/>
  <c r="F18"/>
  <c r="I23"/>
  <c r="F37"/>
  <c r="P51"/>
  <c r="J55"/>
  <c r="N33"/>
  <c r="E36"/>
  <c r="N50"/>
  <c r="P22"/>
  <c r="M14"/>
  <c r="L18"/>
  <c r="O21"/>
  <c r="K49"/>
  <c r="T14"/>
  <c r="L48"/>
  <c r="N49"/>
  <c r="G43"/>
  <c r="E53"/>
  <c r="O42"/>
  <c r="M16"/>
  <c r="R49"/>
  <c r="L22"/>
  <c r="L29"/>
  <c r="E51"/>
  <c r="G11"/>
  <c r="T53"/>
  <c r="P40"/>
  <c r="M31"/>
  <c r="T55"/>
  <c r="K41"/>
  <c r="M52"/>
  <c r="H10"/>
  <c r="P36"/>
  <c r="D48"/>
  <c r="N24"/>
  <c r="N48"/>
  <c r="J39"/>
  <c r="E15"/>
  <c r="K47"/>
  <c r="G40"/>
  <c r="P56"/>
  <c r="O54"/>
  <c r="Q47"/>
  <c r="R41"/>
  <c r="L41"/>
  <c r="M49"/>
  <c r="E49"/>
  <c r="Q22"/>
  <c r="M45"/>
  <c r="T31"/>
  <c r="G14"/>
  <c r="R56"/>
  <c r="H12"/>
  <c r="T41"/>
  <c r="O36"/>
  <c r="I49"/>
  <c r="M23"/>
  <c r="S22"/>
  <c r="M55"/>
  <c r="R16"/>
  <c r="L30"/>
  <c r="F22"/>
  <c r="L42"/>
  <c r="D35"/>
  <c r="D37"/>
  <c r="Q55"/>
  <c r="Q50"/>
  <c r="T13"/>
  <c r="L13"/>
  <c r="J40"/>
  <c r="P13"/>
  <c r="O31"/>
  <c r="F35"/>
  <c r="F23"/>
  <c r="L36"/>
  <c r="O55"/>
  <c r="T15"/>
  <c r="P46"/>
  <c r="S32"/>
  <c r="E29"/>
  <c r="D36"/>
  <c r="D32"/>
  <c r="Q54"/>
  <c r="T51"/>
  <c r="M15"/>
  <c r="S19"/>
  <c r="R10"/>
  <c r="P29"/>
  <c r="E50"/>
  <c r="D39"/>
  <c r="G21"/>
  <c r="T39"/>
  <c r="N52"/>
  <c r="G47"/>
  <c r="G46"/>
  <c r="Q7"/>
  <c r="T52"/>
  <c r="O40"/>
  <c r="T23"/>
  <c r="I46"/>
  <c r="J50"/>
  <c r="D54"/>
  <c r="N45"/>
  <c r="I47"/>
  <c r="N44"/>
  <c r="G16"/>
  <c r="H44"/>
  <c r="S14"/>
  <c r="G45"/>
  <c r="Q52"/>
  <c r="I11"/>
  <c r="P43"/>
  <c r="J35"/>
  <c r="G39"/>
  <c r="H19"/>
  <c r="L51"/>
  <c r="T11"/>
  <c r="T10"/>
  <c r="O29"/>
  <c r="M22"/>
  <c r="Q44"/>
  <c r="K20"/>
  <c r="R47"/>
  <c r="R14"/>
  <c r="P10"/>
  <c r="R37"/>
  <c r="G22"/>
  <c r="S52"/>
  <c r="L39"/>
  <c r="J45"/>
  <c r="M56"/>
  <c r="E18"/>
  <c r="S7"/>
  <c r="D14"/>
  <c r="M41"/>
  <c r="R52"/>
  <c r="P23"/>
  <c r="N19"/>
  <c r="S54"/>
  <c r="N51"/>
  <c r="H7"/>
  <c r="G32"/>
  <c r="R45"/>
  <c r="I18"/>
  <c r="F21"/>
  <c r="M13"/>
  <c r="J29"/>
  <c r="H40"/>
  <c r="M54"/>
  <c r="H42"/>
  <c r="S35"/>
  <c r="I20"/>
  <c r="T44"/>
  <c r="J22"/>
  <c r="I53"/>
  <c r="L23"/>
  <c r="Q45"/>
  <c r="P7"/>
  <c r="H21"/>
  <c r="Q48"/>
  <c r="M39"/>
  <c r="S33"/>
  <c r="D41"/>
  <c r="F11"/>
  <c r="R7"/>
  <c r="Q40"/>
  <c r="T48"/>
  <c r="O44"/>
  <c r="N12"/>
  <c r="D33"/>
  <c r="I36"/>
  <c r="E13"/>
  <c r="J13"/>
  <c r="E55"/>
  <c r="D46"/>
  <c r="M53"/>
  <c r="E22"/>
  <c r="I19"/>
  <c r="O48"/>
  <c r="L20"/>
  <c r="R43"/>
  <c r="Q49"/>
  <c r="J49"/>
  <c r="S48"/>
  <c r="T56"/>
  <c r="K51"/>
  <c r="J23"/>
  <c r="N31"/>
  <c r="K44"/>
  <c r="S43"/>
  <c r="O18"/>
  <c r="F47"/>
  <c r="R42"/>
  <c r="N11"/>
  <c r="J15"/>
  <c r="H45"/>
  <c r="L11"/>
  <c r="S51"/>
  <c r="P45"/>
  <c r="H22"/>
  <c r="S37"/>
  <c r="I33"/>
  <c r="G12"/>
  <c r="K24"/>
  <c r="O47"/>
  <c r="E32"/>
  <c r="K52"/>
  <c r="T24"/>
  <c r="E23"/>
  <c r="M50"/>
  <c r="D21"/>
  <c r="T22"/>
  <c r="I55"/>
  <c r="F55"/>
  <c r="P20"/>
  <c r="H32"/>
  <c r="S21"/>
  <c r="D56"/>
  <c r="K54"/>
  <c r="E46"/>
  <c r="S15"/>
  <c r="O24"/>
  <c r="J7"/>
  <c r="I40"/>
  <c r="D47"/>
  <c r="K32"/>
  <c r="M30"/>
  <c r="I48"/>
  <c r="M40"/>
  <c r="F13"/>
  <c r="L35"/>
  <c r="N53"/>
  <c r="S47"/>
  <c r="O20"/>
  <c r="E54"/>
  <c r="G42"/>
  <c r="E21"/>
  <c r="J36"/>
  <c r="K35"/>
  <c r="F42"/>
  <c r="R54"/>
  <c r="M19"/>
  <c r="H23"/>
  <c r="T36"/>
  <c r="S42"/>
  <c r="I10"/>
  <c r="E37"/>
  <c r="R30"/>
  <c r="S20"/>
  <c r="F12"/>
  <c r="T20"/>
  <c r="H48"/>
  <c r="N55"/>
  <c r="Q11"/>
  <c r="S44"/>
  <c r="H33"/>
  <c r="F40"/>
  <c r="R36"/>
  <c r="I43"/>
  <c r="R51"/>
  <c r="K29"/>
  <c r="K14"/>
  <c r="H16"/>
  <c r="J48"/>
  <c r="G15"/>
  <c r="T46"/>
  <c r="H49"/>
  <c r="Q39"/>
  <c r="Q36"/>
  <c r="N22"/>
  <c r="H37"/>
  <c r="Q41"/>
  <c r="Q56"/>
  <c r="S16"/>
  <c r="J56"/>
  <c r="J47"/>
  <c r="O41"/>
  <c r="I51"/>
  <c r="L40"/>
  <c r="K16"/>
  <c r="I37"/>
  <c r="Q16"/>
  <c r="L15"/>
  <c r="R22"/>
  <c r="L24"/>
  <c r="E45"/>
  <c r="R19"/>
  <c r="P44"/>
  <c r="D12"/>
  <c r="F45"/>
  <c r="Q53"/>
  <c r="Q43"/>
  <c r="T42"/>
  <c r="D20"/>
  <c r="P18"/>
  <c r="S46"/>
  <c r="M11"/>
  <c r="G54"/>
  <c r="M51"/>
  <c r="M7"/>
  <c r="J16"/>
  <c r="J11"/>
  <c r="K11"/>
  <c r="L10"/>
  <c r="T47"/>
  <c r="F33"/>
  <c r="D16"/>
  <c r="H13"/>
  <c r="O43"/>
  <c r="L53"/>
  <c r="D31"/>
  <c r="J30"/>
  <c r="J44"/>
  <c r="H24"/>
  <c r="F24"/>
  <c r="O49"/>
  <c r="P12"/>
  <c r="D19"/>
  <c r="K39"/>
  <c r="P19"/>
  <c r="G36"/>
  <c r="D11"/>
  <c r="S11"/>
  <c r="Q10"/>
  <c r="S30"/>
  <c r="K53"/>
  <c r="R23"/>
  <c r="L55"/>
  <c r="J42"/>
  <c r="H54"/>
  <c r="G33"/>
  <c r="M12"/>
  <c r="I44"/>
  <c r="N29"/>
  <c r="H15"/>
  <c r="K18"/>
  <c r="L7"/>
  <c r="E56"/>
  <c r="T45"/>
  <c r="O56"/>
  <c r="J32"/>
  <c r="M24"/>
  <c r="I32"/>
  <c r="H56"/>
  <c r="P33"/>
  <c r="P14"/>
  <c r="I50"/>
  <c r="K12"/>
  <c r="I42"/>
  <c r="S49"/>
  <c r="P16"/>
  <c r="T29"/>
  <c r="O10"/>
  <c r="F52"/>
  <c r="K45"/>
  <c r="S50"/>
  <c r="O14"/>
  <c r="F32"/>
  <c r="K30"/>
  <c r="O22"/>
  <c r="R24"/>
  <c r="P53"/>
  <c r="T7"/>
  <c r="G51"/>
  <c r="E33"/>
  <c r="S29"/>
  <c r="O45"/>
  <c r="N40"/>
  <c r="Q37"/>
  <c r="H46"/>
  <c r="F29"/>
  <c r="F51"/>
  <c r="P55"/>
  <c r="G56"/>
  <c r="D40"/>
  <c r="T37"/>
  <c r="H41"/>
  <c r="E48"/>
  <c r="G18"/>
  <c r="P42"/>
  <c r="E10"/>
  <c r="N47"/>
  <c r="E24"/>
  <c r="T12"/>
  <c r="G37"/>
  <c r="F15"/>
  <c r="S18"/>
  <c r="M21"/>
  <c r="S53"/>
  <c r="O35"/>
  <c r="I21"/>
  <c r="P31"/>
  <c r="J12"/>
  <c r="R50"/>
  <c r="T18"/>
  <c r="L54"/>
  <c r="M33"/>
  <c r="H53"/>
  <c r="R20"/>
  <c r="R18"/>
  <c r="K50"/>
  <c r="S13"/>
  <c r="Q23"/>
  <c r="J21"/>
  <c r="I15"/>
  <c r="F48"/>
  <c r="K13"/>
  <c r="H35"/>
  <c r="N46"/>
  <c r="G53"/>
  <c r="I16"/>
  <c r="R33"/>
  <c r="Q46"/>
  <c r="H51"/>
  <c r="S36"/>
  <c r="H14"/>
  <c r="M10"/>
  <c r="K36"/>
  <c r="Q29"/>
  <c r="E39"/>
  <c r="L46"/>
  <c r="I13"/>
  <c r="E43"/>
  <c r="H20"/>
  <c r="P11"/>
  <c r="G24"/>
  <c r="G44"/>
  <c r="N37"/>
  <c r="P54"/>
  <c r="O33"/>
  <c r="D49"/>
  <c r="K48"/>
  <c r="M44"/>
  <c r="E42"/>
  <c r="E14"/>
  <c r="J53"/>
  <c r="Q32"/>
  <c r="G19"/>
  <c r="P32"/>
  <c r="H52"/>
  <c r="K22"/>
  <c r="M36"/>
  <c r="S12"/>
  <c r="O19"/>
  <c r="T21"/>
  <c r="R32"/>
  <c r="K56"/>
  <c r="J54"/>
  <c r="J14"/>
  <c r="T35"/>
  <c r="H47"/>
  <c r="R53"/>
  <c r="S39"/>
  <c r="N21"/>
  <c r="N35"/>
  <c r="D44"/>
  <c r="D52"/>
  <c r="E7"/>
  <c r="N23"/>
  <c r="T40"/>
  <c r="N43"/>
  <c r="Q33"/>
  <c r="R48"/>
  <c r="J41"/>
  <c r="F56"/>
  <c r="J51"/>
  <c r="L21"/>
  <c r="Q18"/>
  <c r="P49"/>
  <c r="Q12"/>
  <c r="D15"/>
  <c r="E40"/>
  <c r="J24"/>
  <c r="O50"/>
  <c r="S40"/>
  <c r="M29"/>
  <c r="J37"/>
  <c r="F39"/>
  <c r="D24"/>
  <c r="E31"/>
  <c r="M35"/>
  <c r="M32"/>
  <c r="F53"/>
  <c r="O46"/>
  <c r="K7"/>
  <c r="G30"/>
  <c r="L12"/>
  <c r="L56"/>
  <c r="N30"/>
  <c r="K46"/>
  <c r="N32"/>
  <c r="H55"/>
  <c r="H29"/>
  <c r="K33"/>
  <c r="O15"/>
  <c r="I30"/>
  <c r="D53"/>
  <c r="S23"/>
  <c r="F30"/>
  <c r="R39"/>
  <c r="I24"/>
  <c r="G35"/>
  <c r="R31"/>
  <c r="F7"/>
  <c r="J43"/>
  <c r="D13"/>
  <c r="T32"/>
  <c r="K55"/>
  <c r="E47"/>
  <c r="T16"/>
  <c r="R21"/>
  <c r="D29"/>
  <c r="E35"/>
  <c r="E20"/>
  <c r="R15"/>
  <c r="D45"/>
  <c r="Q42"/>
  <c r="Q35"/>
  <c r="L49"/>
  <c r="Q15"/>
  <c r="M20"/>
  <c r="L19"/>
  <c r="N7"/>
  <c r="G23"/>
  <c r="I7"/>
  <c r="L14"/>
  <c r="D50"/>
  <c r="O30"/>
  <c r="F50"/>
  <c r="P39"/>
  <c r="O39"/>
  <c r="F46"/>
  <c r="L32"/>
  <c r="G48"/>
  <c r="P41"/>
  <c r="M46"/>
  <c r="O12"/>
  <c r="I52"/>
  <c r="F54"/>
  <c r="N10"/>
  <c r="K40"/>
  <c r="N15"/>
  <c r="F16"/>
  <c r="D10"/>
  <c r="G13"/>
  <c r="Q24"/>
  <c r="G52"/>
  <c r="I41"/>
  <c r="J19"/>
  <c r="R46"/>
  <c r="P21"/>
  <c r="P35"/>
  <c r="T54"/>
  <c r="T16" i="52" l="1"/>
  <c r="P34" i="53"/>
  <c r="P14" i="52" s="1"/>
  <c r="Q11"/>
  <c r="D8" i="53"/>
  <c r="N8"/>
  <c r="F16" i="52"/>
  <c r="O38" i="53"/>
  <c r="O15" i="52" s="1"/>
  <c r="P38" i="53"/>
  <c r="P15" i="52" s="1"/>
  <c r="I7"/>
  <c r="N7"/>
  <c r="Q34" i="53"/>
  <c r="Q14" i="52" s="1"/>
  <c r="E34" i="53"/>
  <c r="E14" i="52" s="1"/>
  <c r="D28" i="53"/>
  <c r="D12" i="52" s="1"/>
  <c r="K17"/>
  <c r="F7"/>
  <c r="G34" i="53"/>
  <c r="G14" i="52" s="1"/>
  <c r="I11"/>
  <c r="R38" i="53"/>
  <c r="R15" i="52" s="1"/>
  <c r="K13"/>
  <c r="H28" i="53"/>
  <c r="H12" i="52" s="1"/>
  <c r="H17"/>
  <c r="L18"/>
  <c r="K7"/>
  <c r="M34" i="53"/>
  <c r="M14" i="52" s="1"/>
  <c r="D11"/>
  <c r="F38" i="53"/>
  <c r="F15" i="52" s="1"/>
  <c r="M28" i="53"/>
  <c r="M12" i="52" s="1"/>
  <c r="J11"/>
  <c r="Q17" i="53"/>
  <c r="Q10" i="52" s="1"/>
  <c r="F18"/>
  <c r="Q13"/>
  <c r="E7"/>
  <c r="N34" i="53"/>
  <c r="N14" i="52" s="1"/>
  <c r="S38" i="53"/>
  <c r="S15" i="52" s="1"/>
  <c r="T34" i="53"/>
  <c r="T14" i="52" s="1"/>
  <c r="J16"/>
  <c r="K18"/>
  <c r="O13"/>
  <c r="P16"/>
  <c r="G11"/>
  <c r="E38" i="53"/>
  <c r="E15" i="52" s="1"/>
  <c r="Q28" i="53"/>
  <c r="Q12" i="52" s="1"/>
  <c r="M8" i="53"/>
  <c r="R13" i="52"/>
  <c r="H34" i="53"/>
  <c r="H14" i="52" s="1"/>
  <c r="R17" i="53"/>
  <c r="R10" i="52" s="1"/>
  <c r="M13"/>
  <c r="L16"/>
  <c r="T17" i="53"/>
  <c r="T10" i="52" s="1"/>
  <c r="O34" i="53"/>
  <c r="O14" i="52" s="1"/>
  <c r="S17" i="53"/>
  <c r="S10" i="52" s="1"/>
  <c r="E11"/>
  <c r="E8" i="53"/>
  <c r="G17"/>
  <c r="G10" i="52" s="1"/>
  <c r="G18"/>
  <c r="P17"/>
  <c r="F28" i="53"/>
  <c r="F12" i="52" s="1"/>
  <c r="S28" i="53"/>
  <c r="S12" i="52" s="1"/>
  <c r="E13"/>
  <c r="T7"/>
  <c r="R11"/>
  <c r="O8" i="53"/>
  <c r="T28"/>
  <c r="T12" i="52" s="1"/>
  <c r="P13"/>
  <c r="H18"/>
  <c r="M11"/>
  <c r="O18"/>
  <c r="E18"/>
  <c r="L7"/>
  <c r="K17" i="53"/>
  <c r="K10" i="52" s="1"/>
  <c r="N28" i="53"/>
  <c r="N12" i="52" s="1"/>
  <c r="G13"/>
  <c r="H16"/>
  <c r="L17"/>
  <c r="Q8" i="53"/>
  <c r="K38"/>
  <c r="K15" i="52" s="1"/>
  <c r="F11"/>
  <c r="H11"/>
  <c r="F13"/>
  <c r="L8" i="53"/>
  <c r="M7" i="52"/>
  <c r="G16"/>
  <c r="P17" i="53"/>
  <c r="P10" i="52" s="1"/>
  <c r="L11"/>
  <c r="J18"/>
  <c r="Q18"/>
  <c r="Q38" i="53"/>
  <c r="Q15" i="52" s="1"/>
  <c r="K28" i="53"/>
  <c r="K12" i="52" s="1"/>
  <c r="H13"/>
  <c r="N17"/>
  <c r="I8" i="53"/>
  <c r="R16" i="52"/>
  <c r="K34" i="53"/>
  <c r="K14" i="52" s="1"/>
  <c r="E16"/>
  <c r="L34" i="53"/>
  <c r="L14" i="52" s="1"/>
  <c r="J7"/>
  <c r="O11"/>
  <c r="K16"/>
  <c r="D18"/>
  <c r="F17"/>
  <c r="I17"/>
  <c r="T11"/>
  <c r="K11"/>
  <c r="I13"/>
  <c r="O17" i="53"/>
  <c r="O10" i="52" s="1"/>
  <c r="T18"/>
  <c r="E17"/>
  <c r="D13"/>
  <c r="R7"/>
  <c r="S13"/>
  <c r="M38" i="53"/>
  <c r="M15" i="52" s="1"/>
  <c r="P7"/>
  <c r="S34" i="53"/>
  <c r="S14" i="52" s="1"/>
  <c r="M16"/>
  <c r="J28" i="53"/>
  <c r="J12" i="52" s="1"/>
  <c r="I17" i="53"/>
  <c r="I10" i="52" s="1"/>
  <c r="H7"/>
  <c r="S16"/>
  <c r="S7"/>
  <c r="E17" i="53"/>
  <c r="E10" i="52" s="1"/>
  <c r="M18"/>
  <c r="L38" i="53"/>
  <c r="L15" i="52" s="1"/>
  <c r="P8" i="53"/>
  <c r="O28"/>
  <c r="O12" i="52" s="1"/>
  <c r="T8" i="53"/>
  <c r="G38"/>
  <c r="G15" i="52" s="1"/>
  <c r="J34" i="53"/>
  <c r="J14" i="52" s="1"/>
  <c r="D16"/>
  <c r="Q7"/>
  <c r="T38" i="53"/>
  <c r="T15" i="52" s="1"/>
  <c r="D38" i="53"/>
  <c r="D15" i="52" s="1"/>
  <c r="P28" i="53"/>
  <c r="P12" i="52" s="1"/>
  <c r="R8" i="53"/>
  <c r="Q16" i="52"/>
  <c r="E28" i="53"/>
  <c r="E12" i="52" s="1"/>
  <c r="O17"/>
  <c r="F34" i="53"/>
  <c r="F14" i="52" s="1"/>
  <c r="Q17"/>
  <c r="D34" i="53"/>
  <c r="D14" i="52" s="1"/>
  <c r="M17"/>
  <c r="R18"/>
  <c r="O16"/>
  <c r="P18"/>
  <c r="J38" i="53"/>
  <c r="J15" i="52" s="1"/>
  <c r="N11"/>
  <c r="H8" i="53"/>
  <c r="T17" i="52"/>
  <c r="L28" i="53"/>
  <c r="L12" i="52" s="1"/>
  <c r="L17" i="53"/>
  <c r="L10" i="52" s="1"/>
  <c r="N13"/>
  <c r="J17"/>
  <c r="F17" i="53"/>
  <c r="F10" i="52" s="1"/>
  <c r="O7"/>
  <c r="G7"/>
  <c r="P11"/>
  <c r="N16"/>
  <c r="D17" i="53"/>
  <c r="D10" i="52" s="1"/>
  <c r="S17"/>
  <c r="S8" i="53"/>
  <c r="K8"/>
  <c r="J8"/>
  <c r="G17" i="52"/>
  <c r="J13"/>
  <c r="N38" i="53"/>
  <c r="N15" i="52" s="1"/>
  <c r="M17" i="53"/>
  <c r="M10" i="52" s="1"/>
  <c r="G8" i="53"/>
  <c r="S18" i="52"/>
  <c r="S11"/>
  <c r="F8" i="53"/>
  <c r="R34"/>
  <c r="R14" i="52" s="1"/>
  <c r="J17" i="53"/>
  <c r="J10" i="52" s="1"/>
  <c r="I38" i="53"/>
  <c r="I15" i="52" s="1"/>
  <c r="R17"/>
  <c r="L13"/>
  <c r="D7"/>
  <c r="I18"/>
  <c r="T13"/>
  <c r="G28" i="53"/>
  <c r="G12" i="52" s="1"/>
  <c r="I28" i="53"/>
  <c r="I12" i="52" s="1"/>
  <c r="H38" i="53"/>
  <c r="H15" i="52" s="1"/>
  <c r="I34" i="53"/>
  <c r="I14" i="52" s="1"/>
  <c r="D17"/>
  <c r="R28" i="53"/>
  <c r="R12" i="52" s="1"/>
  <c r="H17" i="53"/>
  <c r="H10" i="52" s="1"/>
  <c r="N17" i="53"/>
  <c r="N10" i="52" s="1"/>
  <c r="I16"/>
  <c r="N18"/>
  <c r="H8" l="1"/>
  <c r="H9" s="1"/>
  <c r="H19" s="1"/>
  <c r="H9" i="53"/>
  <c r="H57" s="1"/>
  <c r="P8" i="52"/>
  <c r="P9" s="1"/>
  <c r="P19" s="1"/>
  <c r="P9" i="53"/>
  <c r="P57" s="1"/>
  <c r="I8" i="52"/>
  <c r="I9" s="1"/>
  <c r="I19" s="1"/>
  <c r="I9" i="53"/>
  <c r="I57" s="1"/>
  <c r="Q8" i="52"/>
  <c r="Q9" s="1"/>
  <c r="Q19" s="1"/>
  <c r="Q9" i="53"/>
  <c r="Q57" s="1"/>
  <c r="M8" i="52"/>
  <c r="M9" s="1"/>
  <c r="M19" s="1"/>
  <c r="M9" i="53"/>
  <c r="M57" s="1"/>
  <c r="R9"/>
  <c r="R57" s="1"/>
  <c r="R8" i="52"/>
  <c r="R9" s="1"/>
  <c r="R19" s="1"/>
  <c r="T8"/>
  <c r="T9" s="1"/>
  <c r="T19" s="1"/>
  <c r="T9" i="53"/>
  <c r="T57" s="1"/>
  <c r="E9"/>
  <c r="E57" s="1"/>
  <c r="E8" i="52"/>
  <c r="E9" s="1"/>
  <c r="E19" s="1"/>
  <c r="N9" i="53"/>
  <c r="N57" s="1"/>
  <c r="N8" i="52"/>
  <c r="N9" s="1"/>
  <c r="N19" s="1"/>
  <c r="J9" i="53"/>
  <c r="J57" s="1"/>
  <c r="J8" i="52"/>
  <c r="J9" s="1"/>
  <c r="J19" s="1"/>
  <c r="G9" i="53"/>
  <c r="G57" s="1"/>
  <c r="G8" i="52"/>
  <c r="G9" s="1"/>
  <c r="G19" s="1"/>
  <c r="O9" i="53"/>
  <c r="O57" s="1"/>
  <c r="O8" i="52"/>
  <c r="O9" s="1"/>
  <c r="O19" s="1"/>
  <c r="D9" i="53"/>
  <c r="D57" s="1"/>
  <c r="D8" i="52"/>
  <c r="S8"/>
  <c r="S9" s="1"/>
  <c r="S19" s="1"/>
  <c r="S9" i="53"/>
  <c r="S57" s="1"/>
  <c r="F9"/>
  <c r="F57" s="1"/>
  <c r="F8" i="52"/>
  <c r="F9" s="1"/>
  <c r="F19" s="1"/>
  <c r="K8"/>
  <c r="K9" s="1"/>
  <c r="K19" s="1"/>
  <c r="K9" i="53"/>
  <c r="K57" s="1"/>
  <c r="L8" i="52"/>
  <c r="L9" s="1"/>
  <c r="L19" s="1"/>
  <c r="L9" i="53"/>
  <c r="L57" s="1"/>
  <c r="D9" i="52" l="1"/>
  <c r="D19" s="1"/>
  <c r="C9"/>
</calcChain>
</file>

<file path=xl/comments1.xml><?xml version="1.0" encoding="utf-8"?>
<comments xmlns="http://schemas.openxmlformats.org/spreadsheetml/2006/main">
  <authors>
    <author>JLM</author>
    <author>Alicia A. Diaz</author>
    <author>jmarks</author>
    <author xml:space="preserve"> </author>
    <author>ashleyp</author>
    <author>claudiag</author>
    <author>johnd</author>
    <author>adiaz</author>
    <author>aphillips</author>
    <author>dale.bradley</author>
    <author>FLDOE</author>
    <author>mloverde</author>
    <author>Board of Regents</author>
    <author>Robin Wade</author>
    <author>Lee, Cynthia M.</author>
    <author>lfilipp</author>
    <author>jennifer berg</author>
    <author>ckerr</author>
    <author>Tracy Williams-Pender</author>
    <author>srobi</author>
    <author>cbrown</author>
    <author>Administrator</author>
    <author>YanZheng</author>
    <author>WVHEPC</author>
    <author>Pam Ashley</author>
    <author>Patty Miller</author>
  </authors>
  <commentList>
    <comment ref="G7" authorId="0">
      <text>
        <r>
          <rPr>
            <b/>
            <sz val="10"/>
            <color indexed="81"/>
            <rFont val="Tahoma"/>
            <family val="2"/>
          </rPr>
          <t>JLM:</t>
        </r>
        <r>
          <rPr>
            <sz val="10"/>
            <color indexed="81"/>
            <rFont val="Tahoma"/>
            <family val="2"/>
          </rPr>
          <t xml:space="preserve">
Reflecting end-of-year amounts. </t>
        </r>
      </text>
    </comment>
    <comment ref="I7" authorId="0">
      <text>
        <r>
          <rPr>
            <b/>
            <sz val="10"/>
            <color indexed="81"/>
            <rFont val="Tahoma"/>
            <family val="2"/>
          </rPr>
          <t>JLM:</t>
        </r>
        <r>
          <rPr>
            <sz val="10"/>
            <color indexed="81"/>
            <rFont val="Tahoma"/>
            <family val="2"/>
          </rPr>
          <t xml:space="preserve">
Reflecting end-of-year amounts. </t>
        </r>
      </text>
    </comment>
    <comment ref="K7" authorId="0">
      <text>
        <r>
          <rPr>
            <b/>
            <sz val="10"/>
            <color indexed="81"/>
            <rFont val="Tahoma"/>
            <family val="2"/>
          </rPr>
          <t>JLM:</t>
        </r>
        <r>
          <rPr>
            <sz val="10"/>
            <color indexed="81"/>
            <rFont val="Tahoma"/>
            <family val="2"/>
          </rPr>
          <t xml:space="preserve">
Reflecting end-of-year amounts. </t>
        </r>
      </text>
    </comment>
    <comment ref="M7" authorId="0">
      <text>
        <r>
          <rPr>
            <b/>
            <sz val="10"/>
            <color indexed="81"/>
            <rFont val="Tahoma"/>
            <family val="2"/>
          </rPr>
          <t>JLM:</t>
        </r>
        <r>
          <rPr>
            <sz val="10"/>
            <color indexed="81"/>
            <rFont val="Tahoma"/>
            <family val="2"/>
          </rPr>
          <t xml:space="preserve">
Reflecting end-of-year amounts. </t>
        </r>
      </text>
    </comment>
    <comment ref="N7" authorId="0">
      <text>
        <r>
          <rPr>
            <b/>
            <sz val="10"/>
            <color indexed="81"/>
            <rFont val="Tahoma"/>
            <family val="2"/>
          </rPr>
          <t>JLM:</t>
        </r>
        <r>
          <rPr>
            <sz val="10"/>
            <color indexed="81"/>
            <rFont val="Tahoma"/>
            <family val="2"/>
          </rPr>
          <t xml:space="preserve">
Reflecting end-of-year amounts. </t>
        </r>
      </text>
    </comment>
    <comment ref="E97" authorId="1">
      <text>
        <r>
          <rPr>
            <b/>
            <sz val="8"/>
            <color indexed="81"/>
            <rFont val="Tahoma"/>
            <family val="2"/>
          </rPr>
          <t>No Freshmen, Upper Level school - will not have data in every section.</t>
        </r>
      </text>
    </comment>
    <comment ref="E98" authorId="1">
      <text>
        <r>
          <rPr>
            <b/>
            <sz val="8"/>
            <color indexed="81"/>
            <rFont val="Tahoma"/>
            <family val="2"/>
          </rPr>
          <t>No Freshmen, Upper Level school - will not have data in every section.</t>
        </r>
      </text>
    </comment>
    <comment ref="E99" authorId="1">
      <text>
        <r>
          <rPr>
            <b/>
            <sz val="8"/>
            <color indexed="81"/>
            <rFont val="Tahoma"/>
            <family val="2"/>
          </rPr>
          <t>No Freshmen, Upper Level school - will not have data in every section.</t>
        </r>
      </text>
    </comment>
    <comment ref="C355" authorId="2">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56" authorId="2">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57" authorId="2">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69" authorId="3">
      <text>
        <r>
          <rPr>
            <sz val="10"/>
            <color indexed="81"/>
            <rFont val="Tahoma"/>
            <family val="2"/>
          </rPr>
          <t xml:space="preserve">Institution name changed - formerly Arkansas Valley Technical Institute
</t>
        </r>
      </text>
    </comment>
    <comment ref="M385" authorId="4">
      <text>
        <r>
          <rPr>
            <b/>
            <sz val="8"/>
            <color indexed="81"/>
            <rFont val="Tahoma"/>
            <family val="2"/>
          </rPr>
          <t>ashleyp:</t>
        </r>
        <r>
          <rPr>
            <sz val="8"/>
            <color indexed="81"/>
            <rFont val="Tahoma"/>
            <family val="2"/>
          </rPr>
          <t xml:space="preserve">
Arkansas State University Technical Center-Marked Tree merged with this institution in FY09.</t>
        </r>
      </text>
    </comment>
    <comment ref="U413" authorId="5">
      <text>
        <r>
          <rPr>
            <b/>
            <sz val="8"/>
            <color indexed="81"/>
            <rFont val="Tahoma"/>
            <family val="2"/>
          </rPr>
          <t>claudiag:</t>
        </r>
        <r>
          <rPr>
            <sz val="8"/>
            <color indexed="81"/>
            <rFont val="Tahoma"/>
            <family val="2"/>
          </rPr>
          <t xml:space="preserve">
Included in Board amount above</t>
        </r>
      </text>
    </comment>
    <comment ref="U414" authorId="5">
      <text>
        <r>
          <rPr>
            <b/>
            <sz val="8"/>
            <color indexed="81"/>
            <rFont val="Tahoma"/>
            <family val="2"/>
          </rPr>
          <t>claudiag:</t>
        </r>
        <r>
          <rPr>
            <sz val="8"/>
            <color indexed="81"/>
            <rFont val="Tahoma"/>
            <family val="2"/>
          </rPr>
          <t xml:space="preserve">
Included in Board amount above</t>
        </r>
      </text>
    </comment>
    <comment ref="C420" authorId="6">
      <text>
        <r>
          <rPr>
            <b/>
            <sz val="8"/>
            <color indexed="81"/>
            <rFont val="Tahoma"/>
            <family val="2"/>
          </rPr>
          <t>johnd:</t>
        </r>
        <r>
          <rPr>
            <sz val="8"/>
            <color indexed="81"/>
            <rFont val="Tahoma"/>
            <family val="2"/>
          </rPr>
          <t xml:space="preserve">
changed name from Dr. William M Scholl College of Podiatric Medicine</t>
        </r>
      </text>
    </comment>
    <comment ref="C423" authorId="4">
      <text>
        <r>
          <rPr>
            <b/>
            <sz val="8"/>
            <color indexed="81"/>
            <rFont val="Tahoma"/>
            <family val="2"/>
          </rPr>
          <t>ashleyp:</t>
        </r>
        <r>
          <rPr>
            <sz val="8"/>
            <color indexed="81"/>
            <rFont val="Tahoma"/>
            <family val="2"/>
          </rPr>
          <t xml:space="preserve">
new institution added </t>
        </r>
      </text>
    </comment>
    <comment ref="C452" authorId="4">
      <text>
        <r>
          <rPr>
            <b/>
            <sz val="8"/>
            <color indexed="81"/>
            <rFont val="Tahoma"/>
            <family val="2"/>
          </rPr>
          <t>ashleyp:</t>
        </r>
        <r>
          <rPr>
            <sz val="8"/>
            <color indexed="81"/>
            <rFont val="Tahoma"/>
            <family val="2"/>
          </rPr>
          <t xml:space="preserve">
new program
</t>
        </r>
      </text>
    </comment>
    <comment ref="U452" authorId="7">
      <text>
        <r>
          <rPr>
            <sz val="8"/>
            <color indexed="81"/>
            <rFont val="Tahoma"/>
            <family val="2"/>
          </rPr>
          <t xml:space="preserve">Higher Education Opportunities Grant – eligibility criteria opened up which will allow more qualified participants
National Guard – funding increased
Minority Master’s Fellows – phasing out program
Workforce Improvement - funding increased
</t>
        </r>
      </text>
    </comment>
    <comment ref="C459" authorId="5">
      <text>
        <r>
          <rPr>
            <b/>
            <sz val="8"/>
            <color indexed="81"/>
            <rFont val="Tahoma"/>
            <family val="2"/>
          </rPr>
          <t>claudiag:</t>
        </r>
        <r>
          <rPr>
            <sz val="8"/>
            <color indexed="81"/>
            <rFont val="Tahoma"/>
            <family val="2"/>
          </rPr>
          <t xml:space="preserve">
Name changedfrom Teacher Retraining Grants to Teacher Opportunity Program</t>
        </r>
      </text>
    </comment>
    <comment ref="C565" authorId="2">
      <text>
        <r>
          <rPr>
            <b/>
            <sz val="8"/>
            <color indexed="81"/>
            <rFont val="Tahoma"/>
            <family val="2"/>
          </rPr>
          <t>jmarks:</t>
        </r>
        <r>
          <rPr>
            <sz val="8"/>
            <color indexed="81"/>
            <rFont val="Tahoma"/>
            <family val="2"/>
          </rPr>
          <t xml:space="preserve">
In DE  H.Ed. Office budget
</t>
        </r>
      </text>
    </comment>
    <comment ref="C569" authorId="8">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572" authorId="8">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C639" authorId="2">
      <text>
        <r>
          <rPr>
            <b/>
            <sz val="10"/>
            <color indexed="81"/>
            <rFont val="Tahoma"/>
            <family val="2"/>
          </rPr>
          <t>Aphillips: program being phased out</t>
        </r>
      </text>
    </comment>
    <comment ref="C653" authorId="2">
      <text>
        <r>
          <rPr>
            <b/>
            <sz val="10"/>
            <color indexed="81"/>
            <rFont val="Tahoma"/>
            <family val="2"/>
          </rPr>
          <t>APhillips:</t>
        </r>
        <r>
          <rPr>
            <sz val="10"/>
            <color indexed="81"/>
            <rFont val="Tahoma"/>
            <family val="2"/>
          </rPr>
          <t xml:space="preserve">
previously Gov's Workforce Dvlpmt Grant</t>
        </r>
      </text>
    </comment>
    <comment ref="C660" authorId="2">
      <text>
        <r>
          <rPr>
            <b/>
            <sz val="10"/>
            <color indexed="81"/>
            <rFont val="Tahoma"/>
            <family val="2"/>
          </rPr>
          <t>Aphillips: 
new program</t>
        </r>
      </text>
    </comment>
    <comment ref="C695" authorId="8">
      <text>
        <r>
          <rPr>
            <b/>
            <sz val="8"/>
            <color indexed="81"/>
            <rFont val="Tahoma"/>
            <family val="2"/>
          </rPr>
          <t>aphillips:</t>
        </r>
        <r>
          <rPr>
            <sz val="8"/>
            <color indexed="81"/>
            <rFont val="Tahoma"/>
            <family val="2"/>
          </rPr>
          <t xml:space="preserve">
Program suspended effective 2008-2009.</t>
        </r>
      </text>
    </comment>
    <comment ref="C702" authorId="8">
      <text>
        <r>
          <rPr>
            <b/>
            <sz val="8"/>
            <color indexed="81"/>
            <rFont val="Tahoma"/>
            <family val="2"/>
          </rPr>
          <t>aphillips:</t>
        </r>
        <r>
          <rPr>
            <sz val="8"/>
            <color indexed="81"/>
            <rFont val="Tahoma"/>
            <family val="2"/>
          </rPr>
          <t xml:space="preserve">
Payments are made to individuals, not institutions for course reimbursements</t>
        </r>
      </text>
    </comment>
    <comment ref="C709" authorId="8">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18" authorId="8">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N738" authorId="9">
      <text>
        <r>
          <rPr>
            <b/>
            <sz val="8"/>
            <color indexed="81"/>
            <rFont val="Tahoma"/>
            <family val="2"/>
          </rPr>
          <t>dale.bradley:</t>
        </r>
        <r>
          <rPr>
            <sz val="8"/>
            <color indexed="81"/>
            <rFont val="Tahoma"/>
            <family val="2"/>
          </rPr>
          <t xml:space="preserve">
CITF from BOG facilities.</t>
        </r>
      </text>
    </comment>
    <comment ref="C742" authorId="9">
      <text>
        <r>
          <rPr>
            <b/>
            <sz val="8"/>
            <color indexed="81"/>
            <rFont val="Tahoma"/>
            <family val="2"/>
          </rPr>
          <t>dale.bradley:</t>
        </r>
        <r>
          <rPr>
            <sz val="8"/>
            <color indexed="81"/>
            <rFont val="Tahoma"/>
            <family val="2"/>
          </rPr>
          <t xml:space="preserve">
Autism funding moved to medical school for 2009-10.</t>
        </r>
      </text>
    </comment>
    <comment ref="AC742" authorId="9">
      <text>
        <r>
          <rPr>
            <b/>
            <sz val="8"/>
            <color indexed="81"/>
            <rFont val="Tahoma"/>
            <family val="2"/>
          </rPr>
          <t>dale.bradley:</t>
        </r>
        <r>
          <rPr>
            <sz val="8"/>
            <color indexed="81"/>
            <rFont val="Tahoma"/>
            <family val="2"/>
          </rPr>
          <t xml:space="preserve">
Specific Appropriation 92
</t>
        </r>
      </text>
    </comment>
    <comment ref="AD742" authorId="9">
      <text>
        <r>
          <rPr>
            <b/>
            <sz val="8"/>
            <color indexed="81"/>
            <rFont val="Tahoma"/>
            <family val="2"/>
          </rPr>
          <t>dale.bradley:</t>
        </r>
        <r>
          <rPr>
            <sz val="8"/>
            <color indexed="81"/>
            <rFont val="Tahoma"/>
            <family val="2"/>
          </rPr>
          <t xml:space="preserve">
S.A. 92</t>
        </r>
      </text>
    </comment>
    <comment ref="I743" authorId="9">
      <text>
        <r>
          <rPr>
            <b/>
            <sz val="8"/>
            <color indexed="81"/>
            <rFont val="Tahoma"/>
            <family val="2"/>
          </rPr>
          <t>dale.bradley:</t>
        </r>
        <r>
          <rPr>
            <sz val="8"/>
            <color indexed="81"/>
            <rFont val="Tahoma"/>
            <family val="2"/>
          </rPr>
          <t xml:space="preserve">
Fla Diagnostic &amp; Learning Resources Center. Spec Appropriation 88.</t>
        </r>
      </text>
    </comment>
    <comment ref="J743" authorId="9">
      <text>
        <r>
          <rPr>
            <b/>
            <sz val="8"/>
            <color indexed="81"/>
            <rFont val="Tahoma"/>
            <family val="2"/>
          </rPr>
          <t>dale.bradley:</t>
        </r>
        <r>
          <rPr>
            <sz val="8"/>
            <color indexed="81"/>
            <rFont val="Tahoma"/>
            <family val="2"/>
          </rPr>
          <t xml:space="preserve">
S.A. 87</t>
        </r>
      </text>
    </comment>
    <comment ref="C745" authorId="2">
      <text>
        <r>
          <rPr>
            <b/>
            <sz val="8"/>
            <color indexed="81"/>
            <rFont val="Tahoma"/>
            <family val="2"/>
          </rPr>
          <t>jmarks:</t>
        </r>
        <r>
          <rPr>
            <sz val="8"/>
            <color indexed="81"/>
            <rFont val="Tahoma"/>
            <family val="2"/>
          </rPr>
          <t xml:space="preserve">
state funds through DOE</t>
        </r>
      </text>
    </comment>
    <comment ref="I746" authorId="9">
      <text>
        <r>
          <rPr>
            <b/>
            <sz val="8"/>
            <color indexed="81"/>
            <rFont val="Tahoma"/>
            <family val="2"/>
          </rPr>
          <t>dale.bradley:</t>
        </r>
        <r>
          <rPr>
            <sz val="8"/>
            <color indexed="81"/>
            <rFont val="Tahoma"/>
            <family val="2"/>
          </rPr>
          <t xml:space="preserve">
Specific Appropriation 100. Provided to main campus for 2008-09.</t>
        </r>
      </text>
    </comment>
    <comment ref="I748" authorId="7">
      <text>
        <r>
          <rPr>
            <b/>
            <sz val="8"/>
            <color indexed="81"/>
            <rFont val="Tahoma"/>
            <family val="2"/>
          </rPr>
          <t>there was no funding provided in 2009-10 for the Centers of Excellence and Florida Energy Systems Consortium programs.</t>
        </r>
      </text>
    </comment>
    <comment ref="I749" authorId="7">
      <text>
        <r>
          <rPr>
            <b/>
            <sz val="8"/>
            <color indexed="81"/>
            <rFont val="Tahoma"/>
            <family val="2"/>
          </rPr>
          <t>there was no funding provided in 2009-10 for the Centers of Excellence and Florida Energy Systems Consortium programs.</t>
        </r>
      </text>
    </comment>
    <comment ref="I755" authorId="9">
      <text>
        <r>
          <rPr>
            <b/>
            <sz val="8"/>
            <color indexed="81"/>
            <rFont val="Tahoma"/>
            <family val="2"/>
          </rPr>
          <t>dale.bradley:</t>
        </r>
        <r>
          <rPr>
            <sz val="8"/>
            <color indexed="81"/>
            <rFont val="Tahoma"/>
            <family val="2"/>
          </rPr>
          <t xml:space="preserve">
Specific Appropriation 92
</t>
        </r>
      </text>
    </comment>
    <comment ref="I757" authorId="7">
      <text>
        <r>
          <rPr>
            <b/>
            <sz val="8"/>
            <color indexed="81"/>
            <rFont val="Tahoma"/>
            <family val="2"/>
          </rPr>
          <t>there was no funding provided in 2009-10 for the Centers of Excellence and Florida Energy Systems Consortium programs.</t>
        </r>
      </text>
    </comment>
    <comment ref="AC762" authorId="9">
      <text>
        <r>
          <rPr>
            <b/>
            <sz val="8"/>
            <color indexed="81"/>
            <rFont val="Tahoma"/>
            <family val="2"/>
          </rPr>
          <t>dale.bradley:</t>
        </r>
        <r>
          <rPr>
            <sz val="8"/>
            <color indexed="81"/>
            <rFont val="Tahoma"/>
            <family val="2"/>
          </rPr>
          <t xml:space="preserve">
Specific Appropriation 92</t>
        </r>
      </text>
    </comment>
    <comment ref="AD762" authorId="9">
      <text>
        <r>
          <rPr>
            <b/>
            <sz val="8"/>
            <color indexed="81"/>
            <rFont val="Tahoma"/>
            <family val="2"/>
          </rPr>
          <t>dale.bradley:</t>
        </r>
        <r>
          <rPr>
            <sz val="8"/>
            <color indexed="81"/>
            <rFont val="Tahoma"/>
            <family val="2"/>
          </rPr>
          <t xml:space="preserve">
S.A. 92</t>
        </r>
      </text>
    </comment>
    <comment ref="AD763" authorId="9">
      <text>
        <r>
          <rPr>
            <b/>
            <sz val="8"/>
            <color indexed="81"/>
            <rFont val="Tahoma"/>
            <family val="2"/>
          </rPr>
          <t>dale.bradley:</t>
        </r>
        <r>
          <rPr>
            <sz val="8"/>
            <color indexed="81"/>
            <rFont val="Tahoma"/>
            <family val="2"/>
          </rPr>
          <t xml:space="preserve">
S.A. 92</t>
        </r>
      </text>
    </comment>
    <comment ref="I764" authorId="9">
      <text>
        <r>
          <rPr>
            <b/>
            <sz val="8"/>
            <color indexed="81"/>
            <rFont val="Tahoma"/>
            <family val="2"/>
          </rPr>
          <t>dale.bradley:</t>
        </r>
        <r>
          <rPr>
            <sz val="8"/>
            <color indexed="81"/>
            <rFont val="Tahoma"/>
            <family val="2"/>
          </rPr>
          <t xml:space="preserve">
Fla Diagnostic &amp; Learning Resource Center. Spec Appropriation 88.</t>
        </r>
      </text>
    </comment>
    <comment ref="J764" authorId="9">
      <text>
        <r>
          <rPr>
            <b/>
            <sz val="8"/>
            <color indexed="81"/>
            <rFont val="Tahoma"/>
            <family val="2"/>
          </rPr>
          <t>dale.bradley:</t>
        </r>
        <r>
          <rPr>
            <sz val="8"/>
            <color indexed="81"/>
            <rFont val="Tahoma"/>
            <family val="2"/>
          </rPr>
          <t xml:space="preserve">
S.A. 87</t>
        </r>
      </text>
    </comment>
    <comment ref="AC764" authorId="9">
      <text>
        <r>
          <rPr>
            <b/>
            <sz val="8"/>
            <color indexed="81"/>
            <rFont val="Tahoma"/>
            <family val="2"/>
          </rPr>
          <t>dale.bradley:</t>
        </r>
        <r>
          <rPr>
            <sz val="8"/>
            <color indexed="81"/>
            <rFont val="Tahoma"/>
            <family val="2"/>
          </rPr>
          <t xml:space="preserve">
Fla Diagnostic &amp; Learning Centers at Jacksonville. Spec Appropriation 88.</t>
        </r>
      </text>
    </comment>
    <comment ref="AD764" authorId="9">
      <text>
        <r>
          <rPr>
            <b/>
            <sz val="8"/>
            <color indexed="81"/>
            <rFont val="Tahoma"/>
            <family val="2"/>
          </rPr>
          <t>dale.bradley:</t>
        </r>
        <r>
          <rPr>
            <sz val="8"/>
            <color indexed="81"/>
            <rFont val="Tahoma"/>
            <family val="2"/>
          </rPr>
          <t xml:space="preserve">
S.A. 87</t>
        </r>
      </text>
    </comment>
    <comment ref="C765" authorId="2">
      <text>
        <r>
          <rPr>
            <b/>
            <sz val="8"/>
            <color indexed="81"/>
            <rFont val="Tahoma"/>
            <family val="2"/>
          </rPr>
          <t>jmarks:state funds through DOE</t>
        </r>
        <r>
          <rPr>
            <sz val="8"/>
            <color indexed="81"/>
            <rFont val="Tahoma"/>
            <family val="2"/>
          </rPr>
          <t xml:space="preserve">
</t>
        </r>
      </text>
    </comment>
    <comment ref="I766" authorId="9">
      <text>
        <r>
          <rPr>
            <b/>
            <sz val="8"/>
            <color indexed="81"/>
            <rFont val="Tahoma"/>
            <family val="2"/>
          </rPr>
          <t>dale.bradley:</t>
        </r>
        <r>
          <rPr>
            <sz val="8"/>
            <color indexed="81"/>
            <rFont val="Tahoma"/>
            <family val="2"/>
          </rPr>
          <t xml:space="preserve">
Includes incidental trust funds (no federal tf).</t>
        </r>
      </text>
    </comment>
    <comment ref="I768" authorId="7">
      <text>
        <r>
          <rPr>
            <b/>
            <sz val="8"/>
            <color indexed="81"/>
            <rFont val="Tahoma"/>
            <family val="2"/>
          </rPr>
          <t>there was no funding provided in 2009-10 for the Centers of Excellence and Florida Energy Systems Consortium programs.</t>
        </r>
      </text>
    </comment>
    <comment ref="I773" authorId="9">
      <text>
        <r>
          <rPr>
            <b/>
            <sz val="8"/>
            <color indexed="81"/>
            <rFont val="Tahoma"/>
            <family val="2"/>
          </rPr>
          <t>dale.bradley:</t>
        </r>
        <r>
          <rPr>
            <sz val="8"/>
            <color indexed="81"/>
            <rFont val="Tahoma"/>
            <family val="2"/>
          </rPr>
          <t xml:space="preserve">
Fla Diagnostic &amp; Learning Resource Center. Spec Appropriation 88.</t>
        </r>
      </text>
    </comment>
    <comment ref="J773" authorId="9">
      <text>
        <r>
          <rPr>
            <b/>
            <sz val="8"/>
            <color indexed="81"/>
            <rFont val="Tahoma"/>
            <family val="2"/>
          </rPr>
          <t>dale.bradley:</t>
        </r>
        <r>
          <rPr>
            <sz val="8"/>
            <color indexed="81"/>
            <rFont val="Tahoma"/>
            <family val="2"/>
          </rPr>
          <t xml:space="preserve">
S.A. 87</t>
        </r>
      </text>
    </comment>
    <comment ref="I774" authorId="9">
      <text>
        <r>
          <rPr>
            <b/>
            <sz val="8"/>
            <color indexed="81"/>
            <rFont val="Tahoma"/>
            <family val="2"/>
          </rPr>
          <t>dale.bradley:</t>
        </r>
        <r>
          <rPr>
            <sz val="8"/>
            <color indexed="81"/>
            <rFont val="Tahoma"/>
            <family val="2"/>
          </rPr>
          <t xml:space="preserve">
Does not include risk management insurances.</t>
        </r>
      </text>
    </comment>
    <comment ref="I776" authorId="9">
      <text>
        <r>
          <rPr>
            <b/>
            <sz val="8"/>
            <color indexed="81"/>
            <rFont val="Tahoma"/>
            <family val="2"/>
          </rPr>
          <t>dale.bradley:</t>
        </r>
        <r>
          <rPr>
            <sz val="8"/>
            <color indexed="81"/>
            <rFont val="Tahoma"/>
            <family val="2"/>
          </rPr>
          <t xml:space="preserve">
Specific Appropriation 92</t>
        </r>
      </text>
    </comment>
    <comment ref="I777" authorId="7">
      <text>
        <r>
          <rPr>
            <b/>
            <sz val="8"/>
            <color indexed="81"/>
            <rFont val="Tahoma"/>
            <family val="2"/>
          </rPr>
          <t>there was no funding provided in 2009-10 for the Centers of Excellence and Florida Energy Systems Consortium programs.</t>
        </r>
      </text>
    </comment>
    <comment ref="I782" authorId="9">
      <text>
        <r>
          <rPr>
            <b/>
            <sz val="8"/>
            <color indexed="81"/>
            <rFont val="Tahoma"/>
            <family val="2"/>
          </rPr>
          <t>dale.bradley:</t>
        </r>
        <r>
          <rPr>
            <sz val="8"/>
            <color indexed="81"/>
            <rFont val="Tahoma"/>
            <family val="2"/>
          </rPr>
          <t xml:space="preserve">
Specific Appropriation 92</t>
        </r>
      </text>
    </comment>
    <comment ref="C784" authorId="2">
      <text>
        <r>
          <rPr>
            <b/>
            <sz val="8"/>
            <color indexed="81"/>
            <rFont val="Tahoma"/>
            <family val="2"/>
          </rPr>
          <t>jmarks:</t>
        </r>
        <r>
          <rPr>
            <sz val="8"/>
            <color indexed="81"/>
            <rFont val="Tahoma"/>
            <family val="2"/>
          </rPr>
          <t xml:space="preserve">
state funds through DOE</t>
        </r>
      </text>
    </comment>
    <comment ref="I786" authorId="7">
      <text>
        <r>
          <rPr>
            <b/>
            <sz val="8"/>
            <color indexed="81"/>
            <rFont val="Tahoma"/>
            <family val="2"/>
          </rPr>
          <t>there was no funding provided in 2009-10 for the Centers of Excellence and Florida Energy Systems Consortium programs.</t>
        </r>
      </text>
    </comment>
    <comment ref="C791" authorId="2">
      <text>
        <r>
          <rPr>
            <b/>
            <sz val="8"/>
            <color indexed="81"/>
            <rFont val="Tahoma"/>
            <family val="2"/>
          </rPr>
          <t>jmarks:</t>
        </r>
        <r>
          <rPr>
            <sz val="8"/>
            <color indexed="81"/>
            <rFont val="Tahoma"/>
            <family val="2"/>
          </rPr>
          <t xml:space="preserve">
state funds through DOE</t>
        </r>
      </text>
    </comment>
    <comment ref="C804" authorId="2">
      <text>
        <r>
          <rPr>
            <b/>
            <sz val="8"/>
            <color indexed="81"/>
            <rFont val="Tahoma"/>
            <family val="2"/>
          </rPr>
          <t>jmarks:</t>
        </r>
        <r>
          <rPr>
            <sz val="8"/>
            <color indexed="81"/>
            <rFont val="Tahoma"/>
            <family val="2"/>
          </rPr>
          <t xml:space="preserve">
Previously reported figures were not operating funds but additions to endownments.</t>
        </r>
      </text>
    </comment>
    <comment ref="V814" authorId="9">
      <text>
        <r>
          <rPr>
            <b/>
            <sz val="8"/>
            <color indexed="81"/>
            <rFont val="Tahoma"/>
            <family val="2"/>
          </rPr>
          <t>dale.bradley:</t>
        </r>
        <r>
          <rPr>
            <sz val="8"/>
            <color indexed="81"/>
            <rFont val="Tahoma"/>
            <family val="2"/>
          </rPr>
          <t xml:space="preserve">
Per Heidie Bryant</t>
        </r>
      </text>
    </comment>
    <comment ref="U816" authorId="9">
      <text>
        <r>
          <rPr>
            <b/>
            <sz val="8"/>
            <color indexed="81"/>
            <rFont val="Tahoma"/>
            <family val="2"/>
          </rPr>
          <t>dale.bradley:</t>
        </r>
        <r>
          <rPr>
            <sz val="8"/>
            <color indexed="81"/>
            <rFont val="Tahoma"/>
            <family val="2"/>
          </rPr>
          <t xml:space="preserve">
Per Amy Hammock &amp; Dewey Phillips - DOE.</t>
        </r>
      </text>
    </comment>
    <comment ref="U819" authorId="9">
      <text>
        <r>
          <rPr>
            <b/>
            <sz val="8"/>
            <color indexed="81"/>
            <rFont val="Tahoma"/>
            <family val="2"/>
          </rPr>
          <t>dale.bradley:</t>
        </r>
        <r>
          <rPr>
            <sz val="8"/>
            <color indexed="81"/>
            <rFont val="Tahoma"/>
            <family val="2"/>
          </rPr>
          <t xml:space="preserve">
Specific Appropriation 57.</t>
        </r>
      </text>
    </comment>
    <comment ref="V819" authorId="9">
      <text>
        <r>
          <rPr>
            <b/>
            <sz val="8"/>
            <color indexed="81"/>
            <rFont val="Tahoma"/>
            <family val="2"/>
          </rPr>
          <t>dale.bradley:</t>
        </r>
        <r>
          <rPr>
            <sz val="8"/>
            <color indexed="81"/>
            <rFont val="Tahoma"/>
            <family val="2"/>
          </rPr>
          <t xml:space="preserve">
SA 59
</t>
        </r>
      </text>
    </comment>
    <comment ref="V820" authorId="9">
      <text>
        <r>
          <rPr>
            <b/>
            <sz val="8"/>
            <color indexed="81"/>
            <rFont val="Tahoma"/>
            <family val="2"/>
          </rPr>
          <t>dale.bradley:</t>
        </r>
        <r>
          <rPr>
            <sz val="8"/>
            <color indexed="81"/>
            <rFont val="Tahoma"/>
            <family val="2"/>
          </rPr>
          <t xml:space="preserve">
S.A. 61</t>
        </r>
      </text>
    </comment>
    <comment ref="U821" authorId="9">
      <text>
        <r>
          <rPr>
            <b/>
            <sz val="8"/>
            <color indexed="81"/>
            <rFont val="Tahoma"/>
            <family val="2"/>
          </rPr>
          <t>dale.bradley:</t>
        </r>
        <r>
          <rPr>
            <sz val="8"/>
            <color indexed="81"/>
            <rFont val="Tahoma"/>
            <family val="2"/>
          </rPr>
          <t xml:space="preserve">
Specific Appropriation 92.</t>
        </r>
      </text>
    </comment>
    <comment ref="V821" authorId="9">
      <text>
        <r>
          <rPr>
            <b/>
            <sz val="8"/>
            <color indexed="81"/>
            <rFont val="Tahoma"/>
            <family val="2"/>
          </rPr>
          <t>dale.bradley:</t>
        </r>
        <r>
          <rPr>
            <sz val="8"/>
            <color indexed="81"/>
            <rFont val="Tahoma"/>
            <family val="2"/>
          </rPr>
          <t xml:space="preserve">
S.A 92</t>
        </r>
      </text>
    </comment>
    <comment ref="U822" authorId="9">
      <text>
        <r>
          <rPr>
            <b/>
            <sz val="8"/>
            <color indexed="81"/>
            <rFont val="Tahoma"/>
            <family val="2"/>
          </rPr>
          <t>dale.bradley:</t>
        </r>
        <r>
          <rPr>
            <sz val="8"/>
            <color indexed="81"/>
            <rFont val="Tahoma"/>
            <family val="2"/>
          </rPr>
          <t xml:space="preserve">
Specific Appropriation 61.</t>
        </r>
      </text>
    </comment>
    <comment ref="V822" authorId="9">
      <text>
        <r>
          <rPr>
            <b/>
            <sz val="8"/>
            <color indexed="81"/>
            <rFont val="Tahoma"/>
            <family val="2"/>
          </rPr>
          <t>dale.bradley:</t>
        </r>
        <r>
          <rPr>
            <sz val="8"/>
            <color indexed="81"/>
            <rFont val="Tahoma"/>
            <family val="2"/>
          </rPr>
          <t xml:space="preserve">
S.A. 63</t>
        </r>
      </text>
    </comment>
    <comment ref="U823" authorId="9">
      <text>
        <r>
          <rPr>
            <b/>
            <sz val="8"/>
            <color indexed="81"/>
            <rFont val="Tahoma"/>
            <family val="2"/>
          </rPr>
          <t>dale.bradley:</t>
        </r>
        <r>
          <rPr>
            <sz val="8"/>
            <color indexed="81"/>
            <rFont val="Tahoma"/>
            <family val="2"/>
          </rPr>
          <t xml:space="preserve">
Specific Appropriation 56.</t>
        </r>
      </text>
    </comment>
    <comment ref="V823" authorId="9">
      <text>
        <r>
          <rPr>
            <b/>
            <sz val="8"/>
            <color indexed="81"/>
            <rFont val="Tahoma"/>
            <family val="2"/>
          </rPr>
          <t>dale.bradley:</t>
        </r>
        <r>
          <rPr>
            <sz val="8"/>
            <color indexed="81"/>
            <rFont val="Tahoma"/>
            <family val="2"/>
          </rPr>
          <t xml:space="preserve">
S.A. 58</t>
        </r>
      </text>
    </comment>
    <comment ref="U824" authorId="9">
      <text>
        <r>
          <rPr>
            <b/>
            <sz val="8"/>
            <color indexed="81"/>
            <rFont val="Tahoma"/>
            <family val="2"/>
          </rPr>
          <t>dale.bradley:</t>
        </r>
        <r>
          <rPr>
            <sz val="8"/>
            <color indexed="81"/>
            <rFont val="Tahoma"/>
            <family val="2"/>
          </rPr>
          <t xml:space="preserve">
S.A. 56</t>
        </r>
      </text>
    </comment>
    <comment ref="V824" authorId="9">
      <text>
        <r>
          <rPr>
            <b/>
            <sz val="8"/>
            <color indexed="81"/>
            <rFont val="Tahoma"/>
            <family val="2"/>
          </rPr>
          <t>dale.bradley:</t>
        </r>
        <r>
          <rPr>
            <sz val="8"/>
            <color indexed="81"/>
            <rFont val="Tahoma"/>
            <family val="2"/>
          </rPr>
          <t xml:space="preserve">
S.A. 58</t>
        </r>
      </text>
    </comment>
    <comment ref="U825" authorId="9">
      <text>
        <r>
          <rPr>
            <b/>
            <sz val="8"/>
            <color indexed="81"/>
            <rFont val="Tahoma"/>
            <family val="2"/>
          </rPr>
          <t>dale.bradley:</t>
        </r>
        <r>
          <rPr>
            <sz val="8"/>
            <color indexed="81"/>
            <rFont val="Tahoma"/>
            <family val="2"/>
          </rPr>
          <t xml:space="preserve">
S.A. 56</t>
        </r>
      </text>
    </comment>
    <comment ref="V825" authorId="9">
      <text>
        <r>
          <rPr>
            <b/>
            <sz val="8"/>
            <color indexed="81"/>
            <rFont val="Tahoma"/>
            <family val="2"/>
          </rPr>
          <t>dale.bradley:</t>
        </r>
        <r>
          <rPr>
            <sz val="8"/>
            <color indexed="81"/>
            <rFont val="Tahoma"/>
            <family val="2"/>
          </rPr>
          <t xml:space="preserve">
S.A. 58</t>
        </r>
      </text>
    </comment>
    <comment ref="U826" authorId="9">
      <text>
        <r>
          <rPr>
            <b/>
            <sz val="8"/>
            <color indexed="81"/>
            <rFont val="Tahoma"/>
            <family val="2"/>
          </rPr>
          <t>dale.bradley:</t>
        </r>
        <r>
          <rPr>
            <sz val="8"/>
            <color indexed="81"/>
            <rFont val="Tahoma"/>
            <family val="2"/>
          </rPr>
          <t xml:space="preserve">
S.A. 56</t>
        </r>
      </text>
    </comment>
    <comment ref="V826" authorId="9">
      <text>
        <r>
          <rPr>
            <b/>
            <sz val="8"/>
            <color indexed="81"/>
            <rFont val="Tahoma"/>
            <family val="2"/>
          </rPr>
          <t>dale.bradley:</t>
        </r>
        <r>
          <rPr>
            <sz val="8"/>
            <color indexed="81"/>
            <rFont val="Tahoma"/>
            <family val="2"/>
          </rPr>
          <t xml:space="preserve">
S.A. 58</t>
        </r>
      </text>
    </comment>
    <comment ref="U831" authorId="9">
      <text>
        <r>
          <rPr>
            <b/>
            <sz val="8"/>
            <color indexed="81"/>
            <rFont val="Tahoma"/>
            <family val="2"/>
          </rPr>
          <t>dale.bradley:</t>
        </r>
        <r>
          <rPr>
            <sz val="8"/>
            <color indexed="81"/>
            <rFont val="Tahoma"/>
            <family val="2"/>
          </rPr>
          <t xml:space="preserve">
Specific Appropriation 58.</t>
        </r>
      </text>
    </comment>
    <comment ref="V831" authorId="9">
      <text>
        <r>
          <rPr>
            <b/>
            <sz val="8"/>
            <color indexed="81"/>
            <rFont val="Tahoma"/>
            <family val="2"/>
          </rPr>
          <t>dale.bradley:</t>
        </r>
        <r>
          <rPr>
            <sz val="8"/>
            <color indexed="81"/>
            <rFont val="Tahoma"/>
            <family val="2"/>
          </rPr>
          <t xml:space="preserve">
S.A. 60</t>
        </r>
      </text>
    </comment>
    <comment ref="V832" authorId="9">
      <text>
        <r>
          <rPr>
            <b/>
            <sz val="8"/>
            <color indexed="81"/>
            <rFont val="Tahoma"/>
            <family val="2"/>
          </rPr>
          <t>dale.bradley:</t>
        </r>
        <r>
          <rPr>
            <sz val="8"/>
            <color indexed="81"/>
            <rFont val="Tahoma"/>
            <family val="2"/>
          </rPr>
          <t xml:space="preserve">
S.A. 60</t>
        </r>
      </text>
    </comment>
    <comment ref="V833" authorId="9">
      <text>
        <r>
          <rPr>
            <b/>
            <sz val="8"/>
            <color indexed="81"/>
            <rFont val="Tahoma"/>
            <family val="2"/>
          </rPr>
          <t>dale.bradley:</t>
        </r>
        <r>
          <rPr>
            <sz val="8"/>
            <color indexed="81"/>
            <rFont val="Tahoma"/>
            <family val="2"/>
          </rPr>
          <t xml:space="preserve">
S.A. 60</t>
        </r>
      </text>
    </comment>
    <comment ref="V834" authorId="9">
      <text>
        <r>
          <rPr>
            <b/>
            <sz val="8"/>
            <color indexed="81"/>
            <rFont val="Tahoma"/>
            <family val="2"/>
          </rPr>
          <t>dale.bradley:</t>
        </r>
        <r>
          <rPr>
            <sz val="8"/>
            <color indexed="81"/>
            <rFont val="Tahoma"/>
            <family val="2"/>
          </rPr>
          <t xml:space="preserve">
S.A. 60</t>
        </r>
      </text>
    </comment>
    <comment ref="U835" authorId="9">
      <text>
        <r>
          <rPr>
            <b/>
            <sz val="8"/>
            <color indexed="81"/>
            <rFont val="Tahoma"/>
            <family val="2"/>
          </rPr>
          <t>dale.bradley:</t>
        </r>
        <r>
          <rPr>
            <sz val="8"/>
            <color indexed="81"/>
            <rFont val="Tahoma"/>
            <family val="2"/>
          </rPr>
          <t xml:space="preserve">
Specific Appropriation 62.</t>
        </r>
      </text>
    </comment>
    <comment ref="V835" authorId="9">
      <text>
        <r>
          <rPr>
            <b/>
            <sz val="8"/>
            <color indexed="81"/>
            <rFont val="Tahoma"/>
            <family val="2"/>
          </rPr>
          <t>dale.bradley:</t>
        </r>
        <r>
          <rPr>
            <sz val="8"/>
            <color indexed="81"/>
            <rFont val="Tahoma"/>
            <family val="2"/>
          </rPr>
          <t xml:space="preserve">
S.A. 64</t>
        </r>
      </text>
    </comment>
    <comment ref="U840" authorId="9">
      <text>
        <r>
          <rPr>
            <b/>
            <sz val="8"/>
            <color indexed="81"/>
            <rFont val="Tahoma"/>
            <family val="2"/>
          </rPr>
          <t>dale.bradley:</t>
        </r>
        <r>
          <rPr>
            <sz val="8"/>
            <color indexed="81"/>
            <rFont val="Tahoma"/>
            <family val="2"/>
          </rPr>
          <t xml:space="preserve">
Specific Appropriation 3.</t>
        </r>
      </text>
    </comment>
    <comment ref="V840" authorId="9">
      <text>
        <r>
          <rPr>
            <b/>
            <sz val="8"/>
            <color indexed="81"/>
            <rFont val="Tahoma"/>
            <family val="2"/>
          </rPr>
          <t>dale.bradley:</t>
        </r>
        <r>
          <rPr>
            <sz val="8"/>
            <color indexed="81"/>
            <rFont val="Tahoma"/>
            <family val="2"/>
          </rPr>
          <t xml:space="preserve">
S.A. 3</t>
        </r>
      </text>
    </comment>
    <comment ref="V849" authorId="9">
      <text>
        <r>
          <rPr>
            <b/>
            <sz val="8"/>
            <color indexed="81"/>
            <rFont val="Tahoma"/>
            <family val="2"/>
          </rPr>
          <t>dale.bradley:</t>
        </r>
        <r>
          <rPr>
            <sz val="8"/>
            <color indexed="81"/>
            <rFont val="Tahoma"/>
            <family val="2"/>
          </rPr>
          <t xml:space="preserve">
S.A. 68</t>
        </r>
      </text>
    </comment>
    <comment ref="U866" authorId="9">
      <text>
        <r>
          <rPr>
            <b/>
            <sz val="8"/>
            <color indexed="81"/>
            <rFont val="Tahoma"/>
            <family val="2"/>
          </rPr>
          <t>dale.bradley:</t>
        </r>
        <r>
          <rPr>
            <sz val="8"/>
            <color indexed="81"/>
            <rFont val="Tahoma"/>
            <family val="2"/>
          </rPr>
          <t xml:space="preserve">
Spec. Approp. 67.</t>
        </r>
      </text>
    </comment>
    <comment ref="V866" authorId="9">
      <text>
        <r>
          <rPr>
            <b/>
            <sz val="8"/>
            <color indexed="81"/>
            <rFont val="Tahoma"/>
            <family val="2"/>
          </rPr>
          <t>dale.bradley:</t>
        </r>
        <r>
          <rPr>
            <sz val="8"/>
            <color indexed="81"/>
            <rFont val="Tahoma"/>
            <family val="2"/>
          </rPr>
          <t xml:space="preserve">
S.A. 68</t>
        </r>
      </text>
    </comment>
    <comment ref="C875" authorId="2">
      <text>
        <r>
          <rPr>
            <b/>
            <sz val="8"/>
            <color indexed="81"/>
            <rFont val="Tahoma"/>
            <family val="2"/>
          </rPr>
          <t>jmarks:</t>
        </r>
        <r>
          <rPr>
            <sz val="8"/>
            <color indexed="81"/>
            <rFont val="Tahoma"/>
            <family val="2"/>
          </rPr>
          <t xml:space="preserve">
with merit component</t>
        </r>
      </text>
    </comment>
    <comment ref="U875" authorId="9">
      <text>
        <r>
          <rPr>
            <b/>
            <sz val="8"/>
            <color indexed="81"/>
            <rFont val="Tahoma"/>
            <family val="2"/>
          </rPr>
          <t>dale.bradley:</t>
        </r>
        <r>
          <rPr>
            <sz val="8"/>
            <color indexed="81"/>
            <rFont val="Tahoma"/>
            <family val="2"/>
          </rPr>
          <t xml:space="preserve">
Spec. Approp. 68.</t>
        </r>
      </text>
    </comment>
    <comment ref="V875" authorId="9">
      <text>
        <r>
          <rPr>
            <b/>
            <sz val="8"/>
            <color indexed="81"/>
            <rFont val="Tahoma"/>
            <family val="2"/>
          </rPr>
          <t>dale.bradley:</t>
        </r>
        <r>
          <rPr>
            <sz val="8"/>
            <color indexed="81"/>
            <rFont val="Tahoma"/>
            <family val="2"/>
          </rPr>
          <t xml:space="preserve">
S.A. 69</t>
        </r>
      </text>
    </comment>
    <comment ref="U884" authorId="9">
      <text>
        <r>
          <rPr>
            <b/>
            <sz val="8"/>
            <color indexed="81"/>
            <rFont val="Tahoma"/>
            <family val="2"/>
          </rPr>
          <t>dale.bradley:</t>
        </r>
        <r>
          <rPr>
            <sz val="8"/>
            <color indexed="81"/>
            <rFont val="Tahoma"/>
            <family val="2"/>
          </rPr>
          <t xml:space="preserve">
Specific Appropriation 63.</t>
        </r>
      </text>
    </comment>
    <comment ref="V884" authorId="9">
      <text>
        <r>
          <rPr>
            <b/>
            <sz val="8"/>
            <color indexed="81"/>
            <rFont val="Tahoma"/>
            <family val="2"/>
          </rPr>
          <t>dale.bradley:</t>
        </r>
        <r>
          <rPr>
            <sz val="8"/>
            <color indexed="81"/>
            <rFont val="Tahoma"/>
            <family val="2"/>
          </rPr>
          <t xml:space="preserve">
S.A. 65</t>
        </r>
      </text>
    </comment>
    <comment ref="U895" authorId="9">
      <text>
        <r>
          <rPr>
            <b/>
            <sz val="8"/>
            <color indexed="81"/>
            <rFont val="Tahoma"/>
            <family val="2"/>
          </rPr>
          <t>dale.bradley:</t>
        </r>
        <r>
          <rPr>
            <sz val="8"/>
            <color indexed="81"/>
            <rFont val="Tahoma"/>
            <family val="2"/>
          </rPr>
          <t xml:space="preserve">
Spec. Approp. 67.</t>
        </r>
      </text>
    </comment>
    <comment ref="U897" authorId="9">
      <text>
        <r>
          <rPr>
            <b/>
            <sz val="8"/>
            <color indexed="81"/>
            <rFont val="Tahoma"/>
            <family val="2"/>
          </rPr>
          <t>dale.bradley:</t>
        </r>
        <r>
          <rPr>
            <sz val="8"/>
            <color indexed="81"/>
            <rFont val="Tahoma"/>
            <family val="2"/>
          </rPr>
          <t xml:space="preserve">
Spec. Approp. 67.</t>
        </r>
      </text>
    </comment>
    <comment ref="V897" authorId="9">
      <text>
        <r>
          <rPr>
            <b/>
            <sz val="8"/>
            <color indexed="81"/>
            <rFont val="Tahoma"/>
            <family val="2"/>
          </rPr>
          <t>dale.bradley:</t>
        </r>
        <r>
          <rPr>
            <sz val="8"/>
            <color indexed="81"/>
            <rFont val="Tahoma"/>
            <family val="2"/>
          </rPr>
          <t xml:space="preserve">
S.A. 68</t>
        </r>
      </text>
    </comment>
    <comment ref="U901" authorId="9">
      <text>
        <r>
          <rPr>
            <b/>
            <sz val="8"/>
            <color indexed="81"/>
            <rFont val="Tahoma"/>
            <family val="2"/>
          </rPr>
          <t>dale.bradley:</t>
        </r>
        <r>
          <rPr>
            <sz val="8"/>
            <color indexed="81"/>
            <rFont val="Tahoma"/>
            <family val="2"/>
          </rPr>
          <t xml:space="preserve">
Specific Appropriation 64.</t>
        </r>
      </text>
    </comment>
    <comment ref="V901" authorId="9">
      <text>
        <r>
          <rPr>
            <b/>
            <sz val="8"/>
            <color indexed="81"/>
            <rFont val="Tahoma"/>
            <family val="2"/>
          </rPr>
          <t>dale.bradley:</t>
        </r>
        <r>
          <rPr>
            <sz val="8"/>
            <color indexed="81"/>
            <rFont val="Tahoma"/>
            <family val="2"/>
          </rPr>
          <t xml:space="preserve">
S.A. 66</t>
        </r>
      </text>
    </comment>
    <comment ref="U904" authorId="9">
      <text>
        <r>
          <rPr>
            <b/>
            <sz val="8"/>
            <color indexed="81"/>
            <rFont val="Tahoma"/>
            <family val="2"/>
          </rPr>
          <t>dale.bradley:</t>
        </r>
        <r>
          <rPr>
            <sz val="8"/>
            <color indexed="81"/>
            <rFont val="Tahoma"/>
            <family val="2"/>
          </rPr>
          <t xml:space="preserve">
Spec. Approp. 67.</t>
        </r>
      </text>
    </comment>
    <comment ref="V904" authorId="9">
      <text>
        <r>
          <rPr>
            <b/>
            <sz val="8"/>
            <color indexed="81"/>
            <rFont val="Tahoma"/>
            <family val="2"/>
          </rPr>
          <t>dale.bradley:</t>
        </r>
        <r>
          <rPr>
            <sz val="8"/>
            <color indexed="81"/>
            <rFont val="Tahoma"/>
            <family val="2"/>
          </rPr>
          <t xml:space="preserve">
S.A. 68</t>
        </r>
      </text>
    </comment>
    <comment ref="U908" authorId="9">
      <text>
        <r>
          <rPr>
            <b/>
            <sz val="8"/>
            <color indexed="81"/>
            <rFont val="Tahoma"/>
            <family val="2"/>
          </rPr>
          <t>dale.bradley:</t>
        </r>
        <r>
          <rPr>
            <sz val="8"/>
            <color indexed="81"/>
            <rFont val="Tahoma"/>
            <family val="2"/>
          </rPr>
          <t xml:space="preserve">
Spec. Approp. 60.</t>
        </r>
      </text>
    </comment>
    <comment ref="V908" authorId="9">
      <text>
        <r>
          <rPr>
            <b/>
            <sz val="8"/>
            <color indexed="81"/>
            <rFont val="Tahoma"/>
            <family val="2"/>
          </rPr>
          <t>dale.bradley:</t>
        </r>
        <r>
          <rPr>
            <sz val="8"/>
            <color indexed="81"/>
            <rFont val="Tahoma"/>
            <family val="2"/>
          </rPr>
          <t xml:space="preserve">
S.A. 62</t>
        </r>
      </text>
    </comment>
    <comment ref="U911" authorId="9">
      <text>
        <r>
          <rPr>
            <b/>
            <sz val="8"/>
            <color indexed="81"/>
            <rFont val="Tahoma"/>
            <family val="2"/>
          </rPr>
          <t>dale.bradley:</t>
        </r>
        <r>
          <rPr>
            <sz val="8"/>
            <color indexed="81"/>
            <rFont val="Tahoma"/>
            <family val="2"/>
          </rPr>
          <t xml:space="preserve">
Spec. Approp. 55.</t>
        </r>
      </text>
    </comment>
    <comment ref="V911" authorId="9">
      <text>
        <r>
          <rPr>
            <b/>
            <sz val="8"/>
            <color indexed="81"/>
            <rFont val="Tahoma"/>
            <family val="2"/>
          </rPr>
          <t>dale.bradley:</t>
        </r>
        <r>
          <rPr>
            <sz val="8"/>
            <color indexed="81"/>
            <rFont val="Tahoma"/>
            <family val="2"/>
          </rPr>
          <t xml:space="preserve">
S.A. 57</t>
        </r>
      </text>
    </comment>
    <comment ref="U913" authorId="9">
      <text>
        <r>
          <rPr>
            <b/>
            <sz val="8"/>
            <color indexed="81"/>
            <rFont val="Tahoma"/>
            <family val="2"/>
          </rPr>
          <t>dale.bradley:</t>
        </r>
        <r>
          <rPr>
            <sz val="8"/>
            <color indexed="81"/>
            <rFont val="Tahoma"/>
            <family val="2"/>
          </rPr>
          <t xml:space="preserve">
Spec/ Approp. 67.</t>
        </r>
      </text>
    </comment>
    <comment ref="V913" authorId="9">
      <text>
        <r>
          <rPr>
            <b/>
            <sz val="8"/>
            <color indexed="81"/>
            <rFont val="Tahoma"/>
            <family val="2"/>
          </rPr>
          <t>dale.bradley:</t>
        </r>
        <r>
          <rPr>
            <sz val="8"/>
            <color indexed="81"/>
            <rFont val="Tahoma"/>
            <family val="2"/>
          </rPr>
          <t xml:space="preserve">
S.A. 68</t>
        </r>
      </text>
    </comment>
    <comment ref="U916" authorId="9">
      <text>
        <r>
          <rPr>
            <b/>
            <sz val="8"/>
            <color indexed="81"/>
            <rFont val="Tahoma"/>
            <family val="2"/>
          </rPr>
          <t>dale.bradley:</t>
        </r>
        <r>
          <rPr>
            <sz val="8"/>
            <color indexed="81"/>
            <rFont val="Tahoma"/>
            <family val="2"/>
          </rPr>
          <t xml:space="preserve">
Spec. Approp. 67.</t>
        </r>
      </text>
    </comment>
    <comment ref="V916" authorId="9">
      <text>
        <r>
          <rPr>
            <b/>
            <sz val="8"/>
            <color indexed="81"/>
            <rFont val="Tahoma"/>
            <family val="2"/>
          </rPr>
          <t>dale.bradley:</t>
        </r>
        <r>
          <rPr>
            <sz val="8"/>
            <color indexed="81"/>
            <rFont val="Tahoma"/>
            <family val="2"/>
          </rPr>
          <t xml:space="preserve">
S.A. 68</t>
        </r>
      </text>
    </comment>
    <comment ref="U919" authorId="9">
      <text>
        <r>
          <rPr>
            <b/>
            <sz val="8"/>
            <color indexed="81"/>
            <rFont val="Tahoma"/>
            <family val="2"/>
          </rPr>
          <t>dale.bradley:</t>
        </r>
        <r>
          <rPr>
            <sz val="8"/>
            <color indexed="81"/>
            <rFont val="Tahoma"/>
            <family val="2"/>
          </rPr>
          <t xml:space="preserve">
Spec. Approp. 66.</t>
        </r>
      </text>
    </comment>
    <comment ref="V919" authorId="9">
      <text>
        <r>
          <rPr>
            <b/>
            <sz val="8"/>
            <color indexed="81"/>
            <rFont val="Tahoma"/>
            <family val="2"/>
          </rPr>
          <t>dale.bradley:</t>
        </r>
        <r>
          <rPr>
            <sz val="8"/>
            <color indexed="81"/>
            <rFont val="Tahoma"/>
            <family val="2"/>
          </rPr>
          <t xml:space="preserve">
S.A. 67</t>
        </r>
      </text>
    </comment>
    <comment ref="C950" authorId="10">
      <text>
        <r>
          <rPr>
            <b/>
            <sz val="8"/>
            <color indexed="81"/>
            <rFont val="Tahoma"/>
            <family val="2"/>
          </rPr>
          <t>FLDOE:</t>
        </r>
        <r>
          <rPr>
            <sz val="8"/>
            <color indexed="81"/>
            <rFont val="Tahoma"/>
            <family val="2"/>
          </rPr>
          <t xml:space="preserve">
Formely the Division of Community Colleges
</t>
        </r>
      </text>
    </comment>
    <comment ref="C954" authorId="11">
      <text>
        <r>
          <rPr>
            <b/>
            <sz val="8"/>
            <color indexed="81"/>
            <rFont val="Tahoma"/>
            <family val="2"/>
          </rPr>
          <t>according to Susan Wright, this is the first year this has been broken out</t>
        </r>
      </text>
    </comment>
    <comment ref="C1011" authorId="12">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12" authorId="2">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15" authorId="2">
      <text>
        <r>
          <rPr>
            <sz val="10"/>
            <color indexed="81"/>
            <rFont val="Tahoma"/>
            <family val="2"/>
          </rPr>
          <t>Represents the portion of the System Office which supports non-instruction functions at the System Office and the institutions.</t>
        </r>
      </text>
    </comment>
    <comment ref="C1017" authorId="2">
      <text>
        <r>
          <rPr>
            <b/>
            <sz val="8"/>
            <color indexed="81"/>
            <rFont val="Tahoma"/>
            <family val="2"/>
          </rPr>
          <t>jmarks:</t>
        </r>
        <r>
          <rPr>
            <sz val="8"/>
            <color indexed="81"/>
            <rFont val="Tahoma"/>
            <family val="2"/>
          </rPr>
          <t xml:space="preserve">
adjusted for building</t>
        </r>
      </text>
    </comment>
    <comment ref="C1032" authorId="2">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U1034" authorId="13">
      <text>
        <r>
          <rPr>
            <b/>
            <sz val="8"/>
            <color indexed="81"/>
            <rFont val="Tahoma"/>
            <family val="2"/>
          </rPr>
          <t>Robin Wade:</t>
        </r>
        <r>
          <rPr>
            <sz val="8"/>
            <color indexed="81"/>
            <rFont val="Tahoma"/>
            <family val="2"/>
          </rPr>
          <t xml:space="preserve">
The funding for Morehouse School of Medicine was removed from this program in FY 2010</t>
        </r>
      </text>
    </comment>
    <comment ref="C1095" authorId="2">
      <text>
        <r>
          <rPr>
            <b/>
            <sz val="10"/>
            <color indexed="10"/>
            <rFont val="Tahoma"/>
            <family val="2"/>
          </rPr>
          <t>jmarks:</t>
        </r>
        <r>
          <rPr>
            <sz val="10"/>
            <color indexed="10"/>
            <rFont val="Tahoma"/>
            <family val="2"/>
          </rPr>
          <t xml:space="preserve">
</t>
        </r>
        <r>
          <rPr>
            <b/>
            <sz val="10"/>
            <color indexed="10"/>
            <rFont val="Tahoma"/>
            <family val="2"/>
          </rPr>
          <t>Now includes former Appalachian Technical College and North Metro Technical College.</t>
        </r>
      </text>
    </comment>
    <comment ref="C1098" authorId="2">
      <text>
        <r>
          <rPr>
            <b/>
            <sz val="10"/>
            <color indexed="10"/>
            <rFont val="Tahoma"/>
            <family val="2"/>
          </rPr>
          <t>jmarks:</t>
        </r>
        <r>
          <rPr>
            <sz val="10"/>
            <color indexed="10"/>
            <rFont val="Tahoma"/>
            <family val="2"/>
          </rPr>
          <t xml:space="preserve">
</t>
        </r>
        <r>
          <rPr>
            <b/>
            <sz val="10"/>
            <color indexed="10"/>
            <rFont val="Tahoma"/>
            <family val="2"/>
          </rPr>
          <t>Is the merger of Coosa Valley Technical College and Northwestern Technical College.</t>
        </r>
      </text>
    </comment>
    <comment ref="C1099" authorId="1">
      <text>
        <r>
          <rPr>
            <sz val="10"/>
            <color indexed="81"/>
            <rFont val="Tahoma"/>
            <family val="2"/>
          </rPr>
          <t>Met criteria for Technical institute or College 1 in 2008-09 and 2009-10.</t>
        </r>
      </text>
    </comment>
    <comment ref="C1112" authorId="1">
      <text>
        <r>
          <rPr>
            <b/>
            <sz val="10"/>
            <color indexed="10"/>
            <rFont val="Tahoma"/>
            <family val="2"/>
          </rPr>
          <t>Reclassified: Meets the criteria for a Technical Institute or College 1, and Now includes former Swainsboro Technical College.</t>
        </r>
      </text>
    </comment>
    <comment ref="G1116" authorId="14">
      <text>
        <r>
          <rPr>
            <b/>
            <sz val="8"/>
            <color indexed="81"/>
            <rFont val="Tahoma"/>
            <family val="2"/>
          </rPr>
          <t>jmarks:
SUM: Look in cell for formula. Southern Crescent and Wiregrass</t>
        </r>
        <r>
          <rPr>
            <sz val="8"/>
            <color indexed="81"/>
            <rFont val="Tahoma"/>
            <family val="2"/>
          </rPr>
          <t xml:space="preserve">
</t>
        </r>
      </text>
    </comment>
    <comment ref="C1117" authorId="2">
      <text>
        <r>
          <rPr>
            <b/>
            <sz val="10"/>
            <color indexed="10"/>
            <rFont val="Tahoma"/>
            <family val="2"/>
          </rPr>
          <t>jmarks:
Is the merger of West Georgia Technical College and West Central Technical College.</t>
        </r>
      </text>
    </comment>
    <comment ref="C1246" authorId="2">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50"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1"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2"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7"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8"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9"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V1355" authorId="2">
      <text>
        <r>
          <rPr>
            <b/>
            <sz val="10"/>
            <color indexed="81"/>
            <rFont val="Tahoma"/>
            <family val="2"/>
          </rPr>
          <t>jmarks:</t>
        </r>
        <r>
          <rPr>
            <sz val="10"/>
            <color indexed="81"/>
            <rFont val="Tahoma"/>
            <family val="2"/>
          </rPr>
          <t xml:space="preserve">
$4,946,612 is for the statewide adult education program</t>
        </r>
      </text>
    </comment>
    <comment ref="U1622" authorId="15">
      <text>
        <r>
          <rPr>
            <b/>
            <sz val="8"/>
            <color indexed="81"/>
            <rFont val="Tahoma"/>
            <family val="2"/>
          </rPr>
          <t>lfilipp:</t>
        </r>
        <r>
          <rPr>
            <sz val="8"/>
            <color indexed="81"/>
            <rFont val="Tahoma"/>
            <family val="2"/>
          </rPr>
          <t xml:space="preserve">
no programs </t>
        </r>
      </text>
    </comment>
    <comment ref="C1712" authorId="2">
      <text>
        <r>
          <rPr>
            <sz val="10"/>
            <color indexed="81"/>
            <rFont val="Tahoma"/>
            <family val="2"/>
          </rPr>
          <t xml:space="preserve"> (Excludes CNTP, CNAR, MTLR, SREB, STSC,MED, DENT, SDSP, VMMP)
</t>
        </r>
      </text>
    </comment>
    <comment ref="C1724" authorId="16">
      <text>
        <r>
          <rPr>
            <sz val="10"/>
            <color indexed="8"/>
            <rFont val="Tahoma"/>
            <family val="2"/>
          </rPr>
          <t>Includes Raymond campus (175786), Jackson campus (175777), Rankin campus (175795) and Vicksburg-Warren county (175801).</t>
        </r>
      </text>
    </comment>
    <comment ref="C1733" authorId="16">
      <text>
        <r>
          <rPr>
            <sz val="10"/>
            <color indexed="8"/>
            <rFont val="Tahoma"/>
            <family val="2"/>
          </rPr>
          <t>Includes Natchez Cmpus (175564).</t>
        </r>
      </text>
    </comment>
    <comment ref="C1760" authorId="16">
      <text>
        <r>
          <rPr>
            <sz val="10"/>
            <color indexed="8"/>
            <rFont val="Tahoma"/>
            <family val="2"/>
          </rPr>
          <t xml:space="preserve">Includes Forrest county center (408127).
</t>
        </r>
      </text>
    </comment>
    <comment ref="G1777" authorId="17">
      <text>
        <r>
          <rPr>
            <b/>
            <sz val="8"/>
            <color indexed="81"/>
            <rFont val="Tahoma"/>
            <family val="2"/>
          </rPr>
          <t>ckerr:</t>
        </r>
        <r>
          <rPr>
            <sz val="8"/>
            <color indexed="81"/>
            <rFont val="Tahoma"/>
            <family val="2"/>
          </rPr>
          <t xml:space="preserve">
All 2009-2010 Cells were updated with 2010 Year End Actuals and highlighted yellow.</t>
        </r>
      </text>
    </comment>
    <comment ref="AD1784" authorId="17">
      <text>
        <r>
          <rPr>
            <b/>
            <sz val="8"/>
            <color indexed="81"/>
            <rFont val="Tahoma"/>
            <family val="2"/>
          </rPr>
          <t>ckerr:</t>
        </r>
        <r>
          <rPr>
            <sz val="8"/>
            <color indexed="81"/>
            <rFont val="Tahoma"/>
            <family val="2"/>
          </rPr>
          <t xml:space="preserve">
Increased Enrollment and under realized 2010 budget.</t>
        </r>
      </text>
    </comment>
    <comment ref="H1785" authorId="17">
      <text>
        <r>
          <rPr>
            <b/>
            <sz val="8"/>
            <color indexed="81"/>
            <rFont val="Tahoma"/>
            <family val="2"/>
          </rPr>
          <t>ckerr:</t>
        </r>
        <r>
          <rPr>
            <sz val="8"/>
            <color indexed="81"/>
            <rFont val="Tahoma"/>
            <family val="2"/>
          </rPr>
          <t xml:space="preserve">
Increase due to Targeted Enrollment Growth</t>
        </r>
      </text>
    </comment>
    <comment ref="AD1789" authorId="17">
      <text>
        <r>
          <rPr>
            <b/>
            <sz val="8"/>
            <color indexed="81"/>
            <rFont val="Tahoma"/>
            <family val="2"/>
          </rPr>
          <t>ckerr:</t>
        </r>
        <r>
          <rPr>
            <sz val="8"/>
            <color indexed="81"/>
            <rFont val="Tahoma"/>
            <family val="2"/>
          </rPr>
          <t xml:space="preserve">
Increased funding for ECU's Dental School.</t>
        </r>
      </text>
    </comment>
    <comment ref="V1805" authorId="17">
      <text>
        <r>
          <rPr>
            <b/>
            <sz val="8"/>
            <color indexed="81"/>
            <rFont val="Tahoma"/>
            <family val="2"/>
          </rPr>
          <t>ckerr:</t>
        </r>
        <r>
          <rPr>
            <sz val="8"/>
            <color indexed="81"/>
            <rFont val="Tahoma"/>
            <family val="2"/>
          </rPr>
          <t xml:space="preserve">
Legislative Reduction to UNC Hospitals </t>
        </r>
      </text>
    </comment>
    <comment ref="J1810" authorId="17">
      <text>
        <r>
          <rPr>
            <b/>
            <sz val="8"/>
            <color indexed="81"/>
            <rFont val="Tahoma"/>
            <family val="2"/>
          </rPr>
          <t>ckerr:</t>
        </r>
        <r>
          <rPr>
            <sz val="8"/>
            <color indexed="81"/>
            <rFont val="Tahoma"/>
            <family val="2"/>
          </rPr>
          <t xml:space="preserve">
This fund balance fluctuates during the year. Red because of timing.</t>
        </r>
      </text>
    </comment>
    <comment ref="V1818" authorId="17">
      <text>
        <r>
          <rPr>
            <b/>
            <sz val="8"/>
            <color indexed="81"/>
            <rFont val="Tahoma"/>
            <family val="2"/>
          </rPr>
          <t>ckerr:</t>
        </r>
        <r>
          <rPr>
            <sz val="8"/>
            <color indexed="81"/>
            <rFont val="Tahoma"/>
            <family val="2"/>
          </rPr>
          <t xml:space="preserve">
Difference Due to under realized budget in FY 2010</t>
        </r>
      </text>
    </comment>
    <comment ref="V1822" authorId="17">
      <text>
        <r>
          <rPr>
            <b/>
            <sz val="8"/>
            <color indexed="81"/>
            <rFont val="Tahoma"/>
            <family val="2"/>
          </rPr>
          <t>ckerr:</t>
        </r>
        <r>
          <rPr>
            <sz val="8"/>
            <color indexed="81"/>
            <rFont val="Tahoma"/>
            <family val="2"/>
          </rPr>
          <t xml:space="preserve">
Contract Ended</t>
        </r>
      </text>
    </comment>
    <comment ref="V1823" authorId="17">
      <text>
        <r>
          <rPr>
            <b/>
            <sz val="8"/>
            <color indexed="81"/>
            <rFont val="Tahoma"/>
            <family val="2"/>
          </rPr>
          <t>ckerr:</t>
        </r>
        <r>
          <rPr>
            <sz val="8"/>
            <color indexed="81"/>
            <rFont val="Tahoma"/>
            <family val="2"/>
          </rPr>
          <t xml:space="preserve">
Contract Phase Out</t>
        </r>
      </text>
    </comment>
    <comment ref="V1826" authorId="17">
      <text>
        <r>
          <rPr>
            <b/>
            <sz val="8"/>
            <color indexed="81"/>
            <rFont val="Tahoma"/>
            <family val="2"/>
          </rPr>
          <t>ckerr:</t>
        </r>
        <r>
          <rPr>
            <sz val="8"/>
            <color indexed="81"/>
            <rFont val="Tahoma"/>
            <family val="2"/>
          </rPr>
          <t xml:space="preserve">
Contract Phase Out</t>
        </r>
      </text>
    </comment>
    <comment ref="C1829" authorId="2">
      <text>
        <r>
          <rPr>
            <b/>
            <sz val="8"/>
            <color indexed="81"/>
            <rFont val="Tahoma"/>
            <family val="2"/>
          </rPr>
          <t>jmarks:</t>
        </r>
        <r>
          <rPr>
            <sz val="8"/>
            <color indexed="81"/>
            <rFont val="Tahoma"/>
            <family val="2"/>
          </rPr>
          <t xml:space="preserve">
In the future, please identify amounts to public sector and private sector students, if possible.</t>
        </r>
      </text>
    </comment>
    <comment ref="V1831" authorId="17">
      <text>
        <r>
          <rPr>
            <b/>
            <sz val="8"/>
            <color indexed="81"/>
            <rFont val="Tahoma"/>
            <family val="2"/>
          </rPr>
          <t>ckerr:</t>
        </r>
        <r>
          <rPr>
            <sz val="8"/>
            <color indexed="81"/>
            <rFont val="Tahoma"/>
            <family val="2"/>
          </rPr>
          <t xml:space="preserve">
Difference Due to under realized budget in FY 2010</t>
        </r>
      </text>
    </comment>
    <comment ref="C1866" authorId="17">
      <text>
        <r>
          <rPr>
            <b/>
            <sz val="8"/>
            <color indexed="81"/>
            <rFont val="Tahoma"/>
            <family val="2"/>
          </rPr>
          <t>ckerr:</t>
        </r>
        <r>
          <rPr>
            <sz val="8"/>
            <color indexed="81"/>
            <rFont val="Tahoma"/>
            <family val="2"/>
          </rPr>
          <t xml:space="preserve">
Scholarship Program Added to Report</t>
        </r>
      </text>
    </comment>
    <comment ref="C1875" authorId="17">
      <text>
        <r>
          <rPr>
            <b/>
            <sz val="8"/>
            <color indexed="81"/>
            <rFont val="Tahoma"/>
            <family val="2"/>
          </rPr>
          <t>ckerr:</t>
        </r>
        <r>
          <rPr>
            <sz val="8"/>
            <color indexed="81"/>
            <rFont val="Tahoma"/>
            <family val="2"/>
          </rPr>
          <t xml:space="preserve">
Scholarship Program Added to Report</t>
        </r>
      </text>
    </comment>
    <comment ref="C1884" authorId="17">
      <text>
        <r>
          <rPr>
            <b/>
            <sz val="8"/>
            <color indexed="81"/>
            <rFont val="Tahoma"/>
            <family val="2"/>
          </rPr>
          <t>ckerr:</t>
        </r>
        <r>
          <rPr>
            <sz val="8"/>
            <color indexed="81"/>
            <rFont val="Tahoma"/>
            <family val="2"/>
          </rPr>
          <t xml:space="preserve">
Scholarship Program Added to Report</t>
        </r>
      </text>
    </comment>
    <comment ref="V1886" authorId="17">
      <text>
        <r>
          <rPr>
            <b/>
            <sz val="8"/>
            <color indexed="81"/>
            <rFont val="Tahoma"/>
            <family val="2"/>
          </rPr>
          <t>ckerr:</t>
        </r>
        <r>
          <rPr>
            <sz val="8"/>
            <color indexed="81"/>
            <rFont val="Tahoma"/>
            <family val="2"/>
          </rPr>
          <t xml:space="preserve">
Legislative Reduction to Aid Program.</t>
        </r>
      </text>
    </comment>
    <comment ref="V1904" authorId="17">
      <text>
        <r>
          <rPr>
            <b/>
            <sz val="8"/>
            <color indexed="81"/>
            <rFont val="Tahoma"/>
            <family val="2"/>
          </rPr>
          <t>ckerr:</t>
        </r>
        <r>
          <rPr>
            <sz val="8"/>
            <color indexed="81"/>
            <rFont val="Tahoma"/>
            <family val="2"/>
          </rPr>
          <t xml:space="preserve">
Difference Due to under realized budget in FY 2010</t>
        </r>
      </text>
    </comment>
    <comment ref="C1913" authorId="0">
      <text>
        <r>
          <rPr>
            <sz val="9"/>
            <color indexed="81"/>
            <rFont val="Tahoma"/>
            <family val="2"/>
          </rPr>
          <t>This amount reflects the funding from the state appropriation and escheats to support need based financial aid.</t>
        </r>
      </text>
    </comment>
    <comment ref="V1913" authorId="17">
      <text>
        <r>
          <rPr>
            <b/>
            <sz val="8"/>
            <color indexed="81"/>
            <rFont val="Tahoma"/>
            <family val="2"/>
          </rPr>
          <t>ckerr:</t>
        </r>
        <r>
          <rPr>
            <sz val="8"/>
            <color indexed="81"/>
            <rFont val="Tahoma"/>
            <family val="2"/>
          </rPr>
          <t xml:space="preserve">
One Time Legislative Funding Increase to Aid due to Increases in Tuition.</t>
        </r>
      </text>
    </comment>
    <comment ref="C1915" authorId="17">
      <text>
        <r>
          <rPr>
            <b/>
            <sz val="8"/>
            <color indexed="81"/>
            <rFont val="Tahoma"/>
            <family val="2"/>
          </rPr>
          <t>ckerr:</t>
        </r>
        <r>
          <rPr>
            <sz val="8"/>
            <color indexed="81"/>
            <rFont val="Tahoma"/>
            <family val="2"/>
          </rPr>
          <t xml:space="preserve">
Scholarship Program Added to report</t>
        </r>
      </text>
    </comment>
    <comment ref="C1921" authorId="17">
      <text>
        <r>
          <rPr>
            <b/>
            <sz val="8"/>
            <color indexed="81"/>
            <rFont val="Tahoma"/>
            <family val="2"/>
          </rPr>
          <t>ckerr:</t>
        </r>
        <r>
          <rPr>
            <sz val="8"/>
            <color indexed="81"/>
            <rFont val="Tahoma"/>
            <family val="2"/>
          </rPr>
          <t xml:space="preserve">
Scholarship Program Eliminated</t>
        </r>
      </text>
    </comment>
    <comment ref="A1937" authorId="2">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985" authorId="2">
      <text>
        <r>
          <rPr>
            <b/>
            <sz val="10"/>
            <color indexed="81"/>
            <rFont val="Tahoma"/>
            <family val="2"/>
          </rPr>
          <t>jmarks:</t>
        </r>
        <r>
          <rPr>
            <sz val="10"/>
            <color indexed="81"/>
            <rFont val="Tahoma"/>
            <family val="2"/>
          </rPr>
          <t xml:space="preserve">
Met the criteria for Two-Year 1 in 2009-10.</t>
        </r>
      </text>
    </comment>
    <comment ref="C1993" authorId="2">
      <text>
        <r>
          <rPr>
            <b/>
            <sz val="10"/>
            <color indexed="81"/>
            <rFont val="Tahoma"/>
            <family val="2"/>
          </rPr>
          <t>jmarks:</t>
        </r>
        <r>
          <rPr>
            <sz val="10"/>
            <color indexed="81"/>
            <rFont val="Tahoma"/>
            <family val="2"/>
          </rPr>
          <t xml:space="preserve">
Met the criteria for Two-Year 1 in 2009-10.</t>
        </r>
      </text>
    </comment>
    <comment ref="C2001" authorId="1">
      <text>
        <r>
          <rPr>
            <sz val="10"/>
            <color indexed="81"/>
            <rFont val="Tahoma"/>
            <family val="2"/>
          </rPr>
          <t>Met the criteria for SREB 2 Year 1 in 2008-09 and 2009-10.</t>
        </r>
      </text>
    </comment>
    <comment ref="I2080" authorId="18">
      <text>
        <r>
          <rPr>
            <b/>
            <sz val="8"/>
            <color indexed="81"/>
            <rFont val="Tahoma"/>
            <family val="2"/>
          </rPr>
          <t>Tracy Williams-Pender:</t>
        </r>
        <r>
          <rPr>
            <sz val="8"/>
            <color indexed="81"/>
            <rFont val="Tahoma"/>
            <family val="2"/>
          </rPr>
          <t xml:space="preserve">
SPCC experienced a 35% increase in continuting education FTE., thereby causing an increase in their allocation.</t>
        </r>
      </text>
    </comment>
    <comment ref="C2117" authorId="2">
      <text>
        <r>
          <rPr>
            <sz val="10"/>
            <color indexed="81"/>
            <rFont val="Tahoma"/>
            <family val="2"/>
          </rPr>
          <t>Met the criteria for Two-Year 2 in 2009-10.</t>
        </r>
      </text>
    </comment>
    <comment ref="C2129" authorId="2">
      <text>
        <r>
          <rPr>
            <sz val="10"/>
            <color indexed="81"/>
            <rFont val="Tahoma"/>
            <family val="2"/>
          </rPr>
          <t>Met the criteria for Two-Year 2 in 2009-10.</t>
        </r>
      </text>
    </comment>
    <comment ref="I2160" authorId="18">
      <text>
        <r>
          <rPr>
            <b/>
            <sz val="8"/>
            <color indexed="81"/>
            <rFont val="Tahoma"/>
            <family val="2"/>
          </rPr>
          <t>Tracy Williams-Pender:</t>
        </r>
        <r>
          <rPr>
            <sz val="8"/>
            <color indexed="81"/>
            <rFont val="Tahoma"/>
            <family val="2"/>
          </rPr>
          <t xml:space="preserve">
RCCC experienced an 83% increase in continuting education FTE., thereby causing an increase in their allocation.</t>
        </r>
      </text>
    </comment>
    <comment ref="C2161" authorId="2">
      <text>
        <r>
          <rPr>
            <sz val="10"/>
            <color indexed="81"/>
            <rFont val="Tahoma"/>
            <family val="2"/>
          </rPr>
          <t>Met the criteria for Two-Year 2 in 2009-10.</t>
        </r>
      </text>
    </comment>
    <comment ref="I2171" authorId="18">
      <text>
        <r>
          <rPr>
            <b/>
            <sz val="8"/>
            <color indexed="81"/>
            <rFont val="Tahoma"/>
            <family val="2"/>
          </rPr>
          <t>Tracy Williams-Pender:</t>
        </r>
        <r>
          <rPr>
            <sz val="8"/>
            <color indexed="81"/>
            <rFont val="Tahoma"/>
            <family val="2"/>
          </rPr>
          <t xml:space="preserve">
Due to the economy there has been an increase in the need for programs and training services that assist new and existing businesses and industries. There has been an increase in funding and spending to reflect such.</t>
        </r>
      </text>
    </comment>
    <comment ref="C2174" authorId="2">
      <text>
        <r>
          <rPr>
            <b/>
            <sz val="8"/>
            <color indexed="81"/>
            <rFont val="Tahoma"/>
            <family val="2"/>
          </rPr>
          <t>jmarks:</t>
        </r>
        <r>
          <rPr>
            <sz val="8"/>
            <color indexed="81"/>
            <rFont val="Tahoma"/>
            <family val="2"/>
          </rPr>
          <t xml:space="preserve">
Includes funds to develop statewide computer information ststem (CIS).</t>
        </r>
      </text>
    </comment>
    <comment ref="C2225" authorId="2">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236" authorId="2">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G2293" authorId="19">
      <text>
        <r>
          <rPr>
            <b/>
            <sz val="8"/>
            <color indexed="81"/>
            <rFont val="Tahoma"/>
            <family val="2"/>
          </rPr>
          <t>srobi:</t>
        </r>
        <r>
          <rPr>
            <sz val="8"/>
            <color indexed="81"/>
            <rFont val="Tahoma"/>
            <family val="2"/>
          </rPr>
          <t xml:space="preserve">
Included in total reported in cell G50.
</t>
        </r>
      </text>
    </comment>
    <comment ref="M2302" authorId="19">
      <text>
        <r>
          <rPr>
            <b/>
            <sz val="8"/>
            <color indexed="81"/>
            <rFont val="Tahoma"/>
            <family val="2"/>
          </rPr>
          <t>srobi:</t>
        </r>
        <r>
          <rPr>
            <sz val="8"/>
            <color indexed="81"/>
            <rFont val="Tahoma"/>
            <family val="2"/>
          </rPr>
          <t xml:space="preserve">
Total for all of Indian Capital district.</t>
        </r>
      </text>
    </comment>
    <comment ref="M2306" authorId="19">
      <text>
        <r>
          <rPr>
            <b/>
            <sz val="8"/>
            <color indexed="81"/>
            <rFont val="Tahoma"/>
            <family val="2"/>
          </rPr>
          <t>srobi:</t>
        </r>
        <r>
          <rPr>
            <sz val="8"/>
            <color indexed="81"/>
            <rFont val="Tahoma"/>
            <family val="2"/>
          </rPr>
          <t xml:space="preserve">
Total for all of Kiamichi district.
</t>
        </r>
      </text>
    </comment>
    <comment ref="C2318" authorId="1">
      <text>
        <r>
          <rPr>
            <sz val="10"/>
            <color indexed="81"/>
            <rFont val="Tahoma"/>
            <family val="2"/>
          </rPr>
          <t>Reclassified: Met criteria for Technical Institute or College 2 in 2007-08, 2008-09 and 2009-10.</t>
        </r>
      </text>
    </comment>
    <comment ref="M2319" authorId="19">
      <text>
        <r>
          <rPr>
            <b/>
            <sz val="8"/>
            <color indexed="81"/>
            <rFont val="Tahoma"/>
            <family val="2"/>
          </rPr>
          <t>srobi:</t>
        </r>
        <r>
          <rPr>
            <sz val="8"/>
            <color indexed="81"/>
            <rFont val="Tahoma"/>
            <family val="2"/>
          </rPr>
          <t xml:space="preserve">
Total for all of Northeast district.
</t>
        </r>
      </text>
    </comment>
    <comment ref="M2323" authorId="19">
      <text>
        <r>
          <rPr>
            <b/>
            <sz val="8"/>
            <color indexed="81"/>
            <rFont val="Tahoma"/>
            <family val="2"/>
          </rPr>
          <t>srobi:</t>
        </r>
        <r>
          <rPr>
            <sz val="8"/>
            <color indexed="81"/>
            <rFont val="Tahoma"/>
            <family val="2"/>
          </rPr>
          <t xml:space="preserve">
Total for all of Northwest district.</t>
        </r>
      </text>
    </comment>
    <comment ref="M2330" authorId="19">
      <text>
        <r>
          <rPr>
            <b/>
            <sz val="8"/>
            <color indexed="81"/>
            <rFont val="Tahoma"/>
            <family val="2"/>
          </rPr>
          <t>srobi:</t>
        </r>
        <r>
          <rPr>
            <sz val="8"/>
            <color indexed="81"/>
            <rFont val="Tahoma"/>
            <family val="2"/>
          </rPr>
          <t xml:space="preserve">
Total for all of Tulsa district.</t>
        </r>
      </text>
    </comment>
    <comment ref="G2336" authorId="19">
      <text>
        <r>
          <rPr>
            <b/>
            <sz val="8"/>
            <color indexed="81"/>
            <rFont val="Tahoma"/>
            <family val="2"/>
          </rPr>
          <t>srobi:</t>
        </r>
        <r>
          <rPr>
            <sz val="8"/>
            <color indexed="81"/>
            <rFont val="Tahoma"/>
            <family val="2"/>
          </rPr>
          <t xml:space="preserve">
Total for all of Indian Capital distict.
</t>
        </r>
      </text>
    </comment>
    <comment ref="G2337" authorId="19">
      <text>
        <r>
          <rPr>
            <b/>
            <sz val="8"/>
            <color indexed="81"/>
            <rFont val="Tahoma"/>
            <family val="2"/>
          </rPr>
          <t>srobi:</t>
        </r>
        <r>
          <rPr>
            <sz val="8"/>
            <color indexed="81"/>
            <rFont val="Tahoma"/>
            <family val="2"/>
          </rPr>
          <t xml:space="preserve">
Total for all of Kiamichi district.
</t>
        </r>
      </text>
    </comment>
    <comment ref="G2338" authorId="19">
      <text>
        <r>
          <rPr>
            <b/>
            <sz val="8"/>
            <color indexed="81"/>
            <rFont val="Tahoma"/>
            <family val="2"/>
          </rPr>
          <t>srobi:</t>
        </r>
        <r>
          <rPr>
            <sz val="8"/>
            <color indexed="81"/>
            <rFont val="Tahoma"/>
            <family val="2"/>
          </rPr>
          <t xml:space="preserve">
Total for all of Northeast district.</t>
        </r>
      </text>
    </comment>
    <comment ref="G2339" authorId="19">
      <text>
        <r>
          <rPr>
            <b/>
            <sz val="8"/>
            <color indexed="81"/>
            <rFont val="Tahoma"/>
            <family val="2"/>
          </rPr>
          <t>srobi:</t>
        </r>
        <r>
          <rPr>
            <sz val="8"/>
            <color indexed="81"/>
            <rFont val="Tahoma"/>
            <family val="2"/>
          </rPr>
          <t xml:space="preserve">
Total for all of Northwest district.</t>
        </r>
      </text>
    </comment>
    <comment ref="G2340" authorId="19">
      <text>
        <r>
          <rPr>
            <b/>
            <sz val="8"/>
            <color indexed="81"/>
            <rFont val="Tahoma"/>
            <family val="2"/>
          </rPr>
          <t>srobi:</t>
        </r>
        <r>
          <rPr>
            <sz val="8"/>
            <color indexed="81"/>
            <rFont val="Tahoma"/>
            <family val="2"/>
          </rPr>
          <t xml:space="preserve">
Total for all of Tulsa district.</t>
        </r>
      </text>
    </comment>
    <comment ref="A2344" authorId="0">
      <text>
        <r>
          <rPr>
            <b/>
            <sz val="10"/>
            <color indexed="81"/>
            <rFont val="Tahoma"/>
            <family val="2"/>
          </rPr>
          <t>CB</t>
        </r>
        <r>
          <rPr>
            <sz val="10"/>
            <color indexed="81"/>
            <rFont val="Tahoma"/>
            <family val="2"/>
          </rPr>
          <t xml:space="preserve">
7% cuts announced Dec. '08. 2% cuts announced Mar. '09</t>
        </r>
      </text>
    </comment>
    <comment ref="C2439" authorId="20">
      <text>
        <r>
          <rPr>
            <b/>
            <sz val="8"/>
            <color indexed="81"/>
            <rFont val="Tahoma"/>
            <family val="2"/>
          </rPr>
          <t>cbrown:</t>
        </r>
        <r>
          <rPr>
            <sz val="8"/>
            <color indexed="81"/>
            <rFont val="Tahoma"/>
            <family val="2"/>
          </rPr>
          <t xml:space="preserve">
Had been previously included in State Support to Private Colleges other than Student Aid
 </t>
        </r>
      </text>
    </comment>
    <comment ref="C2459" authorId="11">
      <text>
        <r>
          <rPr>
            <b/>
            <sz val="8"/>
            <color indexed="81"/>
            <rFont val="Tahoma"/>
            <family val="2"/>
          </rPr>
          <t>Reclassified: Met the criteria for SREB Four-Year 6 institution in 2007-08, 2008-09 and 2009-10.</t>
        </r>
      </text>
    </comment>
    <comment ref="C2467" authorId="20">
      <text>
        <r>
          <rPr>
            <b/>
            <sz val="8"/>
            <color indexed="81"/>
            <rFont val="Tahoma"/>
            <family val="2"/>
          </rPr>
          <t>cbrown:</t>
        </r>
        <r>
          <rPr>
            <sz val="8"/>
            <color indexed="81"/>
            <rFont val="Tahoma"/>
            <family val="2"/>
          </rPr>
          <t xml:space="preserve">
Name change 2004 reporting</t>
        </r>
      </text>
    </comment>
    <comment ref="C2796" authorId="2">
      <text>
        <r>
          <rPr>
            <b/>
            <sz val="10"/>
            <color indexed="81"/>
            <rFont val="Tahoma"/>
            <family val="2"/>
          </rPr>
          <t>NG CAP is new and is replacing NG Tuition Repayment Pgm.  NG Tuition Repayment is being phased out-below</t>
        </r>
      </text>
    </comment>
    <comment ref="A2807" authorId="2">
      <text>
        <r>
          <rPr>
            <b/>
            <sz val="10"/>
            <color indexed="81"/>
            <rFont val="Tahoma"/>
            <family val="2"/>
          </rPr>
          <t xml:space="preserve">SB:
</t>
        </r>
        <r>
          <rPr>
            <sz val="10"/>
            <color indexed="81"/>
            <rFont val="Tahoma"/>
            <family val="2"/>
          </rPr>
          <t xml:space="preserve">If you recall from our talks last fall, for FY10-11 </t>
        </r>
        <r>
          <rPr>
            <sz val="10"/>
            <color indexed="10"/>
            <rFont val="Tahoma"/>
            <family val="2"/>
          </rPr>
          <t xml:space="preserve">Tennessee's Department of Finance and Administration decided to transfer higher education's portion of ARRA funds ($163m) to K-12 education and replace them with an equivalent amount of nonrecurring state funds. </t>
        </r>
        <r>
          <rPr>
            <sz val="10"/>
            <color indexed="81"/>
            <rFont val="Tahoma"/>
            <family val="2"/>
          </rPr>
          <t xml:space="preserve">This was done for budgetary reasons that I can expand upon if you like. The effect of this "ARRA swap" is the appearance of a large increase in FY10-11 higher education state appropriations. We would like to make it clear that available state funds for higher education did not increase. </t>
        </r>
        <r>
          <rPr>
            <sz val="10"/>
            <color indexed="10"/>
            <rFont val="Tahoma"/>
            <family val="2"/>
          </rPr>
          <t>The "ARRA swap" only makes it appear so. In fact, there was actually a 5.3% decrease in recurring funds from FY09-10 to FY10-11.</t>
        </r>
        <r>
          <rPr>
            <sz val="10"/>
            <color indexed="81"/>
            <rFont val="Tahoma"/>
            <family val="2"/>
          </rPr>
          <t xml:space="preserve">
SHEEO chose to include the following footnote for our SHEF submission:
"Tennessee's 11.4% increase between FY10 and FY11 in state monies for higher education is an anomaly, reflecting the decision to apply available federal stimulus funds in FY11 to K-12 education.  An equivalent amount of state funds were used for higher education. The increase in state monies for higher education between FY10 and FY11 does not reflect an increase in the overall availability of state funds for college and university support."
Please let us know if a similar footnote would be appropriate for Data Exchange.
</t>
        </r>
      </text>
    </comment>
    <comment ref="A2904" authorId="7">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C2955" authorId="2">
      <text>
        <r>
          <rPr>
            <b/>
            <sz val="8"/>
            <color indexed="81"/>
            <rFont val="Tahoma"/>
            <family val="2"/>
          </rPr>
          <t>jmarks:</t>
        </r>
        <r>
          <rPr>
            <sz val="8"/>
            <color indexed="81"/>
            <rFont val="Tahoma"/>
            <family val="2"/>
          </rPr>
          <t xml:space="preserve">
Reported the same way as SCH data (by campus) preferred.</t>
        </r>
      </text>
    </comment>
    <comment ref="C2959" authorId="2">
      <text>
        <r>
          <rPr>
            <b/>
            <sz val="8"/>
            <color indexed="81"/>
            <rFont val="Tahoma"/>
            <family val="2"/>
          </rPr>
          <t>jmarks:</t>
        </r>
        <r>
          <rPr>
            <sz val="8"/>
            <color indexed="81"/>
            <rFont val="Tahoma"/>
            <family val="2"/>
          </rPr>
          <t xml:space="preserve">
Reported the same way as SCH data (by campus) preferred.</t>
        </r>
      </text>
    </comment>
    <comment ref="C2966" authorId="2">
      <text>
        <r>
          <rPr>
            <b/>
            <sz val="8"/>
            <color indexed="81"/>
            <rFont val="Tahoma"/>
            <family val="2"/>
          </rPr>
          <t>jmarks:</t>
        </r>
        <r>
          <rPr>
            <sz val="8"/>
            <color indexed="81"/>
            <rFont val="Tahoma"/>
            <family val="2"/>
          </rPr>
          <t xml:space="preserve">
Reported the same way as SCH data (by campus) preferred.</t>
        </r>
      </text>
    </comment>
    <comment ref="C2967" authorId="2">
      <text>
        <r>
          <rPr>
            <b/>
            <sz val="8"/>
            <color indexed="81"/>
            <rFont val="Tahoma"/>
            <family val="2"/>
          </rPr>
          <t>jmarks:</t>
        </r>
        <r>
          <rPr>
            <sz val="8"/>
            <color indexed="81"/>
            <rFont val="Tahoma"/>
            <family val="2"/>
          </rPr>
          <t xml:space="preserve">
Reported the same way as SCH data (by campus) preferred.</t>
        </r>
      </text>
    </comment>
    <comment ref="C2968" authorId="2">
      <text>
        <r>
          <rPr>
            <b/>
            <sz val="8"/>
            <color indexed="81"/>
            <rFont val="Tahoma"/>
            <family val="2"/>
          </rPr>
          <t>jmarks:</t>
        </r>
        <r>
          <rPr>
            <sz val="8"/>
            <color indexed="81"/>
            <rFont val="Tahoma"/>
            <family val="2"/>
          </rPr>
          <t xml:space="preserve">
Reported the same way as SCH data (by campus) preferred.</t>
        </r>
      </text>
    </comment>
    <comment ref="C2969" authorId="2">
      <text>
        <r>
          <rPr>
            <b/>
            <sz val="8"/>
            <color indexed="81"/>
            <rFont val="Tahoma"/>
            <family val="2"/>
          </rPr>
          <t>jmarks:</t>
        </r>
        <r>
          <rPr>
            <sz val="8"/>
            <color indexed="81"/>
            <rFont val="Tahoma"/>
            <family val="2"/>
          </rPr>
          <t xml:space="preserve">
Reported the same way as SCH data (by campus) preferred.</t>
        </r>
      </text>
    </comment>
    <comment ref="C2970" authorId="2">
      <text>
        <r>
          <rPr>
            <b/>
            <sz val="8"/>
            <color indexed="81"/>
            <rFont val="Tahoma"/>
            <family val="2"/>
          </rPr>
          <t>jmarks:</t>
        </r>
        <r>
          <rPr>
            <sz val="8"/>
            <color indexed="81"/>
            <rFont val="Tahoma"/>
            <family val="2"/>
          </rPr>
          <t xml:space="preserve">
Reported the same way as SCH data (by campus) preferred.</t>
        </r>
      </text>
    </comment>
    <comment ref="C2973" authorId="2">
      <text>
        <r>
          <rPr>
            <b/>
            <sz val="8"/>
            <color indexed="81"/>
            <rFont val="Tahoma"/>
            <family val="2"/>
          </rPr>
          <t>jmarks:</t>
        </r>
        <r>
          <rPr>
            <sz val="8"/>
            <color indexed="81"/>
            <rFont val="Tahoma"/>
            <family val="2"/>
          </rPr>
          <t xml:space="preserve">
Reported the same way as SCH data (by campus) preferred.</t>
        </r>
      </text>
    </comment>
    <comment ref="C2983" authorId="11">
      <text>
        <r>
          <rPr>
            <sz val="10"/>
            <color indexed="81"/>
            <rFont val="Tahoma"/>
            <family val="2"/>
          </rPr>
          <t>Met criteria for Two-Year 1 in 2008-09 and 2009-10.</t>
        </r>
      </text>
    </comment>
    <comment ref="C3018" authorId="2">
      <text>
        <r>
          <rPr>
            <b/>
            <sz val="8"/>
            <color indexed="81"/>
            <rFont val="Tahoma"/>
            <family val="2"/>
          </rPr>
          <t>jmarks:</t>
        </r>
        <r>
          <rPr>
            <sz val="8"/>
            <color indexed="81"/>
            <rFont val="Tahoma"/>
            <family val="2"/>
          </rPr>
          <t xml:space="preserve">
Reported the same way as SCH data (by campus) preferred.</t>
        </r>
      </text>
    </comment>
    <comment ref="C3019" authorId="2">
      <text>
        <r>
          <rPr>
            <b/>
            <sz val="8"/>
            <color indexed="81"/>
            <rFont val="Tahoma"/>
            <family val="2"/>
          </rPr>
          <t>jmarks:</t>
        </r>
        <r>
          <rPr>
            <sz val="8"/>
            <color indexed="81"/>
            <rFont val="Tahoma"/>
            <family val="2"/>
          </rPr>
          <t xml:space="preserve">
Reported the same way as SCH data (by campus) preferred.</t>
        </r>
      </text>
    </comment>
    <comment ref="C3020" authorId="2">
      <text>
        <r>
          <rPr>
            <b/>
            <sz val="10"/>
            <color indexed="81"/>
            <rFont val="Tahoma"/>
            <family val="2"/>
          </rPr>
          <t>jmarks:</t>
        </r>
        <r>
          <rPr>
            <sz val="10"/>
            <color indexed="81"/>
            <rFont val="Tahoma"/>
            <family val="2"/>
          </rPr>
          <t xml:space="preserve">
New fall 2009.</t>
        </r>
      </text>
    </comment>
    <comment ref="C3021" authorId="2">
      <text>
        <r>
          <rPr>
            <b/>
            <sz val="10"/>
            <color indexed="81"/>
            <rFont val="Tahoma"/>
            <family val="2"/>
          </rPr>
          <t>jmarks:</t>
        </r>
        <r>
          <rPr>
            <sz val="10"/>
            <color indexed="81"/>
            <rFont val="Tahoma"/>
            <family val="2"/>
          </rPr>
          <t xml:space="preserve">
New fall 2009.</t>
        </r>
      </text>
    </comment>
    <comment ref="C3022" authorId="2">
      <text>
        <r>
          <rPr>
            <b/>
            <sz val="10"/>
            <color indexed="81"/>
            <rFont val="Tahoma"/>
            <family val="2"/>
          </rPr>
          <t>jmarks:</t>
        </r>
        <r>
          <rPr>
            <sz val="10"/>
            <color indexed="81"/>
            <rFont val="Tahoma"/>
            <family val="2"/>
          </rPr>
          <t xml:space="preserve">
New fall 2009.</t>
        </r>
      </text>
    </comment>
    <comment ref="C3041" authorId="21">
      <text>
        <r>
          <rPr>
            <b/>
            <sz val="8"/>
            <color indexed="81"/>
            <rFont val="Tahoma"/>
            <family val="2"/>
          </rPr>
          <t>GreeneAA:</t>
        </r>
        <r>
          <rPr>
            <sz val="8"/>
            <color indexed="81"/>
            <rFont val="Tahoma"/>
            <family val="2"/>
          </rPr>
          <t xml:space="preserve">
Name Change</t>
        </r>
      </text>
    </comment>
    <comment ref="C3043" authorId="2">
      <text>
        <r>
          <rPr>
            <b/>
            <sz val="10"/>
            <color indexed="81"/>
            <rFont val="Tahoma"/>
            <family val="2"/>
          </rPr>
          <t>jmarks:</t>
        </r>
        <r>
          <rPr>
            <sz val="10"/>
            <color indexed="81"/>
            <rFont val="Tahoma"/>
            <family val="2"/>
          </rPr>
          <t xml:space="preserve">
These $ to be allocated 80/20 to academics/student aid on criteria indevelopment.When allocated, they should be as lines under the appropriate institutions.</t>
        </r>
      </text>
    </comment>
    <comment ref="C3053" authorId="2">
      <text>
        <r>
          <rPr>
            <b/>
            <sz val="8"/>
            <color indexed="81"/>
            <rFont val="Tahoma"/>
            <family val="2"/>
          </rPr>
          <t>jmarks:</t>
        </r>
        <r>
          <rPr>
            <sz val="8"/>
            <color indexed="81"/>
            <rFont val="Tahoma"/>
            <family val="2"/>
          </rPr>
          <t xml:space="preserve">
in HECB ?</t>
        </r>
      </text>
    </comment>
    <comment ref="C3139" authorId="21">
      <text>
        <r>
          <rPr>
            <b/>
            <sz val="8"/>
            <color indexed="81"/>
            <rFont val="Tahoma"/>
            <family val="2"/>
          </rPr>
          <t>GreeneAA:</t>
        </r>
        <r>
          <rPr>
            <sz val="8"/>
            <color indexed="81"/>
            <rFont val="Tahoma"/>
            <family val="2"/>
          </rPr>
          <t xml:space="preserve">
Name Change</t>
        </r>
      </text>
    </comment>
    <comment ref="N3142" authorId="7">
      <text>
        <r>
          <rPr>
            <sz val="10"/>
            <color indexed="81"/>
            <rFont val="Tahoma"/>
            <family val="2"/>
          </rPr>
          <t xml:space="preserve">Those dramatic changes are correct.  The debt service fee was doubled in FY10, and it is further increased in FY11, that is, you will see another systematic high increase again in FY11.  </t>
        </r>
      </text>
    </comment>
    <comment ref="F3144" authorId="22">
      <text>
        <r>
          <rPr>
            <sz val="8"/>
            <color indexed="81"/>
            <rFont val="Tahoma"/>
            <family val="2"/>
          </rPr>
          <t xml:space="preserve">2007-08 data were revised in yellow highlighted cells.  That is moving dollars from State General Purpose to State Special Purpose.
</t>
        </r>
      </text>
    </comment>
    <comment ref="C3223" authorId="2">
      <text>
        <r>
          <rPr>
            <b/>
            <sz val="8"/>
            <color indexed="81"/>
            <rFont val="Tahoma"/>
            <family val="2"/>
          </rPr>
          <t>jmarks:</t>
        </r>
        <r>
          <rPr>
            <sz val="8"/>
            <color indexed="81"/>
            <rFont val="Tahoma"/>
            <family val="2"/>
          </rPr>
          <t xml:space="preserve">
Please itemize, if possible.</t>
        </r>
      </text>
    </comment>
    <comment ref="G3245" authorId="23">
      <text>
        <r>
          <rPr>
            <b/>
            <sz val="10"/>
            <color indexed="81"/>
            <rFont val="Tahoma"/>
            <family val="2"/>
          </rPr>
          <t>WVHEPC:</t>
        </r>
        <r>
          <rPr>
            <sz val="10"/>
            <color indexed="81"/>
            <rFont val="Tahoma"/>
            <family val="2"/>
          </rPr>
          <t xml:space="preserve">
Amounts in red due to budget reduction
</t>
        </r>
      </text>
    </comment>
    <comment ref="J3260" authorId="24">
      <text>
        <r>
          <rPr>
            <b/>
            <sz val="9"/>
            <color indexed="81"/>
            <rFont val="Tahoma"/>
            <family val="2"/>
          </rPr>
          <t>Pam Ashley:</t>
        </r>
        <r>
          <rPr>
            <sz val="9"/>
            <color indexed="81"/>
            <rFont val="Tahoma"/>
            <family val="2"/>
          </rPr>
          <t xml:space="preserve">
Includes $200,000 Jackson's Mill, $369,623 Brownsfield Professional Development
plus $3,683143 budget bill special purpose in language
</t>
        </r>
      </text>
    </comment>
    <comment ref="J3264" authorId="24">
      <text>
        <r>
          <rPr>
            <b/>
            <sz val="9"/>
            <color indexed="81"/>
            <rFont val="Tahoma"/>
            <family val="2"/>
          </rPr>
          <t>Pam Ashley:</t>
        </r>
        <r>
          <rPr>
            <sz val="9"/>
            <color indexed="81"/>
            <rFont val="Tahoma"/>
            <family val="2"/>
          </rPr>
          <t xml:space="preserve">
Budget Bill
</t>
        </r>
      </text>
    </comment>
    <comment ref="J3266" authorId="24">
      <text>
        <r>
          <rPr>
            <b/>
            <sz val="9"/>
            <color indexed="81"/>
            <rFont val="Tahoma"/>
            <family val="2"/>
          </rPr>
          <t>Pam Ashley:</t>
        </r>
        <r>
          <rPr>
            <sz val="9"/>
            <color indexed="81"/>
            <rFont val="Tahoma"/>
            <family val="2"/>
          </rPr>
          <t xml:space="preserve">
Vista E-Learning $274,522, $100,000 Luke Lee Ctr., $22960 Writing Project, $369,623 Brownfield professional Development
</t>
        </r>
      </text>
    </comment>
    <comment ref="H3272" authorId="24">
      <text>
        <r>
          <rPr>
            <b/>
            <sz val="9"/>
            <color indexed="81"/>
            <rFont val="Tahoma"/>
            <family val="2"/>
          </rPr>
          <t>Pam Ashley:</t>
        </r>
        <r>
          <rPr>
            <sz val="9"/>
            <color indexed="81"/>
            <rFont val="Tahoma"/>
            <family val="2"/>
          </rPr>
          <t xml:space="preserve">
Includes $1,250,000 funding for the CTC Split</t>
        </r>
      </text>
    </comment>
    <comment ref="Q3272" authorId="25">
      <text>
        <r>
          <rPr>
            <b/>
            <sz val="9"/>
            <color indexed="81"/>
            <rFont val="Tahoma"/>
            <family val="2"/>
          </rPr>
          <t>Patty Miller:</t>
        </r>
        <r>
          <rPr>
            <sz val="9"/>
            <color indexed="81"/>
            <rFont val="Tahoma"/>
            <family val="2"/>
          </rPr>
          <t xml:space="preserve">
added debt for 2002B infrastructure bond and 2006 Facilities Improvement bond</t>
        </r>
      </text>
    </comment>
    <comment ref="I3275" authorId="7">
      <text>
        <r>
          <rPr>
            <sz val="8"/>
            <color indexed="81"/>
            <rFont val="Tahoma"/>
            <family val="2"/>
          </rPr>
          <t>one-time funding</t>
        </r>
      </text>
    </comment>
    <comment ref="Q3276" authorId="25">
      <text>
        <r>
          <rPr>
            <b/>
            <sz val="9"/>
            <color indexed="81"/>
            <rFont val="Tahoma"/>
            <family val="2"/>
          </rPr>
          <t>Patty Miller:</t>
        </r>
        <r>
          <rPr>
            <sz val="9"/>
            <color indexed="81"/>
            <rFont val="Tahoma"/>
            <family val="2"/>
          </rPr>
          <t xml:space="preserve">
Added debt for Science Building bonds</t>
        </r>
      </text>
    </comment>
    <comment ref="I3277" authorId="7">
      <text>
        <r>
          <rPr>
            <sz val="8"/>
            <color indexed="81"/>
            <rFont val="Tahoma"/>
            <family val="2"/>
          </rPr>
          <t>one-time funding</t>
        </r>
      </text>
    </comment>
    <comment ref="Q3278" authorId="25">
      <text>
        <r>
          <rPr>
            <b/>
            <sz val="9"/>
            <color indexed="81"/>
            <rFont val="Tahoma"/>
            <family val="2"/>
          </rPr>
          <t>Patty Miller:</t>
        </r>
        <r>
          <rPr>
            <sz val="9"/>
            <color indexed="81"/>
            <rFont val="Tahoma"/>
            <family val="2"/>
          </rPr>
          <t xml:space="preserve">
Added debt for Student Revenue bonds and Infrastructure bonds</t>
        </r>
      </text>
    </comment>
    <comment ref="I3279" authorId="7">
      <text>
        <r>
          <rPr>
            <sz val="8"/>
            <color indexed="81"/>
            <rFont val="Tahoma"/>
            <family val="2"/>
          </rPr>
          <t>one-time funding</t>
        </r>
      </text>
    </comment>
    <comment ref="Q3280" authorId="25">
      <text>
        <r>
          <rPr>
            <b/>
            <sz val="9"/>
            <color indexed="81"/>
            <rFont val="Tahoma"/>
            <family val="2"/>
          </rPr>
          <t>Patty Miller:</t>
        </r>
        <r>
          <rPr>
            <sz val="9"/>
            <color indexed="81"/>
            <rFont val="Tahoma"/>
            <family val="2"/>
          </rPr>
          <t xml:space="preserve">
Added debt for 2003 Series C</t>
        </r>
      </text>
    </comment>
    <comment ref="I3285" authorId="7">
      <text>
        <r>
          <rPr>
            <sz val="8"/>
            <color indexed="81"/>
            <rFont val="Tahoma"/>
            <family val="2"/>
          </rPr>
          <t>one-time funding</t>
        </r>
      </text>
    </comment>
    <comment ref="U3336" authorId="7">
      <text>
        <r>
          <rPr>
            <sz val="8"/>
            <color indexed="81"/>
            <rFont val="Tahoma"/>
            <family val="2"/>
          </rPr>
          <t>one-time funding</t>
        </r>
      </text>
    </comment>
    <comment ref="U3337" authorId="7">
      <text>
        <r>
          <rPr>
            <sz val="8"/>
            <color indexed="81"/>
            <rFont val="Tahoma"/>
            <family val="2"/>
          </rPr>
          <t>one-time funding</t>
        </r>
      </text>
    </comment>
  </commentList>
</comments>
</file>

<file path=xl/comments2.xml><?xml version="1.0" encoding="utf-8"?>
<comments xmlns="http://schemas.openxmlformats.org/spreadsheetml/2006/main">
  <authors>
    <author>jmarks</author>
  </authors>
  <commentList>
    <comment ref="C117" authorId="0">
      <text>
        <r>
          <rPr>
            <b/>
            <sz val="10"/>
            <color indexed="81"/>
            <rFont val="Tahoma"/>
            <family val="2"/>
          </rPr>
          <t>jmarks:</t>
        </r>
        <r>
          <rPr>
            <sz val="10"/>
            <color indexed="81"/>
            <rFont val="Tahoma"/>
            <family val="2"/>
          </rPr>
          <t xml:space="preserve">
Must be range valued to sort right. But don't. See note above.</t>
        </r>
      </text>
    </comment>
  </commentList>
</comments>
</file>

<file path=xl/sharedStrings.xml><?xml version="1.0" encoding="utf-8"?>
<sst xmlns="http://schemas.openxmlformats.org/spreadsheetml/2006/main" count="13553" uniqueCount="2024">
  <si>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</si>
  <si>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</si>
  <si>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</si>
  <si>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</si>
  <si>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</si>
  <si>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</si>
  <si>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</si>
  <si>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</si>
  <si>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</si>
  <si>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</si>
  <si>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</si>
  <si>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</si>
  <si>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A change of more than a 5% up or down will trigger a red warning.</t>
  </si>
  <si>
    <t>Center for Labor Ed &amp; Res</t>
  </si>
  <si>
    <t>Little River Canyon Field School</t>
  </si>
  <si>
    <t>Judical College</t>
  </si>
  <si>
    <t>Risk Watch Program</t>
  </si>
  <si>
    <t>Poison Control Center</t>
  </si>
  <si>
    <t>AL Teacher Recruitment Incentive Program</t>
  </si>
  <si>
    <t>Limited to public college students only</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</si>
  <si>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</si>
  <si>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</si>
  <si>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</si>
  <si>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</si>
  <si>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</si>
  <si>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</si>
  <si>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</si>
  <si>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 xml:space="preserve">Northwest-Shoals Community College </t>
  </si>
  <si>
    <t>Shelton State Community College</t>
  </si>
  <si>
    <t>Fire College</t>
  </si>
  <si>
    <t>Southern Union State Community College</t>
  </si>
  <si>
    <t>Wallace Community College - Hanceville</t>
  </si>
  <si>
    <t>Alabama Southern Community College</t>
  </si>
  <si>
    <t>Central Alabama Community College</t>
  </si>
  <si>
    <t xml:space="preserve">Chattahoochee Valley State Community College </t>
  </si>
  <si>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</si>
  <si>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</si>
  <si>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</si>
  <si>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</si>
  <si>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</si>
  <si>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</si>
  <si>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</si>
  <si>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</si>
  <si>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</si>
  <si>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</si>
  <si>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</si>
  <si>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</si>
  <si>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</si>
  <si>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</si>
  <si>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</si>
  <si>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Statewide Student Financial Aid Programs Administered Off Campus</t>
  </si>
  <si>
    <t>Available to public &amp; private sector students</t>
  </si>
  <si>
    <t>for medical students</t>
  </si>
  <si>
    <t>Amount to public sector students</t>
  </si>
  <si>
    <t>Amount to private sector students</t>
  </si>
  <si>
    <t>for dental students</t>
  </si>
  <si>
    <t>for optometry students</t>
  </si>
  <si>
    <t>for chiropractic students</t>
  </si>
  <si>
    <t>Board of Nursing program</t>
  </si>
  <si>
    <t>SREB minority doctoral fellows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</si>
  <si>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</si>
  <si>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</si>
  <si>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</si>
  <si>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</si>
  <si>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</si>
  <si>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</si>
  <si>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</si>
  <si>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</si>
  <si>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</si>
  <si>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</si>
  <si>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</si>
  <si>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</si>
  <si>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</si>
  <si>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</si>
  <si>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</si>
  <si>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 xml:space="preserve">Auburn University  </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</si>
  <si>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</si>
  <si>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</si>
  <si>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</si>
  <si>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</si>
  <si>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</si>
  <si>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</si>
  <si>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</si>
  <si>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</si>
  <si>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</si>
  <si>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</si>
  <si>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t>Econ Res Services to St Dept of Finance</t>
  </si>
  <si>
    <t>Teacher In-service Center</t>
  </si>
  <si>
    <t>Veterinary School</t>
  </si>
  <si>
    <t xml:space="preserve">University of Alabama </t>
  </si>
  <si>
    <t>Health Center</t>
  </si>
  <si>
    <t>Minority Technology Network</t>
  </si>
  <si>
    <t>Special Outreach PGM</t>
  </si>
  <si>
    <t>University of Alabama at Birmingham</t>
  </si>
  <si>
    <t>Medical Center</t>
  </si>
  <si>
    <t>Chauncey-Sparks Mental Health Center</t>
  </si>
  <si>
    <t>James Cystic Fibrosis Ctr</t>
  </si>
  <si>
    <t>Minority Bus Training Econ Dev Pgm</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</si>
  <si>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</si>
  <si>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</si>
  <si>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</si>
  <si>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</si>
  <si>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</si>
  <si>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</si>
  <si>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</si>
  <si>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</si>
  <si>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</si>
  <si>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</si>
  <si>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r>
      <t>Funds</t>
    </r>
    <r>
      <rPr>
        <b/>
        <vertAlign val="superscript"/>
        <sz val="10"/>
        <rFont val="Arial"/>
        <family val="2"/>
      </rPr>
      <t xml:space="preserve">1 </t>
    </r>
    <r>
      <rPr>
        <b/>
        <sz val="10"/>
        <rFont val="Arial"/>
        <family val="2"/>
      </rPr>
      <t>for Public Colleges, Universities and Technical Institutes and for Other</t>
    </r>
    <r>
      <rPr>
        <b/>
        <vertAlign val="superscript"/>
        <sz val="10"/>
        <rFont val="Arial"/>
        <family val="2"/>
      </rPr>
      <t xml:space="preserve">2 </t>
    </r>
    <r>
      <rPr>
        <b/>
        <sz val="10"/>
        <rFont val="Arial"/>
        <family val="2"/>
      </rPr>
      <t>Higher Education-Related Operating Expenses</t>
    </r>
  </si>
  <si>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</si>
  <si>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</si>
  <si>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</si>
  <si>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</si>
  <si>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</si>
  <si>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</si>
  <si>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</si>
  <si>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</si>
  <si>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</si>
  <si>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</si>
  <si>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</si>
  <si>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</si>
  <si>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</si>
  <si>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</si>
  <si>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</si>
  <si>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</si>
  <si>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</si>
  <si>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</si>
  <si>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</si>
  <si>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</si>
  <si>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IPEDS ID</t>
  </si>
  <si>
    <t>Tennessee</t>
  </si>
  <si>
    <t xml:space="preserve"> </t>
  </si>
  <si>
    <t>Tuition &amp; Fees</t>
  </si>
  <si>
    <t>Other Special Purpose Funds and Funds for Health Professions Education</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</si>
  <si>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</si>
  <si>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</si>
  <si>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</si>
  <si>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</si>
  <si>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</si>
  <si>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</si>
  <si>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</si>
  <si>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</si>
  <si>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</si>
  <si>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</si>
  <si>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</si>
  <si>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</si>
  <si>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</si>
  <si>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</si>
  <si>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</si>
  <si>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</si>
  <si>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Limited to private college students only</t>
  </si>
  <si>
    <t>Alabama Technology Network</t>
  </si>
  <si>
    <t>Mine Safety Training Pgm</t>
  </si>
  <si>
    <t>Telephone Revolving Fund</t>
  </si>
  <si>
    <t xml:space="preserve">Articulation </t>
  </si>
  <si>
    <t>Knight v Alabama</t>
  </si>
  <si>
    <t xml:space="preserve">School &amp; University Partnership for Education Renewal </t>
  </si>
  <si>
    <t>Statewide System Operations</t>
  </si>
  <si>
    <t>SREB ACHE Administrative Costs</t>
  </si>
  <si>
    <t>Adm. of Statewide Student Aid Progs. (including centralized guaranteed student loans)</t>
  </si>
  <si>
    <t>State Support to Private Colleges Other Than Student Aid</t>
  </si>
  <si>
    <t>AL A&amp;M-Miles College Consortium</t>
  </si>
  <si>
    <t>Talladega College</t>
  </si>
  <si>
    <t>Tuskegee University</t>
  </si>
  <si>
    <t>AL Agricultural LG Alliance Tuskegee University</t>
  </si>
  <si>
    <t>Contract Education Programs</t>
  </si>
  <si>
    <t>SREB contract program with private colleges</t>
  </si>
  <si>
    <t>Meharry Medical College (Dentistry &amp; Medicine)</t>
  </si>
  <si>
    <t>SREB contract program with public colleges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</si>
  <si>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</si>
  <si>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</si>
  <si>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</si>
  <si>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</si>
  <si>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</si>
  <si>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</si>
  <si>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</si>
  <si>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</si>
  <si>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</si>
  <si>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</si>
  <si>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SREB Category</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</si>
  <si>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</si>
  <si>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</si>
  <si>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</si>
  <si>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</si>
  <si>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</si>
  <si>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</si>
  <si>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</si>
  <si>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</si>
  <si>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</si>
  <si>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</si>
  <si>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</si>
  <si>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</si>
  <si>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</si>
  <si>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</si>
  <si>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</si>
  <si>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</si>
  <si>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</si>
  <si>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</si>
  <si>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</si>
  <si>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</si>
  <si>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</si>
  <si>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</si>
  <si>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</si>
  <si>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</si>
  <si>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</si>
  <si>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</si>
  <si>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</si>
  <si>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</si>
  <si>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</si>
  <si>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</si>
  <si>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</si>
  <si>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</si>
  <si>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</si>
  <si>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</si>
  <si>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</si>
  <si>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</si>
  <si>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</si>
  <si>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</si>
  <si>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</si>
  <si>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</si>
  <si>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</si>
  <si>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</si>
  <si>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</si>
  <si>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</si>
  <si>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</si>
  <si>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</si>
  <si>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</si>
  <si>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</si>
  <si>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</si>
  <si>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</si>
  <si>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Technical</t>
  </si>
  <si>
    <t>Tuition SP Ops-Old</t>
  </si>
  <si>
    <t>Tuition SP Debt-Old</t>
  </si>
  <si>
    <t>Tuition SP Tot-Old</t>
  </si>
  <si>
    <t>Tuition SP Ops-New</t>
  </si>
  <si>
    <t>Tuition SP Debt-New</t>
  </si>
  <si>
    <t xml:space="preserve"> % change in tuition debt</t>
  </si>
  <si>
    <t>Total  % change in tuition debt</t>
  </si>
  <si>
    <t>Texas*</t>
  </si>
  <si>
    <t>Virginia*</t>
  </si>
  <si>
    <t>Specialized</t>
  </si>
  <si>
    <t>(blank)</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</si>
  <si>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</si>
  <si>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</si>
  <si>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</si>
  <si>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</si>
  <si>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</si>
  <si>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</si>
  <si>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</si>
  <si>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Two-Year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</si>
  <si>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</si>
  <si>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</si>
  <si>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</si>
  <si>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</si>
  <si>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**Reflects Richard Bland only.</t>
  </si>
  <si>
    <t>Alabama Student Assistance Program</t>
  </si>
  <si>
    <t>American Legion program</t>
  </si>
  <si>
    <t>Dependents of blind parents program</t>
  </si>
  <si>
    <t>Department of Veterans Affairs programs</t>
  </si>
  <si>
    <t>Policeman's' scholarships</t>
  </si>
  <si>
    <t>National Guard Ed Assistance</t>
  </si>
  <si>
    <t>Alabama Student Grant Program</t>
  </si>
  <si>
    <t>Two-Year Total</t>
  </si>
  <si>
    <t>Technical Total</t>
  </si>
  <si>
    <t>Other Total</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</si>
  <si>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</si>
  <si>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</si>
  <si>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</si>
  <si>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</si>
  <si>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</si>
  <si>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</si>
  <si>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</si>
  <si>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</si>
  <si>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</si>
  <si>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</si>
  <si>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</si>
  <si>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</si>
  <si>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</si>
  <si>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</si>
  <si>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</si>
  <si>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University of Alabama in Huntsville</t>
  </si>
  <si>
    <t>Alabama Agricultural &amp; Mechanical University</t>
  </si>
  <si>
    <t>AL Agricultural LG Alliance</t>
  </si>
  <si>
    <t>Black Archives Museum</t>
  </si>
  <si>
    <t xml:space="preserve">Jacksonville State University </t>
  </si>
  <si>
    <t>AL Small Business Institute of Commerce</t>
  </si>
  <si>
    <t>University of South Alabama</t>
  </si>
  <si>
    <t xml:space="preserve">Alabama State University </t>
  </si>
  <si>
    <t>Cooperative Efforts to Enhance Community Ed Institute</t>
  </si>
  <si>
    <t>Auburn University at Montgomery</t>
  </si>
  <si>
    <t>Educational special purpose funds - to statewide units</t>
  </si>
  <si>
    <t>Educational special purpose funds - all other</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</si>
  <si>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</si>
  <si>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</si>
  <si>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</si>
  <si>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</si>
  <si>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</si>
  <si>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</si>
  <si>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</si>
  <si>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</si>
  <si>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</si>
  <si>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</si>
  <si>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</si>
  <si>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Jules Collins Smith Art Museum</t>
  </si>
  <si>
    <t>AL Center for Civic Life</t>
  </si>
  <si>
    <t>High School Athletic Training Pgm</t>
  </si>
  <si>
    <t>Wellness Intiaitive</t>
  </si>
  <si>
    <t>Ctr for International Bus &amp; Econ Development</t>
  </si>
  <si>
    <t>Regional Wellness &amp; Fitness Center</t>
  </si>
  <si>
    <t>Black Belt Treasures Initiative</t>
  </si>
  <si>
    <t>National Young Farmers Ed Assoc</t>
  </si>
  <si>
    <t>Marion Military Institute</t>
  </si>
  <si>
    <t>MESC/Dauphin Isl Sealab/Marine Environmental Sci Consort.</t>
  </si>
  <si>
    <t>Prison Education - Theraputic Training</t>
  </si>
  <si>
    <t>Military Operations Program</t>
  </si>
  <si>
    <t>Workforce Development</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</si>
  <si>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</si>
  <si>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</si>
  <si>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</si>
  <si>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</si>
  <si>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</si>
  <si>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</si>
  <si>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</si>
  <si>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</si>
  <si>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</si>
  <si>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</si>
  <si>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</si>
  <si>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</si>
  <si>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</si>
  <si>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</si>
  <si>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</si>
  <si>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</si>
  <si>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</si>
  <si>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</si>
  <si>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</si>
  <si>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</si>
  <si>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</si>
  <si>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</si>
  <si>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</si>
  <si>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</si>
  <si>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</si>
  <si>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*Reflects all community colleges except Richard Bland.</t>
  </si>
  <si>
    <t>Sum of State Ed Spec Purp-New</t>
  </si>
  <si>
    <t>Total Sum of State Ed Spec Purp-New</t>
  </si>
  <si>
    <t xml:space="preserve"> % change in state ed spec purp</t>
  </si>
  <si>
    <t>General purpose funds to public campuses</t>
  </si>
  <si>
    <t>University of Montevallo</t>
  </si>
  <si>
    <t>University of West Alabama</t>
  </si>
  <si>
    <t>Econ &amp; Small Bus Devel Prm</t>
  </si>
  <si>
    <t>Athens State University</t>
  </si>
  <si>
    <t xml:space="preserve">John C. Calhoun State Community College </t>
  </si>
  <si>
    <t>Bevill State Community College</t>
  </si>
  <si>
    <t>Special Population Training</t>
  </si>
  <si>
    <t>Jefferson State Community College</t>
  </si>
  <si>
    <t>Bishop State Community College</t>
  </si>
  <si>
    <t>Gadsden State Community College</t>
  </si>
  <si>
    <t>George C. Wallace Community College - Dothan</t>
  </si>
  <si>
    <t>James H. Faulkner State Community College</t>
  </si>
  <si>
    <t>George Corley Wallace State Community College - Selma</t>
  </si>
  <si>
    <t>Jefferson Davis Community College</t>
  </si>
  <si>
    <t xml:space="preserve">Commission on Higher Education (CHE) Operations </t>
  </si>
  <si>
    <t>Department of Postsecondary Education Operations</t>
  </si>
  <si>
    <t>SREB Membership  *</t>
  </si>
  <si>
    <t xml:space="preserve">Lawson State Community College </t>
  </si>
  <si>
    <t xml:space="preserve">Lurleen B. Wallace Community College </t>
  </si>
  <si>
    <t xml:space="preserve">Northeast Alabama State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</si>
  <si>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</si>
  <si>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</si>
  <si>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</si>
  <si>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</si>
  <si>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</si>
  <si>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Exprmntl Prog. for the Stimulation of Competitive Rsrch (EPSCOR) Consort.</t>
  </si>
  <si>
    <t>Network of Al Academic Libraries (NAAL)</t>
  </si>
  <si>
    <t>Adult Basic Education</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</si>
  <si>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</si>
  <si>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</si>
  <si>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</si>
  <si>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</si>
  <si>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</si>
  <si>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</si>
  <si>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</si>
  <si>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</si>
  <si>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</si>
  <si>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</si>
  <si>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</si>
  <si>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</si>
  <si>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</si>
  <si>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</si>
  <si>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</si>
  <si>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</si>
  <si>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</si>
  <si>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</si>
  <si>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</si>
  <si>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</si>
  <si>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</si>
  <si>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</si>
  <si>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</si>
  <si>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</si>
  <si>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</si>
  <si>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</si>
  <si>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</si>
  <si>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</si>
  <si>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</si>
  <si>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</si>
  <si>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</si>
  <si>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</si>
  <si>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</si>
  <si>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</si>
  <si>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</si>
  <si>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</si>
  <si>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</si>
  <si>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</si>
  <si>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</si>
  <si>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</si>
  <si>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</si>
  <si>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</si>
  <si>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</si>
  <si>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</si>
  <si>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</si>
  <si>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</si>
  <si>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</si>
  <si>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</si>
  <si>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</si>
  <si>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</si>
  <si>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</si>
  <si>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</si>
  <si>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</si>
  <si>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</si>
  <si>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</si>
  <si>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</si>
  <si>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</si>
  <si>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</si>
  <si>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</si>
  <si>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</si>
  <si>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t>S.E.R.I.E.S. Pgm</t>
  </si>
  <si>
    <t>Implementation of SMART Budgeting</t>
  </si>
  <si>
    <t>GAAT/CPM Prm</t>
  </si>
  <si>
    <t>Troy University</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</si>
  <si>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</si>
  <si>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</si>
  <si>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</si>
  <si>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</si>
  <si>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</si>
  <si>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</si>
  <si>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</si>
  <si>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</si>
  <si>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</si>
  <si>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</si>
  <si>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</si>
  <si>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</si>
  <si>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</si>
  <si>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</si>
  <si>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</si>
  <si>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</si>
  <si>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</si>
  <si>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</si>
  <si>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</si>
  <si>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</si>
  <si>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</si>
  <si>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</si>
  <si>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</si>
  <si>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</si>
  <si>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</si>
  <si>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</si>
  <si>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</si>
  <si>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</si>
  <si>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</si>
  <si>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</si>
  <si>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</si>
  <si>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 indicates data not available. Delaware State University did not report this year.</t>
  </si>
  <si>
    <t>A. Funds for E&amp;G Operations</t>
  </si>
  <si>
    <t>B. System Operations, State Support to Private Colleges other than student aid, contract education and statewide student aid adm. off campus and non-med Special purp insts.</t>
  </si>
  <si>
    <t>C. Health Professions Education &amp; Institutions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</si>
  <si>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</si>
  <si>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</si>
  <si>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</si>
  <si>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</si>
  <si>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</si>
  <si>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</si>
  <si>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</si>
  <si>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</si>
  <si>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</si>
  <si>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</si>
  <si>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Statewide workforce devlopment (administered by AL Industrial Development Training Institute)</t>
  </si>
  <si>
    <t>Special line items for education operations</t>
  </si>
  <si>
    <t>Funds for Non- Specialized Campus Operations</t>
  </si>
  <si>
    <t>Sub-total for per FTE Funding Statistics</t>
  </si>
  <si>
    <t>University of North Alabama</t>
  </si>
  <si>
    <t>2009-10</t>
  </si>
  <si>
    <t>Diabetes Res Ctr</t>
  </si>
  <si>
    <t>Agricultural</t>
  </si>
  <si>
    <t>AL Film Initiative</t>
  </si>
  <si>
    <t>Senior Resorce Center</t>
  </si>
  <si>
    <t>AL Medical Ed Consortium</t>
  </si>
  <si>
    <t>Ctr for Labor Ed &amp; Res</t>
  </si>
  <si>
    <t>Predator Avoidance Prm</t>
  </si>
  <si>
    <t>Partnership Preservation Of Labor Ed</t>
  </si>
  <si>
    <t>Washington Ctr Intership Pgm</t>
  </si>
  <si>
    <t>By Purpose, Detail Distribution, 2009-10</t>
  </si>
  <si>
    <t>By Purpose, Summary Distribution, 2009-10</t>
  </si>
  <si>
    <t>By Source and Purpose, 2009-10</t>
  </si>
  <si>
    <t>Public Four-Year, 2009-10</t>
  </si>
  <si>
    <t>Public Four-Year 1, 2009-10</t>
  </si>
  <si>
    <t>Public Four-Year 2, 2009-10</t>
  </si>
  <si>
    <t>Public Four-Year 3, 2009-10</t>
  </si>
  <si>
    <t>Public Four-Year 4, 2009-10</t>
  </si>
  <si>
    <t>Public Four-Year 5, 2009-10</t>
  </si>
  <si>
    <t>Public Four-Year 6, 2009-10</t>
  </si>
  <si>
    <t>All Two-Year, 2009-10</t>
  </si>
  <si>
    <t>Two-Year with Bachelor's, 2009-10</t>
  </si>
  <si>
    <t>Two-Year 1, 2009-10</t>
  </si>
  <si>
    <t>Two-Year 2, 2009-10</t>
  </si>
  <si>
    <t>Two-Year 3, 2009-10</t>
  </si>
  <si>
    <t>Two-Year Size Unknown, 2009-10</t>
  </si>
  <si>
    <t>All Technical Institutes or Colleges, 2009-10</t>
  </si>
  <si>
    <t>Technical Institute or College 1, 2009-10</t>
  </si>
  <si>
    <t>Technical Institute or College 2, 2009-10</t>
  </si>
  <si>
    <t>Technical Institute or College Size Unknown, 2009-10</t>
  </si>
  <si>
    <t>Health Tuition Debt - Old</t>
  </si>
  <si>
    <t>Health Tuition Debt - New</t>
  </si>
  <si>
    <r>
      <t xml:space="preserve">Educational special purpose funds - </t>
    </r>
    <r>
      <rPr>
        <b/>
        <u/>
        <sz val="10"/>
        <rFont val="Arial"/>
        <family val="2"/>
      </rPr>
      <t>to public campuses</t>
    </r>
  </si>
  <si>
    <t>Special line items for E&amp;G operations / Other</t>
  </si>
  <si>
    <r>
      <t xml:space="preserve">Educational special purpose funds - to </t>
    </r>
    <r>
      <rPr>
        <b/>
        <u/>
        <sz val="10"/>
        <rFont val="Arial"/>
        <family val="2"/>
      </rPr>
      <t>statewide units</t>
    </r>
  </si>
  <si>
    <r>
      <t xml:space="preserve">Educational special purpose funds for E&amp;G operations- </t>
    </r>
    <r>
      <rPr>
        <b/>
        <u/>
        <sz val="10"/>
        <rFont val="Arial"/>
        <family val="2"/>
      </rPr>
      <t>all other</t>
    </r>
  </si>
  <si>
    <t>Precent Changes</t>
  </si>
  <si>
    <t>ALL</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</si>
  <si>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</si>
  <si>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</si>
  <si>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</si>
  <si>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</si>
  <si>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</si>
  <si>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</si>
  <si>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</si>
  <si>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</si>
  <si>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</si>
  <si>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</si>
  <si>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</si>
  <si>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</si>
  <si>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</si>
  <si>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</si>
  <si>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</si>
  <si>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</si>
  <si>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</si>
  <si>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</si>
  <si>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</si>
  <si>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Table 132</t>
  </si>
  <si>
    <t>Base Table-NEW</t>
  </si>
  <si>
    <t>Base Table-OLD</t>
  </si>
  <si>
    <t>Simplified Table-NEW</t>
  </si>
  <si>
    <t>Simplified Table-OLD</t>
  </si>
  <si>
    <t>SUMMARY FIGURES FOR HIGHLIGHTS REPORT</t>
  </si>
  <si>
    <t>Change</t>
  </si>
  <si>
    <t>FTE-NEW</t>
  </si>
  <si>
    <t>FTE-OLD</t>
  </si>
  <si>
    <t>Amounts For FB 75</t>
  </si>
  <si>
    <t>Tuition</t>
  </si>
  <si>
    <t>NEW Per FTE for Highlights</t>
  </si>
  <si>
    <t>OLD Per FTE for Highlights</t>
  </si>
  <si>
    <t>State/Local</t>
  </si>
  <si>
    <t>Percent Changes</t>
  </si>
  <si>
    <t>For Highlights</t>
  </si>
  <si>
    <r>
      <t>3</t>
    </r>
    <r>
      <rPr>
        <sz val="8"/>
        <rFont val="Arial"/>
        <family val="2"/>
      </rPr>
      <t xml:space="preserve">The SREB states' averages must be interpreted with caution because the number of states with each type of funding varies. </t>
    </r>
  </si>
  <si>
    <t xml:space="preserve">*Reflects Texas colleges in this category except those in the Alamo Community College District and the Dallas County Community College District that were not reported by campus. </t>
  </si>
  <si>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</si>
  <si>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</si>
  <si>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</si>
  <si>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</si>
  <si>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</si>
  <si>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</si>
  <si>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</si>
  <si>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</si>
  <si>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(Multiple Items)</t>
  </si>
  <si>
    <t>2010-11</t>
  </si>
  <si>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</si>
  <si>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</si>
  <si>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</si>
  <si>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</si>
  <si>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</si>
  <si>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Training for ASIMS</t>
  </si>
  <si>
    <t>Climatology Prg</t>
  </si>
  <si>
    <t>Office of International Pgms</t>
  </si>
  <si>
    <t>ESL Program</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</si>
  <si>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</si>
  <si>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</si>
  <si>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</si>
  <si>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</si>
  <si>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</si>
  <si>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</si>
  <si>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Arkansas State University</t>
  </si>
  <si>
    <t>University of Arkansas at Little Rock</t>
  </si>
  <si>
    <t>Research and Public Service Unit</t>
  </si>
  <si>
    <t xml:space="preserve">University of Central Arkansas </t>
  </si>
  <si>
    <t>Arkansas Tech University - Ozark</t>
  </si>
  <si>
    <t xml:space="preserve">Henderson State University </t>
  </si>
  <si>
    <t>Southwest Arkansas Tech Learning Center</t>
  </si>
  <si>
    <t>University of Arkansas at Monticello</t>
  </si>
  <si>
    <t>UAM College of Technology-McGehee</t>
  </si>
  <si>
    <t xml:space="preserve">UAM College of Technology-Crossett </t>
  </si>
  <si>
    <t>Southern Arkansas University</t>
  </si>
  <si>
    <t>University of Arkansas at Fort Smith</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</si>
  <si>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</si>
  <si>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</si>
  <si>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</si>
  <si>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</si>
  <si>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</si>
  <si>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</si>
  <si>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</si>
  <si>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</si>
  <si>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</si>
  <si>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</si>
  <si>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</si>
  <si>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</si>
  <si>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</si>
  <si>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Ouachita Technical College </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</si>
  <si>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</si>
  <si>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</si>
  <si>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</si>
  <si>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</si>
  <si>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</si>
  <si>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</si>
  <si>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</si>
  <si>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</si>
  <si>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</si>
  <si>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</si>
  <si>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</si>
  <si>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</si>
  <si>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</si>
  <si>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</si>
  <si>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</si>
  <si>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</si>
  <si>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</si>
  <si>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SREB Membership</t>
  </si>
  <si>
    <t>Adm. of Statewide Student Aid Progs. (incldng centralized guaranteed student loans)</t>
  </si>
  <si>
    <t>Ohio College of Podiatric Medicine</t>
  </si>
  <si>
    <t>Meharry Medical College (Dentistry)</t>
  </si>
  <si>
    <t>Rosalind Franklin University</t>
  </si>
  <si>
    <t>Southern College of Optometry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</si>
  <si>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</si>
  <si>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</si>
  <si>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</si>
  <si>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</si>
  <si>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</si>
  <si>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</si>
  <si>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</si>
  <si>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</si>
  <si>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</si>
  <si>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</si>
  <si>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</si>
  <si>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University of Alabama - Birmingham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</si>
  <si>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</si>
  <si>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</si>
  <si>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</si>
  <si>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</si>
  <si>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</si>
  <si>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</si>
  <si>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</si>
  <si>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</si>
  <si>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</si>
  <si>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</si>
  <si>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</si>
  <si>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</si>
  <si>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State Teacher Assistance Resource</t>
  </si>
  <si>
    <t>Surviving Chidren of Law Enforcement Offs.</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</si>
  <si>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</si>
  <si>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</si>
  <si>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</si>
  <si>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</si>
  <si>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</si>
  <si>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</si>
  <si>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</si>
  <si>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</si>
  <si>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</si>
  <si>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</si>
  <si>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</si>
  <si>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</si>
  <si>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College--Owens</t>
  </si>
  <si>
    <t>Delaware Technical and Community College--Stanton-Wilmington</t>
  </si>
  <si>
    <t>Delaware Technical and Community College--Terry</t>
  </si>
  <si>
    <t>Matching Funds Minority Engineering Recruitment</t>
  </si>
  <si>
    <t>Matching Funds; Advancement of Minorities in Engineering</t>
  </si>
  <si>
    <t>Associate in Arts Program (joint Del. Tech - UD program administered by Del Tech)</t>
  </si>
  <si>
    <t>Occupational Teacher Program (Del. Tech.)</t>
  </si>
  <si>
    <t>DE Higher Education Commission</t>
  </si>
  <si>
    <t>Delaware Tech College System Office</t>
  </si>
  <si>
    <t>SREB</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</si>
  <si>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</si>
  <si>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</si>
  <si>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</si>
  <si>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</si>
  <si>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</si>
  <si>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</si>
  <si>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</si>
  <si>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</si>
  <si>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</si>
  <si>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</si>
  <si>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</si>
  <si>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</si>
  <si>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</si>
  <si>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</si>
  <si>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</si>
  <si>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</si>
  <si>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</si>
  <si>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</si>
  <si>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</si>
  <si>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</si>
  <si>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</si>
  <si>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National Board for Professional Teaching Standards Loan</t>
  </si>
  <si>
    <t>Critical Need Scholarship</t>
  </si>
  <si>
    <t>DE State Loan Repayment Program/Physicians &amp; Dentists</t>
  </si>
  <si>
    <t>DE Institute for Dental Education &amp; Research Scholarships</t>
  </si>
  <si>
    <t>Florida International University</t>
  </si>
  <si>
    <t>Student Financial Aid</t>
  </si>
  <si>
    <t>Risk Management/Casualty Insurance</t>
  </si>
  <si>
    <t>Medical School</t>
  </si>
  <si>
    <t xml:space="preserve">Florida State University </t>
  </si>
  <si>
    <t>College of Medicine Autism Program</t>
  </si>
  <si>
    <t>Off-Campus Volunteers</t>
  </si>
  <si>
    <t>Developmental Research School</t>
  </si>
  <si>
    <t>Col of Communications Autism Program</t>
  </si>
  <si>
    <t>Centers of Excellence</t>
  </si>
  <si>
    <t>Florida Energy Systems Consortium</t>
  </si>
  <si>
    <t xml:space="preserve">University of Central Florida </t>
  </si>
  <si>
    <t>Autism Program</t>
  </si>
  <si>
    <t>University of Florida</t>
  </si>
  <si>
    <t>Jacksonville Autism Program</t>
  </si>
  <si>
    <t xml:space="preserve">University of South Florida </t>
  </si>
  <si>
    <t>Phosphate research</t>
  </si>
  <si>
    <t>Mental Health Institute Autism Program</t>
  </si>
  <si>
    <t xml:space="preserve">Florida Atlantic University </t>
  </si>
  <si>
    <t xml:space="preserve">Florida Agricultural &amp; Mechanical University </t>
  </si>
  <si>
    <t>University of North Florida</t>
  </si>
  <si>
    <t>University of West Florida</t>
  </si>
  <si>
    <t>Florida Gulf Coast University</t>
  </si>
  <si>
    <t>New College of Florida</t>
  </si>
  <si>
    <t>Education special purpose funds -all other</t>
  </si>
  <si>
    <t>Major gifts and Eminent Scholars Programs Matching Funds</t>
  </si>
  <si>
    <t>Moffitt Cancer Center</t>
  </si>
  <si>
    <t xml:space="preserve">Institute for Human and Machine Cognition </t>
  </si>
  <si>
    <t>Distance Learning Consortium</t>
  </si>
  <si>
    <t>FL. Board of Governors</t>
  </si>
  <si>
    <t>SREB membership</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</si>
  <si>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</si>
  <si>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</si>
  <si>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</si>
  <si>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</si>
  <si>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</si>
  <si>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</si>
  <si>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</si>
  <si>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</si>
  <si>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</si>
  <si>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</si>
  <si>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</si>
  <si>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</si>
  <si>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</si>
  <si>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</si>
  <si>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</si>
  <si>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Ethics in business</t>
  </si>
  <si>
    <t>Florida Work Experience</t>
  </si>
  <si>
    <t>Jose Marti Scholarship Challenge Grant</t>
  </si>
  <si>
    <t>Prepaid Tuition Scholarships</t>
  </si>
  <si>
    <t>Critical Teacher Shortage</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</si>
  <si>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</si>
  <si>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</si>
  <si>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</si>
  <si>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</si>
  <si>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</si>
  <si>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</si>
  <si>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</si>
  <si>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</si>
  <si>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 xml:space="preserve">Brevard Community College </t>
  </si>
  <si>
    <t xml:space="preserve">Chipola College </t>
  </si>
  <si>
    <t xml:space="preserve">Edison State College </t>
  </si>
  <si>
    <t xml:space="preserve">Florida Keys Community College </t>
  </si>
  <si>
    <t xml:space="preserve">Gulf Coast Community College </t>
  </si>
  <si>
    <t xml:space="preserve">Hillsborough Community College </t>
  </si>
  <si>
    <t xml:space="preserve">Lake City Community College </t>
  </si>
  <si>
    <t xml:space="preserve">Lake-Sumter Community College </t>
  </si>
  <si>
    <t xml:space="preserve">Miami Dade College </t>
  </si>
  <si>
    <t xml:space="preserve">North Florida Community College </t>
  </si>
  <si>
    <t>Northwest Florida State College</t>
  </si>
  <si>
    <t xml:space="preserve">Pasco-Hernando Community College </t>
  </si>
  <si>
    <t xml:space="preserve">South Florida Community College </t>
  </si>
  <si>
    <t xml:space="preserve">St. Johns River Community College </t>
  </si>
  <si>
    <t xml:space="preserve">St. Petersburg College </t>
  </si>
  <si>
    <t>State College of Florida, Manatee-Sarasota</t>
  </si>
  <si>
    <t xml:space="preserve">Tallahassee Community College </t>
  </si>
  <si>
    <t xml:space="preserve">Valencia Community College </t>
  </si>
  <si>
    <t xml:space="preserve">Division of Florida Colleges Central Office </t>
  </si>
  <si>
    <t xml:space="preserve">Georgia State University </t>
  </si>
  <si>
    <t>University of Georgia</t>
  </si>
  <si>
    <t>Heatlh Professions Education</t>
  </si>
  <si>
    <t>College of Veterinary Medicine</t>
  </si>
  <si>
    <t>Vet Med Teaching Hospital</t>
  </si>
  <si>
    <t>Public Service Units</t>
  </si>
  <si>
    <t>Ag Cooperative Extension Service</t>
  </si>
  <si>
    <t>Ag Experiment Stations</t>
  </si>
  <si>
    <t>Research Units</t>
  </si>
  <si>
    <t>Marine Extension Service</t>
  </si>
  <si>
    <t>Vet Med Exp Station</t>
  </si>
  <si>
    <t>Marine Institute</t>
  </si>
  <si>
    <t>Forest Research</t>
  </si>
  <si>
    <t>Georgia Institute of Technology</t>
  </si>
  <si>
    <t>Advanced Technology Development Center</t>
  </si>
  <si>
    <t>Eng Experiment Station (Ga. Tech. Resch Inst.)</t>
  </si>
  <si>
    <t>Georgia Southern University</t>
  </si>
  <si>
    <t>University of West Georgia</t>
  </si>
  <si>
    <t>Valdosta State University</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</si>
  <si>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</si>
  <si>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</si>
  <si>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</si>
  <si>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</si>
  <si>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</si>
  <si>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</si>
  <si>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</si>
  <si>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</si>
  <si>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</si>
  <si>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</si>
  <si>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</si>
  <si>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</si>
  <si>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</si>
  <si>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</si>
  <si>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</si>
  <si>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Bainbridge College </t>
  </si>
  <si>
    <t>College of Coastal Georgia</t>
  </si>
  <si>
    <t xml:space="preserve">Darton College </t>
  </si>
  <si>
    <t xml:space="preserve">Gainesville State College </t>
  </si>
  <si>
    <t xml:space="preserve">Georgia Highlands College </t>
  </si>
  <si>
    <t xml:space="preserve">Gordon College </t>
  </si>
  <si>
    <t xml:space="preserve">Middle Georgia College </t>
  </si>
  <si>
    <t>Atlanta Metropolitan College</t>
  </si>
  <si>
    <t>East Georgia College</t>
  </si>
  <si>
    <t xml:space="preserve">South Georgia College </t>
  </si>
  <si>
    <t xml:space="preserve">Waycross College </t>
  </si>
  <si>
    <t>Georgia Gwinnett College</t>
  </si>
  <si>
    <t>Medical College of Georgia</t>
  </si>
  <si>
    <t>Student Education Enrichment Program</t>
  </si>
  <si>
    <t>Talmadge Memorial Hospital</t>
  </si>
  <si>
    <t>Southern Polytechnic State University</t>
  </si>
  <si>
    <t>Statewide Special-Purpose Units</t>
  </si>
  <si>
    <t>Skidaway Inst of Oceanography</t>
  </si>
  <si>
    <t>Residence Instruction Reserve</t>
  </si>
  <si>
    <t>Office of Information and Instructional Technology</t>
  </si>
  <si>
    <t>(SHARED SERVICES) University System Regents</t>
  </si>
  <si>
    <t>"RCO A"</t>
  </si>
  <si>
    <t>"RCO B"</t>
  </si>
  <si>
    <t>Doctoral Scholars</t>
  </si>
  <si>
    <t>Ga Student Finance Commission</t>
  </si>
  <si>
    <t>Ga Military College</t>
  </si>
  <si>
    <t>Mercer University (Medicine)</t>
  </si>
  <si>
    <t>Morehouse School of Medicine</t>
  </si>
  <si>
    <t>Georgia Military College</t>
  </si>
  <si>
    <t>Southern College (Optometry)</t>
  </si>
  <si>
    <t>Nova Southeastern University (Osteopathic Medicine)</t>
  </si>
  <si>
    <t>University of Alabama at Birmingham (Medicine)</t>
  </si>
  <si>
    <t>Other contracted programs (Med. Student Capitation Grants)</t>
  </si>
  <si>
    <t>Emory University (Medicine)</t>
  </si>
  <si>
    <t>LEPD Grants</t>
  </si>
  <si>
    <t>Public Safety Memorial Grant</t>
  </si>
  <si>
    <t>Teacher Scholarships</t>
  </si>
  <si>
    <t>Promise I &amp; II Scholarships</t>
  </si>
  <si>
    <t>Engineer Scholarships</t>
  </si>
  <si>
    <t>HOPE Scholarships</t>
  </si>
  <si>
    <t>Georgia Military College Scholarships</t>
  </si>
  <si>
    <t>Albany Technical College</t>
  </si>
  <si>
    <t>Athens Technical College</t>
  </si>
  <si>
    <t>Atlanta Technical College</t>
  </si>
  <si>
    <t>Augusta Technical College</t>
  </si>
  <si>
    <t>Central Georgia Technical College</t>
  </si>
  <si>
    <t>Chattahoochee Technical College</t>
  </si>
  <si>
    <t>Columbus Technical College</t>
  </si>
  <si>
    <t>DeKalb Technical College</t>
  </si>
  <si>
    <t>Georgia Northwestern Technical College</t>
  </si>
  <si>
    <t>Flint River Technical College</t>
  </si>
  <si>
    <r>
      <t xml:space="preserve">Griffin Technical College </t>
    </r>
    <r>
      <rPr>
        <b/>
        <sz val="10"/>
        <rFont val="Arial"/>
        <family val="2"/>
      </rPr>
      <t xml:space="preserve"> </t>
    </r>
  </si>
  <si>
    <t>Southern Crescent Technical College</t>
  </si>
  <si>
    <t>Gwinnett Technical College</t>
  </si>
  <si>
    <t>Heart of Georgia Technical College</t>
  </si>
  <si>
    <t>Lanier Technical College</t>
  </si>
  <si>
    <t>Middle Georgia Technical College</t>
  </si>
  <si>
    <t>Moultrie Technical College</t>
  </si>
  <si>
    <t>North Georgia Technical College</t>
  </si>
  <si>
    <t>Ogeechee Technical College</t>
  </si>
  <si>
    <t>Okefenokee Technical College</t>
  </si>
  <si>
    <t>Savannah Technical College</t>
  </si>
  <si>
    <t>South Georgia Technical College</t>
  </si>
  <si>
    <t>Southeastern Technical College</t>
  </si>
  <si>
    <t>Southwest Georgia Technical College</t>
  </si>
  <si>
    <t>East Central Technical College</t>
  </si>
  <si>
    <r>
      <t>Valdosta Technical College</t>
    </r>
    <r>
      <rPr>
        <b/>
        <sz val="10"/>
        <rFont val="Arial"/>
        <family val="2"/>
      </rPr>
      <t xml:space="preserve">  </t>
    </r>
  </si>
  <si>
    <t>Wiregrass Georgia Technical College</t>
  </si>
  <si>
    <t>West Georgia Technical College</t>
  </si>
  <si>
    <t>Altamaha Technical College</t>
  </si>
  <si>
    <t>Sandersville Technical College</t>
  </si>
  <si>
    <t>Education special purpose funds -statewide units</t>
  </si>
  <si>
    <t>TCSG Technical Divisions at USG Schools</t>
  </si>
  <si>
    <t>TCSG Oversight Unit</t>
  </si>
  <si>
    <t>University of Kentucky</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</si>
  <si>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</si>
  <si>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</si>
  <si>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</si>
  <si>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</si>
  <si>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</si>
  <si>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</si>
  <si>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</si>
  <si>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</si>
  <si>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</si>
  <si>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</si>
  <si>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</si>
  <si>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</si>
  <si>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 xml:space="preserve">Murray State University </t>
  </si>
  <si>
    <t>Breathitt Veterinary Clinic</t>
  </si>
  <si>
    <t xml:space="preserve">Western Kentucky University </t>
  </si>
  <si>
    <t>Kentucky Academy for Math and Science</t>
  </si>
  <si>
    <t xml:space="preserve">Morehead State University </t>
  </si>
  <si>
    <t>Appalachian Regional Service</t>
  </si>
  <si>
    <t>Institute for Correctional Training/Research</t>
  </si>
  <si>
    <t xml:space="preserve">Northern Kentucky University </t>
  </si>
  <si>
    <t>Kentucky Center for Mathamatics</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</si>
  <si>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</si>
  <si>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</si>
  <si>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</si>
  <si>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</si>
  <si>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</si>
  <si>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</si>
  <si>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</si>
  <si>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</si>
  <si>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</si>
  <si>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College </t>
  </si>
  <si>
    <t>West Kentucky Community and Technical College</t>
  </si>
  <si>
    <t xml:space="preserve">Henderson Community College </t>
  </si>
  <si>
    <t xml:space="preserve">Hopkinsville Community College </t>
  </si>
  <si>
    <t>Bowling Green Technical College</t>
  </si>
  <si>
    <t>Gateway Community and Technical College</t>
  </si>
  <si>
    <t>Corrections</t>
  </si>
  <si>
    <t>KY WINS</t>
  </si>
  <si>
    <t>Kentucky Coal Academy</t>
  </si>
  <si>
    <t>University Health Insurance Premium Supplement</t>
  </si>
  <si>
    <t>Kentucky Board of Emergency Medical Services</t>
  </si>
  <si>
    <t>Fire Commission</t>
  </si>
  <si>
    <t>Education special purpose funds — all other</t>
  </si>
  <si>
    <t>(PEPP) Health Programs</t>
  </si>
  <si>
    <t>Minority Student Col Prep</t>
  </si>
  <si>
    <t>Research Challenge Trust Fund-Lung Cancer Research</t>
  </si>
  <si>
    <t>Technology Trust Fund</t>
  </si>
  <si>
    <t>KY Postsecondary Education Network</t>
  </si>
  <si>
    <t>Commonweatlh Virtual Univ</t>
  </si>
  <si>
    <t>Adult Education Operations</t>
  </si>
  <si>
    <t xml:space="preserve"> Adult Education and Literacy Funding Program</t>
  </si>
  <si>
    <t>State Autism Training Center</t>
  </si>
  <si>
    <t>Science and Technology Trust Fund</t>
  </si>
  <si>
    <t xml:space="preserve"> Ky Council on Postsecondary Education</t>
  </si>
  <si>
    <t>Ky Community and Technical College System operations</t>
  </si>
  <si>
    <t>SREB (General Operations + Small Grants)</t>
  </si>
  <si>
    <t>SREB Doctoral Scholar Program</t>
  </si>
  <si>
    <t>H. Ed. Asst. Authority</t>
  </si>
  <si>
    <t>Tuskegee University (Veterinary Medicine)</t>
  </si>
  <si>
    <t>Auburn University (Veterinary Medicine)</t>
  </si>
  <si>
    <t>University of Alabama at Birmingham (Optometry)</t>
  </si>
  <si>
    <t>Other contract education programs (Indiana University)</t>
  </si>
  <si>
    <t>KEES Kentucky Educational Excellence Scholarship</t>
  </si>
  <si>
    <t>College Access Program(CAP)</t>
  </si>
  <si>
    <t>Kentucky Tuition Grant (KTG)</t>
  </si>
  <si>
    <t>Pikeville College Osteopathic Medicine Scholarship</t>
  </si>
  <si>
    <t>Louisiana State University and A &amp; M College</t>
  </si>
  <si>
    <t>Paul M. Hebert Law Center</t>
  </si>
  <si>
    <t>Health professions education</t>
  </si>
  <si>
    <t>Vet School</t>
  </si>
  <si>
    <t>Agricultural Center</t>
  </si>
  <si>
    <t>Administration</t>
  </si>
  <si>
    <t>University of Louisiana at Lafayette</t>
  </si>
  <si>
    <t>University of New Orleans</t>
  </si>
  <si>
    <t xml:space="preserve">Louisiana Tech University </t>
  </si>
  <si>
    <t xml:space="preserve">Southern University and A&amp;M College at Baton Rouge </t>
  </si>
  <si>
    <t>Law Center</t>
  </si>
  <si>
    <t>Agriculture Center</t>
  </si>
  <si>
    <t>University of Louisiana at Monroe</t>
  </si>
  <si>
    <t xml:space="preserve">Southeastern Louisiana University </t>
  </si>
  <si>
    <t>Grambling State University</t>
  </si>
  <si>
    <t>Louisiana State University in Shreveport</t>
  </si>
  <si>
    <t>McNeese State University</t>
  </si>
  <si>
    <t>Northwestern State University</t>
  </si>
  <si>
    <t xml:space="preserve">Nicholls State University </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</si>
  <si>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</si>
  <si>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</si>
  <si>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</si>
  <si>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</si>
  <si>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</si>
  <si>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</si>
  <si>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</si>
  <si>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</si>
  <si>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</si>
  <si>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</si>
  <si>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</si>
  <si>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</si>
  <si>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</si>
  <si>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Louisiana Technical College-Acadian Campus</t>
  </si>
  <si>
    <t>Louisiana Technical College-Alexandria Campus</t>
  </si>
  <si>
    <t>Louisiana Technical College-Ascension Campus</t>
  </si>
  <si>
    <t>Louisiana Technical College-Avoyelles Campus</t>
  </si>
  <si>
    <t>Louisiana Technical College-Bastrop Campus</t>
  </si>
  <si>
    <t>Louisiana Technical College-Baton Rouge Campus</t>
  </si>
  <si>
    <t>Louisiana Technical College-Charles B. Coreil Campus</t>
  </si>
  <si>
    <t>Louisiana Technical College-Delta/Ouachita Campus</t>
  </si>
  <si>
    <t>Louisiana Technical College-Evangeline Campus</t>
  </si>
  <si>
    <t>Louisiana Technical College-Florida Parishes Campus</t>
  </si>
  <si>
    <t>Louisiana Technical College-Folkes Campus</t>
  </si>
  <si>
    <t>Louisiana Technical College-Gulf Area Campus</t>
  </si>
  <si>
    <t>Louisiana Technical College-Hammond Area Campus</t>
  </si>
  <si>
    <t>Louisiana Technical College-Huey P. Long Campus</t>
  </si>
  <si>
    <t>Louisiana Technical College-Jefferson Campus</t>
  </si>
  <si>
    <t>Louisiana Technical College-Jumonville Memorial Campus</t>
  </si>
  <si>
    <t>Louisiana Technical College-Lafayette Campus</t>
  </si>
  <si>
    <t>Louisiana Technical College-Lafourche Campus</t>
  </si>
  <si>
    <t>Louisiana Technical College-Lamar Salter Campus</t>
  </si>
  <si>
    <t>Louisiana Technical College-Mansfield Campus</t>
  </si>
  <si>
    <t>Louisiana Technical College-Morgan Smith Campus</t>
  </si>
  <si>
    <t>Louisiana Technical College-Nachitoches Campus</t>
  </si>
  <si>
    <t>Louisiana Technical College-North Central Campus</t>
  </si>
  <si>
    <t>Louisiana Technical College-Northeast Louisiana Campus</t>
  </si>
  <si>
    <t>Louisiana Technical College-Northwest Louisiana Campus</t>
  </si>
  <si>
    <t>Louisiana Technical College-Oakdale Campus</t>
  </si>
  <si>
    <t>Louisiana Technical College-River Parishes Campus</t>
  </si>
  <si>
    <t>Louisiana Technical College-Ruston Campus</t>
  </si>
  <si>
    <t>Louisiana Technical College-Sabine Valley Campus</t>
  </si>
  <si>
    <t>Louisiana Technical College-Shelby M. Jackson Campus</t>
  </si>
  <si>
    <t>Louisiana Technical College-Shreveport/Bossier Campus</t>
  </si>
  <si>
    <t>Louisiana Technical College-Sidney N. Collier Campus</t>
  </si>
  <si>
    <t>Louisiana Technical College-Slidell Campus</t>
  </si>
  <si>
    <t>Louisiana Technical College-Sullivan Campus</t>
  </si>
  <si>
    <t>Louisiana Technical College-T.H. Harris Campus</t>
  </si>
  <si>
    <t>Louisiana Technical College-Tallulah Campus</t>
  </si>
  <si>
    <t>Louisiana Technical College-Teche Area Campus</t>
  </si>
  <si>
    <t>Louisiana Technical College-West Jefferson Campus</t>
  </si>
  <si>
    <t>Louisiana Technical College-Westside Campus</t>
  </si>
  <si>
    <t>Louisiana Technical College-Young Memorial Campus</t>
  </si>
  <si>
    <t>Louisiana Technical Colleges -- all campuses</t>
  </si>
  <si>
    <t>Louisiana State University Health Sciences Center—New Orleans</t>
  </si>
  <si>
    <t>Louisiana State University Health Sciences Center — Shreveport</t>
  </si>
  <si>
    <t>Center for Innovative Teaching and Learning (CITAL)</t>
  </si>
  <si>
    <t>Audubon Center for Research of Endangered Species (ACRES)</t>
  </si>
  <si>
    <t>LA Universities' Marine Consortium</t>
  </si>
  <si>
    <t>Pennington Biomedical Research Center</t>
  </si>
  <si>
    <t>Health Care WorkForce</t>
  </si>
  <si>
    <t>Distance learning</t>
  </si>
  <si>
    <t>LA Online Library Network (LOUIS)</t>
  </si>
  <si>
    <t>Gene Therapy</t>
  </si>
  <si>
    <t>LA Endowment for the Humanities</t>
  </si>
  <si>
    <t>Endowed Chairs/Professorships</t>
  </si>
  <si>
    <t>Endowed Scholarships</t>
  </si>
  <si>
    <t>Secure Campus Funding</t>
  </si>
  <si>
    <t>LONI</t>
  </si>
  <si>
    <t>Other Initiatives</t>
  </si>
  <si>
    <t>Adult Education</t>
  </si>
  <si>
    <t>Board of Regents</t>
  </si>
  <si>
    <t>Southern University System Office</t>
  </si>
  <si>
    <t>LA State University System Office</t>
  </si>
  <si>
    <t>Univ. of LA System Office</t>
  </si>
  <si>
    <t>LA Community and Technical College System Office</t>
  </si>
  <si>
    <t>Louisiana Office of Student Financial Aid (LOSFA)</t>
  </si>
  <si>
    <t>State Support to Private Colleges Other Than Student Aid (ATI)</t>
  </si>
  <si>
    <t>TOPS,GO GRANT, LEAP</t>
  </si>
  <si>
    <t>ROCKEFELLER/DUAL ENROLLMENT (Public sec students)</t>
  </si>
  <si>
    <t>Acadiana Technical College</t>
  </si>
  <si>
    <t>Capital Area Technical College</t>
  </si>
  <si>
    <t>Central LA Technical College</t>
  </si>
  <si>
    <t>Northeast Technical College</t>
  </si>
  <si>
    <t>Northshore Technical College</t>
  </si>
  <si>
    <t>Northwest LA Technical College</t>
  </si>
  <si>
    <t>South Central LA Technical College</t>
  </si>
  <si>
    <t>University of Maryland College Park</t>
  </si>
  <si>
    <t>Non-Credit Continuing Education</t>
  </si>
  <si>
    <t>^^^revised</t>
  </si>
  <si>
    <t>Center for Environmental Science</t>
  </si>
  <si>
    <t>Biotechnology Institute</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</si>
  <si>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</si>
  <si>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</si>
  <si>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</si>
  <si>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</si>
  <si>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</si>
  <si>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</si>
  <si>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</si>
  <si>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</si>
  <si>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</si>
  <si>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</si>
  <si>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</si>
  <si>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t>
  </si>
  <si>
    <t>Montgomery College</t>
  </si>
  <si>
    <t xml:space="preserve">Prince George's Community College </t>
  </si>
  <si>
    <t>Allegany College of Maryland</t>
  </si>
  <si>
    <t>Baltimore City Community College</t>
  </si>
  <si>
    <t>College of Southern Maryland</t>
  </si>
  <si>
    <t xml:space="preserve">Frederick Community College </t>
  </si>
  <si>
    <t xml:space="preserve">Hagerstown Community College </t>
  </si>
  <si>
    <t xml:space="preserve">Harford Community College </t>
  </si>
  <si>
    <t xml:space="preserve">Howard Community College </t>
  </si>
  <si>
    <t>Carroll Community College</t>
  </si>
  <si>
    <t xml:space="preserve">Cecil Community College </t>
  </si>
  <si>
    <t xml:space="preserve">Chesapeake College </t>
  </si>
  <si>
    <t xml:space="preserve">Garrett College </t>
  </si>
  <si>
    <t xml:space="preserve">Wor-Wic Community College </t>
  </si>
  <si>
    <t>University of Maryland University College</t>
  </si>
  <si>
    <t>University of Maryland at Baltimore</t>
  </si>
  <si>
    <t>Community College Statewide Programs</t>
  </si>
  <si>
    <t>Welcome Grants</t>
  </si>
  <si>
    <t>Univ MD System Adm</t>
  </si>
  <si>
    <t>Md Commission on Higher Education</t>
  </si>
  <si>
    <t>Campus-Based Educational Assistance Grant</t>
  </si>
  <si>
    <t>Part-Time Grant</t>
  </si>
  <si>
    <t>Early College Access Grant</t>
  </si>
  <si>
    <t>Graduate and Professional Scholarship Program</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</si>
  <si>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</si>
  <si>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</si>
  <si>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</si>
  <si>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</si>
  <si>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</si>
  <si>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</si>
  <si>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</si>
  <si>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</si>
  <si>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Sharon Christa McAuliffe Memorial Teacher Award</t>
  </si>
  <si>
    <t>Distinguished Scholar Teacher Education Award</t>
  </si>
  <si>
    <t>State Nursing Scholarship</t>
  </si>
  <si>
    <t>Physical and Occupational Therapists and Assistants Program</t>
  </si>
  <si>
    <t>Child Care Providers Scholarship</t>
  </si>
  <si>
    <t>Maryland Teacher Scholarship (Hope)</t>
  </si>
  <si>
    <t>General Hope Scholarship</t>
  </si>
  <si>
    <t xml:space="preserve">Developmental Disabilities, Mental Health, Child Welfare, and Juvenile Justice Workforce Tuition Assistance Program </t>
  </si>
  <si>
    <t>William Donald Schaefer Scholarship</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</si>
  <si>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</si>
  <si>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</si>
  <si>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</si>
  <si>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</si>
  <si>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</si>
  <si>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</si>
  <si>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Mississippi State University</t>
  </si>
  <si>
    <t>Vet Med School</t>
  </si>
  <si>
    <t>Agricultural Cooperative Extension</t>
  </si>
  <si>
    <t>Agricultural Experiment Stations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</si>
  <si>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</si>
  <si>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</si>
  <si>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</si>
  <si>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</si>
  <si>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</si>
  <si>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</si>
  <si>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</si>
  <si>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</si>
  <si>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</si>
  <si>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</si>
  <si>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</si>
  <si>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</si>
  <si>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</si>
  <si>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</si>
  <si>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</si>
  <si>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</si>
  <si>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</si>
  <si>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</si>
  <si>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</si>
  <si>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</si>
  <si>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</si>
  <si>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</si>
  <si>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</si>
  <si>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</si>
  <si>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</si>
  <si>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Volunteer Commission</t>
  </si>
  <si>
    <t>AYERS Endowment/Summer Programs</t>
  </si>
  <si>
    <t>Ms Board of Trustees I.H.L</t>
  </si>
  <si>
    <t>Student Financial Aid Administration</t>
  </si>
  <si>
    <t>Edward Via VA College of Osteopathic Medicine</t>
  </si>
  <si>
    <t>University of Houston (Optometry)</t>
  </si>
  <si>
    <t>Higher Education Legislative Plan</t>
  </si>
  <si>
    <t>Scholarship/Grant Programs</t>
  </si>
  <si>
    <t>Need-based (GUMS and State LEAP)</t>
  </si>
  <si>
    <t>Critical NeedsTeacherScholarship</t>
  </si>
  <si>
    <t>Amount to private sector students Non need-based</t>
  </si>
  <si>
    <t>MS Resident Tuition Assistance Grant</t>
  </si>
  <si>
    <t>MS Eminent Scholars Grant</t>
  </si>
  <si>
    <t>Need-based (SUMD)</t>
  </si>
  <si>
    <t>Non need-based (DENT, LAW, MED,PMGT, SDSP, VMMP)</t>
  </si>
  <si>
    <t>Non need-based (STSC)</t>
  </si>
  <si>
    <t>Mississippi Teacher Loan Repayment Program</t>
  </si>
  <si>
    <t xml:space="preserve">Hinds Community College </t>
  </si>
  <si>
    <t>Post-Secondary Vocational Education</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</si>
  <si>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</si>
  <si>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</si>
  <si>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</si>
  <si>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</si>
  <si>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</si>
  <si>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</si>
  <si>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</si>
  <si>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</si>
  <si>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</si>
  <si>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</si>
  <si>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</si>
  <si>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</si>
  <si>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</si>
  <si>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</si>
  <si>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</si>
  <si>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</si>
  <si>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Post-Secondary Vocational Education @ Comm. Cols.</t>
  </si>
  <si>
    <t>Greenville Higher Education Center (MDCC via SBCJC)</t>
  </si>
  <si>
    <t>MS Community College Board</t>
  </si>
  <si>
    <t xml:space="preserve">North Carolina State University </t>
  </si>
  <si>
    <t>Agricultural Research Service</t>
  </si>
  <si>
    <t xml:space="preserve">University of North Carolina at Chapel Hill </t>
  </si>
  <si>
    <t>University of North Carolina at Charlotte</t>
  </si>
  <si>
    <t>University of North Carolina at Greensboro</t>
  </si>
  <si>
    <t xml:space="preserve">Appalachian State University </t>
  </si>
  <si>
    <t xml:space="preserve">East Carolina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</si>
  <si>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</si>
  <si>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</si>
  <si>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</si>
  <si>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</si>
  <si>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</si>
  <si>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</si>
  <si>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</si>
  <si>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</si>
  <si>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</si>
  <si>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</si>
  <si>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</si>
  <si>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</si>
  <si>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</si>
  <si>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</si>
  <si>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</si>
  <si>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</si>
  <si>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</si>
  <si>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</si>
  <si>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</si>
  <si>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</si>
  <si>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Capitation pymnts &amp; fnncl ad for rsdnt stdnts nrlld at prvt md schls</t>
  </si>
  <si>
    <t>Grants for Teacher Education</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</si>
  <si>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</si>
  <si>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</si>
  <si>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</si>
  <si>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</si>
  <si>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</si>
  <si>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</si>
  <si>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</si>
  <si>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</si>
  <si>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</si>
  <si>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</si>
  <si>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UNC Need-Based Grant</t>
  </si>
  <si>
    <t>NCSSM Tuition Grant</t>
  </si>
  <si>
    <t>Teacher Assistant Scholarships</t>
  </si>
  <si>
    <t>UNC Incentive Scholarships for Certain Institutions</t>
  </si>
  <si>
    <t>Board of Governor's Dental Scholarships</t>
  </si>
  <si>
    <t>Principal Fellows Program</t>
  </si>
  <si>
    <t>State Contractual Scholarship Fund</t>
  </si>
  <si>
    <t>Legislative Tuition Grant</t>
  </si>
  <si>
    <t>Asheville-Buncombe Technical Community College</t>
  </si>
  <si>
    <t>Nursing / allied health supplement</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</si>
  <si>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</si>
  <si>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</si>
  <si>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</si>
  <si>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</si>
  <si>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</si>
  <si>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</si>
  <si>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</si>
  <si>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</si>
  <si>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</si>
  <si>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Durham Technical Community College</t>
  </si>
  <si>
    <t>Rowan-Cabarrus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</si>
  <si>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</si>
  <si>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</si>
  <si>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</si>
  <si>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</si>
  <si>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</si>
  <si>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</si>
  <si>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</si>
  <si>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</si>
  <si>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</si>
  <si>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</si>
  <si>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</si>
  <si>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</si>
  <si>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</si>
  <si>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</si>
  <si>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</si>
  <si>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</si>
  <si>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</si>
  <si>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</si>
  <si>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</si>
  <si>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</si>
  <si>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</si>
  <si>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</si>
  <si>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</si>
  <si>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</si>
  <si>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</si>
  <si>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</si>
  <si>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</si>
  <si>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</si>
  <si>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</si>
  <si>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</si>
  <si>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</si>
  <si>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</si>
  <si>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</si>
  <si>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</si>
  <si>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</si>
  <si>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</si>
  <si>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</si>
  <si>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</si>
  <si>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</si>
  <si>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</si>
  <si>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</si>
  <si>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</si>
  <si>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</si>
  <si>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</si>
  <si>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</si>
  <si>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</si>
  <si>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Prison Education</t>
  </si>
  <si>
    <t>New &amp; Expanding Industry</t>
  </si>
  <si>
    <t>NC State Board for Community Colleges</t>
  </si>
  <si>
    <t>Oklahoma State University Main Campus</t>
  </si>
  <si>
    <t>College of Osteopathic Medicine</t>
  </si>
  <si>
    <t>Tulsa Branch</t>
  </si>
  <si>
    <t>University of Oklahoma Norman Campus</t>
  </si>
  <si>
    <t>Health Sciences Center</t>
  </si>
  <si>
    <t>University of Central Oklahoma</t>
  </si>
  <si>
    <t>Northeastern State University</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</si>
  <si>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</si>
  <si>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</si>
  <si>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</si>
  <si>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</si>
  <si>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</si>
  <si>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</si>
  <si>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</si>
  <si>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</si>
  <si>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</si>
  <si>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</si>
  <si>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</si>
  <si>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</si>
  <si>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</si>
  <si>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</si>
  <si>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</si>
  <si>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</si>
  <si>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</si>
  <si>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</si>
  <si>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</si>
  <si>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</si>
  <si>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</si>
  <si>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</si>
  <si>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</si>
  <si>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</si>
  <si>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</si>
  <si>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</si>
  <si>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</si>
  <si>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</si>
  <si>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</si>
  <si>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</si>
  <si>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Minority Teacher Recruitment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</si>
  <si>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</si>
  <si>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</si>
  <si>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</si>
  <si>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</si>
  <si>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</si>
  <si>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</si>
  <si>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</si>
  <si>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</si>
  <si>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</si>
  <si>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</si>
  <si>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</si>
  <si>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</si>
  <si>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 xml:space="preserve">Canadian Valley Technology Center                 </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</si>
  <si>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</si>
  <si>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</si>
  <si>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</si>
  <si>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</si>
  <si>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</si>
  <si>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</si>
  <si>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</si>
  <si>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</si>
  <si>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</si>
  <si>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</si>
  <si>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</si>
  <si>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</si>
  <si>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</si>
  <si>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</si>
  <si>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</si>
  <si>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</si>
  <si>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</si>
  <si>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</si>
  <si>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</si>
  <si>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</si>
  <si>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</si>
  <si>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</si>
  <si>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</si>
  <si>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</si>
  <si>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</si>
  <si>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</si>
  <si>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</si>
  <si>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</si>
  <si>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</si>
  <si>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</si>
  <si>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</si>
  <si>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</si>
  <si>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</si>
  <si>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</si>
  <si>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</si>
  <si>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</si>
  <si>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</si>
  <si>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</si>
  <si>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</si>
  <si>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</si>
  <si>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</si>
  <si>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Center-Lemley Campus             </t>
  </si>
  <si>
    <t xml:space="preserve">Tulsa Technology Center-Riverside Campus          </t>
  </si>
  <si>
    <t xml:space="preserve">Wes Watkins Technology Center                     </t>
  </si>
  <si>
    <t xml:space="preserve">Western Technology Center                         </t>
  </si>
  <si>
    <t>Northeast Technology Center-Claremore</t>
  </si>
  <si>
    <t>456560</t>
  </si>
  <si>
    <t>Indian Capital……..All Campuses</t>
  </si>
  <si>
    <t>Kiamichi………All Campuses</t>
  </si>
  <si>
    <t>Northeast………..All Campuses</t>
  </si>
  <si>
    <t>Northwest………..All Campuses</t>
  </si>
  <si>
    <t>Tulsa County Dist 18………..All Campuses</t>
  </si>
  <si>
    <t xml:space="preserve">State Board </t>
  </si>
  <si>
    <t>Clemson University</t>
  </si>
  <si>
    <t>Fringe Benefits</t>
  </si>
  <si>
    <t>Ag Research, Extension Service, and Inspection</t>
  </si>
  <si>
    <t>Ag Research, Ext. Svc, &amp; Insp. Supplemental for Other Op.Exp. (NR)</t>
  </si>
  <si>
    <t>Research Centers/institutes</t>
  </si>
  <si>
    <t>Special Line items for education operations</t>
  </si>
  <si>
    <t>Critical Needs Nursing Initiative</t>
  </si>
  <si>
    <t>moved to base</t>
  </si>
  <si>
    <t>Critical Needs Nursing Initiative(NR)</t>
  </si>
  <si>
    <t>Access &amp; Equity</t>
  </si>
  <si>
    <t>Academic Endowment</t>
  </si>
  <si>
    <t>LightRail(NR)</t>
  </si>
  <si>
    <t>University of South Carolina-Columbia</t>
  </si>
  <si>
    <t xml:space="preserve"> USC Sm.Bus Dvlp Cent</t>
  </si>
  <si>
    <t>Congaree Initiative</t>
  </si>
  <si>
    <t>Palmetto Poison Center</t>
  </si>
  <si>
    <t>City of Columbia Incubator Program</t>
  </si>
  <si>
    <t>USC: Nano - Technology</t>
  </si>
  <si>
    <t>Hydrogen Research</t>
  </si>
  <si>
    <t>National Hydrogen Association</t>
  </si>
  <si>
    <t>Law Library</t>
  </si>
  <si>
    <t>African-American Professor Program</t>
  </si>
  <si>
    <t>LightRail l(NR)</t>
  </si>
  <si>
    <t>Medical School-E&amp;G</t>
  </si>
  <si>
    <t>Medical School-Fringe Benefits</t>
  </si>
  <si>
    <t>Medical School-Child Abuse</t>
  </si>
  <si>
    <t>Medical School-Access &amp; Equity</t>
  </si>
  <si>
    <t>Medical School-Rural Health Clinics (NR)</t>
  </si>
  <si>
    <t xml:space="preserve">Winthrop University </t>
  </si>
  <si>
    <t>Lottery Technology (NR)</t>
  </si>
  <si>
    <t>College of Charleston</t>
  </si>
  <si>
    <t xml:space="preserve">The Citadel, the Military College of South Carolina </t>
  </si>
  <si>
    <t xml:space="preserve">Francis Marion University </t>
  </si>
  <si>
    <t>EEDA Implementation</t>
  </si>
  <si>
    <t>Nursing Program</t>
  </si>
  <si>
    <t>Accreditation &amp; Program Enhancement</t>
  </si>
  <si>
    <t xml:space="preserve">South Carolina State University </t>
  </si>
  <si>
    <t>Public Service Activities</t>
  </si>
  <si>
    <t>Public Service Supplement (NR)</t>
  </si>
  <si>
    <t>S.C.  State Univ. Transportation Center</t>
  </si>
  <si>
    <t>Teacher Training &amp; Development</t>
  </si>
  <si>
    <t xml:space="preserve">S.C. State Univ. Business School </t>
  </si>
  <si>
    <t>Transportation Center Match</t>
  </si>
  <si>
    <t>South Carolina Alliance for Minority Participation (SCAMP)</t>
  </si>
  <si>
    <t>African American Loan Program</t>
  </si>
  <si>
    <t>Operating Funds (Lottery) (NR)</t>
  </si>
  <si>
    <t>Higher Education Excellence Enhancement Program (Lottery)(NR)</t>
  </si>
  <si>
    <t>SC State Bridge Program (NR)</t>
  </si>
  <si>
    <t>Supplement - CDC (NR)</t>
  </si>
  <si>
    <t>Coastal Carolina University</t>
  </si>
  <si>
    <t>Other Operating</t>
  </si>
  <si>
    <t>Lander University</t>
  </si>
  <si>
    <t>University of South Carolina-Aiken</t>
  </si>
  <si>
    <t>University of South Carolina-Beaufort</t>
  </si>
  <si>
    <t>University of South Carolina-Upstate</t>
  </si>
  <si>
    <t xml:space="preserve">Greenville Technical College </t>
  </si>
  <si>
    <t>SBTCE Priority Initiative</t>
  </si>
  <si>
    <t>Economic Recovery Initiative</t>
  </si>
  <si>
    <t xml:space="preserve">Missing &amp; Exploited Children   </t>
  </si>
  <si>
    <t>Pathways to Prosperity</t>
  </si>
  <si>
    <t>Simulation &amp; Technology (NR)</t>
  </si>
  <si>
    <t>Allied Health Programs (NR)</t>
  </si>
  <si>
    <t xml:space="preserve">Midlands Technical College </t>
  </si>
  <si>
    <t xml:space="preserve">Trident Technical College </t>
  </si>
  <si>
    <t>Culinary Arts</t>
  </si>
  <si>
    <t xml:space="preserve">Aiken Technical College </t>
  </si>
  <si>
    <t xml:space="preserve">Central Carolina Technical College </t>
  </si>
  <si>
    <t xml:space="preserve">Florence-Darlington Technical College </t>
  </si>
  <si>
    <t>Entrepreneurial Operations Equipment</t>
  </si>
  <si>
    <t>SIMT</t>
  </si>
  <si>
    <t xml:space="preserve">Horry-Georgetown Technical College </t>
  </si>
  <si>
    <t xml:space="preserve">Orangeburg-Calhoun Technical College </t>
  </si>
  <si>
    <t xml:space="preserve">Piedmont Technical College </t>
  </si>
  <si>
    <t xml:space="preserve">Spartanburg Community College </t>
  </si>
  <si>
    <t>Spartanburg-Cherokee Expansion</t>
  </si>
  <si>
    <t xml:space="preserve">Tri-County Technical College </t>
  </si>
  <si>
    <t xml:space="preserve">York Technical College </t>
  </si>
  <si>
    <t xml:space="preserve">Denmark Technical College </t>
  </si>
  <si>
    <t>Northeastern Technical College</t>
  </si>
  <si>
    <t>Technical College of the Lowcountry</t>
  </si>
  <si>
    <t>University of South Carolina-Lancaster</t>
  </si>
  <si>
    <t>Supplmental (NR)</t>
  </si>
  <si>
    <t>University of South Carolina-Salkehatchie</t>
  </si>
  <si>
    <t xml:space="preserve">  Salkehatchie Leadership Center</t>
  </si>
  <si>
    <t>University of South Carolina-Sumter</t>
  </si>
  <si>
    <t>University of South Carolina-Union</t>
  </si>
  <si>
    <t xml:space="preserve">Willamsburg Technical College </t>
  </si>
  <si>
    <t>Medical University of South Carolina</t>
  </si>
  <si>
    <t>Critical Needs Nursing Initiative (NR)</t>
  </si>
  <si>
    <t>Hypertension Initiative</t>
  </si>
  <si>
    <t>Diabetic Center (MUSC)</t>
  </si>
  <si>
    <t>Rural Dentist Incentive(MUSC)</t>
  </si>
  <si>
    <t>Hollings Cancer Center (Supp)</t>
  </si>
  <si>
    <t>MUSC Maxillofacial Prosthodontics</t>
  </si>
  <si>
    <t>MUSC Disproportionate Share (Proviso 90.13) (NR)</t>
  </si>
  <si>
    <t>MUSC Transplant Services (Proviso 90.13) (NR)</t>
  </si>
  <si>
    <t>Area Health Education Consortium (AHEC)</t>
  </si>
  <si>
    <t>AHEC-Administration</t>
  </si>
  <si>
    <t>AHEC-Fringe Benefits</t>
  </si>
  <si>
    <t>AHEC-Operating Expenses</t>
  </si>
  <si>
    <t>AHEC-Rural Physicans Program</t>
  </si>
  <si>
    <t>AHEC-Rural Dentists Initiative</t>
  </si>
  <si>
    <t>AHEC-Rural Dentists Initiative (NR)</t>
  </si>
  <si>
    <t>AHEC-Nursing Recruitment</t>
  </si>
  <si>
    <t>AHEC-Infrastructure Development</t>
  </si>
  <si>
    <t>Educational special purpose funds — all other</t>
  </si>
  <si>
    <t>University Center of Greenville</t>
  </si>
  <si>
    <t>Greenville Tech-Univ Center</t>
  </si>
  <si>
    <t xml:space="preserve">  Greenville H. Ed. Center</t>
  </si>
  <si>
    <t>Greenville Center Operating Cost</t>
  </si>
  <si>
    <t>Greenville Center Operating Cost(NR)</t>
  </si>
  <si>
    <t>Greenville Center Operating Cost-proviso 90.21(NR)</t>
  </si>
  <si>
    <t>Lowcountry Graduate Center</t>
  </si>
  <si>
    <t xml:space="preserve">Think Tec/Fastrac Entrepreneurial </t>
  </si>
  <si>
    <t xml:space="preserve"> National Foundation of Teaching Entrepreneurship (NFTE)</t>
  </si>
  <si>
    <t>South Carolina Manufacturing Extension Program (SCMEP)</t>
  </si>
  <si>
    <t>GEARUP</t>
  </si>
  <si>
    <t>Statewide Electronic Library Supplemental</t>
  </si>
  <si>
    <t>Youth Leadership Program</t>
  </si>
  <si>
    <t>Experimental Program for the Stimulation of Competitive Research (EPSCOR) Constorium</t>
  </si>
  <si>
    <t>Charleston Transition Connection</t>
  </si>
  <si>
    <t>SC Commission on H.Ed.</t>
  </si>
  <si>
    <t xml:space="preserve">  Desegregation (Access &amp; Equity)</t>
  </si>
  <si>
    <t>GEAR-UP</t>
  </si>
  <si>
    <t>Education &amp; Economic Development Act</t>
  </si>
  <si>
    <t>Statewide Electronic Library-Admin</t>
  </si>
  <si>
    <t>Professor of the Year</t>
  </si>
  <si>
    <t>National Guard Tuition</t>
  </si>
  <si>
    <t>LIFE Scholarships Admin</t>
  </si>
  <si>
    <t>SC Tech College System</t>
  </si>
  <si>
    <t>SC Tech College System-Fringe Benefits</t>
  </si>
  <si>
    <t>SC Tech College System Data Processing Support</t>
  </si>
  <si>
    <t>Innovative Technical Training</t>
  </si>
  <si>
    <t>SBTCE Special Schools (Economic Development)</t>
  </si>
  <si>
    <t>SBTCE CATT (NR)</t>
  </si>
  <si>
    <t>SBTCE Lottery Technology - Technology Initiative (NR)</t>
  </si>
  <si>
    <t>Higher Education Excellence Enhancement Program (Lottery)</t>
  </si>
  <si>
    <t>University of Georgia (Veterinary Medicine)</t>
  </si>
  <si>
    <t>Doctoral Scholars Program</t>
  </si>
  <si>
    <t>Life Scholarships</t>
  </si>
  <si>
    <t>Lottery Tuition Assistance Program</t>
  </si>
  <si>
    <t xml:space="preserve">  Palmetto Fellows Scholarships</t>
  </si>
  <si>
    <t>SC HOPE</t>
  </si>
  <si>
    <t>SC Need-Based Grants</t>
  </si>
  <si>
    <t>National Guard College Assistance Program</t>
  </si>
  <si>
    <t>National Guard Tuition Repayment Program</t>
  </si>
  <si>
    <t>National Guard Tuition Repayment  Prog. Lottery</t>
  </si>
  <si>
    <t>National Guard Tuition Repayment  Prog. Lottery (NR)</t>
  </si>
  <si>
    <t>S.C. Tuition Grants</t>
  </si>
  <si>
    <t>University of Memphis</t>
  </si>
  <si>
    <t>University of Tennessee, Knoxville</t>
  </si>
  <si>
    <t>Community/Public Service Units</t>
  </si>
  <si>
    <t>Municipal Technology Advisory Service</t>
  </si>
  <si>
    <t>County Technology Advisory Service</t>
  </si>
  <si>
    <t>Institute for Public Service</t>
  </si>
  <si>
    <t xml:space="preserve">East Tennessee State University </t>
  </si>
  <si>
    <t xml:space="preserve">Middle Tennessee State University </t>
  </si>
  <si>
    <t xml:space="preserve">Tennessee Technological University </t>
  </si>
  <si>
    <t xml:space="preserve">Tennessee State University </t>
  </si>
  <si>
    <t>McMinnville Center Station</t>
  </si>
  <si>
    <t>TSU Institute of Agr and Environmental Research</t>
  </si>
  <si>
    <t>TSU Cooperative Education</t>
  </si>
  <si>
    <t>TSU McIntire-Stennis Forestry Research</t>
  </si>
  <si>
    <t>University of Tennessee at Chattanooga</t>
  </si>
  <si>
    <t xml:space="preserve">Austin Peay State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</si>
  <si>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</si>
  <si>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</si>
  <si>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</si>
  <si>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</si>
  <si>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</si>
  <si>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</si>
  <si>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</si>
  <si>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</si>
  <si>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</si>
  <si>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</si>
  <si>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</si>
  <si>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</si>
  <si>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</si>
  <si>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</si>
  <si>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</si>
  <si>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</si>
  <si>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</si>
  <si>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</si>
  <si>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</si>
  <si>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</si>
  <si>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</si>
  <si>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</si>
  <si>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</si>
  <si>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</si>
  <si>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Hohenwald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</si>
  <si>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</si>
  <si>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</si>
  <si>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</si>
  <si>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</si>
  <si>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</si>
  <si>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</si>
  <si>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</si>
  <si>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</si>
  <si>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</si>
  <si>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</si>
  <si>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</si>
  <si>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</si>
  <si>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</si>
  <si>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</si>
  <si>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</si>
  <si>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</si>
  <si>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</si>
  <si>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University of Tennessee Health Science Center</t>
  </si>
  <si>
    <t>University of Tennessee Space Institute</t>
  </si>
  <si>
    <t>Foreign Language Institute</t>
  </si>
  <si>
    <t>TN H.Ed. Commission</t>
  </si>
  <si>
    <t>Univ TN System Adm &amp; TN Board of Regents</t>
  </si>
  <si>
    <t>Academic Scholarships</t>
  </si>
  <si>
    <t xml:space="preserve">Texas A&amp;M University </t>
  </si>
  <si>
    <t>Veterinary Medicine School</t>
  </si>
  <si>
    <t>TX Engineering extension service</t>
  </si>
  <si>
    <t>TX Forest Service</t>
  </si>
  <si>
    <t>TX Transportation Institute</t>
  </si>
  <si>
    <t>TX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</si>
  <si>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</si>
  <si>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</si>
  <si>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</si>
  <si>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</si>
  <si>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</si>
  <si>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</si>
  <si>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</si>
  <si>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</si>
  <si>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</si>
  <si>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</si>
  <si>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</si>
  <si>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</si>
  <si>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</si>
  <si>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</si>
  <si>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</si>
  <si>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</si>
  <si>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</si>
  <si>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</si>
  <si>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</si>
  <si>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</si>
  <si>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</si>
  <si>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</si>
  <si>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 - San Marcos</t>
  </si>
  <si>
    <t xml:space="preserve">University of Houston-Clear Lake </t>
  </si>
  <si>
    <t>University of Texas at Tyler</t>
  </si>
  <si>
    <t>University of Texas-Pan American</t>
  </si>
  <si>
    <t>West Texas A&amp;M University</t>
  </si>
  <si>
    <t>Texas A&amp;M -Texarkana</t>
  </si>
  <si>
    <t>University of Houston-Victoria</t>
  </si>
  <si>
    <t>University of Texas at Brownsville</t>
  </si>
  <si>
    <t>University of Texas of the Permian Basin</t>
  </si>
  <si>
    <t>Sul Ross State University-Rio Grande College</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</si>
  <si>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</si>
  <si>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</si>
  <si>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</si>
  <si>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</si>
  <si>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</si>
  <si>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</si>
  <si>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</si>
  <si>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</si>
  <si>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</si>
  <si>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</si>
  <si>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</si>
  <si>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</si>
  <si>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</si>
  <si>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</si>
  <si>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</si>
  <si>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</si>
  <si>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</si>
  <si>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 xml:space="preserve">Navarro College </t>
  </si>
  <si>
    <t>Lone Star College System District</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</si>
  <si>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</si>
  <si>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</si>
  <si>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</si>
  <si>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</si>
  <si>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</si>
  <si>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</si>
  <si>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</si>
  <si>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</si>
  <si>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</si>
  <si>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</si>
  <si>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</si>
  <si>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</si>
  <si>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</si>
  <si>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</si>
  <si>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</si>
  <si>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</si>
  <si>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</si>
  <si>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El Centro College  (DCCCD)</t>
  </si>
  <si>
    <t xml:space="preserve">Grayson County College </t>
  </si>
  <si>
    <t>Hill College</t>
  </si>
  <si>
    <t>Howard College (HCJCD)</t>
  </si>
  <si>
    <t xml:space="preserve">Kilgore College </t>
  </si>
  <si>
    <t>Lamar Institute of Technology</t>
  </si>
  <si>
    <t xml:space="preserve">Lee College </t>
  </si>
  <si>
    <t>Mountain View College  (DCCCD)</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</si>
  <si>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</si>
  <si>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</si>
  <si>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</si>
  <si>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</si>
  <si>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</si>
  <si>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</si>
  <si>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</si>
  <si>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</si>
  <si>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</si>
  <si>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</si>
  <si>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</si>
  <si>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</si>
  <si>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</si>
  <si>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</si>
  <si>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</si>
  <si>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</si>
  <si>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</si>
  <si>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</si>
  <si>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</si>
  <si>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222992</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</si>
  <si>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</si>
  <si>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</si>
  <si>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</si>
  <si>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</si>
  <si>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</si>
  <si>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</si>
  <si>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</si>
  <si>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</si>
  <si>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</si>
  <si>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</si>
  <si>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</si>
  <si>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</si>
  <si>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</si>
  <si>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</si>
  <si>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</si>
  <si>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</si>
  <si>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</si>
  <si>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 TX Health Center at Tyler</t>
  </si>
  <si>
    <t xml:space="preserve">Family practice residency </t>
  </si>
  <si>
    <t>Other Health Related- Tobacco Settle-Nursing, Allied Health, etc.</t>
  </si>
  <si>
    <t>Other Health Related- Tobacco Settle-Minority Health Res. &amp; Ed.</t>
  </si>
  <si>
    <t>Preceptorships &amp; Primary Care</t>
  </si>
  <si>
    <t>Primary Care Residency</t>
  </si>
  <si>
    <t>Graduate Medical Education</t>
  </si>
  <si>
    <t>Nursing Shortage Reduction Program</t>
  </si>
  <si>
    <t>Incentive funding trust fund</t>
  </si>
  <si>
    <t>Community College Enrollment Growth</t>
  </si>
  <si>
    <t>African American Museum</t>
  </si>
  <si>
    <t>H. Ed. Coordinating Board</t>
  </si>
  <si>
    <t>Texas State Technical College System Office</t>
  </si>
  <si>
    <t>Baylor College of Medicine</t>
  </si>
  <si>
    <t>Centers for Teacher Education</t>
  </si>
  <si>
    <t>TX Student Aid</t>
  </si>
  <si>
    <t>Teach for TX Conditional Grants</t>
  </si>
  <si>
    <t>Joint Admission Medical Program</t>
  </si>
  <si>
    <t>Physician's Loan Repayment Program</t>
  </si>
  <si>
    <t>Dentist Education Loan Repayment Program</t>
  </si>
  <si>
    <t>Financial Aid - Prof Nursing</t>
  </si>
  <si>
    <t>Financial Aid - LV Nursing</t>
  </si>
  <si>
    <t>Border Faculty Loan Repayment Program</t>
  </si>
  <si>
    <t>Doctoral Incentive Program</t>
  </si>
  <si>
    <t>TEXAS A&amp;M UNIV-CENTRAL TEXAS</t>
  </si>
  <si>
    <t>TEXAS A&amp;M UNIV-SAN ANTONIO</t>
  </si>
  <si>
    <t>870501</t>
  </si>
  <si>
    <t>UNIV. OF NORTH TEXAS AT DALLAS</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</si>
  <si>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</si>
  <si>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</si>
  <si>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</si>
  <si>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</si>
  <si>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</si>
  <si>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</si>
  <si>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</si>
  <si>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</si>
  <si>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</si>
  <si>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</si>
  <si>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Norfolk State University </t>
  </si>
  <si>
    <t>Radford University</t>
  </si>
  <si>
    <t>Christopher Newport University</t>
  </si>
  <si>
    <t xml:space="preserve">Virginia State University </t>
  </si>
  <si>
    <t xml:space="preserve">Longwood University </t>
  </si>
  <si>
    <t>University of Mary Washington</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</si>
  <si>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</si>
  <si>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</si>
  <si>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</si>
  <si>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</si>
  <si>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</si>
  <si>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</si>
  <si>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</si>
  <si>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</si>
  <si>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</si>
  <si>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</si>
  <si>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</si>
  <si>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</si>
  <si>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</si>
  <si>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</si>
  <si>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</si>
  <si>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</si>
  <si>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</si>
  <si>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</si>
  <si>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 xml:space="preserve">Paul D. Camp Community College  </t>
  </si>
  <si>
    <t xml:space="preserve">Patrick Henry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</si>
  <si>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</si>
  <si>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</si>
  <si>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</si>
  <si>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</si>
  <si>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</si>
  <si>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Virginia Military Institute</t>
  </si>
  <si>
    <t>Innovative Technology Authority</t>
  </si>
  <si>
    <t>Jefferson Science Associates</t>
  </si>
  <si>
    <t>Higher Education Research Initiatives</t>
  </si>
  <si>
    <t>New College Institute</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</si>
  <si>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</si>
  <si>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</si>
  <si>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</si>
  <si>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</si>
  <si>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</si>
  <si>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</si>
  <si>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</si>
  <si>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</si>
  <si>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</si>
  <si>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</si>
  <si>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</si>
  <si>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University of North Carolina at Chapel Hill (Library Science)</t>
  </si>
  <si>
    <t>North Carolina State University (Pulp/Paper)</t>
  </si>
  <si>
    <t>North Carolina Central University (Library Science)</t>
  </si>
  <si>
    <t>Program name(s)???</t>
  </si>
  <si>
    <t>(Military tuition waiver) Non need-based</t>
  </si>
  <si>
    <t>Transfer grant</t>
  </si>
  <si>
    <t>Student Tuition Aid Grant</t>
  </si>
  <si>
    <t>Other Student Financial Aid</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</si>
  <si>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</si>
  <si>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</si>
  <si>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</si>
  <si>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</si>
  <si>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</si>
  <si>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</si>
  <si>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</si>
  <si>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</si>
  <si>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 PRT</t>
  </si>
  <si>
    <t>Center for Excellence in Disabilities</t>
  </si>
  <si>
    <t xml:space="preserve">Marshall University </t>
  </si>
  <si>
    <t>MU/SWVVCTC 2+2 Program</t>
  </si>
  <si>
    <t>Autism Training Center</t>
  </si>
  <si>
    <t>MU SOM- Graduate Medical Education</t>
  </si>
  <si>
    <t>MUSOM - Center for Rural Health</t>
  </si>
  <si>
    <t>Forensic Lab</t>
  </si>
  <si>
    <t>Fairmont State University</t>
  </si>
  <si>
    <t xml:space="preserve">Bluefield State College </t>
  </si>
  <si>
    <t xml:space="preserve">Concord University </t>
  </si>
  <si>
    <t xml:space="preserve">Glenville State College </t>
  </si>
  <si>
    <t xml:space="preserve">Shepherd University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</si>
  <si>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</si>
  <si>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</si>
  <si>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</si>
  <si>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</si>
  <si>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</si>
  <si>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</si>
  <si>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Bridgemont Community &amp; Technical College</t>
  </si>
  <si>
    <t>WV Advanced Workforce Development &amp; Technical  Programs</t>
  </si>
  <si>
    <t>Blue Ridge Community &amp; Technical College</t>
  </si>
  <si>
    <t>Eastern West Virginia Community &amp; Technical College</t>
  </si>
  <si>
    <t>New River Community &amp; Technical College</t>
  </si>
  <si>
    <t>Pierpont Community &amp; Technical College</t>
  </si>
  <si>
    <t xml:space="preserve">Southern West Virginia Community &amp; Technical College </t>
  </si>
  <si>
    <t>West Virginia Northern Community College</t>
  </si>
  <si>
    <t>Kanawha Valley Community &amp; Technical College</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</si>
  <si>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</si>
  <si>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</si>
  <si>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</si>
  <si>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</si>
  <si>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</si>
  <si>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</si>
  <si>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Higher Education Policy Commission</t>
  </si>
  <si>
    <t>WV Network for Education Telecommunications Computer Center</t>
  </si>
  <si>
    <t>WV Council for Community &amp; Technical Education</t>
  </si>
  <si>
    <t>Auburn University</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</si>
  <si>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</si>
  <si>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</si>
  <si>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</si>
  <si>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</si>
  <si>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</si>
  <si>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</si>
  <si>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</si>
  <si>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</si>
  <si>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</si>
  <si>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</si>
  <si>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Loan/Scholarship Programs</t>
  </si>
  <si>
    <t>Classificatin Notes</t>
  </si>
  <si>
    <t>Met the criteria for Four-Year 2 in 2010-11.</t>
  </si>
  <si>
    <t>Met the criteria for Four-Year 3 in 2010-11.</t>
  </si>
  <si>
    <t>Met criteria for Two-Year 1 in 2009-10 and 2010-11.</t>
  </si>
  <si>
    <t>Reclassified: met the criteria for Two-Year 2 in 2008-09, 2009-10 and 2010-11.</t>
  </si>
  <si>
    <t>Met the criteria for Two-Year 1 in 2010-11.</t>
  </si>
  <si>
    <t>Met criteria for Two-Year 2 in 2009-10 and 2010-11.</t>
  </si>
  <si>
    <t>Enterprise-Ozark Community College</t>
  </si>
  <si>
    <t>Met the criteria for Two-Year 2 in 2010-11.</t>
  </si>
  <si>
    <t>Met the criteria for Technical Institute 1 in 2010-11.</t>
  </si>
  <si>
    <t>Arkansas Tech University</t>
  </si>
  <si>
    <t>Met the criteria for Four-Year 4 in 2009-10 and 2010-11.</t>
  </si>
  <si>
    <t>Met the criteria for Four-Year 5 in 2010-11.</t>
  </si>
  <si>
    <t>Reclassifed: met the criteria for Two-Year 2 in 2008-09, 2009-10 and 2010-11.</t>
  </si>
  <si>
    <t>Met the criteria for Two-Year 1 in 2009-10 and 2010-11.</t>
  </si>
  <si>
    <t>Met the criteria for Two-Year 1 in 2009-10 and in 2010-11.</t>
  </si>
  <si>
    <t xml:space="preserve">Daytona State College </t>
  </si>
  <si>
    <t>Formerly Daytona Beacah Community College.</t>
  </si>
  <si>
    <t>Reclassified: met the criteria for Two-Year with Bachelor's in 2008-09, 2009-10 and 2010-11</t>
  </si>
  <si>
    <t xml:space="preserve">Broward College </t>
  </si>
  <si>
    <t>Formerly Broward Community College.</t>
  </si>
  <si>
    <t>College of Central Florida</t>
  </si>
  <si>
    <t xml:space="preserve">Reclassified: met the criteria for Two-Year 1 in 2008-09, 2009-10 and 2010-11. Formerly Central Florida Community College. </t>
  </si>
  <si>
    <t>Florida State College at Jacksonville</t>
  </si>
  <si>
    <t>Formerly Florida Community College at Jacksonville. Met the criteria for Two-Year with Bachelor's in 2009-10 and 2010-11.</t>
  </si>
  <si>
    <t xml:space="preserve">Indian River State College </t>
  </si>
  <si>
    <t>Formerly Indian River Community College. Met the criteria for Two-Year with Bachelor's in 2009-10 and 2010-11.</t>
  </si>
  <si>
    <t xml:space="preserve">Palm Beach State College </t>
  </si>
  <si>
    <t>Formerly Palm Beach Community College.</t>
  </si>
  <si>
    <t xml:space="preserve">Pensacola State College </t>
  </si>
  <si>
    <t>Formerly Pensacola Junior College.</t>
  </si>
  <si>
    <t xml:space="preserve">Polk State College </t>
  </si>
  <si>
    <t>Formerly Polk Community College.</t>
  </si>
  <si>
    <t xml:space="preserve">Santa Fe College </t>
  </si>
  <si>
    <t>Formerly Santa Fe Community College.</t>
  </si>
  <si>
    <t>Seminole State College of Florida</t>
  </si>
  <si>
    <t>Formerly Seminole Community College.</t>
  </si>
  <si>
    <t>Met the criteria for Two-Year 1 in  2010-11.</t>
  </si>
  <si>
    <t>Met the criteria for Four-Year 4 in 2010-11.</t>
  </si>
  <si>
    <t>Met the criteria for Four-Year 5 in 2009-10 and 2010-11.</t>
  </si>
  <si>
    <t>Reclassified: met the criteria for Two-Year with Bachelors in 2008-09, 2009-10 and 2010-11.</t>
  </si>
  <si>
    <t>Met the criteria for Two-Year with Bachelor's in 2009-10. Did not award any bachelor's for 2010-11 analysis, looses flag.</t>
  </si>
  <si>
    <t>Met the criteria for Two-Year with Bachelor's in 2009-10.</t>
  </si>
  <si>
    <t>Met the criteria for Two-Year 2 in 2009-10 and 2010-11.</t>
  </si>
  <si>
    <t>In start up phase.</t>
  </si>
  <si>
    <t>Reclassified: met criteria for Technical Institute or College 1 in 2008-09, 2009-10 and 2010-11.</t>
  </si>
  <si>
    <t>Is the merger of Flint River Tech. Col. and Griffin Tech.l Col.</t>
  </si>
  <si>
    <t>Is the merger of East Central Tech. Col. and Valdosta Tech. Col.</t>
  </si>
  <si>
    <t>Reclassified: met the criteria for Four-Year 3 in 2008-09, 2009-10 and 2010-11.</t>
  </si>
  <si>
    <t>Reclassified: met the criteria for Four-Year 4 in 2008-09, 2009-10 and 2010-11.</t>
  </si>
  <si>
    <t>Southeast Kentucky Community and Technical College</t>
  </si>
  <si>
    <t>Met the criteria for classification as a Two-Year 2 in 2010-11.</t>
  </si>
  <si>
    <t>Hazard Community and Technical College</t>
  </si>
  <si>
    <t>Met the criteria for Four-year 5 in 2010-11.</t>
  </si>
  <si>
    <t>Met the criteria for Four-Year 6 in 2009-10 and 2010-11.</t>
  </si>
  <si>
    <t>Reclassified: Met criteria for Two-Year 1 in 2008-09, 2009-10 and 2010-11.</t>
  </si>
  <si>
    <t>Now includes LTC-Jefferson Campus and LTC-W.Jefferson Campus</t>
  </si>
  <si>
    <t>Reclassified: Met criteria for Two-Year 2 in 2008-09, 2009-10 and 2010-11.</t>
  </si>
  <si>
    <t>Now includes LTC Tallulah Campus</t>
  </si>
  <si>
    <t>Now includes LTC Ascension Campus</t>
  </si>
  <si>
    <t>Met the criteria for Technical Institute or College 1 in 2009-10 and 2010-11.</t>
  </si>
  <si>
    <t>Includes LTC Acadian, C.B. Coreil, Evangaline, Gulf Area, Lafayette, T.H. Harris and Teche Area Campuses</t>
  </si>
  <si>
    <t>Includes LTC Baton Rouge, Folkes, Jumonville Memorial and Westside Campuses</t>
  </si>
  <si>
    <t>Includes LTC Alexandria, Avoyelles, Huey P. Long, Lamar-Salter, Morgan Smith, Oakdale and Shelby M. Jackson campuses</t>
  </si>
  <si>
    <t>Includes LTC Bastrop, Delta/Ouachita, North Central, Northeast Louisiana and Ruston Campuses</t>
  </si>
  <si>
    <t>Includes LTC Florida Parishes, Hammond Area and Sullivan Campuses</t>
  </si>
  <si>
    <t>Includes LTC Mansfield, Nachitoches, Northwest Louisiana, Sabine Valley and Shreveport/Bossier campuses.</t>
  </si>
  <si>
    <t>Includes LTC Laforuche, Rivers Parishes and Young Memorial Campuses</t>
  </si>
  <si>
    <t>Met the criteria for  Four-Year 2 in 2009-10 and 2010-11.</t>
  </si>
  <si>
    <t>Reclassified: Met the criteria for Two-Year 2 in 2008-09, 2009-10 and 2010-11.</t>
  </si>
  <si>
    <t>Reclassified: Met criteria for Two-Year 1 2008-09, 2009-10 and 2010-11.</t>
  </si>
  <si>
    <t>Met the criteria for Four-Year 1 in 2009-10 and 2010-11.</t>
  </si>
  <si>
    <t>Reclassified, meets the criteria for Two-Year 1.</t>
  </si>
  <si>
    <t>Reclassified, meets the criteria for Two-Year 2.</t>
  </si>
  <si>
    <t>Reclassified, meets the criteria for Two-Year 3.</t>
  </si>
  <si>
    <t>Met criteria for Two-Year with Bachelor's in 2009-10 and 2010-11.</t>
  </si>
  <si>
    <t>Met the criteria for Two-Year 1 institution in 2009-10 and 2010-11.</t>
  </si>
  <si>
    <t>Met the criteria for Two-Year 2 institution in 2010-11.</t>
  </si>
  <si>
    <t>Met criteria for Technical Institute or College 2 in 2009-10 and 2010-11.</t>
  </si>
  <si>
    <t>New institution in start up phase. (Met the criteria for Technical Institute 2 but they'd like it in "start up" for one more year.)</t>
  </si>
  <si>
    <t>Met the criteria for Two-year 1 in 2010-11.</t>
  </si>
  <si>
    <t>Met the criteria for Two-year 1 in 2009-10 and 2010-11.</t>
  </si>
  <si>
    <t>Met the criteria for Four-Year 2 in 2009-10 and 2010-11.</t>
  </si>
  <si>
    <t>Met the criteria for Technical Institute or College 1 in 2010-11.</t>
  </si>
  <si>
    <t>Met the criteria for Four-Year 1 in 2010-11.</t>
  </si>
  <si>
    <t>Reclassified: Met the criteria for Four-Year 3 in 2008-09, 2009-10 and 2010-11.</t>
  </si>
  <si>
    <t>Met the criteria for Four-Year 3 in 2009-10 and 2010-11.</t>
  </si>
  <si>
    <t>New fall 2009. Met the criteria for Four-Year 4 in 2010-11.</t>
  </si>
  <si>
    <t>New fall 2009. Met the criteria for Four-Year 5 in 2010-11.</t>
  </si>
  <si>
    <t>New fall 2009. No degrees yet granted.</t>
  </si>
  <si>
    <t>Reclassified: met criteria for SREB Four-Year 4 in 2008-09, 2009-10 and 2010-11.</t>
  </si>
  <si>
    <t>Mountain Empire Community College</t>
  </si>
  <si>
    <t>Reclassified: met the criteria for Four-Year 5 in 2008-09, 2009-10 and 2010-11.</t>
  </si>
  <si>
    <t>Mountwest Community &amp; Technical College</t>
  </si>
  <si>
    <t>Formerly Marshall Community &amp; Technical College</t>
  </si>
  <si>
    <t>Met criteria for Two-Year 2 in 2010-11.</t>
  </si>
  <si>
    <t>Met the critieria for Two-Year 2 in 2009-10 and 2010-11.</t>
  </si>
  <si>
    <t>By Purpose, Summary Distribution, 2010-11</t>
  </si>
  <si>
    <t>By Purpose, Detail Distribution, 2010-11</t>
  </si>
  <si>
    <t>By Source and Purpose, 2010-11</t>
  </si>
  <si>
    <t>Technical Institute or College Size Unknown, 2010-11</t>
  </si>
  <si>
    <t>Technical Institute or College 2, 2010-11</t>
  </si>
  <si>
    <t>Technical Institute or College 1, 2010-11</t>
  </si>
  <si>
    <t>All Technical Institutes or Colleges, 2010-11</t>
  </si>
  <si>
    <t>Two-Year Size Unknown, 2010-11</t>
  </si>
  <si>
    <t>Two-Year 3, 2010-11</t>
  </si>
  <si>
    <t>Two-Year 2, 2010-11</t>
  </si>
  <si>
    <t>Two-Year 1, 2010-11</t>
  </si>
  <si>
    <t>Two-Year with Bachelor's, 2010-11</t>
  </si>
  <si>
    <t>All Two-Year, 2010-11</t>
  </si>
  <si>
    <t>Public Four-Year 6, 2010-11</t>
  </si>
  <si>
    <t>Public Four-Year 5, 2010-11</t>
  </si>
  <si>
    <t>Public Four-Year 4, 2010-11</t>
  </si>
  <si>
    <t>Public Four-Year 3, 2010-11</t>
  </si>
  <si>
    <t>Public Four-Year 2, 2010-11</t>
  </si>
  <si>
    <t>Public Four-Year 1, 2010-11</t>
  </si>
  <si>
    <t>Public Four-Year, 2010-11</t>
  </si>
  <si>
    <t>Percent Change</t>
  </si>
  <si>
    <t>New$</t>
  </si>
  <si>
    <t>lines</t>
  </si>
  <si>
    <t xml:space="preserve">Education special purpose funds </t>
  </si>
  <si>
    <t>Other Direct Training Costs</t>
  </si>
  <si>
    <t>SBTCE CATT</t>
  </si>
  <si>
    <t xml:space="preserve"> Janaury 2012</t>
  </si>
  <si>
    <t>By Source and Purpose, All Types and Statewide</t>
  </si>
  <si>
    <t>Howard County Junior College District (HCJCD)</t>
  </si>
  <si>
    <t>Amounts For FB</t>
  </si>
  <si>
    <t>For use in FB</t>
  </si>
  <si>
    <t xml:space="preserve"> February 2012</t>
  </si>
</sst>
</file>

<file path=xl/styles.xml><?xml version="1.0" encoding="utf-8"?>
<styleSheet xmlns="http://schemas.openxmlformats.org/spreadsheetml/2006/main">
  <numFmts count="10">
    <numFmt numFmtId="6" formatCode="&quot;$&quot;#,##0_);[Red]\(&quot;$&quot;#,##0\)"/>
    <numFmt numFmtId="41" formatCode="_(* #,##0_);_(* \(#,##0\);_(* &quot;-&quot;_);_(@_)"/>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s>
  <fonts count="84">
    <font>
      <sz val="10"/>
      <name val="Courie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b/>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8"/>
      <color indexed="81"/>
      <name val="Tahoma"/>
      <family val="2"/>
    </font>
    <font>
      <b/>
      <sz val="10"/>
      <color indexed="81"/>
      <name val="Tahoma"/>
      <family val="2"/>
    </font>
    <font>
      <sz val="10"/>
      <color indexed="81"/>
      <name val="Tahoma"/>
      <family val="2"/>
    </font>
    <font>
      <b/>
      <u/>
      <sz val="10"/>
      <name val="Arial"/>
      <family val="2"/>
    </font>
    <font>
      <b/>
      <i/>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b/>
      <sz val="10"/>
      <color rgb="FFCC0099"/>
      <name val="Arial"/>
      <family val="2"/>
    </font>
    <font>
      <b/>
      <sz val="9"/>
      <color rgb="FF0000FF"/>
      <name val="Arial"/>
      <family val="2"/>
    </font>
    <font>
      <i/>
      <sz val="10"/>
      <color rgb="FF0000FF"/>
      <name val="Arial"/>
      <family val="2"/>
    </font>
    <font>
      <b/>
      <sz val="12"/>
      <color rgb="FF0000FF"/>
      <name val="Arial"/>
      <family val="2"/>
    </font>
    <font>
      <sz val="8"/>
      <color indexed="81"/>
      <name val="Tahoma"/>
      <family val="2"/>
    </font>
    <font>
      <b/>
      <strike/>
      <sz val="10"/>
      <name val="Arial"/>
      <family val="2"/>
    </font>
    <font>
      <b/>
      <sz val="10"/>
      <color indexed="10"/>
      <name val="Tahoma"/>
      <family val="2"/>
    </font>
    <font>
      <sz val="10"/>
      <color indexed="10"/>
      <name val="Tahoma"/>
      <family val="2"/>
    </font>
    <font>
      <sz val="10"/>
      <color indexed="8"/>
      <name val="Tahoma"/>
      <family val="2"/>
    </font>
    <font>
      <sz val="9"/>
      <color indexed="81"/>
      <name val="Tahoma"/>
      <family val="2"/>
    </font>
    <font>
      <b/>
      <sz val="9"/>
      <color indexed="81"/>
      <name val="Tahoma"/>
      <family val="2"/>
    </font>
    <font>
      <b/>
      <sz val="10"/>
      <color rgb="FFC00000"/>
      <name val="Arial"/>
      <family val="2"/>
    </font>
    <font>
      <b/>
      <i/>
      <sz val="10"/>
      <color rgb="FFC00000"/>
      <name val="Arial"/>
      <family val="2"/>
    </font>
    <font>
      <b/>
      <i/>
      <sz val="10"/>
      <color theme="7" tint="0.39997558519241921"/>
      <name val="Arial"/>
      <family val="2"/>
    </font>
    <font>
      <sz val="10"/>
      <color rgb="FFCC0099"/>
      <name val="Arial"/>
      <family val="2"/>
    </font>
    <font>
      <sz val="10"/>
      <color rgb="FFC00000"/>
      <name val="Arial"/>
      <family val="2"/>
    </font>
    <font>
      <b/>
      <sz val="10"/>
      <name val="Arial"/>
      <family val="2"/>
    </font>
    <font>
      <sz val="10"/>
      <name val="Arial"/>
      <family val="2"/>
    </font>
    <font>
      <u/>
      <sz val="10"/>
      <name val="Arial"/>
      <family val="2"/>
    </font>
  </fonts>
  <fills count="37">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5"/>
        <bgColor indexed="64"/>
      </patternFill>
    </fill>
    <fill>
      <patternFill patternType="solid">
        <fgColor indexed="47"/>
        <bgColor indexed="64"/>
      </patternFill>
    </fill>
    <fill>
      <patternFill patternType="solid">
        <fgColor indexed="46"/>
        <bgColor indexed="64"/>
      </patternFill>
    </fill>
    <fill>
      <patternFill patternType="solid">
        <fgColor indexed="13"/>
        <bgColor indexed="64"/>
      </patternFill>
    </fill>
    <fill>
      <patternFill patternType="solid">
        <fgColor indexed="4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theme="9" tint="0.79998168889431442"/>
        <bgColor indexed="64"/>
      </patternFill>
    </fill>
    <fill>
      <patternFill patternType="solid">
        <fgColor indexed="51"/>
        <bgColor indexed="64"/>
      </patternFill>
    </fill>
    <fill>
      <patternFill patternType="solid">
        <fgColor indexed="45"/>
        <bgColor indexed="42"/>
      </patternFill>
    </fill>
    <fill>
      <patternFill patternType="solid">
        <fgColor indexed="47"/>
        <bgColor indexed="42"/>
      </patternFill>
    </fill>
    <fill>
      <patternFill patternType="solid">
        <fgColor theme="6" tint="0.59999389629810485"/>
        <bgColor indexed="64"/>
      </patternFill>
    </fill>
    <fill>
      <patternFill patternType="solid">
        <fgColor indexed="42"/>
        <bgColor indexed="42"/>
      </patternFill>
    </fill>
    <fill>
      <patternFill patternType="solid">
        <fgColor indexed="50"/>
        <bgColor indexed="64"/>
      </patternFill>
    </fill>
    <fill>
      <patternFill patternType="solid">
        <fgColor indexed="49"/>
        <bgColor indexed="64"/>
      </patternFill>
    </fill>
    <fill>
      <patternFill patternType="solid">
        <fgColor rgb="FFFCD5B4"/>
        <bgColor indexed="64"/>
      </patternFill>
    </fill>
    <fill>
      <patternFill patternType="solid">
        <fgColor indexed="44"/>
        <bgColor indexed="42"/>
      </patternFill>
    </fill>
    <fill>
      <patternFill patternType="solid">
        <fgColor rgb="FFFF99CC"/>
        <bgColor indexed="64"/>
      </patternFill>
    </fill>
    <fill>
      <patternFill patternType="solid">
        <fgColor rgb="FFFFCC00"/>
        <bgColor indexed="64"/>
      </patternFill>
    </fill>
    <fill>
      <patternFill patternType="solid">
        <fgColor theme="6" tint="0.79998168889431442"/>
        <bgColor indexed="64"/>
      </patternFill>
    </fill>
    <fill>
      <patternFill patternType="solid">
        <fgColor rgb="FFFFFF99"/>
        <bgColor indexed="64"/>
      </patternFill>
    </fill>
  </fills>
  <borders count="1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thin">
        <color indexed="64"/>
      </left>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medium">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double">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bottom style="double">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8"/>
      </left>
      <right/>
      <top/>
      <bottom style="thin">
        <color indexed="8"/>
      </bottom>
      <diagonal/>
    </border>
    <border>
      <left style="thin">
        <color indexed="8"/>
      </left>
      <right style="thin">
        <color indexed="64"/>
      </right>
      <top style="thin">
        <color indexed="65"/>
      </top>
      <bottom style="thin">
        <color indexed="64"/>
      </bottom>
      <diagonal/>
    </border>
    <border>
      <left/>
      <right style="thin">
        <color indexed="64"/>
      </right>
      <top style="thin">
        <color indexed="8"/>
      </top>
      <bottom style="thin">
        <color indexed="64"/>
      </bottom>
      <diagonal/>
    </border>
    <border>
      <left style="thin">
        <color indexed="8"/>
      </left>
      <right style="thin">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8"/>
      </left>
      <right style="thin">
        <color indexed="64"/>
      </right>
      <top style="thin">
        <color indexed="8"/>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8"/>
      </left>
      <right style="thin">
        <color indexed="64"/>
      </right>
      <top style="medium">
        <color indexed="64"/>
      </top>
      <bottom/>
      <diagonal/>
    </border>
    <border>
      <left style="thin">
        <color indexed="8"/>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5"/>
      </left>
      <right style="thin">
        <color indexed="64"/>
      </right>
      <top style="thin">
        <color indexed="8"/>
      </top>
      <bottom style="thin">
        <color indexed="64"/>
      </bottom>
      <diagonal/>
    </border>
    <border>
      <left style="thin">
        <color indexed="64"/>
      </left>
      <right style="thin">
        <color indexed="64"/>
      </right>
      <top style="thin">
        <color indexed="8"/>
      </top>
      <bottom/>
      <diagonal/>
    </border>
    <border>
      <left style="medium">
        <color indexed="64"/>
      </left>
      <right style="medium">
        <color indexed="64"/>
      </right>
      <top style="thin">
        <color indexed="8"/>
      </top>
      <bottom/>
      <diagonal/>
    </border>
    <border>
      <left/>
      <right style="medium">
        <color indexed="64"/>
      </right>
      <top style="thin">
        <color indexed="8"/>
      </top>
      <bottom/>
      <diagonal/>
    </border>
  </borders>
  <cellStyleXfs count="33">
    <xf numFmtId="0" fontId="0" fillId="0" borderId="0">
      <alignment horizontal="left" wrapText="1"/>
    </xf>
    <xf numFmtId="43" fontId="2" fillId="0" borderId="0" applyFont="0" applyFill="0" applyBorder="0" applyAlignment="0" applyProtection="0"/>
    <xf numFmtId="37" fontId="3" fillId="0" borderId="0"/>
    <xf numFmtId="165" fontId="17" fillId="0" borderId="0"/>
    <xf numFmtId="37" fontId="3" fillId="0" borderId="0"/>
    <xf numFmtId="37" fontId="3" fillId="0" borderId="0"/>
    <xf numFmtId="37" fontId="3" fillId="0" borderId="0"/>
    <xf numFmtId="37" fontId="3" fillId="0" borderId="0"/>
    <xf numFmtId="3" fontId="5" fillId="0" borderId="0"/>
    <xf numFmtId="0" fontId="2" fillId="2" borderId="1" applyNumberFormat="0" applyFont="0" applyAlignment="0" applyProtection="0"/>
    <xf numFmtId="9" fontId="2"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0" fontId="2" fillId="0" borderId="0">
      <alignment horizontal="left" wrapText="1"/>
    </xf>
    <xf numFmtId="165" fontId="55" fillId="0" borderId="0"/>
    <xf numFmtId="165" fontId="55" fillId="0" borderId="0"/>
    <xf numFmtId="165" fontId="17" fillId="0" borderId="0"/>
    <xf numFmtId="9" fontId="55" fillId="0" borderId="0" applyFont="0" applyFill="0" applyBorder="0" applyAlignment="0" applyProtection="0"/>
    <xf numFmtId="165" fontId="55" fillId="0" borderId="0"/>
    <xf numFmtId="165" fontId="17" fillId="0" borderId="0"/>
    <xf numFmtId="43" fontId="55" fillId="0" borderId="0" applyFont="0" applyFill="0" applyBorder="0" applyAlignment="0" applyProtection="0"/>
    <xf numFmtId="0" fontId="3" fillId="0" borderId="0">
      <alignment horizontal="left" wrapText="1"/>
    </xf>
    <xf numFmtId="37" fontId="3" fillId="0" borderId="0"/>
    <xf numFmtId="0" fontId="25" fillId="0" borderId="0"/>
    <xf numFmtId="0" fontId="25" fillId="0" borderId="0"/>
    <xf numFmtId="0" fontId="1" fillId="0" borderId="0"/>
    <xf numFmtId="165" fontId="55" fillId="0" borderId="0"/>
    <xf numFmtId="165" fontId="55" fillId="0" borderId="0"/>
    <xf numFmtId="165" fontId="17" fillId="0" borderId="0"/>
    <xf numFmtId="165" fontId="55" fillId="0" borderId="0"/>
    <xf numFmtId="165" fontId="17" fillId="0" borderId="0"/>
    <xf numFmtId="165" fontId="17" fillId="0" borderId="0"/>
    <xf numFmtId="3" fontId="5" fillId="0" borderId="0"/>
  </cellStyleXfs>
  <cellXfs count="1494">
    <xf numFmtId="37" fontId="0" fillId="0" borderId="0" xfId="0" applyNumberFormat="1" applyAlignment="1"/>
    <xf numFmtId="37" fontId="5" fillId="0" borderId="0" xfId="0" applyNumberFormat="1" applyFont="1" applyFill="1" applyAlignment="1"/>
    <xf numFmtId="37" fontId="5" fillId="0" borderId="0" xfId="0" applyNumberFormat="1" applyFont="1" applyAlignment="1"/>
    <xf numFmtId="9" fontId="5" fillId="0" borderId="0" xfId="10" applyFont="1" applyFill="1"/>
    <xf numFmtId="37" fontId="9" fillId="0" borderId="0" xfId="0" applyNumberFormat="1" applyFont="1" applyFill="1" applyAlignment="1">
      <alignment horizontal="center"/>
    </xf>
    <xf numFmtId="37" fontId="9" fillId="0" borderId="0" xfId="0" applyNumberFormat="1" applyFont="1" applyFill="1" applyBorder="1" applyAlignment="1">
      <alignment horizontal="center"/>
    </xf>
    <xf numFmtId="37" fontId="9" fillId="0" borderId="0" xfId="0" applyNumberFormat="1" applyFont="1" applyFill="1" applyAlignment="1"/>
    <xf numFmtId="37" fontId="9" fillId="0" borderId="0" xfId="0" applyNumberFormat="1" applyFont="1" applyFill="1" applyBorder="1" applyAlignment="1"/>
    <xf numFmtId="37" fontId="9" fillId="0" borderId="2" xfId="0" applyNumberFormat="1" applyFont="1" applyFill="1" applyBorder="1" applyAlignment="1"/>
    <xf numFmtId="9" fontId="5" fillId="0" borderId="0" xfId="10" applyFont="1" applyFill="1" applyBorder="1"/>
    <xf numFmtId="37" fontId="9" fillId="0" borderId="0" xfId="0" applyNumberFormat="1" applyFont="1" applyAlignment="1"/>
    <xf numFmtId="0" fontId="9" fillId="0" borderId="8" xfId="1" applyNumberFormat="1" applyFont="1" applyFill="1" applyBorder="1" applyAlignment="1" applyProtection="1">
      <alignment horizontal="center" vertical="center" wrapText="1"/>
    </xf>
    <xf numFmtId="0" fontId="9" fillId="0" borderId="9" xfId="1" applyNumberFormat="1" applyFont="1" applyFill="1" applyBorder="1" applyAlignment="1" applyProtection="1">
      <alignment horizontal="center" vertical="center"/>
    </xf>
    <xf numFmtId="37" fontId="9" fillId="0" borderId="9" xfId="0" applyNumberFormat="1" applyFont="1" applyFill="1" applyBorder="1" applyAlignment="1" applyProtection="1">
      <alignment horizontal="center" vertical="center"/>
    </xf>
    <xf numFmtId="37" fontId="9" fillId="0" borderId="9" xfId="0" applyNumberFormat="1" applyFont="1" applyFill="1" applyBorder="1" applyAlignment="1">
      <alignment horizontal="center" vertical="center"/>
    </xf>
    <xf numFmtId="169" fontId="9" fillId="0" borderId="2" xfId="10" applyNumberFormat="1" applyFont="1" applyFill="1" applyBorder="1" applyAlignment="1">
      <alignment horizontal="center" vertical="center"/>
    </xf>
    <xf numFmtId="37" fontId="9" fillId="0" borderId="0" xfId="0" applyNumberFormat="1" applyFont="1" applyFill="1" applyBorder="1" applyAlignment="1">
      <alignment horizontal="centerContinuous"/>
    </xf>
    <xf numFmtId="37" fontId="7" fillId="0" borderId="0" xfId="0" applyNumberFormat="1" applyFont="1" applyFill="1" applyBorder="1" applyAlignment="1">
      <alignment horizontal="centerContinuous"/>
    </xf>
    <xf numFmtId="37" fontId="9" fillId="0" borderId="0" xfId="0" applyNumberFormat="1" applyFont="1" applyFill="1" applyAlignment="1">
      <alignment horizontal="left"/>
    </xf>
    <xf numFmtId="37" fontId="4" fillId="0" borderId="6" xfId="0" applyNumberFormat="1" applyFont="1" applyFill="1" applyBorder="1" applyAlignment="1">
      <alignment horizontal="center" wrapText="1"/>
    </xf>
    <xf numFmtId="167" fontId="4" fillId="0" borderId="10" xfId="0" applyNumberFormat="1" applyFont="1" applyFill="1" applyBorder="1" applyAlignment="1">
      <alignment horizontal="center" wrapText="1"/>
    </xf>
    <xf numFmtId="37" fontId="4" fillId="0" borderId="11" xfId="0" applyNumberFormat="1" applyFont="1" applyFill="1" applyBorder="1" applyAlignment="1" applyProtection="1">
      <alignment horizontal="centerContinuous"/>
    </xf>
    <xf numFmtId="37" fontId="7" fillId="0" borderId="14" xfId="0" applyNumberFormat="1" applyFont="1" applyFill="1" applyBorder="1" applyAlignment="1">
      <alignment horizontal="centerContinuous"/>
    </xf>
    <xf numFmtId="37" fontId="7" fillId="0" borderId="11" xfId="0" applyNumberFormat="1" applyFont="1" applyFill="1" applyBorder="1" applyAlignment="1">
      <alignment horizontal="centerContinuous"/>
    </xf>
    <xf numFmtId="37" fontId="9" fillId="0" borderId="14" xfId="0" applyNumberFormat="1" applyFont="1" applyFill="1" applyBorder="1" applyAlignment="1">
      <alignment horizontal="center"/>
    </xf>
    <xf numFmtId="9" fontId="5" fillId="0" borderId="0" xfId="10" applyFont="1" applyFill="1" applyAlignment="1"/>
    <xf numFmtId="169" fontId="9" fillId="0" borderId="16" xfId="10" applyNumberFormat="1" applyFont="1" applyFill="1" applyBorder="1" applyAlignment="1">
      <alignment horizontal="center" vertical="center"/>
    </xf>
    <xf numFmtId="9" fontId="19" fillId="0" borderId="0" xfId="10" applyFont="1" applyFill="1"/>
    <xf numFmtId="37" fontId="19" fillId="0" borderId="0" xfId="0" applyNumberFormat="1" applyFont="1" applyFill="1" applyAlignment="1"/>
    <xf numFmtId="166" fontId="9" fillId="0" borderId="14" xfId="1" quotePrefix="1" applyNumberFormat="1" applyFont="1" applyFill="1" applyBorder="1" applyAlignment="1">
      <alignment horizontal="center"/>
    </xf>
    <xf numFmtId="37" fontId="7" fillId="3" borderId="0" xfId="0" applyNumberFormat="1" applyFont="1" applyFill="1" applyBorder="1" applyAlignment="1">
      <alignment horizontal="centerContinuous"/>
    </xf>
    <xf numFmtId="37" fontId="4" fillId="3" borderId="2" xfId="0" applyNumberFormat="1" applyFont="1" applyFill="1" applyBorder="1" applyAlignment="1">
      <alignment horizontal="center" wrapText="1"/>
    </xf>
    <xf numFmtId="9" fontId="9" fillId="3" borderId="0" xfId="10" applyFont="1" applyFill="1" applyBorder="1" applyAlignment="1">
      <alignment horizontal="center"/>
    </xf>
    <xf numFmtId="166" fontId="9" fillId="3" borderId="0" xfId="1" quotePrefix="1" applyNumberFormat="1" applyFont="1" applyFill="1" applyBorder="1" applyAlignment="1">
      <alignment horizontal="center"/>
    </xf>
    <xf numFmtId="9" fontId="9" fillId="3" borderId="2" xfId="10" applyFont="1" applyFill="1" applyBorder="1" applyAlignment="1">
      <alignment horizontal="center"/>
    </xf>
    <xf numFmtId="37" fontId="9" fillId="3" borderId="0" xfId="0" applyNumberFormat="1" applyFont="1" applyFill="1" applyBorder="1" applyAlignment="1">
      <alignment horizontal="center"/>
    </xf>
    <xf numFmtId="37" fontId="4" fillId="0" borderId="17" xfId="0" applyNumberFormat="1" applyFont="1" applyFill="1" applyBorder="1" applyAlignment="1" applyProtection="1">
      <alignment horizontal="centerContinuous"/>
    </xf>
    <xf numFmtId="37" fontId="7" fillId="0" borderId="17" xfId="0" applyNumberFormat="1" applyFont="1" applyFill="1" applyBorder="1" applyAlignment="1">
      <alignment horizontal="centerContinuous"/>
    </xf>
    <xf numFmtId="37" fontId="4" fillId="0" borderId="18" xfId="0" applyNumberFormat="1" applyFont="1" applyFill="1" applyBorder="1" applyAlignment="1" applyProtection="1">
      <alignment horizontal="centerContinuous" wrapText="1"/>
    </xf>
    <xf numFmtId="37" fontId="4" fillId="0" borderId="9" xfId="0" applyNumberFormat="1" applyFont="1" applyFill="1" applyBorder="1" applyAlignment="1" applyProtection="1">
      <alignment horizontal="centerContinuous" wrapText="1"/>
    </xf>
    <xf numFmtId="37" fontId="4" fillId="0" borderId="17" xfId="0" applyNumberFormat="1" applyFont="1" applyFill="1" applyBorder="1" applyAlignment="1">
      <alignment horizontal="center" wrapText="1"/>
    </xf>
    <xf numFmtId="37" fontId="5" fillId="0" borderId="19" xfId="0" applyNumberFormat="1" applyFont="1" applyFill="1" applyBorder="1" applyAlignment="1" applyProtection="1">
      <alignment horizontal="left"/>
    </xf>
    <xf numFmtId="37" fontId="9" fillId="0" borderId="0" xfId="0" applyNumberFormat="1" applyFont="1" applyAlignment="1">
      <alignment horizontal="centerContinuous"/>
    </xf>
    <xf numFmtId="37" fontId="9" fillId="0" borderId="0" xfId="0" applyNumberFormat="1" applyFont="1" applyBorder="1" applyAlignment="1">
      <alignment horizontal="centerContinuous"/>
    </xf>
    <xf numFmtId="37" fontId="9" fillId="0" borderId="20" xfId="0" applyNumberFormat="1" applyFont="1" applyBorder="1" applyAlignment="1"/>
    <xf numFmtId="37" fontId="18" fillId="0" borderId="0" xfId="0" applyNumberFormat="1" applyFont="1" applyFill="1" applyAlignment="1"/>
    <xf numFmtId="9" fontId="9" fillId="0" borderId="0" xfId="10" applyFont="1" applyFill="1"/>
    <xf numFmtId="37" fontId="5" fillId="0" borderId="0" xfId="0" applyNumberFormat="1" applyFont="1" applyBorder="1" applyAlignment="1"/>
    <xf numFmtId="37" fontId="9" fillId="0" borderId="0" xfId="0" applyNumberFormat="1" applyFont="1" applyBorder="1" applyAlignment="1"/>
    <xf numFmtId="37" fontId="9" fillId="0" borderId="11" xfId="0" applyNumberFormat="1" applyFont="1" applyBorder="1" applyAlignment="1">
      <alignment horizontal="center" wrapText="1"/>
    </xf>
    <xf numFmtId="37" fontId="9" fillId="0" borderId="2" xfId="0" applyNumberFormat="1" applyFont="1" applyFill="1" applyBorder="1" applyAlignment="1" applyProtection="1">
      <alignment horizontal="center" wrapText="1"/>
    </xf>
    <xf numFmtId="167" fontId="4" fillId="0" borderId="9" xfId="0" applyNumberFormat="1" applyFont="1" applyFill="1" applyBorder="1" applyAlignment="1" applyProtection="1">
      <alignment horizontal="center" wrapText="1"/>
    </xf>
    <xf numFmtId="37" fontId="4" fillId="0" borderId="9" xfId="0" applyNumberFormat="1" applyFont="1" applyFill="1" applyBorder="1" applyAlignment="1">
      <alignment horizontal="center" wrapText="1"/>
    </xf>
    <xf numFmtId="167" fontId="4" fillId="0" borderId="18" xfId="0" applyNumberFormat="1" applyFont="1" applyFill="1" applyBorder="1" applyAlignment="1" applyProtection="1">
      <alignment horizontal="center" wrapText="1"/>
    </xf>
    <xf numFmtId="37" fontId="9" fillId="0" borderId="2" xfId="0" applyNumberFormat="1" applyFont="1" applyFill="1" applyBorder="1" applyAlignment="1" applyProtection="1">
      <alignment horizontal="center"/>
    </xf>
    <xf numFmtId="37" fontId="8" fillId="0" borderId="0" xfId="0" applyNumberFormat="1" applyFont="1" applyBorder="1" applyAlignment="1"/>
    <xf numFmtId="37" fontId="7" fillId="0" borderId="20" xfId="0" applyNumberFormat="1" applyFont="1" applyFill="1" applyBorder="1" applyAlignment="1">
      <alignment horizontal="center" vertical="center"/>
    </xf>
    <xf numFmtId="37" fontId="4" fillId="0" borderId="18" xfId="0" applyNumberFormat="1" applyFont="1" applyFill="1" applyBorder="1" applyAlignment="1">
      <alignment horizontal="centerContinuous" vertical="center" wrapText="1"/>
    </xf>
    <xf numFmtId="37" fontId="4" fillId="0" borderId="9" xfId="0" applyNumberFormat="1" applyFont="1" applyFill="1" applyBorder="1" applyAlignment="1">
      <alignment horizontal="centerContinuous" vertical="center" wrapText="1"/>
    </xf>
    <xf numFmtId="37" fontId="9" fillId="0" borderId="0" xfId="0" applyNumberFormat="1" applyFont="1" applyFill="1" applyAlignment="1">
      <alignment horizontal="center" vertical="center"/>
    </xf>
    <xf numFmtId="37" fontId="7" fillId="0" borderId="20" xfId="0" applyNumberFormat="1" applyFont="1" applyFill="1" applyBorder="1" applyAlignment="1">
      <alignment vertical="center"/>
    </xf>
    <xf numFmtId="37" fontId="9" fillId="0" borderId="0" xfId="0" applyNumberFormat="1" applyFont="1" applyFill="1" applyAlignment="1">
      <alignment vertical="center"/>
    </xf>
    <xf numFmtId="37" fontId="15" fillId="0" borderId="0" xfId="0" applyNumberFormat="1" applyFont="1" applyFill="1" applyBorder="1" applyAlignment="1">
      <alignment horizontal="centerContinuous"/>
    </xf>
    <xf numFmtId="37" fontId="21" fillId="0" borderId="0" xfId="0" applyNumberFormat="1" applyFont="1" applyFill="1" applyBorder="1" applyAlignment="1"/>
    <xf numFmtId="166" fontId="21" fillId="0" borderId="14" xfId="10" applyNumberFormat="1" applyFont="1" applyFill="1" applyBorder="1" applyAlignment="1">
      <alignment horizontal="center"/>
    </xf>
    <xf numFmtId="9" fontId="21" fillId="3" borderId="0" xfId="10" applyFont="1" applyFill="1" applyBorder="1" applyAlignment="1">
      <alignment horizontal="center"/>
    </xf>
    <xf numFmtId="37" fontId="21" fillId="0" borderId="0" xfId="0" applyNumberFormat="1" applyFont="1" applyFill="1" applyAlignment="1"/>
    <xf numFmtId="37" fontId="14" fillId="0" borderId="0" xfId="0" applyNumberFormat="1" applyFont="1" applyFill="1" applyBorder="1" applyAlignment="1"/>
    <xf numFmtId="37" fontId="14" fillId="0" borderId="2" xfId="0" applyNumberFormat="1" applyFont="1" applyFill="1" applyBorder="1" applyAlignment="1"/>
    <xf numFmtId="37" fontId="9" fillId="0" borderId="0" xfId="0" applyNumberFormat="1" applyFont="1" applyAlignment="1">
      <alignment vertical="top"/>
    </xf>
    <xf numFmtId="37" fontId="8" fillId="0" borderId="0" xfId="0" applyNumberFormat="1" applyFont="1" applyBorder="1" applyAlignment="1">
      <alignment vertical="top"/>
    </xf>
    <xf numFmtId="37" fontId="5" fillId="0" borderId="0" xfId="0" applyNumberFormat="1" applyFont="1" applyAlignment="1">
      <alignment vertical="top"/>
    </xf>
    <xf numFmtId="37" fontId="5" fillId="0" borderId="0" xfId="0" applyNumberFormat="1" applyFont="1" applyBorder="1" applyAlignment="1">
      <alignment vertical="top"/>
    </xf>
    <xf numFmtId="37" fontId="9" fillId="0" borderId="0" xfId="0" applyNumberFormat="1" applyFont="1" applyFill="1" applyBorder="1" applyAlignment="1">
      <alignment vertical="center"/>
    </xf>
    <xf numFmtId="37" fontId="9" fillId="0" borderId="2" xfId="0" applyNumberFormat="1" applyFont="1" applyFill="1" applyBorder="1" applyAlignment="1">
      <alignment vertical="center"/>
    </xf>
    <xf numFmtId="3" fontId="9" fillId="0" borderId="0" xfId="0" applyNumberFormat="1" applyFont="1" applyFill="1" applyBorder="1" applyAlignment="1">
      <alignment horizontal="right" vertical="center"/>
    </xf>
    <xf numFmtId="37" fontId="15" fillId="0" borderId="0" xfId="0" applyNumberFormat="1" applyFont="1" applyFill="1" applyAlignment="1">
      <alignment vertical="center"/>
    </xf>
    <xf numFmtId="37" fontId="9" fillId="0" borderId="2" xfId="0" applyNumberFormat="1" applyFont="1" applyBorder="1" applyAlignment="1">
      <alignment horizontal="center"/>
    </xf>
    <xf numFmtId="37" fontId="4" fillId="0" borderId="6" xfId="0" applyNumberFormat="1" applyFont="1" applyFill="1" applyBorder="1" applyAlignment="1" applyProtection="1">
      <alignment horizontal="center"/>
    </xf>
    <xf numFmtId="0" fontId="14" fillId="0" borderId="8" xfId="1" applyNumberFormat="1" applyFont="1" applyFill="1" applyBorder="1" applyAlignment="1" applyProtection="1">
      <alignment horizontal="center" vertical="center" wrapText="1"/>
    </xf>
    <xf numFmtId="37" fontId="14" fillId="0" borderId="9" xfId="0" applyNumberFormat="1" applyFont="1" applyBorder="1" applyAlignment="1">
      <alignment horizontal="center"/>
    </xf>
    <xf numFmtId="0" fontId="14" fillId="0" borderId="9" xfId="1" applyNumberFormat="1" applyFont="1" applyFill="1" applyBorder="1" applyAlignment="1" applyProtection="1">
      <alignment horizontal="center" vertical="center"/>
    </xf>
    <xf numFmtId="37" fontId="14" fillId="0" borderId="9" xfId="0" applyNumberFormat="1" applyFont="1" applyFill="1" applyBorder="1" applyAlignment="1" applyProtection="1">
      <alignment horizontal="center" vertical="center"/>
    </xf>
    <xf numFmtId="37" fontId="14" fillId="0" borderId="9" xfId="0" applyNumberFormat="1" applyFont="1" applyFill="1" applyBorder="1" applyAlignment="1">
      <alignment horizontal="center" vertical="center"/>
    </xf>
    <xf numFmtId="37" fontId="14" fillId="0" borderId="0" xfId="0" applyNumberFormat="1" applyFont="1" applyAlignment="1">
      <alignment horizontal="center"/>
    </xf>
    <xf numFmtId="37" fontId="28" fillId="0" borderId="0" xfId="0" applyNumberFormat="1" applyFont="1" applyFill="1" applyBorder="1" applyAlignment="1"/>
    <xf numFmtId="166" fontId="28" fillId="0" borderId="14" xfId="10" applyNumberFormat="1" applyFont="1" applyFill="1" applyBorder="1" applyAlignment="1">
      <alignment horizontal="center"/>
    </xf>
    <xf numFmtId="9" fontId="28" fillId="3" borderId="0" xfId="10" applyFont="1" applyFill="1" applyBorder="1" applyAlignment="1">
      <alignment horizontal="center"/>
    </xf>
    <xf numFmtId="37" fontId="28" fillId="0" borderId="0" xfId="0" applyNumberFormat="1" applyFont="1" applyFill="1" applyAlignment="1"/>
    <xf numFmtId="37" fontId="9" fillId="0" borderId="0" xfId="0" applyNumberFormat="1" applyFont="1" applyFill="1" applyBorder="1" applyAlignment="1">
      <alignment horizontal="center" vertical="center"/>
    </xf>
    <xf numFmtId="37" fontId="15" fillId="0" borderId="0" xfId="0" applyNumberFormat="1" applyFont="1" applyFill="1" applyBorder="1" applyAlignment="1">
      <alignment vertical="center"/>
    </xf>
    <xf numFmtId="37" fontId="7" fillId="0" borderId="0" xfId="0" applyNumberFormat="1" applyFont="1" applyFill="1" applyBorder="1" applyAlignment="1">
      <alignment horizontal="centerContinuous" vertical="center"/>
    </xf>
    <xf numFmtId="37" fontId="25" fillId="0" borderId="0" xfId="0" applyNumberFormat="1" applyFont="1" applyFill="1" applyBorder="1" applyAlignment="1">
      <alignment horizontal="centerContinuous" vertical="center"/>
    </xf>
    <xf numFmtId="37" fontId="25" fillId="0" borderId="0" xfId="0" applyNumberFormat="1" applyFont="1" applyFill="1" applyBorder="1" applyAlignment="1">
      <alignment vertical="center"/>
    </xf>
    <xf numFmtId="37" fontId="25" fillId="0" borderId="0" xfId="0" applyNumberFormat="1" applyFont="1" applyFill="1" applyAlignment="1">
      <alignment vertical="center"/>
    </xf>
    <xf numFmtId="37" fontId="7" fillId="0" borderId="0" xfId="0" applyNumberFormat="1" applyFont="1" applyFill="1" applyBorder="1" applyAlignment="1">
      <alignment vertical="center"/>
    </xf>
    <xf numFmtId="37" fontId="4" fillId="0" borderId="0" xfId="0" applyNumberFormat="1" applyFont="1" applyFill="1" applyBorder="1" applyAlignment="1">
      <alignment horizontal="centerContinuous" vertical="center"/>
    </xf>
    <xf numFmtId="37" fontId="4" fillId="0" borderId="2" xfId="0" applyNumberFormat="1" applyFont="1" applyFill="1" applyBorder="1" applyAlignment="1">
      <alignment horizontal="centerContinuous" vertical="center"/>
    </xf>
    <xf numFmtId="37" fontId="5" fillId="0" borderId="0" xfId="0" applyNumberFormat="1" applyFont="1" applyFill="1" applyBorder="1" applyAlignment="1">
      <alignment horizontal="centerContinuous" vertical="center"/>
    </xf>
    <xf numFmtId="37" fontId="5" fillId="0" borderId="0" xfId="0" applyNumberFormat="1" applyFont="1" applyFill="1" applyBorder="1" applyAlignment="1">
      <alignment vertical="center"/>
    </xf>
    <xf numFmtId="37" fontId="5" fillId="0" borderId="0" xfId="0" applyNumberFormat="1" applyFont="1" applyFill="1" applyAlignment="1">
      <alignment vertical="center"/>
    </xf>
    <xf numFmtId="37" fontId="9" fillId="0" borderId="0" xfId="0" applyNumberFormat="1" applyFont="1" applyFill="1" applyBorder="1" applyAlignment="1">
      <alignment horizontal="centerContinuous" vertical="center"/>
    </xf>
    <xf numFmtId="164" fontId="9" fillId="0" borderId="0" xfId="0" applyNumberFormat="1" applyFont="1" applyFill="1" applyBorder="1" applyAlignment="1">
      <alignment horizontal="right" vertical="center"/>
    </xf>
    <xf numFmtId="3" fontId="14" fillId="0" borderId="0" xfId="0" applyNumberFormat="1" applyFont="1" applyBorder="1" applyAlignment="1">
      <alignment vertical="center"/>
    </xf>
    <xf numFmtId="3" fontId="9" fillId="0" borderId="2" xfId="0" applyNumberFormat="1" applyFont="1" applyFill="1" applyBorder="1" applyAlignment="1">
      <alignment horizontal="right" vertical="center"/>
    </xf>
    <xf numFmtId="3" fontId="9" fillId="0" borderId="22" xfId="0" applyNumberFormat="1" applyFont="1" applyFill="1" applyBorder="1" applyAlignment="1">
      <alignment horizontal="right" vertical="center"/>
    </xf>
    <xf numFmtId="37" fontId="9" fillId="0" borderId="0" xfId="0" applyNumberFormat="1" applyFont="1" applyFill="1" applyBorder="1" applyAlignment="1">
      <alignment vertical="center" wrapText="1"/>
    </xf>
    <xf numFmtId="3" fontId="9" fillId="0" borderId="0" xfId="0" applyNumberFormat="1" applyFont="1" applyFill="1" applyBorder="1" applyAlignment="1">
      <alignment horizontal="center" vertical="center"/>
    </xf>
    <xf numFmtId="37" fontId="7" fillId="0" borderId="2" xfId="0" applyNumberFormat="1" applyFont="1" applyFill="1" applyBorder="1" applyAlignment="1">
      <alignment horizontal="centerContinuous" vertical="center"/>
    </xf>
    <xf numFmtId="37" fontId="4" fillId="0" borderId="20" xfId="0" applyNumberFormat="1" applyFont="1" applyFill="1" applyBorder="1" applyAlignment="1" applyProtection="1">
      <alignment horizontal="centerContinuous" vertical="center" wrapText="1"/>
    </xf>
    <xf numFmtId="37" fontId="21" fillId="0" borderId="0" xfId="0" applyNumberFormat="1" applyFont="1" applyFill="1" applyBorder="1" applyAlignment="1">
      <alignment vertical="center"/>
    </xf>
    <xf numFmtId="3" fontId="21" fillId="0" borderId="0" xfId="0" applyNumberFormat="1" applyFont="1" applyFill="1" applyBorder="1" applyAlignment="1">
      <alignment horizontal="right" vertical="center"/>
    </xf>
    <xf numFmtId="37" fontId="21" fillId="0" borderId="0" xfId="0" applyNumberFormat="1" applyFont="1" applyFill="1" applyAlignment="1">
      <alignment vertical="center"/>
    </xf>
    <xf numFmtId="37" fontId="5" fillId="0" borderId="0" xfId="0" applyNumberFormat="1" applyFont="1" applyFill="1" applyBorder="1" applyAlignment="1">
      <alignment vertical="center" wrapText="1"/>
    </xf>
    <xf numFmtId="164" fontId="9" fillId="0" borderId="23"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xf>
    <xf numFmtId="3" fontId="9" fillId="0" borderId="23" xfId="0" applyNumberFormat="1" applyFont="1" applyFill="1" applyBorder="1" applyAlignment="1">
      <alignment horizontal="center" vertical="center"/>
    </xf>
    <xf numFmtId="3" fontId="9" fillId="0" borderId="10" xfId="0" applyNumberFormat="1" applyFont="1" applyFill="1" applyBorder="1" applyAlignment="1">
      <alignment horizontal="center" vertical="center"/>
    </xf>
    <xf numFmtId="3" fontId="9" fillId="0" borderId="2" xfId="0" applyNumberFormat="1" applyFont="1" applyFill="1" applyBorder="1" applyAlignment="1">
      <alignment horizontal="center" vertical="center"/>
    </xf>
    <xf numFmtId="3" fontId="21" fillId="0" borderId="23" xfId="0" applyNumberFormat="1" applyFont="1" applyFill="1" applyBorder="1" applyAlignment="1">
      <alignment horizontal="center" vertical="center"/>
    </xf>
    <xf numFmtId="3" fontId="21" fillId="0" borderId="0" xfId="0" applyNumberFormat="1" applyFont="1" applyFill="1" applyBorder="1" applyAlignment="1">
      <alignment horizontal="center" vertical="center"/>
    </xf>
    <xf numFmtId="3" fontId="9" fillId="0" borderId="0" xfId="0" quotePrefix="1" applyNumberFormat="1" applyFont="1" applyFill="1" applyBorder="1" applyAlignment="1">
      <alignment horizontal="center" vertical="center"/>
    </xf>
    <xf numFmtId="37" fontId="9" fillId="0" borderId="0" xfId="0" applyNumberFormat="1" applyFont="1" applyAlignment="1">
      <alignment vertical="center"/>
    </xf>
    <xf numFmtId="37" fontId="9" fillId="0" borderId="0" xfId="0" applyNumberFormat="1" applyFont="1" applyFill="1" applyAlignment="1">
      <alignment horizontal="centerContinuous" vertical="center"/>
    </xf>
    <xf numFmtId="37" fontId="9" fillId="0" borderId="0" xfId="0" applyNumberFormat="1" applyFont="1" applyAlignment="1">
      <alignment horizontal="centerContinuous" vertical="center"/>
    </xf>
    <xf numFmtId="37" fontId="14" fillId="0" borderId="19" xfId="0" applyNumberFormat="1" applyFont="1" applyFill="1" applyBorder="1" applyAlignment="1" applyProtection="1">
      <alignment horizontal="center" vertical="center"/>
    </xf>
    <xf numFmtId="37" fontId="26" fillId="0" borderId="3" xfId="0" applyNumberFormat="1" applyFont="1" applyFill="1" applyBorder="1" applyAlignment="1">
      <alignment horizontal="left" vertical="center" wrapText="1"/>
    </xf>
    <xf numFmtId="37" fontId="27" fillId="0" borderId="3" xfId="0" applyNumberFormat="1" applyFont="1" applyFill="1" applyBorder="1" applyAlignment="1" applyProtection="1">
      <alignment horizontal="right" vertical="center"/>
    </xf>
    <xf numFmtId="37" fontId="20" fillId="0" borderId="4" xfId="0" applyNumberFormat="1" applyFont="1" applyFill="1" applyBorder="1" applyAlignment="1">
      <alignment horizontal="left" vertical="center" wrapText="1"/>
    </xf>
    <xf numFmtId="37" fontId="20" fillId="0" borderId="5" xfId="0" applyNumberFormat="1" applyFont="1" applyFill="1" applyBorder="1" applyAlignment="1">
      <alignment horizontal="left" vertical="center" wrapText="1"/>
    </xf>
    <xf numFmtId="37" fontId="14" fillId="0" borderId="3" xfId="0" applyNumberFormat="1" applyFont="1" applyFill="1" applyBorder="1" applyAlignment="1">
      <alignment horizontal="right" vertical="center" wrapText="1"/>
    </xf>
    <xf numFmtId="37" fontId="20" fillId="0" borderId="3" xfId="0" applyNumberFormat="1" applyFont="1" applyFill="1" applyBorder="1" applyAlignment="1">
      <alignment horizontal="left" vertical="center" wrapText="1"/>
    </xf>
    <xf numFmtId="37" fontId="20" fillId="0" borderId="20" xfId="0" applyNumberFormat="1" applyFont="1" applyFill="1" applyBorder="1" applyAlignment="1">
      <alignment horizontal="right" vertical="center" wrapText="1"/>
    </xf>
    <xf numFmtId="37" fontId="5" fillId="0" borderId="0" xfId="0" applyNumberFormat="1" applyFont="1" applyAlignment="1">
      <alignment vertical="center"/>
    </xf>
    <xf numFmtId="37" fontId="14" fillId="0" borderId="2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9" fontId="9" fillId="0" borderId="0" xfId="10" applyFont="1" applyFill="1" applyAlignment="1">
      <alignment horizontal="centerContinuous" vertical="center"/>
    </xf>
    <xf numFmtId="37" fontId="7" fillId="0" borderId="0" xfId="0" applyNumberFormat="1" applyFont="1" applyFill="1" applyBorder="1" applyAlignment="1" applyProtection="1">
      <alignment horizontal="centerContinuous" vertical="center"/>
    </xf>
    <xf numFmtId="37" fontId="9" fillId="0" borderId="0" xfId="0" applyNumberFormat="1" applyFont="1" applyBorder="1" applyAlignment="1">
      <alignment horizontal="centerContinuous" vertical="center"/>
    </xf>
    <xf numFmtId="37" fontId="9" fillId="0" borderId="0" xfId="0" applyNumberFormat="1" applyFont="1" applyAlignment="1">
      <alignment horizontal="left" vertical="center"/>
    </xf>
    <xf numFmtId="37" fontId="7" fillId="0" borderId="0" xfId="0" applyNumberFormat="1" applyFont="1" applyFill="1" applyBorder="1" applyAlignment="1">
      <alignment horizontal="center" vertical="center"/>
    </xf>
    <xf numFmtId="37" fontId="25" fillId="0" borderId="0" xfId="0" applyNumberFormat="1" applyFont="1" applyFill="1" applyBorder="1" applyAlignment="1">
      <alignment horizontal="center" vertical="center"/>
    </xf>
    <xf numFmtId="37" fontId="25" fillId="0" borderId="0" xfId="0" applyNumberFormat="1" applyFont="1" applyFill="1" applyAlignment="1">
      <alignment horizontal="center" vertical="center"/>
    </xf>
    <xf numFmtId="37" fontId="25" fillId="0" borderId="14" xfId="0" applyNumberFormat="1" applyFont="1" applyFill="1" applyBorder="1" applyAlignment="1">
      <alignment horizontal="center" vertical="center"/>
    </xf>
    <xf numFmtId="37" fontId="25" fillId="3" borderId="0" xfId="0" applyNumberFormat="1" applyFont="1" applyFill="1" applyBorder="1" applyAlignment="1">
      <alignment horizontal="center" vertical="center"/>
    </xf>
    <xf numFmtId="37" fontId="7" fillId="0" borderId="14" xfId="0" applyNumberFormat="1" applyFont="1" applyFill="1" applyBorder="1" applyAlignment="1">
      <alignment horizontal="center" vertical="center"/>
    </xf>
    <xf numFmtId="37" fontId="7" fillId="3" borderId="0" xfId="0" applyNumberFormat="1" applyFont="1" applyFill="1" applyBorder="1" applyAlignment="1">
      <alignment horizontal="center" vertical="center"/>
    </xf>
    <xf numFmtId="166" fontId="9" fillId="0" borderId="14" xfId="1" quotePrefix="1" applyNumberFormat="1" applyFont="1" applyFill="1" applyBorder="1" applyAlignment="1">
      <alignment horizontal="center" vertical="center"/>
    </xf>
    <xf numFmtId="9" fontId="9" fillId="3" borderId="0" xfId="10" applyFont="1" applyFill="1" applyBorder="1" applyAlignment="1">
      <alignment horizontal="center" vertical="center"/>
    </xf>
    <xf numFmtId="37" fontId="14" fillId="0" borderId="0" xfId="0" applyNumberFormat="1" applyFont="1" applyFill="1" applyBorder="1" applyAlignment="1">
      <alignment vertical="center"/>
    </xf>
    <xf numFmtId="169" fontId="14" fillId="0" borderId="14" xfId="10" quotePrefix="1" applyNumberFormat="1" applyFont="1" applyFill="1" applyBorder="1" applyAlignment="1">
      <alignment horizontal="center" vertical="center"/>
    </xf>
    <xf numFmtId="37" fontId="7" fillId="0" borderId="20" xfId="0" applyNumberFormat="1" applyFont="1" applyFill="1" applyBorder="1" applyAlignment="1">
      <alignment horizontal="centerContinuous" vertical="center"/>
    </xf>
    <xf numFmtId="37" fontId="4" fillId="0" borderId="9" xfId="0" applyNumberFormat="1" applyFont="1" applyFill="1" applyBorder="1" applyAlignment="1" applyProtection="1">
      <alignment horizontal="centerContinuous" vertical="center"/>
    </xf>
    <xf numFmtId="37" fontId="7" fillId="0" borderId="9" xfId="0" applyNumberFormat="1" applyFont="1" applyFill="1" applyBorder="1" applyAlignment="1">
      <alignment horizontal="centerContinuous" vertical="center"/>
    </xf>
    <xf numFmtId="37" fontId="7" fillId="0" borderId="19" xfId="0" applyNumberFormat="1" applyFont="1" applyFill="1" applyBorder="1" applyAlignment="1">
      <alignment horizontal="centerContinuous" vertical="center"/>
    </xf>
    <xf numFmtId="37" fontId="4" fillId="0" borderId="11" xfId="0" applyNumberFormat="1" applyFont="1" applyFill="1" applyBorder="1" applyAlignment="1" applyProtection="1">
      <alignment horizontal="centerContinuous" vertical="center"/>
    </xf>
    <xf numFmtId="37" fontId="4" fillId="0" borderId="19" xfId="0" applyNumberFormat="1" applyFont="1" applyFill="1" applyBorder="1" applyAlignment="1" applyProtection="1">
      <alignment horizontal="centerContinuous" vertical="center"/>
    </xf>
    <xf numFmtId="37" fontId="7" fillId="0" borderId="11" xfId="0" applyNumberFormat="1" applyFont="1" applyFill="1" applyBorder="1" applyAlignment="1">
      <alignment horizontal="centerContinuous" vertical="center"/>
    </xf>
    <xf numFmtId="37" fontId="7" fillId="3" borderId="20" xfId="0" applyNumberFormat="1" applyFont="1" applyFill="1" applyBorder="1" applyAlignment="1">
      <alignment horizontal="centerContinuous" vertical="center"/>
    </xf>
    <xf numFmtId="37" fontId="7" fillId="0" borderId="18" xfId="0" applyNumberFormat="1" applyFont="1" applyFill="1" applyBorder="1" applyAlignment="1">
      <alignment horizontal="centerContinuous" vertical="center"/>
    </xf>
    <xf numFmtId="37" fontId="7" fillId="0" borderId="24" xfId="0" applyNumberFormat="1" applyFont="1" applyFill="1" applyBorder="1" applyAlignment="1">
      <alignment horizontal="centerContinuous" vertical="center"/>
    </xf>
    <xf numFmtId="37" fontId="9" fillId="3" borderId="0" xfId="0" applyNumberFormat="1" applyFont="1" applyFill="1" applyBorder="1" applyAlignment="1">
      <alignment vertical="center" wrapText="1"/>
    </xf>
    <xf numFmtId="37" fontId="9" fillId="0" borderId="0" xfId="0" applyNumberFormat="1" applyFont="1" applyBorder="1" applyAlignment="1">
      <alignment vertical="center" wrapText="1"/>
    </xf>
    <xf numFmtId="3" fontId="9" fillId="4" borderId="0" xfId="0" applyNumberFormat="1" applyFont="1" applyFill="1" applyBorder="1" applyAlignment="1">
      <alignment horizontal="right"/>
    </xf>
    <xf numFmtId="37" fontId="25" fillId="5" borderId="0" xfId="0" applyNumberFormat="1" applyFont="1" applyFill="1" applyAlignment="1">
      <alignment vertical="center"/>
    </xf>
    <xf numFmtId="37" fontId="7" fillId="5" borderId="0" xfId="0" applyNumberFormat="1" applyFont="1" applyFill="1" applyBorder="1" applyAlignment="1">
      <alignment horizontal="center" vertical="center" wrapText="1"/>
    </xf>
    <xf numFmtId="37" fontId="4" fillId="5" borderId="0" xfId="0" applyNumberFormat="1" applyFont="1" applyFill="1" applyBorder="1" applyAlignment="1">
      <alignment horizontal="center" vertical="center" wrapText="1"/>
    </xf>
    <xf numFmtId="37" fontId="4" fillId="5" borderId="0" xfId="0" applyNumberFormat="1" applyFont="1" applyFill="1" applyBorder="1" applyAlignment="1">
      <alignment vertical="center"/>
    </xf>
    <xf numFmtId="164" fontId="9" fillId="5" borderId="0" xfId="0" applyNumberFormat="1" applyFont="1" applyFill="1" applyBorder="1" applyAlignment="1">
      <alignment horizontal="center"/>
    </xf>
    <xf numFmtId="3" fontId="9" fillId="5" borderId="0" xfId="0" applyNumberFormat="1" applyFont="1" applyFill="1" applyBorder="1" applyAlignment="1">
      <alignment horizontal="center" vertical="center"/>
    </xf>
    <xf numFmtId="37" fontId="15" fillId="5" borderId="0" xfId="0" applyNumberFormat="1" applyFont="1" applyFill="1" applyAlignment="1">
      <alignment vertical="center"/>
    </xf>
    <xf numFmtId="37" fontId="9" fillId="5" borderId="0" xfId="0" applyNumberFormat="1" applyFont="1" applyFill="1" applyAlignment="1">
      <alignment vertical="center"/>
    </xf>
    <xf numFmtId="37" fontId="9" fillId="5" borderId="0" xfId="0" applyNumberFormat="1" applyFont="1" applyFill="1" applyBorder="1" applyAlignment="1">
      <alignment vertical="center"/>
    </xf>
    <xf numFmtId="167" fontId="4" fillId="5" borderId="0" xfId="0" applyNumberFormat="1" applyFont="1" applyFill="1" applyBorder="1" applyAlignment="1">
      <alignment horizontal="center" wrapText="1"/>
    </xf>
    <xf numFmtId="167" fontId="4" fillId="5" borderId="0" xfId="0" applyNumberFormat="1" applyFont="1" applyFill="1" applyBorder="1" applyAlignment="1">
      <alignment horizontal="center" vertical="center" wrapText="1"/>
    </xf>
    <xf numFmtId="3" fontId="9" fillId="5" borderId="0" xfId="0" applyNumberFormat="1" applyFont="1" applyFill="1" applyBorder="1" applyAlignment="1">
      <alignment horizontal="right" vertical="center"/>
    </xf>
    <xf numFmtId="3" fontId="21" fillId="5" borderId="0" xfId="0" applyNumberFormat="1" applyFont="1" applyFill="1" applyBorder="1" applyAlignment="1">
      <alignment horizontal="center" vertical="center"/>
    </xf>
    <xf numFmtId="164" fontId="9" fillId="5" borderId="0" xfId="0" applyNumberFormat="1" applyFont="1" applyFill="1" applyBorder="1" applyAlignment="1">
      <alignment horizontal="center" wrapText="1"/>
    </xf>
    <xf numFmtId="37" fontId="9" fillId="0" borderId="0" xfId="0" applyNumberFormat="1" applyFont="1" applyFill="1" applyBorder="1" applyAlignment="1">
      <alignment wrapText="1"/>
    </xf>
    <xf numFmtId="37" fontId="9" fillId="0" borderId="0" xfId="0" applyNumberFormat="1" applyFont="1" applyFill="1" applyAlignment="1">
      <alignment wrapText="1"/>
    </xf>
    <xf numFmtId="170" fontId="9" fillId="0" borderId="0" xfId="0" applyNumberFormat="1" applyFont="1" applyFill="1" applyBorder="1" applyAlignment="1">
      <alignment horizontal="right" vertical="center"/>
    </xf>
    <xf numFmtId="37" fontId="0" fillId="0" borderId="0" xfId="0" applyNumberFormat="1" applyFill="1" applyAlignment="1"/>
    <xf numFmtId="37" fontId="9" fillId="0" borderId="0" xfId="0" applyNumberFormat="1" applyFont="1" applyFill="1" applyAlignment="1">
      <alignment horizontal="centerContinuous"/>
    </xf>
    <xf numFmtId="169" fontId="9" fillId="0" borderId="0" xfId="10" applyNumberFormat="1" applyFont="1" applyFill="1" applyAlignment="1">
      <alignment horizontal="centerContinuous"/>
    </xf>
    <xf numFmtId="169" fontId="9" fillId="0" borderId="9" xfId="10" applyNumberFormat="1" applyFont="1" applyFill="1" applyBorder="1" applyAlignment="1">
      <alignment horizontal="center" vertical="center"/>
    </xf>
    <xf numFmtId="37" fontId="5" fillId="0" borderId="0" xfId="0" applyNumberFormat="1" applyFont="1" applyFill="1" applyAlignment="1">
      <alignment vertical="top"/>
    </xf>
    <xf numFmtId="169" fontId="5" fillId="0" borderId="0" xfId="10" applyNumberFormat="1" applyFont="1" applyFill="1" applyAlignment="1">
      <alignment vertical="top"/>
    </xf>
    <xf numFmtId="169" fontId="9" fillId="0" borderId="0" xfId="10" applyNumberFormat="1" applyFont="1" applyFill="1"/>
    <xf numFmtId="37" fontId="8" fillId="0" borderId="0" xfId="0" applyNumberFormat="1" applyFont="1" applyFill="1" applyBorder="1" applyAlignment="1">
      <alignment vertical="center" wrapText="1"/>
    </xf>
    <xf numFmtId="37" fontId="9" fillId="0" borderId="0" xfId="0" applyNumberFormat="1" applyFont="1" applyFill="1" applyAlignment="1">
      <alignment vertical="center" wrapText="1"/>
    </xf>
    <xf numFmtId="37" fontId="8" fillId="0" borderId="0" xfId="0" applyNumberFormat="1" applyFont="1" applyFill="1" applyBorder="1" applyAlignment="1">
      <alignment vertical="center"/>
    </xf>
    <xf numFmtId="164" fontId="21" fillId="0" borderId="0" xfId="0" applyNumberFormat="1" applyFont="1" applyFill="1" applyBorder="1" applyAlignment="1">
      <alignment horizontal="right" vertical="center"/>
    </xf>
    <xf numFmtId="164" fontId="21" fillId="0" borderId="23" xfId="0" applyNumberFormat="1" applyFont="1" applyFill="1" applyBorder="1" applyAlignment="1">
      <alignment horizontal="center" vertical="center"/>
    </xf>
    <xf numFmtId="164" fontId="21" fillId="0" borderId="0" xfId="0" applyNumberFormat="1" applyFont="1" applyFill="1" applyBorder="1" applyAlignment="1">
      <alignment horizontal="center" vertical="center"/>
    </xf>
    <xf numFmtId="49" fontId="5" fillId="0" borderId="0" xfId="0" applyNumberFormat="1" applyFont="1" applyFill="1" applyAlignment="1">
      <alignment horizontal="right" vertical="center"/>
    </xf>
    <xf numFmtId="37" fontId="29" fillId="0" borderId="0" xfId="0" applyNumberFormat="1" applyFont="1" applyFill="1" applyBorder="1" applyAlignment="1">
      <alignment horizontal="centerContinuous" vertical="center"/>
    </xf>
    <xf numFmtId="37" fontId="29" fillId="0" borderId="2" xfId="0" applyNumberFormat="1" applyFont="1" applyFill="1" applyBorder="1" applyAlignment="1">
      <alignment horizontal="centerContinuous" vertical="center"/>
    </xf>
    <xf numFmtId="37" fontId="29" fillId="5" borderId="0" xfId="0" applyNumberFormat="1" applyFont="1" applyFill="1" applyBorder="1" applyAlignment="1">
      <alignment horizontal="center" vertical="center" wrapText="1"/>
    </xf>
    <xf numFmtId="164" fontId="9" fillId="0" borderId="24" xfId="0" applyNumberFormat="1" applyFont="1" applyFill="1" applyBorder="1" applyAlignment="1">
      <alignment horizontal="center" vertical="center"/>
    </xf>
    <xf numFmtId="37" fontId="29" fillId="0" borderId="23" xfId="0" applyNumberFormat="1" applyFont="1" applyFill="1" applyBorder="1" applyAlignment="1">
      <alignment horizontal="centerContinuous" vertical="center"/>
    </xf>
    <xf numFmtId="37" fontId="11" fillId="0" borderId="0" xfId="6" applyFont="1" applyFill="1" applyBorder="1" applyAlignment="1" applyProtection="1">
      <alignment horizontal="left"/>
    </xf>
    <xf numFmtId="37" fontId="10" fillId="0" borderId="2" xfId="6" applyFont="1" applyFill="1" applyBorder="1" applyAlignment="1" applyProtection="1">
      <alignment horizontal="left"/>
    </xf>
    <xf numFmtId="37" fontId="33" fillId="0" borderId="2" xfId="6" applyNumberFormat="1" applyFont="1" applyFill="1" applyBorder="1" applyAlignment="1" applyProtection="1">
      <alignment horizontal="left"/>
    </xf>
    <xf numFmtId="167" fontId="30" fillId="0" borderId="2" xfId="6" applyNumberFormat="1" applyFont="1" applyFill="1" applyBorder="1" applyAlignment="1"/>
    <xf numFmtId="3" fontId="11" fillId="0" borderId="0" xfId="10" applyNumberFormat="1" applyFont="1" applyFill="1" applyBorder="1"/>
    <xf numFmtId="3" fontId="11" fillId="0" borderId="0" xfId="10" applyNumberFormat="1" applyFont="1" applyFill="1" applyBorder="1" applyAlignment="1">
      <alignment horizontal="right"/>
    </xf>
    <xf numFmtId="37" fontId="4" fillId="5" borderId="0" xfId="0" applyNumberFormat="1" applyFont="1" applyFill="1" applyAlignment="1">
      <alignment vertical="center"/>
    </xf>
    <xf numFmtId="37" fontId="4" fillId="0" borderId="0" xfId="0" applyNumberFormat="1" applyFont="1" applyFill="1" applyAlignment="1">
      <alignment vertical="center"/>
    </xf>
    <xf numFmtId="37" fontId="4" fillId="0" borderId="0" xfId="0" applyNumberFormat="1" applyFont="1" applyFill="1" applyBorder="1" applyAlignment="1">
      <alignment vertical="center"/>
    </xf>
    <xf numFmtId="37" fontId="5" fillId="0" borderId="0" xfId="0" applyNumberFormat="1" applyFont="1" applyAlignment="1">
      <alignment horizontal="centerContinuous"/>
    </xf>
    <xf numFmtId="37" fontId="5" fillId="0" borderId="8" xfId="0" applyNumberFormat="1" applyFont="1" applyBorder="1" applyAlignment="1">
      <alignment horizontal="center" vertical="center" wrapText="1"/>
    </xf>
    <xf numFmtId="37" fontId="5" fillId="0" borderId="0" xfId="0" applyNumberFormat="1" applyFont="1" applyFill="1" applyBorder="1" applyAlignment="1">
      <alignment horizontal="center" vertical="center" wrapText="1"/>
    </xf>
    <xf numFmtId="37" fontId="5" fillId="0" borderId="2" xfId="0" applyNumberFormat="1" applyFont="1" applyFill="1" applyBorder="1" applyAlignment="1">
      <alignment horizontal="center" vertical="center" wrapText="1"/>
    </xf>
    <xf numFmtId="37" fontId="5" fillId="0" borderId="20" xfId="0" applyNumberFormat="1" applyFont="1" applyFill="1" applyBorder="1" applyAlignment="1">
      <alignment horizontal="center" vertical="center" wrapText="1"/>
    </xf>
    <xf numFmtId="3" fontId="11" fillId="0" borderId="2" xfId="10" applyNumberFormat="1" applyFont="1" applyFill="1" applyBorder="1" applyAlignment="1">
      <alignment horizontal="right"/>
    </xf>
    <xf numFmtId="37" fontId="30" fillId="0" borderId="14" xfId="6" applyNumberFormat="1" applyFont="1" applyFill="1" applyBorder="1" applyAlignment="1" applyProtection="1">
      <alignment horizontal="center" wrapText="1"/>
    </xf>
    <xf numFmtId="37" fontId="11" fillId="0" borderId="12" xfId="0" applyNumberFormat="1" applyFont="1" applyFill="1" applyBorder="1" applyAlignment="1"/>
    <xf numFmtId="3" fontId="11" fillId="0" borderId="0" xfId="0" applyNumberFormat="1" applyFont="1" applyFill="1" applyBorder="1" applyAlignment="1"/>
    <xf numFmtId="3" fontId="11" fillId="0" borderId="2" xfId="10" applyNumberFormat="1" applyFont="1" applyFill="1" applyBorder="1"/>
    <xf numFmtId="37" fontId="26" fillId="0" borderId="4" xfId="0" applyNumberFormat="1" applyFont="1" applyFill="1" applyBorder="1" applyAlignment="1">
      <alignment horizontal="left" vertical="center" wrapText="1"/>
    </xf>
    <xf numFmtId="37" fontId="10" fillId="0" borderId="2" xfId="6" applyNumberFormat="1" applyFont="1" applyFill="1" applyBorder="1" applyAlignment="1" applyProtection="1">
      <alignment horizontal="center"/>
    </xf>
    <xf numFmtId="37" fontId="7" fillId="0" borderId="0" xfId="0" applyNumberFormat="1" applyFont="1" applyFill="1" applyBorder="1" applyAlignment="1">
      <alignment horizontal="left" vertical="center"/>
    </xf>
    <xf numFmtId="37" fontId="40" fillId="0" borderId="0" xfId="0" applyNumberFormat="1" applyFont="1" applyAlignment="1"/>
    <xf numFmtId="37" fontId="41" fillId="0" borderId="0" xfId="0" applyNumberFormat="1" applyFont="1" applyAlignment="1"/>
    <xf numFmtId="9" fontId="9" fillId="0" borderId="0" xfId="10" applyFont="1" applyFill="1" applyBorder="1" applyAlignment="1">
      <alignment vertical="center"/>
    </xf>
    <xf numFmtId="39" fontId="9" fillId="0" borderId="0" xfId="0" applyNumberFormat="1" applyFont="1" applyFill="1" applyAlignment="1">
      <alignment vertical="center"/>
    </xf>
    <xf numFmtId="37" fontId="4" fillId="0" borderId="0" xfId="0" applyNumberFormat="1" applyFont="1" applyFill="1" applyBorder="1" applyAlignment="1">
      <alignment horizontal="center" vertical="center" wrapText="1"/>
    </xf>
    <xf numFmtId="37" fontId="11" fillId="0" borderId="2" xfId="6" applyFont="1" applyFill="1" applyBorder="1" applyAlignment="1" applyProtection="1">
      <alignment horizontal="left"/>
    </xf>
    <xf numFmtId="167" fontId="30" fillId="0" borderId="0" xfId="6" applyNumberFormat="1" applyFont="1" applyFill="1" applyBorder="1"/>
    <xf numFmtId="37" fontId="11" fillId="0" borderId="31" xfId="6" applyNumberFormat="1" applyFont="1" applyFill="1" applyBorder="1"/>
    <xf numFmtId="167" fontId="11" fillId="0" borderId="18" xfId="4" applyNumberFormat="1" applyFont="1" applyFill="1" applyBorder="1" applyAlignment="1">
      <alignment horizontal="left"/>
    </xf>
    <xf numFmtId="37" fontId="30" fillId="0" borderId="0" xfId="6" applyNumberFormat="1" applyFont="1" applyFill="1" applyAlignment="1">
      <alignment horizontal="left"/>
    </xf>
    <xf numFmtId="167" fontId="30" fillId="0" borderId="0" xfId="6" applyNumberFormat="1" applyFont="1" applyFill="1" applyAlignment="1">
      <alignment horizontal="left"/>
    </xf>
    <xf numFmtId="37" fontId="11" fillId="0" borderId="7" xfId="0" applyNumberFormat="1" applyFont="1" applyFill="1" applyBorder="1" applyAlignment="1"/>
    <xf numFmtId="37" fontId="11" fillId="0" borderId="34" xfId="0" applyNumberFormat="1" applyFont="1" applyFill="1" applyBorder="1" applyAlignment="1"/>
    <xf numFmtId="37" fontId="11" fillId="0" borderId="35" xfId="0" applyNumberFormat="1" applyFont="1" applyFill="1" applyBorder="1" applyAlignment="1"/>
    <xf numFmtId="37" fontId="4" fillId="0" borderId="18" xfId="0" applyNumberFormat="1" applyFont="1" applyFill="1" applyBorder="1" applyAlignment="1" applyProtection="1">
      <alignment horizontal="centerContinuous" vertical="center" wrapText="1"/>
    </xf>
    <xf numFmtId="37" fontId="4" fillId="0" borderId="9" xfId="0" applyNumberFormat="1" applyFont="1" applyFill="1" applyBorder="1" applyAlignment="1" applyProtection="1">
      <alignment horizontal="centerContinuous" vertical="center" wrapText="1"/>
    </xf>
    <xf numFmtId="37" fontId="4" fillId="0" borderId="19" xfId="0" applyNumberFormat="1" applyFont="1" applyFill="1" applyBorder="1" applyAlignment="1" applyProtection="1">
      <alignment horizontal="centerContinuous" vertical="center" wrapText="1"/>
    </xf>
    <xf numFmtId="37" fontId="4" fillId="0" borderId="19" xfId="0" applyNumberFormat="1" applyFont="1" applyFill="1" applyBorder="1" applyAlignment="1">
      <alignment horizontal="center" wrapText="1"/>
    </xf>
    <xf numFmtId="37" fontId="4" fillId="0" borderId="10" xfId="0" applyNumberFormat="1" applyFont="1" applyFill="1" applyBorder="1" applyAlignment="1" applyProtection="1">
      <alignment horizontal="centerContinuous" vertical="center" wrapText="1"/>
    </xf>
    <xf numFmtId="37" fontId="4" fillId="0" borderId="2" xfId="0" applyNumberFormat="1" applyFont="1" applyFill="1" applyBorder="1" applyAlignment="1" applyProtection="1">
      <alignment horizontal="centerContinuous" vertical="center" wrapText="1"/>
    </xf>
    <xf numFmtId="37" fontId="4" fillId="0" borderId="24" xfId="0" applyNumberFormat="1" applyFont="1" applyFill="1" applyBorder="1" applyAlignment="1" applyProtection="1">
      <alignment horizontal="centerContinuous" vertical="center" wrapText="1"/>
    </xf>
    <xf numFmtId="37" fontId="43" fillId="0" borderId="9" xfId="0" applyNumberFormat="1" applyFont="1" applyFill="1" applyBorder="1" applyAlignment="1" applyProtection="1">
      <alignment horizontal="centerContinuous" vertical="center" wrapText="1"/>
    </xf>
    <xf numFmtId="167" fontId="43" fillId="0" borderId="9" xfId="0" applyNumberFormat="1" applyFont="1" applyFill="1" applyBorder="1" applyAlignment="1" applyProtection="1">
      <alignment horizontal="center" wrapText="1"/>
    </xf>
    <xf numFmtId="37" fontId="43" fillId="0" borderId="9" xfId="0" applyNumberFormat="1" applyFont="1" applyFill="1" applyBorder="1" applyAlignment="1">
      <alignment horizontal="center" wrapText="1"/>
    </xf>
    <xf numFmtId="3" fontId="42" fillId="0" borderId="23" xfId="0" applyNumberFormat="1" applyFont="1" applyFill="1" applyBorder="1" applyAlignment="1">
      <alignment vertical="center"/>
    </xf>
    <xf numFmtId="3" fontId="9" fillId="0" borderId="23" xfId="0" applyNumberFormat="1" applyFont="1" applyFill="1" applyBorder="1" applyAlignment="1">
      <alignment vertical="center"/>
    </xf>
    <xf numFmtId="3" fontId="9" fillId="0" borderId="23" xfId="0" quotePrefix="1" applyNumberFormat="1" applyFont="1" applyFill="1" applyBorder="1" applyAlignment="1">
      <alignment vertical="center"/>
    </xf>
    <xf numFmtId="3" fontId="9" fillId="0" borderId="14" xfId="0" quotePrefix="1" applyNumberFormat="1" applyFont="1" applyFill="1" applyBorder="1" applyAlignment="1">
      <alignment vertical="center"/>
    </xf>
    <xf numFmtId="3" fontId="42" fillId="0" borderId="0" xfId="0" quotePrefix="1" applyNumberFormat="1" applyFont="1" applyFill="1" applyBorder="1" applyAlignment="1">
      <alignment vertical="center"/>
    </xf>
    <xf numFmtId="3" fontId="9" fillId="0" borderId="0" xfId="0" quotePrefix="1" applyNumberFormat="1" applyFont="1" applyFill="1" applyBorder="1" applyAlignment="1">
      <alignment vertical="center"/>
    </xf>
    <xf numFmtId="3" fontId="9" fillId="0" borderId="0" xfId="0" applyNumberFormat="1" applyFont="1" applyFill="1" applyBorder="1" applyAlignment="1">
      <alignment vertical="center"/>
    </xf>
    <xf numFmtId="3" fontId="9" fillId="0" borderId="14" xfId="0" applyNumberFormat="1" applyFont="1" applyFill="1" applyBorder="1" applyAlignment="1">
      <alignment vertical="center"/>
    </xf>
    <xf numFmtId="3" fontId="42" fillId="0" borderId="0" xfId="0" applyNumberFormat="1" applyFont="1" applyFill="1" applyBorder="1" applyAlignment="1">
      <alignment vertical="center"/>
    </xf>
    <xf numFmtId="3" fontId="9" fillId="0" borderId="10" xfId="0" applyNumberFormat="1" applyFont="1" applyFill="1" applyBorder="1" applyAlignment="1">
      <alignment vertical="center"/>
    </xf>
    <xf numFmtId="3" fontId="9" fillId="0" borderId="2" xfId="0" applyNumberFormat="1" applyFont="1" applyFill="1" applyBorder="1" applyAlignment="1">
      <alignment vertical="center"/>
    </xf>
    <xf numFmtId="3" fontId="9" fillId="0" borderId="22" xfId="0" applyNumberFormat="1" applyFont="1" applyFill="1" applyBorder="1" applyAlignment="1">
      <alignment vertical="center"/>
    </xf>
    <xf numFmtId="3" fontId="42" fillId="0" borderId="2" xfId="0" applyNumberFormat="1" applyFont="1" applyFill="1" applyBorder="1" applyAlignment="1">
      <alignment vertical="center"/>
    </xf>
    <xf numFmtId="37" fontId="9" fillId="0" borderId="23" xfId="0" applyNumberFormat="1" applyFont="1" applyFill="1" applyBorder="1" applyAlignment="1"/>
    <xf numFmtId="37" fontId="43" fillId="0" borderId="6" xfId="0" applyNumberFormat="1" applyFont="1" applyFill="1" applyBorder="1" applyAlignment="1" applyProtection="1">
      <alignment horizontal="centerContinuous" vertical="center" wrapText="1"/>
    </xf>
    <xf numFmtId="37" fontId="4" fillId="0" borderId="11" xfId="0" applyNumberFormat="1" applyFont="1" applyFill="1" applyBorder="1" applyAlignment="1" applyProtection="1">
      <alignment horizontal="centerContinuous" vertical="center" wrapText="1"/>
    </xf>
    <xf numFmtId="37" fontId="9" fillId="0" borderId="10" xfId="0" applyNumberFormat="1" applyFont="1" applyFill="1" applyBorder="1" applyAlignment="1"/>
    <xf numFmtId="37" fontId="9" fillId="0" borderId="24" xfId="0" applyNumberFormat="1" applyFont="1" applyFill="1" applyBorder="1" applyAlignment="1"/>
    <xf numFmtId="37" fontId="43" fillId="0" borderId="10" xfId="0" applyNumberFormat="1" applyFont="1" applyFill="1" applyBorder="1" applyAlignment="1" applyProtection="1">
      <alignment horizontal="centerContinuous" vertical="center" wrapText="1"/>
    </xf>
    <xf numFmtId="37" fontId="9" fillId="0" borderId="0" xfId="0" quotePrefix="1" applyNumberFormat="1" applyFont="1" applyFill="1" applyAlignment="1"/>
    <xf numFmtId="37" fontId="9" fillId="0" borderId="2" xfId="0" quotePrefix="1" applyNumberFormat="1" applyFont="1" applyFill="1" applyBorder="1" applyAlignment="1"/>
    <xf numFmtId="37" fontId="7" fillId="0" borderId="9" xfId="0" applyNumberFormat="1" applyFont="1" applyFill="1" applyBorder="1" applyAlignment="1">
      <alignment vertical="center"/>
    </xf>
    <xf numFmtId="3" fontId="42" fillId="0" borderId="17" xfId="0" applyNumberFormat="1" applyFont="1" applyFill="1" applyBorder="1" applyAlignment="1">
      <alignment vertical="center"/>
    </xf>
    <xf numFmtId="3" fontId="42" fillId="0" borderId="6" xfId="0" applyNumberFormat="1" applyFont="1" applyFill="1" applyBorder="1" applyAlignment="1">
      <alignment vertical="center"/>
    </xf>
    <xf numFmtId="37" fontId="42" fillId="0" borderId="24" xfId="0" applyNumberFormat="1" applyFont="1" applyFill="1" applyBorder="1" applyAlignment="1"/>
    <xf numFmtId="37" fontId="42" fillId="0" borderId="23" xfId="0" applyNumberFormat="1" applyFont="1" applyFill="1" applyBorder="1" applyAlignment="1"/>
    <xf numFmtId="37" fontId="42" fillId="0" borderId="10" xfId="0" applyNumberFormat="1" applyFont="1" applyFill="1" applyBorder="1" applyAlignment="1"/>
    <xf numFmtId="37" fontId="43" fillId="0" borderId="10" xfId="0" applyNumberFormat="1" applyFont="1" applyFill="1" applyBorder="1" applyAlignment="1" applyProtection="1">
      <alignment horizontal="centerContinuous" wrapText="1"/>
    </xf>
    <xf numFmtId="3" fontId="42" fillId="0" borderId="0" xfId="0" applyNumberFormat="1" applyFont="1" applyFill="1" applyBorder="1" applyAlignment="1">
      <alignment horizontal="right" vertical="center"/>
    </xf>
    <xf numFmtId="3" fontId="9" fillId="0" borderId="24" xfId="0" applyNumberFormat="1" applyFont="1" applyFill="1" applyBorder="1" applyAlignment="1">
      <alignment horizontal="right" vertical="center"/>
    </xf>
    <xf numFmtId="3" fontId="42" fillId="0" borderId="40" xfId="0" applyNumberFormat="1" applyFont="1" applyFill="1" applyBorder="1" applyAlignment="1">
      <alignment horizontal="right" vertical="center"/>
    </xf>
    <xf numFmtId="3" fontId="42" fillId="0" borderId="20" xfId="0" applyNumberFormat="1" applyFont="1" applyFill="1" applyBorder="1" applyAlignment="1">
      <alignment horizontal="right" vertical="center"/>
    </xf>
    <xf numFmtId="3" fontId="42" fillId="0" borderId="2" xfId="0" applyNumberFormat="1" applyFont="1" applyFill="1" applyBorder="1" applyAlignment="1">
      <alignment horizontal="right" vertical="center"/>
    </xf>
    <xf numFmtId="3" fontId="42" fillId="0" borderId="14" xfId="0" applyNumberFormat="1" applyFont="1" applyFill="1" applyBorder="1" applyAlignment="1">
      <alignment horizontal="right" vertical="center"/>
    </xf>
    <xf numFmtId="3" fontId="42" fillId="0" borderId="22" xfId="0" applyNumberFormat="1" applyFont="1" applyFill="1" applyBorder="1" applyAlignment="1">
      <alignment horizontal="right" vertical="center"/>
    </xf>
    <xf numFmtId="37" fontId="4" fillId="0" borderId="6" xfId="0" applyNumberFormat="1" applyFont="1" applyFill="1" applyBorder="1" applyAlignment="1" applyProtection="1">
      <alignment horizontal="centerContinuous" vertical="center" wrapText="1"/>
    </xf>
    <xf numFmtId="37" fontId="43" fillId="0" borderId="9" xfId="0" applyNumberFormat="1" applyFont="1" applyFill="1" applyBorder="1" applyAlignment="1" applyProtection="1">
      <alignment horizontal="centerContinuous" wrapText="1"/>
    </xf>
    <xf numFmtId="9" fontId="42" fillId="0" borderId="20" xfId="10" applyFont="1" applyFill="1" applyBorder="1" applyAlignment="1">
      <alignment horizontal="right" vertical="center"/>
    </xf>
    <xf numFmtId="9" fontId="42" fillId="0" borderId="0" xfId="10" applyFont="1" applyFill="1" applyBorder="1" applyAlignment="1">
      <alignment horizontal="right" vertical="center"/>
    </xf>
    <xf numFmtId="9" fontId="42" fillId="0" borderId="14" xfId="10" applyFont="1" applyFill="1" applyBorder="1" applyAlignment="1">
      <alignment horizontal="right" vertical="center"/>
    </xf>
    <xf numFmtId="9" fontId="42" fillId="0" borderId="2" xfId="10" applyFont="1" applyFill="1" applyBorder="1" applyAlignment="1">
      <alignment horizontal="right" vertical="center"/>
    </xf>
    <xf numFmtId="9" fontId="42" fillId="0" borderId="22" xfId="10" applyFont="1" applyFill="1" applyBorder="1" applyAlignment="1">
      <alignment horizontal="right" vertical="center"/>
    </xf>
    <xf numFmtId="37" fontId="9" fillId="0" borderId="9" xfId="0" applyNumberFormat="1" applyFont="1" applyFill="1" applyBorder="1" applyAlignment="1" applyProtection="1">
      <alignment horizontal="center" wrapText="1"/>
    </xf>
    <xf numFmtId="9" fontId="42" fillId="0" borderId="24" xfId="10" applyFont="1" applyFill="1" applyBorder="1" applyAlignment="1">
      <alignment horizontal="right" vertical="center"/>
    </xf>
    <xf numFmtId="9" fontId="42" fillId="0" borderId="40" xfId="10" applyFont="1" applyFill="1" applyBorder="1" applyAlignment="1">
      <alignment horizontal="right" vertical="center"/>
    </xf>
    <xf numFmtId="9" fontId="42" fillId="0" borderId="23" xfId="10" applyFont="1" applyFill="1" applyBorder="1" applyAlignment="1">
      <alignment horizontal="right" vertical="center"/>
    </xf>
    <xf numFmtId="9" fontId="42" fillId="0" borderId="10" xfId="10" applyFont="1" applyFill="1" applyBorder="1" applyAlignment="1">
      <alignment horizontal="right" vertical="center"/>
    </xf>
    <xf numFmtId="3" fontId="9" fillId="0" borderId="2" xfId="0" applyNumberFormat="1" applyFont="1" applyFill="1" applyBorder="1" applyAlignment="1">
      <alignment horizontal="right"/>
    </xf>
    <xf numFmtId="9" fontId="42" fillId="0" borderId="24" xfId="10" applyFont="1" applyFill="1" applyBorder="1" applyAlignment="1">
      <alignment horizontal="center" vertical="center"/>
    </xf>
    <xf numFmtId="9" fontId="42" fillId="0" borderId="23" xfId="10" applyFont="1" applyFill="1" applyBorder="1" applyAlignment="1">
      <alignment horizontal="center" vertical="center"/>
    </xf>
    <xf numFmtId="9" fontId="42" fillId="0" borderId="10" xfId="10" applyFont="1" applyFill="1" applyBorder="1" applyAlignment="1">
      <alignment horizontal="center" vertical="center"/>
    </xf>
    <xf numFmtId="169" fontId="42" fillId="0" borderId="0" xfId="10" applyNumberFormat="1" applyFont="1" applyFill="1" applyBorder="1" applyAlignment="1">
      <alignment horizontal="right" vertical="center"/>
    </xf>
    <xf numFmtId="37" fontId="7" fillId="0" borderId="2" xfId="0" applyNumberFormat="1" applyFont="1" applyFill="1" applyBorder="1" applyAlignment="1">
      <alignment horizontal="left" vertical="center"/>
    </xf>
    <xf numFmtId="3" fontId="44" fillId="4" borderId="0" xfId="0" applyNumberFormat="1" applyFont="1" applyFill="1" applyBorder="1" applyAlignment="1">
      <alignment horizontal="right"/>
    </xf>
    <xf numFmtId="37" fontId="44" fillId="4" borderId="0" xfId="0" applyNumberFormat="1" applyFont="1" applyFill="1" applyAlignment="1">
      <alignment horizontal="right"/>
    </xf>
    <xf numFmtId="3" fontId="44" fillId="4" borderId="0" xfId="0" applyNumberFormat="1" applyFont="1" applyFill="1" applyBorder="1" applyAlignment="1">
      <alignment horizontal="right" wrapText="1"/>
    </xf>
    <xf numFmtId="37" fontId="44" fillId="4" borderId="0" xfId="0" applyNumberFormat="1" applyFont="1" applyFill="1" applyAlignment="1">
      <alignment horizontal="right" vertical="center"/>
    </xf>
    <xf numFmtId="3" fontId="45" fillId="4" borderId="0" xfId="0" applyNumberFormat="1" applyFont="1" applyFill="1" applyBorder="1" applyAlignment="1">
      <alignment horizontal="right"/>
    </xf>
    <xf numFmtId="37" fontId="46" fillId="4" borderId="0" xfId="0" applyNumberFormat="1" applyFont="1" applyFill="1" applyAlignment="1">
      <alignment horizontal="right" vertical="center"/>
    </xf>
    <xf numFmtId="37" fontId="47" fillId="0" borderId="0" xfId="0" applyNumberFormat="1" applyFont="1" applyFill="1" applyAlignment="1">
      <alignment vertical="center"/>
    </xf>
    <xf numFmtId="49" fontId="48" fillId="0" borderId="0" xfId="0" applyNumberFormat="1" applyFont="1" applyFill="1" applyAlignment="1">
      <alignment horizontal="right" vertical="center"/>
    </xf>
    <xf numFmtId="3" fontId="44" fillId="0" borderId="0" xfId="0" applyNumberFormat="1" applyFont="1" applyFill="1" applyBorder="1" applyAlignment="1">
      <alignment horizontal="right"/>
    </xf>
    <xf numFmtId="37" fontId="44" fillId="0" borderId="0" xfId="0" applyNumberFormat="1" applyFont="1" applyFill="1" applyAlignment="1">
      <alignment horizontal="right" vertical="center"/>
    </xf>
    <xf numFmtId="3" fontId="46" fillId="4" borderId="0" xfId="0" applyNumberFormat="1" applyFont="1" applyFill="1" applyBorder="1" applyAlignment="1">
      <alignment horizontal="right"/>
    </xf>
    <xf numFmtId="3" fontId="45" fillId="4" borderId="0" xfId="0" applyNumberFormat="1" applyFont="1" applyFill="1" applyBorder="1" applyAlignment="1">
      <alignment horizontal="right" wrapText="1"/>
    </xf>
    <xf numFmtId="37" fontId="5" fillId="0" borderId="0" xfId="0" applyNumberFormat="1" applyFont="1" applyFill="1" applyAlignment="1">
      <alignment horizontal="centerContinuous" vertical="center"/>
    </xf>
    <xf numFmtId="37" fontId="4" fillId="0" borderId="0" xfId="0" applyNumberFormat="1" applyFont="1" applyFill="1" applyBorder="1" applyAlignment="1" applyProtection="1">
      <alignment horizontal="centerContinuous" vertical="center"/>
    </xf>
    <xf numFmtId="37" fontId="5" fillId="0" borderId="8" xfId="0" applyNumberFormat="1" applyFont="1" applyFill="1" applyBorder="1" applyAlignment="1">
      <alignment horizontal="center" wrapText="1"/>
    </xf>
    <xf numFmtId="37" fontId="5" fillId="0" borderId="20" xfId="0" applyNumberFormat="1" applyFont="1" applyFill="1" applyBorder="1" applyAlignment="1">
      <alignment horizontal="left" vertical="center"/>
    </xf>
    <xf numFmtId="37" fontId="5" fillId="0" borderId="0" xfId="0" applyNumberFormat="1" applyFont="1" applyFill="1" applyAlignment="1">
      <alignment horizontal="left"/>
    </xf>
    <xf numFmtId="9" fontId="20" fillId="0" borderId="0" xfId="10" quotePrefix="1" applyFont="1" applyFill="1" applyBorder="1" applyAlignment="1" applyProtection="1">
      <alignment horizontal="centerContinuous" vertical="center"/>
    </xf>
    <xf numFmtId="37" fontId="9" fillId="0" borderId="9" xfId="0" applyNumberFormat="1" applyFont="1" applyFill="1" applyBorder="1" applyAlignment="1"/>
    <xf numFmtId="9" fontId="20" fillId="0" borderId="0" xfId="10" quotePrefix="1" applyNumberFormat="1" applyFont="1" applyFill="1" applyBorder="1" applyAlignment="1">
      <alignment horizontal="centerContinuous" vertical="center"/>
    </xf>
    <xf numFmtId="169" fontId="9" fillId="0" borderId="27" xfId="10" applyNumberFormat="1" applyFont="1" applyFill="1" applyBorder="1" applyAlignment="1">
      <alignment horizontal="center" vertical="center"/>
    </xf>
    <xf numFmtId="169" fontId="9" fillId="0" borderId="42" xfId="10" applyNumberFormat="1" applyFont="1" applyFill="1" applyBorder="1" applyAlignment="1">
      <alignment horizontal="center" vertical="center"/>
    </xf>
    <xf numFmtId="169" fontId="9" fillId="0" borderId="10" xfId="10" applyNumberFormat="1" applyFont="1" applyFill="1" applyBorder="1" applyAlignment="1">
      <alignment horizontal="center" vertical="center"/>
    </xf>
    <xf numFmtId="169" fontId="9" fillId="0" borderId="23" xfId="10" applyNumberFormat="1" applyFont="1" applyFill="1" applyBorder="1" applyAlignment="1">
      <alignment horizontal="center" vertical="center"/>
    </xf>
    <xf numFmtId="169" fontId="9" fillId="0" borderId="0" xfId="10" applyNumberFormat="1" applyFont="1" applyFill="1" applyBorder="1" applyAlignment="1">
      <alignment horizontal="center" vertical="center"/>
    </xf>
    <xf numFmtId="9" fontId="50" fillId="0" borderId="0" xfId="10" quotePrefix="1" applyNumberFormat="1" applyFont="1" applyFill="1" applyBorder="1" applyAlignment="1">
      <alignment horizontal="center" vertical="center"/>
    </xf>
    <xf numFmtId="37" fontId="19" fillId="0" borderId="0" xfId="0" applyNumberFormat="1" applyFont="1" applyFill="1" applyAlignment="1">
      <alignment horizontal="right" vertical="center"/>
    </xf>
    <xf numFmtId="37" fontId="19" fillId="0" borderId="0" xfId="0" applyNumberFormat="1" applyFont="1" applyFill="1" applyAlignment="1">
      <alignment vertical="center"/>
    </xf>
    <xf numFmtId="9" fontId="18" fillId="0" borderId="0" xfId="10" applyNumberFormat="1" applyFont="1" applyFill="1" applyAlignment="1">
      <alignment vertical="center"/>
    </xf>
    <xf numFmtId="169" fontId="14" fillId="0" borderId="22" xfId="10" quotePrefix="1" applyNumberFormat="1" applyFont="1" applyFill="1" applyBorder="1" applyAlignment="1">
      <alignment horizontal="center" vertical="center"/>
    </xf>
    <xf numFmtId="169" fontId="50" fillId="0" borderId="14" xfId="10" quotePrefix="1" applyNumberFormat="1" applyFont="1" applyFill="1" applyBorder="1" applyAlignment="1">
      <alignment horizontal="center" vertical="center"/>
    </xf>
    <xf numFmtId="9" fontId="50" fillId="0" borderId="10" xfId="10" quotePrefix="1" applyNumberFormat="1" applyFont="1" applyFill="1" applyBorder="1" applyAlignment="1">
      <alignment horizontal="center" vertical="center"/>
    </xf>
    <xf numFmtId="169" fontId="18" fillId="0" borderId="11" xfId="10" quotePrefix="1" applyNumberFormat="1" applyFont="1" applyFill="1" applyBorder="1" applyAlignment="1">
      <alignment horizontal="center" vertical="center"/>
    </xf>
    <xf numFmtId="169" fontId="18" fillId="0" borderId="17" xfId="10" quotePrefix="1" applyNumberFormat="1" applyFont="1" applyFill="1" applyBorder="1" applyAlignment="1">
      <alignment horizontal="center" vertical="center"/>
    </xf>
    <xf numFmtId="169" fontId="50" fillId="0" borderId="6" xfId="10" quotePrefix="1" applyNumberFormat="1" applyFont="1" applyFill="1" applyBorder="1" applyAlignment="1">
      <alignment horizontal="center" vertical="center"/>
    </xf>
    <xf numFmtId="169" fontId="18" fillId="0" borderId="6" xfId="10" quotePrefix="1" applyNumberFormat="1" applyFont="1" applyFill="1" applyBorder="1" applyAlignment="1">
      <alignment horizontal="center" vertical="center"/>
    </xf>
    <xf numFmtId="169" fontId="14" fillId="0" borderId="6" xfId="10" quotePrefix="1" applyNumberFormat="1" applyFont="1" applyFill="1" applyBorder="1" applyAlignment="1">
      <alignment horizontal="center" vertical="center"/>
    </xf>
    <xf numFmtId="169" fontId="9" fillId="0" borderId="43" xfId="10" applyNumberFormat="1" applyFont="1" applyFill="1" applyBorder="1" applyAlignment="1">
      <alignment horizontal="center" vertical="center"/>
    </xf>
    <xf numFmtId="9" fontId="16" fillId="0" borderId="20" xfId="10" applyNumberFormat="1" applyFont="1" applyFill="1" applyBorder="1" applyAlignment="1">
      <alignment horizontal="center" vertical="center"/>
    </xf>
    <xf numFmtId="37" fontId="5" fillId="0" borderId="0" xfId="0" applyNumberFormat="1" applyFont="1" applyBorder="1" applyAlignment="1">
      <alignment vertical="center"/>
    </xf>
    <xf numFmtId="37" fontId="5" fillId="0" borderId="0" xfId="0" applyNumberFormat="1" applyFont="1" applyFill="1" applyBorder="1" applyAlignment="1"/>
    <xf numFmtId="37" fontId="10" fillId="10" borderId="0" xfId="6" applyFont="1" applyFill="1" applyBorder="1" applyAlignment="1"/>
    <xf numFmtId="37" fontId="10" fillId="10" borderId="0" xfId="6" applyFont="1" applyFill="1" applyBorder="1" applyAlignment="1">
      <alignment horizontal="left"/>
    </xf>
    <xf numFmtId="37" fontId="10" fillId="10" borderId="0" xfId="6" applyNumberFormat="1" applyFont="1" applyFill="1" applyBorder="1" applyAlignment="1" applyProtection="1">
      <alignment horizontal="center"/>
    </xf>
    <xf numFmtId="169" fontId="42" fillId="0" borderId="2" xfId="10" applyNumberFormat="1" applyFont="1" applyFill="1" applyBorder="1" applyAlignment="1">
      <alignment horizontal="right" vertical="center"/>
    </xf>
    <xf numFmtId="1" fontId="24" fillId="0" borderId="2" xfId="2" applyNumberFormat="1" applyFont="1" applyFill="1" applyBorder="1" applyAlignment="1">
      <alignment horizontal="left"/>
    </xf>
    <xf numFmtId="1" fontId="23" fillId="0" borderId="2" xfId="2" applyNumberFormat="1" applyFont="1" applyFill="1" applyBorder="1" applyAlignment="1">
      <alignment horizontal="left"/>
    </xf>
    <xf numFmtId="37" fontId="30" fillId="0" borderId="8" xfId="6" applyNumberFormat="1" applyFont="1" applyFill="1" applyBorder="1" applyAlignment="1" applyProtection="1">
      <alignment horizontal="center" wrapText="1"/>
    </xf>
    <xf numFmtId="37" fontId="30" fillId="0" borderId="0" xfId="2" applyNumberFormat="1" applyFont="1" applyFill="1" applyBorder="1"/>
    <xf numFmtId="167" fontId="30" fillId="0" borderId="0" xfId="2" applyNumberFormat="1" applyFont="1" applyFill="1" applyBorder="1"/>
    <xf numFmtId="37" fontId="2" fillId="0" borderId="0" xfId="6" applyFont="1" applyFill="1" applyBorder="1" applyAlignment="1"/>
    <xf numFmtId="49" fontId="2" fillId="0" borderId="0" xfId="6" applyNumberFormat="1" applyFont="1" applyFill="1" applyAlignment="1">
      <alignment horizontal="left"/>
    </xf>
    <xf numFmtId="37" fontId="2" fillId="0" borderId="0" xfId="6" applyNumberFormat="1" applyFont="1" applyFill="1" applyAlignment="1">
      <alignment horizontal="center"/>
    </xf>
    <xf numFmtId="37" fontId="2" fillId="0" borderId="0" xfId="6" applyFont="1" applyFill="1" applyBorder="1" applyAlignment="1">
      <alignment horizontal="left"/>
    </xf>
    <xf numFmtId="167" fontId="2" fillId="0" borderId="0" xfId="6" applyNumberFormat="1" applyFont="1" applyFill="1" applyAlignment="1">
      <alignment horizontal="left"/>
    </xf>
    <xf numFmtId="37" fontId="2" fillId="0" borderId="0" xfId="6" applyNumberFormat="1" applyFont="1" applyFill="1" applyAlignment="1">
      <alignment horizontal="left"/>
    </xf>
    <xf numFmtId="37" fontId="2" fillId="0" borderId="0" xfId="6" applyNumberFormat="1" applyFont="1" applyFill="1" applyBorder="1" applyAlignment="1">
      <alignment horizontal="left"/>
    </xf>
    <xf numFmtId="37" fontId="2" fillId="0" borderId="0" xfId="6" applyFont="1" applyFill="1" applyBorder="1"/>
    <xf numFmtId="37" fontId="2" fillId="0" borderId="2" xfId="6" applyFont="1" applyFill="1" applyBorder="1" applyAlignment="1" applyProtection="1">
      <alignment horizontal="left"/>
    </xf>
    <xf numFmtId="37" fontId="2" fillId="0" borderId="2" xfId="6" applyFont="1" applyFill="1" applyBorder="1" applyAlignment="1"/>
    <xf numFmtId="167" fontId="2" fillId="0" borderId="2" xfId="6" applyNumberFormat="1" applyFont="1" applyFill="1" applyBorder="1" applyAlignment="1"/>
    <xf numFmtId="37" fontId="2" fillId="0" borderId="2" xfId="6" applyNumberFormat="1" applyFont="1" applyFill="1" applyBorder="1" applyAlignment="1"/>
    <xf numFmtId="167" fontId="2" fillId="0" borderId="0" xfId="6" applyNumberFormat="1" applyFont="1" applyFill="1" applyBorder="1"/>
    <xf numFmtId="37" fontId="2" fillId="10" borderId="0" xfId="6" applyFont="1" applyFill="1" applyBorder="1" applyAlignment="1" applyProtection="1"/>
    <xf numFmtId="37" fontId="2" fillId="0" borderId="9" xfId="6" applyFont="1" applyFill="1" applyBorder="1" applyAlignment="1">
      <alignment horizontal="center" wrapText="1"/>
    </xf>
    <xf numFmtId="37" fontId="2" fillId="10" borderId="0" xfId="6" applyFont="1" applyFill="1" applyBorder="1" applyAlignment="1">
      <alignment horizontal="left"/>
    </xf>
    <xf numFmtId="37" fontId="2" fillId="10" borderId="0" xfId="6" applyNumberFormat="1" applyFont="1" applyFill="1" applyBorder="1" applyAlignment="1" applyProtection="1">
      <alignment horizontal="center" wrapText="1"/>
    </xf>
    <xf numFmtId="37" fontId="2" fillId="0" borderId="0" xfId="6" applyFont="1" applyFill="1" applyBorder="1" applyAlignment="1">
      <alignment horizontal="center" wrapText="1"/>
    </xf>
    <xf numFmtId="37" fontId="2" fillId="0" borderId="0" xfId="2" applyFont="1" applyFill="1" applyBorder="1"/>
    <xf numFmtId="37" fontId="2" fillId="0" borderId="0" xfId="2" applyFont="1" applyFill="1" applyBorder="1" applyAlignment="1">
      <alignment horizontal="left"/>
    </xf>
    <xf numFmtId="37" fontId="2" fillId="0" borderId="0" xfId="2" applyFont="1" applyFill="1" applyBorder="1" applyAlignment="1"/>
    <xf numFmtId="49" fontId="2" fillId="0" borderId="0" xfId="2" applyNumberFormat="1" applyFont="1" applyFill="1" applyBorder="1"/>
    <xf numFmtId="37" fontId="2" fillId="0" borderId="0" xfId="2" applyNumberFormat="1" applyFont="1" applyFill="1" applyBorder="1" applyAlignment="1">
      <alignment horizontal="center"/>
    </xf>
    <xf numFmtId="167" fontId="2" fillId="0" borderId="0" xfId="2" applyNumberFormat="1" applyFont="1" applyFill="1" applyBorder="1"/>
    <xf numFmtId="37" fontId="2" fillId="0" borderId="0" xfId="2" applyNumberFormat="1" applyFont="1" applyFill="1" applyBorder="1"/>
    <xf numFmtId="169" fontId="9" fillId="0" borderId="52" xfId="10" applyNumberFormat="1" applyFont="1" applyFill="1" applyBorder="1" applyAlignment="1">
      <alignment horizontal="center" vertical="center"/>
    </xf>
    <xf numFmtId="169" fontId="9" fillId="0" borderId="53" xfId="10" applyNumberFormat="1" applyFont="1" applyFill="1" applyBorder="1" applyAlignment="1">
      <alignment horizontal="center" vertical="center"/>
    </xf>
    <xf numFmtId="37" fontId="11" fillId="0" borderId="4" xfId="0" applyNumberFormat="1" applyFont="1" applyFill="1" applyBorder="1" applyAlignment="1">
      <alignment horizontal="left" vertical="center" wrapText="1"/>
    </xf>
    <xf numFmtId="37" fontId="2" fillId="0" borderId="0" xfId="0" applyNumberFormat="1" applyFont="1" applyFill="1" applyBorder="1" applyAlignment="1">
      <alignment horizontal="center" vertical="center" wrapText="1"/>
    </xf>
    <xf numFmtId="169" fontId="11" fillId="0" borderId="15" xfId="10" applyNumberFormat="1" applyFont="1" applyFill="1" applyBorder="1" applyAlignment="1">
      <alignment horizontal="center" vertical="center"/>
    </xf>
    <xf numFmtId="169" fontId="11" fillId="0" borderId="45" xfId="10" applyNumberFormat="1" applyFont="1" applyFill="1" applyBorder="1" applyAlignment="1">
      <alignment horizontal="center" vertical="center"/>
    </xf>
    <xf numFmtId="169" fontId="11" fillId="0" borderId="48" xfId="10" applyNumberFormat="1" applyFont="1" applyFill="1" applyBorder="1" applyAlignment="1">
      <alignment horizontal="center" vertical="center"/>
    </xf>
    <xf numFmtId="169" fontId="54" fillId="0" borderId="45" xfId="10" applyNumberFormat="1" applyFont="1" applyFill="1" applyBorder="1" applyAlignment="1">
      <alignment horizontal="center" vertical="center"/>
    </xf>
    <xf numFmtId="169" fontId="54" fillId="0" borderId="48" xfId="10" applyNumberFormat="1" applyFont="1" applyFill="1" applyBorder="1" applyAlignment="1">
      <alignment horizontal="center" vertical="center"/>
    </xf>
    <xf numFmtId="37" fontId="27" fillId="0" borderId="51" xfId="0" applyNumberFormat="1" applyFont="1" applyFill="1" applyBorder="1" applyAlignment="1" applyProtection="1">
      <alignment horizontal="right" vertical="center"/>
    </xf>
    <xf numFmtId="37" fontId="5" fillId="0" borderId="54" xfId="0" applyNumberFormat="1" applyFont="1" applyFill="1" applyBorder="1" applyAlignment="1">
      <alignment horizontal="left" vertical="center" wrapText="1"/>
    </xf>
    <xf numFmtId="37" fontId="19" fillId="0" borderId="55" xfId="0" applyNumberFormat="1" applyFont="1" applyFill="1" applyBorder="1" applyAlignment="1">
      <alignment horizontal="left" vertical="center" wrapText="1"/>
    </xf>
    <xf numFmtId="37" fontId="5" fillId="0" borderId="55" xfId="0" applyNumberFormat="1" applyFont="1" applyFill="1" applyBorder="1" applyAlignment="1">
      <alignment horizontal="left" vertical="center" wrapText="1"/>
    </xf>
    <xf numFmtId="37" fontId="5" fillId="0" borderId="56" xfId="0" applyNumberFormat="1" applyFont="1" applyFill="1" applyBorder="1" applyAlignment="1">
      <alignment horizontal="left" vertical="center" wrapText="1"/>
    </xf>
    <xf numFmtId="37" fontId="19" fillId="0" borderId="57" xfId="0" applyNumberFormat="1" applyFont="1" applyFill="1" applyBorder="1" applyAlignment="1">
      <alignment horizontal="left" vertical="center" wrapText="1"/>
    </xf>
    <xf numFmtId="37" fontId="5" fillId="0" borderId="58" xfId="0" applyNumberFormat="1" applyFont="1" applyFill="1" applyBorder="1" applyAlignment="1">
      <alignment horizontal="left" vertical="center" wrapText="1"/>
    </xf>
    <xf numFmtId="37" fontId="19" fillId="0" borderId="58" xfId="0" applyNumberFormat="1" applyFont="1" applyFill="1" applyBorder="1" applyAlignment="1">
      <alignment horizontal="left" vertical="center" wrapText="1"/>
    </xf>
    <xf numFmtId="37" fontId="5" fillId="0" borderId="59" xfId="0" applyNumberFormat="1" applyFont="1" applyFill="1" applyBorder="1" applyAlignment="1">
      <alignment horizontal="left" vertical="center" wrapText="1"/>
    </xf>
    <xf numFmtId="37" fontId="11" fillId="0" borderId="4" xfId="0" applyNumberFormat="1" applyFont="1" applyFill="1" applyBorder="1" applyAlignment="1">
      <alignment horizontal="right" vertical="center" wrapText="1"/>
    </xf>
    <xf numFmtId="37" fontId="2" fillId="0" borderId="0" xfId="0" applyNumberFormat="1" applyFont="1" applyFill="1" applyAlignment="1"/>
    <xf numFmtId="37" fontId="2" fillId="0" borderId="0" xfId="0" applyNumberFormat="1" applyFont="1" applyFill="1" applyBorder="1" applyAlignment="1"/>
    <xf numFmtId="37" fontId="11" fillId="0" borderId="62" xfId="0" applyNumberFormat="1" applyFont="1" applyFill="1" applyBorder="1" applyAlignment="1"/>
    <xf numFmtId="37" fontId="11" fillId="0" borderId="64" xfId="0" applyNumberFormat="1" applyFont="1" applyFill="1" applyBorder="1" applyAlignment="1"/>
    <xf numFmtId="37" fontId="11" fillId="0" borderId="60" xfId="0" applyNumberFormat="1" applyFont="1" applyFill="1" applyBorder="1" applyAlignment="1"/>
    <xf numFmtId="37" fontId="11" fillId="0" borderId="61" xfId="0" applyNumberFormat="1" applyFont="1" applyFill="1" applyBorder="1" applyAlignment="1"/>
    <xf numFmtId="37" fontId="11" fillId="0" borderId="65" xfId="0" applyNumberFormat="1" applyFont="1" applyFill="1" applyBorder="1" applyAlignment="1"/>
    <xf numFmtId="37" fontId="3" fillId="0" borderId="0" xfId="0" applyNumberFormat="1" applyFont="1" applyFill="1" applyAlignment="1"/>
    <xf numFmtId="37" fontId="56" fillId="0" borderId="0" xfId="13" quotePrefix="1" applyNumberFormat="1" applyFont="1" applyFill="1" applyBorder="1" applyAlignment="1" applyProtection="1">
      <alignment horizontal="left"/>
    </xf>
    <xf numFmtId="37" fontId="57" fillId="0" borderId="0" xfId="0" applyNumberFormat="1" applyFont="1" applyFill="1" applyBorder="1" applyAlignment="1">
      <alignment horizontal="centerContinuous" vertical="center"/>
    </xf>
    <xf numFmtId="37" fontId="2" fillId="0" borderId="7" xfId="0" applyNumberFormat="1" applyFont="1" applyFill="1" applyBorder="1" applyAlignment="1"/>
    <xf numFmtId="37" fontId="2" fillId="0" borderId="28" xfId="0" applyNumberFormat="1" applyFont="1" applyFill="1" applyBorder="1" applyAlignment="1"/>
    <xf numFmtId="37" fontId="2" fillId="0" borderId="12" xfId="0" applyNumberFormat="1" applyFont="1" applyFill="1" applyBorder="1" applyAlignment="1"/>
    <xf numFmtId="37" fontId="2" fillId="0" borderId="13" xfId="0" applyNumberFormat="1" applyFont="1" applyFill="1" applyBorder="1" applyAlignment="1"/>
    <xf numFmtId="3" fontId="2" fillId="0" borderId="39" xfId="0" applyNumberFormat="1" applyFont="1" applyFill="1" applyBorder="1" applyAlignment="1"/>
    <xf numFmtId="3" fontId="2" fillId="0" borderId="66" xfId="0" applyNumberFormat="1" applyFont="1" applyFill="1" applyBorder="1" applyAlignment="1"/>
    <xf numFmtId="37" fontId="2" fillId="0" borderId="30" xfId="0" applyNumberFormat="1" applyFont="1" applyFill="1" applyBorder="1" applyAlignment="1"/>
    <xf numFmtId="37" fontId="4" fillId="0" borderId="4" xfId="0" applyNumberFormat="1" applyFont="1" applyFill="1" applyBorder="1" applyAlignment="1">
      <alignment horizontal="left" vertical="top" wrapText="1"/>
    </xf>
    <xf numFmtId="37" fontId="4" fillId="0" borderId="6" xfId="0" applyNumberFormat="1" applyFont="1" applyFill="1" applyBorder="1" applyAlignment="1">
      <alignment horizontal="left" vertical="top" wrapText="1"/>
    </xf>
    <xf numFmtId="37" fontId="4" fillId="0" borderId="15" xfId="0" applyNumberFormat="1" applyFont="1" applyFill="1" applyBorder="1" applyAlignment="1">
      <alignment horizontal="left" vertical="top" wrapText="1"/>
    </xf>
    <xf numFmtId="37" fontId="4" fillId="0" borderId="3" xfId="0" applyNumberFormat="1" applyFont="1" applyFill="1" applyBorder="1" applyAlignment="1">
      <alignment horizontal="left" vertical="top" wrapText="1"/>
    </xf>
    <xf numFmtId="37" fontId="4" fillId="0" borderId="5" xfId="0" applyNumberFormat="1" applyFont="1" applyFill="1" applyBorder="1" applyAlignment="1">
      <alignment horizontal="left" vertical="top" wrapText="1"/>
    </xf>
    <xf numFmtId="9" fontId="18" fillId="0" borderId="0" xfId="10" applyNumberFormat="1" applyFont="1" applyFill="1" applyBorder="1" applyAlignment="1">
      <alignment vertical="center"/>
    </xf>
    <xf numFmtId="9" fontId="2" fillId="0" borderId="0" xfId="10" applyFont="1" applyFill="1" applyBorder="1"/>
    <xf numFmtId="37" fontId="2" fillId="0" borderId="21" xfId="0" applyNumberFormat="1" applyFont="1" applyFill="1" applyBorder="1" applyAlignment="1">
      <alignment horizontal="right"/>
    </xf>
    <xf numFmtId="37" fontId="2" fillId="0" borderId="0" xfId="0" applyNumberFormat="1" applyFont="1" applyFill="1" applyAlignment="1">
      <alignment horizontal="right" vertical="top"/>
    </xf>
    <xf numFmtId="37" fontId="2" fillId="0" borderId="14" xfId="0" applyNumberFormat="1" applyFont="1" applyFill="1" applyBorder="1" applyAlignment="1">
      <alignment horizontal="right" vertical="top"/>
    </xf>
    <xf numFmtId="9" fontId="2" fillId="0" borderId="22" xfId="10" applyFont="1" applyFill="1" applyBorder="1" applyAlignment="1">
      <alignment horizontal="right" vertical="top"/>
    </xf>
    <xf numFmtId="37" fontId="2" fillId="0" borderId="0" xfId="0" applyNumberFormat="1" applyFont="1" applyFill="1" applyAlignment="1">
      <alignment vertical="top"/>
    </xf>
    <xf numFmtId="37" fontId="5" fillId="0" borderId="6" xfId="0" applyNumberFormat="1" applyFont="1" applyFill="1" applyBorder="1" applyAlignment="1">
      <alignment horizontal="center" vertical="center" wrapText="1"/>
    </xf>
    <xf numFmtId="37" fontId="2" fillId="0" borderId="0" xfId="0" applyNumberFormat="1" applyFont="1" applyFill="1" applyBorder="1" applyAlignment="1">
      <alignment horizontal="right" vertical="center" wrapText="1"/>
    </xf>
    <xf numFmtId="37" fontId="4" fillId="0" borderId="4" xfId="0" applyNumberFormat="1" applyFont="1" applyFill="1" applyBorder="1" applyAlignment="1">
      <alignment horizontal="right" vertical="top" wrapText="1"/>
    </xf>
    <xf numFmtId="37" fontId="2" fillId="0" borderId="17" xfId="0" applyNumberFormat="1" applyFont="1" applyFill="1" applyBorder="1" applyAlignment="1"/>
    <xf numFmtId="37" fontId="2" fillId="0" borderId="29" xfId="0" applyNumberFormat="1" applyFont="1" applyFill="1" applyBorder="1" applyAlignment="1"/>
    <xf numFmtId="37" fontId="2" fillId="0" borderId="0" xfId="0" applyNumberFormat="1" applyFont="1" applyFill="1" applyBorder="1" applyAlignment="1">
      <alignment vertical="center"/>
    </xf>
    <xf numFmtId="37" fontId="2" fillId="0" borderId="2" xfId="0" applyNumberFormat="1" applyFont="1" applyFill="1" applyBorder="1" applyAlignment="1">
      <alignment vertical="center"/>
    </xf>
    <xf numFmtId="9" fontId="0" fillId="0" borderId="0" xfId="10" applyFont="1" applyFill="1" applyAlignment="1"/>
    <xf numFmtId="169" fontId="9" fillId="0" borderId="4" xfId="10" applyNumberFormat="1" applyFont="1" applyFill="1" applyBorder="1" applyAlignment="1">
      <alignment horizontal="center" vertical="center"/>
    </xf>
    <xf numFmtId="169" fontId="9" fillId="0" borderId="17" xfId="10" applyNumberFormat="1" applyFont="1" applyFill="1" applyBorder="1" applyAlignment="1">
      <alignment horizontal="center" vertical="center"/>
    </xf>
    <xf numFmtId="169" fontId="9" fillId="0" borderId="15" xfId="10" applyNumberFormat="1" applyFont="1" applyFill="1" applyBorder="1" applyAlignment="1">
      <alignment horizontal="center" vertical="center"/>
    </xf>
    <xf numFmtId="169" fontId="9" fillId="0" borderId="51" xfId="10" applyNumberFormat="1" applyFont="1" applyFill="1" applyBorder="1" applyAlignment="1">
      <alignment horizontal="center" vertical="center"/>
    </xf>
    <xf numFmtId="169" fontId="9" fillId="0" borderId="6" xfId="10" applyNumberFormat="1" applyFont="1" applyFill="1" applyBorder="1" applyAlignment="1">
      <alignment horizontal="center" vertical="center"/>
    </xf>
    <xf numFmtId="37" fontId="2" fillId="10" borderId="2" xfId="6" applyFont="1" applyFill="1" applyBorder="1" applyAlignment="1">
      <alignment horizontal="left"/>
    </xf>
    <xf numFmtId="37" fontId="2" fillId="10" borderId="2" xfId="6" applyFont="1" applyFill="1" applyBorder="1" applyAlignment="1"/>
    <xf numFmtId="37" fontId="2" fillId="10" borderId="2" xfId="6" applyNumberFormat="1" applyFont="1" applyFill="1" applyBorder="1" applyAlignment="1" applyProtection="1">
      <alignment horizontal="center" wrapText="1"/>
    </xf>
    <xf numFmtId="9" fontId="2" fillId="0" borderId="42" xfId="10" applyNumberFormat="1" applyFont="1" applyFill="1" applyBorder="1" applyAlignment="1">
      <alignment horizontal="center" vertical="center"/>
    </xf>
    <xf numFmtId="9" fontId="2" fillId="0" borderId="16" xfId="10" applyNumberFormat="1" applyFont="1" applyFill="1" applyBorder="1" applyAlignment="1">
      <alignment horizontal="center" vertical="center"/>
    </xf>
    <xf numFmtId="9" fontId="2" fillId="0" borderId="43" xfId="10" applyNumberFormat="1" applyFont="1" applyFill="1" applyBorder="1" applyAlignment="1">
      <alignment horizontal="center" vertical="center"/>
    </xf>
    <xf numFmtId="9" fontId="2" fillId="0" borderId="27" xfId="10" applyNumberFormat="1" applyFont="1" applyFill="1" applyBorder="1" applyAlignment="1">
      <alignment horizontal="center" vertical="center"/>
    </xf>
    <xf numFmtId="169" fontId="2" fillId="0" borderId="44" xfId="10" applyNumberFormat="1" applyFont="1" applyFill="1" applyBorder="1" applyAlignment="1">
      <alignment horizontal="center" vertical="center"/>
    </xf>
    <xf numFmtId="169" fontId="54" fillId="0" borderId="44" xfId="10" applyNumberFormat="1" applyFont="1" applyFill="1" applyBorder="1" applyAlignment="1">
      <alignment horizontal="center" vertical="center"/>
    </xf>
    <xf numFmtId="169" fontId="2" fillId="0" borderId="46" xfId="10" applyNumberFormat="1" applyFont="1" applyFill="1" applyBorder="1" applyAlignment="1">
      <alignment horizontal="center" vertical="center"/>
    </xf>
    <xf numFmtId="169" fontId="2" fillId="0" borderId="49" xfId="10" applyNumberFormat="1" applyFont="1" applyFill="1" applyBorder="1" applyAlignment="1">
      <alignment horizontal="center" vertical="center"/>
    </xf>
    <xf numFmtId="169" fontId="11" fillId="0" borderId="47" xfId="10" applyNumberFormat="1" applyFont="1" applyFill="1" applyBorder="1" applyAlignment="1">
      <alignment horizontal="center" vertical="center"/>
    </xf>
    <xf numFmtId="169" fontId="54" fillId="0" borderId="43" xfId="10" applyNumberFormat="1" applyFont="1" applyFill="1" applyBorder="1" applyAlignment="1">
      <alignment horizontal="center" vertical="center"/>
    </xf>
    <xf numFmtId="169" fontId="11" fillId="0" borderId="44" xfId="10" applyNumberFormat="1" applyFont="1" applyFill="1" applyBorder="1" applyAlignment="1">
      <alignment horizontal="center" vertical="center"/>
    </xf>
    <xf numFmtId="169" fontId="2" fillId="0" borderId="52" xfId="10" applyNumberFormat="1" applyFont="1" applyFill="1" applyBorder="1" applyAlignment="1">
      <alignment horizontal="center" vertical="center"/>
    </xf>
    <xf numFmtId="169" fontId="11" fillId="0" borderId="43" xfId="10" applyNumberFormat="1" applyFont="1" applyFill="1" applyBorder="1" applyAlignment="1">
      <alignment horizontal="center" vertical="center"/>
    </xf>
    <xf numFmtId="9" fontId="2" fillId="0" borderId="4" xfId="10" applyNumberFormat="1" applyFont="1" applyFill="1" applyBorder="1" applyAlignment="1">
      <alignment horizontal="center" vertical="center"/>
    </xf>
    <xf numFmtId="9" fontId="9" fillId="0" borderId="4" xfId="10" applyNumberFormat="1" applyFont="1" applyFill="1" applyBorder="1" applyAlignment="1">
      <alignment horizontal="center" vertical="center"/>
    </xf>
    <xf numFmtId="9" fontId="9" fillId="0" borderId="43" xfId="10" applyNumberFormat="1" applyFont="1" applyFill="1" applyBorder="1" applyAlignment="1">
      <alignment horizontal="center" vertical="center"/>
    </xf>
    <xf numFmtId="9" fontId="9" fillId="0" borderId="27" xfId="10" applyNumberFormat="1" applyFont="1" applyFill="1" applyBorder="1" applyAlignment="1">
      <alignment horizontal="center" vertical="center"/>
    </xf>
    <xf numFmtId="49" fontId="32" fillId="0" borderId="2" xfId="12" applyNumberFormat="1" applyFont="1" applyFill="1" applyBorder="1" applyAlignment="1" applyProtection="1">
      <alignment horizontal="center"/>
    </xf>
    <xf numFmtId="37" fontId="11" fillId="0" borderId="9" xfId="6" applyNumberFormat="1" applyFont="1" applyFill="1" applyBorder="1"/>
    <xf numFmtId="49" fontId="32" fillId="10" borderId="0" xfId="12" applyNumberFormat="1" applyFont="1" applyFill="1" applyBorder="1" applyAlignment="1" applyProtection="1">
      <alignment horizontal="center"/>
    </xf>
    <xf numFmtId="37" fontId="11" fillId="0" borderId="9" xfId="6" applyNumberFormat="1" applyFont="1" applyFill="1" applyBorder="1" applyAlignment="1"/>
    <xf numFmtId="0" fontId="32" fillId="10" borderId="0" xfId="12" applyNumberFormat="1" applyFont="1" applyFill="1" applyBorder="1" applyAlignment="1" applyProtection="1">
      <alignment horizontal="center"/>
    </xf>
    <xf numFmtId="0" fontId="2" fillId="10" borderId="0" xfId="12" applyNumberFormat="1" applyFont="1" applyFill="1" applyBorder="1" applyAlignment="1" applyProtection="1">
      <alignment horizontal="left" wrapText="1"/>
    </xf>
    <xf numFmtId="49" fontId="2" fillId="10" borderId="0" xfId="12" applyNumberFormat="1" applyFont="1" applyFill="1" applyBorder="1" applyAlignment="1" applyProtection="1">
      <alignment horizontal="center" wrapText="1"/>
    </xf>
    <xf numFmtId="0" fontId="2" fillId="10" borderId="2" xfId="12" applyNumberFormat="1" applyFont="1" applyFill="1" applyBorder="1" applyAlignment="1" applyProtection="1">
      <alignment horizontal="left" wrapText="1"/>
    </xf>
    <xf numFmtId="49" fontId="2" fillId="10" borderId="2" xfId="12" applyNumberFormat="1" applyFont="1" applyFill="1" applyBorder="1" applyAlignment="1" applyProtection="1">
      <alignment horizontal="center" wrapText="1"/>
    </xf>
    <xf numFmtId="37" fontId="11" fillId="0" borderId="0" xfId="0" applyNumberFormat="1" applyFont="1" applyFill="1" applyAlignment="1"/>
    <xf numFmtId="37" fontId="11" fillId="0" borderId="0" xfId="0" applyNumberFormat="1" applyFont="1" applyFill="1" applyBorder="1" applyAlignment="1"/>
    <xf numFmtId="37" fontId="11" fillId="0" borderId="21" xfId="0" applyNumberFormat="1" applyFont="1" applyFill="1" applyBorder="1" applyAlignment="1">
      <alignment vertical="top"/>
    </xf>
    <xf numFmtId="37" fontId="2" fillId="0" borderId="34" xfId="0" applyNumberFormat="1" applyFont="1" applyFill="1" applyBorder="1" applyAlignment="1"/>
    <xf numFmtId="37" fontId="2" fillId="0" borderId="2" xfId="0" applyNumberFormat="1" applyFont="1" applyFill="1" applyBorder="1" applyAlignment="1">
      <alignment vertical="top"/>
    </xf>
    <xf numFmtId="37" fontId="3" fillId="0" borderId="0" xfId="0" applyNumberFormat="1" applyFont="1" applyFill="1" applyBorder="1" applyAlignment="1"/>
    <xf numFmtId="37" fontId="2" fillId="0" borderId="7" xfId="0" applyNumberFormat="1" applyFont="1" applyFill="1" applyBorder="1" applyAlignment="1">
      <alignment wrapText="1"/>
    </xf>
    <xf numFmtId="37" fontId="2" fillId="0" borderId="12" xfId="0" applyNumberFormat="1" applyFont="1" applyFill="1" applyBorder="1" applyAlignment="1">
      <alignment wrapText="1"/>
    </xf>
    <xf numFmtId="37" fontId="2" fillId="0" borderId="7" xfId="0" applyNumberFormat="1" applyFont="1" applyFill="1" applyBorder="1" applyAlignment="1">
      <alignment horizontal="right"/>
    </xf>
    <xf numFmtId="37" fontId="2" fillId="0" borderId="35" xfId="0" applyNumberFormat="1" applyFont="1" applyFill="1" applyBorder="1" applyAlignment="1">
      <alignment horizontal="right"/>
    </xf>
    <xf numFmtId="37" fontId="2" fillId="0" borderId="7" xfId="0" applyNumberFormat="1" applyFont="1" applyFill="1" applyBorder="1" applyAlignment="1">
      <alignment vertical="distributed"/>
    </xf>
    <xf numFmtId="37" fontId="2" fillId="0" borderId="35" xfId="0" applyNumberFormat="1" applyFont="1" applyFill="1" applyBorder="1" applyAlignment="1">
      <alignment vertical="center"/>
    </xf>
    <xf numFmtId="37" fontId="2" fillId="0" borderId="11" xfId="0" applyNumberFormat="1" applyFont="1" applyFill="1" applyBorder="1" applyAlignment="1">
      <alignment vertical="center"/>
    </xf>
    <xf numFmtId="37" fontId="2" fillId="0" borderId="36" xfId="0" applyNumberFormat="1" applyFont="1" applyFill="1" applyBorder="1" applyAlignment="1">
      <alignment vertical="top"/>
    </xf>
    <xf numFmtId="37" fontId="2" fillId="0" borderId="63" xfId="0" applyNumberFormat="1" applyFont="1" applyFill="1" applyBorder="1" applyAlignment="1"/>
    <xf numFmtId="37" fontId="2" fillId="0" borderId="21" xfId="0" applyNumberFormat="1" applyFont="1" applyFill="1" applyBorder="1" applyAlignment="1">
      <alignment horizontal="right" vertical="top"/>
    </xf>
    <xf numFmtId="37" fontId="2" fillId="0" borderId="36" xfId="0" applyNumberFormat="1" applyFont="1" applyFill="1" applyBorder="1" applyAlignment="1">
      <alignment horizontal="right" vertical="top"/>
    </xf>
    <xf numFmtId="37" fontId="2" fillId="0" borderId="38" xfId="0" applyNumberFormat="1" applyFont="1" applyFill="1" applyBorder="1" applyAlignment="1"/>
    <xf numFmtId="37" fontId="2" fillId="0" borderId="37" xfId="0" applyNumberFormat="1" applyFont="1" applyFill="1" applyBorder="1" applyAlignment="1">
      <alignment horizontal="right" vertical="top"/>
    </xf>
    <xf numFmtId="37" fontId="11" fillId="0" borderId="2" xfId="0" applyNumberFormat="1" applyFont="1" applyFill="1" applyBorder="1" applyAlignment="1"/>
    <xf numFmtId="37" fontId="11" fillId="0" borderId="63" xfId="0" applyNumberFormat="1" applyFont="1" applyFill="1" applyBorder="1" applyAlignment="1"/>
    <xf numFmtId="9" fontId="11" fillId="0" borderId="0" xfId="0" applyNumberFormat="1" applyFont="1" applyFill="1" applyBorder="1" applyAlignment="1"/>
    <xf numFmtId="9" fontId="11" fillId="0" borderId="6" xfId="0" applyNumberFormat="1" applyFont="1" applyFill="1" applyBorder="1" applyAlignment="1"/>
    <xf numFmtId="37" fontId="2" fillId="0" borderId="20" xfId="0" applyNumberFormat="1" applyFont="1" applyFill="1" applyBorder="1" applyAlignment="1">
      <alignment vertical="center"/>
    </xf>
    <xf numFmtId="37" fontId="2" fillId="0" borderId="70" xfId="0" applyNumberFormat="1" applyFont="1" applyFill="1" applyBorder="1" applyAlignment="1">
      <alignment vertical="center"/>
    </xf>
    <xf numFmtId="9" fontId="11" fillId="0" borderId="2" xfId="0" applyNumberFormat="1" applyFont="1" applyFill="1" applyBorder="1" applyAlignment="1"/>
    <xf numFmtId="9" fontId="11" fillId="0" borderId="63" xfId="0" applyNumberFormat="1" applyFont="1" applyFill="1" applyBorder="1" applyAlignment="1"/>
    <xf numFmtId="37" fontId="2" fillId="0" borderId="30" xfId="0" applyNumberFormat="1" applyFont="1" applyFill="1" applyBorder="1" applyAlignment="1">
      <alignment vertical="distributed"/>
    </xf>
    <xf numFmtId="37" fontId="2" fillId="0" borderId="67" xfId="0" applyNumberFormat="1" applyFont="1" applyFill="1" applyBorder="1" applyAlignment="1">
      <alignment vertical="center"/>
    </xf>
    <xf numFmtId="37" fontId="2" fillId="0" borderId="68" xfId="0" applyNumberFormat="1" applyFont="1" applyFill="1" applyBorder="1" applyAlignment="1">
      <alignment vertical="center"/>
    </xf>
    <xf numFmtId="37" fontId="2" fillId="0" borderId="74" xfId="0" applyNumberFormat="1" applyFont="1" applyFill="1" applyBorder="1" applyAlignment="1">
      <alignment vertical="center"/>
    </xf>
    <xf numFmtId="37" fontId="2" fillId="0" borderId="73" xfId="0" applyNumberFormat="1" applyFont="1" applyFill="1" applyBorder="1" applyAlignment="1">
      <alignment horizontal="right" vertical="top"/>
    </xf>
    <xf numFmtId="37" fontId="2" fillId="0" borderId="0" xfId="0" applyNumberFormat="1" applyFont="1" applyFill="1" applyBorder="1" applyAlignment="1">
      <alignment horizontal="right"/>
    </xf>
    <xf numFmtId="39" fontId="2" fillId="0" borderId="0" xfId="0" applyNumberFormat="1" applyFont="1" applyFill="1" applyBorder="1" applyAlignment="1">
      <alignment vertical="center"/>
    </xf>
    <xf numFmtId="37" fontId="2" fillId="0" borderId="75" xfId="0" applyNumberFormat="1" applyFont="1" applyFill="1" applyBorder="1" applyAlignment="1"/>
    <xf numFmtId="37" fontId="34" fillId="0" borderId="76" xfId="0" applyNumberFormat="1" applyFont="1" applyFill="1" applyBorder="1" applyAlignment="1">
      <alignment vertical="center"/>
    </xf>
    <xf numFmtId="37" fontId="34" fillId="0" borderId="69" xfId="0" applyNumberFormat="1" applyFont="1" applyFill="1" applyBorder="1" applyAlignment="1">
      <alignment vertical="center"/>
    </xf>
    <xf numFmtId="37" fontId="2" fillId="0" borderId="0" xfId="0" applyNumberFormat="1" applyFont="1" applyFill="1" applyBorder="1" applyAlignment="1">
      <alignment horizontal="right" vertical="top"/>
    </xf>
    <xf numFmtId="37" fontId="11" fillId="0" borderId="77" xfId="0" applyNumberFormat="1" applyFont="1" applyFill="1" applyBorder="1" applyAlignment="1">
      <alignment vertical="top"/>
    </xf>
    <xf numFmtId="37" fontId="2" fillId="0" borderId="78" xfId="0" applyNumberFormat="1" applyFont="1" applyFill="1" applyBorder="1" applyAlignment="1">
      <alignment horizontal="right" vertical="top"/>
    </xf>
    <xf numFmtId="37" fontId="11" fillId="0" borderId="71" xfId="0" applyNumberFormat="1" applyFont="1" applyFill="1" applyBorder="1" applyAlignment="1">
      <alignment vertical="top"/>
    </xf>
    <xf numFmtId="37" fontId="3" fillId="0" borderId="72" xfId="0" applyNumberFormat="1" applyFont="1" applyFill="1" applyBorder="1" applyAlignment="1"/>
    <xf numFmtId="37" fontId="2" fillId="0" borderId="71" xfId="0" applyNumberFormat="1" applyFont="1" applyFill="1" applyBorder="1" applyAlignment="1">
      <alignment horizontal="right" vertical="top"/>
    </xf>
    <xf numFmtId="37" fontId="2" fillId="0" borderId="78" xfId="0" applyNumberFormat="1" applyFont="1" applyFill="1" applyBorder="1" applyAlignment="1">
      <alignment vertical="top"/>
    </xf>
    <xf numFmtId="37" fontId="34" fillId="0" borderId="71" xfId="0" applyNumberFormat="1" applyFont="1" applyFill="1" applyBorder="1" applyAlignment="1">
      <alignment horizontal="right" vertical="top"/>
    </xf>
    <xf numFmtId="37" fontId="2" fillId="0" borderId="79" xfId="0" applyNumberFormat="1" applyFont="1" applyFill="1" applyBorder="1" applyAlignment="1">
      <alignment horizontal="right" vertical="top"/>
    </xf>
    <xf numFmtId="37" fontId="3" fillId="0" borderId="73" xfId="0" applyNumberFormat="1" applyFont="1" applyFill="1" applyBorder="1" applyAlignment="1"/>
    <xf numFmtId="9" fontId="59" fillId="0" borderId="17" xfId="10" applyFont="1" applyFill="1" applyBorder="1" applyAlignment="1"/>
    <xf numFmtId="37" fontId="58" fillId="0" borderId="6" xfId="0" applyNumberFormat="1" applyFont="1" applyFill="1" applyBorder="1" applyAlignment="1"/>
    <xf numFmtId="37" fontId="59" fillId="0" borderId="0" xfId="0" applyNumberFormat="1" applyFont="1" applyFill="1" applyAlignment="1"/>
    <xf numFmtId="37" fontId="59" fillId="0" borderId="7" xfId="0" applyNumberFormat="1" applyFont="1" applyFill="1" applyBorder="1" applyAlignment="1"/>
    <xf numFmtId="37" fontId="59" fillId="0" borderId="12" xfId="0" applyNumberFormat="1" applyFont="1" applyFill="1" applyBorder="1" applyAlignment="1"/>
    <xf numFmtId="37" fontId="59" fillId="0" borderId="34" xfId="0" applyNumberFormat="1" applyFont="1" applyFill="1" applyBorder="1" applyAlignment="1"/>
    <xf numFmtId="37" fontId="59" fillId="0" borderId="7" xfId="0" applyNumberFormat="1" applyFont="1" applyFill="1" applyBorder="1" applyAlignment="1">
      <alignment horizontal="right"/>
    </xf>
    <xf numFmtId="37" fontId="59" fillId="0" borderId="21" xfId="0" applyNumberFormat="1" applyFont="1" applyFill="1" applyBorder="1" applyAlignment="1">
      <alignment horizontal="right"/>
    </xf>
    <xf numFmtId="37" fontId="59" fillId="0" borderId="35" xfId="0" applyNumberFormat="1" applyFont="1" applyFill="1" applyBorder="1" applyAlignment="1">
      <alignment horizontal="right"/>
    </xf>
    <xf numFmtId="3" fontId="11" fillId="0" borderId="74" xfId="0" applyNumberFormat="1" applyFont="1" applyFill="1" applyBorder="1" applyAlignment="1"/>
    <xf numFmtId="166" fontId="9" fillId="0" borderId="0" xfId="1" applyNumberFormat="1" applyFont="1" applyFill="1" applyBorder="1" applyAlignment="1">
      <alignment vertical="center"/>
    </xf>
    <xf numFmtId="166" fontId="9" fillId="0" borderId="23" xfId="1" applyNumberFormat="1" applyFont="1" applyFill="1" applyBorder="1" applyAlignment="1">
      <alignment vertical="center"/>
    </xf>
    <xf numFmtId="166" fontId="42" fillId="0" borderId="23" xfId="1" applyNumberFormat="1" applyFont="1" applyFill="1" applyBorder="1" applyAlignment="1">
      <alignment vertical="center"/>
    </xf>
    <xf numFmtId="166" fontId="0" fillId="0" borderId="0" xfId="1" applyNumberFormat="1" applyFont="1" applyFill="1" applyAlignment="1"/>
    <xf numFmtId="166" fontId="9" fillId="0" borderId="0" xfId="1" applyNumberFormat="1" applyFont="1" applyFill="1" applyAlignment="1"/>
    <xf numFmtId="3" fontId="2" fillId="4" borderId="0" xfId="0" applyNumberFormat="1" applyFont="1" applyFill="1" applyBorder="1" applyAlignment="1">
      <alignment horizontal="right"/>
    </xf>
    <xf numFmtId="37" fontId="9" fillId="0" borderId="23" xfId="0" applyNumberFormat="1" applyFont="1" applyFill="1" applyBorder="1" applyAlignment="1">
      <alignment vertical="center"/>
    </xf>
    <xf numFmtId="3" fontId="44" fillId="4" borderId="2" xfId="0" applyNumberFormat="1" applyFont="1" applyFill="1" applyBorder="1" applyAlignment="1">
      <alignment horizontal="right" wrapText="1"/>
    </xf>
    <xf numFmtId="37" fontId="2" fillId="0" borderId="2" xfId="0" applyNumberFormat="1" applyFont="1" applyFill="1" applyBorder="1" applyAlignment="1">
      <alignment horizontal="right"/>
    </xf>
    <xf numFmtId="37" fontId="58" fillId="0" borderId="9" xfId="0" applyNumberFormat="1" applyFont="1" applyFill="1" applyBorder="1" applyAlignment="1">
      <alignment vertical="center"/>
    </xf>
    <xf numFmtId="37" fontId="58" fillId="0" borderId="19" xfId="0" applyNumberFormat="1" applyFont="1" applyFill="1" applyBorder="1" applyAlignment="1">
      <alignment vertical="center"/>
    </xf>
    <xf numFmtId="37" fontId="58" fillId="0" borderId="10" xfId="0" applyNumberFormat="1" applyFont="1" applyFill="1" applyBorder="1" applyAlignment="1">
      <alignment horizontal="right"/>
    </xf>
    <xf numFmtId="37" fontId="58" fillId="0" borderId="2" xfId="0" applyNumberFormat="1" applyFont="1" applyFill="1" applyBorder="1" applyAlignment="1">
      <alignment horizontal="right"/>
    </xf>
    <xf numFmtId="37" fontId="58" fillId="0" borderId="23" xfId="0" applyNumberFormat="1" applyFont="1" applyFill="1" applyBorder="1" applyAlignment="1">
      <alignment vertical="center"/>
    </xf>
    <xf numFmtId="37" fontId="58" fillId="0" borderId="0" xfId="0" applyNumberFormat="1" applyFont="1" applyFill="1" applyBorder="1" applyAlignment="1">
      <alignment vertical="center"/>
    </xf>
    <xf numFmtId="37" fontId="58" fillId="0" borderId="0" xfId="0" applyNumberFormat="1" applyFont="1" applyFill="1" applyAlignment="1">
      <alignment vertical="center"/>
    </xf>
    <xf numFmtId="164" fontId="58" fillId="0" borderId="24" xfId="0" applyNumberFormat="1" applyFont="1" applyFill="1" applyBorder="1" applyAlignment="1">
      <alignment horizontal="right" vertical="center"/>
    </xf>
    <xf numFmtId="164" fontId="58" fillId="0" borderId="0" xfId="0" applyNumberFormat="1" applyFont="1" applyFill="1" applyBorder="1" applyAlignment="1">
      <alignment horizontal="right" vertical="center"/>
    </xf>
    <xf numFmtId="164" fontId="58" fillId="0" borderId="23" xfId="0" applyNumberFormat="1" applyFont="1" applyFill="1" applyBorder="1" applyAlignment="1">
      <alignment horizontal="right" vertical="center"/>
    </xf>
    <xf numFmtId="37" fontId="11" fillId="0" borderId="0" xfId="0" applyNumberFormat="1" applyFont="1" applyFill="1" applyBorder="1" applyAlignment="1">
      <alignment vertical="center"/>
    </xf>
    <xf numFmtId="169" fontId="58" fillId="0" borderId="23" xfId="10" applyNumberFormat="1" applyFont="1" applyFill="1" applyBorder="1" applyAlignment="1">
      <alignment horizontal="right" vertical="center"/>
    </xf>
    <xf numFmtId="169" fontId="58" fillId="0" borderId="24" xfId="10" applyNumberFormat="1" applyFont="1" applyFill="1" applyBorder="1" applyAlignment="1">
      <alignment horizontal="right" vertical="center"/>
    </xf>
    <xf numFmtId="169" fontId="58" fillId="0" borderId="0" xfId="10" applyNumberFormat="1" applyFont="1" applyFill="1" applyAlignment="1">
      <alignment horizontal="right" vertical="center"/>
    </xf>
    <xf numFmtId="169" fontId="9" fillId="0" borderId="0" xfId="10" applyNumberFormat="1" applyFont="1" applyFill="1" applyAlignment="1">
      <alignment horizontal="right" vertical="center"/>
    </xf>
    <xf numFmtId="169" fontId="9" fillId="0" borderId="23" xfId="10" applyNumberFormat="1" applyFont="1" applyFill="1" applyBorder="1" applyAlignment="1">
      <alignment horizontal="right" vertical="center"/>
    </xf>
    <xf numFmtId="39" fontId="2" fillId="0" borderId="0" xfId="0" applyNumberFormat="1" applyFont="1" applyFill="1" applyAlignment="1">
      <alignment vertical="center"/>
    </xf>
    <xf numFmtId="37" fontId="2" fillId="0" borderId="0" xfId="0" applyNumberFormat="1" applyFont="1" applyFill="1" applyAlignment="1">
      <alignment vertical="center"/>
    </xf>
    <xf numFmtId="37" fontId="7" fillId="11" borderId="0" xfId="0" applyNumberFormat="1" applyFont="1" applyFill="1" applyBorder="1" applyAlignment="1">
      <alignment vertical="center"/>
    </xf>
    <xf numFmtId="37" fontId="5" fillId="0" borderId="0" xfId="0" applyNumberFormat="1" applyFont="1" applyFill="1" applyBorder="1" applyAlignment="1">
      <alignment vertical="top"/>
    </xf>
    <xf numFmtId="37" fontId="8" fillId="0" borderId="0" xfId="0" applyNumberFormat="1" applyFont="1" applyFill="1" applyBorder="1" applyAlignment="1">
      <alignment vertical="center" wrapText="1"/>
    </xf>
    <xf numFmtId="37" fontId="9" fillId="0" borderId="0" xfId="0" applyNumberFormat="1" applyFont="1" applyBorder="1" applyAlignment="1">
      <alignment vertical="center" wrapText="1"/>
    </xf>
    <xf numFmtId="37" fontId="4" fillId="0" borderId="6" xfId="0" applyNumberFormat="1" applyFont="1" applyFill="1" applyBorder="1" applyAlignment="1">
      <alignment horizontal="center" wrapText="1"/>
    </xf>
    <xf numFmtId="37" fontId="7" fillId="0" borderId="0" xfId="0" applyNumberFormat="1" applyFont="1" applyFill="1" applyBorder="1" applyAlignment="1">
      <alignment horizontal="center" vertical="center"/>
    </xf>
    <xf numFmtId="37" fontId="4" fillId="0" borderId="6" xfId="0" applyNumberFormat="1" applyFont="1" applyFill="1" applyBorder="1" applyAlignment="1" applyProtection="1">
      <alignment horizontal="center"/>
    </xf>
    <xf numFmtId="37" fontId="5" fillId="0" borderId="0" xfId="0" applyNumberFormat="1" applyFont="1" applyFill="1" applyBorder="1" applyAlignment="1">
      <alignment vertical="center" wrapText="1"/>
    </xf>
    <xf numFmtId="9" fontId="58" fillId="0" borderId="41" xfId="10" applyFont="1" applyFill="1" applyBorder="1"/>
    <xf numFmtId="37" fontId="58" fillId="0" borderId="0" xfId="0" applyNumberFormat="1" applyFont="1" applyFill="1" applyAlignment="1">
      <alignment horizontal="right"/>
    </xf>
    <xf numFmtId="9" fontId="58" fillId="0" borderId="0" xfId="10" applyFont="1" applyFill="1"/>
    <xf numFmtId="168" fontId="58" fillId="0" borderId="0" xfId="0" applyNumberFormat="1" applyFont="1" applyFill="1" applyBorder="1" applyAlignment="1">
      <alignment horizontal="right" vertical="center"/>
    </xf>
    <xf numFmtId="37" fontId="2" fillId="0" borderId="41" xfId="0" applyNumberFormat="1" applyFont="1" applyFill="1" applyBorder="1" applyAlignment="1"/>
    <xf numFmtId="37" fontId="58" fillId="0" borderId="0" xfId="13" quotePrefix="1" applyNumberFormat="1" applyFont="1" applyFill="1" applyBorder="1" applyAlignment="1" applyProtection="1">
      <alignment horizontal="left"/>
    </xf>
    <xf numFmtId="37" fontId="60" fillId="0" borderId="0" xfId="0" applyNumberFormat="1" applyFont="1" applyFill="1" applyAlignment="1"/>
    <xf numFmtId="167" fontId="30" fillId="0" borderId="20" xfId="6" applyNumberFormat="1" applyFont="1" applyFill="1" applyBorder="1"/>
    <xf numFmtId="37" fontId="53" fillId="0" borderId="20" xfId="6" applyNumberFormat="1" applyFont="1" applyFill="1" applyBorder="1" applyAlignment="1">
      <alignment horizontal="center" wrapText="1"/>
    </xf>
    <xf numFmtId="37" fontId="7" fillId="0" borderId="0" xfId="0" applyNumberFormat="1" applyFont="1" applyFill="1" applyBorder="1" applyAlignment="1" applyProtection="1">
      <alignment horizontal="center" vertical="top"/>
    </xf>
    <xf numFmtId="37" fontId="7" fillId="0" borderId="0" xfId="0" applyNumberFormat="1" applyFont="1" applyFill="1" applyBorder="1" applyAlignment="1">
      <alignment horizontal="center" vertical="center"/>
    </xf>
    <xf numFmtId="37" fontId="11" fillId="11" borderId="80" xfId="0" applyNumberFormat="1" applyFont="1" applyFill="1" applyBorder="1" applyAlignment="1"/>
    <xf numFmtId="37" fontId="0" fillId="11" borderId="81" xfId="0" applyNumberFormat="1" applyFill="1" applyBorder="1" applyAlignment="1"/>
    <xf numFmtId="37" fontId="0" fillId="11" borderId="82" xfId="0" applyNumberFormat="1" applyFill="1" applyBorder="1" applyAlignment="1"/>
    <xf numFmtId="37" fontId="2" fillId="0" borderId="2" xfId="0" applyNumberFormat="1" applyFont="1" applyFill="1" applyBorder="1" applyAlignment="1"/>
    <xf numFmtId="9" fontId="58" fillId="0" borderId="0" xfId="10" applyNumberFormat="1" applyFont="1" applyFill="1"/>
    <xf numFmtId="0" fontId="20" fillId="0" borderId="8" xfId="1" applyNumberFormat="1" applyFont="1" applyFill="1" applyBorder="1" applyAlignment="1" applyProtection="1">
      <alignment horizontal="center" vertical="center" wrapText="1"/>
    </xf>
    <xf numFmtId="0" fontId="20" fillId="0" borderId="9" xfId="1" applyNumberFormat="1" applyFont="1" applyFill="1" applyBorder="1" applyAlignment="1" applyProtection="1">
      <alignment horizontal="center" vertical="center"/>
    </xf>
    <xf numFmtId="37" fontId="20" fillId="0" borderId="9" xfId="0" applyNumberFormat="1" applyFont="1" applyFill="1" applyBorder="1" applyAlignment="1" applyProtection="1">
      <alignment horizontal="center" vertical="center"/>
    </xf>
    <xf numFmtId="37" fontId="20" fillId="0" borderId="9" xfId="0" applyNumberFormat="1" applyFont="1" applyFill="1" applyBorder="1" applyAlignment="1">
      <alignment horizontal="center" vertical="center"/>
    </xf>
    <xf numFmtId="169" fontId="20" fillId="0" borderId="9" xfId="10" applyNumberFormat="1" applyFont="1" applyFill="1" applyBorder="1" applyAlignment="1">
      <alignment horizontal="center" vertical="center"/>
    </xf>
    <xf numFmtId="169" fontId="2" fillId="0" borderId="4" xfId="10" applyNumberFormat="1" applyFont="1" applyFill="1" applyBorder="1" applyAlignment="1">
      <alignment horizontal="center" vertical="center"/>
    </xf>
    <xf numFmtId="169" fontId="2" fillId="0" borderId="43" xfId="10" applyNumberFormat="1" applyFont="1" applyFill="1" applyBorder="1" applyAlignment="1">
      <alignment horizontal="center" vertical="center"/>
    </xf>
    <xf numFmtId="169" fontId="2" fillId="0" borderId="27" xfId="10" applyNumberFormat="1" applyFont="1" applyFill="1" applyBorder="1" applyAlignment="1">
      <alignment horizontal="center" vertical="center"/>
    </xf>
    <xf numFmtId="169" fontId="2" fillId="0" borderId="17" xfId="10" applyNumberFormat="1" applyFont="1" applyFill="1" applyBorder="1" applyAlignment="1">
      <alignment horizontal="center" vertical="center"/>
    </xf>
    <xf numFmtId="169" fontId="2" fillId="0" borderId="23" xfId="10" applyNumberFormat="1" applyFont="1" applyFill="1" applyBorder="1" applyAlignment="1">
      <alignment horizontal="center" vertical="center"/>
    </xf>
    <xf numFmtId="169" fontId="2" fillId="0" borderId="0" xfId="10" applyNumberFormat="1" applyFont="1" applyFill="1" applyBorder="1" applyAlignment="1">
      <alignment horizontal="center" vertical="center"/>
    </xf>
    <xf numFmtId="169" fontId="2" fillId="0" borderId="15" xfId="10" applyNumberFormat="1" applyFont="1" applyFill="1" applyBorder="1" applyAlignment="1">
      <alignment horizontal="center" vertical="center"/>
    </xf>
    <xf numFmtId="169" fontId="2" fillId="0" borderId="42" xfId="10" applyNumberFormat="1" applyFont="1" applyFill="1" applyBorder="1" applyAlignment="1">
      <alignment horizontal="center" vertical="center"/>
    </xf>
    <xf numFmtId="169" fontId="2" fillId="0" borderId="16" xfId="10" applyNumberFormat="1" applyFont="1" applyFill="1" applyBorder="1" applyAlignment="1">
      <alignment horizontal="center" vertical="center"/>
    </xf>
    <xf numFmtId="169" fontId="2" fillId="0" borderId="51" xfId="10" applyNumberFormat="1" applyFont="1" applyFill="1" applyBorder="1" applyAlignment="1">
      <alignment horizontal="center" vertical="center"/>
    </xf>
    <xf numFmtId="169" fontId="2" fillId="0" borderId="53" xfId="10" applyNumberFormat="1" applyFont="1" applyFill="1" applyBorder="1" applyAlignment="1">
      <alignment horizontal="center" vertical="center"/>
    </xf>
    <xf numFmtId="169" fontId="2" fillId="0" borderId="6" xfId="10" applyNumberFormat="1" applyFont="1" applyFill="1" applyBorder="1" applyAlignment="1">
      <alignment horizontal="center" vertical="center"/>
    </xf>
    <xf numFmtId="169" fontId="2" fillId="0" borderId="10" xfId="10" applyNumberFormat="1" applyFont="1" applyFill="1" applyBorder="1" applyAlignment="1">
      <alignment horizontal="center" vertical="center"/>
    </xf>
    <xf numFmtId="169" fontId="2" fillId="0" borderId="2" xfId="10" applyNumberFormat="1" applyFont="1" applyFill="1" applyBorder="1" applyAlignment="1">
      <alignment horizontal="center" vertical="center"/>
    </xf>
    <xf numFmtId="37" fontId="5" fillId="0" borderId="0" xfId="0" quotePrefix="1" applyNumberFormat="1" applyFont="1" applyFill="1" applyBorder="1" applyAlignment="1">
      <alignment horizontal="right"/>
    </xf>
    <xf numFmtId="37" fontId="20" fillId="0" borderId="9" xfId="0" applyNumberFormat="1" applyFont="1" applyFill="1" applyBorder="1" applyAlignment="1" applyProtection="1">
      <alignment horizontal="centerContinuous" vertical="center"/>
    </xf>
    <xf numFmtId="37" fontId="20" fillId="0" borderId="9" xfId="0" applyNumberFormat="1" applyFont="1" applyFill="1" applyBorder="1" applyAlignment="1">
      <alignment horizontal="centerContinuous" vertical="center"/>
    </xf>
    <xf numFmtId="37" fontId="20" fillId="0" borderId="19" xfId="0" applyNumberFormat="1" applyFont="1" applyFill="1" applyBorder="1" applyAlignment="1">
      <alignment horizontal="centerContinuous" vertical="center"/>
    </xf>
    <xf numFmtId="37" fontId="20" fillId="0" borderId="11" xfId="0" applyNumberFormat="1" applyFont="1" applyFill="1" applyBorder="1" applyAlignment="1" applyProtection="1">
      <alignment horizontal="centerContinuous" vertical="center"/>
    </xf>
    <xf numFmtId="37" fontId="20" fillId="0" borderId="18" xfId="0" applyNumberFormat="1" applyFont="1" applyFill="1" applyBorder="1" applyAlignment="1">
      <alignment horizontal="centerContinuous" vertical="center"/>
    </xf>
    <xf numFmtId="37" fontId="20" fillId="0" borderId="24" xfId="0" applyNumberFormat="1" applyFont="1" applyFill="1" applyBorder="1" applyAlignment="1">
      <alignment horizontal="centerContinuous" vertical="center"/>
    </xf>
    <xf numFmtId="37" fontId="20" fillId="0" borderId="6" xfId="0" applyNumberFormat="1" applyFont="1" applyFill="1" applyBorder="1" applyAlignment="1">
      <alignment horizontal="center" wrapText="1"/>
    </xf>
    <xf numFmtId="167" fontId="20" fillId="0" borderId="10" xfId="0" applyNumberFormat="1" applyFont="1" applyFill="1" applyBorder="1" applyAlignment="1">
      <alignment horizontal="center" wrapText="1"/>
    </xf>
    <xf numFmtId="169" fontId="2" fillId="0" borderId="14" xfId="10" quotePrefix="1" applyNumberFormat="1" applyFont="1" applyFill="1" applyBorder="1" applyAlignment="1">
      <alignment horizontal="center" vertical="center"/>
    </xf>
    <xf numFmtId="169" fontId="18" fillId="0" borderId="14" xfId="10" quotePrefix="1" applyNumberFormat="1" applyFont="1" applyFill="1" applyBorder="1" applyAlignment="1">
      <alignment horizontal="center" vertical="center"/>
    </xf>
    <xf numFmtId="9" fontId="18" fillId="0" borderId="0" xfId="10" quotePrefix="1" applyNumberFormat="1" applyFont="1" applyFill="1" applyBorder="1" applyAlignment="1">
      <alignment horizontal="center" vertical="center"/>
    </xf>
    <xf numFmtId="169" fontId="2" fillId="0" borderId="22" xfId="10" quotePrefix="1" applyNumberFormat="1" applyFont="1" applyFill="1" applyBorder="1" applyAlignment="1">
      <alignment horizontal="center" vertical="center"/>
    </xf>
    <xf numFmtId="169" fontId="2" fillId="0" borderId="6" xfId="10" quotePrefix="1" applyNumberFormat="1" applyFont="1" applyFill="1" applyBorder="1" applyAlignment="1">
      <alignment horizontal="center" vertical="center"/>
    </xf>
    <xf numFmtId="9" fontId="18" fillId="0" borderId="10" xfId="10" quotePrefix="1" applyNumberFormat="1" applyFont="1" applyFill="1" applyBorder="1" applyAlignment="1">
      <alignment horizontal="center" vertical="center"/>
    </xf>
    <xf numFmtId="167" fontId="20" fillId="0" borderId="9" xfId="0" applyNumberFormat="1" applyFont="1" applyFill="1" applyBorder="1" applyAlignment="1" applyProtection="1">
      <alignment horizontal="center" wrapText="1"/>
    </xf>
    <xf numFmtId="37" fontId="20" fillId="0" borderId="9" xfId="0" applyNumberFormat="1" applyFont="1" applyFill="1" applyBorder="1" applyAlignment="1">
      <alignment horizontal="center" wrapText="1"/>
    </xf>
    <xf numFmtId="167" fontId="20" fillId="0" borderId="18" xfId="0" applyNumberFormat="1" applyFont="1" applyFill="1" applyBorder="1" applyAlignment="1" applyProtection="1">
      <alignment horizontal="center" wrapText="1"/>
    </xf>
    <xf numFmtId="164" fontId="2" fillId="0" borderId="0" xfId="0" applyNumberFormat="1" applyFont="1" applyFill="1" applyBorder="1" applyAlignment="1">
      <alignment horizontal="right" vertical="center"/>
    </xf>
    <xf numFmtId="164" fontId="2" fillId="0" borderId="23"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3" fontId="2" fillId="0" borderId="0" xfId="0" applyNumberFormat="1" applyFont="1" applyFill="1" applyBorder="1" applyAlignment="1">
      <alignment horizontal="right" vertical="center"/>
    </xf>
    <xf numFmtId="3" fontId="2" fillId="0" borderId="23"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3" fontId="2" fillId="0" borderId="0" xfId="0" quotePrefix="1" applyNumberFormat="1" applyFont="1" applyFill="1" applyBorder="1" applyAlignment="1">
      <alignment horizontal="right" vertical="center"/>
    </xf>
    <xf numFmtId="3" fontId="2" fillId="0" borderId="23" xfId="0" quotePrefix="1" applyNumberFormat="1" applyFont="1" applyFill="1" applyBorder="1" applyAlignment="1">
      <alignment horizontal="center" vertical="center"/>
    </xf>
    <xf numFmtId="3" fontId="2" fillId="0" borderId="0" xfId="0" quotePrefix="1" applyNumberFormat="1" applyFont="1" applyFill="1" applyBorder="1" applyAlignment="1">
      <alignment horizontal="center" vertical="center"/>
    </xf>
    <xf numFmtId="3" fontId="2" fillId="0" borderId="2" xfId="0" applyNumberFormat="1" applyFont="1" applyFill="1" applyBorder="1" applyAlignment="1">
      <alignment horizontal="right" vertical="center"/>
    </xf>
    <xf numFmtId="3" fontId="2" fillId="0" borderId="22" xfId="0" applyNumberFormat="1" applyFont="1" applyFill="1" applyBorder="1" applyAlignment="1">
      <alignment horizontal="right" vertical="center"/>
    </xf>
    <xf numFmtId="3" fontId="2" fillId="0" borderId="10" xfId="0" applyNumberFormat="1" applyFont="1" applyFill="1" applyBorder="1" applyAlignment="1">
      <alignment horizontal="center" vertical="center"/>
    </xf>
    <xf numFmtId="3" fontId="2" fillId="0" borderId="2" xfId="0" applyNumberFormat="1" applyFont="1" applyFill="1" applyBorder="1" applyAlignment="1">
      <alignment horizontal="center" vertical="center"/>
    </xf>
    <xf numFmtId="37" fontId="2" fillId="0" borderId="0" xfId="0" applyNumberFormat="1" applyFont="1" applyFill="1" applyBorder="1" applyAlignment="1">
      <alignment horizontal="centerContinuous" vertical="center"/>
    </xf>
    <xf numFmtId="37" fontId="20" fillId="0" borderId="20" xfId="0" applyNumberFormat="1" applyFont="1" applyFill="1" applyBorder="1" applyAlignment="1" applyProtection="1">
      <alignment horizontal="centerContinuous" vertical="center" wrapText="1"/>
    </xf>
    <xf numFmtId="37" fontId="14" fillId="0" borderId="20" xfId="0" applyNumberFormat="1" applyFont="1" applyFill="1" applyBorder="1" applyAlignment="1">
      <alignment horizontal="centerContinuous" vertical="center" wrapText="1"/>
    </xf>
    <xf numFmtId="37" fontId="20" fillId="0" borderId="18" xfId="0" applyNumberFormat="1" applyFont="1" applyFill="1" applyBorder="1" applyAlignment="1">
      <alignment horizontal="centerContinuous" vertical="center" wrapText="1"/>
    </xf>
    <xf numFmtId="37" fontId="20" fillId="0" borderId="9" xfId="0" applyNumberFormat="1" applyFont="1" applyFill="1" applyBorder="1" applyAlignment="1">
      <alignment horizontal="centerContinuous" vertical="center" wrapText="1"/>
    </xf>
    <xf numFmtId="169" fontId="58" fillId="16" borderId="0" xfId="10" applyNumberFormat="1" applyFont="1" applyFill="1" applyAlignment="1">
      <alignment horizontal="right" vertical="center"/>
    </xf>
    <xf numFmtId="169" fontId="9" fillId="16" borderId="0" xfId="10" applyNumberFormat="1" applyFont="1" applyFill="1" applyAlignment="1">
      <alignment horizontal="right" vertical="center"/>
    </xf>
    <xf numFmtId="169" fontId="58" fillId="12" borderId="0" xfId="10" applyNumberFormat="1" applyFont="1" applyFill="1" applyAlignment="1">
      <alignment horizontal="right" vertical="center"/>
    </xf>
    <xf numFmtId="169" fontId="9" fillId="12" borderId="0" xfId="10" applyNumberFormat="1" applyFont="1" applyFill="1" applyAlignment="1">
      <alignment horizontal="right" vertical="center"/>
    </xf>
    <xf numFmtId="37" fontId="58" fillId="12" borderId="0" xfId="0" applyNumberFormat="1" applyFont="1" applyFill="1" applyAlignment="1">
      <alignment vertical="center"/>
    </xf>
    <xf numFmtId="169" fontId="58" fillId="15" borderId="24" xfId="10" applyNumberFormat="1" applyFont="1" applyFill="1" applyBorder="1" applyAlignment="1">
      <alignment horizontal="right" vertical="center"/>
    </xf>
    <xf numFmtId="169" fontId="9" fillId="15" borderId="23" xfId="10" applyNumberFormat="1" applyFont="1" applyFill="1" applyBorder="1" applyAlignment="1">
      <alignment horizontal="right" vertical="center"/>
    </xf>
    <xf numFmtId="169" fontId="58" fillId="15" borderId="23" xfId="10" applyNumberFormat="1" applyFont="1" applyFill="1" applyBorder="1" applyAlignment="1">
      <alignment horizontal="right" vertical="center"/>
    </xf>
    <xf numFmtId="169" fontId="58" fillId="14" borderId="24" xfId="10" applyNumberFormat="1" applyFont="1" applyFill="1" applyBorder="1" applyAlignment="1">
      <alignment horizontal="right" vertical="center"/>
    </xf>
    <xf numFmtId="169" fontId="9" fillId="14" borderId="23" xfId="10" applyNumberFormat="1" applyFont="1" applyFill="1" applyBorder="1" applyAlignment="1">
      <alignment horizontal="right" vertical="center"/>
    </xf>
    <xf numFmtId="169" fontId="58" fillId="14" borderId="23" xfId="10" applyNumberFormat="1" applyFont="1" applyFill="1" applyBorder="1" applyAlignment="1">
      <alignment horizontal="right" vertical="center"/>
    </xf>
    <xf numFmtId="37" fontId="58" fillId="14" borderId="23" xfId="0" applyNumberFormat="1" applyFont="1" applyFill="1" applyBorder="1" applyAlignment="1">
      <alignment vertical="center"/>
    </xf>
    <xf numFmtId="169" fontId="58" fillId="13" borderId="0" xfId="10" applyNumberFormat="1" applyFont="1" applyFill="1" applyAlignment="1">
      <alignment horizontal="right" vertical="center"/>
    </xf>
    <xf numFmtId="169" fontId="9" fillId="13" borderId="0" xfId="10" applyNumberFormat="1" applyFont="1" applyFill="1" applyAlignment="1">
      <alignment horizontal="right" vertical="center"/>
    </xf>
    <xf numFmtId="37" fontId="58" fillId="13" borderId="0" xfId="0" applyNumberFormat="1" applyFont="1" applyFill="1" applyBorder="1" applyAlignment="1">
      <alignment vertical="center"/>
    </xf>
    <xf numFmtId="37" fontId="58" fillId="15" borderId="23" xfId="0" applyNumberFormat="1" applyFont="1" applyFill="1" applyBorder="1" applyAlignment="1">
      <alignment vertical="center"/>
    </xf>
    <xf numFmtId="37" fontId="58" fillId="16" borderId="0" xfId="0" applyNumberFormat="1" applyFont="1" applyFill="1" applyBorder="1" applyAlignment="1">
      <alignment vertical="center"/>
    </xf>
    <xf numFmtId="3" fontId="2" fillId="0" borderId="0" xfId="0" applyNumberFormat="1" applyFont="1" applyFill="1" applyBorder="1" applyAlignment="1"/>
    <xf numFmtId="3" fontId="2" fillId="0" borderId="23" xfId="0" applyNumberFormat="1" applyFont="1" applyFill="1" applyBorder="1" applyAlignment="1"/>
    <xf numFmtId="3" fontId="2" fillId="0" borderId="14" xfId="0" applyNumberFormat="1" applyFont="1" applyFill="1" applyBorder="1" applyAlignment="1"/>
    <xf numFmtId="3" fontId="2" fillId="0" borderId="0" xfId="10" applyNumberFormat="1" applyFont="1" applyFill="1" applyBorder="1" applyAlignment="1">
      <alignment horizontal="right"/>
    </xf>
    <xf numFmtId="3" fontId="2" fillId="0" borderId="0" xfId="0" applyNumberFormat="1" applyFont="1" applyFill="1" applyAlignment="1"/>
    <xf numFmtId="3" fontId="2" fillId="0" borderId="0" xfId="10" applyNumberFormat="1" applyFont="1" applyFill="1" applyBorder="1" applyAlignment="1"/>
    <xf numFmtId="3" fontId="2" fillId="0" borderId="0" xfId="0" applyNumberFormat="1" applyFont="1" applyAlignment="1"/>
    <xf numFmtId="3" fontId="2" fillId="0" borderId="0" xfId="0" applyNumberFormat="1" applyFont="1" applyBorder="1" applyAlignment="1"/>
    <xf numFmtId="3" fontId="11" fillId="0" borderId="0" xfId="0" applyNumberFormat="1" applyFont="1" applyAlignment="1"/>
    <xf numFmtId="3" fontId="11" fillId="17" borderId="92" xfId="6" applyNumberFormat="1" applyFont="1" applyFill="1" applyBorder="1" applyAlignment="1" applyProtection="1">
      <alignment horizontal="center" wrapText="1"/>
      <protection locked="0"/>
    </xf>
    <xf numFmtId="3" fontId="11" fillId="0" borderId="93" xfId="6" applyNumberFormat="1" applyFont="1" applyFill="1" applyBorder="1" applyAlignment="1" applyProtection="1">
      <alignment horizontal="center" wrapText="1"/>
      <protection locked="0"/>
    </xf>
    <xf numFmtId="3" fontId="11" fillId="17" borderId="94" xfId="6" applyNumberFormat="1" applyFont="1" applyFill="1" applyBorder="1" applyAlignment="1" applyProtection="1">
      <alignment horizontal="center" wrapText="1"/>
      <protection locked="0"/>
    </xf>
    <xf numFmtId="3" fontId="11" fillId="0" borderId="95" xfId="6" applyNumberFormat="1" applyFont="1" applyFill="1" applyBorder="1" applyAlignment="1" applyProtection="1">
      <alignment horizontal="center" wrapText="1"/>
      <protection locked="0"/>
    </xf>
    <xf numFmtId="3" fontId="59" fillId="18" borderId="97" xfId="6" applyNumberFormat="1" applyFont="1" applyFill="1" applyBorder="1" applyAlignment="1" applyProtection="1">
      <alignment horizontal="center" wrapText="1"/>
    </xf>
    <xf numFmtId="3" fontId="11" fillId="0" borderId="94" xfId="6" applyNumberFormat="1" applyFont="1" applyFill="1" applyBorder="1" applyAlignment="1" applyProtection="1">
      <alignment horizontal="center" wrapText="1"/>
      <protection locked="0"/>
    </xf>
    <xf numFmtId="3" fontId="59" fillId="12" borderId="99" xfId="6" applyNumberFormat="1" applyFont="1" applyFill="1" applyBorder="1" applyAlignment="1" applyProtection="1">
      <alignment horizontal="center" wrapText="1"/>
    </xf>
    <xf numFmtId="3" fontId="59" fillId="18" borderId="101" xfId="6" applyNumberFormat="1" applyFont="1" applyFill="1" applyBorder="1" applyAlignment="1" applyProtection="1">
      <alignment horizontal="center" wrapText="1"/>
    </xf>
    <xf numFmtId="3" fontId="59" fillId="12" borderId="102" xfId="6" applyNumberFormat="1" applyFont="1" applyFill="1" applyBorder="1" applyAlignment="1" applyProtection="1">
      <alignment horizontal="center" wrapText="1"/>
    </xf>
    <xf numFmtId="3" fontId="11" fillId="17" borderId="32" xfId="6" applyNumberFormat="1" applyFont="1" applyFill="1" applyBorder="1" applyAlignment="1" applyProtection="1">
      <alignment horizontal="center" wrapText="1"/>
      <protection locked="0"/>
    </xf>
    <xf numFmtId="3" fontId="11" fillId="0" borderId="23" xfId="6" applyNumberFormat="1" applyFont="1" applyFill="1" applyBorder="1" applyAlignment="1" applyProtection="1">
      <alignment horizontal="center" wrapText="1"/>
      <protection locked="0"/>
    </xf>
    <xf numFmtId="3" fontId="11" fillId="17" borderId="103" xfId="6" applyNumberFormat="1" applyFont="1" applyFill="1" applyBorder="1" applyAlignment="1" applyProtection="1">
      <alignment horizontal="center" wrapText="1"/>
      <protection locked="0"/>
    </xf>
    <xf numFmtId="3" fontId="59" fillId="18" borderId="94" xfId="6" applyNumberFormat="1" applyFont="1" applyFill="1" applyBorder="1" applyAlignment="1" applyProtection="1">
      <alignment horizontal="center" wrapText="1"/>
    </xf>
    <xf numFmtId="3" fontId="11" fillId="17" borderId="96" xfId="6" applyNumberFormat="1" applyFont="1" applyFill="1" applyBorder="1" applyAlignment="1" applyProtection="1">
      <alignment horizontal="center" wrapText="1"/>
      <protection locked="0"/>
    </xf>
    <xf numFmtId="3" fontId="11" fillId="17" borderId="11" xfId="6" applyNumberFormat="1" applyFont="1" applyFill="1" applyBorder="1" applyAlignment="1" applyProtection="1">
      <alignment horizontal="center" wrapText="1"/>
      <protection locked="0"/>
    </xf>
    <xf numFmtId="3" fontId="59" fillId="18" borderId="11" xfId="6" applyNumberFormat="1" applyFont="1" applyFill="1" applyBorder="1" applyAlignment="1" applyProtection="1">
      <alignment horizontal="center" wrapText="1"/>
      <protection locked="0"/>
    </xf>
    <xf numFmtId="3" fontId="11" fillId="0" borderId="11" xfId="6" applyNumberFormat="1" applyFont="1" applyFill="1" applyBorder="1" applyAlignment="1" applyProtection="1">
      <alignment horizontal="center" wrapText="1"/>
      <protection locked="0"/>
    </xf>
    <xf numFmtId="3" fontId="11" fillId="0" borderId="106" xfId="6" applyNumberFormat="1" applyFont="1" applyFill="1" applyBorder="1" applyAlignment="1" applyProtection="1">
      <alignment horizontal="centerContinuous" wrapText="1"/>
      <protection locked="0"/>
    </xf>
    <xf numFmtId="3" fontId="11" fillId="0" borderId="2" xfId="6" applyNumberFormat="1" applyFont="1" applyFill="1" applyBorder="1" applyAlignment="1" applyProtection="1">
      <alignment horizontal="centerContinuous" wrapText="1"/>
      <protection locked="0"/>
    </xf>
    <xf numFmtId="3" fontId="59" fillId="18" borderId="107" xfId="6" applyNumberFormat="1" applyFont="1" applyFill="1" applyBorder="1" applyAlignment="1" applyProtection="1">
      <alignment horizontal="center" wrapText="1"/>
    </xf>
    <xf numFmtId="3" fontId="59" fillId="12" borderId="94" xfId="6" applyNumberFormat="1" applyFont="1" applyFill="1" applyBorder="1" applyAlignment="1" applyProtection="1">
      <alignment horizontal="center" wrapText="1"/>
    </xf>
    <xf numFmtId="167" fontId="2" fillId="0" borderId="24" xfId="6" applyNumberFormat="1" applyFont="1" applyFill="1" applyBorder="1" applyAlignment="1" applyProtection="1">
      <alignment horizontal="center" wrapText="1"/>
    </xf>
    <xf numFmtId="37" fontId="30" fillId="0" borderId="40" xfId="6" applyNumberFormat="1" applyFont="1" applyFill="1" applyBorder="1" applyAlignment="1" applyProtection="1">
      <alignment horizontal="center" wrapText="1"/>
    </xf>
    <xf numFmtId="37" fontId="30" fillId="0" borderId="22" xfId="6" applyNumberFormat="1" applyFont="1" applyFill="1" applyBorder="1" applyAlignment="1" applyProtection="1">
      <alignment horizontal="centerContinuous" wrapText="1"/>
    </xf>
    <xf numFmtId="3" fontId="66" fillId="12" borderId="24" xfId="4" applyNumberFormat="1" applyFont="1" applyFill="1" applyBorder="1" applyAlignment="1" applyProtection="1">
      <alignment horizontal="center" wrapText="1"/>
      <protection locked="0"/>
    </xf>
    <xf numFmtId="3" fontId="59" fillId="12" borderId="97" xfId="6" applyNumberFormat="1" applyFont="1" applyFill="1" applyBorder="1" applyAlignment="1" applyProtection="1">
      <alignment horizontal="center" wrapText="1"/>
    </xf>
    <xf numFmtId="167" fontId="11" fillId="0" borderId="10" xfId="6" applyNumberFormat="1" applyFont="1" applyFill="1" applyBorder="1" applyAlignment="1" applyProtection="1">
      <alignment horizontal="centerContinuous" wrapText="1"/>
    </xf>
    <xf numFmtId="37" fontId="11" fillId="0" borderId="8" xfId="6" applyNumberFormat="1" applyFont="1" applyFill="1" applyBorder="1" applyAlignment="1"/>
    <xf numFmtId="37" fontId="30" fillId="0" borderId="9" xfId="6" applyNumberFormat="1" applyFont="1" applyFill="1" applyBorder="1" applyAlignment="1" applyProtection="1">
      <alignment horizontal="center" wrapText="1"/>
    </xf>
    <xf numFmtId="37" fontId="30" fillId="0" borderId="105" xfId="6" applyNumberFormat="1" applyFont="1" applyFill="1" applyBorder="1" applyAlignment="1" applyProtection="1">
      <alignment horizontal="center" wrapText="1"/>
    </xf>
    <xf numFmtId="37" fontId="2" fillId="0" borderId="25" xfId="6" applyFont="1" applyFill="1" applyBorder="1" applyAlignment="1">
      <alignment horizontal="center" wrapText="1"/>
    </xf>
    <xf numFmtId="37" fontId="68" fillId="0" borderId="108" xfId="6" applyNumberFormat="1" applyFont="1" applyFill="1" applyBorder="1" applyAlignment="1" applyProtection="1">
      <alignment horizontal="centerContinuous" wrapText="1"/>
      <protection locked="0"/>
    </xf>
    <xf numFmtId="37" fontId="30" fillId="8" borderId="25" xfId="6" applyFont="1" applyFill="1" applyBorder="1" applyAlignment="1">
      <alignment horizontal="centerContinuous" wrapText="1"/>
    </xf>
    <xf numFmtId="37" fontId="2" fillId="6" borderId="0" xfId="4" applyFont="1" applyFill="1" applyBorder="1" applyAlignment="1" applyProtection="1">
      <alignment horizontal="center"/>
      <protection locked="0"/>
    </xf>
    <xf numFmtId="37" fontId="2" fillId="6" borderId="0" xfId="4" applyFont="1" applyFill="1" applyBorder="1" applyAlignment="1" applyProtection="1">
      <protection locked="0"/>
    </xf>
    <xf numFmtId="49" fontId="2" fillId="6" borderId="0" xfId="20" applyNumberFormat="1" applyFont="1" applyFill="1" applyBorder="1" applyAlignment="1" applyProtection="1">
      <alignment horizontal="center"/>
      <protection locked="0"/>
    </xf>
    <xf numFmtId="37" fontId="2" fillId="6" borderId="0" xfId="4" applyNumberFormat="1" applyFont="1" applyFill="1" applyBorder="1" applyAlignment="1" applyProtection="1">
      <alignment horizontal="center"/>
      <protection locked="0"/>
    </xf>
    <xf numFmtId="3" fontId="11" fillId="0" borderId="23" xfId="21" applyNumberFormat="1" applyFont="1" applyFill="1" applyBorder="1" applyAlignment="1" applyProtection="1">
      <alignment horizontal="right"/>
      <protection locked="0"/>
    </xf>
    <xf numFmtId="3" fontId="59" fillId="12" borderId="86" xfId="4" applyNumberFormat="1" applyFont="1" applyFill="1" applyBorder="1" applyAlignment="1" applyProtection="1">
      <alignment horizontal="right"/>
    </xf>
    <xf numFmtId="3" fontId="58" fillId="18" borderId="50" xfId="4" applyNumberFormat="1" applyFont="1" applyFill="1" applyBorder="1" applyAlignment="1" applyProtection="1">
      <alignment horizontal="right"/>
    </xf>
    <xf numFmtId="3" fontId="59" fillId="12" borderId="109" xfId="4" applyNumberFormat="1" applyFont="1" applyFill="1" applyBorder="1" applyAlignment="1" applyProtection="1">
      <alignment horizontal="right"/>
    </xf>
    <xf numFmtId="3" fontId="58" fillId="18" borderId="17" xfId="4" applyNumberFormat="1" applyFont="1" applyFill="1" applyBorder="1" applyAlignment="1" applyProtection="1">
      <alignment horizontal="right"/>
    </xf>
    <xf numFmtId="3" fontId="59" fillId="12" borderId="26" xfId="4" applyNumberFormat="1" applyFont="1" applyFill="1" applyBorder="1" applyAlignment="1" applyProtection="1">
      <alignment horizontal="right"/>
    </xf>
    <xf numFmtId="3" fontId="58" fillId="18" borderId="25" xfId="4" applyNumberFormat="1" applyFont="1" applyFill="1" applyBorder="1" applyAlignment="1" applyProtection="1">
      <alignment horizontal="right"/>
    </xf>
    <xf numFmtId="3" fontId="59" fillId="12" borderId="17" xfId="4" applyNumberFormat="1" applyFont="1" applyFill="1" applyBorder="1" applyAlignment="1" applyProtection="1">
      <alignment horizontal="right"/>
    </xf>
    <xf numFmtId="37" fontId="2" fillId="0" borderId="0" xfId="7" applyFont="1" applyBorder="1" applyAlignment="1" applyProtection="1">
      <protection locked="0"/>
    </xf>
    <xf numFmtId="37" fontId="34" fillId="6" borderId="0" xfId="4" applyFont="1" applyFill="1" applyBorder="1" applyAlignment="1" applyProtection="1">
      <alignment horizontal="right"/>
      <protection locked="0"/>
    </xf>
    <xf numFmtId="37" fontId="2" fillId="0" borderId="0" xfId="2" applyFont="1" applyFill="1" applyBorder="1" applyProtection="1">
      <protection locked="0"/>
    </xf>
    <xf numFmtId="37" fontId="2" fillId="6" borderId="0" xfId="4" applyFont="1" applyFill="1" applyBorder="1" applyAlignment="1" applyProtection="1">
      <alignment horizontal="right"/>
      <protection locked="0"/>
    </xf>
    <xf numFmtId="49" fontId="2" fillId="6" borderId="0" xfId="18" applyNumberFormat="1" applyFont="1" applyFill="1" applyBorder="1" applyAlignment="1" applyProtection="1">
      <alignment horizontal="center"/>
      <protection locked="0"/>
    </xf>
    <xf numFmtId="49" fontId="2" fillId="6" borderId="0" xfId="19" applyNumberFormat="1" applyFont="1" applyFill="1" applyBorder="1" applyAlignment="1" applyProtection="1">
      <alignment horizontal="left"/>
      <protection locked="0"/>
    </xf>
    <xf numFmtId="3" fontId="2" fillId="6" borderId="0" xfId="8" applyFont="1" applyFill="1" applyBorder="1" applyAlignment="1" applyProtection="1">
      <protection locked="0"/>
    </xf>
    <xf numFmtId="37" fontId="2" fillId="6" borderId="0" xfId="3" applyNumberFormat="1" applyFont="1" applyFill="1" applyBorder="1" applyAlignment="1" applyProtection="1">
      <alignment horizontal="center"/>
      <protection locked="0"/>
    </xf>
    <xf numFmtId="37" fontId="2" fillId="6" borderId="0" xfId="4" applyFont="1" applyFill="1" applyBorder="1" applyAlignment="1" applyProtection="1">
      <alignment horizontal="left"/>
      <protection locked="0"/>
    </xf>
    <xf numFmtId="37" fontId="11" fillId="6" borderId="0" xfId="4" applyFont="1" applyFill="1" applyBorder="1" applyAlignment="1" applyProtection="1">
      <protection locked="0"/>
    </xf>
    <xf numFmtId="49" fontId="2" fillId="6" borderId="0" xfId="20" applyNumberFormat="1" applyFont="1" applyFill="1" applyBorder="1" applyAlignment="1" applyProtection="1">
      <alignment horizontal="center" wrapText="1"/>
      <protection locked="0"/>
    </xf>
    <xf numFmtId="37" fontId="2" fillId="6" borderId="0" xfId="4" applyNumberFormat="1" applyFont="1" applyFill="1" applyBorder="1" applyAlignment="1" applyProtection="1">
      <alignment horizontal="center" wrapText="1"/>
      <protection locked="0"/>
    </xf>
    <xf numFmtId="167" fontId="11" fillId="6" borderId="0" xfId="4" applyNumberFormat="1" applyFont="1" applyFill="1" applyBorder="1" applyAlignment="1" applyProtection="1">
      <alignment horizontal="left"/>
      <protection locked="0"/>
    </xf>
    <xf numFmtId="37" fontId="34" fillId="6" borderId="0" xfId="4" applyFont="1" applyFill="1" applyBorder="1" applyAlignment="1" applyProtection="1">
      <alignment horizontal="left"/>
      <protection locked="0"/>
    </xf>
    <xf numFmtId="37" fontId="39" fillId="6" borderId="0" xfId="4" applyFont="1" applyFill="1" applyBorder="1" applyAlignment="1" applyProtection="1">
      <alignment horizontal="right"/>
      <protection locked="0"/>
    </xf>
    <xf numFmtId="37" fontId="2" fillId="6" borderId="0" xfId="5" applyFont="1" applyFill="1" applyBorder="1" applyAlignment="1" applyProtection="1">
      <alignment horizontal="right"/>
      <protection locked="0"/>
    </xf>
    <xf numFmtId="37" fontId="2" fillId="6" borderId="0" xfId="5" applyFont="1" applyFill="1" applyBorder="1" applyAlignment="1" applyProtection="1">
      <alignment horizontal="center" vertical="center" wrapText="1"/>
      <protection locked="0"/>
    </xf>
    <xf numFmtId="37" fontId="2" fillId="6" borderId="0" xfId="5" applyFont="1" applyFill="1" applyBorder="1" applyAlignment="1" applyProtection="1">
      <alignment horizontal="center"/>
      <protection locked="0"/>
    </xf>
    <xf numFmtId="37" fontId="2" fillId="6" borderId="0" xfId="5" applyNumberFormat="1" applyFont="1" applyFill="1" applyBorder="1" applyAlignment="1" applyProtection="1">
      <alignment horizontal="center" wrapText="1"/>
      <protection locked="0"/>
    </xf>
    <xf numFmtId="37" fontId="34" fillId="6" borderId="0" xfId="5" applyFont="1" applyFill="1" applyBorder="1" applyAlignment="1" applyProtection="1">
      <alignment horizontal="left"/>
      <protection locked="0"/>
    </xf>
    <xf numFmtId="37" fontId="2" fillId="7" borderId="0" xfId="4" applyFont="1" applyFill="1" applyBorder="1" applyAlignment="1" applyProtection="1">
      <alignment horizontal="center"/>
      <protection locked="0"/>
    </xf>
    <xf numFmtId="167" fontId="2" fillId="7" borderId="0" xfId="4" applyNumberFormat="1" applyFont="1" applyFill="1" applyBorder="1" applyAlignment="1" applyProtection="1">
      <alignment horizontal="center"/>
      <protection locked="0"/>
    </xf>
    <xf numFmtId="167" fontId="2" fillId="7" borderId="0" xfId="4" applyNumberFormat="1" applyFont="1" applyFill="1" applyBorder="1" applyAlignment="1" applyProtection="1">
      <protection locked="0"/>
    </xf>
    <xf numFmtId="49" fontId="2" fillId="7" borderId="0" xfId="20" applyNumberFormat="1" applyFont="1" applyFill="1" applyBorder="1" applyAlignment="1" applyProtection="1">
      <alignment horizontal="center"/>
      <protection locked="0"/>
    </xf>
    <xf numFmtId="37" fontId="2" fillId="7" borderId="0" xfId="4" applyNumberFormat="1" applyFont="1" applyFill="1" applyBorder="1" applyAlignment="1" applyProtection="1">
      <alignment horizontal="center"/>
      <protection locked="0"/>
    </xf>
    <xf numFmtId="167" fontId="34" fillId="7" borderId="0" xfId="4" applyNumberFormat="1" applyFont="1" applyFill="1" applyBorder="1" applyAlignment="1" applyProtection="1">
      <alignment horizontal="right"/>
      <protection locked="0"/>
    </xf>
    <xf numFmtId="167" fontId="2" fillId="7" borderId="0" xfId="4" applyNumberFormat="1" applyFont="1" applyFill="1" applyBorder="1" applyAlignment="1" applyProtection="1">
      <alignment horizontal="right"/>
      <protection locked="0"/>
    </xf>
    <xf numFmtId="49" fontId="2" fillId="7" borderId="0" xfId="19" applyNumberFormat="1" applyFont="1" applyFill="1" applyBorder="1" applyAlignment="1" applyProtection="1">
      <alignment horizontal="left"/>
      <protection locked="0"/>
    </xf>
    <xf numFmtId="167" fontId="2" fillId="7" borderId="0" xfId="4" applyNumberFormat="1" applyFont="1" applyFill="1" applyBorder="1" applyAlignment="1" applyProtection="1">
      <alignment horizontal="left"/>
      <protection locked="0"/>
    </xf>
    <xf numFmtId="167" fontId="11" fillId="7" borderId="0" xfId="4" applyNumberFormat="1" applyFont="1" applyFill="1" applyBorder="1" applyAlignment="1" applyProtection="1">
      <protection locked="0"/>
    </xf>
    <xf numFmtId="37" fontId="34" fillId="7" borderId="0" xfId="4" applyFont="1" applyFill="1" applyBorder="1" applyAlignment="1" applyProtection="1">
      <alignment horizontal="right"/>
      <protection locked="0"/>
    </xf>
    <xf numFmtId="167" fontId="34" fillId="7" borderId="0" xfId="4" applyNumberFormat="1" applyFont="1" applyFill="1" applyBorder="1" applyAlignment="1" applyProtection="1">
      <alignment horizontal="left"/>
      <protection locked="0"/>
    </xf>
    <xf numFmtId="167" fontId="39" fillId="7" borderId="0" xfId="4" applyNumberFormat="1" applyFont="1" applyFill="1" applyBorder="1" applyAlignment="1" applyProtection="1">
      <alignment horizontal="right"/>
      <protection locked="0"/>
    </xf>
    <xf numFmtId="37" fontId="2" fillId="7" borderId="0" xfId="5" applyFont="1" applyFill="1" applyBorder="1" applyAlignment="1" applyProtection="1">
      <alignment horizontal="center" vertical="center"/>
      <protection locked="0"/>
    </xf>
    <xf numFmtId="37" fontId="2" fillId="7" borderId="0" xfId="5" applyFont="1" applyFill="1" applyBorder="1" applyAlignment="1" applyProtection="1">
      <alignment horizontal="right"/>
      <protection locked="0"/>
    </xf>
    <xf numFmtId="37" fontId="11" fillId="7" borderId="0" xfId="5" applyFont="1" applyFill="1" applyBorder="1" applyAlignment="1" applyProtection="1">
      <alignment horizontal="right"/>
      <protection locked="0"/>
    </xf>
    <xf numFmtId="49" fontId="2" fillId="7" borderId="0" xfId="22" applyNumberFormat="1" applyFont="1" applyFill="1" applyBorder="1" applyAlignment="1" applyProtection="1">
      <protection locked="0"/>
    </xf>
    <xf numFmtId="37" fontId="2" fillId="7" borderId="0" xfId="22" applyNumberFormat="1" applyFont="1" applyFill="1" applyBorder="1" applyAlignment="1" applyProtection="1">
      <alignment horizontal="center"/>
      <protection locked="0"/>
    </xf>
    <xf numFmtId="37" fontId="2" fillId="7" borderId="0" xfId="22" applyFont="1" applyFill="1" applyBorder="1" applyAlignment="1" applyProtection="1">
      <alignment horizontal="center"/>
      <protection locked="0"/>
    </xf>
    <xf numFmtId="37" fontId="34" fillId="7" borderId="0" xfId="5" applyFont="1" applyFill="1" applyBorder="1" applyAlignment="1" applyProtection="1">
      <alignment horizontal="left"/>
      <protection locked="0"/>
    </xf>
    <xf numFmtId="37" fontId="2" fillId="19" borderId="0" xfId="5" applyFont="1" applyFill="1" applyBorder="1" applyAlignment="1" applyProtection="1">
      <alignment horizontal="center"/>
      <protection locked="0"/>
    </xf>
    <xf numFmtId="37" fontId="2" fillId="19" borderId="0" xfId="5" applyFont="1" applyFill="1" applyBorder="1" applyAlignment="1" applyProtection="1">
      <alignment horizontal="center" vertical="center" wrapText="1"/>
      <protection locked="0"/>
    </xf>
    <xf numFmtId="37" fontId="2" fillId="19" borderId="0" xfId="5" applyFont="1" applyFill="1" applyBorder="1" applyAlignment="1" applyProtection="1">
      <alignment vertical="center"/>
      <protection locked="0"/>
    </xf>
    <xf numFmtId="49" fontId="2" fillId="19" borderId="0" xfId="20" applyNumberFormat="1" applyFont="1" applyFill="1" applyBorder="1" applyAlignment="1" applyProtection="1">
      <alignment horizontal="center" wrapText="1"/>
      <protection locked="0"/>
    </xf>
    <xf numFmtId="37" fontId="2" fillId="19" borderId="0" xfId="4" applyNumberFormat="1" applyFont="1" applyFill="1" applyBorder="1" applyAlignment="1" applyProtection="1">
      <alignment horizontal="center" wrapText="1"/>
      <protection locked="0"/>
    </xf>
    <xf numFmtId="37" fontId="34" fillId="19" borderId="0" xfId="5" applyFont="1" applyFill="1" applyBorder="1" applyAlignment="1" applyProtection="1">
      <alignment horizontal="right"/>
      <protection locked="0"/>
    </xf>
    <xf numFmtId="49" fontId="2" fillId="19" borderId="0" xfId="5" applyNumberFormat="1" applyFont="1" applyFill="1" applyBorder="1" applyAlignment="1" applyProtection="1">
      <alignment horizontal="center"/>
      <protection locked="0"/>
    </xf>
    <xf numFmtId="37" fontId="2" fillId="19" borderId="0" xfId="5" applyNumberFormat="1" applyFont="1" applyFill="1" applyBorder="1" applyAlignment="1" applyProtection="1">
      <alignment horizontal="center"/>
      <protection locked="0"/>
    </xf>
    <xf numFmtId="37" fontId="2" fillId="19" borderId="0" xfId="5" applyFont="1" applyFill="1" applyBorder="1" applyAlignment="1" applyProtection="1">
      <alignment horizontal="right"/>
      <protection locked="0"/>
    </xf>
    <xf numFmtId="167" fontId="2" fillId="19" borderId="0" xfId="4" applyNumberFormat="1" applyFont="1" applyFill="1" applyBorder="1" applyAlignment="1" applyProtection="1">
      <alignment horizontal="center"/>
      <protection locked="0"/>
    </xf>
    <xf numFmtId="37" fontId="11" fillId="19" borderId="0" xfId="5" applyFont="1" applyFill="1" applyBorder="1" applyAlignment="1" applyProtection="1">
      <alignment vertical="center"/>
      <protection locked="0"/>
    </xf>
    <xf numFmtId="37" fontId="34" fillId="19" borderId="0" xfId="5" applyFont="1" applyFill="1" applyBorder="1" applyAlignment="1" applyProtection="1">
      <alignment horizontal="right" vertical="center"/>
      <protection locked="0"/>
    </xf>
    <xf numFmtId="37" fontId="2" fillId="19" borderId="0" xfId="5" applyFont="1" applyFill="1" applyBorder="1" applyAlignment="1" applyProtection="1">
      <alignment horizontal="right" vertical="center"/>
      <protection locked="0"/>
    </xf>
    <xf numFmtId="37" fontId="2" fillId="19" borderId="0" xfId="5" applyFont="1" applyFill="1" applyBorder="1" applyAlignment="1" applyProtection="1">
      <alignment horizontal="right" wrapText="1"/>
      <protection locked="0"/>
    </xf>
    <xf numFmtId="37" fontId="34" fillId="19" borderId="0" xfId="5" applyFont="1" applyFill="1" applyBorder="1" applyAlignment="1" applyProtection="1">
      <alignment horizontal="left" vertical="center"/>
      <protection locked="0"/>
    </xf>
    <xf numFmtId="37" fontId="39" fillId="19" borderId="0" xfId="5" applyFont="1" applyFill="1" applyBorder="1" applyAlignment="1" applyProtection="1">
      <alignment horizontal="right"/>
      <protection locked="0"/>
    </xf>
    <xf numFmtId="37" fontId="32" fillId="19" borderId="0" xfId="5" applyFont="1" applyFill="1" applyBorder="1" applyAlignment="1" applyProtection="1">
      <alignment horizontal="right"/>
      <protection locked="0"/>
    </xf>
    <xf numFmtId="37" fontId="2" fillId="20" borderId="0" xfId="4" applyFont="1" applyFill="1" applyBorder="1" applyAlignment="1" applyProtection="1">
      <alignment horizontal="center"/>
      <protection locked="0"/>
    </xf>
    <xf numFmtId="49" fontId="2" fillId="20" borderId="0" xfId="19" applyNumberFormat="1" applyFont="1" applyFill="1" applyBorder="1" applyAlignment="1" applyProtection="1">
      <alignment horizontal="left"/>
      <protection locked="0"/>
    </xf>
    <xf numFmtId="49" fontId="2" fillId="20" borderId="0" xfId="19" applyNumberFormat="1" applyFont="1" applyFill="1" applyBorder="1" applyAlignment="1" applyProtection="1">
      <alignment horizontal="center"/>
      <protection locked="0"/>
    </xf>
    <xf numFmtId="1" fontId="2" fillId="20" borderId="0" xfId="19" applyNumberFormat="1" applyFont="1" applyFill="1" applyBorder="1" applyAlignment="1" applyProtection="1">
      <alignment horizontal="center"/>
      <protection locked="0"/>
    </xf>
    <xf numFmtId="37" fontId="2" fillId="20" borderId="0" xfId="4" applyFont="1" applyFill="1" applyBorder="1" applyAlignment="1" applyProtection="1">
      <alignment horizontal="right"/>
      <protection locked="0"/>
    </xf>
    <xf numFmtId="49" fontId="2" fillId="20" borderId="0" xfId="20" applyNumberFormat="1" applyFont="1" applyFill="1" applyBorder="1" applyAlignment="1" applyProtection="1">
      <alignment horizontal="center"/>
      <protection locked="0"/>
    </xf>
    <xf numFmtId="37" fontId="34" fillId="20" borderId="0" xfId="4" applyFont="1" applyFill="1" applyBorder="1" applyAlignment="1" applyProtection="1">
      <alignment horizontal="right"/>
      <protection locked="0"/>
    </xf>
    <xf numFmtId="37" fontId="2" fillId="20" borderId="0" xfId="4" applyFont="1" applyFill="1" applyBorder="1" applyAlignment="1" applyProtection="1">
      <protection locked="0"/>
    </xf>
    <xf numFmtId="37" fontId="2" fillId="20" borderId="0" xfId="4" applyNumberFormat="1" applyFont="1" applyFill="1" applyBorder="1" applyAlignment="1" applyProtection="1">
      <alignment horizontal="center"/>
      <protection locked="0"/>
    </xf>
    <xf numFmtId="37" fontId="11" fillId="20" borderId="0" xfId="4" applyFont="1" applyFill="1" applyBorder="1" applyAlignment="1" applyProtection="1">
      <protection locked="0"/>
    </xf>
    <xf numFmtId="37" fontId="2" fillId="20" borderId="0" xfId="4" quotePrefix="1" applyNumberFormat="1" applyFont="1" applyFill="1" applyBorder="1" applyAlignment="1" applyProtection="1">
      <alignment horizontal="center"/>
      <protection locked="0"/>
    </xf>
    <xf numFmtId="37" fontId="34" fillId="20" borderId="0" xfId="4" applyFont="1" applyFill="1" applyBorder="1" applyAlignment="1" applyProtection="1">
      <alignment horizontal="left"/>
      <protection locked="0"/>
    </xf>
    <xf numFmtId="37" fontId="39" fillId="20" borderId="0" xfId="5" applyFont="1" applyFill="1" applyBorder="1" applyAlignment="1" applyProtection="1">
      <alignment horizontal="right"/>
      <protection locked="0"/>
    </xf>
    <xf numFmtId="37" fontId="2" fillId="20" borderId="0" xfId="5" applyFont="1" applyFill="1" applyBorder="1" applyAlignment="1" applyProtection="1">
      <alignment horizontal="center" vertical="center" wrapText="1"/>
      <protection locked="0"/>
    </xf>
    <xf numFmtId="37" fontId="2" fillId="20" borderId="0" xfId="5" applyFont="1" applyFill="1" applyBorder="1" applyAlignment="1" applyProtection="1">
      <alignment horizontal="right"/>
      <protection locked="0"/>
    </xf>
    <xf numFmtId="49" fontId="2" fillId="20" borderId="0" xfId="20" applyNumberFormat="1" applyFont="1" applyFill="1" applyBorder="1" applyAlignment="1" applyProtection="1">
      <alignment horizontal="center" wrapText="1"/>
      <protection locked="0"/>
    </xf>
    <xf numFmtId="37" fontId="2" fillId="20" borderId="0" xfId="4" applyNumberFormat="1" applyFont="1" applyFill="1" applyBorder="1" applyAlignment="1" applyProtection="1">
      <alignment horizontal="center" wrapText="1"/>
      <protection locked="0"/>
    </xf>
    <xf numFmtId="37" fontId="2" fillId="21" borderId="50" xfId="4" applyFont="1" applyFill="1" applyBorder="1" applyAlignment="1" applyProtection="1">
      <alignment horizontal="center"/>
      <protection locked="0"/>
    </xf>
    <xf numFmtId="37" fontId="2" fillId="21" borderId="0" xfId="4" applyFont="1" applyFill="1" applyBorder="1" applyAlignment="1" applyProtection="1">
      <alignment horizontal="center"/>
      <protection locked="0"/>
    </xf>
    <xf numFmtId="37" fontId="2" fillId="21" borderId="0" xfId="4" applyFont="1" applyFill="1" applyBorder="1" applyAlignment="1" applyProtection="1">
      <protection locked="0"/>
    </xf>
    <xf numFmtId="0" fontId="2" fillId="21" borderId="0" xfId="4" applyNumberFormat="1" applyFont="1" applyFill="1" applyBorder="1" applyAlignment="1" applyProtection="1">
      <alignment horizontal="center"/>
      <protection locked="0"/>
    </xf>
    <xf numFmtId="37" fontId="2" fillId="21" borderId="0" xfId="4" applyNumberFormat="1" applyFont="1" applyFill="1" applyBorder="1" applyAlignment="1" applyProtection="1">
      <alignment horizontal="center" wrapText="1"/>
      <protection locked="0"/>
    </xf>
    <xf numFmtId="3" fontId="2" fillId="0" borderId="17" xfId="24" applyNumberFormat="1" applyFont="1" applyBorder="1"/>
    <xf numFmtId="6" fontId="1" fillId="0" borderId="11" xfId="25" applyNumberFormat="1" applyBorder="1"/>
    <xf numFmtId="3" fontId="11" fillId="0" borderId="0" xfId="21" applyNumberFormat="1" applyFont="1" applyFill="1" applyBorder="1" applyAlignment="1" applyProtection="1">
      <alignment horizontal="right"/>
      <protection locked="0"/>
    </xf>
    <xf numFmtId="49" fontId="2" fillId="21" borderId="0" xfId="19" applyNumberFormat="1" applyFont="1" applyFill="1" applyBorder="1" applyAlignment="1" applyProtection="1">
      <alignment horizontal="left"/>
      <protection locked="0"/>
    </xf>
    <xf numFmtId="49" fontId="2" fillId="21" borderId="0" xfId="19" applyNumberFormat="1" applyFont="1" applyFill="1" applyBorder="1" applyAlignment="1" applyProtection="1">
      <alignment horizontal="center"/>
      <protection locked="0"/>
    </xf>
    <xf numFmtId="1" fontId="2" fillId="21" borderId="0" xfId="19" applyNumberFormat="1" applyFont="1" applyFill="1" applyBorder="1" applyAlignment="1" applyProtection="1">
      <alignment horizontal="center"/>
      <protection locked="0"/>
    </xf>
    <xf numFmtId="6" fontId="1" fillId="0" borderId="17" xfId="25" applyNumberFormat="1" applyBorder="1"/>
    <xf numFmtId="3" fontId="2" fillId="21" borderId="0" xfId="8" applyFont="1" applyFill="1" applyBorder="1" applyAlignment="1" applyProtection="1">
      <protection locked="0"/>
    </xf>
    <xf numFmtId="37" fontId="11" fillId="21" borderId="0" xfId="4" applyFont="1" applyFill="1" applyBorder="1" applyAlignment="1" applyProtection="1">
      <alignment horizontal="left"/>
      <protection locked="0"/>
    </xf>
    <xf numFmtId="49" fontId="2" fillId="21" borderId="0" xfId="4" applyNumberFormat="1" applyFont="1" applyFill="1" applyBorder="1" applyAlignment="1" applyProtection="1">
      <alignment horizontal="center"/>
      <protection locked="0"/>
    </xf>
    <xf numFmtId="3" fontId="11" fillId="0" borderId="17" xfId="21" applyNumberFormat="1" applyFont="1" applyFill="1" applyBorder="1" applyAlignment="1" applyProtection="1">
      <alignment horizontal="right"/>
      <protection locked="0"/>
    </xf>
    <xf numFmtId="3" fontId="2" fillId="0" borderId="23" xfId="21" applyNumberFormat="1" applyFont="1" applyFill="1" applyBorder="1" applyAlignment="1" applyProtection="1">
      <alignment horizontal="right"/>
      <protection locked="0"/>
    </xf>
    <xf numFmtId="37" fontId="2" fillId="22" borderId="0" xfId="4" applyFont="1" applyFill="1" applyBorder="1" applyAlignment="1" applyProtection="1">
      <alignment horizontal="center"/>
      <protection locked="0"/>
    </xf>
    <xf numFmtId="37" fontId="2" fillId="22" borderId="0" xfId="4" applyFont="1" applyFill="1" applyBorder="1" applyAlignment="1" applyProtection="1">
      <protection locked="0"/>
    </xf>
    <xf numFmtId="49" fontId="2" fillId="22" borderId="0" xfId="20" applyNumberFormat="1" applyFont="1" applyFill="1" applyBorder="1" applyAlignment="1" applyProtection="1">
      <alignment horizontal="center"/>
      <protection locked="0"/>
    </xf>
    <xf numFmtId="37" fontId="2" fillId="22" borderId="0" xfId="4" applyNumberFormat="1" applyFont="1" applyFill="1" applyBorder="1" applyAlignment="1" applyProtection="1">
      <alignment horizontal="center"/>
      <protection locked="0"/>
    </xf>
    <xf numFmtId="37" fontId="34" fillId="22" borderId="0" xfId="4" applyFont="1" applyFill="1" applyBorder="1" applyAlignment="1" applyProtection="1">
      <alignment horizontal="right"/>
      <protection locked="0"/>
    </xf>
    <xf numFmtId="37" fontId="2" fillId="22" borderId="0" xfId="4" applyFont="1" applyFill="1" applyBorder="1" applyAlignment="1" applyProtection="1">
      <alignment horizontal="right"/>
      <protection locked="0"/>
    </xf>
    <xf numFmtId="49" fontId="2" fillId="22" borderId="0" xfId="8" applyNumberFormat="1" applyFont="1" applyFill="1" applyBorder="1" applyAlignment="1" applyProtection="1">
      <alignment horizontal="center"/>
      <protection locked="0"/>
    </xf>
    <xf numFmtId="37" fontId="30" fillId="0" borderId="0" xfId="2" applyNumberFormat="1" applyFont="1" applyFill="1" applyBorder="1" applyProtection="1">
      <protection locked="0"/>
    </xf>
    <xf numFmtId="37" fontId="11" fillId="22" borderId="0" xfId="4" applyFont="1" applyFill="1" applyBorder="1" applyAlignment="1" applyProtection="1">
      <protection locked="0"/>
    </xf>
    <xf numFmtId="49" fontId="2" fillId="22" borderId="0" xfId="20" applyNumberFormat="1" applyFont="1" applyFill="1" applyBorder="1" applyAlignment="1" applyProtection="1">
      <alignment horizontal="center" wrapText="1"/>
      <protection locked="0"/>
    </xf>
    <xf numFmtId="37" fontId="2" fillId="22" borderId="0" xfId="4" applyNumberFormat="1" applyFont="1" applyFill="1" applyBorder="1" applyAlignment="1" applyProtection="1">
      <alignment horizontal="center" wrapText="1"/>
      <protection locked="0"/>
    </xf>
    <xf numFmtId="0" fontId="2" fillId="22" borderId="0" xfId="20" applyNumberFormat="1" applyFont="1" applyFill="1" applyBorder="1" applyAlignment="1" applyProtection="1">
      <alignment horizontal="right"/>
      <protection locked="0"/>
    </xf>
    <xf numFmtId="49" fontId="2" fillId="22" borderId="0" xfId="20" applyNumberFormat="1" applyFont="1" applyFill="1" applyBorder="1" applyAlignment="1" applyProtection="1">
      <alignment horizontal="left"/>
      <protection locked="0"/>
    </xf>
    <xf numFmtId="37" fontId="11" fillId="22" borderId="0" xfId="4" applyFont="1" applyFill="1" applyBorder="1" applyAlignment="1" applyProtection="1">
      <alignment horizontal="left"/>
      <protection locked="0"/>
    </xf>
    <xf numFmtId="37" fontId="34" fillId="22" borderId="0" xfId="4" applyFont="1" applyFill="1" applyBorder="1" applyAlignment="1" applyProtection="1">
      <alignment horizontal="left"/>
      <protection locked="0"/>
    </xf>
    <xf numFmtId="37" fontId="39" fillId="22" borderId="0" xfId="4" applyFont="1" applyFill="1" applyBorder="1" applyAlignment="1" applyProtection="1">
      <alignment horizontal="right"/>
      <protection locked="0"/>
    </xf>
    <xf numFmtId="37" fontId="2" fillId="22" borderId="0" xfId="5" applyFont="1" applyFill="1" applyBorder="1" applyAlignment="1" applyProtection="1">
      <alignment horizontal="center" vertical="center" wrapText="1"/>
      <protection locked="0"/>
    </xf>
    <xf numFmtId="37" fontId="2" fillId="22" borderId="0" xfId="5" applyFont="1" applyFill="1" applyBorder="1" applyAlignment="1" applyProtection="1">
      <alignment horizontal="right"/>
      <protection locked="0"/>
    </xf>
    <xf numFmtId="37" fontId="34" fillId="22" borderId="0" xfId="5" applyFont="1" applyFill="1" applyBorder="1" applyAlignment="1" applyProtection="1">
      <alignment horizontal="left"/>
      <protection locked="0"/>
    </xf>
    <xf numFmtId="49" fontId="2" fillId="22" borderId="0" xfId="5" applyNumberFormat="1" applyFont="1" applyFill="1" applyBorder="1" applyAlignment="1" applyProtection="1">
      <protection locked="0"/>
    </xf>
    <xf numFmtId="37" fontId="2" fillId="22" borderId="0" xfId="5" applyNumberFormat="1" applyFont="1" applyFill="1" applyBorder="1" applyAlignment="1" applyProtection="1">
      <alignment horizontal="center"/>
      <protection locked="0"/>
    </xf>
    <xf numFmtId="49" fontId="2" fillId="6" borderId="0" xfId="26" applyNumberFormat="1" applyFont="1" applyFill="1" applyBorder="1" applyAlignment="1" applyProtection="1">
      <alignment horizontal="left"/>
      <protection locked="0"/>
    </xf>
    <xf numFmtId="1" fontId="2" fillId="6" borderId="0" xfId="26" applyNumberFormat="1" applyFont="1" applyFill="1" applyBorder="1" applyAlignment="1" applyProtection="1">
      <alignment horizontal="center"/>
      <protection locked="0"/>
    </xf>
    <xf numFmtId="1" fontId="2" fillId="6" borderId="0" xfId="27" applyNumberFormat="1" applyFont="1" applyFill="1" applyBorder="1" applyAlignment="1" applyProtection="1">
      <alignment horizontal="center"/>
      <protection locked="0"/>
    </xf>
    <xf numFmtId="49" fontId="2" fillId="6" borderId="0" xfId="28" applyNumberFormat="1" applyFont="1" applyFill="1" applyBorder="1" applyAlignment="1" applyProtection="1">
      <alignment horizontal="left"/>
      <protection locked="0"/>
    </xf>
    <xf numFmtId="3" fontId="70" fillId="9" borderId="0" xfId="8" applyFont="1" applyFill="1" applyBorder="1" applyAlignment="1" applyProtection="1">
      <protection locked="0"/>
    </xf>
    <xf numFmtId="1" fontId="2" fillId="6" borderId="0" xfId="8" applyNumberFormat="1" applyFont="1" applyFill="1" applyBorder="1" applyAlignment="1" applyProtection="1">
      <alignment horizontal="center"/>
      <protection locked="0"/>
    </xf>
    <xf numFmtId="1" fontId="2" fillId="25" borderId="0" xfId="29" applyNumberFormat="1" applyFont="1" applyFill="1" applyBorder="1" applyAlignment="1" applyProtection="1">
      <alignment horizontal="center"/>
      <protection locked="0"/>
    </xf>
    <xf numFmtId="49" fontId="70" fillId="9" borderId="0" xfId="26" applyNumberFormat="1" applyFont="1" applyFill="1" applyBorder="1" applyAlignment="1" applyProtection="1">
      <alignment horizontal="left"/>
      <protection locked="0"/>
    </xf>
    <xf numFmtId="3" fontId="11" fillId="11" borderId="23" xfId="21" applyNumberFormat="1" applyFont="1" applyFill="1" applyBorder="1" applyAlignment="1" applyProtection="1">
      <alignment horizontal="right"/>
      <protection locked="0"/>
    </xf>
    <xf numFmtId="49" fontId="70" fillId="9" borderId="0" xfId="28" applyNumberFormat="1" applyFont="1" applyFill="1" applyBorder="1" applyAlignment="1" applyProtection="1">
      <alignment horizontal="left"/>
      <protection locked="0"/>
    </xf>
    <xf numFmtId="37" fontId="2" fillId="7" borderId="0" xfId="4" applyFont="1" applyFill="1" applyBorder="1" applyAlignment="1" applyProtection="1">
      <protection locked="0"/>
    </xf>
    <xf numFmtId="37" fontId="2" fillId="7" borderId="0" xfId="4" applyFont="1" applyFill="1" applyBorder="1" applyAlignment="1" applyProtection="1">
      <alignment horizontal="right"/>
      <protection locked="0"/>
    </xf>
    <xf numFmtId="0" fontId="2" fillId="7" borderId="0" xfId="20" applyNumberFormat="1" applyFont="1" applyFill="1" applyBorder="1" applyAlignment="1" applyProtection="1">
      <alignment horizontal="center"/>
      <protection locked="0"/>
    </xf>
    <xf numFmtId="37" fontId="2" fillId="7" borderId="0" xfId="4" applyFont="1" applyFill="1" applyBorder="1" applyAlignment="1" applyProtection="1">
      <alignment horizontal="left"/>
      <protection locked="0"/>
    </xf>
    <xf numFmtId="49" fontId="2" fillId="7" borderId="0" xfId="28" applyNumberFormat="1" applyFont="1" applyFill="1" applyBorder="1" applyAlignment="1" applyProtection="1">
      <alignment horizontal="left"/>
      <protection locked="0"/>
    </xf>
    <xf numFmtId="165" fontId="2" fillId="7" borderId="0" xfId="28" applyFont="1" applyFill="1" applyBorder="1" applyAlignment="1" applyProtection="1">
      <alignment horizontal="left"/>
      <protection locked="0"/>
    </xf>
    <xf numFmtId="49" fontId="2" fillId="7" borderId="0" xfId="28" applyNumberFormat="1" applyFont="1" applyFill="1" applyBorder="1" applyAlignment="1" applyProtection="1">
      <alignment horizontal="center"/>
      <protection locked="0"/>
    </xf>
    <xf numFmtId="165" fontId="2" fillId="7" borderId="0" xfId="19" applyFont="1" applyFill="1" applyBorder="1" applyAlignment="1" applyProtection="1">
      <alignment horizontal="center"/>
      <protection locked="0"/>
    </xf>
    <xf numFmtId="49" fontId="2" fillId="7" borderId="0" xfId="8" applyNumberFormat="1" applyFont="1" applyFill="1" applyBorder="1" applyAlignment="1" applyProtection="1">
      <alignment horizontal="center"/>
      <protection locked="0"/>
    </xf>
    <xf numFmtId="3" fontId="2" fillId="7" borderId="0" xfId="8" applyFont="1" applyFill="1" applyBorder="1" applyAlignment="1" applyProtection="1">
      <protection locked="0"/>
    </xf>
    <xf numFmtId="49" fontId="2" fillId="7" borderId="0" xfId="30" applyNumberFormat="1" applyFont="1" applyFill="1" applyBorder="1" applyAlignment="1" applyProtection="1">
      <alignment horizontal="center"/>
      <protection locked="0"/>
    </xf>
    <xf numFmtId="165" fontId="2" fillId="26" borderId="0" xfId="31" applyNumberFormat="1" applyFont="1" applyFill="1" applyBorder="1" applyAlignment="1" applyProtection="1">
      <alignment horizontal="center"/>
      <protection locked="0"/>
    </xf>
    <xf numFmtId="3" fontId="2" fillId="7" borderId="0" xfId="8" applyFont="1" applyFill="1" applyBorder="1" applyAlignment="1" applyProtection="1">
      <alignment horizontal="left"/>
      <protection locked="0"/>
    </xf>
    <xf numFmtId="165" fontId="2" fillId="7" borderId="0" xfId="28" applyFont="1" applyFill="1" applyBorder="1" applyAlignment="1" applyProtection="1">
      <protection locked="0"/>
    </xf>
    <xf numFmtId="37" fontId="11" fillId="7" borderId="0" xfId="4" applyFont="1" applyFill="1" applyBorder="1" applyAlignment="1" applyProtection="1">
      <alignment horizontal="left"/>
      <protection locked="0"/>
    </xf>
    <xf numFmtId="49" fontId="2" fillId="7" borderId="0" xfId="4" applyNumberFormat="1" applyFont="1" applyFill="1" applyBorder="1" applyAlignment="1" applyProtection="1">
      <protection locked="0"/>
    </xf>
    <xf numFmtId="37" fontId="34" fillId="7" borderId="0" xfId="4" applyFont="1" applyFill="1" applyBorder="1" applyAlignment="1" applyProtection="1">
      <alignment horizontal="left"/>
      <protection locked="0"/>
    </xf>
    <xf numFmtId="37" fontId="2" fillId="7" borderId="0" xfId="5" applyFont="1" applyFill="1" applyBorder="1" applyAlignment="1" applyProtection="1">
      <alignment horizontal="center" vertical="center" wrapText="1"/>
      <protection locked="0"/>
    </xf>
    <xf numFmtId="37" fontId="39" fillId="7" borderId="0" xfId="5" applyFont="1" applyFill="1" applyBorder="1" applyAlignment="1" applyProtection="1">
      <alignment horizontal="right"/>
      <protection locked="0"/>
    </xf>
    <xf numFmtId="49" fontId="2" fillId="7" borderId="0" xfId="20" applyNumberFormat="1" applyFont="1" applyFill="1" applyBorder="1" applyAlignment="1" applyProtection="1">
      <alignment horizontal="center" wrapText="1"/>
      <protection locked="0"/>
    </xf>
    <xf numFmtId="37" fontId="2" fillId="7" borderId="0" xfId="4" applyNumberFormat="1" applyFont="1" applyFill="1" applyBorder="1" applyAlignment="1" applyProtection="1">
      <alignment horizontal="center" wrapText="1"/>
      <protection locked="0"/>
    </xf>
    <xf numFmtId="37" fontId="39" fillId="7" borderId="0" xfId="4" applyFont="1" applyFill="1" applyBorder="1" applyAlignment="1" applyProtection="1">
      <alignment horizontal="right"/>
      <protection locked="0"/>
    </xf>
    <xf numFmtId="167" fontId="2" fillId="24" borderId="0" xfId="4" applyNumberFormat="1" applyFont="1" applyFill="1" applyBorder="1" applyAlignment="1" applyProtection="1">
      <alignment horizontal="center"/>
      <protection locked="0"/>
    </xf>
    <xf numFmtId="167" fontId="2" fillId="24" borderId="0" xfId="4" applyNumberFormat="1" applyFont="1" applyFill="1" applyBorder="1" applyAlignment="1" applyProtection="1">
      <protection locked="0"/>
    </xf>
    <xf numFmtId="49" fontId="2" fillId="24" borderId="0" xfId="20" applyNumberFormat="1" applyFont="1" applyFill="1" applyBorder="1" applyAlignment="1" applyProtection="1">
      <alignment horizontal="center"/>
      <protection locked="0"/>
    </xf>
    <xf numFmtId="37" fontId="2" fillId="24" borderId="0" xfId="4" applyNumberFormat="1" applyFont="1" applyFill="1" applyBorder="1" applyAlignment="1" applyProtection="1">
      <alignment horizontal="center"/>
      <protection locked="0"/>
    </xf>
    <xf numFmtId="167" fontId="34" fillId="24" borderId="0" xfId="4" applyNumberFormat="1" applyFont="1" applyFill="1" applyBorder="1" applyAlignment="1" applyProtection="1">
      <alignment horizontal="right"/>
      <protection locked="0"/>
    </xf>
    <xf numFmtId="167" fontId="2" fillId="24" borderId="0" xfId="4" applyNumberFormat="1" applyFont="1" applyFill="1" applyBorder="1" applyAlignment="1" applyProtection="1">
      <alignment horizontal="right"/>
      <protection locked="0"/>
    </xf>
    <xf numFmtId="165" fontId="2" fillId="24" borderId="0" xfId="28" applyFont="1" applyFill="1" applyBorder="1" applyAlignment="1" applyProtection="1">
      <protection locked="0"/>
    </xf>
    <xf numFmtId="49" fontId="2" fillId="24" borderId="0" xfId="28" applyNumberFormat="1" applyFont="1" applyFill="1" applyBorder="1" applyAlignment="1" applyProtection="1">
      <alignment horizontal="center"/>
      <protection locked="0"/>
    </xf>
    <xf numFmtId="165" fontId="2" fillId="24" borderId="0" xfId="19" applyFont="1" applyFill="1" applyBorder="1" applyAlignment="1" applyProtection="1">
      <alignment horizontal="center"/>
      <protection locked="0"/>
    </xf>
    <xf numFmtId="49" fontId="2" fillId="24" borderId="0" xfId="28" applyNumberFormat="1" applyFont="1" applyFill="1" applyBorder="1" applyAlignment="1" applyProtection="1">
      <alignment horizontal="left"/>
      <protection locked="0"/>
    </xf>
    <xf numFmtId="1" fontId="2" fillId="24" borderId="0" xfId="19" applyNumberFormat="1" applyFont="1" applyFill="1" applyBorder="1" applyAlignment="1" applyProtection="1">
      <alignment horizontal="center"/>
      <protection locked="0"/>
    </xf>
    <xf numFmtId="3" fontId="2" fillId="24" borderId="0" xfId="8" applyFont="1" applyFill="1" applyBorder="1" applyAlignment="1" applyProtection="1">
      <protection locked="0"/>
    </xf>
    <xf numFmtId="49" fontId="2" fillId="24" borderId="0" xfId="8" applyNumberFormat="1" applyFont="1" applyFill="1" applyBorder="1" applyAlignment="1" applyProtection="1">
      <alignment horizontal="left"/>
      <protection locked="0"/>
    </xf>
    <xf numFmtId="167" fontId="11" fillId="24" borderId="0" xfId="4" applyNumberFormat="1" applyFont="1" applyFill="1" applyBorder="1" applyAlignment="1" applyProtection="1">
      <alignment horizontal="center"/>
      <protection locked="0"/>
    </xf>
    <xf numFmtId="167" fontId="11" fillId="24" borderId="0" xfId="4" applyNumberFormat="1" applyFont="1" applyFill="1" applyBorder="1" applyAlignment="1" applyProtection="1">
      <protection locked="0"/>
    </xf>
    <xf numFmtId="49" fontId="11" fillId="24" borderId="0" xfId="20" applyNumberFormat="1" applyFont="1" applyFill="1" applyBorder="1" applyAlignment="1" applyProtection="1">
      <alignment horizontal="center"/>
      <protection locked="0"/>
    </xf>
    <xf numFmtId="49" fontId="2" fillId="24" borderId="0" xfId="20" applyNumberFormat="1" applyFont="1" applyFill="1" applyBorder="1" applyAlignment="1" applyProtection="1">
      <protection locked="0"/>
    </xf>
    <xf numFmtId="37" fontId="34" fillId="24" borderId="0" xfId="4" applyFont="1" applyFill="1" applyBorder="1" applyAlignment="1" applyProtection="1">
      <alignment horizontal="right"/>
      <protection locked="0"/>
    </xf>
    <xf numFmtId="37" fontId="2" fillId="24" borderId="0" xfId="4" applyFont="1" applyFill="1" applyBorder="1" applyAlignment="1" applyProtection="1">
      <alignment horizontal="right"/>
      <protection locked="0"/>
    </xf>
    <xf numFmtId="167" fontId="34" fillId="24" borderId="0" xfId="4" applyNumberFormat="1" applyFont="1" applyFill="1" applyBorder="1" applyAlignment="1" applyProtection="1">
      <alignment horizontal="left"/>
      <protection locked="0"/>
    </xf>
    <xf numFmtId="167" fontId="11" fillId="24" borderId="0" xfId="4" applyNumberFormat="1" applyFont="1" applyFill="1" applyBorder="1" applyAlignment="1" applyProtection="1">
      <alignment horizontal="right"/>
      <protection locked="0"/>
    </xf>
    <xf numFmtId="37" fontId="2" fillId="24" borderId="0" xfId="5" applyFont="1" applyFill="1" applyBorder="1" applyAlignment="1" applyProtection="1">
      <alignment horizontal="center" vertical="center" wrapText="1"/>
      <protection locked="0"/>
    </xf>
    <xf numFmtId="37" fontId="2" fillId="24" borderId="0" xfId="5" applyFont="1" applyFill="1" applyBorder="1" applyAlignment="1" applyProtection="1">
      <alignment horizontal="right"/>
      <protection locked="0"/>
    </xf>
    <xf numFmtId="37" fontId="34" fillId="24" borderId="0" xfId="5" applyFont="1" applyFill="1" applyBorder="1" applyAlignment="1" applyProtection="1">
      <alignment horizontal="left"/>
      <protection locked="0"/>
    </xf>
    <xf numFmtId="37" fontId="2" fillId="24" borderId="0" xfId="4" applyFont="1" applyFill="1" applyBorder="1" applyAlignment="1" applyProtection="1">
      <alignment horizontal="center"/>
      <protection locked="0"/>
    </xf>
    <xf numFmtId="37" fontId="34" fillId="24" borderId="0" xfId="4" applyFont="1" applyFill="1" applyBorder="1" applyAlignment="1" applyProtection="1">
      <alignment horizontal="left"/>
      <protection locked="0"/>
    </xf>
    <xf numFmtId="49" fontId="2" fillId="24" borderId="0" xfId="20" applyNumberFormat="1" applyFont="1" applyFill="1" applyBorder="1" applyAlignment="1" applyProtection="1">
      <alignment horizontal="center" wrapText="1"/>
      <protection locked="0"/>
    </xf>
    <xf numFmtId="37" fontId="2" fillId="24" borderId="0" xfId="4" applyNumberFormat="1" applyFont="1" applyFill="1" applyBorder="1" applyAlignment="1" applyProtection="1">
      <alignment horizontal="center" wrapText="1"/>
      <protection locked="0"/>
    </xf>
    <xf numFmtId="37" fontId="2" fillId="19" borderId="0" xfId="4" applyFont="1" applyFill="1" applyBorder="1" applyAlignment="1" applyProtection="1">
      <alignment horizontal="center"/>
      <protection locked="0"/>
    </xf>
    <xf numFmtId="37" fontId="2" fillId="19" borderId="0" xfId="4" applyFont="1" applyFill="1" applyBorder="1" applyAlignment="1" applyProtection="1">
      <protection locked="0"/>
    </xf>
    <xf numFmtId="49" fontId="2" fillId="19" borderId="0" xfId="20" applyNumberFormat="1" applyFont="1" applyFill="1" applyBorder="1" applyAlignment="1" applyProtection="1">
      <alignment horizontal="center"/>
      <protection locked="0"/>
    </xf>
    <xf numFmtId="37" fontId="2" fillId="19" borderId="0" xfId="4" applyNumberFormat="1" applyFont="1" applyFill="1" applyBorder="1" applyAlignment="1" applyProtection="1">
      <alignment horizontal="center"/>
      <protection locked="0"/>
    </xf>
    <xf numFmtId="41" fontId="11" fillId="0" borderId="23" xfId="21" applyNumberFormat="1" applyFont="1" applyFill="1" applyBorder="1" applyAlignment="1" applyProtection="1">
      <alignment horizontal="right"/>
      <protection locked="0"/>
    </xf>
    <xf numFmtId="37" fontId="34" fillId="19" borderId="0" xfId="4" applyFont="1" applyFill="1" applyBorder="1" applyAlignment="1" applyProtection="1">
      <alignment horizontal="right"/>
      <protection locked="0"/>
    </xf>
    <xf numFmtId="37" fontId="2" fillId="19" borderId="0" xfId="4" applyFont="1" applyFill="1" applyBorder="1" applyAlignment="1" applyProtection="1">
      <alignment horizontal="right"/>
      <protection locked="0"/>
    </xf>
    <xf numFmtId="49" fontId="2" fillId="19" borderId="0" xfId="28" applyNumberFormat="1" applyFont="1" applyFill="1" applyBorder="1" applyAlignment="1" applyProtection="1">
      <alignment horizontal="left"/>
      <protection locked="0"/>
    </xf>
    <xf numFmtId="37" fontId="11" fillId="19" borderId="0" xfId="4" applyFont="1" applyFill="1" applyBorder="1" applyAlignment="1" applyProtection="1">
      <protection locked="0"/>
    </xf>
    <xf numFmtId="37" fontId="34" fillId="19" borderId="0" xfId="4" applyFont="1" applyFill="1" applyBorder="1" applyAlignment="1" applyProtection="1">
      <alignment horizontal="left"/>
      <protection locked="0"/>
    </xf>
    <xf numFmtId="37" fontId="39" fillId="19" borderId="0" xfId="4" applyFont="1" applyFill="1" applyBorder="1" applyAlignment="1" applyProtection="1">
      <alignment horizontal="right"/>
      <protection locked="0"/>
    </xf>
    <xf numFmtId="37" fontId="39" fillId="19" borderId="0" xfId="7" applyFont="1" applyFill="1" applyBorder="1" applyAlignment="1" applyProtection="1">
      <alignment horizontal="right"/>
      <protection locked="0"/>
    </xf>
    <xf numFmtId="37" fontId="2" fillId="19" borderId="0" xfId="7" applyFont="1" applyFill="1" applyBorder="1" applyAlignment="1" applyProtection="1">
      <alignment horizontal="center"/>
      <protection locked="0"/>
    </xf>
    <xf numFmtId="37" fontId="2" fillId="19" borderId="0" xfId="4" applyFont="1" applyFill="1" applyBorder="1" applyAlignment="1" applyProtection="1">
      <alignment horizontal="center" vertical="center"/>
      <protection locked="0"/>
    </xf>
    <xf numFmtId="37" fontId="2" fillId="19" borderId="0" xfId="7" applyFont="1" applyFill="1" applyBorder="1" applyAlignment="1" applyProtection="1">
      <alignment horizontal="center" vertical="center"/>
      <protection locked="0"/>
    </xf>
    <xf numFmtId="37" fontId="39" fillId="19" borderId="0" xfId="7" applyFont="1" applyFill="1" applyBorder="1" applyAlignment="1" applyProtection="1">
      <alignment horizontal="right" wrapText="1"/>
      <protection locked="0"/>
    </xf>
    <xf numFmtId="37" fontId="39" fillId="19" borderId="0" xfId="7" applyFont="1" applyFill="1" applyBorder="1" applyAlignment="1" applyProtection="1">
      <alignment horizontal="center"/>
      <protection locked="0"/>
    </xf>
    <xf numFmtId="37" fontId="34" fillId="19" borderId="0" xfId="5" applyFont="1" applyFill="1" applyBorder="1" applyAlignment="1" applyProtection="1">
      <alignment horizontal="left"/>
      <protection locked="0"/>
    </xf>
    <xf numFmtId="37" fontId="2" fillId="20" borderId="0" xfId="22" applyFont="1" applyFill="1" applyBorder="1" applyAlignment="1" applyProtection="1">
      <alignment horizontal="center"/>
      <protection locked="0"/>
    </xf>
    <xf numFmtId="37" fontId="2" fillId="20" borderId="0" xfId="22" applyFont="1" applyFill="1" applyBorder="1" applyAlignment="1" applyProtection="1">
      <protection locked="0"/>
    </xf>
    <xf numFmtId="49" fontId="2" fillId="20" borderId="0" xfId="22" applyNumberFormat="1" applyFont="1" applyFill="1" applyBorder="1" applyAlignment="1" applyProtection="1">
      <alignment horizontal="center"/>
      <protection locked="0"/>
    </xf>
    <xf numFmtId="37" fontId="2" fillId="20" borderId="0" xfId="22" applyFont="1" applyFill="1" applyBorder="1" applyAlignment="1" applyProtection="1">
      <alignment horizontal="right"/>
      <protection locked="0"/>
    </xf>
    <xf numFmtId="37" fontId="34" fillId="20" borderId="0" xfId="22" applyFont="1" applyFill="1" applyBorder="1" applyAlignment="1" applyProtection="1">
      <alignment horizontal="right"/>
      <protection locked="0"/>
    </xf>
    <xf numFmtId="49" fontId="2" fillId="20" borderId="0" xfId="28" applyNumberFormat="1" applyFont="1" applyFill="1" applyBorder="1" applyAlignment="1" applyProtection="1">
      <alignment horizontal="left"/>
      <protection locked="0"/>
    </xf>
    <xf numFmtId="49" fontId="2" fillId="20" borderId="0" xfId="28" applyNumberFormat="1" applyFont="1" applyFill="1" applyBorder="1" applyAlignment="1" applyProtection="1">
      <alignment horizontal="center"/>
      <protection locked="0"/>
    </xf>
    <xf numFmtId="37" fontId="11" fillId="20" borderId="0" xfId="22" applyFont="1" applyFill="1" applyBorder="1" applyAlignment="1" applyProtection="1">
      <protection locked="0"/>
    </xf>
    <xf numFmtId="49" fontId="2" fillId="20" borderId="0" xfId="22" applyNumberFormat="1" applyFont="1" applyFill="1" applyBorder="1" applyAlignment="1" applyProtection="1">
      <alignment horizontal="center" wrapText="1"/>
      <protection locked="0"/>
    </xf>
    <xf numFmtId="37" fontId="2" fillId="20" borderId="0" xfId="22" applyFont="1" applyFill="1" applyBorder="1" applyAlignment="1" applyProtection="1">
      <alignment horizontal="center" wrapText="1"/>
      <protection locked="0"/>
    </xf>
    <xf numFmtId="37" fontId="11" fillId="20" borderId="0" xfId="22" applyFont="1" applyFill="1" applyBorder="1" applyAlignment="1" applyProtection="1">
      <alignment horizontal="right"/>
      <protection locked="0"/>
    </xf>
    <xf numFmtId="37" fontId="2" fillId="20" borderId="0" xfId="22" applyFont="1" applyFill="1" applyBorder="1" applyAlignment="1" applyProtection="1">
      <alignment horizontal="center" vertical="center" wrapText="1"/>
      <protection locked="0"/>
    </xf>
    <xf numFmtId="167" fontId="2" fillId="21" borderId="0" xfId="4" applyNumberFormat="1" applyFont="1" applyFill="1" applyBorder="1" applyAlignment="1" applyProtection="1">
      <alignment horizontal="center"/>
      <protection locked="0"/>
    </xf>
    <xf numFmtId="49" fontId="2" fillId="21" borderId="0" xfId="28" applyNumberFormat="1" applyFont="1" applyFill="1" applyBorder="1" applyAlignment="1" applyProtection="1">
      <alignment horizontal="left"/>
      <protection locked="0"/>
    </xf>
    <xf numFmtId="49" fontId="2" fillId="21" borderId="0" xfId="20" applyNumberFormat="1" applyFont="1" applyFill="1" applyBorder="1" applyAlignment="1" applyProtection="1">
      <alignment horizontal="center"/>
      <protection locked="0"/>
    </xf>
    <xf numFmtId="37" fontId="2" fillId="21" borderId="0" xfId="4" applyNumberFormat="1" applyFont="1" applyFill="1" applyBorder="1" applyAlignment="1" applyProtection="1">
      <alignment horizontal="center"/>
      <protection locked="0"/>
    </xf>
    <xf numFmtId="167" fontId="34" fillId="21" borderId="0" xfId="4" applyNumberFormat="1" applyFont="1" applyFill="1" applyBorder="1" applyAlignment="1" applyProtection="1">
      <alignment horizontal="right"/>
      <protection locked="0"/>
    </xf>
    <xf numFmtId="167" fontId="2" fillId="21" borderId="0" xfId="4" applyNumberFormat="1" applyFont="1" applyFill="1" applyBorder="1" applyAlignment="1" applyProtection="1">
      <alignment horizontal="right"/>
      <protection locked="0"/>
    </xf>
    <xf numFmtId="167" fontId="2" fillId="21" borderId="0" xfId="4" applyNumberFormat="1" applyFont="1" applyFill="1" applyBorder="1" applyAlignment="1" applyProtection="1">
      <protection locked="0"/>
    </xf>
    <xf numFmtId="167" fontId="11" fillId="21" borderId="0" xfId="4" applyNumberFormat="1" applyFont="1" applyFill="1" applyBorder="1" applyAlignment="1" applyProtection="1">
      <protection locked="0"/>
    </xf>
    <xf numFmtId="37" fontId="2" fillId="8" borderId="0" xfId="4" applyFont="1" applyFill="1" applyBorder="1" applyAlignment="1" applyProtection="1">
      <alignment horizontal="center"/>
      <protection locked="0"/>
    </xf>
    <xf numFmtId="37" fontId="2" fillId="8" borderId="0" xfId="4" applyFont="1" applyFill="1" applyBorder="1" applyAlignment="1" applyProtection="1">
      <protection locked="0"/>
    </xf>
    <xf numFmtId="49" fontId="2" fillId="8" borderId="0" xfId="20" applyNumberFormat="1" applyFont="1" applyFill="1" applyBorder="1" applyAlignment="1" applyProtection="1">
      <alignment horizontal="center"/>
      <protection locked="0"/>
    </xf>
    <xf numFmtId="37" fontId="2" fillId="8" borderId="0" xfId="4" applyNumberFormat="1" applyFont="1" applyFill="1" applyBorder="1" applyAlignment="1" applyProtection="1">
      <alignment horizontal="center"/>
      <protection locked="0"/>
    </xf>
    <xf numFmtId="37" fontId="2" fillId="8" borderId="0" xfId="4" applyFont="1" applyFill="1" applyBorder="1" applyAlignment="1" applyProtection="1">
      <alignment horizontal="right"/>
      <protection locked="0"/>
    </xf>
    <xf numFmtId="37" fontId="34" fillId="8" borderId="0" xfId="4" applyFont="1" applyFill="1" applyBorder="1" applyAlignment="1" applyProtection="1">
      <alignment horizontal="right"/>
      <protection locked="0"/>
    </xf>
    <xf numFmtId="49" fontId="2" fillId="8" borderId="0" xfId="28" applyNumberFormat="1" applyFont="1" applyFill="1" applyBorder="1" applyAlignment="1" applyProtection="1">
      <alignment horizontal="left"/>
      <protection locked="0"/>
    </xf>
    <xf numFmtId="37" fontId="11" fillId="8" borderId="0" xfId="4" applyFont="1" applyFill="1" applyBorder="1" applyAlignment="1" applyProtection="1">
      <protection locked="0"/>
    </xf>
    <xf numFmtId="49" fontId="2" fillId="8" borderId="0" xfId="20" applyNumberFormat="1" applyFont="1" applyFill="1" applyBorder="1" applyAlignment="1" applyProtection="1">
      <alignment horizontal="center" wrapText="1"/>
      <protection locked="0"/>
    </xf>
    <xf numFmtId="37" fontId="2" fillId="8" borderId="0" xfId="4" applyNumberFormat="1" applyFont="1" applyFill="1" applyBorder="1" applyAlignment="1" applyProtection="1">
      <alignment horizontal="center" wrapText="1"/>
      <protection locked="0"/>
    </xf>
    <xf numFmtId="37" fontId="34" fillId="8" borderId="0" xfId="4" applyFont="1" applyFill="1" applyBorder="1" applyAlignment="1" applyProtection="1">
      <alignment horizontal="left"/>
      <protection locked="0"/>
    </xf>
    <xf numFmtId="37" fontId="39" fillId="8" borderId="0" xfId="4" applyFont="1" applyFill="1" applyBorder="1" applyAlignment="1" applyProtection="1">
      <alignment horizontal="right"/>
      <protection locked="0"/>
    </xf>
    <xf numFmtId="37" fontId="2" fillId="8" borderId="0" xfId="5" applyFont="1" applyFill="1" applyBorder="1" applyAlignment="1" applyProtection="1">
      <alignment horizontal="right"/>
      <protection locked="0"/>
    </xf>
    <xf numFmtId="37" fontId="11" fillId="8" borderId="0" xfId="5" applyFont="1" applyFill="1" applyBorder="1" applyAlignment="1" applyProtection="1">
      <alignment horizontal="right"/>
      <protection locked="0"/>
    </xf>
    <xf numFmtId="37" fontId="2" fillId="11" borderId="0" xfId="4" applyFont="1" applyFill="1" applyBorder="1" applyAlignment="1" applyProtection="1">
      <alignment horizontal="center"/>
      <protection locked="0"/>
    </xf>
    <xf numFmtId="37" fontId="39" fillId="11" borderId="0" xfId="4" applyFont="1" applyFill="1" applyBorder="1" applyAlignment="1" applyProtection="1">
      <alignment horizontal="right"/>
      <protection locked="0"/>
    </xf>
    <xf numFmtId="49" fontId="2" fillId="11" borderId="0" xfId="20" applyNumberFormat="1" applyFont="1" applyFill="1" applyBorder="1" applyAlignment="1" applyProtection="1">
      <alignment horizontal="center" wrapText="1"/>
      <protection locked="0"/>
    </xf>
    <xf numFmtId="37" fontId="2" fillId="11" borderId="0" xfId="4" applyNumberFormat="1" applyFont="1" applyFill="1" applyBorder="1" applyAlignment="1" applyProtection="1">
      <alignment horizontal="center" wrapText="1"/>
      <protection locked="0"/>
    </xf>
    <xf numFmtId="37" fontId="2" fillId="11" borderId="0" xfId="5" applyFont="1" applyFill="1" applyBorder="1" applyAlignment="1" applyProtection="1">
      <alignment horizontal="right"/>
      <protection locked="0"/>
    </xf>
    <xf numFmtId="37" fontId="2" fillId="8" borderId="0" xfId="5" applyFont="1" applyFill="1" applyBorder="1" applyAlignment="1" applyProtection="1">
      <alignment horizontal="center" vertical="center" wrapText="1"/>
      <protection locked="0"/>
    </xf>
    <xf numFmtId="37" fontId="34" fillId="8" borderId="0" xfId="5" applyFont="1" applyFill="1" applyBorder="1" applyAlignment="1" applyProtection="1">
      <alignment horizontal="left"/>
      <protection locked="0"/>
    </xf>
    <xf numFmtId="37" fontId="2" fillId="11" borderId="0" xfId="5" applyFont="1" applyFill="1" applyBorder="1" applyAlignment="1" applyProtection="1">
      <alignment horizontal="center" vertical="center" wrapText="1"/>
      <protection locked="0"/>
    </xf>
    <xf numFmtId="37" fontId="2" fillId="22" borderId="0" xfId="4" applyFont="1" applyFill="1" applyBorder="1" applyAlignment="1" applyProtection="1">
      <alignment horizontal="left"/>
      <protection locked="0"/>
    </xf>
    <xf numFmtId="49" fontId="2" fillId="22" borderId="0" xfId="28" applyNumberFormat="1" applyFont="1" applyFill="1" applyBorder="1" applyAlignment="1" applyProtection="1">
      <alignment horizontal="left"/>
      <protection locked="0"/>
    </xf>
    <xf numFmtId="3" fontId="2" fillId="22" borderId="0" xfId="8" applyFont="1" applyFill="1" applyBorder="1" applyAlignment="1" applyProtection="1">
      <protection locked="0"/>
    </xf>
    <xf numFmtId="0" fontId="2" fillId="6" borderId="0" xfId="20" applyNumberFormat="1" applyFont="1" applyFill="1" applyBorder="1" applyAlignment="1" applyProtection="1">
      <alignment horizontal="center"/>
      <protection locked="0"/>
    </xf>
    <xf numFmtId="37" fontId="11" fillId="6" borderId="0" xfId="4" applyFont="1" applyFill="1" applyBorder="1" applyAlignment="1" applyProtection="1">
      <alignment horizontal="right"/>
      <protection locked="0"/>
    </xf>
    <xf numFmtId="49" fontId="2" fillId="7" borderId="0" xfId="32" applyNumberFormat="1" applyFont="1" applyFill="1" applyBorder="1" applyAlignment="1" applyProtection="1">
      <alignment horizontal="center"/>
      <protection locked="0"/>
    </xf>
    <xf numFmtId="165" fontId="2" fillId="7" borderId="0" xfId="28" applyFont="1" applyFill="1" applyBorder="1" applyProtection="1">
      <protection locked="0"/>
    </xf>
    <xf numFmtId="1" fontId="2" fillId="7" borderId="0" xfId="19" applyNumberFormat="1" applyFont="1" applyFill="1" applyBorder="1" applyAlignment="1" applyProtection="1">
      <alignment horizontal="center"/>
      <protection locked="0"/>
    </xf>
    <xf numFmtId="49" fontId="2" fillId="23" borderId="0" xfId="32" applyNumberFormat="1" applyFont="1" applyFill="1" applyBorder="1" applyAlignment="1" applyProtection="1">
      <alignment horizontal="left"/>
      <protection locked="0"/>
    </xf>
    <xf numFmtId="49" fontId="2" fillId="12" borderId="0" xfId="28" applyNumberFormat="1" applyFont="1" applyFill="1" applyBorder="1" applyAlignment="1" applyProtection="1">
      <alignment horizontal="left"/>
      <protection locked="0"/>
    </xf>
    <xf numFmtId="49" fontId="2" fillId="27" borderId="0" xfId="28" applyNumberFormat="1" applyFont="1" applyFill="1" applyBorder="1" applyAlignment="1" applyProtection="1">
      <alignment horizontal="left"/>
      <protection locked="0"/>
    </xf>
    <xf numFmtId="49" fontId="2" fillId="13" borderId="0" xfId="28" applyNumberFormat="1" applyFont="1" applyFill="1" applyBorder="1" applyAlignment="1" applyProtection="1">
      <alignment horizontal="left"/>
      <protection locked="0"/>
    </xf>
    <xf numFmtId="49" fontId="2" fillId="13" borderId="0" xfId="32" applyNumberFormat="1" applyFont="1" applyFill="1" applyBorder="1" applyAlignment="1" applyProtection="1">
      <alignment horizontal="left"/>
      <protection locked="0"/>
    </xf>
    <xf numFmtId="49" fontId="2" fillId="14" borderId="0" xfId="32" applyNumberFormat="1" applyFont="1" applyFill="1" applyBorder="1" applyAlignment="1" applyProtection="1">
      <alignment horizontal="left"/>
      <protection locked="0"/>
    </xf>
    <xf numFmtId="49" fontId="2" fillId="7" borderId="0" xfId="32" applyNumberFormat="1" applyFont="1" applyFill="1" applyBorder="1" applyAlignment="1" applyProtection="1">
      <alignment horizontal="left"/>
      <protection locked="0"/>
    </xf>
    <xf numFmtId="49" fontId="2" fillId="7" borderId="0" xfId="11" applyNumberFormat="1" applyFont="1" applyFill="1" applyBorder="1" applyAlignment="1" applyProtection="1">
      <alignment horizontal="left"/>
      <protection locked="0"/>
    </xf>
    <xf numFmtId="49" fontId="2" fillId="7" borderId="0" xfId="11" applyNumberFormat="1" applyFont="1" applyFill="1" applyBorder="1" applyAlignment="1" applyProtection="1">
      <alignment horizontal="center"/>
      <protection locked="0"/>
    </xf>
    <xf numFmtId="49" fontId="11" fillId="12" borderId="0" xfId="28" applyNumberFormat="1" applyFont="1" applyFill="1" applyBorder="1" applyAlignment="1" applyProtection="1">
      <alignment horizontal="right"/>
      <protection locked="0"/>
    </xf>
    <xf numFmtId="49" fontId="11" fillId="27" borderId="0" xfId="28" applyNumberFormat="1" applyFont="1" applyFill="1" applyBorder="1" applyAlignment="1" applyProtection="1">
      <alignment horizontal="right"/>
      <protection locked="0"/>
    </xf>
    <xf numFmtId="49" fontId="11" fillId="13" borderId="0" xfId="32" applyNumberFormat="1" applyFont="1" applyFill="1" applyBorder="1" applyAlignment="1" applyProtection="1">
      <alignment horizontal="right"/>
      <protection locked="0"/>
    </xf>
    <xf numFmtId="49" fontId="11" fillId="14" borderId="0" xfId="32" applyNumberFormat="1" applyFont="1" applyFill="1" applyBorder="1" applyAlignment="1" applyProtection="1">
      <alignment horizontal="right"/>
      <protection locked="0"/>
    </xf>
    <xf numFmtId="49" fontId="11" fillId="23" borderId="0" xfId="32" applyNumberFormat="1" applyFont="1" applyFill="1" applyBorder="1" applyAlignment="1" applyProtection="1">
      <alignment horizontal="right"/>
      <protection locked="0"/>
    </xf>
    <xf numFmtId="49" fontId="11" fillId="7" borderId="0" xfId="32" applyNumberFormat="1" applyFont="1" applyFill="1" applyBorder="1" applyAlignment="1" applyProtection="1">
      <alignment horizontal="left"/>
      <protection locked="0"/>
    </xf>
    <xf numFmtId="49" fontId="34" fillId="7" borderId="0" xfId="32" applyNumberFormat="1" applyFont="1" applyFill="1" applyBorder="1" applyAlignment="1" applyProtection="1">
      <alignment horizontal="right"/>
      <protection locked="0"/>
    </xf>
    <xf numFmtId="49" fontId="2" fillId="7" borderId="0" xfId="32" applyNumberFormat="1" applyFont="1" applyFill="1" applyBorder="1" applyAlignment="1" applyProtection="1">
      <alignment horizontal="right"/>
      <protection locked="0"/>
    </xf>
    <xf numFmtId="37" fontId="2" fillId="24" borderId="0" xfId="4" applyFont="1" applyFill="1" applyBorder="1" applyAlignment="1" applyProtection="1">
      <protection locked="0"/>
    </xf>
    <xf numFmtId="49" fontId="2" fillId="24" borderId="0" xfId="4" applyNumberFormat="1" applyFont="1" applyFill="1" applyBorder="1" applyAlignment="1" applyProtection="1">
      <alignment horizontal="center"/>
      <protection locked="0"/>
    </xf>
    <xf numFmtId="0" fontId="34" fillId="24" borderId="0" xfId="4" applyNumberFormat="1" applyFont="1" applyFill="1" applyBorder="1" applyAlignment="1" applyProtection="1">
      <alignment horizontal="right"/>
      <protection locked="0"/>
    </xf>
    <xf numFmtId="0" fontId="2" fillId="24" borderId="0" xfId="4" applyNumberFormat="1" applyFont="1" applyFill="1" applyBorder="1" applyAlignment="1" applyProtection="1">
      <alignment horizontal="right"/>
      <protection locked="0"/>
    </xf>
    <xf numFmtId="37" fontId="2" fillId="24" borderId="0" xfId="4" applyFont="1" applyFill="1" applyBorder="1" applyAlignment="1" applyProtection="1">
      <alignment horizontal="left"/>
      <protection locked="0"/>
    </xf>
    <xf numFmtId="37" fontId="11" fillId="24" borderId="0" xfId="4" applyFont="1" applyFill="1" applyBorder="1" applyAlignment="1" applyProtection="1">
      <alignment horizontal="left"/>
      <protection locked="0"/>
    </xf>
    <xf numFmtId="37" fontId="39" fillId="24" borderId="0" xfId="4" applyFont="1" applyFill="1" applyBorder="1" applyAlignment="1" applyProtection="1">
      <alignment horizontal="right"/>
      <protection locked="0"/>
    </xf>
    <xf numFmtId="37" fontId="39" fillId="24" borderId="0" xfId="5" applyFont="1" applyFill="1" applyBorder="1" applyAlignment="1" applyProtection="1">
      <alignment horizontal="right"/>
      <protection locked="0"/>
    </xf>
    <xf numFmtId="49" fontId="2" fillId="19" borderId="0" xfId="28" applyNumberFormat="1" applyFont="1" applyFill="1" applyBorder="1" applyAlignment="1" applyProtection="1">
      <alignment horizontal="center"/>
      <protection locked="0"/>
    </xf>
    <xf numFmtId="1" fontId="2" fillId="19" borderId="0" xfId="19" applyNumberFormat="1" applyFont="1" applyFill="1" applyBorder="1" applyAlignment="1" applyProtection="1">
      <alignment horizontal="center"/>
      <protection locked="0"/>
    </xf>
    <xf numFmtId="167" fontId="2" fillId="19" borderId="0" xfId="4" applyNumberFormat="1" applyFont="1" applyFill="1" applyBorder="1" applyAlignment="1" applyProtection="1">
      <protection locked="0"/>
    </xf>
    <xf numFmtId="167" fontId="34" fillId="19" borderId="0" xfId="4" applyNumberFormat="1" applyFont="1" applyFill="1" applyBorder="1" applyAlignment="1" applyProtection="1">
      <alignment horizontal="right"/>
      <protection locked="0"/>
    </xf>
    <xf numFmtId="167" fontId="2" fillId="19" borderId="0" xfId="4" applyNumberFormat="1" applyFont="1" applyFill="1" applyBorder="1" applyAlignment="1" applyProtection="1">
      <alignment horizontal="right"/>
      <protection locked="0"/>
    </xf>
    <xf numFmtId="0" fontId="3" fillId="0" borderId="0" xfId="21" applyFill="1" applyAlignment="1" applyProtection="1">
      <protection locked="0"/>
    </xf>
    <xf numFmtId="3" fontId="2" fillId="19" borderId="0" xfId="8" applyFont="1" applyFill="1" applyBorder="1" applyAlignment="1" applyProtection="1">
      <protection locked="0"/>
    </xf>
    <xf numFmtId="167" fontId="11" fillId="19" borderId="0" xfId="4" applyNumberFormat="1" applyFont="1" applyFill="1" applyBorder="1" applyAlignment="1" applyProtection="1">
      <protection locked="0"/>
    </xf>
    <xf numFmtId="167" fontId="34" fillId="19" borderId="0" xfId="4" applyNumberFormat="1" applyFont="1" applyFill="1" applyBorder="1" applyAlignment="1" applyProtection="1">
      <alignment horizontal="left"/>
      <protection locked="0"/>
    </xf>
    <xf numFmtId="167" fontId="39" fillId="19" borderId="0" xfId="4" applyNumberFormat="1" applyFont="1" applyFill="1" applyBorder="1" applyAlignment="1" applyProtection="1">
      <alignment horizontal="right"/>
      <protection locked="0"/>
    </xf>
    <xf numFmtId="49" fontId="2" fillId="20" borderId="0" xfId="4" applyNumberFormat="1" applyFont="1" applyFill="1" applyBorder="1" applyAlignment="1" applyProtection="1">
      <alignment horizontal="center"/>
      <protection locked="0"/>
    </xf>
    <xf numFmtId="167" fontId="34" fillId="20" borderId="0" xfId="4" applyNumberFormat="1" applyFont="1" applyFill="1" applyBorder="1" applyAlignment="1" applyProtection="1">
      <alignment horizontal="right"/>
      <protection locked="0"/>
    </xf>
    <xf numFmtId="167" fontId="2" fillId="20" borderId="0" xfId="4" applyNumberFormat="1" applyFont="1" applyFill="1" applyBorder="1" applyAlignment="1" applyProtection="1">
      <alignment horizontal="right"/>
      <protection locked="0"/>
    </xf>
    <xf numFmtId="3" fontId="2" fillId="20" borderId="0" xfId="8" applyFont="1" applyFill="1" applyBorder="1" applyAlignment="1" applyProtection="1">
      <protection locked="0"/>
    </xf>
    <xf numFmtId="49" fontId="2" fillId="20" borderId="0" xfId="8" applyNumberFormat="1" applyFont="1" applyFill="1" applyBorder="1" applyAlignment="1" applyProtection="1">
      <alignment horizontal="center"/>
      <protection locked="0"/>
    </xf>
    <xf numFmtId="1" fontId="2" fillId="28" borderId="0" xfId="31" applyNumberFormat="1" applyFont="1" applyFill="1" applyBorder="1" applyAlignment="1" applyProtection="1">
      <alignment horizontal="center"/>
      <protection locked="0"/>
    </xf>
    <xf numFmtId="3" fontId="2" fillId="4" borderId="0" xfId="8" applyFont="1" applyFill="1" applyBorder="1" applyAlignment="1" applyProtection="1">
      <protection locked="0"/>
    </xf>
    <xf numFmtId="3" fontId="2" fillId="29" borderId="0" xfId="8" applyFont="1" applyFill="1" applyBorder="1" applyAlignment="1" applyProtection="1">
      <protection locked="0"/>
    </xf>
    <xf numFmtId="3" fontId="2" fillId="30" borderId="0" xfId="8" applyFont="1" applyFill="1" applyBorder="1" applyAlignment="1" applyProtection="1">
      <protection locked="0"/>
    </xf>
    <xf numFmtId="37" fontId="2" fillId="20" borderId="0" xfId="4" quotePrefix="1" applyFont="1" applyFill="1" applyBorder="1" applyAlignment="1" applyProtection="1">
      <alignment horizontal="right"/>
      <protection locked="0"/>
    </xf>
    <xf numFmtId="49" fontId="2" fillId="20" borderId="0" xfId="4" applyNumberFormat="1" applyFont="1" applyFill="1" applyBorder="1" applyAlignment="1" applyProtection="1">
      <protection locked="0"/>
    </xf>
    <xf numFmtId="37" fontId="2" fillId="20" borderId="0" xfId="4" quotePrefix="1" applyFont="1" applyFill="1" applyBorder="1" applyAlignment="1" applyProtection="1">
      <protection locked="0"/>
    </xf>
    <xf numFmtId="37" fontId="2" fillId="20" borderId="0" xfId="4" quotePrefix="1" applyFont="1" applyFill="1" applyBorder="1" applyAlignment="1" applyProtection="1">
      <alignment horizontal="left"/>
      <protection locked="0"/>
    </xf>
    <xf numFmtId="37" fontId="39" fillId="20" borderId="0" xfId="4" applyFont="1" applyFill="1" applyBorder="1" applyAlignment="1" applyProtection="1">
      <alignment horizontal="right"/>
      <protection locked="0"/>
    </xf>
    <xf numFmtId="49" fontId="2" fillId="11" borderId="0" xfId="28" applyNumberFormat="1" applyFont="1" applyFill="1" applyBorder="1" applyAlignment="1" applyProtection="1">
      <alignment horizontal="center"/>
      <protection locked="0"/>
    </xf>
    <xf numFmtId="49" fontId="2" fillId="21" borderId="0" xfId="28" applyNumberFormat="1" applyFont="1" applyFill="1" applyBorder="1" applyAlignment="1" applyProtection="1">
      <alignment horizontal="center"/>
      <protection locked="0"/>
    </xf>
    <xf numFmtId="37" fontId="2" fillId="21" borderId="0" xfId="4" applyFont="1" applyFill="1" applyBorder="1" applyAlignment="1" applyProtection="1">
      <alignment horizontal="right"/>
      <protection locked="0"/>
    </xf>
    <xf numFmtId="37" fontId="34" fillId="21" borderId="0" xfId="4" applyFont="1" applyFill="1" applyBorder="1" applyAlignment="1" applyProtection="1">
      <alignment horizontal="right"/>
      <protection locked="0"/>
    </xf>
    <xf numFmtId="165" fontId="2" fillId="21" borderId="0" xfId="30" applyFont="1" applyFill="1" applyBorder="1" applyAlignment="1" applyProtection="1">
      <protection locked="0"/>
    </xf>
    <xf numFmtId="37" fontId="11" fillId="21" borderId="0" xfId="4" applyFont="1" applyFill="1" applyBorder="1" applyAlignment="1" applyProtection="1">
      <protection locked="0"/>
    </xf>
    <xf numFmtId="37" fontId="34" fillId="21" borderId="0" xfId="4" applyFont="1" applyFill="1" applyBorder="1" applyAlignment="1" applyProtection="1">
      <alignment horizontal="left"/>
      <protection locked="0"/>
    </xf>
    <xf numFmtId="37" fontId="38" fillId="21" borderId="0" xfId="5" applyFont="1" applyFill="1" applyBorder="1" applyAlignment="1" applyProtection="1">
      <alignment horizontal="right"/>
      <protection locked="0"/>
    </xf>
    <xf numFmtId="37" fontId="2" fillId="21" borderId="0" xfId="5" applyFont="1" applyFill="1" applyBorder="1" applyAlignment="1" applyProtection="1">
      <alignment horizontal="center" vertical="center" wrapText="1"/>
      <protection locked="0"/>
    </xf>
    <xf numFmtId="37" fontId="2" fillId="21" borderId="0" xfId="5" applyFont="1" applyFill="1" applyBorder="1" applyAlignment="1" applyProtection="1">
      <alignment horizontal="right"/>
      <protection locked="0"/>
    </xf>
    <xf numFmtId="49" fontId="2" fillId="21" borderId="0" xfId="20" applyNumberFormat="1" applyFont="1" applyFill="1" applyBorder="1" applyAlignment="1" applyProtection="1">
      <alignment horizontal="center" wrapText="1"/>
      <protection locked="0"/>
    </xf>
    <xf numFmtId="37" fontId="34" fillId="21" borderId="0" xfId="5" applyFont="1" applyFill="1" applyBorder="1" applyAlignment="1" applyProtection="1">
      <alignment horizontal="left"/>
      <protection locked="0"/>
    </xf>
    <xf numFmtId="37" fontId="39" fillId="21" borderId="0" xfId="4" applyFont="1" applyFill="1" applyBorder="1" applyAlignment="1" applyProtection="1">
      <alignment horizontal="right"/>
      <protection locked="0"/>
    </xf>
    <xf numFmtId="0" fontId="2" fillId="8" borderId="0" xfId="4" applyNumberFormat="1" applyFont="1" applyFill="1" applyBorder="1" applyAlignment="1" applyProtection="1">
      <alignment horizontal="right"/>
      <protection locked="0"/>
    </xf>
    <xf numFmtId="3" fontId="30" fillId="0" borderId="23" xfId="0" applyNumberFormat="1" applyFont="1" applyFill="1" applyBorder="1" applyAlignment="1">
      <alignment horizontal="right"/>
    </xf>
    <xf numFmtId="167" fontId="34" fillId="8" borderId="0" xfId="4" applyNumberFormat="1" applyFont="1" applyFill="1" applyBorder="1" applyAlignment="1" applyProtection="1">
      <alignment horizontal="right"/>
      <protection locked="0"/>
    </xf>
    <xf numFmtId="49" fontId="2" fillId="8" borderId="0" xfId="4" applyNumberFormat="1" applyFont="1" applyFill="1" applyBorder="1" applyAlignment="1" applyProtection="1">
      <alignment horizontal="right"/>
      <protection locked="0"/>
    </xf>
    <xf numFmtId="49" fontId="2" fillId="8" borderId="0" xfId="28" applyNumberFormat="1" applyFont="1" applyFill="1" applyBorder="1" applyAlignment="1" applyProtection="1">
      <alignment horizontal="center"/>
      <protection locked="0"/>
    </xf>
    <xf numFmtId="1" fontId="2" fillId="8" borderId="0" xfId="19" applyNumberFormat="1" applyFont="1" applyFill="1" applyBorder="1" applyAlignment="1" applyProtection="1">
      <alignment horizontal="center"/>
      <protection locked="0"/>
    </xf>
    <xf numFmtId="37" fontId="2" fillId="8" borderId="0" xfId="4" applyFont="1" applyFill="1" applyBorder="1" applyAlignment="1" applyProtection="1">
      <alignment horizontal="left"/>
      <protection locked="0"/>
    </xf>
    <xf numFmtId="165" fontId="2" fillId="8" borderId="0" xfId="28" applyFont="1" applyFill="1" applyBorder="1" applyAlignment="1" applyProtection="1">
      <protection locked="0"/>
    </xf>
    <xf numFmtId="165" fontId="2" fillId="8" borderId="0" xfId="28" applyFont="1" applyFill="1" applyBorder="1" applyAlignment="1" applyProtection="1">
      <alignment horizontal="right"/>
      <protection locked="0"/>
    </xf>
    <xf numFmtId="165" fontId="2" fillId="8" borderId="0" xfId="28" applyFont="1" applyFill="1" applyBorder="1" applyProtection="1">
      <protection locked="0"/>
    </xf>
    <xf numFmtId="49" fontId="2" fillId="8" borderId="0" xfId="4" applyNumberFormat="1" applyFont="1" applyFill="1" applyBorder="1" applyAlignment="1" applyProtection="1">
      <protection locked="0"/>
    </xf>
    <xf numFmtId="167" fontId="30" fillId="4" borderId="40" xfId="6" applyNumberFormat="1" applyFont="1" applyFill="1" applyBorder="1" applyAlignment="1">
      <alignment horizontal="centerContinuous"/>
    </xf>
    <xf numFmtId="167" fontId="30" fillId="0" borderId="14" xfId="6" applyNumberFormat="1" applyFont="1" applyFill="1" applyBorder="1" applyAlignment="1">
      <alignment horizontal="centerContinuous"/>
    </xf>
    <xf numFmtId="37" fontId="30" fillId="0" borderId="14" xfId="6" applyFont="1" applyFill="1" applyBorder="1" applyAlignment="1">
      <alignment horizontal="center" wrapText="1"/>
    </xf>
    <xf numFmtId="37" fontId="2" fillId="9" borderId="2" xfId="6" applyFont="1" applyFill="1" applyBorder="1" applyAlignment="1">
      <alignment horizontal="center" wrapText="1"/>
    </xf>
    <xf numFmtId="0" fontId="2" fillId="9" borderId="2" xfId="12" applyNumberFormat="1" applyFont="1" applyFill="1" applyBorder="1" applyAlignment="1" applyProtection="1">
      <alignment horizontal="center" wrapText="1"/>
    </xf>
    <xf numFmtId="49" fontId="2" fillId="9" borderId="2" xfId="12" applyNumberFormat="1" applyFont="1" applyFill="1" applyBorder="1" applyAlignment="1" applyProtection="1">
      <alignment horizontal="center" wrapText="1"/>
    </xf>
    <xf numFmtId="37" fontId="2" fillId="9" borderId="2" xfId="6" applyNumberFormat="1" applyFont="1" applyFill="1" applyBorder="1" applyAlignment="1" applyProtection="1">
      <alignment horizontal="center" wrapText="1"/>
    </xf>
    <xf numFmtId="167" fontId="2" fillId="9" borderId="2" xfId="6" applyNumberFormat="1" applyFont="1" applyFill="1" applyBorder="1" applyAlignment="1" applyProtection="1">
      <alignment horizontal="center" wrapText="1"/>
    </xf>
    <xf numFmtId="167" fontId="2" fillId="9" borderId="2" xfId="6" applyNumberFormat="1" applyFont="1" applyFill="1" applyBorder="1" applyAlignment="1">
      <alignment horizontal="center" wrapText="1"/>
    </xf>
    <xf numFmtId="37" fontId="2" fillId="9" borderId="2" xfId="6" applyNumberFormat="1" applyFont="1" applyFill="1" applyBorder="1" applyAlignment="1">
      <alignment horizontal="center" wrapText="1"/>
    </xf>
    <xf numFmtId="167" fontId="2" fillId="9" borderId="110" xfId="6" applyNumberFormat="1" applyFont="1" applyFill="1" applyBorder="1" applyAlignment="1" applyProtection="1">
      <alignment horizontal="center" wrapText="1"/>
    </xf>
    <xf numFmtId="167" fontId="2" fillId="9" borderId="10" xfId="6" applyNumberFormat="1" applyFont="1" applyFill="1" applyBorder="1" applyAlignment="1" applyProtection="1">
      <alignment horizontal="center" wrapText="1"/>
    </xf>
    <xf numFmtId="37" fontId="2" fillId="9" borderId="22" xfId="6" applyNumberFormat="1" applyFont="1" applyFill="1" applyBorder="1" applyAlignment="1">
      <alignment horizontal="center" wrapText="1"/>
    </xf>
    <xf numFmtId="3" fontId="11" fillId="31" borderId="92" xfId="6" applyNumberFormat="1" applyFont="1" applyFill="1" applyBorder="1" applyAlignment="1" applyProtection="1">
      <alignment horizontal="center" wrapText="1"/>
      <protection locked="0"/>
    </xf>
    <xf numFmtId="3" fontId="2" fillId="31" borderId="33" xfId="4" applyNumberFormat="1" applyFont="1" applyFill="1" applyBorder="1" applyAlignment="1" applyProtection="1">
      <alignment horizontal="right"/>
      <protection locked="0"/>
    </xf>
    <xf numFmtId="3" fontId="2" fillId="31" borderId="50" xfId="23" applyNumberFormat="1" applyFont="1" applyFill="1" applyBorder="1"/>
    <xf numFmtId="3" fontId="2" fillId="31" borderId="50" xfId="4" applyNumberFormat="1" applyFont="1" applyFill="1" applyBorder="1" applyAlignment="1" applyProtection="1">
      <alignment horizontal="right"/>
      <protection locked="0"/>
    </xf>
    <xf numFmtId="3" fontId="11" fillId="31" borderId="33" xfId="4" applyNumberFormat="1" applyFont="1" applyFill="1" applyBorder="1" applyAlignment="1" applyProtection="1">
      <alignment horizontal="right"/>
      <protection locked="0"/>
    </xf>
    <xf numFmtId="41" fontId="2" fillId="31" borderId="33" xfId="4" applyNumberFormat="1" applyFont="1" applyFill="1" applyBorder="1" applyAlignment="1" applyProtection="1">
      <alignment horizontal="right"/>
      <protection locked="0"/>
    </xf>
    <xf numFmtId="3" fontId="2" fillId="31" borderId="17" xfId="4" applyNumberFormat="1" applyFont="1" applyFill="1" applyBorder="1" applyAlignment="1" applyProtection="1">
      <alignment horizontal="right"/>
      <protection locked="0"/>
    </xf>
    <xf numFmtId="3" fontId="2" fillId="31" borderId="14" xfId="4" applyNumberFormat="1" applyFont="1" applyFill="1" applyBorder="1" applyAlignment="1" applyProtection="1">
      <alignment horizontal="right"/>
      <protection locked="0"/>
    </xf>
    <xf numFmtId="166" fontId="1" fillId="31" borderId="11" xfId="12" applyNumberFormat="1" applyFont="1" applyFill="1" applyBorder="1"/>
    <xf numFmtId="166" fontId="1" fillId="31" borderId="17" xfId="12" applyNumberFormat="1" applyFont="1" applyFill="1" applyBorder="1"/>
    <xf numFmtId="167" fontId="2" fillId="31" borderId="32" xfId="6" applyNumberFormat="1" applyFont="1" applyFill="1" applyBorder="1" applyAlignment="1" applyProtection="1">
      <alignment horizontal="center" wrapText="1"/>
    </xf>
    <xf numFmtId="3" fontId="2" fillId="31" borderId="32" xfId="4" applyNumberFormat="1" applyFont="1" applyFill="1" applyBorder="1" applyAlignment="1" applyProtection="1">
      <alignment horizontal="right"/>
      <protection locked="0"/>
    </xf>
    <xf numFmtId="37" fontId="34" fillId="20" borderId="0" xfId="22" applyFont="1" applyFill="1" applyBorder="1" applyAlignment="1" applyProtection="1">
      <alignment horizontal="left" vertical="top"/>
      <protection locked="0"/>
    </xf>
    <xf numFmtId="37" fontId="2" fillId="10" borderId="2" xfId="6" applyFont="1" applyFill="1" applyBorder="1" applyAlignment="1">
      <alignment horizontal="center"/>
    </xf>
    <xf numFmtId="49" fontId="39" fillId="6" borderId="0" xfId="19" applyNumberFormat="1" applyFont="1" applyFill="1" applyBorder="1" applyAlignment="1" applyProtection="1">
      <alignment horizontal="left"/>
      <protection locked="0"/>
    </xf>
    <xf numFmtId="3" fontId="76" fillId="6" borderId="0" xfId="8" applyFont="1" applyFill="1" applyBorder="1" applyAlignment="1" applyProtection="1">
      <protection locked="0"/>
    </xf>
    <xf numFmtId="3" fontId="77" fillId="6" borderId="0" xfId="8" applyFont="1" applyFill="1" applyBorder="1" applyAlignment="1" applyProtection="1">
      <protection locked="0"/>
    </xf>
    <xf numFmtId="1" fontId="76" fillId="6" borderId="0" xfId="19" applyNumberFormat="1" applyFont="1" applyFill="1" applyBorder="1" applyAlignment="1" applyProtection="1">
      <alignment horizontal="center"/>
      <protection locked="0"/>
    </xf>
    <xf numFmtId="165" fontId="76" fillId="7" borderId="0" xfId="19" applyFont="1" applyFill="1" applyBorder="1" applyAlignment="1" applyProtection="1">
      <protection locked="0"/>
    </xf>
    <xf numFmtId="165" fontId="77" fillId="7" borderId="0" xfId="19" applyFont="1" applyFill="1" applyBorder="1" applyAlignment="1" applyProtection="1">
      <protection locked="0"/>
    </xf>
    <xf numFmtId="1" fontId="76" fillId="7" borderId="0" xfId="19" applyNumberFormat="1" applyFont="1" applyFill="1" applyBorder="1" applyAlignment="1" applyProtection="1">
      <alignment horizontal="center"/>
      <protection locked="0"/>
    </xf>
    <xf numFmtId="49" fontId="39" fillId="7" borderId="0" xfId="19" applyNumberFormat="1" applyFont="1" applyFill="1" applyBorder="1" applyAlignment="1" applyProtection="1">
      <alignment horizontal="left"/>
      <protection locked="0"/>
    </xf>
    <xf numFmtId="49" fontId="2" fillId="19" borderId="0" xfId="19" applyNumberFormat="1" applyFont="1" applyFill="1" applyBorder="1" applyAlignment="1" applyProtection="1">
      <alignment horizontal="left"/>
      <protection locked="0"/>
    </xf>
    <xf numFmtId="49" fontId="2" fillId="19" borderId="0" xfId="11" applyNumberFormat="1" applyFont="1" applyFill="1" applyBorder="1" applyAlignment="1" applyProtection="1">
      <alignment horizontal="left"/>
      <protection locked="0"/>
    </xf>
    <xf numFmtId="49" fontId="39" fillId="19" borderId="0" xfId="11" applyNumberFormat="1" applyFont="1" applyFill="1" applyBorder="1" applyAlignment="1" applyProtection="1">
      <alignment horizontal="left"/>
      <protection locked="0"/>
    </xf>
    <xf numFmtId="49" fontId="39" fillId="21" borderId="0" xfId="19" applyNumberFormat="1" applyFont="1" applyFill="1" applyBorder="1" applyAlignment="1" applyProtection="1">
      <alignment horizontal="left"/>
      <protection locked="0"/>
    </xf>
    <xf numFmtId="49" fontId="76" fillId="21" borderId="0" xfId="19" applyNumberFormat="1" applyFont="1" applyFill="1" applyBorder="1" applyAlignment="1" applyProtection="1">
      <alignment horizontal="left"/>
      <protection locked="0"/>
    </xf>
    <xf numFmtId="49" fontId="77" fillId="21" borderId="0" xfId="19" applyNumberFormat="1" applyFont="1" applyFill="1" applyBorder="1" applyAlignment="1" applyProtection="1">
      <alignment horizontal="left"/>
      <protection locked="0"/>
    </xf>
    <xf numFmtId="1" fontId="76" fillId="21" borderId="0" xfId="19" applyNumberFormat="1" applyFont="1" applyFill="1" applyBorder="1" applyAlignment="1" applyProtection="1">
      <alignment horizontal="center"/>
      <protection locked="0"/>
    </xf>
    <xf numFmtId="3" fontId="39" fillId="21" borderId="0" xfId="8" applyFont="1" applyFill="1" applyBorder="1" applyAlignment="1" applyProtection="1">
      <protection locked="0"/>
    </xf>
    <xf numFmtId="49" fontId="2" fillId="22" borderId="0" xfId="19" applyNumberFormat="1" applyFont="1" applyFill="1" applyBorder="1" applyAlignment="1" applyProtection="1">
      <alignment horizontal="left"/>
      <protection locked="0"/>
    </xf>
    <xf numFmtId="165" fontId="76" fillId="22" borderId="0" xfId="19" applyFont="1" applyFill="1" applyBorder="1" applyAlignment="1" applyProtection="1">
      <protection locked="0"/>
    </xf>
    <xf numFmtId="165" fontId="77" fillId="22" borderId="0" xfId="19" applyFont="1" applyFill="1" applyBorder="1" applyAlignment="1" applyProtection="1">
      <protection locked="0"/>
    </xf>
    <xf numFmtId="1" fontId="76" fillId="32" borderId="0" xfId="29" applyNumberFormat="1" applyFont="1" applyFill="1" applyBorder="1" applyAlignment="1" applyProtection="1">
      <alignment horizontal="center"/>
      <protection locked="0"/>
    </xf>
    <xf numFmtId="49" fontId="39" fillId="22" borderId="0" xfId="19" applyNumberFormat="1" applyFont="1" applyFill="1" applyBorder="1" applyAlignment="1" applyProtection="1">
      <alignment horizontal="left"/>
      <protection locked="0"/>
    </xf>
    <xf numFmtId="49" fontId="76" fillId="33" borderId="0" xfId="28" applyNumberFormat="1" applyFont="1" applyFill="1" applyBorder="1" applyAlignment="1" applyProtection="1">
      <alignment horizontal="left"/>
      <protection locked="0"/>
    </xf>
    <xf numFmtId="49" fontId="77" fillId="33" borderId="0" xfId="28" applyNumberFormat="1" applyFont="1" applyFill="1" applyBorder="1" applyAlignment="1" applyProtection="1">
      <alignment horizontal="left"/>
      <protection locked="0"/>
    </xf>
    <xf numFmtId="49" fontId="76" fillId="7" borderId="0" xfId="28" applyNumberFormat="1" applyFont="1" applyFill="1" applyBorder="1" applyAlignment="1" applyProtection="1">
      <alignment horizontal="left"/>
      <protection locked="0"/>
    </xf>
    <xf numFmtId="49" fontId="39" fillId="7" borderId="0" xfId="28" applyNumberFormat="1" applyFont="1" applyFill="1" applyBorder="1" applyAlignment="1" applyProtection="1">
      <alignment horizontal="left"/>
      <protection locked="0"/>
    </xf>
    <xf numFmtId="3" fontId="76" fillId="24" borderId="0" xfId="8" applyFont="1" applyFill="1" applyBorder="1" applyAlignment="1" applyProtection="1">
      <protection locked="0"/>
    </xf>
    <xf numFmtId="3" fontId="77" fillId="24" borderId="0" xfId="8" applyFont="1" applyFill="1" applyBorder="1" applyAlignment="1" applyProtection="1">
      <protection locked="0"/>
    </xf>
    <xf numFmtId="3" fontId="76" fillId="24" borderId="0" xfId="8" applyFont="1" applyFill="1" applyBorder="1" applyAlignment="1" applyProtection="1">
      <alignment horizontal="center"/>
      <protection locked="0"/>
    </xf>
    <xf numFmtId="3" fontId="39" fillId="24" borderId="0" xfId="8" applyFont="1" applyFill="1" applyBorder="1" applyAlignment="1" applyProtection="1">
      <protection locked="0"/>
    </xf>
    <xf numFmtId="49" fontId="39" fillId="24" borderId="0" xfId="28" applyNumberFormat="1" applyFont="1" applyFill="1" applyBorder="1" applyAlignment="1" applyProtection="1">
      <alignment horizontal="left"/>
      <protection locked="0"/>
    </xf>
    <xf numFmtId="49" fontId="39" fillId="24" borderId="0" xfId="8" applyNumberFormat="1" applyFont="1" applyFill="1" applyBorder="1" applyAlignment="1" applyProtection="1">
      <alignment horizontal="left"/>
      <protection locked="0"/>
    </xf>
    <xf numFmtId="49" fontId="76" fillId="34" borderId="0" xfId="28" applyNumberFormat="1" applyFont="1" applyFill="1" applyBorder="1" applyAlignment="1" applyProtection="1">
      <alignment horizontal="left"/>
      <protection locked="0"/>
    </xf>
    <xf numFmtId="49" fontId="77" fillId="34" borderId="0" xfId="28" applyNumberFormat="1" applyFont="1" applyFill="1" applyBorder="1" applyAlignment="1" applyProtection="1">
      <alignment horizontal="left"/>
      <protection locked="0"/>
    </xf>
    <xf numFmtId="165" fontId="76" fillId="19" borderId="0" xfId="28" applyFont="1" applyFill="1" applyBorder="1" applyProtection="1">
      <protection locked="0"/>
    </xf>
    <xf numFmtId="165" fontId="77" fillId="19" borderId="0" xfId="28" applyFont="1" applyFill="1" applyBorder="1" applyProtection="1">
      <protection locked="0"/>
    </xf>
    <xf numFmtId="165" fontId="76" fillId="19" borderId="0" xfId="28" applyFont="1" applyFill="1" applyBorder="1" applyAlignment="1" applyProtection="1">
      <alignment horizontal="center"/>
      <protection locked="0"/>
    </xf>
    <xf numFmtId="49" fontId="39" fillId="19" borderId="0" xfId="28" applyNumberFormat="1" applyFont="1" applyFill="1" applyBorder="1" applyAlignment="1" applyProtection="1">
      <alignment horizontal="left"/>
      <protection locked="0"/>
    </xf>
    <xf numFmtId="49" fontId="11" fillId="21" borderId="0" xfId="28" applyNumberFormat="1" applyFont="1" applyFill="1" applyBorder="1" applyAlignment="1" applyProtection="1">
      <alignment horizontal="left"/>
      <protection locked="0"/>
    </xf>
    <xf numFmtId="49" fontId="76" fillId="21" borderId="0" xfId="28" applyNumberFormat="1" applyFont="1" applyFill="1" applyBorder="1" applyAlignment="1" applyProtection="1">
      <alignment horizontal="left"/>
      <protection locked="0"/>
    </xf>
    <xf numFmtId="49" fontId="76" fillId="21" borderId="0" xfId="28" applyNumberFormat="1" applyFont="1" applyFill="1" applyBorder="1" applyAlignment="1" applyProtection="1">
      <alignment horizontal="center"/>
      <protection locked="0"/>
    </xf>
    <xf numFmtId="49" fontId="76" fillId="22" borderId="0" xfId="28" applyNumberFormat="1" applyFont="1" applyFill="1" applyBorder="1" applyAlignment="1" applyProtection="1">
      <alignment horizontal="left"/>
      <protection locked="0"/>
    </xf>
    <xf numFmtId="49" fontId="77" fillId="22" borderId="0" xfId="28" applyNumberFormat="1" applyFont="1" applyFill="1" applyBorder="1" applyAlignment="1" applyProtection="1">
      <alignment horizontal="left"/>
      <protection locked="0"/>
    </xf>
    <xf numFmtId="1" fontId="76" fillId="22" borderId="0" xfId="19" applyNumberFormat="1" applyFont="1" applyFill="1" applyBorder="1" applyAlignment="1" applyProtection="1">
      <alignment horizontal="center"/>
      <protection locked="0"/>
    </xf>
    <xf numFmtId="49" fontId="2" fillId="22" borderId="23" xfId="28" applyNumberFormat="1" applyFont="1" applyFill="1" applyBorder="1" applyAlignment="1" applyProtection="1">
      <alignment horizontal="center"/>
      <protection locked="0"/>
    </xf>
    <xf numFmtId="49" fontId="39" fillId="6" borderId="0" xfId="28" applyNumberFormat="1" applyFont="1" applyFill="1" applyBorder="1" applyAlignment="1" applyProtection="1">
      <alignment horizontal="left"/>
      <protection locked="0"/>
    </xf>
    <xf numFmtId="49" fontId="39" fillId="7" borderId="0" xfId="32" applyNumberFormat="1" applyFont="1" applyFill="1" applyBorder="1" applyAlignment="1" applyProtection="1">
      <alignment horizontal="left"/>
      <protection locked="0"/>
    </xf>
    <xf numFmtId="49" fontId="39" fillId="7" borderId="0" xfId="11" applyNumberFormat="1" applyFont="1" applyFill="1" applyBorder="1" applyAlignment="1" applyProtection="1">
      <alignment horizontal="left"/>
      <protection locked="0"/>
    </xf>
    <xf numFmtId="0" fontId="2" fillId="24" borderId="0" xfId="4" applyNumberFormat="1" applyFont="1" applyFill="1" applyBorder="1" applyAlignment="1" applyProtection="1">
      <alignment horizontal="center"/>
      <protection locked="0"/>
    </xf>
    <xf numFmtId="49" fontId="2" fillId="34" borderId="0" xfId="28" applyNumberFormat="1" applyFont="1" applyFill="1" applyBorder="1" applyAlignment="1" applyProtection="1">
      <alignment horizontal="left"/>
      <protection locked="0"/>
    </xf>
    <xf numFmtId="49" fontId="39" fillId="34" borderId="0" xfId="28" applyNumberFormat="1" applyFont="1" applyFill="1" applyBorder="1" applyAlignment="1" applyProtection="1">
      <alignment horizontal="left"/>
      <protection locked="0"/>
    </xf>
    <xf numFmtId="49" fontId="76" fillId="19" borderId="0" xfId="28" applyNumberFormat="1" applyFont="1" applyFill="1" applyBorder="1" applyAlignment="1" applyProtection="1">
      <alignment horizontal="left"/>
      <protection locked="0"/>
    </xf>
    <xf numFmtId="1" fontId="76" fillId="19" borderId="0" xfId="19" applyNumberFormat="1" applyFont="1" applyFill="1" applyBorder="1" applyAlignment="1" applyProtection="1">
      <alignment horizontal="center"/>
      <protection locked="0"/>
    </xf>
    <xf numFmtId="49" fontId="76" fillId="20" borderId="0" xfId="28" applyNumberFormat="1" applyFont="1" applyFill="1" applyBorder="1" applyAlignment="1" applyProtection="1">
      <alignment horizontal="left"/>
      <protection locked="0"/>
    </xf>
    <xf numFmtId="1" fontId="76" fillId="20" borderId="0" xfId="19" applyNumberFormat="1" applyFont="1" applyFill="1" applyBorder="1" applyAlignment="1" applyProtection="1">
      <alignment horizontal="center"/>
      <protection locked="0"/>
    </xf>
    <xf numFmtId="3" fontId="11" fillId="4" borderId="0" xfId="8" applyFont="1" applyFill="1" applyBorder="1" applyAlignment="1" applyProtection="1">
      <protection locked="0"/>
    </xf>
    <xf numFmtId="3" fontId="65" fillId="4" borderId="0" xfId="8" applyFont="1" applyFill="1" applyBorder="1" applyAlignment="1" applyProtection="1">
      <protection locked="0"/>
    </xf>
    <xf numFmtId="3" fontId="76" fillId="20" borderId="0" xfId="8" applyFont="1" applyFill="1" applyBorder="1" applyAlignment="1" applyProtection="1">
      <protection locked="0"/>
    </xf>
    <xf numFmtId="3" fontId="77" fillId="20" borderId="0" xfId="8" applyFont="1" applyFill="1" applyBorder="1" applyAlignment="1" applyProtection="1">
      <protection locked="0"/>
    </xf>
    <xf numFmtId="49" fontId="39" fillId="20" borderId="0" xfId="28" applyNumberFormat="1" applyFont="1" applyFill="1" applyBorder="1" applyAlignment="1" applyProtection="1">
      <alignment horizontal="left"/>
      <protection locked="0"/>
    </xf>
    <xf numFmtId="49" fontId="2" fillId="20" borderId="0" xfId="8" applyNumberFormat="1" applyFont="1" applyFill="1" applyBorder="1" applyAlignment="1" applyProtection="1">
      <alignment horizontal="left"/>
      <protection locked="0"/>
    </xf>
    <xf numFmtId="49" fontId="39" fillId="20" borderId="0" xfId="8" applyNumberFormat="1" applyFont="1" applyFill="1" applyBorder="1" applyAlignment="1" applyProtection="1">
      <alignment horizontal="left"/>
      <protection locked="0"/>
    </xf>
    <xf numFmtId="49" fontId="39" fillId="21" borderId="0" xfId="28" applyNumberFormat="1" applyFont="1" applyFill="1" applyBorder="1" applyAlignment="1" applyProtection="1">
      <alignment horizontal="left"/>
      <protection locked="0"/>
    </xf>
    <xf numFmtId="165" fontId="2" fillId="21" borderId="0" xfId="28" applyFont="1" applyFill="1" applyBorder="1" applyProtection="1">
      <protection locked="0"/>
    </xf>
    <xf numFmtId="165" fontId="39" fillId="21" borderId="0" xfId="28" applyFont="1" applyFill="1" applyBorder="1" applyProtection="1">
      <protection locked="0"/>
    </xf>
    <xf numFmtId="49" fontId="76" fillId="8" borderId="0" xfId="28" applyNumberFormat="1" applyFont="1" applyFill="1" applyBorder="1" applyAlignment="1" applyProtection="1">
      <alignment horizontal="left"/>
      <protection locked="0"/>
    </xf>
    <xf numFmtId="0" fontId="76" fillId="8" borderId="0" xfId="19" applyNumberFormat="1" applyFont="1" applyFill="1" applyBorder="1" applyAlignment="1" applyProtection="1">
      <alignment horizontal="center"/>
      <protection locked="0"/>
    </xf>
    <xf numFmtId="49" fontId="39" fillId="8" borderId="0" xfId="28" applyNumberFormat="1" applyFont="1" applyFill="1" applyBorder="1" applyAlignment="1" applyProtection="1">
      <alignment horizontal="left"/>
      <protection locked="0"/>
    </xf>
    <xf numFmtId="165" fontId="39" fillId="8" borderId="0" xfId="28" applyFont="1" applyFill="1" applyBorder="1" applyProtection="1">
      <protection locked="0"/>
    </xf>
    <xf numFmtId="49" fontId="39" fillId="19" borderId="0" xfId="19" applyNumberFormat="1" applyFont="1" applyFill="1" applyBorder="1" applyAlignment="1" applyProtection="1">
      <alignment horizontal="left"/>
      <protection locked="0"/>
    </xf>
    <xf numFmtId="49" fontId="77" fillId="7" borderId="0" xfId="28" applyNumberFormat="1" applyFont="1" applyFill="1" applyBorder="1" applyAlignment="1" applyProtection="1">
      <alignment horizontal="left"/>
      <protection locked="0"/>
    </xf>
    <xf numFmtId="49" fontId="77" fillId="19" borderId="0" xfId="28" applyNumberFormat="1" applyFont="1" applyFill="1" applyBorder="1" applyAlignment="1" applyProtection="1">
      <alignment horizontal="left"/>
      <protection locked="0"/>
    </xf>
    <xf numFmtId="49" fontId="77" fillId="20" borderId="0" xfId="28" applyNumberFormat="1" applyFont="1" applyFill="1" applyBorder="1" applyAlignment="1" applyProtection="1">
      <alignment horizontal="left"/>
      <protection locked="0"/>
    </xf>
    <xf numFmtId="49" fontId="77" fillId="21" borderId="0" xfId="28" applyNumberFormat="1" applyFont="1" applyFill="1" applyBorder="1" applyAlignment="1" applyProtection="1">
      <alignment horizontal="left"/>
      <protection locked="0"/>
    </xf>
    <xf numFmtId="49" fontId="77" fillId="8" borderId="0" xfId="28" applyNumberFormat="1" applyFont="1" applyFill="1" applyBorder="1" applyAlignment="1" applyProtection="1">
      <alignment horizontal="left"/>
      <protection locked="0"/>
    </xf>
    <xf numFmtId="37" fontId="0" fillId="0" borderId="17" xfId="0" applyNumberFormat="1" applyBorder="1" applyAlignment="1">
      <alignment vertical="center" wrapText="1"/>
    </xf>
    <xf numFmtId="37" fontId="0" fillId="0" borderId="6" xfId="0" applyNumberFormat="1" applyBorder="1" applyAlignment="1">
      <alignment vertical="center" wrapText="1"/>
    </xf>
    <xf numFmtId="0" fontId="58" fillId="0" borderId="0" xfId="0" applyFont="1" applyAlignment="1">
      <alignment horizontal="right" wrapText="1"/>
    </xf>
    <xf numFmtId="3" fontId="9" fillId="35" borderId="0" xfId="0" applyNumberFormat="1" applyFont="1" applyFill="1" applyBorder="1" applyAlignment="1">
      <alignment vertical="center"/>
    </xf>
    <xf numFmtId="166" fontId="78" fillId="0" borderId="0" xfId="1" applyNumberFormat="1" applyFont="1" applyFill="1" applyBorder="1" applyAlignment="1">
      <alignment horizontal="right" vertical="center"/>
    </xf>
    <xf numFmtId="166" fontId="78" fillId="0" borderId="0" xfId="1" applyNumberFormat="1" applyFont="1" applyFill="1" applyBorder="1" applyAlignment="1">
      <alignment vertical="center"/>
    </xf>
    <xf numFmtId="166" fontId="78" fillId="0" borderId="23" xfId="1" applyNumberFormat="1" applyFont="1" applyFill="1" applyBorder="1" applyAlignment="1">
      <alignment vertical="center"/>
    </xf>
    <xf numFmtId="166" fontId="78" fillId="0" borderId="14" xfId="1" applyNumberFormat="1" applyFont="1" applyFill="1" applyBorder="1" applyAlignment="1">
      <alignment vertical="center"/>
    </xf>
    <xf numFmtId="3" fontId="9" fillId="35" borderId="20" xfId="0" applyNumberFormat="1" applyFont="1" applyFill="1" applyBorder="1" applyAlignment="1">
      <alignment vertical="center"/>
    </xf>
    <xf numFmtId="3" fontId="9" fillId="35" borderId="14" xfId="0" applyNumberFormat="1" applyFont="1" applyFill="1" applyBorder="1" applyAlignment="1">
      <alignment vertical="center"/>
    </xf>
    <xf numFmtId="3" fontId="9" fillId="35" borderId="23" xfId="0" applyNumberFormat="1" applyFont="1" applyFill="1" applyBorder="1" applyAlignment="1">
      <alignment vertical="center"/>
    </xf>
    <xf numFmtId="3" fontId="9" fillId="35" borderId="40" xfId="0" applyNumberFormat="1" applyFont="1" applyFill="1" applyBorder="1" applyAlignment="1">
      <alignment vertical="center"/>
    </xf>
    <xf numFmtId="3" fontId="42" fillId="35" borderId="23" xfId="0" applyNumberFormat="1" applyFont="1" applyFill="1" applyBorder="1" applyAlignment="1">
      <alignment vertical="center"/>
    </xf>
    <xf numFmtId="37" fontId="11" fillId="0" borderId="13" xfId="0" applyNumberFormat="1" applyFont="1" applyFill="1" applyBorder="1" applyAlignment="1"/>
    <xf numFmtId="37" fontId="11" fillId="0" borderId="28" xfId="0" applyNumberFormat="1" applyFont="1" applyFill="1" applyBorder="1" applyAlignment="1"/>
    <xf numFmtId="37" fontId="11" fillId="0" borderId="85" xfId="0" applyNumberFormat="1" applyFont="1" applyFill="1" applyBorder="1" applyAlignment="1"/>
    <xf numFmtId="3" fontId="2" fillId="0" borderId="35" xfId="0" applyNumberFormat="1" applyFont="1" applyFill="1" applyBorder="1" applyAlignment="1"/>
    <xf numFmtId="3" fontId="2" fillId="0" borderId="29" xfId="0" applyNumberFormat="1" applyFont="1" applyFill="1" applyBorder="1" applyAlignment="1"/>
    <xf numFmtId="37" fontId="11" fillId="0" borderId="87" xfId="0" applyNumberFormat="1" applyFont="1" applyFill="1" applyBorder="1" applyAlignment="1"/>
    <xf numFmtId="37" fontId="11" fillId="0" borderId="114" xfId="0" applyNumberFormat="1" applyFont="1" applyFill="1" applyBorder="1" applyAlignment="1"/>
    <xf numFmtId="37" fontId="11" fillId="0" borderId="111" xfId="0" applyNumberFormat="1" applyFont="1" applyFill="1" applyBorder="1" applyAlignment="1"/>
    <xf numFmtId="37" fontId="11" fillId="0" borderId="112" xfId="0" applyNumberFormat="1" applyFont="1" applyFill="1" applyBorder="1" applyAlignment="1"/>
    <xf numFmtId="37" fontId="11" fillId="0" borderId="115" xfId="0" applyNumberFormat="1" applyFont="1" applyFill="1" applyBorder="1" applyAlignment="1"/>
    <xf numFmtId="37" fontId="11" fillId="0" borderId="113" xfId="0" applyNumberFormat="1" applyFont="1" applyFill="1" applyBorder="1" applyAlignment="1">
      <alignment horizontal="right"/>
    </xf>
    <xf numFmtId="37" fontId="11" fillId="0" borderId="30" xfId="0" applyNumberFormat="1" applyFont="1" applyFill="1" applyBorder="1" applyAlignment="1"/>
    <xf numFmtId="3" fontId="2" fillId="35" borderId="39" xfId="0" applyNumberFormat="1" applyFont="1" applyFill="1" applyBorder="1" applyAlignment="1"/>
    <xf numFmtId="3" fontId="2" fillId="35" borderId="66" xfId="0" applyNumberFormat="1" applyFont="1" applyFill="1" applyBorder="1" applyAlignment="1"/>
    <xf numFmtId="3" fontId="11" fillId="35" borderId="74" xfId="0" applyNumberFormat="1" applyFont="1" applyFill="1" applyBorder="1" applyAlignment="1"/>
    <xf numFmtId="37" fontId="11" fillId="35" borderId="12" xfId="0" applyNumberFormat="1" applyFont="1" applyFill="1" applyBorder="1" applyAlignment="1"/>
    <xf numFmtId="37" fontId="11" fillId="35" borderId="35" xfId="0" applyNumberFormat="1" applyFont="1" applyFill="1" applyBorder="1" applyAlignment="1"/>
    <xf numFmtId="37" fontId="11" fillId="35" borderId="114" xfId="0" applyNumberFormat="1" applyFont="1" applyFill="1" applyBorder="1" applyAlignment="1"/>
    <xf numFmtId="37" fontId="2" fillId="15" borderId="11" xfId="0" applyNumberFormat="1" applyFont="1" applyFill="1" applyBorder="1" applyAlignment="1">
      <alignment vertical="center"/>
    </xf>
    <xf numFmtId="37" fontId="2" fillId="15" borderId="75" xfId="0" applyNumberFormat="1" applyFont="1" applyFill="1" applyBorder="1" applyAlignment="1"/>
    <xf numFmtId="9" fontId="2" fillId="0" borderId="0" xfId="10" applyFont="1" applyFill="1" applyBorder="1" applyAlignment="1"/>
    <xf numFmtId="37" fontId="3" fillId="0" borderId="0" xfId="0" applyNumberFormat="1" applyFont="1" applyAlignment="1"/>
    <xf numFmtId="3" fontId="2" fillId="15" borderId="66" xfId="0" applyNumberFormat="1" applyFont="1" applyFill="1" applyBorder="1" applyAlignment="1"/>
    <xf numFmtId="3" fontId="11" fillId="15" borderId="74" xfId="0" applyNumberFormat="1" applyFont="1" applyFill="1" applyBorder="1" applyAlignment="1"/>
    <xf numFmtId="3" fontId="2" fillId="15" borderId="39" xfId="0" applyNumberFormat="1" applyFont="1" applyFill="1" applyBorder="1" applyAlignment="1"/>
    <xf numFmtId="37" fontId="2" fillId="0" borderId="21" xfId="0" applyNumberFormat="1" applyFont="1" applyFill="1" applyBorder="1" applyAlignment="1"/>
    <xf numFmtId="37" fontId="11" fillId="0" borderId="39" xfId="0" applyNumberFormat="1" applyFont="1" applyFill="1" applyBorder="1" applyAlignment="1"/>
    <xf numFmtId="3" fontId="11" fillId="0" borderId="116" xfId="0" applyNumberFormat="1" applyFont="1" applyFill="1" applyBorder="1" applyAlignment="1"/>
    <xf numFmtId="3" fontId="2" fillId="11" borderId="33" xfId="4" applyNumberFormat="1" applyFont="1" applyFill="1" applyBorder="1" applyAlignment="1" applyProtection="1">
      <alignment horizontal="right"/>
      <protection locked="0"/>
    </xf>
    <xf numFmtId="3" fontId="2" fillId="11" borderId="32" xfId="4" applyNumberFormat="1" applyFont="1" applyFill="1" applyBorder="1" applyAlignment="1" applyProtection="1">
      <alignment horizontal="right"/>
      <protection locked="0"/>
    </xf>
    <xf numFmtId="3" fontId="2" fillId="11" borderId="17" xfId="4" applyNumberFormat="1" applyFont="1" applyFill="1" applyBorder="1" applyAlignment="1" applyProtection="1">
      <alignment horizontal="right"/>
      <protection locked="0"/>
    </xf>
    <xf numFmtId="3" fontId="2" fillId="17" borderId="33" xfId="4" applyNumberFormat="1" applyFont="1" applyFill="1" applyBorder="1" applyAlignment="1" applyProtection="1">
      <alignment horizontal="right"/>
      <protection locked="0"/>
    </xf>
    <xf numFmtId="3" fontId="2" fillId="17" borderId="17" xfId="4" applyNumberFormat="1" applyFont="1" applyFill="1" applyBorder="1" applyAlignment="1" applyProtection="1">
      <alignment horizontal="right"/>
      <protection locked="0"/>
    </xf>
    <xf numFmtId="37" fontId="2" fillId="11" borderId="0" xfId="4" applyFont="1" applyFill="1" applyBorder="1" applyAlignment="1" applyProtection="1">
      <alignment horizontal="right"/>
      <protection locked="0"/>
    </xf>
    <xf numFmtId="3" fontId="79" fillId="11" borderId="33" xfId="4" applyNumberFormat="1" applyFont="1" applyFill="1" applyBorder="1" applyAlignment="1" applyProtection="1">
      <alignment horizontal="right"/>
      <protection locked="0"/>
    </xf>
    <xf numFmtId="3" fontId="79" fillId="11" borderId="17" xfId="4" applyNumberFormat="1" applyFont="1" applyFill="1" applyBorder="1" applyAlignment="1" applyProtection="1">
      <alignment horizontal="right"/>
      <protection locked="0"/>
    </xf>
    <xf numFmtId="3" fontId="65" fillId="0" borderId="23" xfId="21" applyNumberFormat="1" applyFont="1" applyFill="1" applyBorder="1" applyAlignment="1" applyProtection="1">
      <alignment horizontal="right"/>
      <protection locked="0"/>
    </xf>
    <xf numFmtId="3" fontId="2" fillId="36" borderId="17" xfId="4" applyNumberFormat="1" applyFont="1" applyFill="1" applyBorder="1" applyAlignment="1" applyProtection="1">
      <alignment horizontal="right"/>
      <protection locked="0"/>
    </xf>
    <xf numFmtId="3" fontId="11" fillId="36" borderId="23" xfId="21" applyNumberFormat="1" applyFont="1" applyFill="1" applyBorder="1" applyAlignment="1" applyProtection="1">
      <alignment horizontal="right"/>
      <protection locked="0"/>
    </xf>
    <xf numFmtId="37" fontId="0" fillId="0" borderId="17" xfId="0" applyNumberFormat="1" applyBorder="1" applyAlignment="1">
      <alignment vertical="center" wrapText="1"/>
    </xf>
    <xf numFmtId="37" fontId="0" fillId="0" borderId="6" xfId="0" applyNumberFormat="1" applyBorder="1" applyAlignment="1">
      <alignment vertical="center" wrapText="1"/>
    </xf>
    <xf numFmtId="37" fontId="5" fillId="0" borderId="0" xfId="0" applyNumberFormat="1" applyFont="1" applyBorder="1" applyAlignment="1">
      <alignment horizontal="right"/>
    </xf>
    <xf numFmtId="37" fontId="8" fillId="0" borderId="0" xfId="0" applyNumberFormat="1" applyFont="1" applyFill="1" applyBorder="1" applyAlignment="1">
      <alignment vertical="center" wrapText="1"/>
    </xf>
    <xf numFmtId="37" fontId="5" fillId="0" borderId="0" xfId="0" applyNumberFormat="1" applyFont="1" applyFill="1" applyBorder="1" applyAlignment="1">
      <alignment vertical="center" wrapText="1"/>
    </xf>
    <xf numFmtId="3" fontId="2" fillId="0" borderId="0" xfId="0" applyNumberFormat="1" applyFont="1" applyFill="1" applyBorder="1" applyAlignment="1">
      <alignment horizontal="right"/>
    </xf>
    <xf numFmtId="37" fontId="2" fillId="0" borderId="0" xfId="0" applyNumberFormat="1" applyFont="1" applyFill="1" applyAlignment="1">
      <alignment horizontal="right"/>
    </xf>
    <xf numFmtId="3" fontId="2" fillId="12" borderId="2" xfId="0" applyNumberFormat="1" applyFont="1" applyFill="1" applyBorder="1" applyAlignment="1">
      <alignment horizontal="right" wrapText="1"/>
    </xf>
    <xf numFmtId="3" fontId="2" fillId="12" borderId="0" xfId="0" applyNumberFormat="1" applyFont="1" applyFill="1" applyBorder="1" applyAlignment="1">
      <alignment horizontal="right"/>
    </xf>
    <xf numFmtId="37" fontId="2" fillId="0" borderId="2" xfId="0" applyNumberFormat="1" applyFont="1" applyFill="1" applyBorder="1" applyAlignment="1" applyProtection="1">
      <alignment horizontal="center" wrapText="1"/>
    </xf>
    <xf numFmtId="37" fontId="2" fillId="0" borderId="0" xfId="0" applyNumberFormat="1" applyFont="1" applyFill="1" applyBorder="1" applyAlignment="1">
      <alignment horizontal="centerContinuous"/>
    </xf>
    <xf numFmtId="164" fontId="2" fillId="5" borderId="0" xfId="0" applyNumberFormat="1" applyFont="1" applyFill="1" applyBorder="1" applyAlignment="1">
      <alignment horizontal="center"/>
    </xf>
    <xf numFmtId="164" fontId="2" fillId="0" borderId="0" xfId="0" quotePrefix="1" applyNumberFormat="1" applyFont="1" applyFill="1" applyBorder="1" applyAlignment="1">
      <alignment horizontal="right" vertical="center"/>
    </xf>
    <xf numFmtId="3" fontId="2" fillId="5" borderId="0" xfId="0" applyNumberFormat="1" applyFont="1" applyFill="1" applyBorder="1" applyAlignment="1">
      <alignment horizontal="center" vertical="center"/>
    </xf>
    <xf numFmtId="37" fontId="2" fillId="5" borderId="0" xfId="0" applyNumberFormat="1" applyFont="1" applyFill="1" applyAlignment="1">
      <alignment vertical="center"/>
    </xf>
    <xf numFmtId="3" fontId="2" fillId="5" borderId="0" xfId="0" applyNumberFormat="1" applyFont="1" applyFill="1" applyBorder="1" applyAlignment="1">
      <alignment horizontal="right" vertical="center"/>
    </xf>
    <xf numFmtId="37" fontId="2" fillId="0" borderId="0" xfId="0" applyNumberFormat="1" applyFont="1" applyFill="1" applyBorder="1" applyAlignment="1">
      <alignment vertical="center" wrapText="1"/>
    </xf>
    <xf numFmtId="37" fontId="2" fillId="5" borderId="0" xfId="0" applyNumberFormat="1" applyFont="1" applyFill="1" applyBorder="1" applyAlignment="1">
      <alignment vertical="center"/>
    </xf>
    <xf numFmtId="37" fontId="2" fillId="0" borderId="0" xfId="0" applyNumberFormat="1" applyFont="1" applyFill="1" applyAlignment="1">
      <alignment vertical="center" wrapText="1"/>
    </xf>
    <xf numFmtId="37" fontId="2" fillId="12" borderId="0" xfId="0" applyNumberFormat="1" applyFont="1" applyFill="1" applyAlignment="1">
      <alignment horizontal="right" vertical="center"/>
    </xf>
    <xf numFmtId="3" fontId="2" fillId="12" borderId="0" xfId="0" applyNumberFormat="1" applyFont="1" applyFill="1" applyBorder="1" applyAlignment="1">
      <alignment horizontal="right" wrapText="1"/>
    </xf>
    <xf numFmtId="37" fontId="2" fillId="0" borderId="20" xfId="0" applyNumberFormat="1" applyFont="1" applyFill="1" applyBorder="1" applyAlignment="1">
      <alignment horizontal="centerContinuous" vertical="center" wrapText="1"/>
    </xf>
    <xf numFmtId="3" fontId="11" fillId="12" borderId="0" xfId="0" applyNumberFormat="1" applyFont="1" applyFill="1" applyBorder="1" applyAlignment="1">
      <alignment horizontal="right"/>
    </xf>
    <xf numFmtId="3" fontId="2" fillId="12" borderId="0" xfId="0" applyNumberFormat="1" applyFont="1" applyFill="1" applyBorder="1" applyAlignment="1">
      <alignment horizontal="left"/>
    </xf>
    <xf numFmtId="37" fontId="2" fillId="0" borderId="2" xfId="0" applyNumberFormat="1" applyFont="1" applyFill="1" applyBorder="1" applyAlignment="1" applyProtection="1">
      <alignment horizontal="center"/>
    </xf>
    <xf numFmtId="37" fontId="21" fillId="12" borderId="0" xfId="0" applyNumberFormat="1" applyFont="1" applyFill="1" applyAlignment="1">
      <alignment horizontal="right" vertical="center"/>
    </xf>
    <xf numFmtId="37" fontId="2" fillId="12" borderId="0" xfId="0" applyNumberFormat="1" applyFont="1" applyFill="1" applyAlignment="1">
      <alignment horizontal="right"/>
    </xf>
    <xf numFmtId="37" fontId="2" fillId="0" borderId="0" xfId="0" applyNumberFormat="1" applyFont="1" applyFill="1" applyAlignment="1">
      <alignment horizontal="center" vertical="center"/>
    </xf>
    <xf numFmtId="3" fontId="2" fillId="12" borderId="0" xfId="0" applyNumberFormat="1" applyFont="1" applyFill="1" applyBorder="1" applyAlignment="1">
      <alignment horizontal="right" vertical="top"/>
    </xf>
    <xf numFmtId="164" fontId="2" fillId="5" borderId="0" xfId="0" applyNumberFormat="1" applyFont="1" applyFill="1" applyBorder="1" applyAlignment="1">
      <alignment horizontal="center" wrapText="1"/>
    </xf>
    <xf numFmtId="37" fontId="2" fillId="0" borderId="0" xfId="0" applyNumberFormat="1" applyFont="1" applyFill="1" applyAlignment="1">
      <alignment wrapText="1"/>
    </xf>
    <xf numFmtId="3" fontId="11" fillId="12" borderId="0" xfId="0" applyNumberFormat="1" applyFont="1" applyFill="1" applyBorder="1" applyAlignment="1">
      <alignment horizontal="right" vertical="top"/>
    </xf>
    <xf numFmtId="170" fontId="2" fillId="0" borderId="0" xfId="0" applyNumberFormat="1" applyFont="1" applyFill="1" applyBorder="1" applyAlignment="1">
      <alignment horizontal="right" vertical="center"/>
    </xf>
    <xf numFmtId="3" fontId="21" fillId="12" borderId="0" xfId="0" applyNumberFormat="1" applyFont="1" applyFill="1" applyBorder="1" applyAlignment="1">
      <alignment horizontal="right"/>
    </xf>
    <xf numFmtId="164" fontId="2" fillId="0" borderId="24" xfId="0" applyNumberFormat="1" applyFont="1" applyFill="1" applyBorder="1" applyAlignment="1">
      <alignment horizontal="center" vertical="center"/>
    </xf>
    <xf numFmtId="37" fontId="4" fillId="12" borderId="0" xfId="0" applyNumberFormat="1" applyFont="1" applyFill="1" applyAlignment="1">
      <alignment vertical="center"/>
    </xf>
    <xf numFmtId="3" fontId="80" fillId="0" borderId="0" xfId="0" applyNumberFormat="1" applyFont="1" applyFill="1" applyBorder="1" applyAlignment="1">
      <alignment horizontal="right" vertical="center"/>
    </xf>
    <xf numFmtId="37" fontId="81" fillId="0" borderId="12" xfId="0" applyNumberFormat="1" applyFont="1" applyFill="1" applyBorder="1" applyAlignment="1"/>
    <xf numFmtId="37" fontId="82" fillId="0" borderId="21" xfId="0" applyNumberFormat="1" applyFont="1" applyFill="1" applyBorder="1" applyAlignment="1"/>
    <xf numFmtId="37" fontId="82" fillId="0" borderId="0" xfId="0" applyNumberFormat="1" applyFont="1" applyFill="1" applyAlignment="1"/>
    <xf numFmtId="37" fontId="82" fillId="0" borderId="7" xfId="0" applyNumberFormat="1" applyFont="1" applyFill="1" applyBorder="1" applyAlignment="1"/>
    <xf numFmtId="37" fontId="82" fillId="0" borderId="28" xfId="0" applyNumberFormat="1" applyFont="1" applyFill="1" applyBorder="1" applyAlignment="1"/>
    <xf numFmtId="37" fontId="81" fillId="0" borderId="7" xfId="0" applyNumberFormat="1" applyFont="1" applyFill="1" applyBorder="1" applyAlignment="1"/>
    <xf numFmtId="37" fontId="81" fillId="0" borderId="13" xfId="0" applyNumberFormat="1" applyFont="1" applyFill="1" applyBorder="1" applyAlignment="1"/>
    <xf numFmtId="37" fontId="81" fillId="0" borderId="28" xfId="0" applyNumberFormat="1" applyFont="1" applyFill="1" applyBorder="1" applyAlignment="1"/>
    <xf numFmtId="37" fontId="82" fillId="0" borderId="85" xfId="0" applyNumberFormat="1" applyFont="1" applyFill="1" applyBorder="1" applyAlignment="1"/>
    <xf numFmtId="37" fontId="82" fillId="0" borderId="119" xfId="0" applyNumberFormat="1" applyFont="1" applyFill="1" applyBorder="1" applyAlignment="1"/>
    <xf numFmtId="37" fontId="82" fillId="0" borderId="0" xfId="0" applyNumberFormat="1" applyFont="1" applyFill="1" applyBorder="1" applyAlignment="1"/>
    <xf numFmtId="37" fontId="82" fillId="0" borderId="130" xfId="0" applyNumberFormat="1" applyFont="1" applyFill="1" applyBorder="1" applyAlignment="1"/>
    <xf numFmtId="37" fontId="82" fillId="0" borderId="122" xfId="0" applyNumberFormat="1" applyFont="1" applyFill="1" applyBorder="1" applyAlignment="1"/>
    <xf numFmtId="37" fontId="81" fillId="0" borderId="85" xfId="0" applyNumberFormat="1" applyFont="1" applyFill="1" applyBorder="1" applyAlignment="1"/>
    <xf numFmtId="37" fontId="82" fillId="0" borderId="21" xfId="0" applyNumberFormat="1" applyFont="1" applyFill="1" applyBorder="1" applyAlignment="1">
      <alignment vertical="center"/>
    </xf>
    <xf numFmtId="37" fontId="82" fillId="0" borderId="12" xfId="0" applyNumberFormat="1" applyFont="1" applyFill="1" applyBorder="1" applyAlignment="1"/>
    <xf numFmtId="37" fontId="82" fillId="0" borderId="21" xfId="0" applyNumberFormat="1" applyFont="1" applyFill="1" applyBorder="1" applyAlignment="1">
      <alignment horizontal="right"/>
    </xf>
    <xf numFmtId="37" fontId="82" fillId="0" borderId="21" xfId="0" applyNumberFormat="1" applyFont="1" applyFill="1" applyBorder="1" applyAlignment="1">
      <alignment vertical="top"/>
    </xf>
    <xf numFmtId="37" fontId="82" fillId="0" borderId="117" xfId="0" applyNumberFormat="1" applyFont="1" applyFill="1" applyBorder="1" applyAlignment="1">
      <alignment vertical="top"/>
    </xf>
    <xf numFmtId="37" fontId="82" fillId="0" borderId="141" xfId="0" applyNumberFormat="1" applyFont="1" applyFill="1" applyBorder="1" applyAlignment="1">
      <alignment vertical="top"/>
    </xf>
    <xf numFmtId="37" fontId="82" fillId="0" borderId="7" xfId="0" applyNumberFormat="1" applyFont="1" applyFill="1" applyBorder="1" applyAlignment="1">
      <alignment vertical="center"/>
    </xf>
    <xf numFmtId="37" fontId="82" fillId="0" borderId="35" xfId="0" applyNumberFormat="1" applyFont="1" applyFill="1" applyBorder="1" applyAlignment="1">
      <alignment vertical="top"/>
    </xf>
    <xf numFmtId="37" fontId="82" fillId="0" borderId="13" xfId="0" applyNumberFormat="1" applyFont="1" applyFill="1" applyBorder="1" applyAlignment="1"/>
    <xf numFmtId="37" fontId="82" fillId="0" borderId="131" xfId="0" applyNumberFormat="1" applyFont="1" applyFill="1" applyBorder="1" applyAlignment="1"/>
    <xf numFmtId="37" fontId="82" fillId="0" borderId="17" xfId="0" applyNumberFormat="1" applyFont="1" applyFill="1" applyBorder="1" applyAlignment="1"/>
    <xf numFmtId="37" fontId="82" fillId="0" borderId="128" xfId="0" applyNumberFormat="1" applyFont="1" applyFill="1" applyBorder="1" applyAlignment="1">
      <alignment vertical="top"/>
    </xf>
    <xf numFmtId="37" fontId="82" fillId="0" borderId="120" xfId="0" applyNumberFormat="1" applyFont="1" applyFill="1" applyBorder="1" applyAlignment="1">
      <alignment vertical="top"/>
    </xf>
    <xf numFmtId="37" fontId="82" fillId="0" borderId="142" xfId="0" applyNumberFormat="1" applyFont="1" applyFill="1" applyBorder="1" applyAlignment="1">
      <alignment vertical="top"/>
    </xf>
    <xf numFmtId="37" fontId="82" fillId="0" borderId="29" xfId="0" applyNumberFormat="1" applyFont="1" applyFill="1" applyBorder="1" applyAlignment="1"/>
    <xf numFmtId="37" fontId="82" fillId="0" borderId="140" xfId="0" applyNumberFormat="1" applyFont="1" applyFill="1" applyBorder="1" applyAlignment="1">
      <alignment vertical="center"/>
    </xf>
    <xf numFmtId="37" fontId="82" fillId="0" borderId="7" xfId="0" applyNumberFormat="1" applyFont="1" applyFill="1" applyBorder="1" applyAlignment="1">
      <alignment wrapText="1"/>
    </xf>
    <xf numFmtId="37" fontId="82" fillId="0" borderId="12" xfId="0" applyNumberFormat="1" applyFont="1" applyFill="1" applyBorder="1" applyAlignment="1">
      <alignment wrapText="1"/>
    </xf>
    <xf numFmtId="37" fontId="82" fillId="0" borderId="34" xfId="0" applyNumberFormat="1" applyFont="1" applyFill="1" applyBorder="1" applyAlignment="1"/>
    <xf numFmtId="37" fontId="82" fillId="0" borderId="7" xfId="0" applyNumberFormat="1" applyFont="1" applyFill="1" applyBorder="1" applyAlignment="1">
      <alignment horizontal="right"/>
    </xf>
    <xf numFmtId="37" fontId="82" fillId="0" borderId="35" xfId="0" applyNumberFormat="1" applyFont="1" applyFill="1" applyBorder="1" applyAlignment="1">
      <alignment horizontal="right"/>
    </xf>
    <xf numFmtId="37" fontId="82" fillId="0" borderId="7" xfId="0" applyNumberFormat="1" applyFont="1" applyFill="1" applyBorder="1" applyAlignment="1">
      <alignment vertical="distributed"/>
    </xf>
    <xf numFmtId="37" fontId="82" fillId="0" borderId="35" xfId="0" applyNumberFormat="1" applyFont="1" applyFill="1" applyBorder="1" applyAlignment="1">
      <alignment vertical="center"/>
    </xf>
    <xf numFmtId="37" fontId="82" fillId="0" borderId="11" xfId="0" applyNumberFormat="1" applyFont="1" applyFill="1" applyBorder="1" applyAlignment="1">
      <alignment vertical="center"/>
    </xf>
    <xf numFmtId="37" fontId="82" fillId="0" borderId="30" xfId="0" applyNumberFormat="1" applyFont="1" applyFill="1" applyBorder="1" applyAlignment="1">
      <alignment vertical="distributed"/>
    </xf>
    <xf numFmtId="37" fontId="82" fillId="0" borderId="63" xfId="0" applyNumberFormat="1" applyFont="1" applyFill="1" applyBorder="1" applyAlignment="1"/>
    <xf numFmtId="37" fontId="82" fillId="0" borderId="6" xfId="0" applyNumberFormat="1" applyFont="1" applyFill="1" applyBorder="1" applyAlignment="1"/>
    <xf numFmtId="37" fontId="82" fillId="0" borderId="140" xfId="0" applyNumberFormat="1" applyFont="1" applyFill="1" applyBorder="1" applyAlignment="1"/>
    <xf numFmtId="37" fontId="82" fillId="0" borderId="35" xfId="0" applyNumberFormat="1" applyFont="1" applyFill="1" applyBorder="1" applyAlignment="1"/>
    <xf numFmtId="37" fontId="82" fillId="0" borderId="17" xfId="0" applyNumberFormat="1" applyFont="1" applyFill="1" applyBorder="1" applyAlignment="1">
      <alignment vertical="center"/>
    </xf>
    <xf numFmtId="37" fontId="82" fillId="0" borderId="30" xfId="0" applyNumberFormat="1" applyFont="1" applyFill="1" applyBorder="1" applyAlignment="1"/>
    <xf numFmtId="37" fontId="82" fillId="0" borderId="38" xfId="0" applyNumberFormat="1" applyFont="1" applyFill="1" applyBorder="1" applyAlignment="1"/>
    <xf numFmtId="37" fontId="82" fillId="0" borderId="38" xfId="0" applyNumberFormat="1" applyFont="1" applyFill="1" applyBorder="1" applyAlignment="1">
      <alignment vertical="center"/>
    </xf>
    <xf numFmtId="37" fontId="82" fillId="0" borderId="20" xfId="0" applyNumberFormat="1" applyFont="1" applyFill="1" applyBorder="1" applyAlignment="1">
      <alignment vertical="top"/>
    </xf>
    <xf numFmtId="37" fontId="82" fillId="0" borderId="2" xfId="0" applyNumberFormat="1" applyFont="1" applyFill="1" applyBorder="1" applyAlignment="1"/>
    <xf numFmtId="37" fontId="82" fillId="0" borderId="112" xfId="0" applyNumberFormat="1" applyFont="1" applyFill="1" applyBorder="1" applyAlignment="1"/>
    <xf numFmtId="37" fontId="82" fillId="0" borderId="20" xfId="0" applyNumberFormat="1" applyFont="1" applyFill="1" applyBorder="1" applyAlignment="1">
      <alignment vertical="center"/>
    </xf>
    <xf numFmtId="37" fontId="82" fillId="0" borderId="70" xfId="0" applyNumberFormat="1" applyFont="1" applyFill="1" applyBorder="1" applyAlignment="1">
      <alignment vertical="center"/>
    </xf>
    <xf numFmtId="37" fontId="83" fillId="0" borderId="111" xfId="0" applyNumberFormat="1" applyFont="1" applyFill="1" applyBorder="1" applyAlignment="1">
      <alignment vertical="center"/>
    </xf>
    <xf numFmtId="37" fontId="83" fillId="0" borderId="139" xfId="0" applyNumberFormat="1" applyFont="1" applyFill="1" applyBorder="1" applyAlignment="1">
      <alignment vertical="center"/>
    </xf>
    <xf numFmtId="37" fontId="82" fillId="15" borderId="21" xfId="0" applyNumberFormat="1" applyFont="1" applyFill="1" applyBorder="1" applyAlignment="1">
      <alignment vertical="top"/>
    </xf>
    <xf numFmtId="37" fontId="82" fillId="15" borderId="0" xfId="0" applyNumberFormat="1" applyFont="1" applyFill="1" applyAlignment="1"/>
    <xf numFmtId="37" fontId="82" fillId="15" borderId="141" xfId="0" applyNumberFormat="1" applyFont="1" applyFill="1" applyBorder="1" applyAlignment="1">
      <alignment vertical="top"/>
    </xf>
    <xf numFmtId="37" fontId="82" fillId="15" borderId="119" xfId="0" applyNumberFormat="1" applyFont="1" applyFill="1" applyBorder="1" applyAlignment="1"/>
    <xf numFmtId="3" fontId="82" fillId="0" borderId="7" xfId="0" applyNumberFormat="1" applyFont="1" applyFill="1" applyBorder="1" applyAlignment="1"/>
    <xf numFmtId="3" fontId="82" fillId="0" borderId="21" xfId="0" applyNumberFormat="1" applyFont="1" applyFill="1" applyBorder="1" applyAlignment="1"/>
    <xf numFmtId="3" fontId="82" fillId="0" borderId="35" xfId="0" applyNumberFormat="1" applyFont="1" applyFill="1" applyBorder="1" applyAlignment="1"/>
    <xf numFmtId="3" fontId="82" fillId="0" borderId="117" xfId="0" applyNumberFormat="1" applyFont="1" applyFill="1" applyBorder="1" applyAlignment="1"/>
    <xf numFmtId="3" fontId="82" fillId="0" borderId="39" xfId="0" applyNumberFormat="1" applyFont="1" applyFill="1" applyBorder="1" applyAlignment="1"/>
    <xf numFmtId="3" fontId="82" fillId="0" borderId="28" xfId="0" applyNumberFormat="1" applyFont="1" applyFill="1" applyBorder="1" applyAlignment="1"/>
    <xf numFmtId="3" fontId="82" fillId="0" borderId="0" xfId="0" applyNumberFormat="1" applyFont="1" applyFill="1" applyBorder="1" applyAlignment="1"/>
    <xf numFmtId="3" fontId="82" fillId="0" borderId="29" xfId="0" applyNumberFormat="1" applyFont="1" applyFill="1" applyBorder="1" applyAlignment="1"/>
    <xf numFmtId="3" fontId="82" fillId="0" borderId="118" xfId="0" applyNumberFormat="1" applyFont="1" applyFill="1" applyBorder="1" applyAlignment="1"/>
    <xf numFmtId="3" fontId="82" fillId="0" borderId="0" xfId="0" applyNumberFormat="1" applyFont="1" applyFill="1" applyAlignment="1"/>
    <xf numFmtId="3" fontId="82" fillId="0" borderId="66" xfId="0" applyNumberFormat="1" applyFont="1" applyFill="1" applyBorder="1" applyAlignment="1"/>
    <xf numFmtId="37" fontId="81" fillId="0" borderId="28" xfId="0" applyNumberFormat="1" applyFont="1" applyFill="1" applyBorder="1" applyAlignment="1">
      <alignment horizontal="right"/>
    </xf>
    <xf numFmtId="3" fontId="81" fillId="0" borderId="28" xfId="0" applyNumberFormat="1" applyFont="1" applyFill="1" applyBorder="1" applyAlignment="1"/>
    <xf numFmtId="3" fontId="81" fillId="0" borderId="0" xfId="0" applyNumberFormat="1" applyFont="1" applyFill="1" applyBorder="1" applyAlignment="1"/>
    <xf numFmtId="3" fontId="81" fillId="0" borderId="29" xfId="0" applyNumberFormat="1" applyFont="1" applyFill="1" applyBorder="1" applyAlignment="1"/>
    <xf numFmtId="3" fontId="81" fillId="0" borderId="119" xfId="0" applyNumberFormat="1" applyFont="1" applyFill="1" applyBorder="1" applyAlignment="1"/>
    <xf numFmtId="3" fontId="81" fillId="0" borderId="66" xfId="0" applyNumberFormat="1" applyFont="1" applyFill="1" applyBorder="1" applyAlignment="1"/>
    <xf numFmtId="3" fontId="82" fillId="0" borderId="129" xfId="0" applyNumberFormat="1" applyFont="1" applyFill="1" applyBorder="1" applyAlignment="1"/>
    <xf numFmtId="3" fontId="82" fillId="0" borderId="120" xfId="0" applyNumberFormat="1" applyFont="1" applyFill="1" applyBorder="1" applyAlignment="1"/>
    <xf numFmtId="3" fontId="82" fillId="0" borderId="128" xfId="0" applyNumberFormat="1" applyFont="1" applyFill="1" applyBorder="1" applyAlignment="1"/>
    <xf numFmtId="3" fontId="82" fillId="0" borderId="121" xfId="0" applyNumberFormat="1" applyFont="1" applyFill="1" applyBorder="1" applyAlignment="1"/>
    <xf numFmtId="3" fontId="82" fillId="0" borderId="50" xfId="0" applyNumberFormat="1" applyFont="1" applyFill="1" applyBorder="1" applyAlignment="1"/>
    <xf numFmtId="3" fontId="82" fillId="0" borderId="119" xfId="0" applyNumberFormat="1" applyFont="1" applyFill="1" applyBorder="1" applyAlignment="1"/>
    <xf numFmtId="3" fontId="82" fillId="0" borderId="41" xfId="0" applyNumberFormat="1" applyFont="1" applyFill="1" applyBorder="1" applyAlignment="1"/>
    <xf numFmtId="3" fontId="82" fillId="0" borderId="122" xfId="0" applyNumberFormat="1" applyFont="1" applyFill="1" applyBorder="1" applyAlignment="1"/>
    <xf numFmtId="3" fontId="82" fillId="0" borderId="130" xfId="0" applyNumberFormat="1" applyFont="1" applyFill="1" applyBorder="1" applyAlignment="1"/>
    <xf numFmtId="3" fontId="81" fillId="0" borderId="130" xfId="0" applyNumberFormat="1" applyFont="1" applyFill="1" applyBorder="1" applyAlignment="1"/>
    <xf numFmtId="3" fontId="82" fillId="0" borderId="131" xfId="0" applyNumberFormat="1" applyFont="1" applyFill="1" applyBorder="1" applyAlignment="1"/>
    <xf numFmtId="3" fontId="82" fillId="0" borderId="2" xfId="0" applyNumberFormat="1" applyFont="1" applyFill="1" applyBorder="1" applyAlignment="1"/>
    <xf numFmtId="3" fontId="82" fillId="0" borderId="124" xfId="0" applyNumberFormat="1" applyFont="1" applyFill="1" applyBorder="1" applyAlignment="1"/>
    <xf numFmtId="3" fontId="82" fillId="0" borderId="33" xfId="0" applyNumberFormat="1" applyFont="1" applyFill="1" applyBorder="1" applyAlignment="1"/>
    <xf numFmtId="3" fontId="82" fillId="0" borderId="125" xfId="0" applyNumberFormat="1" applyFont="1" applyFill="1" applyBorder="1" applyAlignment="1"/>
    <xf numFmtId="3" fontId="82" fillId="0" borderId="126" xfId="0" applyNumberFormat="1" applyFont="1" applyFill="1" applyBorder="1" applyAlignment="1"/>
    <xf numFmtId="3" fontId="82" fillId="0" borderId="127" xfId="0" applyNumberFormat="1" applyFont="1" applyFill="1" applyBorder="1" applyAlignment="1"/>
    <xf numFmtId="3" fontId="82" fillId="0" borderId="60" xfId="0" applyNumberFormat="1" applyFont="1" applyFill="1" applyBorder="1" applyAlignment="1"/>
    <xf numFmtId="3" fontId="82" fillId="0" borderId="83" xfId="0" applyNumberFormat="1" applyFont="1" applyFill="1" applyBorder="1" applyAlignment="1"/>
    <xf numFmtId="3" fontId="82" fillId="0" borderId="123" xfId="0" applyNumberFormat="1" applyFont="1" applyFill="1" applyBorder="1" applyAlignment="1"/>
    <xf numFmtId="3" fontId="82" fillId="0" borderId="84" xfId="0" applyNumberFormat="1" applyFont="1" applyFill="1" applyBorder="1" applyAlignment="1"/>
    <xf numFmtId="3" fontId="81" fillId="0" borderId="131" xfId="0" applyNumberFormat="1" applyFont="1" applyFill="1" applyBorder="1" applyAlignment="1"/>
    <xf numFmtId="3" fontId="82" fillId="0" borderId="63" xfId="0" applyNumberFormat="1" applyFont="1" applyFill="1" applyBorder="1" applyAlignment="1"/>
    <xf numFmtId="3" fontId="82" fillId="0" borderId="132" xfId="0" applyNumberFormat="1" applyFont="1" applyFill="1" applyBorder="1" applyAlignment="1"/>
    <xf numFmtId="3" fontId="82" fillId="0" borderId="23" xfId="0" applyNumberFormat="1" applyFont="1" applyFill="1" applyBorder="1" applyAlignment="1"/>
    <xf numFmtId="3" fontId="81" fillId="0" borderId="23" xfId="0" applyNumberFormat="1" applyFont="1" applyFill="1" applyBorder="1" applyAlignment="1"/>
    <xf numFmtId="3" fontId="82" fillId="0" borderId="133" xfId="0" applyNumberFormat="1" applyFont="1" applyFill="1" applyBorder="1" applyAlignment="1"/>
    <xf numFmtId="3" fontId="82" fillId="0" borderId="86" xfId="0" applyNumberFormat="1" applyFont="1" applyFill="1" applyBorder="1" applyAlignment="1"/>
    <xf numFmtId="3" fontId="81" fillId="0" borderId="134" xfId="0" applyNumberFormat="1" applyFont="1" applyFill="1" applyBorder="1" applyAlignment="1"/>
    <xf numFmtId="3" fontId="82" fillId="0" borderId="10" xfId="0" applyNumberFormat="1" applyFont="1" applyFill="1" applyBorder="1" applyAlignment="1"/>
    <xf numFmtId="3" fontId="82" fillId="0" borderId="134" xfId="0" applyNumberFormat="1" applyFont="1" applyFill="1" applyBorder="1" applyAlignment="1"/>
    <xf numFmtId="3" fontId="82" fillId="0" borderId="135" xfId="0" applyNumberFormat="1" applyFont="1" applyFill="1" applyBorder="1" applyAlignment="1"/>
    <xf numFmtId="3" fontId="81" fillId="0" borderId="136" xfId="0" applyNumberFormat="1" applyFont="1" applyFill="1" applyBorder="1" applyAlignment="1"/>
    <xf numFmtId="3" fontId="82" fillId="0" borderId="136" xfId="0" applyNumberFormat="1" applyFont="1" applyFill="1" applyBorder="1" applyAlignment="1"/>
    <xf numFmtId="3" fontId="82" fillId="0" borderId="68" xfId="0" applyNumberFormat="1" applyFont="1" applyFill="1" applyBorder="1" applyAlignment="1"/>
    <xf numFmtId="3" fontId="81" fillId="0" borderId="68" xfId="0" applyNumberFormat="1" applyFont="1" applyFill="1" applyBorder="1" applyAlignment="1"/>
    <xf numFmtId="3" fontId="82" fillId="0" borderId="69" xfId="0" applyNumberFormat="1" applyFont="1" applyFill="1" applyBorder="1" applyAlignment="1"/>
    <xf numFmtId="3" fontId="82" fillId="0" borderId="17" xfId="0" applyNumberFormat="1" applyFont="1" applyFill="1" applyBorder="1" applyAlignment="1"/>
    <xf numFmtId="3" fontId="81" fillId="0" borderId="17" xfId="0" applyNumberFormat="1" applyFont="1" applyFill="1" applyBorder="1" applyAlignment="1"/>
    <xf numFmtId="3" fontId="82" fillId="0" borderId="6" xfId="0" applyNumberFormat="1" applyFont="1" applyFill="1" applyBorder="1" applyAlignment="1"/>
    <xf numFmtId="3" fontId="82" fillId="0" borderId="137" xfId="0" applyNumberFormat="1" applyFont="1" applyFill="1" applyBorder="1" applyAlignment="1"/>
    <xf numFmtId="3" fontId="82" fillId="0" borderId="138" xfId="0" applyNumberFormat="1" applyFont="1" applyFill="1" applyBorder="1" applyAlignment="1"/>
    <xf numFmtId="3" fontId="81" fillId="0" borderId="138" xfId="0" applyNumberFormat="1" applyFont="1" applyFill="1" applyBorder="1" applyAlignment="1"/>
    <xf numFmtId="37" fontId="81" fillId="0" borderId="34" xfId="0" applyNumberFormat="1" applyFont="1" applyFill="1" applyBorder="1" applyAlignment="1"/>
    <xf numFmtId="37" fontId="81" fillId="0" borderId="87" xfId="0" applyNumberFormat="1" applyFont="1" applyFill="1" applyBorder="1" applyAlignment="1"/>
    <xf numFmtId="37" fontId="81" fillId="0" borderId="35" xfId="0" applyNumberFormat="1" applyFont="1" applyFill="1" applyBorder="1" applyAlignment="1"/>
    <xf numFmtId="37" fontId="81" fillId="0" borderId="62" xfId="0" applyNumberFormat="1" applyFont="1" applyFill="1" applyBorder="1" applyAlignment="1"/>
    <xf numFmtId="37" fontId="81" fillId="0" borderId="114" xfId="0" applyNumberFormat="1" applyFont="1" applyFill="1" applyBorder="1" applyAlignment="1"/>
    <xf numFmtId="37" fontId="81" fillId="0" borderId="64" xfId="0" applyNumberFormat="1" applyFont="1" applyFill="1" applyBorder="1" applyAlignment="1"/>
    <xf numFmtId="37" fontId="81" fillId="0" borderId="111" xfId="0" applyNumberFormat="1" applyFont="1" applyFill="1" applyBorder="1" applyAlignment="1"/>
    <xf numFmtId="37" fontId="81" fillId="0" borderId="112" xfId="0" applyNumberFormat="1" applyFont="1" applyFill="1" applyBorder="1" applyAlignment="1"/>
    <xf numFmtId="37" fontId="81" fillId="0" borderId="115" xfId="0" applyNumberFormat="1" applyFont="1" applyFill="1" applyBorder="1" applyAlignment="1"/>
    <xf numFmtId="37" fontId="81" fillId="0" borderId="60" xfId="0" applyNumberFormat="1" applyFont="1" applyFill="1" applyBorder="1" applyAlignment="1"/>
    <xf numFmtId="37" fontId="81" fillId="0" borderId="61" xfId="0" applyNumberFormat="1" applyFont="1" applyFill="1" applyBorder="1" applyAlignment="1"/>
    <xf numFmtId="37" fontId="81" fillId="0" borderId="65" xfId="0" applyNumberFormat="1" applyFont="1" applyFill="1" applyBorder="1" applyAlignment="1"/>
    <xf numFmtId="3" fontId="81" fillId="0" borderId="74" xfId="0" applyNumberFormat="1" applyFont="1" applyFill="1" applyBorder="1" applyAlignment="1"/>
    <xf numFmtId="37" fontId="81" fillId="0" borderId="113" xfId="0" applyNumberFormat="1" applyFont="1" applyFill="1" applyBorder="1" applyAlignment="1">
      <alignment horizontal="right"/>
    </xf>
    <xf numFmtId="37" fontId="81" fillId="0" borderId="30" xfId="0" applyNumberFormat="1" applyFont="1" applyFill="1" applyBorder="1" applyAlignment="1"/>
    <xf numFmtId="3" fontId="82" fillId="15" borderId="130" xfId="0" applyNumberFormat="1" applyFont="1" applyFill="1" applyBorder="1" applyAlignment="1"/>
    <xf numFmtId="3" fontId="82" fillId="15" borderId="8" xfId="0" applyNumberFormat="1" applyFont="1" applyFill="1" applyBorder="1" applyAlignment="1"/>
    <xf numFmtId="3" fontId="82" fillId="15" borderId="41" xfId="0" applyNumberFormat="1" applyFont="1" applyFill="1" applyBorder="1" applyAlignment="1"/>
    <xf numFmtId="3" fontId="82" fillId="15" borderId="122" xfId="0" applyNumberFormat="1" applyFont="1" applyFill="1" applyBorder="1" applyAlignment="1"/>
    <xf numFmtId="3" fontId="82" fillId="15" borderId="119" xfId="0" applyNumberFormat="1" applyFont="1" applyFill="1" applyBorder="1" applyAlignment="1"/>
    <xf numFmtId="3" fontId="82" fillId="15" borderId="28" xfId="0" applyNumberFormat="1" applyFont="1" applyFill="1" applyBorder="1" applyAlignment="1"/>
    <xf numFmtId="3" fontId="82" fillId="15" borderId="0" xfId="0" applyNumberFormat="1" applyFont="1" applyFill="1" applyAlignment="1"/>
    <xf numFmtId="3" fontId="82" fillId="15" borderId="19" xfId="0" applyNumberFormat="1" applyFont="1" applyFill="1" applyBorder="1" applyAlignment="1"/>
    <xf numFmtId="3" fontId="81" fillId="15" borderId="8" xfId="0" applyNumberFormat="1" applyFont="1" applyFill="1" applyBorder="1" applyAlignment="1"/>
    <xf numFmtId="3" fontId="82" fillId="15" borderId="29" xfId="0" applyNumberFormat="1" applyFont="1" applyFill="1" applyBorder="1" applyAlignment="1"/>
    <xf numFmtId="3" fontId="82" fillId="15" borderId="23" xfId="0" applyNumberFormat="1" applyFont="1" applyFill="1" applyBorder="1" applyAlignment="1"/>
    <xf numFmtId="3" fontId="82" fillId="15" borderId="11" xfId="0" applyNumberFormat="1" applyFont="1" applyFill="1" applyBorder="1" applyAlignment="1"/>
    <xf numFmtId="3" fontId="82" fillId="15" borderId="17" xfId="0" applyNumberFormat="1" applyFont="1" applyFill="1" applyBorder="1" applyAlignment="1"/>
    <xf numFmtId="3" fontId="82" fillId="15" borderId="6" xfId="0" applyNumberFormat="1" applyFont="1" applyFill="1" applyBorder="1" applyAlignment="1"/>
    <xf numFmtId="3" fontId="82" fillId="15" borderId="21" xfId="0" applyNumberFormat="1" applyFont="1" applyFill="1" applyBorder="1" applyAlignment="1"/>
    <xf numFmtId="3" fontId="82" fillId="35" borderId="39" xfId="0" applyNumberFormat="1" applyFont="1" applyFill="1" applyBorder="1" applyAlignment="1"/>
    <xf numFmtId="3" fontId="82" fillId="35" borderId="66" xfId="0" applyNumberFormat="1" applyFont="1" applyFill="1" applyBorder="1" applyAlignment="1"/>
    <xf numFmtId="3" fontId="81" fillId="35" borderId="74" xfId="0" applyNumberFormat="1" applyFont="1" applyFill="1" applyBorder="1" applyAlignment="1"/>
    <xf numFmtId="3" fontId="82" fillId="35" borderId="29" xfId="0" applyNumberFormat="1" applyFont="1" applyFill="1" applyBorder="1" applyAlignment="1"/>
    <xf numFmtId="3" fontId="81" fillId="35" borderId="29" xfId="0" applyNumberFormat="1" applyFont="1" applyFill="1" applyBorder="1" applyAlignment="1"/>
    <xf numFmtId="3" fontId="82" fillId="35" borderId="63" xfId="0" applyNumberFormat="1" applyFont="1" applyFill="1" applyBorder="1" applyAlignment="1"/>
    <xf numFmtId="3" fontId="82" fillId="35" borderId="35" xfId="0" applyNumberFormat="1" applyFont="1" applyFill="1" applyBorder="1" applyAlignment="1"/>
    <xf numFmtId="3" fontId="82" fillId="35" borderId="117" xfId="0" applyNumberFormat="1" applyFont="1" applyFill="1" applyBorder="1" applyAlignment="1"/>
    <xf numFmtId="3" fontId="82" fillId="35" borderId="118" xfId="0" applyNumberFormat="1" applyFont="1" applyFill="1" applyBorder="1" applyAlignment="1"/>
    <xf numFmtId="3" fontId="82" fillId="35" borderId="119" xfId="0" applyNumberFormat="1" applyFont="1" applyFill="1" applyBorder="1" applyAlignment="1"/>
    <xf numFmtId="3" fontId="82" fillId="35" borderId="123" xfId="0" applyNumberFormat="1" applyFont="1" applyFill="1" applyBorder="1" applyAlignment="1"/>
    <xf numFmtId="37" fontId="81" fillId="35" borderId="12" xfId="0" applyNumberFormat="1" applyFont="1" applyFill="1" applyBorder="1" applyAlignment="1"/>
    <xf numFmtId="37" fontId="81" fillId="35" borderId="35" xfId="0" applyNumberFormat="1" applyFont="1" applyFill="1" applyBorder="1" applyAlignment="1"/>
    <xf numFmtId="37" fontId="81" fillId="35" borderId="114" xfId="0" applyNumberFormat="1" applyFont="1" applyFill="1" applyBorder="1" applyAlignment="1"/>
    <xf numFmtId="3" fontId="81" fillId="35" borderId="0" xfId="0" applyNumberFormat="1" applyFont="1" applyFill="1" applyBorder="1" applyAlignment="1"/>
    <xf numFmtId="3" fontId="82" fillId="35" borderId="0" xfId="0" applyNumberFormat="1" applyFont="1" applyFill="1" applyBorder="1" applyAlignment="1"/>
    <xf numFmtId="168" fontId="82" fillId="35" borderId="8" xfId="0" applyNumberFormat="1" applyFont="1" applyFill="1" applyBorder="1" applyAlignment="1"/>
    <xf numFmtId="3" fontId="82" fillId="35" borderId="8" xfId="0" applyNumberFormat="1" applyFont="1" applyFill="1" applyBorder="1" applyAlignment="1"/>
    <xf numFmtId="3" fontId="82" fillId="15" borderId="118" xfId="0" applyNumberFormat="1" applyFont="1" applyFill="1" applyBorder="1" applyAlignment="1"/>
    <xf numFmtId="3" fontId="82" fillId="15" borderId="86" xfId="0" applyNumberFormat="1" applyFont="1" applyFill="1" applyBorder="1" applyAlignment="1"/>
    <xf numFmtId="3" fontId="81" fillId="15" borderId="119" xfId="0" applyNumberFormat="1" applyFont="1" applyFill="1" applyBorder="1" applyAlignment="1"/>
    <xf numFmtId="3" fontId="82" fillId="15" borderId="134" xfId="0" applyNumberFormat="1" applyFont="1" applyFill="1" applyBorder="1" applyAlignment="1"/>
    <xf numFmtId="3" fontId="81" fillId="15" borderId="23" xfId="0" applyNumberFormat="1" applyFont="1" applyFill="1" applyBorder="1" applyAlignment="1"/>
    <xf numFmtId="3" fontId="82" fillId="15" borderId="129" xfId="0" applyNumberFormat="1" applyFont="1" applyFill="1" applyBorder="1" applyAlignment="1"/>
    <xf numFmtId="3" fontId="82" fillId="15" borderId="120" xfId="0" applyNumberFormat="1" applyFont="1" applyFill="1" applyBorder="1" applyAlignment="1"/>
    <xf numFmtId="3" fontId="82" fillId="15" borderId="0" xfId="0" applyNumberFormat="1" applyFont="1" applyFill="1" applyBorder="1" applyAlignment="1"/>
    <xf numFmtId="3" fontId="82" fillId="15" borderId="121" xfId="0" applyNumberFormat="1" applyFont="1" applyFill="1" applyBorder="1" applyAlignment="1"/>
    <xf numFmtId="3" fontId="82" fillId="15" borderId="117" xfId="0" applyNumberFormat="1" applyFont="1" applyFill="1" applyBorder="1" applyAlignment="1"/>
    <xf numFmtId="3" fontId="82" fillId="15" borderId="133" xfId="0" applyNumberFormat="1" applyFont="1" applyFill="1" applyBorder="1" applyAlignment="1"/>
    <xf numFmtId="3" fontId="82" fillId="15" borderId="128" xfId="0" applyNumberFormat="1" applyFont="1" applyFill="1" applyBorder="1" applyAlignment="1"/>
    <xf numFmtId="3" fontId="82" fillId="15" borderId="50" xfId="0" applyNumberFormat="1" applyFont="1" applyFill="1" applyBorder="1" applyAlignment="1"/>
    <xf numFmtId="3" fontId="81" fillId="0" borderId="84" xfId="0" applyNumberFormat="1" applyFont="1" applyFill="1" applyBorder="1" applyAlignment="1"/>
    <xf numFmtId="3" fontId="81" fillId="0" borderId="7" xfId="0" applyNumberFormat="1" applyFont="1" applyFill="1" applyBorder="1" applyAlignment="1"/>
    <xf numFmtId="3" fontId="81" fillId="0" borderId="62" xfId="0" applyNumberFormat="1" applyFont="1" applyFill="1" applyBorder="1" applyAlignment="1"/>
    <xf numFmtId="3" fontId="81" fillId="0" borderId="12" xfId="0" applyNumberFormat="1" applyFont="1" applyFill="1" applyBorder="1" applyAlignment="1"/>
    <xf numFmtId="3" fontId="81" fillId="0" borderId="87" xfId="0" applyNumberFormat="1" applyFont="1" applyFill="1" applyBorder="1" applyAlignment="1"/>
    <xf numFmtId="3" fontId="82" fillId="0" borderId="84" xfId="0" applyNumberFormat="1" applyFont="1" applyFill="1" applyBorder="1" applyAlignment="1">
      <alignment wrapText="1"/>
    </xf>
    <xf numFmtId="3" fontId="82" fillId="0" borderId="60" xfId="0" applyNumberFormat="1" applyFont="1" applyFill="1" applyBorder="1" applyAlignment="1">
      <alignment wrapText="1"/>
    </xf>
    <xf numFmtId="3" fontId="82" fillId="0" borderId="85" xfId="0" applyNumberFormat="1" applyFont="1" applyFill="1" applyBorder="1" applyAlignment="1">
      <alignment wrapText="1"/>
    </xf>
    <xf numFmtId="3" fontId="82" fillId="0" borderId="88" xfId="0" applyNumberFormat="1" applyFont="1" applyFill="1" applyBorder="1" applyAlignment="1">
      <alignment wrapText="1"/>
    </xf>
    <xf numFmtId="3" fontId="81" fillId="0" borderId="60" xfId="0" applyNumberFormat="1" applyFont="1" applyFill="1" applyBorder="1" applyAlignment="1"/>
    <xf numFmtId="3" fontId="82" fillId="11" borderId="85" xfId="0" applyNumberFormat="1" applyFont="1" applyFill="1" applyBorder="1" applyAlignment="1">
      <alignment wrapText="1"/>
    </xf>
    <xf numFmtId="3" fontId="81" fillId="0" borderId="83" xfId="0" applyNumberFormat="1" applyFont="1" applyFill="1" applyBorder="1" applyAlignment="1"/>
    <xf numFmtId="3" fontId="81" fillId="0" borderId="89" xfId="0" applyNumberFormat="1" applyFont="1" applyFill="1" applyBorder="1" applyAlignment="1"/>
    <xf numFmtId="37" fontId="5" fillId="0" borderId="0" xfId="0" applyNumberFormat="1" applyFont="1" applyFill="1" applyBorder="1" applyAlignment="1">
      <alignment horizontal="right"/>
    </xf>
    <xf numFmtId="37" fontId="8" fillId="0" borderId="0" xfId="0" applyNumberFormat="1" applyFont="1" applyFill="1" applyAlignment="1">
      <alignment vertical="top" wrapText="1"/>
    </xf>
    <xf numFmtId="37" fontId="5" fillId="0" borderId="0" xfId="0" applyNumberFormat="1" applyFont="1" applyFill="1" applyAlignment="1">
      <alignment vertical="top" wrapText="1"/>
    </xf>
    <xf numFmtId="37" fontId="7" fillId="0" borderId="0" xfId="0" applyNumberFormat="1" applyFont="1" applyFill="1" applyBorder="1" applyAlignment="1" applyProtection="1">
      <alignment horizontal="center" vertical="top"/>
    </xf>
    <xf numFmtId="37" fontId="11" fillId="0" borderId="40" xfId="0" applyNumberFormat="1" applyFont="1" applyFill="1" applyBorder="1" applyAlignment="1">
      <alignment vertical="center" wrapText="1"/>
    </xf>
    <xf numFmtId="37" fontId="9"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20" fillId="0" borderId="40" xfId="0" applyNumberFormat="1" applyFont="1" applyFill="1" applyBorder="1" applyAlignment="1">
      <alignment vertical="center" wrapText="1"/>
    </xf>
    <xf numFmtId="37" fontId="14" fillId="0" borderId="14" xfId="0" applyNumberFormat="1" applyFont="1" applyFill="1" applyBorder="1" applyAlignment="1">
      <alignment vertical="center"/>
    </xf>
    <xf numFmtId="37" fontId="14" fillId="0" borderId="22" xfId="0" applyNumberFormat="1" applyFont="1" applyFill="1" applyBorder="1" applyAlignment="1">
      <alignment vertical="center"/>
    </xf>
    <xf numFmtId="37" fontId="14" fillId="0" borderId="14" xfId="0" applyNumberFormat="1" applyFont="1" applyBorder="1" applyAlignment="1">
      <alignment vertical="center" wrapText="1"/>
    </xf>
    <xf numFmtId="37" fontId="8" fillId="0" borderId="0" xfId="0" applyNumberFormat="1" applyFont="1" applyFill="1" applyBorder="1" applyAlignment="1">
      <alignment vertical="center" wrapText="1"/>
    </xf>
    <xf numFmtId="37" fontId="9" fillId="0" borderId="0" xfId="0" applyNumberFormat="1" applyFont="1" applyBorder="1" applyAlignment="1">
      <alignment vertical="center" wrapText="1"/>
    </xf>
    <xf numFmtId="37" fontId="20" fillId="0" borderId="11" xfId="0" applyNumberFormat="1" applyFont="1" applyFill="1" applyBorder="1" applyAlignment="1">
      <alignment horizontal="center" wrapText="1"/>
    </xf>
    <xf numFmtId="37" fontId="14" fillId="0" borderId="6" xfId="0" applyNumberFormat="1" applyFont="1" applyFill="1" applyBorder="1" applyAlignment="1">
      <alignment horizontal="center" wrapText="1"/>
    </xf>
    <xf numFmtId="37" fontId="20" fillId="0" borderId="6" xfId="0" applyNumberFormat="1" applyFont="1" applyFill="1" applyBorder="1" applyAlignment="1">
      <alignment horizontal="center" wrapText="1"/>
    </xf>
    <xf numFmtId="167" fontId="4" fillId="0" borderId="40" xfId="0" applyNumberFormat="1" applyFont="1" applyFill="1" applyBorder="1" applyAlignment="1" applyProtection="1">
      <alignment horizontal="center" wrapText="1"/>
    </xf>
    <xf numFmtId="37" fontId="9" fillId="0" borderId="22" xfId="0" applyNumberFormat="1" applyFont="1" applyBorder="1" applyAlignment="1">
      <alignment horizontal="center" wrapText="1"/>
    </xf>
    <xf numFmtId="37" fontId="8" fillId="0" borderId="20" xfId="0" applyNumberFormat="1" applyFont="1" applyFill="1" applyBorder="1" applyAlignment="1">
      <alignment vertical="center" wrapText="1"/>
    </xf>
    <xf numFmtId="37" fontId="9" fillId="0" borderId="20" xfId="0" applyNumberFormat="1" applyFont="1" applyBorder="1" applyAlignment="1">
      <alignment vertical="center" wrapText="1"/>
    </xf>
    <xf numFmtId="37" fontId="4" fillId="0" borderId="11" xfId="0" applyNumberFormat="1" applyFont="1" applyFill="1" applyBorder="1" applyAlignment="1">
      <alignment horizontal="center" wrapText="1"/>
    </xf>
    <xf numFmtId="37" fontId="9" fillId="0" borderId="6" xfId="0" applyNumberFormat="1" applyFont="1" applyBorder="1" applyAlignment="1">
      <alignment horizontal="center" wrapText="1"/>
    </xf>
    <xf numFmtId="37" fontId="15" fillId="0" borderId="0" xfId="0" applyNumberFormat="1" applyFont="1" applyFill="1" applyBorder="1" applyAlignment="1">
      <alignment horizontal="center" vertical="center"/>
    </xf>
    <xf numFmtId="37" fontId="20" fillId="0" borderId="18" xfId="0" applyNumberFormat="1" applyFont="1" applyFill="1" applyBorder="1" applyAlignment="1" applyProtection="1">
      <alignment horizontal="center" wrapText="1"/>
    </xf>
    <xf numFmtId="37" fontId="20" fillId="0" borderId="19" xfId="0" applyNumberFormat="1" applyFont="1" applyFill="1" applyBorder="1" applyAlignment="1" applyProtection="1">
      <alignment horizontal="center" wrapText="1"/>
    </xf>
    <xf numFmtId="37" fontId="26" fillId="0" borderId="11" xfId="0" applyNumberFormat="1" applyFont="1" applyFill="1" applyBorder="1" applyAlignment="1">
      <alignment horizontal="center" wrapText="1"/>
    </xf>
    <xf numFmtId="37" fontId="26" fillId="0" borderId="6" xfId="0" applyNumberFormat="1" applyFont="1" applyFill="1" applyBorder="1" applyAlignment="1">
      <alignment horizontal="center" wrapText="1"/>
    </xf>
    <xf numFmtId="37" fontId="20" fillId="0" borderId="17" xfId="0" applyNumberFormat="1" applyFont="1" applyFill="1" applyBorder="1" applyAlignment="1" applyProtection="1">
      <alignment horizontal="center" wrapText="1"/>
    </xf>
    <xf numFmtId="37" fontId="20" fillId="0" borderId="6" xfId="0" applyNumberFormat="1" applyFont="1" applyFill="1" applyBorder="1" applyAlignment="1" applyProtection="1">
      <alignment horizontal="center"/>
    </xf>
    <xf numFmtId="167" fontId="26" fillId="0" borderId="11" xfId="0" applyNumberFormat="1" applyFont="1" applyFill="1" applyBorder="1" applyAlignment="1">
      <alignment horizontal="center" wrapText="1"/>
    </xf>
    <xf numFmtId="167" fontId="26" fillId="0" borderId="6" xfId="0" applyNumberFormat="1" applyFont="1" applyFill="1" applyBorder="1" applyAlignment="1">
      <alignment horizontal="center" wrapText="1"/>
    </xf>
    <xf numFmtId="37" fontId="26" fillId="0" borderId="23" xfId="0" applyNumberFormat="1" applyFont="1" applyFill="1" applyBorder="1" applyAlignment="1">
      <alignment horizontal="center" wrapText="1"/>
    </xf>
    <xf numFmtId="37" fontId="26" fillId="0" borderId="10" xfId="0" applyNumberFormat="1" applyFont="1" applyFill="1" applyBorder="1" applyAlignment="1">
      <alignment horizontal="center" wrapText="1"/>
    </xf>
    <xf numFmtId="167" fontId="20" fillId="0" borderId="40" xfId="0" applyNumberFormat="1" applyFont="1" applyFill="1" applyBorder="1" applyAlignment="1" applyProtection="1">
      <alignment horizontal="center" wrapText="1"/>
    </xf>
    <xf numFmtId="37" fontId="64" fillId="0" borderId="22" xfId="0" applyNumberFormat="1" applyFont="1" applyBorder="1" applyAlignment="1"/>
    <xf numFmtId="37" fontId="7" fillId="0" borderId="0" xfId="0" applyNumberFormat="1" applyFont="1" applyFill="1" applyBorder="1" applyAlignment="1">
      <alignment horizontal="center" vertical="center"/>
    </xf>
    <xf numFmtId="37" fontId="4" fillId="0" borderId="6" xfId="0" applyNumberFormat="1" applyFont="1" applyFill="1" applyBorder="1" applyAlignment="1">
      <alignment horizontal="center" wrapText="1"/>
    </xf>
    <xf numFmtId="37" fontId="49" fillId="0" borderId="11" xfId="0" applyNumberFormat="1" applyFont="1" applyFill="1" applyBorder="1" applyAlignment="1">
      <alignment horizontal="center" wrapText="1"/>
    </xf>
    <xf numFmtId="37" fontId="49" fillId="0" borderId="6" xfId="0" applyNumberFormat="1" applyFont="1" applyFill="1" applyBorder="1" applyAlignment="1">
      <alignment horizontal="center" wrapText="1"/>
    </xf>
    <xf numFmtId="37" fontId="4" fillId="0" borderId="17" xfId="0" applyNumberFormat="1" applyFont="1" applyFill="1" applyBorder="1" applyAlignment="1" applyProtection="1">
      <alignment horizontal="center" wrapText="1"/>
    </xf>
    <xf numFmtId="37" fontId="4" fillId="0" borderId="6" xfId="0" applyNumberFormat="1" applyFont="1" applyFill="1" applyBorder="1" applyAlignment="1" applyProtection="1">
      <alignment horizontal="center"/>
    </xf>
    <xf numFmtId="37" fontId="4" fillId="0" borderId="18" xfId="0" applyNumberFormat="1" applyFont="1" applyFill="1" applyBorder="1" applyAlignment="1" applyProtection="1">
      <alignment horizontal="center" wrapText="1"/>
    </xf>
    <xf numFmtId="37" fontId="4" fillId="0" borderId="19" xfId="0" applyNumberFormat="1" applyFont="1" applyFill="1" applyBorder="1" applyAlignment="1" applyProtection="1">
      <alignment horizontal="center" wrapText="1"/>
    </xf>
    <xf numFmtId="37" fontId="0" fillId="0" borderId="22" xfId="0" applyNumberFormat="1" applyBorder="1" applyAlignment="1"/>
    <xf numFmtId="37" fontId="9" fillId="0" borderId="6" xfId="0" applyNumberFormat="1" applyFont="1" applyFill="1" applyBorder="1" applyAlignment="1">
      <alignment horizontal="center" wrapText="1"/>
    </xf>
    <xf numFmtId="167" fontId="49" fillId="0" borderId="11" xfId="0" applyNumberFormat="1" applyFont="1" applyFill="1" applyBorder="1" applyAlignment="1">
      <alignment horizontal="center" wrapText="1"/>
    </xf>
    <xf numFmtId="167" fontId="49" fillId="0" borderId="6" xfId="0" applyNumberFormat="1" applyFont="1" applyFill="1" applyBorder="1" applyAlignment="1">
      <alignment horizontal="center" wrapText="1"/>
    </xf>
    <xf numFmtId="37" fontId="49" fillId="0" borderId="23" xfId="0" applyNumberFormat="1" applyFont="1" applyFill="1" applyBorder="1" applyAlignment="1">
      <alignment horizontal="center" wrapText="1"/>
    </xf>
    <xf numFmtId="37" fontId="49" fillId="0" borderId="10" xfId="0" applyNumberFormat="1" applyFont="1" applyFill="1" applyBorder="1" applyAlignment="1">
      <alignment horizontal="center" wrapText="1"/>
    </xf>
    <xf numFmtId="37" fontId="9" fillId="0" borderId="0" xfId="0" applyNumberFormat="1" applyFont="1" applyFill="1" applyBorder="1" applyAlignment="1">
      <alignment vertical="center" wrapText="1"/>
    </xf>
    <xf numFmtId="37" fontId="9" fillId="0" borderId="0" xfId="0" applyNumberFormat="1" applyFont="1" applyFill="1" applyAlignment="1">
      <alignment vertical="center" wrapText="1"/>
    </xf>
    <xf numFmtId="37" fontId="20" fillId="0" borderId="9" xfId="0" applyNumberFormat="1" applyFont="1" applyFill="1" applyBorder="1" applyAlignment="1" applyProtection="1">
      <alignment horizontal="center" vertical="center"/>
    </xf>
    <xf numFmtId="37" fontId="20" fillId="0" borderId="19" xfId="0" applyNumberFormat="1" applyFont="1" applyFill="1" applyBorder="1" applyAlignment="1" applyProtection="1">
      <alignment horizontal="center" vertical="center"/>
    </xf>
    <xf numFmtId="37" fontId="20" fillId="0" borderId="18" xfId="0" applyNumberFormat="1" applyFont="1" applyFill="1" applyBorder="1" applyAlignment="1">
      <alignment horizontal="center" vertical="center"/>
    </xf>
    <xf numFmtId="37" fontId="20" fillId="0" borderId="9" xfId="0" applyNumberFormat="1" applyFont="1" applyFill="1" applyBorder="1" applyAlignment="1">
      <alignment horizontal="center" vertical="center"/>
    </xf>
    <xf numFmtId="37" fontId="0" fillId="0" borderId="0" xfId="0" applyNumberFormat="1" applyAlignment="1">
      <alignment vertical="center" wrapText="1"/>
    </xf>
    <xf numFmtId="37" fontId="5" fillId="0" borderId="0" xfId="0" applyNumberFormat="1" applyFont="1" applyFill="1" applyBorder="1" applyAlignment="1">
      <alignment vertical="center" wrapText="1"/>
    </xf>
    <xf numFmtId="37" fontId="20" fillId="0" borderId="20" xfId="0" applyNumberFormat="1" applyFont="1" applyFill="1" applyBorder="1" applyAlignment="1" applyProtection="1">
      <alignment horizontal="center" vertical="center" wrapText="1"/>
    </xf>
    <xf numFmtId="37" fontId="14" fillId="0" borderId="20" xfId="0" applyNumberFormat="1" applyFont="1" applyFill="1" applyBorder="1" applyAlignment="1">
      <alignment horizontal="center" vertical="center" wrapText="1"/>
    </xf>
    <xf numFmtId="37" fontId="20" fillId="0" borderId="18" xfId="0" applyNumberFormat="1" applyFont="1" applyFill="1" applyBorder="1" applyAlignment="1">
      <alignment horizontal="center" vertical="center" wrapText="1"/>
    </xf>
    <xf numFmtId="37" fontId="20" fillId="0" borderId="9" xfId="0" applyNumberFormat="1" applyFont="1" applyFill="1" applyBorder="1" applyAlignment="1">
      <alignment horizontal="center" vertical="center" wrapText="1"/>
    </xf>
    <xf numFmtId="37" fontId="5" fillId="0" borderId="20" xfId="0" applyNumberFormat="1" applyFont="1" applyFill="1" applyBorder="1" applyAlignment="1">
      <alignment vertical="center" wrapText="1"/>
    </xf>
    <xf numFmtId="37" fontId="2" fillId="0" borderId="0" xfId="0" applyNumberFormat="1" applyFont="1" applyFill="1" applyBorder="1" applyAlignment="1">
      <alignment vertical="center" wrapText="1"/>
    </xf>
    <xf numFmtId="37" fontId="2" fillId="0" borderId="0" xfId="0" applyNumberFormat="1" applyFont="1" applyFill="1" applyAlignment="1">
      <alignment vertical="center" wrapText="1"/>
    </xf>
    <xf numFmtId="37" fontId="3" fillId="0" borderId="0" xfId="0" applyNumberFormat="1" applyFont="1" applyAlignment="1">
      <alignment vertical="center" wrapText="1"/>
    </xf>
    <xf numFmtId="37" fontId="4" fillId="0" borderId="9" xfId="0" applyNumberFormat="1" applyFont="1" applyFill="1" applyBorder="1" applyAlignment="1" applyProtection="1">
      <alignment horizontal="center" vertical="center"/>
    </xf>
    <xf numFmtId="37" fontId="4" fillId="0" borderId="19" xfId="0" applyNumberFormat="1" applyFont="1" applyFill="1" applyBorder="1" applyAlignment="1" applyProtection="1">
      <alignment horizontal="center" vertical="center"/>
    </xf>
    <xf numFmtId="37" fontId="4" fillId="0" borderId="18" xfId="0" applyNumberFormat="1" applyFont="1" applyFill="1" applyBorder="1" applyAlignment="1">
      <alignment horizontal="center" vertical="center"/>
    </xf>
    <xf numFmtId="37" fontId="4" fillId="0" borderId="9" xfId="0" applyNumberFormat="1" applyFont="1" applyFill="1" applyBorder="1" applyAlignment="1">
      <alignment horizontal="center" vertical="center"/>
    </xf>
    <xf numFmtId="37" fontId="4" fillId="0" borderId="20" xfId="0" applyNumberFormat="1" applyFont="1" applyFill="1" applyBorder="1" applyAlignment="1" applyProtection="1">
      <alignment horizontal="center" vertical="center" wrapText="1"/>
    </xf>
    <xf numFmtId="37" fontId="2" fillId="0" borderId="20" xfId="0" applyNumberFormat="1" applyFont="1" applyFill="1" applyBorder="1" applyAlignment="1">
      <alignment horizontal="center" vertical="center" wrapText="1"/>
    </xf>
    <xf numFmtId="37" fontId="5" fillId="0" borderId="20" xfId="0" applyNumberFormat="1" applyFont="1" applyFill="1" applyBorder="1" applyAlignment="1">
      <alignment vertical="top" wrapText="1"/>
    </xf>
    <xf numFmtId="37" fontId="4" fillId="0" borderId="18" xfId="0" applyNumberFormat="1" applyFont="1" applyFill="1" applyBorder="1" applyAlignment="1">
      <alignment horizontal="center" vertical="center" wrapText="1"/>
    </xf>
    <xf numFmtId="37" fontId="4" fillId="0" borderId="9" xfId="0" applyNumberFormat="1" applyFont="1" applyFill="1" applyBorder="1" applyAlignment="1">
      <alignment horizontal="center" vertical="center" wrapText="1"/>
    </xf>
    <xf numFmtId="37" fontId="11" fillId="0" borderId="11" xfId="0" applyNumberFormat="1" applyFont="1" applyFill="1" applyBorder="1" applyAlignment="1">
      <alignment vertical="center" wrapText="1"/>
    </xf>
    <xf numFmtId="37" fontId="0" fillId="0" borderId="17" xfId="0" applyNumberFormat="1" applyBorder="1" applyAlignment="1">
      <alignment vertical="center" wrapText="1"/>
    </xf>
    <xf numFmtId="37" fontId="0" fillId="0" borderId="6" xfId="0" applyNumberFormat="1" applyBorder="1" applyAlignment="1">
      <alignment vertical="center" wrapText="1"/>
    </xf>
    <xf numFmtId="3" fontId="11" fillId="0" borderId="90" xfId="6" applyNumberFormat="1" applyFont="1" applyFill="1" applyBorder="1" applyAlignment="1" applyProtection="1">
      <alignment horizontal="center" wrapText="1"/>
      <protection locked="0"/>
    </xf>
    <xf numFmtId="3" fontId="11" fillId="0" borderId="6" xfId="6" applyNumberFormat="1" applyFont="1" applyFill="1" applyBorder="1" applyAlignment="1" applyProtection="1">
      <alignment horizontal="center" wrapText="1"/>
      <protection locked="0"/>
    </xf>
    <xf numFmtId="3" fontId="11" fillId="0" borderId="91" xfId="6" applyNumberFormat="1" applyFont="1" applyFill="1" applyBorder="1" applyAlignment="1" applyProtection="1">
      <alignment horizontal="center" wrapText="1"/>
      <protection locked="0"/>
    </xf>
    <xf numFmtId="3" fontId="11" fillId="0" borderId="8" xfId="6" applyNumberFormat="1" applyFont="1" applyFill="1" applyBorder="1" applyAlignment="1" applyProtection="1">
      <alignment horizontal="center" wrapText="1"/>
      <protection locked="0"/>
    </xf>
    <xf numFmtId="3" fontId="11" fillId="0" borderId="10" xfId="6" applyNumberFormat="1" applyFont="1" applyFill="1" applyBorder="1" applyAlignment="1" applyProtection="1">
      <alignment horizontal="center" wrapText="1"/>
      <protection locked="0"/>
    </xf>
    <xf numFmtId="3" fontId="11" fillId="0" borderId="18" xfId="6" applyNumberFormat="1" applyFont="1" applyFill="1" applyBorder="1" applyAlignment="1" applyProtection="1">
      <alignment horizontal="center" wrapText="1"/>
      <protection locked="0"/>
    </xf>
    <xf numFmtId="3" fontId="11" fillId="17" borderId="96" xfId="6" applyNumberFormat="1" applyFont="1" applyFill="1" applyBorder="1" applyAlignment="1" applyProtection="1">
      <alignment horizontal="center" wrapText="1"/>
      <protection locked="0"/>
    </xf>
    <xf numFmtId="3" fontId="11" fillId="17" borderId="33" xfId="6" applyNumberFormat="1" applyFont="1" applyFill="1" applyBorder="1" applyAlignment="1" applyProtection="1">
      <alignment horizontal="center" wrapText="1"/>
      <protection locked="0"/>
    </xf>
    <xf numFmtId="3" fontId="11" fillId="17" borderId="11" xfId="6" applyNumberFormat="1" applyFont="1" applyFill="1" applyBorder="1" applyAlignment="1" applyProtection="1">
      <alignment horizontal="center" wrapText="1"/>
      <protection locked="0"/>
    </xf>
    <xf numFmtId="3" fontId="11" fillId="17" borderId="17" xfId="6" applyNumberFormat="1" applyFont="1" applyFill="1" applyBorder="1" applyAlignment="1" applyProtection="1">
      <alignment horizontal="center" wrapText="1"/>
      <protection locked="0"/>
    </xf>
    <xf numFmtId="37" fontId="11" fillId="0" borderId="31" xfId="6" applyNumberFormat="1" applyFont="1" applyFill="1" applyBorder="1" applyAlignment="1">
      <alignment vertical="top" wrapText="1"/>
    </xf>
    <xf numFmtId="37" fontId="0" fillId="0" borderId="9" xfId="0" applyNumberFormat="1" applyBorder="1" applyAlignment="1">
      <alignment vertical="top" wrapText="1"/>
    </xf>
    <xf numFmtId="3" fontId="11" fillId="0" borderId="104" xfId="6" applyNumberFormat="1" applyFont="1" applyFill="1" applyBorder="1" applyAlignment="1" applyProtection="1">
      <alignment horizontal="center" wrapText="1"/>
      <protection locked="0"/>
    </xf>
    <xf numFmtId="3" fontId="11" fillId="0" borderId="9" xfId="6" applyNumberFormat="1" applyFont="1" applyFill="1" applyBorder="1" applyAlignment="1" applyProtection="1">
      <alignment horizontal="center" wrapText="1"/>
      <protection locked="0"/>
    </xf>
    <xf numFmtId="3" fontId="11" fillId="0" borderId="105" xfId="6" applyNumberFormat="1" applyFont="1" applyFill="1" applyBorder="1" applyAlignment="1" applyProtection="1">
      <alignment horizontal="center" wrapText="1"/>
      <protection locked="0"/>
    </xf>
    <xf numFmtId="3" fontId="66" fillId="18" borderId="11" xfId="6" applyNumberFormat="1" applyFont="1" applyFill="1" applyBorder="1" applyAlignment="1" applyProtection="1">
      <alignment horizontal="center" wrapText="1"/>
      <protection locked="0"/>
    </xf>
    <xf numFmtId="3" fontId="66" fillId="18" borderId="17" xfId="6" applyNumberFormat="1" applyFont="1" applyFill="1" applyBorder="1" applyAlignment="1" applyProtection="1">
      <alignment horizontal="center" wrapText="1"/>
      <protection locked="0"/>
    </xf>
    <xf numFmtId="3" fontId="11" fillId="0" borderId="11" xfId="6" applyNumberFormat="1" applyFont="1" applyFill="1" applyBorder="1" applyAlignment="1" applyProtection="1">
      <alignment horizontal="center" wrapText="1"/>
      <protection locked="0"/>
    </xf>
    <xf numFmtId="3" fontId="11" fillId="0" borderId="17" xfId="6" applyNumberFormat="1" applyFont="1" applyFill="1" applyBorder="1" applyAlignment="1" applyProtection="1">
      <alignment horizontal="center" wrapText="1"/>
      <protection locked="0"/>
    </xf>
    <xf numFmtId="3" fontId="66" fillId="12" borderId="98" xfId="4" applyNumberFormat="1" applyFont="1" applyFill="1" applyBorder="1" applyAlignment="1" applyProtection="1">
      <alignment horizontal="center" wrapText="1"/>
      <protection locked="0"/>
    </xf>
    <xf numFmtId="3" fontId="66" fillId="12" borderId="86" xfId="4" applyNumberFormat="1" applyFont="1" applyFill="1" applyBorder="1" applyAlignment="1" applyProtection="1">
      <alignment horizontal="center" wrapText="1"/>
      <protection locked="0"/>
    </xf>
    <xf numFmtId="3" fontId="59" fillId="0" borderId="91" xfId="6" applyNumberFormat="1" applyFont="1" applyFill="1" applyBorder="1" applyAlignment="1" applyProtection="1">
      <alignment horizontal="center" wrapText="1"/>
      <protection locked="0"/>
    </xf>
    <xf numFmtId="3" fontId="59" fillId="0" borderId="100" xfId="6" applyNumberFormat="1" applyFont="1" applyFill="1" applyBorder="1" applyAlignment="1" applyProtection="1">
      <alignment horizontal="center" wrapText="1"/>
      <protection locked="0"/>
    </xf>
  </cellXfs>
  <cellStyles count="33">
    <cellStyle name="Comma" xfId="1" builtinId="3"/>
    <cellStyle name="Comma 2" xfId="11"/>
    <cellStyle name="Comma 3" xfId="12"/>
    <cellStyle name="Comma 3 2" xfId="20"/>
    <cellStyle name="Normal" xfId="0" builtinId="0"/>
    <cellStyle name="Normal 2" xfId="14"/>
    <cellStyle name="Normal 3" xfId="15"/>
    <cellStyle name="Normal 4" xfId="16"/>
    <cellStyle name="Normal 56" xfId="21"/>
    <cellStyle name="Normal 58" xfId="23"/>
    <cellStyle name="Normal 59" xfId="24"/>
    <cellStyle name="Normal 6 2 2" xfId="25"/>
    <cellStyle name="Normal_03SCH&amp;FTE05" xfId="32"/>
    <cellStyle name="Normal_05Funding05" xfId="22"/>
    <cellStyle name="Normal_06Funding09mastersurvey" xfId="2"/>
    <cellStyle name="Normal_Benefits02 Form" xfId="3"/>
    <cellStyle name="Normal_Degree02 Form" xfId="27"/>
    <cellStyle name="Normal_Degree02 Form 2" xfId="19"/>
    <cellStyle name="Normal_Degrees02 Form" xfId="26"/>
    <cellStyle name="Normal_Degrees02 Form 2" xfId="28"/>
    <cellStyle name="Normal_Funding02 Form" xfId="4"/>
    <cellStyle name="Normal_Funding03 Form" xfId="5"/>
    <cellStyle name="Normal_Funding04 Form" xfId="6"/>
    <cellStyle name="Normal_Funding07" xfId="7"/>
    <cellStyle name="Normal_Salaries02 Form" xfId="30"/>
    <cellStyle name="Normal_SCH&amp;FTE02 Form" xfId="8"/>
    <cellStyle name="Normal_SFA Data for Highlights" xfId="13"/>
    <cellStyle name="Normal_StProg01B" xfId="18"/>
    <cellStyle name="Normal_StProg02 Form" xfId="29"/>
    <cellStyle name="Normal_StProg02 Form 2" xfId="31"/>
    <cellStyle name="Note" xfId="9" builtinId="10" customBuiltin="1"/>
    <cellStyle name="Percent" xfId="10" builtinId="5"/>
    <cellStyle name="Percent 2" xfId="17"/>
  </cellStyles>
  <dxfs count="1723">
    <dxf>
      <font>
        <b/>
        <i val="0"/>
        <color rgb="FFFF0000"/>
      </font>
    </dxf>
    <dxf>
      <font>
        <b/>
        <i val="0"/>
        <color rgb="FFFF000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condense val="0"/>
        <extend val="0"/>
        <color indexed="10"/>
      </font>
    </dxf>
    <dxf>
      <font>
        <condense val="0"/>
        <extend val="0"/>
        <color indexed="10"/>
      </font>
    </dxf>
    <dxf>
      <font>
        <condense val="0"/>
        <extend val="0"/>
        <color indexed="10"/>
      </font>
    </dxf>
    <dxf>
      <font>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indexed="10"/>
      </font>
    </dxf>
    <dxf>
      <font>
        <b/>
        <i val="0"/>
        <color indexed="1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indexed="10"/>
      </font>
    </dxf>
    <dxf>
      <font>
        <b/>
        <i val="0"/>
        <color indexed="10"/>
      </font>
    </dxf>
    <dxf>
      <font>
        <b/>
        <i val="0"/>
        <color indexed="10"/>
      </font>
    </dxf>
    <dxf>
      <font>
        <b/>
        <i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font>
    </dxf>
    <dxf>
      <font>
        <b/>
      </font>
    </dxf>
    <dxf>
      <border>
        <bottom/>
      </border>
    </dxf>
    <dxf>
      <border>
        <bottom/>
      </border>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top/>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border>
        <bottom style="thin">
          <color indexed="64"/>
        </bottom>
      </border>
    </dxf>
    <dxf>
      <border>
        <bottom style="thin">
          <color indexed="64"/>
        </bottom>
      </border>
    </dxf>
    <dxf>
      <fill>
        <patternFill patternType="none"/>
      </fill>
    </dxf>
    <dxf>
      <fill>
        <patternFill patternType="none"/>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ont>
        <name val="Arial"/>
        <scheme val="none"/>
      </font>
    </dxf>
    <dxf>
      <font>
        <name val="Arial"/>
        <scheme val="none"/>
      </font>
    </dxf>
    <dxf>
      <font>
        <name val="Arial"/>
        <scheme val="none"/>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fill>
        <patternFill patternType="solid">
          <bgColor theme="5" tint="0.79998168889431442"/>
        </patternFill>
      </fill>
    </dxf>
    <dxf>
      <fill>
        <patternFill patternType="none">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ont>
        <color auto="1"/>
      </font>
    </dxf>
    <dxf>
      <fill>
        <patternFill patternType="solid">
          <bgColor theme="5" tint="0.79998168889431442"/>
        </patternFill>
      </fill>
    </dxf>
    <dxf>
      <font>
        <color auto="1"/>
      </font>
    </dxf>
    <dxf>
      <fill>
        <patternFill>
          <bgColor theme="6" tint="0.79998168889431442"/>
        </patternFill>
      </fill>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border>
        <left style="thin">
          <color indexed="64"/>
        </left>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numFmt numFmtId="168" formatCode="#,##0.0"/>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top/>
      </border>
    </dxf>
    <dxf>
      <border>
        <top/>
      </border>
    </dxf>
    <dxf>
      <border>
        <top/>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bottom style="thin">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ill>
        <patternFill patternType="none"/>
      </fill>
    </dxf>
    <dxf>
      <fill>
        <patternFill patternType="none"/>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solid">
          <bgColor indexed="11"/>
        </patternFill>
      </fill>
    </dxf>
    <dxf>
      <font>
        <name val="Arial"/>
        <scheme val="none"/>
      </font>
      <numFmt numFmtId="3" formatCode="#,##0"/>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fill>
        <patternFill patternType="none"/>
      </fill>
    </dxf>
    <dxf>
      <fill>
        <patternFill patternType="solid">
          <bgColor indexed="1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3"/>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border>
        <left style="medium">
          <color indexed="64"/>
        </left>
        <right style="medium">
          <color indexed="64"/>
        </right>
        <top style="medium">
          <color indexed="64"/>
        </top>
        <bottom style="medium">
          <color indexed="64"/>
        </bottom>
      </border>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font>
    </dxf>
    <dxf>
      <font>
        <name val="Arial"/>
        <scheme val="none"/>
      </font>
      <numFmt numFmtId="3" formatCode="#,##0"/>
    </dxf>
    <dxf>
      <font>
        <b/>
      </font>
    </dxf>
    <dxf>
      <font>
        <b/>
      </font>
    </dxf>
    <dxf>
      <font>
        <b/>
      </font>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ill>
        <patternFill patternType="solid">
          <bgColor indexed="13"/>
        </patternFill>
      </fill>
    </dxf>
    <dxf>
      <font>
        <name val="ARIAL"/>
        <scheme val="none"/>
      </font>
      <numFmt numFmtId="3" formatCode="#,##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ont>
        <name val="Arial"/>
        <scheme val="none"/>
      </font>
      <numFmt numFmtId="3" formatCode="#,##0"/>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thin">
          <color indexed="8"/>
        </left>
        <right style="thin">
          <color indexed="8"/>
        </right>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indexed="13"/>
        </patternFill>
      </fill>
    </dxf>
    <dxf>
      <border>
        <left/>
        <right/>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style="thin">
          <color indexed="64"/>
        </top>
        <bottom style="thin">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left/>
        <right/>
        <top/>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right" readingOrder="0"/>
    </dxf>
    <dxf>
      <font>
        <b/>
      </font>
    </dxf>
    <dxf>
      <numFmt numFmtId="3" formatCode="#,##0"/>
    </dxf>
    <dxf>
      <fill>
        <patternFill patternType="none">
          <bgColor auto="1"/>
        </patternFill>
      </fill>
    </dxf>
    <dxf>
      <fill>
        <patternFill patternType="solid">
          <bgColor theme="5" tint="0.79998168889431442"/>
        </patternFill>
      </fill>
    </dxf>
    <dxf>
      <fill>
        <patternFill patternType="solid">
          <bgColor theme="5" tint="0.79998168889431442"/>
        </patternFill>
      </fill>
    </dxf>
    <dxf>
      <border>
        <horizontal/>
      </border>
    </dxf>
    <dxf>
      <border>
        <horizontal/>
      </border>
    </dxf>
    <dxf>
      <font>
        <u/>
      </font>
    </dxf>
    <dxf>
      <font>
        <u/>
      </font>
    </dxf>
    <dxf>
      <alignment vertical="center" readingOrder="0"/>
    </dxf>
    <dxf>
      <alignment vertical="center" readingOrder="0"/>
    </dxf>
    <dxf>
      <alignment vertical="center" readingOrder="0"/>
    </dxf>
    <dxf>
      <border>
        <top style="thin">
          <color indexed="64"/>
        </top>
        <bottom style="thin">
          <color indexed="64"/>
        </bottom>
      </border>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5" formatCode="#,##0_);\(#,##0\)"/>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13"/>
        </patternFill>
      </fill>
    </dxf>
    <dxf>
      <fill>
        <patternFill patternType="solid">
          <bgColor indexed="1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s>
  <tableStyles count="0" defaultTableStyle="TableStyleMedium9" defaultPivotStyle="PivotStyleLight16"/>
  <colors>
    <mruColors>
      <color rgb="FFFFFF99"/>
      <color rgb="FF12F63D"/>
      <color rgb="FFCC0099"/>
      <color rgb="FF00FF00"/>
      <color rgb="FFFCD5B4"/>
      <color rgb="FF0000FF"/>
      <color rgb="FFFFFF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629771</xdr:colOff>
      <xdr:row>540</xdr:row>
      <xdr:rowOff>67235</xdr:rowOff>
    </xdr:from>
    <xdr:ext cx="166258" cy="264560"/>
    <xdr:sp macro="" textlink="">
      <xdr:nvSpPr>
        <xdr:cNvPr id="3" name="TextBox 2"/>
        <xdr:cNvSpPr txBox="1"/>
      </xdr:nvSpPr>
      <xdr:spPr>
        <a:xfrm>
          <a:off x="6154271" y="244848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732</xdr:row>
      <xdr:rowOff>0</xdr:rowOff>
    </xdr:from>
    <xdr:ext cx="166258" cy="264560"/>
    <xdr:sp macro="" textlink="">
      <xdr:nvSpPr>
        <xdr:cNvPr id="4" name="TextBox 3"/>
        <xdr:cNvSpPr txBox="1"/>
      </xdr:nvSpPr>
      <xdr:spPr>
        <a:xfrm>
          <a:off x="61637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923</xdr:row>
      <xdr:rowOff>0</xdr:rowOff>
    </xdr:from>
    <xdr:ext cx="166258" cy="264560"/>
    <xdr:sp macro="" textlink="">
      <xdr:nvSpPr>
        <xdr:cNvPr id="5" name="TextBox 4"/>
        <xdr:cNvSpPr txBox="1"/>
      </xdr:nvSpPr>
      <xdr:spPr>
        <a:xfrm>
          <a:off x="6154271" y="189547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950</xdr:row>
      <xdr:rowOff>0</xdr:rowOff>
    </xdr:from>
    <xdr:ext cx="166258" cy="264560"/>
    <xdr:sp macro="" textlink="">
      <xdr:nvSpPr>
        <xdr:cNvPr id="6" name="TextBox 5"/>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1089</xdr:row>
      <xdr:rowOff>0</xdr:rowOff>
    </xdr:from>
    <xdr:ext cx="166258" cy="264560"/>
    <xdr:sp macro="" textlink="">
      <xdr:nvSpPr>
        <xdr:cNvPr id="7" name="TextBox 6"/>
        <xdr:cNvSpPr txBox="1"/>
      </xdr:nvSpPr>
      <xdr:spPr>
        <a:xfrm>
          <a:off x="68495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1126</xdr:row>
      <xdr:rowOff>0</xdr:rowOff>
    </xdr:from>
    <xdr:ext cx="166258" cy="264560"/>
    <xdr:sp macro="" textlink="">
      <xdr:nvSpPr>
        <xdr:cNvPr id="8" name="TextBox 7"/>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1243</xdr:row>
      <xdr:rowOff>0</xdr:rowOff>
    </xdr:from>
    <xdr:ext cx="166258" cy="264560"/>
    <xdr:sp macro="" textlink="">
      <xdr:nvSpPr>
        <xdr:cNvPr id="9" name="TextBox 8"/>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1326</xdr:row>
      <xdr:rowOff>0</xdr:rowOff>
    </xdr:from>
    <xdr:ext cx="166258" cy="311039"/>
    <xdr:sp macro="" textlink="">
      <xdr:nvSpPr>
        <xdr:cNvPr id="10" name="TextBox 9"/>
        <xdr:cNvSpPr txBox="1"/>
      </xdr:nvSpPr>
      <xdr:spPr>
        <a:xfrm>
          <a:off x="6135221"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1627</xdr:row>
      <xdr:rowOff>0</xdr:rowOff>
    </xdr:from>
    <xdr:ext cx="166258" cy="264560"/>
    <xdr:sp macro="" textlink="">
      <xdr:nvSpPr>
        <xdr:cNvPr id="11" name="TextBox 10"/>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1723</xdr:row>
      <xdr:rowOff>0</xdr:rowOff>
    </xdr:from>
    <xdr:ext cx="166258" cy="264560"/>
    <xdr:sp macro="" textlink="">
      <xdr:nvSpPr>
        <xdr:cNvPr id="12" name="TextBox 11"/>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1936</xdr:row>
      <xdr:rowOff>0</xdr:rowOff>
    </xdr:from>
    <xdr:ext cx="166258" cy="264560"/>
    <xdr:sp macro="" textlink="">
      <xdr:nvSpPr>
        <xdr:cNvPr id="14" name="TextBox 13"/>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2173</xdr:row>
      <xdr:rowOff>0</xdr:rowOff>
    </xdr:from>
    <xdr:ext cx="147785" cy="264560"/>
    <xdr:sp macro="" textlink="">
      <xdr:nvSpPr>
        <xdr:cNvPr id="15" name="TextBox 14"/>
        <xdr:cNvSpPr txBox="1"/>
      </xdr:nvSpPr>
      <xdr:spPr>
        <a:xfrm>
          <a:off x="6544796"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2288</xdr:row>
      <xdr:rowOff>0</xdr:rowOff>
    </xdr:from>
    <xdr:ext cx="166258" cy="264560"/>
    <xdr:sp macro="" textlink="">
      <xdr:nvSpPr>
        <xdr:cNvPr id="16" name="TextBox 15"/>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2343</xdr:row>
      <xdr:rowOff>0</xdr:rowOff>
    </xdr:from>
    <xdr:ext cx="166258" cy="264560"/>
    <xdr:sp macro="" textlink="">
      <xdr:nvSpPr>
        <xdr:cNvPr id="17" name="TextBox 16"/>
        <xdr:cNvSpPr txBox="1"/>
      </xdr:nvSpPr>
      <xdr:spPr>
        <a:xfrm>
          <a:off x="6840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2805</xdr:row>
      <xdr:rowOff>0</xdr:rowOff>
    </xdr:from>
    <xdr:ext cx="166258" cy="264560"/>
    <xdr:sp macro="" textlink="">
      <xdr:nvSpPr>
        <xdr:cNvPr id="18" name="TextBox 17"/>
        <xdr:cNvSpPr txBox="1"/>
      </xdr:nvSpPr>
      <xdr:spPr>
        <a:xfrm>
          <a:off x="6078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2903</xdr:row>
      <xdr:rowOff>0</xdr:rowOff>
    </xdr:from>
    <xdr:ext cx="166258" cy="264560"/>
    <xdr:sp macro="" textlink="">
      <xdr:nvSpPr>
        <xdr:cNvPr id="19" name="TextBox 18"/>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3141</xdr:row>
      <xdr:rowOff>0</xdr:rowOff>
    </xdr:from>
    <xdr:ext cx="166258" cy="264560"/>
    <xdr:sp macro="" textlink="">
      <xdr:nvSpPr>
        <xdr:cNvPr id="20" name="TextBox 19"/>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3244</xdr:row>
      <xdr:rowOff>0</xdr:rowOff>
    </xdr:from>
    <xdr:ext cx="166258" cy="264560"/>
    <xdr:sp macro="" textlink="">
      <xdr:nvSpPr>
        <xdr:cNvPr id="21" name="TextBox 20"/>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950</xdr:row>
      <xdr:rowOff>0</xdr:rowOff>
    </xdr:from>
    <xdr:ext cx="166258" cy="264560"/>
    <xdr:sp macro="" textlink="">
      <xdr:nvSpPr>
        <xdr:cNvPr id="22" name="TextBox 21"/>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950</xdr:row>
      <xdr:rowOff>0</xdr:rowOff>
    </xdr:from>
    <xdr:ext cx="166258" cy="264560"/>
    <xdr:sp macro="" textlink="">
      <xdr:nvSpPr>
        <xdr:cNvPr id="23" name="TextBox 22"/>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950</xdr:row>
      <xdr:rowOff>0</xdr:rowOff>
    </xdr:from>
    <xdr:ext cx="166258" cy="264560"/>
    <xdr:sp macro="" textlink="">
      <xdr:nvSpPr>
        <xdr:cNvPr id="24" name="TextBox 23"/>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950</xdr:row>
      <xdr:rowOff>0</xdr:rowOff>
    </xdr:from>
    <xdr:ext cx="166258" cy="264560"/>
    <xdr:sp macro="" textlink="">
      <xdr:nvSpPr>
        <xdr:cNvPr id="25" name="TextBox 24"/>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SCH-FTE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NEW-Tables 80-86"/>
      <sheetName val="OLD Tables"/>
      <sheetName val="FTE Pivot for regular counts"/>
      <sheetName val="Pivot-HS Student % of Undergrad"/>
      <sheetName val="SCH Data"/>
      <sheetName val="Format P01"/>
      <sheetName val="Format P02"/>
    </sheetNames>
    <sheetDataSet>
      <sheetData sheetId="0">
        <row r="67">
          <cell r="Q67" t="str">
            <v>OLD</v>
          </cell>
          <cell r="R67" t="str">
            <v>for use in Highlights and Fact Book</v>
          </cell>
        </row>
        <row r="68">
          <cell r="Q68" t="str">
            <v>Four-Year</v>
          </cell>
        </row>
        <row r="70">
          <cell r="B70">
            <v>1040325.6166666667</v>
          </cell>
          <cell r="C70">
            <v>242591.11527777778</v>
          </cell>
          <cell r="D70">
            <v>637324.31666666665</v>
          </cell>
          <cell r="E70">
            <v>209607.72333333333</v>
          </cell>
          <cell r="F70">
            <v>120553.55833333333</v>
          </cell>
          <cell r="G70">
            <v>67161.263333333336</v>
          </cell>
          <cell r="H70">
            <v>2317563.5936111109</v>
          </cell>
          <cell r="Q70">
            <v>1009777.3033333333</v>
          </cell>
          <cell r="R70">
            <v>234090.09444444446</v>
          </cell>
          <cell r="S70">
            <v>616249.23333333328</v>
          </cell>
          <cell r="T70">
            <v>201213.39166666663</v>
          </cell>
          <cell r="U70">
            <v>115766.89166666669</v>
          </cell>
          <cell r="V70">
            <v>64345.741666666661</v>
          </cell>
          <cell r="W70">
            <v>2241442.6561111114</v>
          </cell>
        </row>
        <row r="71">
          <cell r="H71">
            <v>0</v>
          </cell>
          <cell r="Q71">
            <v>0</v>
          </cell>
          <cell r="R71">
            <v>0</v>
          </cell>
          <cell r="S71">
            <v>0</v>
          </cell>
          <cell r="T71">
            <v>0</v>
          </cell>
          <cell r="U71">
            <v>0</v>
          </cell>
          <cell r="V71">
            <v>0</v>
          </cell>
          <cell r="W71">
            <v>0</v>
          </cell>
        </row>
        <row r="72">
          <cell r="B72">
            <v>61374.408333333333</v>
          </cell>
          <cell r="C72">
            <v>6283.3666666666668</v>
          </cell>
          <cell r="D72">
            <v>36486.674999999996</v>
          </cell>
          <cell r="E72">
            <v>16697.241666666669</v>
          </cell>
          <cell r="F72">
            <v>6593.4</v>
          </cell>
          <cell r="G72">
            <v>2973</v>
          </cell>
          <cell r="H72">
            <v>130408.09166666667</v>
          </cell>
          <cell r="Q72">
            <v>59476.48333333333</v>
          </cell>
          <cell r="R72">
            <v>6143.8083333333334</v>
          </cell>
          <cell r="S72">
            <v>35434.708333333336</v>
          </cell>
          <cell r="T72">
            <v>15717.333333333332</v>
          </cell>
          <cell r="U72">
            <v>6543.7250000000004</v>
          </cell>
          <cell r="V72">
            <v>2789.9666666666667</v>
          </cell>
          <cell r="W72">
            <v>126106.02499999999</v>
          </cell>
        </row>
        <row r="73">
          <cell r="B73">
            <v>18927.391666666666</v>
          </cell>
          <cell r="C73">
            <v>0</v>
          </cell>
          <cell r="D73">
            <v>32362.141666666666</v>
          </cell>
          <cell r="E73">
            <v>10914.466666666665</v>
          </cell>
          <cell r="F73">
            <v>5527.5083333333332</v>
          </cell>
          <cell r="G73">
            <v>9563.9000000000015</v>
          </cell>
          <cell r="H73">
            <v>77295.40833333334</v>
          </cell>
          <cell r="Q73">
            <v>17706.233333333334</v>
          </cell>
          <cell r="R73">
            <v>0</v>
          </cell>
          <cell r="S73">
            <v>31107.01666666667</v>
          </cell>
          <cell r="T73">
            <v>10060.35</v>
          </cell>
          <cell r="U73">
            <v>5216.3083333333334</v>
          </cell>
          <cell r="V73">
            <v>9208.1416666666664</v>
          </cell>
          <cell r="W73">
            <v>73298.05</v>
          </cell>
        </row>
        <row r="74">
          <cell r="B74">
            <v>19590.041666666668</v>
          </cell>
          <cell r="C74">
            <v>0</v>
          </cell>
          <cell r="D74">
            <v>0</v>
          </cell>
          <cell r="E74">
            <v>3885.5499999999997</v>
          </cell>
          <cell r="F74">
            <v>0</v>
          </cell>
          <cell r="G74">
            <v>0</v>
          </cell>
          <cell r="H74">
            <v>23475.591666666671</v>
          </cell>
          <cell r="Q74">
            <v>19313.083333333332</v>
          </cell>
          <cell r="R74">
            <v>0</v>
          </cell>
          <cell r="S74">
            <v>0</v>
          </cell>
          <cell r="T74">
            <v>3373.3916666666669</v>
          </cell>
          <cell r="U74">
            <v>0</v>
          </cell>
          <cell r="V74">
            <v>0</v>
          </cell>
          <cell r="W74">
            <v>22686.474999999999</v>
          </cell>
        </row>
        <row r="75">
          <cell r="B75">
            <v>215108.15000000002</v>
          </cell>
          <cell r="C75">
            <v>22375.291666666664</v>
          </cell>
          <cell r="D75">
            <v>36545.51666666667</v>
          </cell>
          <cell r="E75">
            <v>9964.0166666666664</v>
          </cell>
          <cell r="F75">
            <v>0</v>
          </cell>
          <cell r="G75">
            <v>922.66666666666663</v>
          </cell>
          <cell r="H75">
            <v>284915.64166666666</v>
          </cell>
          <cell r="Q75">
            <v>209104.42500000002</v>
          </cell>
          <cell r="R75">
            <v>21243.341666666667</v>
          </cell>
          <cell r="S75">
            <v>34832.941666666666</v>
          </cell>
          <cell r="T75">
            <v>9158.7666666666664</v>
          </cell>
          <cell r="U75">
            <v>0</v>
          </cell>
          <cell r="V75">
            <v>929.06666666666672</v>
          </cell>
          <cell r="W75">
            <v>275268.54166666669</v>
          </cell>
        </row>
        <row r="76">
          <cell r="B76">
            <v>0</v>
          </cell>
          <cell r="C76">
            <v>0</v>
          </cell>
          <cell r="D76">
            <v>0</v>
          </cell>
          <cell r="E76">
            <v>0</v>
          </cell>
          <cell r="F76">
            <v>0</v>
          </cell>
          <cell r="G76">
            <v>0</v>
          </cell>
          <cell r="H76">
            <v>0</v>
          </cell>
          <cell r="Q76">
            <v>0</v>
          </cell>
          <cell r="R76">
            <v>0</v>
          </cell>
          <cell r="S76">
            <v>0</v>
          </cell>
          <cell r="T76">
            <v>0</v>
          </cell>
          <cell r="U76">
            <v>0</v>
          </cell>
          <cell r="V76">
            <v>0</v>
          </cell>
          <cell r="W76">
            <v>0</v>
          </cell>
        </row>
        <row r="77">
          <cell r="B77">
            <v>65921.8</v>
          </cell>
          <cell r="C77">
            <v>23302.579166666666</v>
          </cell>
          <cell r="D77">
            <v>40234.341666666667</v>
          </cell>
          <cell r="E77">
            <v>45354.698333333334</v>
          </cell>
          <cell r="F77">
            <v>21464.25</v>
          </cell>
          <cell r="G77">
            <v>11015.975</v>
          </cell>
          <cell r="H77">
            <v>207293.64416666667</v>
          </cell>
          <cell r="Q77">
            <v>63871.483333333337</v>
          </cell>
          <cell r="R77">
            <v>22650.516666666666</v>
          </cell>
          <cell r="S77">
            <v>38215.725000000006</v>
          </cell>
          <cell r="T77">
            <v>43164.09166666666</v>
          </cell>
          <cell r="U77">
            <v>19989.100000000002</v>
          </cell>
          <cell r="V77">
            <v>10580.708333333332</v>
          </cell>
          <cell r="W77">
            <v>198471.625</v>
          </cell>
        </row>
        <row r="78">
          <cell r="B78">
            <v>37979.166666666664</v>
          </cell>
          <cell r="C78">
            <v>0</v>
          </cell>
          <cell r="D78">
            <v>47565.745833333334</v>
          </cell>
          <cell r="E78">
            <v>15102.466666666667</v>
          </cell>
          <cell r="F78">
            <v>0</v>
          </cell>
          <cell r="G78">
            <v>0</v>
          </cell>
          <cell r="H78">
            <v>100647.37916666667</v>
          </cell>
          <cell r="Q78">
            <v>37089.974999999999</v>
          </cell>
          <cell r="R78">
            <v>0</v>
          </cell>
          <cell r="S78">
            <v>46790.333333333328</v>
          </cell>
          <cell r="T78">
            <v>14830.716666666667</v>
          </cell>
          <cell r="U78">
            <v>0</v>
          </cell>
          <cell r="V78">
            <v>0</v>
          </cell>
          <cell r="W78">
            <v>98711.024999999994</v>
          </cell>
        </row>
        <row r="79">
          <cell r="B79">
            <v>28810.766666666666</v>
          </cell>
          <cell r="C79">
            <v>30043.202777777777</v>
          </cell>
          <cell r="D79">
            <v>28873.091666666667</v>
          </cell>
          <cell r="E79">
            <v>33532.400000000001</v>
          </cell>
          <cell r="F79">
            <v>0</v>
          </cell>
          <cell r="G79">
            <v>0</v>
          </cell>
          <cell r="H79">
            <v>121259.4611111111</v>
          </cell>
          <cell r="Q79">
            <v>28434.875</v>
          </cell>
          <cell r="R79">
            <v>29780.702777777777</v>
          </cell>
          <cell r="S79">
            <v>29083.925000000003</v>
          </cell>
          <cell r="T79">
            <v>32878.949999999997</v>
          </cell>
          <cell r="U79">
            <v>0</v>
          </cell>
          <cell r="V79">
            <v>0</v>
          </cell>
          <cell r="W79">
            <v>120178.45277777778</v>
          </cell>
        </row>
        <row r="80">
          <cell r="B80">
            <v>33163.287499999999</v>
          </cell>
          <cell r="C80">
            <v>11134.599999999999</v>
          </cell>
          <cell r="D80">
            <v>26099.287500000002</v>
          </cell>
          <cell r="E80">
            <v>30193.883333333331</v>
          </cell>
          <cell r="F80">
            <v>0</v>
          </cell>
          <cell r="G80">
            <v>2175.1916666666666</v>
          </cell>
          <cell r="H80">
            <v>102766.25</v>
          </cell>
          <cell r="Q80">
            <v>32837.561666666668</v>
          </cell>
          <cell r="R80">
            <v>10641.800000000001</v>
          </cell>
          <cell r="S80">
            <v>25058.633333333331</v>
          </cell>
          <cell r="T80">
            <v>29255.733333333334</v>
          </cell>
          <cell r="U80">
            <v>0</v>
          </cell>
          <cell r="V80">
            <v>2155.1499999999996</v>
          </cell>
          <cell r="W80">
            <v>99948.878333333327</v>
          </cell>
        </row>
        <row r="81">
          <cell r="B81">
            <v>0</v>
          </cell>
          <cell r="C81">
            <v>0</v>
          </cell>
          <cell r="D81">
            <v>0</v>
          </cell>
          <cell r="E81">
            <v>0</v>
          </cell>
          <cell r="F81">
            <v>0</v>
          </cell>
          <cell r="G81">
            <v>0</v>
          </cell>
          <cell r="H81">
            <v>0</v>
          </cell>
          <cell r="Q81">
            <v>0</v>
          </cell>
          <cell r="R81">
            <v>0</v>
          </cell>
          <cell r="S81">
            <v>0</v>
          </cell>
          <cell r="T81">
            <v>0</v>
          </cell>
          <cell r="U81">
            <v>0</v>
          </cell>
          <cell r="V81">
            <v>0</v>
          </cell>
          <cell r="W81">
            <v>0</v>
          </cell>
        </row>
        <row r="82">
          <cell r="B82">
            <v>30540.541666666664</v>
          </cell>
          <cell r="C82">
            <v>22897.958333333332</v>
          </cell>
          <cell r="D82">
            <v>0</v>
          </cell>
          <cell r="E82">
            <v>9208.0500000000011</v>
          </cell>
          <cell r="F82">
            <v>2288.3416666666667</v>
          </cell>
          <cell r="G82">
            <v>0</v>
          </cell>
          <cell r="H82">
            <v>64934.89166666667</v>
          </cell>
          <cell r="Q82">
            <v>29765.408333333333</v>
          </cell>
          <cell r="R82">
            <v>21274.083333333332</v>
          </cell>
          <cell r="S82">
            <v>0</v>
          </cell>
          <cell r="T82">
            <v>8803.9750000000004</v>
          </cell>
          <cell r="U82">
            <v>2110.6750000000002</v>
          </cell>
          <cell r="V82">
            <v>0</v>
          </cell>
          <cell r="W82">
            <v>61954.14166666667</v>
          </cell>
        </row>
        <row r="83">
          <cell r="B83">
            <v>54835.058333333334</v>
          </cell>
          <cell r="C83">
            <v>38235.116666666669</v>
          </cell>
          <cell r="D83">
            <v>80436.425000000003</v>
          </cell>
          <cell r="E83">
            <v>5222.2583333333332</v>
          </cell>
          <cell r="F83">
            <v>12339.8</v>
          </cell>
          <cell r="G83">
            <v>6813.8249999999998</v>
          </cell>
          <cell r="H83">
            <v>197882.48333333328</v>
          </cell>
          <cell r="Q83">
            <v>53988.475000000006</v>
          </cell>
          <cell r="R83">
            <v>37195.633333333331</v>
          </cell>
          <cell r="S83">
            <v>78431.041666666657</v>
          </cell>
          <cell r="T83">
            <v>5547.7999999999993</v>
          </cell>
          <cell r="U83">
            <v>12034.924999999999</v>
          </cell>
          <cell r="V83">
            <v>6521.4833333333336</v>
          </cell>
          <cell r="W83">
            <v>193719.35833333331</v>
          </cell>
        </row>
        <row r="84">
          <cell r="B84">
            <v>42740.983333333337</v>
          </cell>
          <cell r="C84">
            <v>0</v>
          </cell>
          <cell r="D84">
            <v>21021.883333333331</v>
          </cell>
          <cell r="E84">
            <v>0</v>
          </cell>
          <cell r="F84">
            <v>21723.058333333334</v>
          </cell>
          <cell r="G84">
            <v>5631.5</v>
          </cell>
          <cell r="H84">
            <v>91117.425000000003</v>
          </cell>
          <cell r="Q84">
            <v>40692.566666666666</v>
          </cell>
          <cell r="R84">
            <v>0</v>
          </cell>
          <cell r="S84">
            <v>19868.633333333331</v>
          </cell>
          <cell r="T84">
            <v>0</v>
          </cell>
          <cell r="U84">
            <v>20674.10833333333</v>
          </cell>
          <cell r="V84">
            <v>5227.6333333333332</v>
          </cell>
          <cell r="W84">
            <v>86462.941666666651</v>
          </cell>
        </row>
        <row r="85">
          <cell r="B85">
            <v>44473.23333333333</v>
          </cell>
          <cell r="C85">
            <v>0</v>
          </cell>
          <cell r="D85">
            <v>16128.774999999998</v>
          </cell>
          <cell r="E85">
            <v>3508.45</v>
          </cell>
          <cell r="F85">
            <v>16209.183333333334</v>
          </cell>
          <cell r="G85">
            <v>12238.691666666668</v>
          </cell>
          <cell r="H85">
            <v>92558.333333333328</v>
          </cell>
          <cell r="Q85">
            <v>42750.875</v>
          </cell>
          <cell r="R85">
            <v>0</v>
          </cell>
          <cell r="S85">
            <v>15961.641666666666</v>
          </cell>
          <cell r="T85">
            <v>3435.3833333333337</v>
          </cell>
          <cell r="U85">
            <v>15640.575000000001</v>
          </cell>
          <cell r="V85">
            <v>11573.991666666665</v>
          </cell>
          <cell r="W85">
            <v>89362.46666666666</v>
          </cell>
        </row>
        <row r="86">
          <cell r="B86">
            <v>0</v>
          </cell>
          <cell r="C86">
            <v>0</v>
          </cell>
          <cell r="D86">
            <v>0</v>
          </cell>
          <cell r="E86">
            <v>0</v>
          </cell>
          <cell r="F86">
            <v>0</v>
          </cell>
          <cell r="G86">
            <v>0</v>
          </cell>
          <cell r="H86">
            <v>0</v>
          </cell>
          <cell r="Q86">
            <v>0</v>
          </cell>
          <cell r="R86">
            <v>0</v>
          </cell>
          <cell r="S86">
            <v>0</v>
          </cell>
          <cell r="T86">
            <v>0</v>
          </cell>
          <cell r="U86">
            <v>0</v>
          </cell>
          <cell r="V86">
            <v>0</v>
          </cell>
          <cell r="W86">
            <v>0</v>
          </cell>
        </row>
        <row r="87">
          <cell r="B87">
            <v>43271.616666666669</v>
          </cell>
          <cell r="C87">
            <v>0</v>
          </cell>
          <cell r="D87">
            <v>70760.308333333334</v>
          </cell>
          <cell r="E87">
            <v>0</v>
          </cell>
          <cell r="F87">
            <v>7146.4916666666668</v>
          </cell>
          <cell r="G87">
            <v>0</v>
          </cell>
          <cell r="H87">
            <v>121178.41666666666</v>
          </cell>
          <cell r="Q87">
            <v>42795.458333333336</v>
          </cell>
          <cell r="R87">
            <v>0</v>
          </cell>
          <cell r="S87">
            <v>67248.683333333334</v>
          </cell>
          <cell r="T87">
            <v>0</v>
          </cell>
          <cell r="U87">
            <v>6783.5666666666666</v>
          </cell>
          <cell r="V87">
            <v>0</v>
          </cell>
          <cell r="W87">
            <v>116827.70833333333</v>
          </cell>
        </row>
        <row r="88">
          <cell r="B88">
            <v>216254</v>
          </cell>
          <cell r="C88">
            <v>51816.25</v>
          </cell>
          <cell r="D88">
            <v>164116.79166666666</v>
          </cell>
          <cell r="E88">
            <v>6988.2</v>
          </cell>
          <cell r="F88">
            <v>9625.5416666666661</v>
          </cell>
          <cell r="G88">
            <v>1690.8666666666666</v>
          </cell>
          <cell r="H88">
            <v>450491.64999999997</v>
          </cell>
          <cell r="Q88">
            <v>206945.79166666666</v>
          </cell>
          <cell r="R88">
            <v>49177.508333333331</v>
          </cell>
          <cell r="S88">
            <v>158388.45000000001</v>
          </cell>
          <cell r="T88">
            <v>6273.875</v>
          </cell>
          <cell r="U88">
            <v>9444.85</v>
          </cell>
          <cell r="V88">
            <v>1672.3166666666668</v>
          </cell>
          <cell r="W88">
            <v>431902.79166666663</v>
          </cell>
        </row>
        <row r="89">
          <cell r="B89">
            <v>100917.50416666667</v>
          </cell>
          <cell r="C89">
            <v>36502.75</v>
          </cell>
          <cell r="D89">
            <v>25409.933333333334</v>
          </cell>
          <cell r="E89">
            <v>19036.041666666668</v>
          </cell>
          <cell r="F89">
            <v>9646.7666666666682</v>
          </cell>
          <cell r="G89">
            <v>1736</v>
          </cell>
          <cell r="H89">
            <v>193248.99583333335</v>
          </cell>
          <cell r="Q89">
            <v>98807.466666666645</v>
          </cell>
          <cell r="R89">
            <v>35982.699999999997</v>
          </cell>
          <cell r="S89">
            <v>24830.591666666671</v>
          </cell>
          <cell r="T89">
            <v>18713.025000000001</v>
          </cell>
          <cell r="U89">
            <v>9517.0916666666672</v>
          </cell>
          <cell r="V89">
            <v>1729.0833333333333</v>
          </cell>
          <cell r="W89">
            <v>189579.95833333331</v>
          </cell>
        </row>
        <row r="90">
          <cell r="B90">
            <v>26417.666666666664</v>
          </cell>
          <cell r="C90">
            <v>0</v>
          </cell>
          <cell r="D90">
            <v>11283.4</v>
          </cell>
          <cell r="E90">
            <v>0</v>
          </cell>
          <cell r="F90">
            <v>7989.2166666666672</v>
          </cell>
          <cell r="G90">
            <v>12399.646666666666</v>
          </cell>
          <cell r="H90">
            <v>58089.93</v>
          </cell>
          <cell r="Q90">
            <v>26197.141666666666</v>
          </cell>
          <cell r="R90">
            <v>0</v>
          </cell>
          <cell r="S90">
            <v>10996.908333333333</v>
          </cell>
          <cell r="T90">
            <v>0</v>
          </cell>
          <cell r="U90">
            <v>7811.9666666666672</v>
          </cell>
          <cell r="V90">
            <v>11958.199999999999</v>
          </cell>
          <cell r="W90">
            <v>56964.216666666667</v>
          </cell>
        </row>
        <row r="163">
          <cell r="AD163">
            <v>152885.55444444448</v>
          </cell>
          <cell r="AE163">
            <v>779986.35888888885</v>
          </cell>
          <cell r="AF163">
            <v>434964.84888888884</v>
          </cell>
          <cell r="AG163">
            <v>142748.50277777779</v>
          </cell>
          <cell r="AH163">
            <v>205076.19777777779</v>
          </cell>
          <cell r="AI163">
            <v>1715661.4627777778</v>
          </cell>
          <cell r="AL163">
            <v>164603.98777777774</v>
          </cell>
          <cell r="AM163">
            <v>862617.26333333342</v>
          </cell>
          <cell r="AN163">
            <v>481367.63333333324</v>
          </cell>
          <cell r="AO163">
            <v>158932.84500000003</v>
          </cell>
          <cell r="AP163">
            <v>223516.87777777779</v>
          </cell>
          <cell r="AQ163">
            <v>1891038.6072222223</v>
          </cell>
        </row>
        <row r="164">
          <cell r="AD164">
            <v>0</v>
          </cell>
          <cell r="AE164">
            <v>0</v>
          </cell>
          <cell r="AF164">
            <v>0</v>
          </cell>
          <cell r="AG164">
            <v>0</v>
          </cell>
          <cell r="AH164">
            <v>0</v>
          </cell>
          <cell r="AL164">
            <v>0</v>
          </cell>
          <cell r="AM164">
            <v>0</v>
          </cell>
          <cell r="AN164">
            <v>0</v>
          </cell>
          <cell r="AO164">
            <v>0</v>
          </cell>
          <cell r="AP164">
            <v>0</v>
          </cell>
        </row>
        <row r="165">
          <cell r="AD165">
            <v>0</v>
          </cell>
          <cell r="AE165">
            <v>13331</v>
          </cell>
          <cell r="AF165">
            <v>42695.999999999993</v>
          </cell>
          <cell r="AG165">
            <v>13521.733333333334</v>
          </cell>
          <cell r="AH165">
            <v>0</v>
          </cell>
          <cell r="AI165">
            <v>69548.733333333323</v>
          </cell>
          <cell r="AL165">
            <v>0</v>
          </cell>
          <cell r="AM165">
            <v>15363.166666666668</v>
          </cell>
          <cell r="AN165">
            <v>46996.400000000009</v>
          </cell>
          <cell r="AO165">
            <v>14759.7</v>
          </cell>
          <cell r="AP165">
            <v>0</v>
          </cell>
          <cell r="AQ165">
            <v>77119.266666666677</v>
          </cell>
        </row>
        <row r="166">
          <cell r="AD166">
            <v>0</v>
          </cell>
          <cell r="AE166">
            <v>7079.9</v>
          </cell>
          <cell r="AF166">
            <v>10858.699999999999</v>
          </cell>
          <cell r="AG166">
            <v>22774.1</v>
          </cell>
          <cell r="AH166">
            <v>0</v>
          </cell>
          <cell r="AI166">
            <v>40712.699999999997</v>
          </cell>
          <cell r="AL166">
            <v>0</v>
          </cell>
          <cell r="AM166">
            <v>8203.2000000000007</v>
          </cell>
          <cell r="AN166">
            <v>12138.099999999999</v>
          </cell>
          <cell r="AO166">
            <v>24747.599999999999</v>
          </cell>
          <cell r="AP166">
            <v>0</v>
          </cell>
          <cell r="AQ166">
            <v>45088.899999999994</v>
          </cell>
        </row>
        <row r="167">
          <cell r="AD167">
            <v>0</v>
          </cell>
          <cell r="AE167">
            <v>0</v>
          </cell>
          <cell r="AF167">
            <v>10906.933333333334</v>
          </cell>
          <cell r="AG167">
            <v>0</v>
          </cell>
          <cell r="AH167">
            <v>0</v>
          </cell>
          <cell r="AI167">
            <v>10906.933333333334</v>
          </cell>
          <cell r="AL167">
            <v>0</v>
          </cell>
          <cell r="AM167">
            <v>0</v>
          </cell>
          <cell r="AN167">
            <v>11449.966666666665</v>
          </cell>
          <cell r="AO167">
            <v>0</v>
          </cell>
          <cell r="AP167">
            <v>0</v>
          </cell>
          <cell r="AQ167">
            <v>11449.966666666665</v>
          </cell>
        </row>
        <row r="168">
          <cell r="AD168">
            <v>110275.42777777779</v>
          </cell>
          <cell r="AE168">
            <v>222428.91888888887</v>
          </cell>
          <cell r="AF168">
            <v>17925.317777777778</v>
          </cell>
          <cell r="AG168">
            <v>1903.0722222222223</v>
          </cell>
          <cell r="AH168">
            <v>0</v>
          </cell>
          <cell r="AI168">
            <v>352532.73666666669</v>
          </cell>
          <cell r="AL168">
            <v>117349.73888888887</v>
          </cell>
          <cell r="AM168">
            <v>237882.68777777776</v>
          </cell>
          <cell r="AN168">
            <v>18608.036666666667</v>
          </cell>
          <cell r="AO168">
            <v>2030.4288888888887</v>
          </cell>
          <cell r="AP168">
            <v>0</v>
          </cell>
          <cell r="AQ168">
            <v>375870.89222222217</v>
          </cell>
        </row>
        <row r="169">
          <cell r="AD169">
            <v>0</v>
          </cell>
          <cell r="AE169">
            <v>0</v>
          </cell>
          <cell r="AF169">
            <v>0</v>
          </cell>
          <cell r="AG169">
            <v>0</v>
          </cell>
          <cell r="AH169">
            <v>0</v>
          </cell>
          <cell r="AL169">
            <v>0</v>
          </cell>
          <cell r="AM169">
            <v>0</v>
          </cell>
          <cell r="AN169">
            <v>0</v>
          </cell>
          <cell r="AO169">
            <v>0</v>
          </cell>
          <cell r="AP169">
            <v>0</v>
          </cell>
        </row>
        <row r="170">
          <cell r="AD170">
            <v>10960.066666666666</v>
          </cell>
          <cell r="AE170">
            <v>18632.733333333334</v>
          </cell>
          <cell r="AF170">
            <v>22766.933333333334</v>
          </cell>
          <cell r="AG170">
            <v>6902.8333333333339</v>
          </cell>
          <cell r="AH170">
            <v>0</v>
          </cell>
          <cell r="AI170">
            <v>59262.566666666673</v>
          </cell>
          <cell r="AL170">
            <v>11670.333333333334</v>
          </cell>
          <cell r="AM170">
            <v>19360.133333333335</v>
          </cell>
          <cell r="AN170">
            <v>24909.166666666664</v>
          </cell>
          <cell r="AO170">
            <v>7947.0333333333328</v>
          </cell>
          <cell r="AP170">
            <v>0</v>
          </cell>
          <cell r="AQ170">
            <v>63886.666666666664</v>
          </cell>
        </row>
        <row r="171">
          <cell r="AD171">
            <v>0</v>
          </cell>
          <cell r="AE171">
            <v>16963.5</v>
          </cell>
          <cell r="AF171">
            <v>27180.26666666667</v>
          </cell>
          <cell r="AG171">
            <v>5589.6666666666661</v>
          </cell>
          <cell r="AH171">
            <v>0</v>
          </cell>
          <cell r="AI171">
            <v>49733.433333333334</v>
          </cell>
          <cell r="AL171">
            <v>0</v>
          </cell>
          <cell r="AM171">
            <v>18440.776666666665</v>
          </cell>
          <cell r="AN171">
            <v>31252.953333333331</v>
          </cell>
          <cell r="AO171">
            <v>6350.4</v>
          </cell>
          <cell r="AP171">
            <v>0</v>
          </cell>
          <cell r="AQ171">
            <v>56044.13</v>
          </cell>
        </row>
        <row r="172">
          <cell r="AD172">
            <v>1890.8</v>
          </cell>
          <cell r="AE172">
            <v>16509.3</v>
          </cell>
          <cell r="AF172">
            <v>8356.1666666666679</v>
          </cell>
          <cell r="AG172">
            <v>5397.0866666666661</v>
          </cell>
          <cell r="AH172">
            <v>0</v>
          </cell>
          <cell r="AI172">
            <v>32153.353333333333</v>
          </cell>
          <cell r="AL172">
            <v>1883.4666666666667</v>
          </cell>
          <cell r="AM172">
            <v>19117.400000000001</v>
          </cell>
          <cell r="AN172">
            <v>9538.5333333333328</v>
          </cell>
          <cell r="AO172">
            <v>7670.0666666666675</v>
          </cell>
          <cell r="AP172">
            <v>0</v>
          </cell>
          <cell r="AQ172">
            <v>38209.466666666667</v>
          </cell>
        </row>
        <row r="173">
          <cell r="AD173">
            <v>0</v>
          </cell>
          <cell r="AE173">
            <v>53202.85</v>
          </cell>
          <cell r="AF173">
            <v>32305.599999999999</v>
          </cell>
          <cell r="AG173">
            <v>3817.3683333333338</v>
          </cell>
          <cell r="AH173">
            <v>0</v>
          </cell>
          <cell r="AI173">
            <v>89325.818333333329</v>
          </cell>
          <cell r="AL173">
            <v>0</v>
          </cell>
          <cell r="AM173">
            <v>58570.26</v>
          </cell>
          <cell r="AN173">
            <v>35903.783333333333</v>
          </cell>
          <cell r="AO173">
            <v>4122.5749999999998</v>
          </cell>
          <cell r="AP173">
            <v>0</v>
          </cell>
          <cell r="AQ173">
            <v>98596.618333333332</v>
          </cell>
        </row>
        <row r="174">
          <cell r="AD174">
            <v>0</v>
          </cell>
          <cell r="AE174">
            <v>0</v>
          </cell>
          <cell r="AF174">
            <v>0</v>
          </cell>
          <cell r="AG174">
            <v>0</v>
          </cell>
          <cell r="AH174">
            <v>0</v>
          </cell>
          <cell r="AL174">
            <v>0</v>
          </cell>
          <cell r="AM174">
            <v>0</v>
          </cell>
          <cell r="AN174">
            <v>0</v>
          </cell>
          <cell r="AO174">
            <v>0</v>
          </cell>
          <cell r="AP174">
            <v>0</v>
          </cell>
        </row>
        <row r="175">
          <cell r="AD175">
            <v>0</v>
          </cell>
          <cell r="AE175">
            <v>30277.466666666667</v>
          </cell>
          <cell r="AF175">
            <v>31188.366666666672</v>
          </cell>
          <cell r="AG175">
            <v>3602.666666666667</v>
          </cell>
          <cell r="AH175">
            <v>0</v>
          </cell>
          <cell r="AI175">
            <v>65068.500000000007</v>
          </cell>
          <cell r="AL175">
            <v>0</v>
          </cell>
          <cell r="AM175">
            <v>34891.466666666667</v>
          </cell>
          <cell r="AN175">
            <v>35070.233333333337</v>
          </cell>
          <cell r="AO175">
            <v>4003.1666666666665</v>
          </cell>
          <cell r="AP175">
            <v>0</v>
          </cell>
          <cell r="AQ175">
            <v>73964.866666666683</v>
          </cell>
        </row>
        <row r="176">
          <cell r="AD176">
            <v>0</v>
          </cell>
          <cell r="AE176">
            <v>71927.200000000012</v>
          </cell>
          <cell r="AF176">
            <v>64961.333333333314</v>
          </cell>
          <cell r="AG176">
            <v>27402.23333333333</v>
          </cell>
          <cell r="AH176">
            <v>0</v>
          </cell>
          <cell r="AI176">
            <v>164290.76666666666</v>
          </cell>
          <cell r="AL176">
            <v>0</v>
          </cell>
          <cell r="AM176">
            <v>80872.533333333326</v>
          </cell>
          <cell r="AN176">
            <v>70944.066666666666</v>
          </cell>
          <cell r="AO176">
            <v>29508.333333333336</v>
          </cell>
          <cell r="AP176">
            <v>0</v>
          </cell>
          <cell r="AQ176">
            <v>181324.93333333332</v>
          </cell>
        </row>
        <row r="177">
          <cell r="AD177">
            <v>3285.3</v>
          </cell>
          <cell r="AE177">
            <v>21323.133333333331</v>
          </cell>
          <cell r="AF177">
            <v>12912.3</v>
          </cell>
          <cell r="AG177">
            <v>13218.7</v>
          </cell>
          <cell r="AH177">
            <v>0</v>
          </cell>
          <cell r="AI177">
            <v>50739.433333333334</v>
          </cell>
          <cell r="AL177">
            <v>3226.0666666666666</v>
          </cell>
          <cell r="AM177">
            <v>23282.3</v>
          </cell>
          <cell r="AN177">
            <v>14656.5</v>
          </cell>
          <cell r="AO177">
            <v>14858</v>
          </cell>
          <cell r="AP177">
            <v>0</v>
          </cell>
          <cell r="AQ177">
            <v>56022.866666666669</v>
          </cell>
        </row>
        <row r="178">
          <cell r="AD178">
            <v>0</v>
          </cell>
          <cell r="AE178">
            <v>32399.699999999997</v>
          </cell>
          <cell r="AF178">
            <v>36350.366666666669</v>
          </cell>
          <cell r="AG178">
            <v>7466.7</v>
          </cell>
          <cell r="AH178">
            <v>0</v>
          </cell>
          <cell r="AI178">
            <v>76216.766666666663</v>
          </cell>
          <cell r="AL178">
            <v>0</v>
          </cell>
          <cell r="AM178">
            <v>35517.066666666666</v>
          </cell>
          <cell r="AN178">
            <v>41285.03333333334</v>
          </cell>
          <cell r="AO178">
            <v>8331.5333333333347</v>
          </cell>
          <cell r="AP178">
            <v>0</v>
          </cell>
          <cell r="AQ178">
            <v>85133.633333333346</v>
          </cell>
        </row>
        <row r="179">
          <cell r="AD179">
            <v>0</v>
          </cell>
          <cell r="AE179">
            <v>0</v>
          </cell>
          <cell r="AF179">
            <v>0</v>
          </cell>
          <cell r="AG179">
            <v>0</v>
          </cell>
          <cell r="AH179">
            <v>0</v>
          </cell>
          <cell r="AL179">
            <v>0</v>
          </cell>
          <cell r="AM179">
            <v>0</v>
          </cell>
          <cell r="AN179">
            <v>0</v>
          </cell>
          <cell r="AO179">
            <v>0</v>
          </cell>
          <cell r="AP179">
            <v>0</v>
          </cell>
        </row>
        <row r="180">
          <cell r="AD180">
            <v>0</v>
          </cell>
          <cell r="AE180">
            <v>21776.166666666668</v>
          </cell>
          <cell r="AF180">
            <v>36785.23333333333</v>
          </cell>
          <cell r="AG180">
            <v>2059.5</v>
          </cell>
          <cell r="AH180">
            <v>0</v>
          </cell>
          <cell r="AI180">
            <v>60620.899999999994</v>
          </cell>
          <cell r="AL180">
            <v>0</v>
          </cell>
          <cell r="AM180">
            <v>24139.666666666664</v>
          </cell>
          <cell r="AN180">
            <v>40358.600000000006</v>
          </cell>
          <cell r="AO180">
            <v>2424.3666666666668</v>
          </cell>
          <cell r="AP180">
            <v>0</v>
          </cell>
          <cell r="AQ180">
            <v>66922.633333333331</v>
          </cell>
        </row>
        <row r="181">
          <cell r="AD181">
            <v>22004.126666666667</v>
          </cell>
          <cell r="AE181">
            <v>254134.49000000002</v>
          </cell>
          <cell r="AF181">
            <v>79771.331111111125</v>
          </cell>
          <cell r="AG181">
            <v>14780.805555555555</v>
          </cell>
          <cell r="AH181">
            <v>88576.364444444451</v>
          </cell>
          <cell r="AI181">
            <v>459267.11777777778</v>
          </cell>
          <cell r="AL181">
            <v>25481.34888888889</v>
          </cell>
          <cell r="AM181">
            <v>286976.60555555561</v>
          </cell>
          <cell r="AN181">
            <v>88256.259999999966</v>
          </cell>
          <cell r="AO181">
            <v>16407.124444444446</v>
          </cell>
          <cell r="AP181">
            <v>96918.711111111115</v>
          </cell>
          <cell r="AQ181">
            <v>514040.05000000005</v>
          </cell>
        </row>
        <row r="182">
          <cell r="AD182">
            <v>0</v>
          </cell>
          <cell r="AE182">
            <v>0</v>
          </cell>
          <cell r="AF182">
            <v>0</v>
          </cell>
          <cell r="AG182">
            <v>1232.3666666666666</v>
          </cell>
          <cell r="AH182">
            <v>116499.83333333333</v>
          </cell>
          <cell r="AI182">
            <v>117732.2</v>
          </cell>
          <cell r="AL182">
            <v>0</v>
          </cell>
          <cell r="AM182">
            <v>0</v>
          </cell>
          <cell r="AN182">
            <v>0</v>
          </cell>
          <cell r="AO182">
            <v>1261.4333333333334</v>
          </cell>
          <cell r="AP182">
            <v>126598.16666666667</v>
          </cell>
          <cell r="AQ182">
            <v>127859.59999999999</v>
          </cell>
        </row>
        <row r="183">
          <cell r="AD183">
            <v>4469.8333333333339</v>
          </cell>
          <cell r="AE183">
            <v>0</v>
          </cell>
          <cell r="AF183">
            <v>0</v>
          </cell>
          <cell r="AG183">
            <v>13079.669999999998</v>
          </cell>
          <cell r="AH183">
            <v>0</v>
          </cell>
          <cell r="AI183">
            <v>17549.503333333334</v>
          </cell>
          <cell r="AL183">
            <v>4993.0333333333328</v>
          </cell>
          <cell r="AM183">
            <v>0</v>
          </cell>
          <cell r="AN183">
            <v>0</v>
          </cell>
          <cell r="AO183">
            <v>14511.083333333334</v>
          </cell>
          <cell r="AP183">
            <v>0</v>
          </cell>
          <cell r="AQ183">
            <v>19504.116666666669</v>
          </cell>
        </row>
        <row r="193">
          <cell r="AM193">
            <v>133255.3574888889</v>
          </cell>
          <cell r="AN193">
            <v>39927.906044444448</v>
          </cell>
          <cell r="AO193">
            <v>0</v>
          </cell>
          <cell r="AP193">
            <v>173183.26353333335</v>
          </cell>
          <cell r="AX193">
            <v>99348.300000000017</v>
          </cell>
          <cell r="AY193">
            <v>37584.948888888881</v>
          </cell>
          <cell r="AZ193">
            <v>16730.460555555554</v>
          </cell>
          <cell r="BA193">
            <v>153663.70944444445</v>
          </cell>
        </row>
        <row r="194">
          <cell r="AM194">
            <v>0</v>
          </cell>
          <cell r="AN194">
            <v>0</v>
          </cell>
          <cell r="AO194">
            <v>0</v>
          </cell>
          <cell r="AP194">
            <v>0</v>
          </cell>
          <cell r="AX194">
            <v>0</v>
          </cell>
          <cell r="AY194">
            <v>0</v>
          </cell>
          <cell r="AZ194">
            <v>0</v>
          </cell>
          <cell r="BA194">
            <v>0</v>
          </cell>
        </row>
        <row r="195">
          <cell r="AM195">
            <v>1657.2333333333333</v>
          </cell>
          <cell r="AN195">
            <v>2644.5</v>
          </cell>
          <cell r="AO195">
            <v>0</v>
          </cell>
          <cell r="AP195">
            <v>4301.7333333333336</v>
          </cell>
          <cell r="AX195">
            <v>1467.3</v>
          </cell>
          <cell r="AY195">
            <v>2415.7333333333331</v>
          </cell>
          <cell r="AZ195">
            <v>0</v>
          </cell>
          <cell r="BA195">
            <v>3883.0333333333328</v>
          </cell>
        </row>
        <row r="196">
          <cell r="AM196">
            <v>0</v>
          </cell>
          <cell r="AN196">
            <v>0</v>
          </cell>
          <cell r="AO196">
            <v>0</v>
          </cell>
          <cell r="AP196">
            <v>0</v>
          </cell>
          <cell r="AX196">
            <v>0</v>
          </cell>
          <cell r="AY196">
            <v>0</v>
          </cell>
          <cell r="AZ196">
            <v>0</v>
          </cell>
          <cell r="BA196">
            <v>0</v>
          </cell>
        </row>
        <row r="197">
          <cell r="AM197">
            <v>0</v>
          </cell>
          <cell r="AN197">
            <v>0</v>
          </cell>
          <cell r="AO197">
            <v>0</v>
          </cell>
          <cell r="AP197">
            <v>0</v>
          </cell>
          <cell r="AX197">
            <v>0</v>
          </cell>
          <cell r="AY197">
            <v>0</v>
          </cell>
          <cell r="AZ197">
            <v>0</v>
          </cell>
          <cell r="BA197">
            <v>0</v>
          </cell>
        </row>
        <row r="198">
          <cell r="AM198">
            <v>0</v>
          </cell>
          <cell r="AN198">
            <v>0</v>
          </cell>
          <cell r="AO198">
            <v>0</v>
          </cell>
          <cell r="AP198">
            <v>0</v>
          </cell>
          <cell r="AX198">
            <v>0</v>
          </cell>
          <cell r="AY198">
            <v>0</v>
          </cell>
          <cell r="AZ198">
            <v>0</v>
          </cell>
          <cell r="BA198">
            <v>0</v>
          </cell>
        </row>
        <row r="199">
          <cell r="AM199">
            <v>0</v>
          </cell>
          <cell r="AN199">
            <v>0</v>
          </cell>
          <cell r="AO199">
            <v>0</v>
          </cell>
          <cell r="AP199">
            <v>0</v>
          </cell>
          <cell r="AX199">
            <v>0</v>
          </cell>
          <cell r="AY199">
            <v>0</v>
          </cell>
          <cell r="AZ199">
            <v>0</v>
          </cell>
          <cell r="BA199">
            <v>0</v>
          </cell>
        </row>
        <row r="200">
          <cell r="AM200">
            <v>102216.01555555555</v>
          </cell>
          <cell r="AN200">
            <v>830.51111111111106</v>
          </cell>
          <cell r="AO200">
            <v>0</v>
          </cell>
          <cell r="AP200">
            <v>103046.52666666667</v>
          </cell>
          <cell r="AX200">
            <v>86429.404444444459</v>
          </cell>
          <cell r="AY200">
            <v>744.44444444444446</v>
          </cell>
          <cell r="AZ200">
            <v>0</v>
          </cell>
          <cell r="BA200">
            <v>87173.848888888897</v>
          </cell>
        </row>
        <row r="201">
          <cell r="AM201">
            <v>4584.5</v>
          </cell>
          <cell r="AN201">
            <v>0</v>
          </cell>
          <cell r="AO201">
            <v>0</v>
          </cell>
          <cell r="AP201">
            <v>4584.5</v>
          </cell>
          <cell r="AX201">
            <v>3683.1666666666665</v>
          </cell>
          <cell r="AY201">
            <v>0</v>
          </cell>
          <cell r="AZ201">
            <v>0</v>
          </cell>
          <cell r="BA201">
            <v>3683.1666666666665</v>
          </cell>
        </row>
        <row r="202">
          <cell r="AM202">
            <v>18468.133333333335</v>
          </cell>
          <cell r="AN202">
            <v>1362.7333333333333</v>
          </cell>
          <cell r="AO202">
            <v>0</v>
          </cell>
          <cell r="AP202">
            <v>19830.866666666669</v>
          </cell>
          <cell r="AX202">
            <v>1759.2666666666667</v>
          </cell>
          <cell r="AY202">
            <v>1117.2733333333333</v>
          </cell>
          <cell r="AZ202">
            <v>16730.460555555554</v>
          </cell>
          <cell r="BA202">
            <v>19607.000555555554</v>
          </cell>
        </row>
        <row r="203">
          <cell r="AM203">
            <v>0</v>
          </cell>
          <cell r="AN203">
            <v>0</v>
          </cell>
          <cell r="AO203">
            <v>0</v>
          </cell>
          <cell r="AP203">
            <v>0</v>
          </cell>
          <cell r="AX203">
            <v>0</v>
          </cell>
          <cell r="AY203">
            <v>0</v>
          </cell>
          <cell r="AZ203">
            <v>0</v>
          </cell>
          <cell r="BA203">
            <v>0</v>
          </cell>
        </row>
        <row r="204">
          <cell r="AM204">
            <v>0</v>
          </cell>
          <cell r="AN204">
            <v>0</v>
          </cell>
          <cell r="AO204">
            <v>0</v>
          </cell>
          <cell r="AP204">
            <v>0</v>
          </cell>
          <cell r="AX204">
            <v>0</v>
          </cell>
          <cell r="AY204">
            <v>0</v>
          </cell>
          <cell r="AZ204">
            <v>0</v>
          </cell>
          <cell r="BA204">
            <v>0</v>
          </cell>
        </row>
        <row r="205">
          <cell r="AM205">
            <v>0</v>
          </cell>
          <cell r="AN205">
            <v>0</v>
          </cell>
          <cell r="AO205">
            <v>0</v>
          </cell>
          <cell r="AP205">
            <v>0</v>
          </cell>
          <cell r="AX205">
            <v>0</v>
          </cell>
          <cell r="AY205">
            <v>0</v>
          </cell>
          <cell r="AZ205">
            <v>0</v>
          </cell>
          <cell r="BA205">
            <v>0</v>
          </cell>
        </row>
        <row r="206">
          <cell r="AM206">
            <v>0</v>
          </cell>
          <cell r="AN206">
            <v>0</v>
          </cell>
          <cell r="AO206">
            <v>0</v>
          </cell>
          <cell r="AP206">
            <v>0</v>
          </cell>
          <cell r="AX206">
            <v>0</v>
          </cell>
          <cell r="AY206">
            <v>0</v>
          </cell>
          <cell r="AZ206">
            <v>0</v>
          </cell>
          <cell r="BA206">
            <v>0</v>
          </cell>
        </row>
        <row r="207">
          <cell r="AM207">
            <v>6329.4752666666664</v>
          </cell>
          <cell r="AN207">
            <v>21812.720488888895</v>
          </cell>
          <cell r="AO207">
            <v>0</v>
          </cell>
          <cell r="AP207">
            <v>28142.195755555564</v>
          </cell>
          <cell r="AX207">
            <v>6009.1622222222222</v>
          </cell>
          <cell r="AY207">
            <v>20470.498888888887</v>
          </cell>
          <cell r="AZ207">
            <v>0</v>
          </cell>
          <cell r="BA207">
            <v>26479.661111111109</v>
          </cell>
        </row>
        <row r="208">
          <cell r="AM208">
            <v>0</v>
          </cell>
          <cell r="AN208">
            <v>0</v>
          </cell>
          <cell r="AO208">
            <v>0</v>
          </cell>
          <cell r="AP208">
            <v>0</v>
          </cell>
          <cell r="AX208">
            <v>0</v>
          </cell>
          <cell r="AY208">
            <v>0</v>
          </cell>
          <cell r="AZ208">
            <v>0</v>
          </cell>
          <cell r="BA208">
            <v>0</v>
          </cell>
        </row>
        <row r="209">
          <cell r="AM209">
            <v>0</v>
          </cell>
          <cell r="AN209">
            <v>0</v>
          </cell>
          <cell r="AO209">
            <v>0</v>
          </cell>
          <cell r="AP209">
            <v>0</v>
          </cell>
          <cell r="AX209">
            <v>0</v>
          </cell>
          <cell r="AY209">
            <v>0</v>
          </cell>
          <cell r="AZ209">
            <v>0</v>
          </cell>
          <cell r="BA209">
            <v>0</v>
          </cell>
        </row>
        <row r="210">
          <cell r="AM210">
            <v>0</v>
          </cell>
          <cell r="AN210">
            <v>13277.441111111108</v>
          </cell>
          <cell r="AO210">
            <v>0</v>
          </cell>
          <cell r="AP210">
            <v>13277.441111111108</v>
          </cell>
          <cell r="AX210">
            <v>0</v>
          </cell>
          <cell r="AY210">
            <v>12836.998888888886</v>
          </cell>
          <cell r="AZ210">
            <v>0</v>
          </cell>
          <cell r="BA210">
            <v>12836.998888888886</v>
          </cell>
        </row>
        <row r="211">
          <cell r="AM211">
            <v>0</v>
          </cell>
          <cell r="AN211">
            <v>0</v>
          </cell>
          <cell r="AO211">
            <v>0</v>
          </cell>
          <cell r="AP211">
            <v>0</v>
          </cell>
          <cell r="AX211">
            <v>0</v>
          </cell>
          <cell r="AY211">
            <v>0</v>
          </cell>
          <cell r="AZ211">
            <v>0</v>
          </cell>
          <cell r="BA211">
            <v>0</v>
          </cell>
        </row>
        <row r="212">
          <cell r="AM212">
            <v>0</v>
          </cell>
          <cell r="AN212">
            <v>0</v>
          </cell>
          <cell r="AO212">
            <v>0</v>
          </cell>
          <cell r="AP212">
            <v>0</v>
          </cell>
          <cell r="AX212">
            <v>0</v>
          </cell>
          <cell r="AY212">
            <v>0</v>
          </cell>
          <cell r="AZ212">
            <v>0</v>
          </cell>
          <cell r="BA212">
            <v>0</v>
          </cell>
        </row>
        <row r="213">
          <cell r="AM213">
            <v>0</v>
          </cell>
          <cell r="AN213">
            <v>0</v>
          </cell>
          <cell r="AO213">
            <v>0</v>
          </cell>
          <cell r="AP213">
            <v>0</v>
          </cell>
          <cell r="AX213">
            <v>0</v>
          </cell>
          <cell r="AY213">
            <v>0</v>
          </cell>
          <cell r="AZ213">
            <v>0</v>
          </cell>
          <cell r="BA213">
            <v>0</v>
          </cell>
        </row>
      </sheetData>
      <sheetData sheetId="1">
        <row r="70">
          <cell r="H70">
            <v>2241442.6561111109</v>
          </cell>
        </row>
        <row r="72">
          <cell r="H72">
            <v>126106.02499999998</v>
          </cell>
        </row>
        <row r="73">
          <cell r="H73">
            <v>73298.05</v>
          </cell>
        </row>
        <row r="74">
          <cell r="H74">
            <v>22686.474999999999</v>
          </cell>
        </row>
        <row r="75">
          <cell r="H75">
            <v>275268.54166666669</v>
          </cell>
        </row>
        <row r="77">
          <cell r="H77">
            <v>198471.625</v>
          </cell>
        </row>
        <row r="78">
          <cell r="H78">
            <v>98711.024999999994</v>
          </cell>
        </row>
        <row r="79">
          <cell r="H79">
            <v>120178.45277777777</v>
          </cell>
        </row>
        <row r="80">
          <cell r="H80">
            <v>99948.878333333356</v>
          </cell>
        </row>
        <row r="82">
          <cell r="H82">
            <v>61954.14166666667</v>
          </cell>
        </row>
        <row r="83">
          <cell r="H83">
            <v>193719.35833333337</v>
          </cell>
        </row>
        <row r="84">
          <cell r="H84">
            <v>86462.941666666666</v>
          </cell>
        </row>
        <row r="85">
          <cell r="H85">
            <v>89362.466666666674</v>
          </cell>
        </row>
        <row r="87">
          <cell r="H87">
            <v>116827.70833333333</v>
          </cell>
        </row>
        <row r="88">
          <cell r="H88">
            <v>431902.79166666669</v>
          </cell>
        </row>
        <row r="89">
          <cell r="H89">
            <v>189579.95833333331</v>
          </cell>
        </row>
        <row r="90">
          <cell r="H90">
            <v>56964.21666666666</v>
          </cell>
        </row>
        <row r="193">
          <cell r="H193">
            <v>153663.70944444445</v>
          </cell>
        </row>
        <row r="194">
          <cell r="H194" t="str">
            <v xml:space="preserve"> </v>
          </cell>
        </row>
        <row r="195">
          <cell r="H195">
            <v>3883.0333333333328</v>
          </cell>
        </row>
        <row r="196">
          <cell r="H196">
            <v>0</v>
          </cell>
        </row>
        <row r="197">
          <cell r="H197">
            <v>0</v>
          </cell>
        </row>
        <row r="198">
          <cell r="H198">
            <v>0</v>
          </cell>
        </row>
        <row r="199">
          <cell r="H199">
            <v>0</v>
          </cell>
        </row>
        <row r="200">
          <cell r="H200">
            <v>87173.848888888897</v>
          </cell>
        </row>
        <row r="201">
          <cell r="H201">
            <v>3683.1666666666665</v>
          </cell>
        </row>
        <row r="202">
          <cell r="H202">
            <v>19607.000555555554</v>
          </cell>
        </row>
        <row r="203">
          <cell r="H203">
            <v>0</v>
          </cell>
        </row>
        <row r="204">
          <cell r="H204">
            <v>0</v>
          </cell>
        </row>
        <row r="205">
          <cell r="H205">
            <v>0</v>
          </cell>
        </row>
        <row r="206">
          <cell r="H206">
            <v>0</v>
          </cell>
        </row>
        <row r="207">
          <cell r="H207">
            <v>26479.661111111109</v>
          </cell>
        </row>
        <row r="208">
          <cell r="H208">
            <v>0</v>
          </cell>
        </row>
        <row r="209">
          <cell r="H209">
            <v>0</v>
          </cell>
        </row>
        <row r="210">
          <cell r="H210">
            <v>12836.998888888886</v>
          </cell>
        </row>
        <row r="211">
          <cell r="H211">
            <v>0</v>
          </cell>
        </row>
        <row r="212">
          <cell r="H212">
            <v>0</v>
          </cell>
        </row>
        <row r="213">
          <cell r="H213">
            <v>0</v>
          </cell>
        </row>
      </sheetData>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marks" refreshedDate="40952.57948912037" createdVersion="3" refreshedVersion="3" minRefreshableVersion="3" recordCount="3387">
  <cacheSource type="worksheet">
    <worksheetSource ref="A8:AJ3395" sheet="Funding Data"/>
  </cacheSource>
  <cacheFields count="51">
    <cacheField name="state" numFmtId="0">
      <sharedItems count="16">
        <s v="AL"/>
        <s v="AR"/>
        <s v="DE"/>
        <s v="FL"/>
        <s v="GA"/>
        <s v="KY"/>
        <s v="LA"/>
        <s v="MD"/>
        <s v="MS"/>
        <s v="NC"/>
        <s v="OK"/>
        <s v="SC"/>
        <s v="TN"/>
        <s v="TX"/>
        <s v="VA"/>
        <s v="WV"/>
      </sharedItems>
    </cacheField>
    <cacheField name="group" numFmtId="0">
      <sharedItems count="47">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s v="1C4" u="1"/>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447689"/>
    </cacheField>
    <cacheField name="category" numFmtId="0">
      <sharedItems containsString="0" containsBlank="1" containsNumber="1" minValue="1" maxValue="99" count="18">
        <n v="1"/>
        <n v="2"/>
        <n v="3"/>
        <n v="4"/>
        <n v="5"/>
        <n v="6"/>
        <n v="8"/>
        <n v="9"/>
        <n v="10"/>
        <n v="12"/>
        <n v="13"/>
        <n v="15"/>
        <m/>
        <n v="7"/>
        <n v="99"/>
        <n v="14"/>
        <n v="11"/>
        <n v="13.3928571428571" u="1"/>
      </sharedItems>
      <fieldGroup par="45"/>
    </cacheField>
    <cacheField name="State Gen Purp-Old" numFmtId="0">
      <sharedItems containsBlank="1" containsMixedTypes="1" containsNumber="1" minValue="115001" maxValue="512537523"/>
    </cacheField>
    <cacheField name="State Gen Purp-New" numFmtId="0">
      <sharedItems containsBlank="1" containsMixedTypes="1" containsNumber="1" minValue="0" maxValue="563661405"/>
    </cacheField>
    <cacheField name="State Ed Spec Purp-Old" numFmtId="3">
      <sharedItems containsBlank="1" containsMixedTypes="1" containsNumber="1" minValue="0" maxValue="123592756"/>
    </cacheField>
    <cacheField name="State Ed Spec Purp-New" numFmtId="3">
      <sharedItems containsBlank="1" containsMixedTypes="1" containsNumber="1" containsInteger="1" minValue="0" maxValue="118097713"/>
    </cacheField>
    <cacheField name="Local-Old" numFmtId="3">
      <sharedItems containsString="0" containsBlank="1" containsNumber="1" minValue="6500" maxValue="171684364"/>
    </cacheField>
    <cacheField name="Local-New" numFmtId="3">
      <sharedItems containsString="0" containsBlank="1" containsNumber="1" containsInteger="1" minValue="2500" maxValue="170989124"/>
    </cacheField>
    <cacheField name="Tuition Ops-Old" numFmtId="0">
      <sharedItems containsString="0" containsBlank="1" containsNumber="1" minValue="20691" maxValue="536666128"/>
    </cacheField>
    <cacheField name="Tuition Debt-Old" numFmtId="3">
      <sharedItems containsBlank="1" containsMixedTypes="1" containsNumber="1" minValue="0" maxValue="21610043"/>
    </cacheField>
    <cacheField name="Tuition Tot-Old" numFmtId="3">
      <sharedItems containsString="0" containsBlank="1" containsNumber="1" minValue="0" maxValue="536666128"/>
    </cacheField>
    <cacheField name="Tuition Ops-New" numFmtId="0">
      <sharedItems containsString="0" containsBlank="1" containsNumber="1" minValue="0" maxValue="573259925"/>
    </cacheField>
    <cacheField name="Tuition Debt-New" numFmtId="3">
      <sharedItems containsString="0" containsBlank="1" containsNumber="1" containsInteger="1" minValue="0" maxValue="22108389"/>
    </cacheField>
    <cacheField name="Tuition Tot-New" numFmtId="3">
      <sharedItems containsString="0" containsBlank="1" containsNumber="1" minValue="0" maxValue="573259925"/>
    </cacheField>
    <cacheField name="Total E&amp;G-Old" numFmtId="3">
      <sharedItems containsString="0" containsBlank="1" containsNumber="1" minValue="0" maxValue="1051508070"/>
    </cacheField>
    <cacheField name="Total E&amp;G-New" numFmtId="3">
      <sharedItems containsString="0" containsBlank="1" containsNumber="1" minValue="0" maxValue="1139113101"/>
    </cacheField>
    <cacheField name="Other Spec Purp State-Old" numFmtId="3">
      <sharedItems containsBlank="1" containsMixedTypes="1" containsNumber="1" minValue="0" maxValue="468230043"/>
    </cacheField>
    <cacheField name="Other Spec Purp State-New" numFmtId="3">
      <sharedItems containsString="0" containsBlank="1" containsNumber="1" minValue="0" maxValue="474575353"/>
    </cacheField>
    <cacheField name="Tuition SP Ops-Old" numFmtId="3">
      <sharedItems containsString="0" containsBlank="1" containsNumber="1" minValue="1618000" maxValue="267347042"/>
    </cacheField>
    <cacheField name="Tuition SP Debt-Old" numFmtId="3">
      <sharedItems containsString="0" containsBlank="1" containsNumber="1" minValue="124200" maxValue="191055"/>
    </cacheField>
    <cacheField name="Tuition SP Tot-Old" numFmtId="3">
      <sharedItems containsString="0" containsBlank="1" containsNumber="1" minValue="0" maxValue="267347042"/>
    </cacheField>
    <cacheField name="Tuition SP Ops-New" numFmtId="3">
      <sharedItems containsString="0" containsBlank="1" containsNumber="1" containsInteger="1" minValue="1499381" maxValue="238241134"/>
    </cacheField>
    <cacheField name="Tuition SP Debt-New" numFmtId="3">
      <sharedItems containsString="0" containsBlank="1" containsNumber="1" containsInteger="1" minValue="126105" maxValue="292118"/>
    </cacheField>
    <cacheField name="Tuition SP Tot-New" numFmtId="3">
      <sharedItems containsString="0" containsBlank="1" containsNumber="1" containsInteger="1" minValue="0" maxValue="238241134"/>
    </cacheField>
    <cacheField name="Health State-Old" numFmtId="3">
      <sharedItems containsBlank="1" containsMixedTypes="1" containsNumber="1" minValue="14008" maxValue="393538266"/>
    </cacheField>
    <cacheField name="Health State-New" numFmtId="3">
      <sharedItems containsString="0" containsBlank="1" containsNumber="1" minValue="0" maxValue="266817313"/>
    </cacheField>
    <cacheField name="Health Tuition-Old" numFmtId="3">
      <sharedItems containsBlank="1" containsMixedTypes="1" containsNumber="1" minValue="957185" maxValue="101793051"/>
    </cacheField>
    <cacheField name="Health Tuition Debt - Old" numFmtId="3">
      <sharedItems containsBlank="1" containsMixedTypes="1" containsNumber="1" containsInteger="1" minValue="123300" maxValue="28520211"/>
    </cacheField>
    <cacheField name="Health Tuition-New" numFmtId="3">
      <sharedItems containsBlank="1" containsMixedTypes="1" containsNumber="1" containsInteger="1" minValue="974447" maxValue="104033790"/>
    </cacheField>
    <cacheField name="Health Tuition Debt - New" numFmtId="3">
      <sharedItems containsString="0" containsBlank="1" containsNumber="1" containsInteger="1" minValue="128400" maxValue="10656001"/>
    </cacheField>
    <cacheField name="Total Funds-Old" numFmtId="3">
      <sharedItems containsString="0" containsBlank="1" containsNumber="1" minValue="0" maxValue="1051508070"/>
    </cacheField>
    <cacheField name="Total Funds-New" numFmtId="3">
      <sharedItems containsString="0" containsBlank="1" containsNumber="1" minValue="0" maxValue="1139113101"/>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4"/>
          <x v="5"/>
          <x v="6"/>
          <x v="4"/>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pivotCacheDefinition>
</file>

<file path=xl/pivotCache/pivotCacheDefinition2.xml><?xml version="1.0" encoding="utf-8"?>
<pivotCacheDefinition xmlns="http://schemas.openxmlformats.org/spreadsheetml/2006/main" xmlns:r="http://schemas.openxmlformats.org/officeDocument/2006/relationships" r:id="rId1" refreshedBy="jmarks" refreshedDate="40952.57949340278" createdVersion="3" refreshedVersion="3" minRefreshableVersion="3" recordCount="1">
  <cacheSource type="worksheet">
    <worksheetSource ref="A8:AJ9" sheet="Funding Data"/>
  </cacheSource>
  <cacheFields count="51">
    <cacheField name="state" numFmtId="37">
      <sharedItems count="16">
        <s v="AL"/>
        <s v="MD" u="1"/>
        <s v="LA" u="1"/>
        <s v="SC" u="1"/>
        <s v="KY" u="1"/>
        <s v="TN" u="1"/>
        <s v="FL" u="1"/>
        <s v="AR" u="1"/>
        <s v="VA" u="1"/>
        <s v="TX" u="1"/>
        <s v="OK" u="1"/>
        <s v="WV" u="1"/>
        <s v="DE" u="1"/>
        <s v="MS" u="1"/>
        <s v="GA" u="1"/>
        <s v="NC" u="1"/>
      </sharedItems>
    </cacheField>
    <cacheField name="group" numFmtId="37">
      <sharedItems/>
    </cacheField>
    <cacheField name="item" numFmtId="37">
      <sharedItems/>
    </cacheField>
    <cacheField name="Classificatin Notes" numFmtId="37">
      <sharedItems containsNonDate="0" containsString="0" containsBlank="1"/>
    </cacheField>
    <cacheField name="ID #" numFmtId="49">
      <sharedItems containsSemiMixedTypes="0" containsString="0" containsNumber="1" containsInteger="1" minValue="100858" maxValue="100858"/>
    </cacheField>
    <cacheField name="category" numFmtId="37">
      <sharedItems containsSemiMixedTypes="0" containsString="0" containsNumber="1" minValue="1" maxValue="15" count="16">
        <n v="1"/>
        <n v="13" u="1"/>
        <n v="5" u="1"/>
        <n v="14" u="1"/>
        <n v="13.3928571428571" u="1"/>
        <n v="15" u="1"/>
        <n v="2" u="1"/>
        <n v="6" u="1"/>
        <n v="7" u="1"/>
        <n v="3" u="1"/>
        <n v="8" u="1"/>
        <n v="9" u="1"/>
        <n v="10" u="1"/>
        <n v="11" u="1"/>
        <n v="4" u="1"/>
        <n v="12" u="1"/>
      </sharedItems>
      <fieldGroup par="46"/>
    </cacheField>
    <cacheField name="State Gen Purp-Old" numFmtId="3">
      <sharedItems containsSemiMixedTypes="0" containsString="0" containsNumber="1" containsInteger="1" minValue="135082198" maxValue="135082198"/>
    </cacheField>
    <cacheField name="State Gen Purp-New" numFmtId="3">
      <sharedItems containsSemiMixedTypes="0" containsString="0" containsNumber="1" containsInteger="1" minValue="134303391" maxValue="134303391"/>
    </cacheField>
    <cacheField name="State Ed Spec Purp-Old" numFmtId="3">
      <sharedItems containsNonDate="0" containsString="0" containsBlank="1"/>
    </cacheField>
    <cacheField name="State Ed Spec Purp-New" numFmtId="3">
      <sharedItems containsNonDate="0" containsString="0" containsBlank="1"/>
    </cacheField>
    <cacheField name="Local-Old" numFmtId="3">
      <sharedItems containsNonDate="0" containsString="0" containsBlank="1"/>
    </cacheField>
    <cacheField name="Local-New" numFmtId="3">
      <sharedItems containsNonDate="0" containsString="0" containsBlank="1"/>
    </cacheField>
    <cacheField name="Tuition Ops-Old" numFmtId="3">
      <sharedItems containsSemiMixedTypes="0" containsString="0" containsNumber="1" containsInteger="1" minValue="270904514" maxValue="270904514"/>
    </cacheField>
    <cacheField name="Tuition Debt-Old" numFmtId="3">
      <sharedItems containsSemiMixedTypes="0" containsString="0" containsNumber="1" containsInteger="1" minValue="19900077" maxValue="19900077"/>
    </cacheField>
    <cacheField name="Tuition Tot-Old" numFmtId="3">
      <sharedItems containsSemiMixedTypes="0" containsString="0" containsNumber="1" containsInteger="1" minValue="290804591" maxValue="290804591"/>
    </cacheField>
    <cacheField name="Tuition Ops-New" numFmtId="3">
      <sharedItems containsSemiMixedTypes="0" containsString="0" containsNumber="1" containsInteger="1" minValue="265473499" maxValue="265473499"/>
    </cacheField>
    <cacheField name="Tuition Debt-New" numFmtId="3">
      <sharedItems containsSemiMixedTypes="0" containsString="0" containsNumber="1" containsInteger="1" minValue="21067835" maxValue="21067835"/>
    </cacheField>
    <cacheField name="Tuition Tot-New" numFmtId="3">
      <sharedItems containsSemiMixedTypes="0" containsString="0" containsNumber="1" containsInteger="1" minValue="286541334" maxValue="286541334"/>
    </cacheField>
    <cacheField name="Total E&amp;G-Old" numFmtId="3">
      <sharedItems containsSemiMixedTypes="0" containsString="0" containsNumber="1" containsInteger="1" minValue="405986712" maxValue="405986712"/>
    </cacheField>
    <cacheField name="Total E&amp;G-New" numFmtId="3">
      <sharedItems containsSemiMixedTypes="0" containsString="0" containsNumber="1" containsInteger="1" minValue="399776890" maxValue="399776890"/>
    </cacheField>
    <cacheField name="Other Spec Purp State-Old" numFmtId="3">
      <sharedItems containsNonDate="0" containsString="0" containsBlank="1"/>
    </cacheField>
    <cacheField name="Other Spec Purp State-New" numFmtId="3">
      <sharedItems containsNonDate="0" containsString="0" containsBlank="1"/>
    </cacheField>
    <cacheField name="Tuition SP Ops-Old" numFmtId="3">
      <sharedItems containsNonDate="0" containsString="0" containsBlank="1"/>
    </cacheField>
    <cacheField name="Tuition SP Debt-Old" numFmtId="3">
      <sharedItems containsNonDate="0" containsString="0" containsBlank="1"/>
    </cacheField>
    <cacheField name="Tuition SP Tot-Old" numFmtId="3">
      <sharedItems containsSemiMixedTypes="0" containsString="0" containsNumber="1" containsInteger="1" minValue="0" maxValue="0"/>
    </cacheField>
    <cacheField name="Tuition SP Ops-New" numFmtId="3">
      <sharedItems containsNonDate="0" containsString="0" containsBlank="1"/>
    </cacheField>
    <cacheField name="Tuition SP Debt-New" numFmtId="3">
      <sharedItems containsNonDate="0" containsString="0" containsBlank="1"/>
    </cacheField>
    <cacheField name="Tuition SP Tot-New" numFmtId="3">
      <sharedItems containsSemiMixedTypes="0" containsString="0" containsNumber="1" containsInteger="1" minValue="0" maxValue="0"/>
    </cacheField>
    <cacheField name="Health State-Old" numFmtId="3">
      <sharedItems containsNonDate="0" containsString="0" containsBlank="1"/>
    </cacheField>
    <cacheField name="Health State-New" numFmtId="3">
      <sharedItems containsNonDate="0" containsString="0" containsBlank="1"/>
    </cacheField>
    <cacheField name="Health Tuition-Old" numFmtId="3">
      <sharedItems containsNonDate="0" containsString="0" containsBlank="1"/>
    </cacheField>
    <cacheField name="Health Tuition Debt - Old" numFmtId="3">
      <sharedItems containsNonDate="0" containsString="0" containsBlank="1"/>
    </cacheField>
    <cacheField name="Health Tuition-New" numFmtId="3">
      <sharedItems containsNonDate="0" containsString="0" containsBlank="1"/>
    </cacheField>
    <cacheField name="Health Tuition Debt - New" numFmtId="3">
      <sharedItems containsNonDate="0" containsString="0" containsBlank="1"/>
    </cacheField>
    <cacheField name="Total Funds-Old" numFmtId="3">
      <sharedItems containsSemiMixedTypes="0" containsString="0" containsNumber="1" containsInteger="1" minValue="405986712" maxValue="405986712"/>
    </cacheField>
    <cacheField name="Total Funds-New" numFmtId="3">
      <sharedItems containsSemiMixedTypes="0" containsString="0" containsNumber="1" containsInteger="1" minValue="399776890" maxValue="399776890"/>
    </cacheField>
    <cacheField name="% change in health state" numFmtId="0" formula=" IF('Health State-Old'&gt;0,('Health State-New'-'Health State-Old')/'Health State-Old',)*100" databaseField="0"/>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6">
          <x v="2"/>
          <x v="4"/>
          <x v="2"/>
          <x v="4"/>
          <x v="1"/>
          <x v="0"/>
          <x v="2"/>
          <x v="2"/>
          <x v="3"/>
          <x v="2"/>
          <x v="3"/>
          <x v="3"/>
          <x v="3"/>
          <x v="3"/>
          <x v="2"/>
          <x v="4"/>
        </discretePr>
        <groupItems count="5">
          <n v="15"/>
          <n v="13.3928571428571"/>
          <s v="Group1"/>
          <s v="Group2"/>
          <s v="Group3"/>
        </groupItems>
      </fieldGroup>
    </cacheField>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pivotCacheDefinition>
</file>

<file path=xl/pivotCache/pivotCacheRecords1.xml><?xml version="1.0" encoding="utf-8"?>
<pivotCacheRecords xmlns="http://schemas.openxmlformats.org/spreadsheetml/2006/main" xmlns:r="http://schemas.openxmlformats.org/officeDocument/2006/relationships" count="3387">
  <r>
    <x v="0"/>
    <x v="0"/>
    <s v="Auburn University  "/>
    <m/>
    <n v="100858"/>
    <x v="0"/>
    <n v="135082198"/>
    <n v="134303391"/>
    <m/>
    <m/>
    <m/>
    <m/>
    <n v="270904514"/>
    <n v="19900077"/>
    <n v="290804591"/>
    <n v="265473499"/>
    <n v="21067835"/>
    <n v="286541334"/>
    <n v="405986712"/>
    <n v="399776890"/>
    <m/>
    <m/>
    <m/>
    <m/>
    <n v="0"/>
    <m/>
    <m/>
    <n v="0"/>
    <m/>
    <m/>
    <m/>
    <m/>
    <m/>
    <m/>
    <n v="405986712"/>
    <n v="399776890"/>
  </r>
  <r>
    <x v="0"/>
    <x v="1"/>
    <s v="Health Professions Education"/>
    <m/>
    <n v="100858"/>
    <x v="0"/>
    <m/>
    <m/>
    <m/>
    <m/>
    <m/>
    <m/>
    <m/>
    <m/>
    <n v="0"/>
    <m/>
    <m/>
    <n v="0"/>
    <n v="0"/>
    <n v="0"/>
    <m/>
    <m/>
    <m/>
    <m/>
    <n v="0"/>
    <m/>
    <m/>
    <n v="0"/>
    <m/>
    <m/>
    <m/>
    <m/>
    <m/>
    <m/>
    <n v="0"/>
    <n v="0"/>
  </r>
  <r>
    <x v="0"/>
    <x v="1"/>
    <s v="Veterinary School"/>
    <m/>
    <n v="100858"/>
    <x v="0"/>
    <m/>
    <m/>
    <m/>
    <m/>
    <m/>
    <m/>
    <m/>
    <m/>
    <n v="0"/>
    <m/>
    <m/>
    <n v="0"/>
    <n v="0"/>
    <n v="0"/>
    <m/>
    <m/>
    <m/>
    <m/>
    <n v="0"/>
    <m/>
    <m/>
    <n v="0"/>
    <n v="17360831"/>
    <n v="16840006"/>
    <n v="10851848"/>
    <m/>
    <n v="10000000"/>
    <m/>
    <n v="28212679"/>
    <n v="26840006"/>
  </r>
  <r>
    <x v="0"/>
    <x v="2"/>
    <s v="Education special purpose funds "/>
    <m/>
    <m/>
    <x v="0"/>
    <m/>
    <m/>
    <m/>
    <m/>
    <m/>
    <m/>
    <m/>
    <m/>
    <n v="0"/>
    <m/>
    <m/>
    <n v="0"/>
    <n v="0"/>
    <n v="0"/>
    <m/>
    <m/>
    <m/>
    <m/>
    <n v="0"/>
    <m/>
    <m/>
    <n v="0"/>
    <m/>
    <m/>
    <m/>
    <m/>
    <m/>
    <m/>
    <n v="0"/>
    <n v="0"/>
  </r>
  <r>
    <x v="0"/>
    <x v="3"/>
    <s v="Community or public service units"/>
    <m/>
    <n v="100858"/>
    <x v="0"/>
    <m/>
    <m/>
    <m/>
    <m/>
    <m/>
    <m/>
    <m/>
    <m/>
    <n v="0"/>
    <m/>
    <m/>
    <n v="0"/>
    <n v="0"/>
    <n v="0"/>
    <m/>
    <m/>
    <m/>
    <m/>
    <n v="0"/>
    <m/>
    <m/>
    <n v="0"/>
    <m/>
    <m/>
    <m/>
    <m/>
    <m/>
    <m/>
    <n v="0"/>
    <n v="0"/>
  </r>
  <r>
    <x v="0"/>
    <x v="3"/>
    <s v="Econ Res Services to St Dept of Finance"/>
    <m/>
    <n v="100858"/>
    <x v="0"/>
    <m/>
    <m/>
    <n v="107919"/>
    <n v="106995"/>
    <m/>
    <m/>
    <m/>
    <m/>
    <n v="0"/>
    <m/>
    <m/>
    <n v="0"/>
    <n v="107919"/>
    <n v="106995"/>
    <m/>
    <m/>
    <m/>
    <m/>
    <n v="0"/>
    <m/>
    <m/>
    <n v="0"/>
    <m/>
    <m/>
    <m/>
    <m/>
    <m/>
    <m/>
    <n v="107919"/>
    <n v="106995"/>
  </r>
  <r>
    <x v="0"/>
    <x v="3"/>
    <s v="Jules Collins Smith Art Museum"/>
    <m/>
    <n v="100858"/>
    <x v="0"/>
    <m/>
    <m/>
    <n v="59956"/>
    <n v="65263"/>
    <m/>
    <m/>
    <m/>
    <m/>
    <n v="0"/>
    <m/>
    <m/>
    <n v="0"/>
    <n v="59956"/>
    <n v="65263"/>
    <m/>
    <m/>
    <m/>
    <m/>
    <n v="0"/>
    <m/>
    <m/>
    <n v="0"/>
    <m/>
    <m/>
    <m/>
    <m/>
    <m/>
    <m/>
    <n v="59956"/>
    <n v="65263"/>
  </r>
  <r>
    <x v="0"/>
    <x v="3"/>
    <s v="Training for ASIMS"/>
    <m/>
    <n v="100858"/>
    <x v="0"/>
    <m/>
    <m/>
    <m/>
    <n v="135800"/>
    <m/>
    <m/>
    <m/>
    <m/>
    <n v="0"/>
    <m/>
    <m/>
    <n v="0"/>
    <n v="0"/>
    <n v="135800"/>
    <m/>
    <m/>
    <m/>
    <m/>
    <n v="0"/>
    <m/>
    <m/>
    <n v="0"/>
    <m/>
    <m/>
    <m/>
    <m/>
    <m/>
    <m/>
    <n v="0"/>
    <n v="135800"/>
  </r>
  <r>
    <x v="0"/>
    <x v="3"/>
    <s v="Special Outreach PGM"/>
    <m/>
    <n v="100858"/>
    <x v="0"/>
    <m/>
    <m/>
    <n v="90500"/>
    <n v="89725"/>
    <m/>
    <m/>
    <m/>
    <m/>
    <n v="0"/>
    <m/>
    <m/>
    <n v="0"/>
    <n v="90500"/>
    <n v="89725"/>
    <m/>
    <m/>
    <m/>
    <m/>
    <n v="0"/>
    <m/>
    <m/>
    <n v="0"/>
    <m/>
    <m/>
    <m/>
    <m/>
    <m/>
    <m/>
    <n v="90500"/>
    <n v="89725"/>
  </r>
  <r>
    <x v="0"/>
    <x v="4"/>
    <s v="Non-credit continuing education"/>
    <m/>
    <n v="100858"/>
    <x v="0"/>
    <m/>
    <m/>
    <m/>
    <m/>
    <m/>
    <m/>
    <m/>
    <m/>
    <n v="0"/>
    <m/>
    <m/>
    <n v="0"/>
    <n v="0"/>
    <n v="0"/>
    <m/>
    <m/>
    <m/>
    <m/>
    <n v="0"/>
    <m/>
    <m/>
    <n v="0"/>
    <m/>
    <m/>
    <m/>
    <m/>
    <m/>
    <m/>
    <n v="0"/>
    <n v="0"/>
  </r>
  <r>
    <x v="0"/>
    <x v="4"/>
    <s v="Teacher In-service Center"/>
    <m/>
    <n v="100858"/>
    <x v="0"/>
    <m/>
    <m/>
    <n v="239879"/>
    <n v="232683"/>
    <m/>
    <m/>
    <m/>
    <m/>
    <n v="0"/>
    <m/>
    <m/>
    <n v="0"/>
    <n v="239879"/>
    <n v="232683"/>
    <m/>
    <m/>
    <m/>
    <m/>
    <n v="0"/>
    <m/>
    <m/>
    <n v="0"/>
    <m/>
    <m/>
    <m/>
    <m/>
    <m/>
    <m/>
    <n v="239879"/>
    <n v="232683"/>
  </r>
  <r>
    <x v="0"/>
    <x v="5"/>
    <s v="Agricultural cooperative extension"/>
    <m/>
    <n v="100858"/>
    <x v="0"/>
    <m/>
    <m/>
    <n v="31108190"/>
    <n v="31084294"/>
    <m/>
    <m/>
    <m/>
    <m/>
    <n v="0"/>
    <m/>
    <m/>
    <n v="0"/>
    <n v="31108190"/>
    <n v="31084294"/>
    <m/>
    <m/>
    <m/>
    <m/>
    <n v="0"/>
    <m/>
    <m/>
    <n v="0"/>
    <m/>
    <m/>
    <m/>
    <m/>
    <m/>
    <m/>
    <n v="31108190"/>
    <n v="31084294"/>
  </r>
  <r>
    <x v="0"/>
    <x v="6"/>
    <s v="Agricultural experiment stations"/>
    <m/>
    <n v="100858"/>
    <x v="0"/>
    <m/>
    <m/>
    <n v="29320262"/>
    <n v="30039177"/>
    <m/>
    <m/>
    <m/>
    <m/>
    <n v="0"/>
    <m/>
    <m/>
    <n v="0"/>
    <n v="29320262"/>
    <n v="30039177"/>
    <m/>
    <m/>
    <m/>
    <m/>
    <n v="0"/>
    <m/>
    <m/>
    <n v="0"/>
    <m/>
    <m/>
    <m/>
    <m/>
    <m/>
    <m/>
    <n v="29320262"/>
    <n v="30039177"/>
  </r>
  <r>
    <x v="0"/>
    <x v="7"/>
    <s v="Research centers/institutes"/>
    <m/>
    <n v="100858"/>
    <x v="0"/>
    <m/>
    <m/>
    <m/>
    <m/>
    <m/>
    <m/>
    <m/>
    <m/>
    <n v="0"/>
    <m/>
    <m/>
    <n v="0"/>
    <n v="0"/>
    <n v="0"/>
    <m/>
    <m/>
    <m/>
    <m/>
    <n v="0"/>
    <m/>
    <m/>
    <n v="0"/>
    <m/>
    <m/>
    <m/>
    <m/>
    <m/>
    <m/>
    <n v="0"/>
    <n v="0"/>
  </r>
  <r>
    <x v="0"/>
    <x v="0"/>
    <s v="University of Alabama "/>
    <m/>
    <n v="100751"/>
    <x v="0"/>
    <n v="130327880"/>
    <n v="128573083"/>
    <m/>
    <m/>
    <m/>
    <m/>
    <n v="333128490"/>
    <n v="3029139"/>
    <n v="336157629"/>
    <n v="335382840"/>
    <n v="3029139"/>
    <n v="338411979"/>
    <n v="463456370"/>
    <n v="463955923"/>
    <m/>
    <m/>
    <m/>
    <m/>
    <n v="0"/>
    <m/>
    <m/>
    <n v="0"/>
    <m/>
    <m/>
    <m/>
    <m/>
    <m/>
    <m/>
    <n v="463456370"/>
    <n v="463955923"/>
  </r>
  <r>
    <x v="0"/>
    <x v="1"/>
    <s v="Health Center"/>
    <m/>
    <n v="100751"/>
    <x v="0"/>
    <m/>
    <m/>
    <m/>
    <m/>
    <m/>
    <m/>
    <m/>
    <m/>
    <n v="0"/>
    <m/>
    <m/>
    <n v="0"/>
    <n v="0"/>
    <n v="0"/>
    <m/>
    <m/>
    <m/>
    <m/>
    <n v="0"/>
    <m/>
    <m/>
    <n v="0"/>
    <n v="7853227"/>
    <n v="8424705"/>
    <n v="1466158"/>
    <m/>
    <n v="1680225"/>
    <m/>
    <n v="9319385"/>
    <n v="10104930"/>
  </r>
  <r>
    <x v="0"/>
    <x v="3"/>
    <s v="Community or public service units"/>
    <m/>
    <n v="100751"/>
    <x v="0"/>
    <m/>
    <m/>
    <m/>
    <m/>
    <m/>
    <m/>
    <m/>
    <m/>
    <n v="0"/>
    <m/>
    <m/>
    <n v="0"/>
    <n v="0"/>
    <n v="0"/>
    <m/>
    <m/>
    <m/>
    <m/>
    <n v="0"/>
    <m/>
    <m/>
    <n v="0"/>
    <m/>
    <m/>
    <m/>
    <m/>
    <m/>
    <m/>
    <n v="0"/>
    <n v="0"/>
  </r>
  <r>
    <x v="0"/>
    <x v="3"/>
    <s v="AL Center for Civic Life"/>
    <m/>
    <n v="100751"/>
    <x v="0"/>
    <m/>
    <m/>
    <n v="199855"/>
    <n v="198143"/>
    <m/>
    <m/>
    <m/>
    <m/>
    <n v="0"/>
    <m/>
    <m/>
    <n v="0"/>
    <n v="199855"/>
    <n v="198143"/>
    <m/>
    <m/>
    <m/>
    <m/>
    <n v="0"/>
    <m/>
    <m/>
    <n v="0"/>
    <m/>
    <m/>
    <m/>
    <m/>
    <m/>
    <m/>
    <n v="199855"/>
    <n v="198143"/>
  </r>
  <r>
    <x v="0"/>
    <x v="3"/>
    <s v="Special Outreach PGM"/>
    <m/>
    <n v="100751"/>
    <x v="0"/>
    <m/>
    <m/>
    <n v="159884"/>
    <n v="231264"/>
    <m/>
    <m/>
    <m/>
    <m/>
    <n v="0"/>
    <m/>
    <m/>
    <n v="0"/>
    <n v="159884"/>
    <n v="231264"/>
    <m/>
    <m/>
    <m/>
    <m/>
    <n v="0"/>
    <m/>
    <m/>
    <n v="0"/>
    <m/>
    <m/>
    <m/>
    <m/>
    <m/>
    <m/>
    <n v="159884"/>
    <n v="231264"/>
  </r>
  <r>
    <x v="0"/>
    <x v="4"/>
    <s v="Non-credit continuing education"/>
    <m/>
    <n v="100751"/>
    <x v="0"/>
    <m/>
    <m/>
    <m/>
    <m/>
    <m/>
    <m/>
    <m/>
    <m/>
    <n v="0"/>
    <m/>
    <m/>
    <n v="0"/>
    <n v="0"/>
    <n v="0"/>
    <m/>
    <m/>
    <m/>
    <m/>
    <n v="0"/>
    <m/>
    <m/>
    <n v="0"/>
    <m/>
    <m/>
    <m/>
    <m/>
    <m/>
    <m/>
    <n v="0"/>
    <n v="0"/>
  </r>
  <r>
    <x v="0"/>
    <x v="4"/>
    <s v="Teacher In-service Center"/>
    <m/>
    <n v="100751"/>
    <x v="0"/>
    <m/>
    <m/>
    <n v="218678"/>
    <n v="212118"/>
    <m/>
    <m/>
    <m/>
    <m/>
    <n v="0"/>
    <m/>
    <m/>
    <n v="0"/>
    <n v="218678"/>
    <n v="212118"/>
    <m/>
    <m/>
    <m/>
    <m/>
    <n v="0"/>
    <m/>
    <m/>
    <n v="0"/>
    <m/>
    <m/>
    <m/>
    <m/>
    <m/>
    <m/>
    <n v="218678"/>
    <n v="212118"/>
  </r>
  <r>
    <x v="0"/>
    <x v="0"/>
    <s v="University of Alabama at Birmingham"/>
    <s v="Met the criteria for Four-Year 2 in 2010-11."/>
    <n v="100663"/>
    <x v="0"/>
    <n v="42198570"/>
    <n v="40743558"/>
    <m/>
    <m/>
    <m/>
    <m/>
    <n v="81648796"/>
    <m/>
    <n v="81648796"/>
    <n v="86954810"/>
    <m/>
    <n v="86954810"/>
    <n v="123847366"/>
    <n v="127698368"/>
    <m/>
    <m/>
    <m/>
    <m/>
    <n v="0"/>
    <m/>
    <m/>
    <n v="0"/>
    <m/>
    <m/>
    <m/>
    <m/>
    <m/>
    <m/>
    <n v="123847366"/>
    <n v="127698368"/>
  </r>
  <r>
    <x v="0"/>
    <x v="1"/>
    <s v="Health Professions Education"/>
    <m/>
    <n v="100663"/>
    <x v="0"/>
    <m/>
    <m/>
    <m/>
    <m/>
    <m/>
    <m/>
    <m/>
    <m/>
    <n v="0"/>
    <m/>
    <m/>
    <n v="0"/>
    <n v="0"/>
    <n v="0"/>
    <m/>
    <m/>
    <m/>
    <m/>
    <n v="0"/>
    <m/>
    <m/>
    <n v="0"/>
    <m/>
    <m/>
    <m/>
    <m/>
    <m/>
    <m/>
    <n v="0"/>
    <n v="0"/>
  </r>
  <r>
    <x v="0"/>
    <x v="1"/>
    <s v="Medical Center"/>
    <m/>
    <n v="100663"/>
    <x v="0"/>
    <m/>
    <m/>
    <m/>
    <m/>
    <m/>
    <m/>
    <m/>
    <m/>
    <n v="0"/>
    <m/>
    <m/>
    <n v="0"/>
    <n v="0"/>
    <n v="0"/>
    <m/>
    <m/>
    <m/>
    <m/>
    <n v="0"/>
    <m/>
    <m/>
    <n v="0"/>
    <n v="209565621"/>
    <n v="208990741"/>
    <n v="57792385"/>
    <m/>
    <n v="60905453"/>
    <m/>
    <n v="267358006"/>
    <n v="269896194"/>
  </r>
  <r>
    <x v="0"/>
    <x v="1"/>
    <s v="Chauncey-Sparks Mental Health Center"/>
    <m/>
    <n v="100663"/>
    <x v="0"/>
    <m/>
    <m/>
    <m/>
    <m/>
    <m/>
    <m/>
    <m/>
    <m/>
    <n v="0"/>
    <m/>
    <m/>
    <n v="0"/>
    <n v="0"/>
    <n v="0"/>
    <m/>
    <m/>
    <m/>
    <m/>
    <n v="0"/>
    <m/>
    <m/>
    <n v="0"/>
    <n v="3436404"/>
    <n v="3406977"/>
    <m/>
    <m/>
    <m/>
    <m/>
    <n v="3436404"/>
    <n v="3406977"/>
  </r>
  <r>
    <x v="0"/>
    <x v="1"/>
    <s v="James Cystic Fibrosis Ctr"/>
    <m/>
    <n v="100663"/>
    <x v="0"/>
    <m/>
    <m/>
    <m/>
    <m/>
    <m/>
    <m/>
    <m/>
    <m/>
    <n v="0"/>
    <m/>
    <m/>
    <n v="0"/>
    <n v="0"/>
    <n v="0"/>
    <m/>
    <m/>
    <m/>
    <m/>
    <n v="0"/>
    <m/>
    <m/>
    <n v="0"/>
    <n v="119913"/>
    <n v="118886"/>
    <m/>
    <m/>
    <m/>
    <m/>
    <n v="119913"/>
    <n v="118886"/>
  </r>
  <r>
    <x v="0"/>
    <x v="1"/>
    <s v="Diabetes Res Ctr"/>
    <m/>
    <n v="100663"/>
    <x v="0"/>
    <m/>
    <m/>
    <m/>
    <m/>
    <m/>
    <m/>
    <m/>
    <m/>
    <n v="0"/>
    <m/>
    <m/>
    <n v="0"/>
    <n v="0"/>
    <n v="0"/>
    <m/>
    <m/>
    <m/>
    <m/>
    <n v="0"/>
    <m/>
    <m/>
    <n v="0"/>
    <n v="226250"/>
    <n v="242500"/>
    <m/>
    <m/>
    <m/>
    <m/>
    <n v="226250"/>
    <n v="242500"/>
  </r>
  <r>
    <x v="0"/>
    <x v="3"/>
    <s v="Community or public service units"/>
    <m/>
    <n v="100663"/>
    <x v="0"/>
    <m/>
    <m/>
    <m/>
    <m/>
    <m/>
    <m/>
    <m/>
    <m/>
    <n v="0"/>
    <m/>
    <m/>
    <n v="0"/>
    <n v="0"/>
    <n v="0"/>
    <m/>
    <m/>
    <m/>
    <m/>
    <n v="0"/>
    <m/>
    <m/>
    <n v="0"/>
    <m/>
    <m/>
    <m/>
    <m/>
    <m/>
    <m/>
    <n v="0"/>
    <n v="0"/>
  </r>
  <r>
    <x v="0"/>
    <x v="3"/>
    <s v="Minority Bus Training Econ Dev Pgm"/>
    <m/>
    <n v="100663"/>
    <x v="0"/>
    <m/>
    <m/>
    <n v="399710"/>
    <n v="396287"/>
    <m/>
    <m/>
    <m/>
    <m/>
    <n v="0"/>
    <m/>
    <m/>
    <n v="0"/>
    <n v="399710"/>
    <n v="396287"/>
    <m/>
    <m/>
    <m/>
    <m/>
    <n v="0"/>
    <m/>
    <m/>
    <n v="0"/>
    <m/>
    <m/>
    <m/>
    <m/>
    <m/>
    <m/>
    <n v="399710"/>
    <n v="396287"/>
  </r>
  <r>
    <x v="0"/>
    <x v="3"/>
    <s v="High School Athletic Training Pgm"/>
    <m/>
    <n v="100663"/>
    <x v="0"/>
    <m/>
    <m/>
    <n v="139899"/>
    <n v="138700"/>
    <m/>
    <m/>
    <m/>
    <m/>
    <n v="0"/>
    <m/>
    <m/>
    <n v="0"/>
    <n v="139899"/>
    <n v="138700"/>
    <m/>
    <m/>
    <m/>
    <m/>
    <n v="0"/>
    <m/>
    <m/>
    <n v="0"/>
    <m/>
    <m/>
    <m/>
    <m/>
    <m/>
    <m/>
    <n v="139899"/>
    <n v="138700"/>
  </r>
  <r>
    <x v="0"/>
    <x v="3"/>
    <s v="Center for Labor Ed &amp; Res"/>
    <m/>
    <n v="100663"/>
    <x v="0"/>
    <m/>
    <m/>
    <m/>
    <m/>
    <m/>
    <m/>
    <m/>
    <m/>
    <n v="0"/>
    <m/>
    <m/>
    <n v="0"/>
    <n v="0"/>
    <n v="0"/>
    <m/>
    <m/>
    <m/>
    <m/>
    <n v="0"/>
    <m/>
    <m/>
    <n v="0"/>
    <m/>
    <m/>
    <m/>
    <m/>
    <m/>
    <m/>
    <n v="0"/>
    <n v="0"/>
  </r>
  <r>
    <x v="0"/>
    <x v="4"/>
    <s v="Non-credit continuing education"/>
    <m/>
    <n v="100663"/>
    <x v="0"/>
    <m/>
    <m/>
    <m/>
    <m/>
    <m/>
    <m/>
    <m/>
    <m/>
    <n v="0"/>
    <m/>
    <m/>
    <n v="0"/>
    <n v="0"/>
    <n v="0"/>
    <m/>
    <m/>
    <m/>
    <m/>
    <n v="0"/>
    <m/>
    <m/>
    <n v="0"/>
    <m/>
    <m/>
    <m/>
    <m/>
    <m/>
    <m/>
    <n v="0"/>
    <n v="0"/>
  </r>
  <r>
    <x v="0"/>
    <x v="4"/>
    <s v="Teacher In-service Center"/>
    <m/>
    <n v="100663"/>
    <x v="0"/>
    <m/>
    <m/>
    <n v="302690"/>
    <n v="293609"/>
    <m/>
    <m/>
    <m/>
    <m/>
    <n v="0"/>
    <m/>
    <m/>
    <n v="0"/>
    <n v="302690"/>
    <n v="293609"/>
    <m/>
    <m/>
    <m/>
    <m/>
    <n v="0"/>
    <m/>
    <m/>
    <n v="0"/>
    <m/>
    <m/>
    <m/>
    <m/>
    <m/>
    <m/>
    <n v="302690"/>
    <n v="293609"/>
  </r>
  <r>
    <x v="0"/>
    <x v="0"/>
    <s v="University of Alabama in Huntsville"/>
    <s v="Met the criteria for Four-Year 3 in 2010-11."/>
    <n v="100706"/>
    <x v="1"/>
    <n v="43072625"/>
    <n v="42614046"/>
    <m/>
    <m/>
    <m/>
    <m/>
    <n v="57539507"/>
    <m/>
    <n v="57539507"/>
    <n v="59821000"/>
    <n v="360000"/>
    <n v="60181000"/>
    <n v="100612132"/>
    <n v="102435046"/>
    <m/>
    <m/>
    <m/>
    <m/>
    <n v="0"/>
    <m/>
    <m/>
    <n v="0"/>
    <m/>
    <m/>
    <m/>
    <m/>
    <m/>
    <m/>
    <n v="100612132"/>
    <n v="102435046"/>
  </r>
  <r>
    <x v="0"/>
    <x v="3"/>
    <s v="Community or public service units"/>
    <m/>
    <n v="100706"/>
    <x v="1"/>
    <m/>
    <m/>
    <m/>
    <m/>
    <m/>
    <m/>
    <m/>
    <m/>
    <n v="0"/>
    <m/>
    <m/>
    <n v="0"/>
    <n v="0"/>
    <n v="0"/>
    <m/>
    <m/>
    <m/>
    <m/>
    <n v="0"/>
    <m/>
    <m/>
    <n v="0"/>
    <m/>
    <m/>
    <m/>
    <m/>
    <m/>
    <m/>
    <n v="0"/>
    <n v="0"/>
  </r>
  <r>
    <x v="0"/>
    <x v="3"/>
    <s v="Climatology Prg"/>
    <m/>
    <n v="100706"/>
    <x v="1"/>
    <m/>
    <m/>
    <m/>
    <n v="89725"/>
    <m/>
    <m/>
    <m/>
    <m/>
    <n v="0"/>
    <m/>
    <m/>
    <n v="0"/>
    <n v="0"/>
    <n v="89725"/>
    <m/>
    <m/>
    <m/>
    <m/>
    <n v="0"/>
    <m/>
    <m/>
    <n v="0"/>
    <m/>
    <m/>
    <m/>
    <m/>
    <m/>
    <m/>
    <n v="0"/>
    <n v="89725"/>
  </r>
  <r>
    <x v="0"/>
    <x v="0"/>
    <s v="Alabama Agricultural &amp; Mechanical University"/>
    <m/>
    <n v="100654"/>
    <x v="2"/>
    <n v="30819589"/>
    <n v="30555664"/>
    <m/>
    <m/>
    <m/>
    <m/>
    <n v="39213023"/>
    <n v="624911"/>
    <n v="39837934"/>
    <n v="45859935"/>
    <n v="646491"/>
    <n v="46506426"/>
    <n v="70032612"/>
    <n v="76415599"/>
    <m/>
    <m/>
    <m/>
    <m/>
    <n v="0"/>
    <m/>
    <m/>
    <n v="0"/>
    <m/>
    <m/>
    <m/>
    <m/>
    <m/>
    <m/>
    <n v="70032612"/>
    <n v="76415599"/>
  </r>
  <r>
    <x v="0"/>
    <x v="3"/>
    <s v="Community or public service units"/>
    <m/>
    <n v="100654"/>
    <x v="0"/>
    <m/>
    <m/>
    <m/>
    <m/>
    <m/>
    <m/>
    <m/>
    <m/>
    <n v="0"/>
    <m/>
    <m/>
    <n v="0"/>
    <n v="0"/>
    <n v="0"/>
    <m/>
    <m/>
    <m/>
    <m/>
    <n v="0"/>
    <m/>
    <m/>
    <n v="0"/>
    <m/>
    <m/>
    <m/>
    <m/>
    <m/>
    <m/>
    <n v="0"/>
    <n v="0"/>
  </r>
  <r>
    <x v="0"/>
    <x v="3"/>
    <s v="Black Archives Museum"/>
    <m/>
    <n v="100654"/>
    <x v="2"/>
    <m/>
    <m/>
    <n v="39971"/>
    <n v="39628"/>
    <m/>
    <m/>
    <m/>
    <m/>
    <n v="0"/>
    <m/>
    <m/>
    <n v="0"/>
    <n v="39971"/>
    <n v="39628"/>
    <m/>
    <m/>
    <m/>
    <m/>
    <n v="0"/>
    <m/>
    <m/>
    <n v="0"/>
    <m/>
    <m/>
    <m/>
    <m/>
    <m/>
    <m/>
    <n v="39971"/>
    <n v="39628"/>
  </r>
  <r>
    <x v="0"/>
    <x v="4"/>
    <s v="Non-credit continuing education"/>
    <m/>
    <n v="100654"/>
    <x v="2"/>
    <m/>
    <m/>
    <m/>
    <m/>
    <m/>
    <m/>
    <m/>
    <m/>
    <n v="0"/>
    <m/>
    <m/>
    <n v="0"/>
    <n v="0"/>
    <n v="0"/>
    <m/>
    <m/>
    <m/>
    <m/>
    <n v="0"/>
    <m/>
    <m/>
    <n v="0"/>
    <m/>
    <m/>
    <m/>
    <m/>
    <m/>
    <m/>
    <n v="0"/>
    <n v="0"/>
  </r>
  <r>
    <x v="0"/>
    <x v="4"/>
    <s v="Teacher In-service Center"/>
    <m/>
    <n v="100654"/>
    <x v="2"/>
    <m/>
    <m/>
    <n v="275872"/>
    <n v="267596"/>
    <m/>
    <m/>
    <m/>
    <m/>
    <n v="0"/>
    <m/>
    <m/>
    <n v="0"/>
    <n v="275872"/>
    <n v="267596"/>
    <m/>
    <m/>
    <m/>
    <m/>
    <n v="0"/>
    <m/>
    <m/>
    <n v="0"/>
    <m/>
    <m/>
    <m/>
    <m/>
    <m/>
    <m/>
    <n v="275872"/>
    <n v="267596"/>
  </r>
  <r>
    <x v="0"/>
    <x v="5"/>
    <s v="Agricultural"/>
    <m/>
    <n v="100654"/>
    <x v="2"/>
    <m/>
    <m/>
    <n v="5022401"/>
    <n v="5427434"/>
    <m/>
    <m/>
    <m/>
    <m/>
    <n v="0"/>
    <m/>
    <m/>
    <n v="0"/>
    <n v="5022401"/>
    <n v="5427434"/>
    <m/>
    <m/>
    <m/>
    <m/>
    <n v="0"/>
    <m/>
    <m/>
    <n v="0"/>
    <m/>
    <m/>
    <m/>
    <m/>
    <m/>
    <m/>
    <n v="5022401"/>
    <n v="5427434"/>
  </r>
  <r>
    <x v="0"/>
    <x v="5"/>
    <s v="AL Agricultural LG Alliance"/>
    <m/>
    <n v="100654"/>
    <x v="2"/>
    <m/>
    <m/>
    <n v="1779430"/>
    <n v="2225000"/>
    <m/>
    <m/>
    <m/>
    <m/>
    <n v="0"/>
    <m/>
    <m/>
    <n v="0"/>
    <n v="1779430"/>
    <n v="2225000"/>
    <m/>
    <m/>
    <m/>
    <m/>
    <n v="0"/>
    <m/>
    <m/>
    <n v="0"/>
    <m/>
    <m/>
    <m/>
    <m/>
    <m/>
    <m/>
    <n v="1779430"/>
    <n v="2225000"/>
  </r>
  <r>
    <x v="0"/>
    <x v="0"/>
    <s v="Jacksonville State University "/>
    <m/>
    <n v="101480"/>
    <x v="2"/>
    <n v="33976506"/>
    <n v="34025046"/>
    <m/>
    <m/>
    <m/>
    <m/>
    <n v="46840161"/>
    <n v="4793591"/>
    <n v="51633752"/>
    <n v="51185302"/>
    <n v="4907371"/>
    <n v="56092673"/>
    <n v="80816667"/>
    <n v="85210348"/>
    <m/>
    <m/>
    <m/>
    <m/>
    <n v="0"/>
    <m/>
    <m/>
    <n v="0"/>
    <m/>
    <m/>
    <m/>
    <m/>
    <m/>
    <m/>
    <n v="80816667"/>
    <n v="85210348"/>
  </r>
  <r>
    <x v="0"/>
    <x v="3"/>
    <s v="Community or public service units"/>
    <m/>
    <n v="101480"/>
    <x v="2"/>
    <m/>
    <m/>
    <m/>
    <m/>
    <m/>
    <m/>
    <m/>
    <m/>
    <n v="0"/>
    <m/>
    <m/>
    <n v="0"/>
    <n v="0"/>
    <n v="0"/>
    <m/>
    <m/>
    <m/>
    <m/>
    <n v="0"/>
    <m/>
    <m/>
    <n v="0"/>
    <m/>
    <m/>
    <m/>
    <m/>
    <m/>
    <m/>
    <n v="0"/>
    <n v="0"/>
  </r>
  <r>
    <x v="0"/>
    <x v="3"/>
    <s v="AL Small Business Institute of Commerce"/>
    <m/>
    <n v="101480"/>
    <x v="2"/>
    <m/>
    <m/>
    <n v="1199110"/>
    <n v="1285841"/>
    <m/>
    <m/>
    <m/>
    <m/>
    <n v="0"/>
    <m/>
    <m/>
    <n v="0"/>
    <n v="1199110"/>
    <n v="1285841"/>
    <m/>
    <m/>
    <m/>
    <m/>
    <n v="0"/>
    <m/>
    <m/>
    <n v="0"/>
    <m/>
    <m/>
    <m/>
    <m/>
    <m/>
    <m/>
    <n v="1199110"/>
    <n v="1285841"/>
  </r>
  <r>
    <x v="0"/>
    <x v="3"/>
    <s v="Wellness Intiaitive"/>
    <m/>
    <n v="101480"/>
    <x v="2"/>
    <m/>
    <m/>
    <n v="199851"/>
    <n v="198140"/>
    <m/>
    <m/>
    <m/>
    <m/>
    <n v="0"/>
    <m/>
    <m/>
    <n v="0"/>
    <n v="199851"/>
    <n v="198140"/>
    <m/>
    <m/>
    <m/>
    <m/>
    <n v="0"/>
    <m/>
    <m/>
    <n v="0"/>
    <m/>
    <m/>
    <m/>
    <m/>
    <m/>
    <m/>
    <n v="199851"/>
    <n v="198140"/>
  </r>
  <r>
    <x v="0"/>
    <x v="3"/>
    <s v="Little River Canyon Field School"/>
    <m/>
    <n v="101480"/>
    <x v="2"/>
    <m/>
    <m/>
    <n v="199855"/>
    <n v="198143"/>
    <m/>
    <m/>
    <m/>
    <m/>
    <n v="0"/>
    <m/>
    <m/>
    <n v="0"/>
    <n v="199855"/>
    <n v="198143"/>
    <m/>
    <m/>
    <m/>
    <m/>
    <n v="0"/>
    <m/>
    <m/>
    <n v="0"/>
    <m/>
    <m/>
    <m/>
    <m/>
    <m/>
    <m/>
    <n v="199855"/>
    <n v="198143"/>
  </r>
  <r>
    <x v="0"/>
    <x v="3"/>
    <s v="AL Film Initiative"/>
    <m/>
    <n v="101480"/>
    <x v="2"/>
    <m/>
    <m/>
    <n v="452500"/>
    <n v="448625"/>
    <m/>
    <m/>
    <m/>
    <m/>
    <n v="0"/>
    <m/>
    <m/>
    <n v="0"/>
    <n v="452500"/>
    <n v="448625"/>
    <m/>
    <m/>
    <m/>
    <m/>
    <n v="0"/>
    <m/>
    <m/>
    <n v="0"/>
    <m/>
    <m/>
    <m/>
    <m/>
    <m/>
    <m/>
    <n v="452500"/>
    <n v="448625"/>
  </r>
  <r>
    <x v="0"/>
    <x v="4"/>
    <s v="Non-credit continuing education"/>
    <m/>
    <n v="101480"/>
    <x v="2"/>
    <m/>
    <m/>
    <m/>
    <m/>
    <m/>
    <m/>
    <m/>
    <m/>
    <n v="0"/>
    <m/>
    <m/>
    <n v="0"/>
    <n v="0"/>
    <n v="0"/>
    <m/>
    <m/>
    <m/>
    <m/>
    <n v="0"/>
    <m/>
    <m/>
    <n v="0"/>
    <m/>
    <m/>
    <m/>
    <m/>
    <m/>
    <m/>
    <n v="0"/>
    <n v="0"/>
  </r>
  <r>
    <x v="0"/>
    <x v="4"/>
    <s v="Teacher In-service Center"/>
    <m/>
    <n v="101480"/>
    <x v="2"/>
    <m/>
    <m/>
    <n v="234907"/>
    <n v="227860"/>
    <m/>
    <m/>
    <m/>
    <m/>
    <n v="0"/>
    <m/>
    <m/>
    <n v="0"/>
    <n v="234907"/>
    <n v="227860"/>
    <m/>
    <m/>
    <m/>
    <m/>
    <n v="0"/>
    <m/>
    <m/>
    <n v="0"/>
    <m/>
    <m/>
    <m/>
    <m/>
    <m/>
    <m/>
    <n v="234907"/>
    <n v="227860"/>
  </r>
  <r>
    <x v="0"/>
    <x v="0"/>
    <s v="University of South Alabama"/>
    <m/>
    <n v="102094"/>
    <x v="2"/>
    <n v="29994036"/>
    <n v="29042711"/>
    <m/>
    <m/>
    <m/>
    <m/>
    <n v="45564018"/>
    <n v="10841129"/>
    <n v="56405147"/>
    <n v="47175760"/>
    <n v="11224614"/>
    <n v="58400374"/>
    <n v="75558054"/>
    <n v="76218471"/>
    <m/>
    <m/>
    <m/>
    <m/>
    <n v="0"/>
    <m/>
    <m/>
    <n v="0"/>
    <m/>
    <m/>
    <m/>
    <m/>
    <m/>
    <m/>
    <n v="75558054"/>
    <n v="76218471"/>
  </r>
  <r>
    <x v="0"/>
    <x v="1"/>
    <s v="Health Professions Education"/>
    <m/>
    <n v="102094"/>
    <x v="2"/>
    <m/>
    <m/>
    <m/>
    <m/>
    <m/>
    <m/>
    <m/>
    <m/>
    <n v="0"/>
    <m/>
    <m/>
    <n v="0"/>
    <n v="0"/>
    <n v="0"/>
    <m/>
    <m/>
    <m/>
    <m/>
    <n v="0"/>
    <m/>
    <m/>
    <n v="0"/>
    <m/>
    <m/>
    <m/>
    <m/>
    <m/>
    <m/>
    <n v="0"/>
    <n v="0"/>
  </r>
  <r>
    <x v="0"/>
    <x v="1"/>
    <s v="Medical Center"/>
    <m/>
    <n v="102094"/>
    <x v="2"/>
    <m/>
    <m/>
    <m/>
    <m/>
    <m/>
    <m/>
    <m/>
    <m/>
    <n v="0"/>
    <m/>
    <m/>
    <n v="0"/>
    <n v="0"/>
    <n v="0"/>
    <m/>
    <m/>
    <m/>
    <m/>
    <n v="0"/>
    <m/>
    <m/>
    <n v="0"/>
    <n v="67865555"/>
    <n v="67906106"/>
    <n v="31963825"/>
    <m/>
    <n v="33094485"/>
    <m/>
    <n v="99829380"/>
    <n v="101000591"/>
  </r>
  <r>
    <x v="0"/>
    <x v="4"/>
    <s v="Non-credit continuing education"/>
    <m/>
    <n v="102094"/>
    <x v="2"/>
    <m/>
    <m/>
    <m/>
    <m/>
    <m/>
    <m/>
    <m/>
    <m/>
    <n v="0"/>
    <m/>
    <m/>
    <n v="0"/>
    <n v="0"/>
    <n v="0"/>
    <m/>
    <m/>
    <m/>
    <m/>
    <n v="0"/>
    <m/>
    <m/>
    <n v="0"/>
    <m/>
    <m/>
    <m/>
    <m/>
    <m/>
    <m/>
    <n v="0"/>
    <n v="0"/>
  </r>
  <r>
    <x v="0"/>
    <x v="4"/>
    <s v="Teacher In-service Center"/>
    <m/>
    <n v="102094"/>
    <x v="2"/>
    <m/>
    <m/>
    <n v="324626"/>
    <n v="314887"/>
    <m/>
    <m/>
    <m/>
    <m/>
    <n v="0"/>
    <m/>
    <m/>
    <n v="0"/>
    <n v="324626"/>
    <n v="314887"/>
    <m/>
    <m/>
    <m/>
    <m/>
    <n v="0"/>
    <m/>
    <m/>
    <n v="0"/>
    <m/>
    <m/>
    <m/>
    <m/>
    <m/>
    <m/>
    <n v="324626"/>
    <n v="314887"/>
  </r>
  <r>
    <x v="0"/>
    <x v="0"/>
    <s v="Troy University"/>
    <m/>
    <n v="102368"/>
    <x v="2"/>
    <n v="44071694"/>
    <n v="43700106"/>
    <m/>
    <m/>
    <m/>
    <m/>
    <n v="63053557"/>
    <n v="10772172"/>
    <n v="73825729"/>
    <n v="68681278"/>
    <n v="12167924"/>
    <n v="80849202"/>
    <n v="107125251"/>
    <n v="112381384"/>
    <m/>
    <m/>
    <m/>
    <m/>
    <n v="0"/>
    <m/>
    <m/>
    <n v="0"/>
    <m/>
    <m/>
    <m/>
    <m/>
    <m/>
    <m/>
    <n v="107125251"/>
    <n v="112381384"/>
  </r>
  <r>
    <x v="0"/>
    <x v="3"/>
    <s v="Community or public service units"/>
    <m/>
    <n v="102368"/>
    <x v="2"/>
    <m/>
    <m/>
    <m/>
    <m/>
    <m/>
    <m/>
    <m/>
    <m/>
    <n v="0"/>
    <m/>
    <m/>
    <n v="0"/>
    <n v="0"/>
    <n v="0"/>
    <m/>
    <m/>
    <m/>
    <m/>
    <n v="0"/>
    <m/>
    <m/>
    <n v="0"/>
    <m/>
    <m/>
    <m/>
    <m/>
    <m/>
    <m/>
    <n v="0"/>
    <n v="0"/>
  </r>
  <r>
    <x v="0"/>
    <x v="3"/>
    <s v="Ctr for International Bus &amp; Econ Development"/>
    <m/>
    <n v="102368"/>
    <x v="2"/>
    <m/>
    <m/>
    <n v="39970"/>
    <n v="39628"/>
    <m/>
    <m/>
    <m/>
    <m/>
    <n v="0"/>
    <m/>
    <m/>
    <n v="0"/>
    <n v="39970"/>
    <n v="39628"/>
    <m/>
    <m/>
    <m/>
    <m/>
    <n v="0"/>
    <m/>
    <m/>
    <n v="0"/>
    <m/>
    <m/>
    <m/>
    <m/>
    <m/>
    <m/>
    <n v="39970"/>
    <n v="39628"/>
  </r>
  <r>
    <x v="0"/>
    <x v="4"/>
    <s v="Non-credit continuing education"/>
    <m/>
    <n v="102368"/>
    <x v="2"/>
    <m/>
    <m/>
    <m/>
    <m/>
    <m/>
    <m/>
    <m/>
    <m/>
    <n v="0"/>
    <m/>
    <m/>
    <n v="0"/>
    <n v="0"/>
    <n v="0"/>
    <m/>
    <m/>
    <m/>
    <m/>
    <n v="0"/>
    <m/>
    <m/>
    <n v="0"/>
    <m/>
    <m/>
    <m/>
    <m/>
    <m/>
    <m/>
    <n v="0"/>
    <n v="0"/>
  </r>
  <r>
    <x v="0"/>
    <x v="4"/>
    <s v="Teacher In-service Center"/>
    <m/>
    <n v="102368"/>
    <x v="2"/>
    <m/>
    <m/>
    <n v="249529"/>
    <n v="242043"/>
    <m/>
    <m/>
    <m/>
    <m/>
    <n v="0"/>
    <m/>
    <m/>
    <n v="0"/>
    <n v="249529"/>
    <n v="242043"/>
    <m/>
    <m/>
    <m/>
    <m/>
    <n v="0"/>
    <m/>
    <m/>
    <n v="0"/>
    <m/>
    <m/>
    <m/>
    <m/>
    <m/>
    <m/>
    <n v="249529"/>
    <n v="242043"/>
  </r>
  <r>
    <x v="0"/>
    <x v="0"/>
    <s v="Alabama State University "/>
    <m/>
    <n v="100724"/>
    <x v="3"/>
    <n v="37556258"/>
    <n v="40556721"/>
    <m/>
    <m/>
    <m/>
    <m/>
    <n v="37732024"/>
    <n v="11652207"/>
    <n v="49384231"/>
    <n v="38664412"/>
    <n v="11595130"/>
    <n v="50259542"/>
    <n v="75288282"/>
    <n v="79221133"/>
    <m/>
    <m/>
    <m/>
    <m/>
    <n v="0"/>
    <m/>
    <m/>
    <n v="0"/>
    <m/>
    <m/>
    <m/>
    <m/>
    <m/>
    <m/>
    <n v="75288282"/>
    <n v="79221133"/>
  </r>
  <r>
    <x v="0"/>
    <x v="3"/>
    <s v="Community or public service units"/>
    <m/>
    <n v="100724"/>
    <x v="3"/>
    <m/>
    <m/>
    <m/>
    <m/>
    <m/>
    <m/>
    <m/>
    <m/>
    <n v="0"/>
    <m/>
    <m/>
    <n v="0"/>
    <n v="0"/>
    <n v="0"/>
    <m/>
    <m/>
    <m/>
    <m/>
    <n v="0"/>
    <m/>
    <m/>
    <n v="0"/>
    <m/>
    <m/>
    <m/>
    <m/>
    <m/>
    <m/>
    <n v="0"/>
    <n v="0"/>
  </r>
  <r>
    <x v="0"/>
    <x v="3"/>
    <s v="Cooperative Efforts to Enhance Community Ed Institute"/>
    <m/>
    <n v="100724"/>
    <x v="3"/>
    <m/>
    <m/>
    <n v="1131250"/>
    <n v="1121563"/>
    <m/>
    <m/>
    <m/>
    <m/>
    <n v="0"/>
    <m/>
    <m/>
    <n v="0"/>
    <n v="1131250"/>
    <n v="1121563"/>
    <m/>
    <m/>
    <m/>
    <m/>
    <n v="0"/>
    <m/>
    <m/>
    <n v="0"/>
    <m/>
    <m/>
    <m/>
    <m/>
    <m/>
    <m/>
    <n v="1131250"/>
    <n v="1121563"/>
  </r>
  <r>
    <x v="0"/>
    <x v="3"/>
    <s v="Minority Technology Network"/>
    <m/>
    <n v="100724"/>
    <x v="3"/>
    <m/>
    <m/>
    <n v="490210"/>
    <n v="583013"/>
    <m/>
    <m/>
    <m/>
    <m/>
    <n v="0"/>
    <m/>
    <m/>
    <n v="0"/>
    <n v="490210"/>
    <n v="583013"/>
    <m/>
    <m/>
    <m/>
    <m/>
    <n v="0"/>
    <m/>
    <m/>
    <n v="0"/>
    <m/>
    <m/>
    <m/>
    <m/>
    <m/>
    <m/>
    <n v="490210"/>
    <n v="583013"/>
  </r>
  <r>
    <x v="0"/>
    <x v="4"/>
    <s v="Non-credit continuing education"/>
    <m/>
    <n v="100724"/>
    <x v="3"/>
    <m/>
    <m/>
    <m/>
    <m/>
    <m/>
    <m/>
    <m/>
    <m/>
    <n v="0"/>
    <m/>
    <m/>
    <n v="0"/>
    <n v="0"/>
    <n v="0"/>
    <m/>
    <m/>
    <m/>
    <m/>
    <n v="0"/>
    <m/>
    <m/>
    <n v="0"/>
    <m/>
    <m/>
    <m/>
    <m/>
    <m/>
    <m/>
    <n v="0"/>
    <n v="0"/>
  </r>
  <r>
    <x v="0"/>
    <x v="4"/>
    <s v="Teacher In-service Center"/>
    <m/>
    <n v="100724"/>
    <x v="3"/>
    <m/>
    <m/>
    <n v="237742"/>
    <n v="230610"/>
    <m/>
    <m/>
    <m/>
    <m/>
    <n v="0"/>
    <m/>
    <m/>
    <n v="0"/>
    <n v="237742"/>
    <n v="230610"/>
    <m/>
    <m/>
    <m/>
    <m/>
    <n v="0"/>
    <m/>
    <m/>
    <n v="0"/>
    <m/>
    <m/>
    <m/>
    <m/>
    <m/>
    <m/>
    <n v="237742"/>
    <n v="230610"/>
  </r>
  <r>
    <x v="0"/>
    <x v="0"/>
    <s v="Auburn University at Montgomery"/>
    <m/>
    <n v="100830"/>
    <x v="3"/>
    <n v="21654539"/>
    <n v="21469099"/>
    <m/>
    <m/>
    <m/>
    <m/>
    <n v="29607814"/>
    <n v="1407247"/>
    <n v="31015061"/>
    <n v="26580368"/>
    <n v="1553511"/>
    <n v="28133879"/>
    <n v="51262353"/>
    <n v="48049467"/>
    <m/>
    <m/>
    <m/>
    <m/>
    <n v="0"/>
    <m/>
    <m/>
    <n v="0"/>
    <m/>
    <m/>
    <m/>
    <m/>
    <m/>
    <m/>
    <n v="51262353"/>
    <n v="48049467"/>
  </r>
  <r>
    <x v="0"/>
    <x v="3"/>
    <s v="Community or public service units"/>
    <m/>
    <n v="100830"/>
    <x v="3"/>
    <m/>
    <m/>
    <m/>
    <m/>
    <m/>
    <m/>
    <m/>
    <m/>
    <n v="0"/>
    <m/>
    <m/>
    <n v="0"/>
    <n v="0"/>
    <n v="0"/>
    <m/>
    <m/>
    <m/>
    <m/>
    <n v="0"/>
    <m/>
    <m/>
    <n v="0"/>
    <m/>
    <m/>
    <m/>
    <m/>
    <m/>
    <m/>
    <n v="0"/>
    <n v="0"/>
  </r>
  <r>
    <x v="0"/>
    <x v="3"/>
    <s v="S.E.R.I.E.S. Pgm"/>
    <m/>
    <n v="100830"/>
    <x v="3"/>
    <m/>
    <m/>
    <n v="269713"/>
    <n v="291653"/>
    <m/>
    <m/>
    <m/>
    <m/>
    <n v="0"/>
    <m/>
    <m/>
    <n v="0"/>
    <n v="269713"/>
    <n v="291653"/>
    <m/>
    <m/>
    <m/>
    <m/>
    <n v="0"/>
    <m/>
    <m/>
    <n v="0"/>
    <m/>
    <m/>
    <m/>
    <m/>
    <m/>
    <m/>
    <n v="269713"/>
    <n v="291653"/>
  </r>
  <r>
    <x v="0"/>
    <x v="3"/>
    <s v="Implementation of SMART Budgeting"/>
    <m/>
    <n v="100830"/>
    <x v="3"/>
    <m/>
    <m/>
    <n v="107919"/>
    <n v="106995"/>
    <m/>
    <m/>
    <m/>
    <m/>
    <n v="0"/>
    <m/>
    <m/>
    <n v="0"/>
    <n v="107919"/>
    <n v="106995"/>
    <m/>
    <m/>
    <m/>
    <m/>
    <n v="0"/>
    <m/>
    <m/>
    <n v="0"/>
    <m/>
    <m/>
    <m/>
    <m/>
    <m/>
    <m/>
    <n v="107919"/>
    <n v="106995"/>
  </r>
  <r>
    <x v="0"/>
    <x v="3"/>
    <s v="GAAT/CPM Prm"/>
    <m/>
    <n v="100830"/>
    <x v="3"/>
    <m/>
    <m/>
    <n v="107919"/>
    <n v="106995"/>
    <m/>
    <m/>
    <m/>
    <m/>
    <n v="0"/>
    <m/>
    <m/>
    <n v="0"/>
    <n v="107919"/>
    <n v="106995"/>
    <m/>
    <m/>
    <m/>
    <m/>
    <n v="0"/>
    <m/>
    <m/>
    <n v="0"/>
    <m/>
    <m/>
    <m/>
    <m/>
    <m/>
    <m/>
    <n v="107919"/>
    <n v="106995"/>
  </r>
  <r>
    <x v="0"/>
    <x v="3"/>
    <s v="Senior Resorce Center"/>
    <m/>
    <n v="100830"/>
    <x v="3"/>
    <m/>
    <m/>
    <n v="543000"/>
    <n v="693550"/>
    <m/>
    <m/>
    <m/>
    <m/>
    <n v="0"/>
    <m/>
    <m/>
    <n v="0"/>
    <n v="543000"/>
    <n v="693550"/>
    <m/>
    <m/>
    <m/>
    <m/>
    <n v="0"/>
    <m/>
    <m/>
    <n v="0"/>
    <m/>
    <m/>
    <m/>
    <m/>
    <m/>
    <m/>
    <n v="543000"/>
    <n v="693550"/>
  </r>
  <r>
    <x v="0"/>
    <x v="3"/>
    <s v="Judical College"/>
    <m/>
    <n v="100830"/>
    <x v="3"/>
    <m/>
    <m/>
    <n v="159885"/>
    <n v="158515"/>
    <m/>
    <m/>
    <m/>
    <m/>
    <n v="0"/>
    <m/>
    <m/>
    <n v="0"/>
    <n v="159885"/>
    <n v="158515"/>
    <m/>
    <m/>
    <m/>
    <m/>
    <n v="0"/>
    <m/>
    <m/>
    <n v="0"/>
    <m/>
    <m/>
    <m/>
    <m/>
    <m/>
    <m/>
    <n v="159885"/>
    <n v="158515"/>
  </r>
  <r>
    <x v="0"/>
    <x v="0"/>
    <s v="University of North Alabama"/>
    <m/>
    <n v="101879"/>
    <x v="3"/>
    <n v="24562345"/>
    <n v="24352005"/>
    <m/>
    <m/>
    <m/>
    <m/>
    <n v="36203755"/>
    <n v="1321291"/>
    <n v="37525046"/>
    <n v="37129981"/>
    <n v="1391291"/>
    <n v="38521272"/>
    <n v="60766100"/>
    <n v="61481986"/>
    <m/>
    <m/>
    <m/>
    <m/>
    <n v="0"/>
    <m/>
    <m/>
    <n v="0"/>
    <m/>
    <m/>
    <m/>
    <m/>
    <m/>
    <m/>
    <n v="60766100"/>
    <n v="61481986"/>
  </r>
  <r>
    <x v="0"/>
    <x v="4"/>
    <s v="Non-credit continuing education"/>
    <m/>
    <n v="101879"/>
    <x v="3"/>
    <m/>
    <m/>
    <m/>
    <m/>
    <m/>
    <m/>
    <m/>
    <m/>
    <n v="0"/>
    <m/>
    <m/>
    <n v="0"/>
    <n v="0"/>
    <n v="0"/>
    <m/>
    <m/>
    <m/>
    <m/>
    <n v="0"/>
    <m/>
    <m/>
    <n v="0"/>
    <m/>
    <m/>
    <m/>
    <m/>
    <m/>
    <m/>
    <n v="0"/>
    <n v="0"/>
  </r>
  <r>
    <x v="0"/>
    <x v="4"/>
    <s v="Teacher In-service Center"/>
    <m/>
    <n v="101879"/>
    <x v="3"/>
    <m/>
    <m/>
    <n v="213742"/>
    <n v="207330"/>
    <m/>
    <m/>
    <m/>
    <m/>
    <n v="0"/>
    <m/>
    <m/>
    <n v="0"/>
    <n v="213742"/>
    <n v="207330"/>
    <m/>
    <m/>
    <m/>
    <m/>
    <n v="0"/>
    <m/>
    <m/>
    <n v="0"/>
    <m/>
    <m/>
    <m/>
    <m/>
    <m/>
    <m/>
    <n v="213742"/>
    <n v="207330"/>
  </r>
  <r>
    <x v="0"/>
    <x v="0"/>
    <s v="University of Montevallo"/>
    <m/>
    <n v="101709"/>
    <x v="4"/>
    <n v="17408183"/>
    <n v="17259107"/>
    <m/>
    <m/>
    <m/>
    <m/>
    <n v="21134729"/>
    <m/>
    <n v="21134729"/>
    <n v="22990507"/>
    <m/>
    <n v="22990507"/>
    <n v="38542912"/>
    <n v="40249614"/>
    <m/>
    <m/>
    <m/>
    <m/>
    <n v="0"/>
    <m/>
    <m/>
    <n v="0"/>
    <m/>
    <m/>
    <m/>
    <m/>
    <m/>
    <m/>
    <n v="38542912"/>
    <n v="40249614"/>
  </r>
  <r>
    <x v="0"/>
    <x v="4"/>
    <s v="Non-credit continuing education"/>
    <m/>
    <n v="101709"/>
    <x v="4"/>
    <m/>
    <m/>
    <m/>
    <m/>
    <m/>
    <m/>
    <m/>
    <m/>
    <n v="0"/>
    <m/>
    <m/>
    <n v="0"/>
    <n v="0"/>
    <n v="0"/>
    <m/>
    <m/>
    <m/>
    <m/>
    <n v="0"/>
    <m/>
    <m/>
    <n v="0"/>
    <m/>
    <m/>
    <m/>
    <m/>
    <m/>
    <m/>
    <n v="0"/>
    <n v="0"/>
  </r>
  <r>
    <x v="0"/>
    <x v="4"/>
    <s v="Teacher In-service Center"/>
    <m/>
    <n v="101709"/>
    <x v="4"/>
    <m/>
    <m/>
    <n v="246875"/>
    <n v="239469"/>
    <m/>
    <m/>
    <m/>
    <m/>
    <n v="0"/>
    <m/>
    <m/>
    <n v="0"/>
    <n v="246875"/>
    <n v="239469"/>
    <m/>
    <m/>
    <m/>
    <m/>
    <n v="0"/>
    <m/>
    <m/>
    <n v="0"/>
    <m/>
    <m/>
    <m/>
    <m/>
    <m/>
    <m/>
    <n v="246875"/>
    <n v="239469"/>
  </r>
  <r>
    <x v="0"/>
    <x v="0"/>
    <s v="University of West Alabama"/>
    <m/>
    <n v="101587"/>
    <x v="4"/>
    <n v="11477236"/>
    <n v="12154951"/>
    <m/>
    <m/>
    <m/>
    <m/>
    <n v="9776437"/>
    <m/>
    <n v="9776437"/>
    <n v="10108178"/>
    <m/>
    <n v="10108178"/>
    <n v="21253673"/>
    <n v="22263129"/>
    <m/>
    <m/>
    <m/>
    <m/>
    <n v="0"/>
    <m/>
    <m/>
    <n v="0"/>
    <m/>
    <m/>
    <m/>
    <m/>
    <m/>
    <m/>
    <n v="21253673"/>
    <n v="22263129"/>
  </r>
  <r>
    <x v="0"/>
    <x v="3"/>
    <s v="Community or public service units"/>
    <m/>
    <n v="101587"/>
    <x v="4"/>
    <m/>
    <m/>
    <m/>
    <m/>
    <m/>
    <m/>
    <m/>
    <m/>
    <n v="0"/>
    <m/>
    <m/>
    <n v="0"/>
    <n v="0"/>
    <n v="0"/>
    <m/>
    <m/>
    <m/>
    <m/>
    <n v="0"/>
    <m/>
    <m/>
    <n v="0"/>
    <m/>
    <m/>
    <m/>
    <m/>
    <m/>
    <m/>
    <n v="0"/>
    <n v="0"/>
  </r>
  <r>
    <x v="0"/>
    <x v="3"/>
    <s v="AL Medical Ed Consortium"/>
    <m/>
    <n v="101587"/>
    <x v="4"/>
    <m/>
    <m/>
    <n v="696617"/>
    <n v="690652"/>
    <m/>
    <m/>
    <m/>
    <m/>
    <n v="0"/>
    <m/>
    <m/>
    <n v="0"/>
    <n v="696617"/>
    <n v="690652"/>
    <m/>
    <m/>
    <m/>
    <m/>
    <n v="0"/>
    <m/>
    <m/>
    <n v="0"/>
    <m/>
    <m/>
    <m/>
    <m/>
    <m/>
    <m/>
    <n v="696617"/>
    <n v="690652"/>
  </r>
  <r>
    <x v="0"/>
    <x v="3"/>
    <s v="Econ &amp; Small Bus Devel Prm"/>
    <m/>
    <n v="101587"/>
    <x v="4"/>
    <m/>
    <m/>
    <n v="199855"/>
    <n v="198143"/>
    <m/>
    <m/>
    <m/>
    <m/>
    <n v="0"/>
    <m/>
    <m/>
    <n v="0"/>
    <n v="199855"/>
    <n v="198143"/>
    <m/>
    <m/>
    <m/>
    <m/>
    <n v="0"/>
    <m/>
    <m/>
    <n v="0"/>
    <m/>
    <m/>
    <m/>
    <m/>
    <m/>
    <m/>
    <n v="199855"/>
    <n v="198143"/>
  </r>
  <r>
    <x v="0"/>
    <x v="3"/>
    <s v="Regional Wellness &amp; Fitness Center"/>
    <m/>
    <n v="101587"/>
    <x v="4"/>
    <m/>
    <m/>
    <n v="99927"/>
    <n v="99072"/>
    <m/>
    <m/>
    <m/>
    <m/>
    <n v="0"/>
    <m/>
    <m/>
    <n v="0"/>
    <n v="99927"/>
    <n v="99072"/>
    <m/>
    <m/>
    <m/>
    <m/>
    <n v="0"/>
    <m/>
    <m/>
    <n v="0"/>
    <m/>
    <m/>
    <m/>
    <m/>
    <m/>
    <m/>
    <n v="99927"/>
    <n v="99072"/>
  </r>
  <r>
    <x v="0"/>
    <x v="3"/>
    <s v="Black Belt Treasures Initiative"/>
    <m/>
    <n v="101587"/>
    <x v="4"/>
    <m/>
    <m/>
    <n v="226930"/>
    <n v="273487"/>
    <m/>
    <m/>
    <m/>
    <m/>
    <n v="0"/>
    <m/>
    <m/>
    <n v="0"/>
    <n v="226930"/>
    <n v="273487"/>
    <m/>
    <m/>
    <m/>
    <m/>
    <n v="0"/>
    <m/>
    <m/>
    <n v="0"/>
    <m/>
    <m/>
    <m/>
    <m/>
    <m/>
    <m/>
    <n v="226930"/>
    <n v="273487"/>
  </r>
  <r>
    <x v="0"/>
    <x v="3"/>
    <s v="National Young Farmers Ed Assoc"/>
    <m/>
    <n v="101587"/>
    <x v="4"/>
    <m/>
    <m/>
    <n v="35974"/>
    <n v="35666"/>
    <m/>
    <m/>
    <m/>
    <m/>
    <n v="0"/>
    <m/>
    <m/>
    <n v="0"/>
    <n v="35974"/>
    <n v="35666"/>
    <m/>
    <m/>
    <m/>
    <m/>
    <n v="0"/>
    <m/>
    <m/>
    <n v="0"/>
    <m/>
    <m/>
    <m/>
    <m/>
    <m/>
    <m/>
    <n v="35974"/>
    <n v="35666"/>
  </r>
  <r>
    <x v="0"/>
    <x v="3"/>
    <s v="Office of International Pgms"/>
    <m/>
    <n v="101587"/>
    <x v="4"/>
    <m/>
    <m/>
    <m/>
    <n v="66930"/>
    <m/>
    <m/>
    <m/>
    <m/>
    <n v="0"/>
    <m/>
    <m/>
    <n v="0"/>
    <n v="0"/>
    <n v="66930"/>
    <m/>
    <m/>
    <m/>
    <m/>
    <n v="0"/>
    <m/>
    <m/>
    <n v="0"/>
    <m/>
    <m/>
    <m/>
    <m/>
    <m/>
    <m/>
    <n v="0"/>
    <n v="66930"/>
  </r>
  <r>
    <x v="0"/>
    <x v="0"/>
    <s v="Athens State University"/>
    <m/>
    <n v="100812"/>
    <x v="5"/>
    <n v="10901246"/>
    <n v="10807893"/>
    <m/>
    <m/>
    <m/>
    <m/>
    <n v="13755690"/>
    <n v="1078352"/>
    <n v="14834042"/>
    <n v="15200820"/>
    <n v="1200000"/>
    <n v="16400820"/>
    <n v="24656936"/>
    <n v="26008713"/>
    <m/>
    <m/>
    <m/>
    <m/>
    <n v="0"/>
    <m/>
    <m/>
    <n v="0"/>
    <m/>
    <m/>
    <m/>
    <m/>
    <m/>
    <m/>
    <n v="24656936"/>
    <n v="26008713"/>
  </r>
  <r>
    <x v="0"/>
    <x v="4"/>
    <s v="Non-credit continuing education"/>
    <m/>
    <n v="100812"/>
    <x v="5"/>
    <m/>
    <m/>
    <m/>
    <m/>
    <m/>
    <m/>
    <m/>
    <m/>
    <n v="0"/>
    <m/>
    <m/>
    <n v="0"/>
    <n v="0"/>
    <n v="0"/>
    <m/>
    <m/>
    <m/>
    <m/>
    <n v="0"/>
    <m/>
    <m/>
    <n v="0"/>
    <m/>
    <m/>
    <m/>
    <m/>
    <m/>
    <m/>
    <n v="0"/>
    <n v="0"/>
  </r>
  <r>
    <x v="0"/>
    <x v="4"/>
    <s v="Teacher In-service Center"/>
    <m/>
    <n v="100812"/>
    <x v="5"/>
    <m/>
    <m/>
    <n v="230460"/>
    <n v="223546"/>
    <m/>
    <m/>
    <m/>
    <m/>
    <n v="0"/>
    <m/>
    <m/>
    <n v="0"/>
    <n v="230460"/>
    <n v="223546"/>
    <m/>
    <m/>
    <m/>
    <m/>
    <n v="0"/>
    <m/>
    <m/>
    <n v="0"/>
    <m/>
    <m/>
    <m/>
    <m/>
    <m/>
    <m/>
    <n v="230460"/>
    <n v="223546"/>
  </r>
  <r>
    <x v="0"/>
    <x v="0"/>
    <s v="John C. Calhoun State Community College "/>
    <m/>
    <n v="101514"/>
    <x v="6"/>
    <n v="20041648"/>
    <n v="20165437"/>
    <m/>
    <m/>
    <m/>
    <m/>
    <n v="25768727.579999998"/>
    <n v="2927007"/>
    <n v="28695734.579999998"/>
    <n v="26975134"/>
    <n v="2966656"/>
    <n v="29941790"/>
    <n v="45810375.579999998"/>
    <n v="47140571"/>
    <m/>
    <m/>
    <m/>
    <m/>
    <n v="0"/>
    <m/>
    <m/>
    <n v="0"/>
    <m/>
    <m/>
    <m/>
    <m/>
    <m/>
    <m/>
    <n v="45810375.579999998"/>
    <n v="47140571"/>
  </r>
  <r>
    <x v="0"/>
    <x v="8"/>
    <s v="Special line items for education operations"/>
    <m/>
    <n v="101514"/>
    <x v="6"/>
    <m/>
    <m/>
    <m/>
    <m/>
    <m/>
    <m/>
    <m/>
    <m/>
    <n v="0"/>
    <m/>
    <m/>
    <n v="0"/>
    <n v="0"/>
    <n v="0"/>
    <m/>
    <m/>
    <m/>
    <m/>
    <n v="0"/>
    <m/>
    <m/>
    <n v="0"/>
    <m/>
    <m/>
    <m/>
    <m/>
    <m/>
    <m/>
    <n v="0"/>
    <n v="0"/>
  </r>
  <r>
    <x v="0"/>
    <x v="8"/>
    <s v="Special Population Training"/>
    <m/>
    <n v="101514"/>
    <x v="6"/>
    <m/>
    <m/>
    <n v="17705.490000000002"/>
    <n v="208160"/>
    <m/>
    <m/>
    <m/>
    <m/>
    <n v="0"/>
    <m/>
    <m/>
    <n v="0"/>
    <n v="17705.490000000002"/>
    <n v="208160"/>
    <m/>
    <m/>
    <m/>
    <m/>
    <n v="0"/>
    <m/>
    <m/>
    <n v="0"/>
    <m/>
    <m/>
    <m/>
    <m/>
    <m/>
    <m/>
    <n v="17705.490000000002"/>
    <n v="208160"/>
  </r>
  <r>
    <x v="0"/>
    <x v="8"/>
    <s v="Workforce Development"/>
    <m/>
    <n v="101514"/>
    <x v="6"/>
    <m/>
    <m/>
    <n v="216419.59"/>
    <n v="270569"/>
    <m/>
    <m/>
    <m/>
    <m/>
    <n v="0"/>
    <m/>
    <m/>
    <n v="0"/>
    <n v="216419.59"/>
    <n v="270569"/>
    <m/>
    <m/>
    <m/>
    <m/>
    <n v="0"/>
    <m/>
    <m/>
    <n v="0"/>
    <m/>
    <m/>
    <m/>
    <m/>
    <m/>
    <m/>
    <n v="216419.59"/>
    <n v="270569"/>
  </r>
  <r>
    <x v="0"/>
    <x v="0"/>
    <s v="Jefferson State Community College"/>
    <m/>
    <n v="101505"/>
    <x v="6"/>
    <n v="19369840"/>
    <n v="19203965"/>
    <m/>
    <m/>
    <n v="31444.38"/>
    <n v="31444"/>
    <n v="18219885.300000001"/>
    <n v="4957174.91"/>
    <n v="23177060.210000001"/>
    <n v="20420061"/>
    <n v="4860504"/>
    <n v="25280565"/>
    <n v="37621169.68"/>
    <n v="39655470"/>
    <m/>
    <m/>
    <m/>
    <m/>
    <n v="0"/>
    <m/>
    <m/>
    <n v="0"/>
    <m/>
    <m/>
    <m/>
    <m/>
    <m/>
    <m/>
    <n v="37621169.68"/>
    <n v="39655470"/>
  </r>
  <r>
    <x v="0"/>
    <x v="8"/>
    <s v="Special Population Training"/>
    <m/>
    <n v="101505"/>
    <x v="6"/>
    <m/>
    <m/>
    <n v="76373.3"/>
    <n v="118759"/>
    <m/>
    <m/>
    <m/>
    <m/>
    <n v="0"/>
    <m/>
    <m/>
    <n v="0"/>
    <n v="76373.3"/>
    <n v="118759"/>
    <m/>
    <m/>
    <m/>
    <m/>
    <n v="0"/>
    <m/>
    <m/>
    <n v="0"/>
    <m/>
    <m/>
    <m/>
    <m/>
    <m/>
    <m/>
    <n v="76373.3"/>
    <n v="118759"/>
  </r>
  <r>
    <x v="0"/>
    <x v="8"/>
    <s v="Workforce Development"/>
    <m/>
    <n v="101505"/>
    <x v="6"/>
    <m/>
    <m/>
    <n v="118417.41"/>
    <n v="122109"/>
    <m/>
    <m/>
    <m/>
    <m/>
    <n v="0"/>
    <m/>
    <m/>
    <n v="0"/>
    <n v="118417.41"/>
    <n v="122109"/>
    <m/>
    <m/>
    <m/>
    <m/>
    <n v="0"/>
    <m/>
    <m/>
    <n v="0"/>
    <m/>
    <m/>
    <m/>
    <m/>
    <m/>
    <m/>
    <n v="118417.41"/>
    <n v="122109"/>
  </r>
  <r>
    <x v="0"/>
    <x v="3"/>
    <s v="Community or public service units"/>
    <m/>
    <n v="101505"/>
    <x v="6"/>
    <m/>
    <m/>
    <m/>
    <m/>
    <m/>
    <m/>
    <m/>
    <m/>
    <n v="0"/>
    <m/>
    <m/>
    <n v="0"/>
    <n v="0"/>
    <n v="0"/>
    <m/>
    <m/>
    <m/>
    <m/>
    <n v="0"/>
    <m/>
    <m/>
    <n v="0"/>
    <m/>
    <m/>
    <m/>
    <m/>
    <m/>
    <m/>
    <n v="0"/>
    <n v="0"/>
  </r>
  <r>
    <x v="0"/>
    <x v="3"/>
    <s v="Risk Watch Program"/>
    <m/>
    <n v="101505"/>
    <x v="6"/>
    <m/>
    <m/>
    <n v="159884"/>
    <m/>
    <m/>
    <m/>
    <m/>
    <m/>
    <n v="0"/>
    <m/>
    <m/>
    <n v="0"/>
    <n v="159884"/>
    <n v="0"/>
    <m/>
    <m/>
    <m/>
    <m/>
    <n v="0"/>
    <m/>
    <m/>
    <n v="0"/>
    <m/>
    <m/>
    <m/>
    <m/>
    <m/>
    <m/>
    <n v="159884"/>
    <n v="0"/>
  </r>
  <r>
    <x v="0"/>
    <x v="3"/>
    <s v="Ctr for Labor Ed &amp; Res"/>
    <m/>
    <n v="101505"/>
    <x v="6"/>
    <m/>
    <m/>
    <n v="590938"/>
    <n v="634377"/>
    <m/>
    <m/>
    <m/>
    <m/>
    <n v="0"/>
    <m/>
    <m/>
    <n v="0"/>
    <n v="590938"/>
    <n v="634377"/>
    <m/>
    <m/>
    <m/>
    <m/>
    <n v="0"/>
    <m/>
    <m/>
    <n v="0"/>
    <m/>
    <m/>
    <m/>
    <m/>
    <m/>
    <m/>
    <n v="590938"/>
    <n v="634377"/>
  </r>
  <r>
    <x v="0"/>
    <x v="3"/>
    <s v="Predator Avoidance Prm"/>
    <m/>
    <n v="101505"/>
    <x v="6"/>
    <m/>
    <m/>
    <n v="81450"/>
    <n v="113086"/>
    <m/>
    <m/>
    <m/>
    <m/>
    <n v="0"/>
    <m/>
    <m/>
    <n v="0"/>
    <n v="81450"/>
    <n v="113086"/>
    <m/>
    <m/>
    <m/>
    <m/>
    <n v="0"/>
    <m/>
    <m/>
    <n v="0"/>
    <m/>
    <m/>
    <m/>
    <m/>
    <m/>
    <m/>
    <n v="81450"/>
    <n v="113086"/>
  </r>
  <r>
    <x v="0"/>
    <x v="0"/>
    <s v="Bevill State Community College"/>
    <m/>
    <n v="102429"/>
    <x v="7"/>
    <n v="16271328"/>
    <n v="16131988"/>
    <m/>
    <m/>
    <m/>
    <m/>
    <n v="10719256.300000001"/>
    <n v="1881546.04"/>
    <n v="12600802.34"/>
    <n v="11156179"/>
    <n v="1626085"/>
    <n v="12782264"/>
    <n v="26990584.300000001"/>
    <n v="27288167"/>
    <m/>
    <m/>
    <m/>
    <m/>
    <n v="0"/>
    <m/>
    <m/>
    <n v="0"/>
    <m/>
    <m/>
    <m/>
    <m/>
    <m/>
    <m/>
    <n v="26990584.300000001"/>
    <n v="27288167"/>
  </r>
  <r>
    <x v="0"/>
    <x v="8"/>
    <s v="Special line items for education operations"/>
    <m/>
    <n v="102429"/>
    <x v="7"/>
    <m/>
    <m/>
    <m/>
    <m/>
    <m/>
    <m/>
    <m/>
    <m/>
    <n v="0"/>
    <m/>
    <m/>
    <n v="0"/>
    <n v="0"/>
    <n v="0"/>
    <m/>
    <m/>
    <m/>
    <m/>
    <n v="0"/>
    <m/>
    <m/>
    <n v="0"/>
    <m/>
    <m/>
    <m/>
    <m/>
    <m/>
    <m/>
    <n v="0"/>
    <n v="0"/>
  </r>
  <r>
    <x v="0"/>
    <x v="8"/>
    <s v="Special Population Training"/>
    <m/>
    <n v="102429"/>
    <x v="7"/>
    <m/>
    <m/>
    <n v="117022.48"/>
    <n v="290320"/>
    <m/>
    <m/>
    <m/>
    <m/>
    <n v="0"/>
    <m/>
    <m/>
    <n v="0"/>
    <n v="117022.48"/>
    <n v="290320"/>
    <m/>
    <m/>
    <m/>
    <m/>
    <n v="0"/>
    <m/>
    <m/>
    <n v="0"/>
    <m/>
    <m/>
    <m/>
    <m/>
    <m/>
    <m/>
    <n v="117022.48"/>
    <n v="290320"/>
  </r>
  <r>
    <x v="0"/>
    <x v="8"/>
    <s v="Workforce Development"/>
    <m/>
    <n v="102429"/>
    <x v="7"/>
    <m/>
    <m/>
    <n v="156437.53"/>
    <n v="346133"/>
    <m/>
    <m/>
    <m/>
    <m/>
    <n v="0"/>
    <m/>
    <m/>
    <n v="0"/>
    <n v="156437.53"/>
    <n v="346133"/>
    <m/>
    <m/>
    <m/>
    <m/>
    <n v="0"/>
    <m/>
    <m/>
    <n v="0"/>
    <m/>
    <m/>
    <m/>
    <m/>
    <m/>
    <m/>
    <n v="156437.53"/>
    <n v="346133"/>
  </r>
  <r>
    <x v="0"/>
    <x v="0"/>
    <s v="Bishop State Community College"/>
    <m/>
    <n v="102030"/>
    <x v="7"/>
    <n v="14597801"/>
    <n v="14472792"/>
    <m/>
    <m/>
    <n v="48228.639999999999"/>
    <n v="52000"/>
    <n v="8041616.7000000002"/>
    <n v="1272393.05"/>
    <n v="9314009.75"/>
    <n v="8832121"/>
    <n v="750465"/>
    <n v="9582586"/>
    <n v="22687646.34"/>
    <n v="23356913"/>
    <m/>
    <m/>
    <m/>
    <m/>
    <n v="0"/>
    <m/>
    <m/>
    <n v="0"/>
    <m/>
    <m/>
    <m/>
    <m/>
    <m/>
    <m/>
    <n v="22687646.34"/>
    <n v="23356913"/>
  </r>
  <r>
    <x v="0"/>
    <x v="8"/>
    <s v="Special line items for education operations"/>
    <m/>
    <n v="102030"/>
    <x v="7"/>
    <m/>
    <m/>
    <m/>
    <m/>
    <m/>
    <m/>
    <m/>
    <m/>
    <n v="0"/>
    <m/>
    <m/>
    <n v="0"/>
    <n v="0"/>
    <n v="0"/>
    <m/>
    <m/>
    <m/>
    <m/>
    <n v="0"/>
    <m/>
    <m/>
    <n v="0"/>
    <m/>
    <m/>
    <m/>
    <m/>
    <m/>
    <m/>
    <n v="0"/>
    <n v="0"/>
  </r>
  <r>
    <x v="0"/>
    <x v="8"/>
    <s v="Special Population Training"/>
    <m/>
    <n v="102030"/>
    <x v="7"/>
    <m/>
    <m/>
    <n v="329717.78000000003"/>
    <n v="242194"/>
    <m/>
    <m/>
    <m/>
    <m/>
    <n v="0"/>
    <m/>
    <m/>
    <n v="0"/>
    <n v="329717.78000000003"/>
    <n v="242194"/>
    <m/>
    <m/>
    <m/>
    <m/>
    <n v="0"/>
    <m/>
    <m/>
    <n v="0"/>
    <m/>
    <m/>
    <m/>
    <m/>
    <m/>
    <m/>
    <n v="329717.78000000003"/>
    <n v="242194"/>
  </r>
  <r>
    <x v="0"/>
    <x v="8"/>
    <s v="Workforce Development"/>
    <m/>
    <n v="102030"/>
    <x v="7"/>
    <m/>
    <m/>
    <n v="166925.73000000001"/>
    <n v="92500"/>
    <m/>
    <m/>
    <m/>
    <m/>
    <n v="0"/>
    <m/>
    <m/>
    <n v="0"/>
    <n v="166925.73000000001"/>
    <n v="92500"/>
    <m/>
    <m/>
    <m/>
    <m/>
    <n v="0"/>
    <m/>
    <m/>
    <n v="0"/>
    <m/>
    <m/>
    <m/>
    <m/>
    <m/>
    <m/>
    <n v="166925.73000000001"/>
    <n v="92500"/>
  </r>
  <r>
    <x v="0"/>
    <x v="0"/>
    <s v="Gadsden State Community College"/>
    <s v="Met criteria for Two-Year 1 in 2009-10 and 2010-11."/>
    <n v="101240"/>
    <x v="7"/>
    <n v="23329898"/>
    <n v="23111292"/>
    <m/>
    <m/>
    <n v="710930.77"/>
    <n v="700000"/>
    <n v="17075608.879999999"/>
    <n v="1985906.32"/>
    <n v="19061515.199999999"/>
    <n v="16218470"/>
    <n v="1985908"/>
    <n v="18204378"/>
    <n v="41116437.649999999"/>
    <n v="40029762"/>
    <m/>
    <m/>
    <m/>
    <m/>
    <n v="0"/>
    <m/>
    <m/>
    <n v="0"/>
    <m/>
    <m/>
    <m/>
    <m/>
    <m/>
    <m/>
    <n v="41116437.649999999"/>
    <n v="40029762"/>
  </r>
  <r>
    <x v="0"/>
    <x v="8"/>
    <s v="Special line items for education operations"/>
    <m/>
    <n v="101240"/>
    <x v="7"/>
    <m/>
    <m/>
    <m/>
    <m/>
    <m/>
    <m/>
    <m/>
    <m/>
    <n v="0"/>
    <m/>
    <m/>
    <n v="0"/>
    <n v="0"/>
    <n v="0"/>
    <m/>
    <m/>
    <m/>
    <m/>
    <n v="0"/>
    <m/>
    <m/>
    <n v="0"/>
    <m/>
    <m/>
    <m/>
    <m/>
    <m/>
    <m/>
    <n v="0"/>
    <n v="0"/>
  </r>
  <r>
    <x v="0"/>
    <x v="8"/>
    <s v="Special Population Training"/>
    <m/>
    <n v="101240"/>
    <x v="7"/>
    <m/>
    <m/>
    <m/>
    <n v="62238"/>
    <m/>
    <m/>
    <m/>
    <m/>
    <n v="0"/>
    <m/>
    <m/>
    <n v="0"/>
    <n v="0"/>
    <n v="62238"/>
    <m/>
    <m/>
    <m/>
    <m/>
    <n v="0"/>
    <m/>
    <m/>
    <n v="0"/>
    <m/>
    <m/>
    <m/>
    <m/>
    <m/>
    <m/>
    <n v="0"/>
    <n v="62238"/>
  </r>
  <r>
    <x v="0"/>
    <x v="8"/>
    <s v="Workforce Development"/>
    <m/>
    <n v="101240"/>
    <x v="7"/>
    <m/>
    <m/>
    <n v="405329"/>
    <n v="69000"/>
    <m/>
    <m/>
    <m/>
    <m/>
    <n v="0"/>
    <m/>
    <m/>
    <n v="0"/>
    <n v="405329"/>
    <n v="69000"/>
    <m/>
    <m/>
    <m/>
    <m/>
    <n v="0"/>
    <m/>
    <m/>
    <n v="0"/>
    <m/>
    <m/>
    <m/>
    <m/>
    <m/>
    <m/>
    <n v="405329"/>
    <n v="69000"/>
  </r>
  <r>
    <x v="0"/>
    <x v="0"/>
    <s v="George C. Wallace Community College - Dothan"/>
    <m/>
    <n v="101286"/>
    <x v="7"/>
    <n v="15099769"/>
    <n v="14979749"/>
    <m/>
    <m/>
    <m/>
    <m/>
    <n v="12553769.539999999"/>
    <n v="839807.3"/>
    <n v="13393576.84"/>
    <n v="10968259"/>
    <n v="831981"/>
    <n v="11800240"/>
    <n v="27653538.539999999"/>
    <n v="25948008"/>
    <m/>
    <m/>
    <m/>
    <m/>
    <n v="0"/>
    <m/>
    <m/>
    <n v="0"/>
    <m/>
    <m/>
    <m/>
    <m/>
    <m/>
    <m/>
    <n v="27653538.539999999"/>
    <n v="25948008"/>
  </r>
  <r>
    <x v="0"/>
    <x v="8"/>
    <s v="Special line items for education operations"/>
    <m/>
    <n v="101286"/>
    <x v="7"/>
    <m/>
    <m/>
    <m/>
    <m/>
    <m/>
    <m/>
    <m/>
    <m/>
    <n v="0"/>
    <m/>
    <m/>
    <n v="0"/>
    <n v="0"/>
    <n v="0"/>
    <m/>
    <m/>
    <m/>
    <m/>
    <n v="0"/>
    <m/>
    <m/>
    <n v="0"/>
    <m/>
    <m/>
    <m/>
    <m/>
    <m/>
    <m/>
    <n v="0"/>
    <n v="0"/>
  </r>
  <r>
    <x v="0"/>
    <x v="8"/>
    <s v="Special Population Training"/>
    <m/>
    <n v="101286"/>
    <x v="7"/>
    <m/>
    <m/>
    <n v="49035.85"/>
    <n v="50000"/>
    <m/>
    <m/>
    <m/>
    <m/>
    <n v="0"/>
    <m/>
    <m/>
    <n v="0"/>
    <n v="49035.85"/>
    <n v="50000"/>
    <m/>
    <m/>
    <m/>
    <m/>
    <n v="0"/>
    <m/>
    <m/>
    <n v="0"/>
    <m/>
    <m/>
    <m/>
    <m/>
    <m/>
    <m/>
    <n v="49035.85"/>
    <n v="50000"/>
  </r>
  <r>
    <x v="0"/>
    <x v="8"/>
    <s v="Workforce Development"/>
    <m/>
    <n v="101286"/>
    <x v="7"/>
    <m/>
    <m/>
    <n v="357828.6"/>
    <n v="155000"/>
    <m/>
    <m/>
    <m/>
    <m/>
    <n v="0"/>
    <m/>
    <m/>
    <n v="0"/>
    <n v="357828.6"/>
    <n v="155000"/>
    <m/>
    <m/>
    <m/>
    <m/>
    <n v="0"/>
    <m/>
    <m/>
    <n v="0"/>
    <m/>
    <m/>
    <m/>
    <m/>
    <m/>
    <m/>
    <n v="357828.6"/>
    <n v="155000"/>
  </r>
  <r>
    <x v="0"/>
    <x v="0"/>
    <s v="James H. Faulkner State Community College"/>
    <m/>
    <n v="101161"/>
    <x v="7"/>
    <n v="9528835"/>
    <n v="9514933"/>
    <m/>
    <m/>
    <n v="1123559.3899999999"/>
    <n v="500000"/>
    <n v="11015531.52"/>
    <n v="1568648.86"/>
    <n v="12584180.379999999"/>
    <n v="10941873"/>
    <n v="1653243"/>
    <n v="12595116"/>
    <n v="21667925.91"/>
    <n v="20956806"/>
    <m/>
    <m/>
    <m/>
    <m/>
    <n v="0"/>
    <m/>
    <m/>
    <n v="0"/>
    <m/>
    <m/>
    <m/>
    <m/>
    <m/>
    <m/>
    <n v="21667925.91"/>
    <n v="20956806"/>
  </r>
  <r>
    <x v="0"/>
    <x v="8"/>
    <s v="Special line items for education operations"/>
    <m/>
    <n v="101161"/>
    <x v="7"/>
    <m/>
    <m/>
    <m/>
    <m/>
    <m/>
    <m/>
    <m/>
    <m/>
    <n v="0"/>
    <m/>
    <m/>
    <n v="0"/>
    <n v="0"/>
    <n v="0"/>
    <m/>
    <m/>
    <m/>
    <m/>
    <n v="0"/>
    <m/>
    <m/>
    <n v="0"/>
    <m/>
    <m/>
    <m/>
    <m/>
    <m/>
    <m/>
    <n v="0"/>
    <n v="0"/>
  </r>
  <r>
    <x v="0"/>
    <x v="8"/>
    <s v="Special Population Training"/>
    <m/>
    <n v="101161"/>
    <x v="7"/>
    <m/>
    <m/>
    <n v="47730"/>
    <n v="47730"/>
    <m/>
    <m/>
    <m/>
    <m/>
    <n v="0"/>
    <m/>
    <m/>
    <n v="0"/>
    <n v="47730"/>
    <n v="47730"/>
    <m/>
    <m/>
    <m/>
    <m/>
    <n v="0"/>
    <m/>
    <m/>
    <n v="0"/>
    <m/>
    <m/>
    <m/>
    <m/>
    <m/>
    <m/>
    <n v="47730"/>
    <n v="47730"/>
  </r>
  <r>
    <x v="0"/>
    <x v="8"/>
    <s v="Workforce Development"/>
    <m/>
    <n v="101161"/>
    <x v="7"/>
    <m/>
    <m/>
    <n v="341048.62"/>
    <n v="275773"/>
    <m/>
    <m/>
    <m/>
    <m/>
    <n v="0"/>
    <m/>
    <m/>
    <n v="0"/>
    <n v="341048.62"/>
    <n v="275773"/>
    <m/>
    <m/>
    <m/>
    <m/>
    <n v="0"/>
    <m/>
    <m/>
    <n v="0"/>
    <m/>
    <m/>
    <m/>
    <m/>
    <m/>
    <m/>
    <n v="341048.62"/>
    <n v="275773"/>
  </r>
  <r>
    <x v="0"/>
    <x v="0"/>
    <s v="Lawson State Community College "/>
    <m/>
    <n v="101569"/>
    <x v="7"/>
    <n v="14777926"/>
    <n v="14630677"/>
    <m/>
    <m/>
    <n v="52407.3"/>
    <n v="54000"/>
    <n v="12168037.050000001"/>
    <n v="1096823.51"/>
    <n v="13264860.560000001"/>
    <n v="11785396"/>
    <n v="1096824"/>
    <n v="12882220"/>
    <n v="26998370.350000001"/>
    <n v="26470073"/>
    <m/>
    <m/>
    <m/>
    <m/>
    <n v="0"/>
    <m/>
    <m/>
    <n v="0"/>
    <m/>
    <m/>
    <m/>
    <m/>
    <m/>
    <m/>
    <n v="26998370.350000001"/>
    <n v="26470073"/>
  </r>
  <r>
    <x v="0"/>
    <x v="8"/>
    <s v="Special line items for education operations"/>
    <m/>
    <n v="101569"/>
    <x v="7"/>
    <m/>
    <m/>
    <m/>
    <m/>
    <m/>
    <m/>
    <m/>
    <m/>
    <n v="0"/>
    <m/>
    <m/>
    <n v="0"/>
    <n v="0"/>
    <n v="0"/>
    <m/>
    <m/>
    <m/>
    <m/>
    <n v="0"/>
    <m/>
    <m/>
    <n v="0"/>
    <m/>
    <m/>
    <m/>
    <m/>
    <m/>
    <m/>
    <n v="0"/>
    <n v="0"/>
  </r>
  <r>
    <x v="0"/>
    <x v="8"/>
    <s v="Special Population Training"/>
    <m/>
    <n v="101569"/>
    <x v="7"/>
    <m/>
    <m/>
    <n v="301357.44"/>
    <n v="161067"/>
    <m/>
    <m/>
    <m/>
    <m/>
    <n v="0"/>
    <m/>
    <m/>
    <n v="0"/>
    <n v="301357.44"/>
    <n v="161067"/>
    <m/>
    <m/>
    <m/>
    <m/>
    <n v="0"/>
    <m/>
    <m/>
    <n v="0"/>
    <m/>
    <m/>
    <m/>
    <m/>
    <m/>
    <m/>
    <n v="301357.44"/>
    <n v="161067"/>
  </r>
  <r>
    <x v="0"/>
    <x v="8"/>
    <s v="Workforce Development"/>
    <m/>
    <n v="101569"/>
    <x v="7"/>
    <m/>
    <m/>
    <n v="109716.12"/>
    <n v="1942"/>
    <m/>
    <m/>
    <m/>
    <m/>
    <n v="0"/>
    <m/>
    <m/>
    <n v="0"/>
    <n v="109716.12"/>
    <n v="1942"/>
    <m/>
    <m/>
    <m/>
    <m/>
    <n v="0"/>
    <m/>
    <m/>
    <n v="0"/>
    <m/>
    <m/>
    <m/>
    <m/>
    <m/>
    <m/>
    <n v="109716.12"/>
    <n v="1942"/>
  </r>
  <r>
    <x v="0"/>
    <x v="0"/>
    <s v="Northwest-Shoals Community College "/>
    <m/>
    <n v="101736"/>
    <x v="7"/>
    <n v="11036553"/>
    <n v="11008071"/>
    <m/>
    <m/>
    <m/>
    <m/>
    <n v="10483209.82"/>
    <n v="988674.8"/>
    <n v="11471884.620000001"/>
    <n v="10365597"/>
    <n v="732837"/>
    <n v="11098434"/>
    <n v="21519762.82"/>
    <n v="21373668"/>
    <m/>
    <m/>
    <m/>
    <m/>
    <n v="0"/>
    <m/>
    <m/>
    <n v="0"/>
    <m/>
    <m/>
    <m/>
    <m/>
    <m/>
    <m/>
    <n v="21519762.82"/>
    <n v="21373668"/>
  </r>
  <r>
    <x v="0"/>
    <x v="8"/>
    <s v="Special line items for education operations"/>
    <m/>
    <n v="101736"/>
    <x v="7"/>
    <m/>
    <m/>
    <m/>
    <m/>
    <m/>
    <m/>
    <m/>
    <m/>
    <n v="0"/>
    <m/>
    <m/>
    <n v="0"/>
    <n v="0"/>
    <n v="0"/>
    <m/>
    <m/>
    <m/>
    <m/>
    <n v="0"/>
    <m/>
    <m/>
    <n v="0"/>
    <m/>
    <m/>
    <m/>
    <m/>
    <m/>
    <m/>
    <n v="0"/>
    <n v="0"/>
  </r>
  <r>
    <x v="0"/>
    <x v="8"/>
    <s v="Special Population Training"/>
    <m/>
    <n v="101736"/>
    <x v="7"/>
    <m/>
    <m/>
    <n v="163592"/>
    <n v="382249"/>
    <m/>
    <m/>
    <m/>
    <m/>
    <n v="0"/>
    <m/>
    <m/>
    <n v="0"/>
    <n v="163592"/>
    <n v="382249"/>
    <m/>
    <m/>
    <m/>
    <m/>
    <n v="0"/>
    <m/>
    <m/>
    <n v="0"/>
    <m/>
    <m/>
    <m/>
    <m/>
    <m/>
    <m/>
    <n v="163592"/>
    <n v="382249"/>
  </r>
  <r>
    <x v="0"/>
    <x v="8"/>
    <s v="Workforce Development"/>
    <m/>
    <n v="101736"/>
    <x v="7"/>
    <m/>
    <m/>
    <n v="268378"/>
    <n v="156977"/>
    <m/>
    <m/>
    <m/>
    <m/>
    <n v="0"/>
    <m/>
    <m/>
    <n v="0"/>
    <n v="268378"/>
    <n v="156977"/>
    <m/>
    <m/>
    <m/>
    <m/>
    <n v="0"/>
    <m/>
    <m/>
    <n v="0"/>
    <m/>
    <m/>
    <m/>
    <m/>
    <m/>
    <m/>
    <n v="268378"/>
    <n v="156977"/>
  </r>
  <r>
    <x v="0"/>
    <x v="0"/>
    <s v="Shelton State Community College"/>
    <s v="Met the criteria for Two-Year 1 in 2010-11."/>
    <n v="102067"/>
    <x v="7"/>
    <n v="17484627"/>
    <n v="17334896"/>
    <m/>
    <m/>
    <m/>
    <m/>
    <n v="13625100.59"/>
    <n v="2553268.75"/>
    <n v="16178369.34"/>
    <n v="15116673"/>
    <n v="2539394"/>
    <n v="17656067"/>
    <n v="31109727.59"/>
    <n v="32451569"/>
    <m/>
    <m/>
    <m/>
    <m/>
    <n v="0"/>
    <m/>
    <m/>
    <n v="0"/>
    <m/>
    <m/>
    <m/>
    <m/>
    <m/>
    <m/>
    <n v="31109727.59"/>
    <n v="32451569"/>
  </r>
  <r>
    <x v="0"/>
    <x v="3"/>
    <s v="Community or public service units"/>
    <m/>
    <n v="102067"/>
    <x v="7"/>
    <m/>
    <m/>
    <m/>
    <m/>
    <m/>
    <m/>
    <m/>
    <m/>
    <n v="0"/>
    <m/>
    <m/>
    <n v="0"/>
    <n v="0"/>
    <n v="0"/>
    <m/>
    <m/>
    <m/>
    <m/>
    <n v="0"/>
    <m/>
    <m/>
    <n v="0"/>
    <m/>
    <m/>
    <m/>
    <m/>
    <m/>
    <m/>
    <n v="0"/>
    <n v="0"/>
  </r>
  <r>
    <x v="0"/>
    <x v="3"/>
    <s v="Fire College"/>
    <m/>
    <n v="102067"/>
    <x v="7"/>
    <m/>
    <m/>
    <n v="3603408"/>
    <n v="3731064"/>
    <m/>
    <m/>
    <m/>
    <m/>
    <n v="0"/>
    <m/>
    <m/>
    <n v="0"/>
    <n v="3603408"/>
    <n v="3731064"/>
    <m/>
    <m/>
    <m/>
    <m/>
    <n v="0"/>
    <m/>
    <m/>
    <n v="0"/>
    <m/>
    <m/>
    <m/>
    <m/>
    <m/>
    <m/>
    <n v="3603408"/>
    <n v="3731064"/>
  </r>
  <r>
    <x v="0"/>
    <x v="3"/>
    <s v="Poison Control Center"/>
    <m/>
    <n v="102067"/>
    <x v="7"/>
    <m/>
    <m/>
    <n v="1039246"/>
    <n v="1030346"/>
    <m/>
    <m/>
    <m/>
    <m/>
    <n v="0"/>
    <m/>
    <m/>
    <n v="0"/>
    <n v="1039246"/>
    <n v="1030346"/>
    <m/>
    <m/>
    <m/>
    <m/>
    <n v="0"/>
    <m/>
    <m/>
    <n v="0"/>
    <m/>
    <m/>
    <m/>
    <m/>
    <m/>
    <m/>
    <n v="1039246"/>
    <n v="1030346"/>
  </r>
  <r>
    <x v="0"/>
    <x v="3"/>
    <s v="Partnership Preservation Of Labor Ed"/>
    <m/>
    <n v="102067"/>
    <x v="7"/>
    <m/>
    <m/>
    <n v="181000"/>
    <n v="179450"/>
    <m/>
    <m/>
    <m/>
    <m/>
    <n v="0"/>
    <m/>
    <m/>
    <n v="0"/>
    <n v="181000"/>
    <n v="179450"/>
    <m/>
    <m/>
    <m/>
    <m/>
    <n v="0"/>
    <m/>
    <m/>
    <n v="0"/>
    <m/>
    <m/>
    <m/>
    <m/>
    <m/>
    <m/>
    <n v="181000"/>
    <n v="179450"/>
  </r>
  <r>
    <x v="0"/>
    <x v="8"/>
    <s v="Special line items for education operations"/>
    <m/>
    <n v="102067"/>
    <x v="7"/>
    <m/>
    <m/>
    <m/>
    <m/>
    <m/>
    <m/>
    <m/>
    <m/>
    <n v="0"/>
    <m/>
    <m/>
    <n v="0"/>
    <n v="0"/>
    <n v="0"/>
    <m/>
    <m/>
    <m/>
    <m/>
    <n v="0"/>
    <m/>
    <m/>
    <n v="0"/>
    <m/>
    <m/>
    <m/>
    <m/>
    <m/>
    <m/>
    <n v="0"/>
    <n v="0"/>
  </r>
  <r>
    <x v="0"/>
    <x v="8"/>
    <s v="Special Population Training"/>
    <m/>
    <n v="102067"/>
    <x v="7"/>
    <m/>
    <m/>
    <n v="137609"/>
    <n v="201609"/>
    <m/>
    <m/>
    <m/>
    <m/>
    <n v="0"/>
    <m/>
    <m/>
    <n v="0"/>
    <n v="137609"/>
    <n v="201609"/>
    <m/>
    <m/>
    <m/>
    <m/>
    <n v="0"/>
    <m/>
    <m/>
    <n v="0"/>
    <m/>
    <m/>
    <m/>
    <m/>
    <m/>
    <m/>
    <n v="137609"/>
    <n v="201609"/>
  </r>
  <r>
    <x v="0"/>
    <x v="8"/>
    <s v="Workforce Development"/>
    <m/>
    <n v="102067"/>
    <x v="7"/>
    <m/>
    <m/>
    <n v="118891.42"/>
    <n v="44769"/>
    <m/>
    <m/>
    <m/>
    <m/>
    <n v="0"/>
    <m/>
    <m/>
    <n v="0"/>
    <n v="118891.42"/>
    <n v="44769"/>
    <m/>
    <m/>
    <m/>
    <m/>
    <n v="0"/>
    <m/>
    <m/>
    <n v="0"/>
    <m/>
    <m/>
    <m/>
    <m/>
    <m/>
    <m/>
    <n v="118891.42"/>
    <n v="44769"/>
  </r>
  <r>
    <x v="0"/>
    <x v="0"/>
    <s v="Southern Union State Community College"/>
    <m/>
    <n v="251260"/>
    <x v="7"/>
    <n v="13474968"/>
    <n v="13442901"/>
    <m/>
    <m/>
    <m/>
    <m/>
    <n v="12817488.029999999"/>
    <n v="1955028.34"/>
    <n v="14772516.369999999"/>
    <n v="12866090"/>
    <n v="2217881"/>
    <n v="15083971"/>
    <n v="26292456.030000001"/>
    <n v="26308991"/>
    <m/>
    <m/>
    <m/>
    <m/>
    <n v="0"/>
    <m/>
    <m/>
    <n v="0"/>
    <m/>
    <m/>
    <m/>
    <m/>
    <m/>
    <m/>
    <n v="26292456.030000001"/>
    <n v="26308991"/>
  </r>
  <r>
    <x v="0"/>
    <x v="8"/>
    <s v="Special line items for education operations"/>
    <m/>
    <n v="251260"/>
    <x v="7"/>
    <m/>
    <m/>
    <m/>
    <m/>
    <m/>
    <m/>
    <m/>
    <m/>
    <n v="0"/>
    <m/>
    <m/>
    <n v="0"/>
    <n v="0"/>
    <n v="0"/>
    <m/>
    <m/>
    <m/>
    <m/>
    <n v="0"/>
    <m/>
    <m/>
    <n v="0"/>
    <m/>
    <m/>
    <m/>
    <m/>
    <m/>
    <m/>
    <n v="0"/>
    <n v="0"/>
  </r>
  <r>
    <x v="0"/>
    <x v="8"/>
    <s v="Special Population Training"/>
    <m/>
    <n v="251260"/>
    <x v="7"/>
    <m/>
    <m/>
    <n v="24599.68"/>
    <n v="27692"/>
    <m/>
    <m/>
    <m/>
    <m/>
    <n v="0"/>
    <m/>
    <m/>
    <n v="0"/>
    <n v="24599.68"/>
    <n v="27692"/>
    <m/>
    <m/>
    <m/>
    <m/>
    <n v="0"/>
    <m/>
    <m/>
    <n v="0"/>
    <m/>
    <m/>
    <m/>
    <m/>
    <m/>
    <m/>
    <n v="24599.68"/>
    <n v="27692"/>
  </r>
  <r>
    <x v="0"/>
    <x v="8"/>
    <s v="Workforce Development"/>
    <m/>
    <n v="251260"/>
    <x v="7"/>
    <m/>
    <m/>
    <n v="156933.17000000001"/>
    <n v="414710"/>
    <m/>
    <m/>
    <m/>
    <m/>
    <n v="0"/>
    <m/>
    <m/>
    <n v="0"/>
    <n v="156933.17000000001"/>
    <n v="414710"/>
    <m/>
    <m/>
    <m/>
    <m/>
    <n v="0"/>
    <m/>
    <m/>
    <n v="0"/>
    <m/>
    <m/>
    <m/>
    <m/>
    <m/>
    <m/>
    <n v="156933.17000000001"/>
    <n v="414710"/>
  </r>
  <r>
    <x v="0"/>
    <x v="0"/>
    <s v="Wallace Community College - Hanceville"/>
    <s v="Met criteria for Two-Year 1 in 2009-10 and 2010-11."/>
    <n v="101295"/>
    <x v="7"/>
    <n v="15028007"/>
    <n v="15078305"/>
    <m/>
    <m/>
    <m/>
    <m/>
    <n v="16597033.640000001"/>
    <n v="787454.38"/>
    <n v="17384488.02"/>
    <n v="16806173"/>
    <n v="1560646"/>
    <n v="18366819"/>
    <n v="31625040.640000001"/>
    <n v="31884478"/>
    <m/>
    <m/>
    <m/>
    <m/>
    <n v="0"/>
    <m/>
    <m/>
    <n v="0"/>
    <m/>
    <m/>
    <m/>
    <m/>
    <m/>
    <m/>
    <n v="31625040.640000001"/>
    <n v="31884478"/>
  </r>
  <r>
    <x v="0"/>
    <x v="8"/>
    <s v="Special line items for education operations"/>
    <m/>
    <n v="101295"/>
    <x v="7"/>
    <m/>
    <m/>
    <m/>
    <m/>
    <m/>
    <m/>
    <m/>
    <m/>
    <n v="0"/>
    <m/>
    <m/>
    <n v="0"/>
    <n v="0"/>
    <n v="0"/>
    <m/>
    <m/>
    <m/>
    <m/>
    <n v="0"/>
    <m/>
    <m/>
    <n v="0"/>
    <m/>
    <m/>
    <m/>
    <m/>
    <m/>
    <m/>
    <n v="0"/>
    <n v="0"/>
  </r>
  <r>
    <x v="0"/>
    <x v="8"/>
    <s v="Special Population Training"/>
    <m/>
    <n v="101295"/>
    <x v="7"/>
    <m/>
    <m/>
    <n v="96050.15"/>
    <n v="158874"/>
    <m/>
    <m/>
    <m/>
    <m/>
    <n v="0"/>
    <m/>
    <m/>
    <n v="0"/>
    <n v="96050.15"/>
    <n v="158874"/>
    <m/>
    <m/>
    <m/>
    <m/>
    <n v="0"/>
    <m/>
    <m/>
    <n v="0"/>
    <m/>
    <m/>
    <m/>
    <m/>
    <m/>
    <m/>
    <n v="96050.15"/>
    <n v="158874"/>
  </r>
  <r>
    <x v="0"/>
    <x v="8"/>
    <s v="Workforce Development"/>
    <m/>
    <n v="101295"/>
    <x v="7"/>
    <m/>
    <m/>
    <n v="520535.72"/>
    <n v="369489"/>
    <m/>
    <m/>
    <m/>
    <m/>
    <n v="0"/>
    <m/>
    <m/>
    <n v="0"/>
    <n v="520535.72"/>
    <n v="369489"/>
    <m/>
    <m/>
    <m/>
    <m/>
    <n v="0"/>
    <m/>
    <m/>
    <n v="0"/>
    <m/>
    <m/>
    <m/>
    <m/>
    <m/>
    <m/>
    <n v="520535.72"/>
    <n v="369489"/>
  </r>
  <r>
    <x v="0"/>
    <x v="0"/>
    <s v="Alabama Southern Community College"/>
    <m/>
    <n v="101949"/>
    <x v="8"/>
    <n v="6630500"/>
    <n v="6573719"/>
    <m/>
    <m/>
    <n v="23060.04"/>
    <m/>
    <n v="2865626.86"/>
    <n v="1395662.79"/>
    <n v="4261289.6500000004"/>
    <n v="3135286"/>
    <n v="1200764"/>
    <n v="4336050"/>
    <n v="9519186.9000000004"/>
    <n v="9709005"/>
    <m/>
    <m/>
    <m/>
    <m/>
    <n v="0"/>
    <m/>
    <m/>
    <n v="0"/>
    <m/>
    <m/>
    <m/>
    <m/>
    <m/>
    <m/>
    <n v="9519186.9000000004"/>
    <n v="9709005"/>
  </r>
  <r>
    <x v="0"/>
    <x v="8"/>
    <s v="Special line items for education operations"/>
    <m/>
    <n v="101949"/>
    <x v="8"/>
    <m/>
    <m/>
    <m/>
    <m/>
    <m/>
    <m/>
    <m/>
    <m/>
    <n v="0"/>
    <m/>
    <m/>
    <n v="0"/>
    <n v="0"/>
    <n v="0"/>
    <m/>
    <m/>
    <m/>
    <m/>
    <n v="0"/>
    <m/>
    <m/>
    <n v="0"/>
    <m/>
    <m/>
    <m/>
    <m/>
    <m/>
    <m/>
    <n v="0"/>
    <n v="0"/>
  </r>
  <r>
    <x v="0"/>
    <x v="8"/>
    <s v="Special Population Training"/>
    <m/>
    <n v="101949"/>
    <x v="8"/>
    <m/>
    <m/>
    <n v="2573000"/>
    <n v="2495810"/>
    <m/>
    <m/>
    <m/>
    <m/>
    <n v="0"/>
    <m/>
    <m/>
    <n v="0"/>
    <n v="2573000"/>
    <n v="2495810"/>
    <m/>
    <m/>
    <m/>
    <m/>
    <n v="0"/>
    <m/>
    <m/>
    <n v="0"/>
    <m/>
    <m/>
    <m/>
    <m/>
    <m/>
    <m/>
    <n v="2573000"/>
    <n v="2495810"/>
  </r>
  <r>
    <x v="0"/>
    <x v="8"/>
    <s v="Workforce Development"/>
    <m/>
    <n v="101949"/>
    <x v="8"/>
    <m/>
    <m/>
    <m/>
    <n v="214845"/>
    <m/>
    <m/>
    <m/>
    <m/>
    <n v="0"/>
    <m/>
    <m/>
    <n v="0"/>
    <n v="0"/>
    <n v="214845"/>
    <m/>
    <m/>
    <m/>
    <m/>
    <n v="0"/>
    <m/>
    <m/>
    <n v="0"/>
    <m/>
    <m/>
    <m/>
    <m/>
    <m/>
    <m/>
    <n v="0"/>
    <n v="214845"/>
  </r>
  <r>
    <x v="0"/>
    <x v="0"/>
    <s v="Central Alabama Community College"/>
    <s v="Met criteria for Two-Year 2 in 2009-10 and 2010-11."/>
    <n v="100760"/>
    <x v="8"/>
    <n v="8323096"/>
    <n v="8251820"/>
    <m/>
    <m/>
    <m/>
    <m/>
    <n v="6395709.7400000002"/>
    <n v="691490.91"/>
    <n v="7087200.6500000004"/>
    <n v="6186306"/>
    <n v="695000"/>
    <n v="6881306"/>
    <n v="14718805.74"/>
    <n v="14438126"/>
    <m/>
    <m/>
    <m/>
    <m/>
    <n v="0"/>
    <m/>
    <m/>
    <n v="0"/>
    <m/>
    <m/>
    <m/>
    <m/>
    <m/>
    <m/>
    <n v="14718805.74"/>
    <n v="14438126"/>
  </r>
  <r>
    <x v="0"/>
    <x v="8"/>
    <s v="Special line items for education operations"/>
    <m/>
    <n v="100760"/>
    <x v="8"/>
    <m/>
    <m/>
    <m/>
    <m/>
    <m/>
    <m/>
    <m/>
    <m/>
    <n v="0"/>
    <m/>
    <m/>
    <n v="0"/>
    <n v="0"/>
    <n v="0"/>
    <m/>
    <m/>
    <m/>
    <m/>
    <n v="0"/>
    <m/>
    <m/>
    <n v="0"/>
    <m/>
    <m/>
    <m/>
    <m/>
    <m/>
    <m/>
    <n v="0"/>
    <n v="0"/>
  </r>
  <r>
    <x v="0"/>
    <x v="8"/>
    <s v="Special Population Training"/>
    <m/>
    <n v="100760"/>
    <x v="8"/>
    <m/>
    <m/>
    <n v="55410.239999999998"/>
    <n v="49800"/>
    <m/>
    <m/>
    <m/>
    <m/>
    <n v="0"/>
    <m/>
    <m/>
    <n v="0"/>
    <n v="55410.239999999998"/>
    <n v="49800"/>
    <m/>
    <m/>
    <m/>
    <m/>
    <n v="0"/>
    <m/>
    <m/>
    <n v="0"/>
    <m/>
    <m/>
    <m/>
    <m/>
    <m/>
    <m/>
    <n v="55410.239999999998"/>
    <n v="49800"/>
  </r>
  <r>
    <x v="0"/>
    <x v="8"/>
    <s v="Workforce Development"/>
    <m/>
    <n v="100760"/>
    <x v="8"/>
    <m/>
    <m/>
    <n v="307896.57"/>
    <n v="123725"/>
    <m/>
    <m/>
    <m/>
    <m/>
    <n v="0"/>
    <m/>
    <m/>
    <n v="0"/>
    <n v="307896.57"/>
    <n v="123725"/>
    <m/>
    <m/>
    <m/>
    <m/>
    <n v="0"/>
    <m/>
    <m/>
    <n v="0"/>
    <m/>
    <m/>
    <m/>
    <m/>
    <m/>
    <m/>
    <n v="307896.57"/>
    <n v="123725"/>
  </r>
  <r>
    <x v="0"/>
    <x v="0"/>
    <s v="Chattahoochee Valley State Community College "/>
    <m/>
    <n v="101028"/>
    <x v="8"/>
    <n v="5205401"/>
    <n v="5190410"/>
    <m/>
    <m/>
    <m/>
    <m/>
    <n v="4349472"/>
    <n v="564094.24"/>
    <n v="4913566.24"/>
    <n v="4558962"/>
    <n v="621538"/>
    <n v="5180500"/>
    <n v="9554873"/>
    <n v="9749372"/>
    <m/>
    <m/>
    <m/>
    <m/>
    <n v="0"/>
    <m/>
    <m/>
    <n v="0"/>
    <m/>
    <m/>
    <m/>
    <m/>
    <m/>
    <m/>
    <n v="9554873"/>
    <n v="9749372"/>
  </r>
  <r>
    <x v="0"/>
    <x v="8"/>
    <s v="Special line items for education operations"/>
    <m/>
    <n v="101028"/>
    <x v="8"/>
    <m/>
    <m/>
    <m/>
    <m/>
    <m/>
    <m/>
    <m/>
    <m/>
    <n v="0"/>
    <m/>
    <m/>
    <n v="0"/>
    <n v="0"/>
    <n v="0"/>
    <m/>
    <m/>
    <m/>
    <m/>
    <n v="0"/>
    <m/>
    <m/>
    <n v="0"/>
    <m/>
    <m/>
    <m/>
    <m/>
    <m/>
    <m/>
    <n v="0"/>
    <n v="0"/>
  </r>
  <r>
    <x v="0"/>
    <x v="8"/>
    <s v="Special Population Training"/>
    <m/>
    <n v="101028"/>
    <x v="8"/>
    <m/>
    <m/>
    <n v="84448.52"/>
    <n v="131307"/>
    <m/>
    <m/>
    <m/>
    <m/>
    <n v="0"/>
    <m/>
    <m/>
    <n v="0"/>
    <n v="84448.52"/>
    <n v="131307"/>
    <m/>
    <m/>
    <m/>
    <m/>
    <n v="0"/>
    <m/>
    <m/>
    <n v="0"/>
    <m/>
    <m/>
    <m/>
    <m/>
    <m/>
    <m/>
    <n v="84448.52"/>
    <n v="131307"/>
  </r>
  <r>
    <x v="0"/>
    <x v="8"/>
    <s v="Workforce Development"/>
    <m/>
    <n v="101028"/>
    <x v="8"/>
    <m/>
    <m/>
    <n v="53386.5"/>
    <n v="437448"/>
    <m/>
    <m/>
    <m/>
    <m/>
    <n v="0"/>
    <m/>
    <m/>
    <n v="0"/>
    <n v="53386.5"/>
    <n v="437448"/>
    <m/>
    <m/>
    <m/>
    <m/>
    <n v="0"/>
    <m/>
    <m/>
    <n v="0"/>
    <m/>
    <m/>
    <m/>
    <m/>
    <m/>
    <m/>
    <n v="53386.5"/>
    <n v="437448"/>
  </r>
  <r>
    <x v="0"/>
    <x v="0"/>
    <s v="Enterprise-Ozark Community College"/>
    <s v="Met criteria for Two-Year 2 in 2009-10 and 2010-11."/>
    <n v="101143"/>
    <x v="8"/>
    <n v="8406914"/>
    <n v="8376613"/>
    <m/>
    <m/>
    <m/>
    <m/>
    <n v="8520918.0399999991"/>
    <n v="448692.61"/>
    <n v="8969610.6499999985"/>
    <n v="9907130"/>
    <n v="221765"/>
    <n v="10128895"/>
    <n v="16927832.039999999"/>
    <n v="18283743"/>
    <m/>
    <m/>
    <m/>
    <m/>
    <n v="0"/>
    <m/>
    <m/>
    <n v="0"/>
    <m/>
    <m/>
    <m/>
    <m/>
    <m/>
    <m/>
    <n v="16927832.039999999"/>
    <n v="18283743"/>
  </r>
  <r>
    <x v="0"/>
    <x v="8"/>
    <s v="Special line items for education operations"/>
    <m/>
    <n v="101143"/>
    <x v="8"/>
    <m/>
    <m/>
    <m/>
    <m/>
    <m/>
    <m/>
    <m/>
    <m/>
    <n v="0"/>
    <m/>
    <m/>
    <n v="0"/>
    <n v="0"/>
    <n v="0"/>
    <m/>
    <m/>
    <m/>
    <m/>
    <n v="0"/>
    <m/>
    <m/>
    <n v="0"/>
    <m/>
    <m/>
    <m/>
    <m/>
    <m/>
    <m/>
    <n v="0"/>
    <n v="0"/>
  </r>
  <r>
    <x v="0"/>
    <x v="8"/>
    <s v="Workforce Development"/>
    <m/>
    <n v="101143"/>
    <x v="8"/>
    <m/>
    <m/>
    <n v="431758.79"/>
    <n v="385200"/>
    <m/>
    <m/>
    <m/>
    <m/>
    <n v="0"/>
    <m/>
    <m/>
    <n v="0"/>
    <n v="431758.79"/>
    <n v="385200"/>
    <m/>
    <m/>
    <m/>
    <m/>
    <n v="0"/>
    <m/>
    <m/>
    <n v="0"/>
    <m/>
    <m/>
    <m/>
    <m/>
    <m/>
    <m/>
    <n v="431758.79"/>
    <n v="385200"/>
  </r>
  <r>
    <x v="0"/>
    <x v="0"/>
    <s v="George Corley Wallace State Community College - Selma"/>
    <m/>
    <n v="101301"/>
    <x v="8"/>
    <n v="8069197"/>
    <n v="8000096"/>
    <m/>
    <m/>
    <m/>
    <m/>
    <n v="6030930.2199999997"/>
    <m/>
    <n v="6030930.2199999997"/>
    <n v="6166980"/>
    <m/>
    <n v="6166980"/>
    <n v="14100127.219999999"/>
    <n v="14167076"/>
    <m/>
    <m/>
    <m/>
    <m/>
    <n v="0"/>
    <m/>
    <m/>
    <n v="0"/>
    <m/>
    <m/>
    <m/>
    <m/>
    <m/>
    <m/>
    <n v="14100127.219999999"/>
    <n v="14167076"/>
  </r>
  <r>
    <x v="0"/>
    <x v="8"/>
    <s v="Special line items for education operations"/>
    <m/>
    <n v="101301"/>
    <x v="8"/>
    <m/>
    <m/>
    <m/>
    <m/>
    <m/>
    <m/>
    <m/>
    <m/>
    <n v="0"/>
    <m/>
    <m/>
    <n v="0"/>
    <n v="0"/>
    <n v="0"/>
    <m/>
    <m/>
    <m/>
    <m/>
    <n v="0"/>
    <m/>
    <m/>
    <n v="0"/>
    <m/>
    <m/>
    <m/>
    <m/>
    <m/>
    <m/>
    <n v="0"/>
    <n v="0"/>
  </r>
  <r>
    <x v="0"/>
    <x v="8"/>
    <s v="Special Population Training"/>
    <m/>
    <n v="101301"/>
    <x v="8"/>
    <m/>
    <m/>
    <n v="28008.48"/>
    <n v="50000"/>
    <m/>
    <m/>
    <m/>
    <m/>
    <n v="0"/>
    <m/>
    <m/>
    <n v="0"/>
    <n v="28008.48"/>
    <n v="50000"/>
    <m/>
    <m/>
    <m/>
    <m/>
    <n v="0"/>
    <m/>
    <m/>
    <n v="0"/>
    <m/>
    <m/>
    <m/>
    <m/>
    <m/>
    <m/>
    <n v="28008.48"/>
    <n v="50000"/>
  </r>
  <r>
    <x v="0"/>
    <x v="8"/>
    <s v="Workforce Development"/>
    <m/>
    <n v="101301"/>
    <x v="8"/>
    <m/>
    <m/>
    <n v="301666.65999999997"/>
    <n v="481129"/>
    <m/>
    <m/>
    <m/>
    <m/>
    <n v="0"/>
    <m/>
    <m/>
    <n v="0"/>
    <n v="301666.65999999997"/>
    <n v="481129"/>
    <m/>
    <m/>
    <m/>
    <m/>
    <n v="0"/>
    <m/>
    <m/>
    <n v="0"/>
    <m/>
    <m/>
    <m/>
    <m/>
    <m/>
    <m/>
    <n v="301666.65999999997"/>
    <n v="481129"/>
  </r>
  <r>
    <x v="0"/>
    <x v="0"/>
    <s v="Jefferson Davis Community College"/>
    <m/>
    <n v="101499"/>
    <x v="8"/>
    <n v="5863635"/>
    <n v="5821951"/>
    <m/>
    <m/>
    <m/>
    <m/>
    <n v="3478600.39"/>
    <n v="173469.96"/>
    <n v="3652070.35"/>
    <n v="3556771"/>
    <n v="177090"/>
    <n v="3733861"/>
    <n v="9342235.3900000006"/>
    <n v="9378722"/>
    <m/>
    <m/>
    <m/>
    <m/>
    <n v="0"/>
    <m/>
    <m/>
    <n v="0"/>
    <m/>
    <m/>
    <m/>
    <m/>
    <m/>
    <m/>
    <n v="9342235.3900000006"/>
    <n v="9378722"/>
  </r>
  <r>
    <x v="0"/>
    <x v="8"/>
    <s v="Special line items for education operations"/>
    <m/>
    <n v="101499"/>
    <x v="8"/>
    <m/>
    <m/>
    <m/>
    <m/>
    <m/>
    <m/>
    <m/>
    <m/>
    <n v="0"/>
    <m/>
    <m/>
    <n v="0"/>
    <n v="0"/>
    <n v="0"/>
    <m/>
    <m/>
    <m/>
    <m/>
    <n v="0"/>
    <m/>
    <m/>
    <n v="0"/>
    <m/>
    <m/>
    <m/>
    <m/>
    <m/>
    <m/>
    <n v="0"/>
    <n v="0"/>
  </r>
  <r>
    <x v="0"/>
    <x v="8"/>
    <s v="Special Population Training"/>
    <m/>
    <n v="101499"/>
    <x v="8"/>
    <m/>
    <m/>
    <n v="92500"/>
    <n v="249797"/>
    <m/>
    <m/>
    <m/>
    <m/>
    <n v="0"/>
    <m/>
    <m/>
    <n v="0"/>
    <n v="92500"/>
    <n v="249797"/>
    <m/>
    <m/>
    <m/>
    <m/>
    <n v="0"/>
    <m/>
    <m/>
    <n v="0"/>
    <m/>
    <m/>
    <m/>
    <m/>
    <m/>
    <m/>
    <n v="92500"/>
    <n v="249797"/>
  </r>
  <r>
    <x v="0"/>
    <x v="8"/>
    <s v="Workforce Development"/>
    <m/>
    <n v="101499"/>
    <x v="8"/>
    <m/>
    <m/>
    <n v="199383.75"/>
    <m/>
    <m/>
    <m/>
    <m/>
    <m/>
    <n v="0"/>
    <m/>
    <m/>
    <n v="0"/>
    <n v="199383.75"/>
    <n v="0"/>
    <m/>
    <m/>
    <m/>
    <m/>
    <n v="0"/>
    <m/>
    <m/>
    <n v="0"/>
    <m/>
    <m/>
    <m/>
    <m/>
    <m/>
    <m/>
    <n v="199383.75"/>
    <n v="0"/>
  </r>
  <r>
    <x v="0"/>
    <x v="0"/>
    <s v="Lurleen B. Wallace Community College "/>
    <m/>
    <n v="101602"/>
    <x v="8"/>
    <n v="7016886"/>
    <n v="6956796"/>
    <m/>
    <m/>
    <n v="190480.89"/>
    <n v="185000"/>
    <n v="4728799.24"/>
    <n v="465711.56"/>
    <n v="5194510.8"/>
    <n v="4702551"/>
    <n v="363300"/>
    <n v="5065851"/>
    <n v="11936166.129999999"/>
    <n v="11844347"/>
    <m/>
    <m/>
    <m/>
    <m/>
    <n v="0"/>
    <m/>
    <m/>
    <n v="0"/>
    <m/>
    <m/>
    <m/>
    <m/>
    <m/>
    <m/>
    <n v="11936166.129999999"/>
    <n v="11844347"/>
  </r>
  <r>
    <x v="0"/>
    <x v="8"/>
    <s v="Special line items for education operations"/>
    <m/>
    <n v="101602"/>
    <x v="8"/>
    <m/>
    <m/>
    <m/>
    <m/>
    <m/>
    <m/>
    <m/>
    <m/>
    <n v="0"/>
    <m/>
    <m/>
    <n v="0"/>
    <n v="0"/>
    <n v="0"/>
    <m/>
    <m/>
    <m/>
    <m/>
    <n v="0"/>
    <m/>
    <m/>
    <n v="0"/>
    <m/>
    <m/>
    <m/>
    <m/>
    <m/>
    <m/>
    <n v="0"/>
    <n v="0"/>
  </r>
  <r>
    <x v="0"/>
    <x v="8"/>
    <s v="Special Population Training"/>
    <m/>
    <n v="101602"/>
    <x v="8"/>
    <m/>
    <m/>
    <n v="27070.99"/>
    <n v="35967"/>
    <m/>
    <m/>
    <m/>
    <m/>
    <n v="0"/>
    <m/>
    <m/>
    <n v="0"/>
    <n v="27070.99"/>
    <n v="35967"/>
    <m/>
    <m/>
    <m/>
    <m/>
    <n v="0"/>
    <m/>
    <m/>
    <n v="0"/>
    <m/>
    <m/>
    <m/>
    <m/>
    <m/>
    <m/>
    <n v="27070.99"/>
    <n v="35967"/>
  </r>
  <r>
    <x v="0"/>
    <x v="8"/>
    <s v="Workforce Development"/>
    <m/>
    <n v="101602"/>
    <x v="8"/>
    <m/>
    <m/>
    <n v="126080"/>
    <n v="170849"/>
    <m/>
    <m/>
    <m/>
    <m/>
    <n v="0"/>
    <m/>
    <m/>
    <n v="0"/>
    <n v="126080"/>
    <n v="170849"/>
    <m/>
    <m/>
    <m/>
    <m/>
    <n v="0"/>
    <m/>
    <m/>
    <n v="0"/>
    <m/>
    <m/>
    <m/>
    <m/>
    <m/>
    <m/>
    <n v="126080"/>
    <n v="170849"/>
  </r>
  <r>
    <x v="0"/>
    <x v="0"/>
    <s v="Northeast Alabama State Community College "/>
    <s v="Reclassified: met the criteria for Two-Year 2 in 2008-09, 2009-10 and 2010-11."/>
    <n v="101897"/>
    <x v="7"/>
    <n v="6029742"/>
    <n v="6020175"/>
    <m/>
    <m/>
    <m/>
    <m/>
    <n v="9141639.0700000003"/>
    <n v="466366.26"/>
    <n v="9608005.3300000001"/>
    <n v="9443418"/>
    <n v="905675"/>
    <n v="10349093"/>
    <n v="15171381.07"/>
    <n v="15463593"/>
    <m/>
    <m/>
    <m/>
    <m/>
    <n v="0"/>
    <m/>
    <m/>
    <n v="0"/>
    <m/>
    <m/>
    <m/>
    <m/>
    <m/>
    <m/>
    <n v="15171381.07"/>
    <n v="15463593"/>
  </r>
  <r>
    <x v="0"/>
    <x v="8"/>
    <s v="Special line items for education operations"/>
    <m/>
    <n v="101897"/>
    <x v="7"/>
    <m/>
    <m/>
    <m/>
    <m/>
    <m/>
    <m/>
    <m/>
    <m/>
    <n v="0"/>
    <m/>
    <m/>
    <n v="0"/>
    <n v="0"/>
    <n v="0"/>
    <m/>
    <m/>
    <m/>
    <m/>
    <n v="0"/>
    <m/>
    <m/>
    <n v="0"/>
    <m/>
    <m/>
    <m/>
    <m/>
    <m/>
    <m/>
    <n v="0"/>
    <n v="0"/>
  </r>
  <r>
    <x v="0"/>
    <x v="8"/>
    <s v="Special Population Training"/>
    <m/>
    <n v="101897"/>
    <x v="7"/>
    <m/>
    <m/>
    <n v="41904.89"/>
    <n v="185000"/>
    <m/>
    <m/>
    <m/>
    <m/>
    <n v="0"/>
    <m/>
    <m/>
    <n v="0"/>
    <n v="41904.89"/>
    <n v="185000"/>
    <m/>
    <m/>
    <m/>
    <m/>
    <n v="0"/>
    <m/>
    <m/>
    <n v="0"/>
    <m/>
    <m/>
    <m/>
    <m/>
    <m/>
    <m/>
    <n v="41904.89"/>
    <n v="185000"/>
  </r>
  <r>
    <x v="0"/>
    <x v="8"/>
    <s v="Workforce Development"/>
    <m/>
    <n v="101897"/>
    <x v="7"/>
    <m/>
    <m/>
    <n v="111308"/>
    <n v="165769"/>
    <m/>
    <m/>
    <m/>
    <m/>
    <n v="0"/>
    <m/>
    <m/>
    <n v="0"/>
    <n v="111308"/>
    <n v="165769"/>
    <m/>
    <m/>
    <m/>
    <m/>
    <n v="0"/>
    <m/>
    <m/>
    <n v="0"/>
    <m/>
    <m/>
    <m/>
    <m/>
    <m/>
    <m/>
    <n v="111308"/>
    <n v="165769"/>
  </r>
  <r>
    <x v="0"/>
    <x v="0"/>
    <s v="Snead State Community College "/>
    <s v="Met the criteria for Two-Year 2 in 2010-11."/>
    <n v="102076"/>
    <x v="8"/>
    <n v="5651668"/>
    <n v="5633775"/>
    <m/>
    <m/>
    <m/>
    <m/>
    <n v="6425048.1200000001"/>
    <n v="571510.82999999996"/>
    <n v="6996558.9500000002"/>
    <n v="6736577"/>
    <n v="508123"/>
    <n v="7244700"/>
    <n v="12076716.120000001"/>
    <n v="12370352"/>
    <m/>
    <m/>
    <m/>
    <m/>
    <n v="0"/>
    <m/>
    <m/>
    <n v="0"/>
    <m/>
    <m/>
    <m/>
    <m/>
    <m/>
    <m/>
    <n v="12076716.120000001"/>
    <n v="12370352"/>
  </r>
  <r>
    <x v="0"/>
    <x v="8"/>
    <s v="Special line items for education operations"/>
    <m/>
    <n v="102076"/>
    <x v="8"/>
    <m/>
    <m/>
    <m/>
    <m/>
    <m/>
    <m/>
    <m/>
    <m/>
    <n v="0"/>
    <m/>
    <m/>
    <n v="0"/>
    <n v="0"/>
    <n v="0"/>
    <m/>
    <m/>
    <m/>
    <m/>
    <n v="0"/>
    <m/>
    <m/>
    <n v="0"/>
    <m/>
    <m/>
    <m/>
    <m/>
    <m/>
    <m/>
    <n v="0"/>
    <n v="0"/>
  </r>
  <r>
    <x v="0"/>
    <x v="8"/>
    <s v="Special Population Training"/>
    <m/>
    <n v="102076"/>
    <x v="8"/>
    <m/>
    <m/>
    <n v="32846.78"/>
    <n v="55000"/>
    <m/>
    <m/>
    <m/>
    <m/>
    <n v="0"/>
    <m/>
    <m/>
    <n v="0"/>
    <n v="32846.78"/>
    <n v="55000"/>
    <m/>
    <m/>
    <m/>
    <m/>
    <n v="0"/>
    <m/>
    <m/>
    <n v="0"/>
    <m/>
    <m/>
    <m/>
    <m/>
    <m/>
    <m/>
    <n v="32846.78"/>
    <n v="55000"/>
  </r>
  <r>
    <x v="0"/>
    <x v="8"/>
    <s v="Workforce Development"/>
    <m/>
    <n v="102076"/>
    <x v="8"/>
    <m/>
    <m/>
    <n v="126281.71"/>
    <n v="185551"/>
    <m/>
    <m/>
    <m/>
    <m/>
    <n v="0"/>
    <m/>
    <m/>
    <n v="0"/>
    <n v="126281.71"/>
    <n v="185551"/>
    <m/>
    <m/>
    <m/>
    <m/>
    <n v="0"/>
    <m/>
    <m/>
    <n v="0"/>
    <m/>
    <m/>
    <m/>
    <m/>
    <m/>
    <m/>
    <n v="126281.71"/>
    <n v="185551"/>
  </r>
  <r>
    <x v="0"/>
    <x v="0"/>
    <s v="Trenholm State Technical College"/>
    <m/>
    <n v="102313"/>
    <x v="9"/>
    <n v="9673185"/>
    <n v="9590348"/>
    <m/>
    <m/>
    <m/>
    <m/>
    <n v="4548225.1399999997"/>
    <n v="396932.42"/>
    <n v="4945157.5599999996"/>
    <n v="4871214"/>
    <n v="393633"/>
    <n v="5264847"/>
    <n v="14221410.140000001"/>
    <n v="14461562"/>
    <m/>
    <m/>
    <m/>
    <m/>
    <n v="0"/>
    <m/>
    <m/>
    <n v="0"/>
    <m/>
    <m/>
    <m/>
    <m/>
    <m/>
    <m/>
    <n v="14221410.140000001"/>
    <n v="14461562"/>
  </r>
  <r>
    <x v="0"/>
    <x v="8"/>
    <s v="Special line items for education operations"/>
    <m/>
    <n v="102313"/>
    <x v="9"/>
    <m/>
    <m/>
    <m/>
    <m/>
    <m/>
    <m/>
    <m/>
    <m/>
    <n v="0"/>
    <m/>
    <m/>
    <n v="0"/>
    <n v="0"/>
    <n v="0"/>
    <m/>
    <m/>
    <m/>
    <m/>
    <n v="0"/>
    <m/>
    <m/>
    <n v="0"/>
    <m/>
    <m/>
    <m/>
    <m/>
    <m/>
    <m/>
    <n v="0"/>
    <n v="0"/>
  </r>
  <r>
    <x v="0"/>
    <x v="8"/>
    <s v="Special Population Training"/>
    <m/>
    <n v="102313"/>
    <x v="9"/>
    <m/>
    <m/>
    <n v="23125"/>
    <m/>
    <m/>
    <m/>
    <m/>
    <m/>
    <n v="0"/>
    <m/>
    <m/>
    <n v="0"/>
    <n v="23125"/>
    <n v="0"/>
    <m/>
    <m/>
    <m/>
    <m/>
    <n v="0"/>
    <m/>
    <m/>
    <n v="0"/>
    <m/>
    <m/>
    <m/>
    <m/>
    <m/>
    <m/>
    <n v="23125"/>
    <n v="0"/>
  </r>
  <r>
    <x v="0"/>
    <x v="8"/>
    <s v="Workforce Development"/>
    <m/>
    <n v="102313"/>
    <x v="9"/>
    <m/>
    <m/>
    <n v="34122"/>
    <n v="145192"/>
    <m/>
    <m/>
    <m/>
    <m/>
    <n v="0"/>
    <m/>
    <m/>
    <n v="0"/>
    <n v="34122"/>
    <n v="145192"/>
    <m/>
    <m/>
    <m/>
    <m/>
    <n v="0"/>
    <m/>
    <m/>
    <n v="0"/>
    <m/>
    <m/>
    <m/>
    <m/>
    <m/>
    <m/>
    <n v="34122"/>
    <n v="145192"/>
  </r>
  <r>
    <x v="0"/>
    <x v="0"/>
    <s v="J.F. Drake State Technical College "/>
    <s v="Met the criteria for Technical Institute 1 in 2010-11."/>
    <n v="101462"/>
    <x v="10"/>
    <n v="3664286"/>
    <n v="3679391"/>
    <m/>
    <m/>
    <m/>
    <m/>
    <n v="3429855.44"/>
    <n v="295300"/>
    <n v="3725155.44"/>
    <n v="3284259"/>
    <n v="295030"/>
    <n v="3579289"/>
    <n v="7094141.4399999995"/>
    <n v="6963650"/>
    <m/>
    <m/>
    <m/>
    <m/>
    <n v="0"/>
    <m/>
    <m/>
    <n v="0"/>
    <m/>
    <m/>
    <m/>
    <m/>
    <m/>
    <m/>
    <n v="7094141.4399999995"/>
    <n v="6963650"/>
  </r>
  <r>
    <x v="0"/>
    <x v="8"/>
    <s v="Special line items for education operations"/>
    <m/>
    <n v="101462"/>
    <x v="10"/>
    <m/>
    <m/>
    <m/>
    <m/>
    <m/>
    <m/>
    <m/>
    <m/>
    <n v="0"/>
    <m/>
    <m/>
    <n v="0"/>
    <n v="0"/>
    <n v="0"/>
    <m/>
    <m/>
    <m/>
    <m/>
    <n v="0"/>
    <m/>
    <m/>
    <n v="0"/>
    <m/>
    <m/>
    <m/>
    <m/>
    <m/>
    <m/>
    <n v="0"/>
    <n v="0"/>
  </r>
  <r>
    <x v="0"/>
    <x v="8"/>
    <s v="Special Population Training"/>
    <m/>
    <n v="101462"/>
    <x v="10"/>
    <m/>
    <m/>
    <n v="258538"/>
    <n v="25000"/>
    <m/>
    <m/>
    <m/>
    <m/>
    <n v="0"/>
    <m/>
    <m/>
    <n v="0"/>
    <n v="258538"/>
    <n v="25000"/>
    <m/>
    <m/>
    <m/>
    <m/>
    <n v="0"/>
    <m/>
    <m/>
    <n v="0"/>
    <m/>
    <m/>
    <m/>
    <m/>
    <m/>
    <m/>
    <n v="258538"/>
    <n v="25000"/>
  </r>
  <r>
    <x v="0"/>
    <x v="8"/>
    <s v="Workforce Development"/>
    <m/>
    <n v="101462"/>
    <x v="10"/>
    <m/>
    <m/>
    <n v="205041"/>
    <n v="125889"/>
    <m/>
    <m/>
    <m/>
    <m/>
    <n v="0"/>
    <m/>
    <m/>
    <n v="0"/>
    <n v="205041"/>
    <n v="125889"/>
    <m/>
    <m/>
    <m/>
    <m/>
    <n v="0"/>
    <m/>
    <m/>
    <n v="0"/>
    <m/>
    <m/>
    <m/>
    <m/>
    <m/>
    <m/>
    <n v="205041"/>
    <n v="125889"/>
  </r>
  <r>
    <x v="0"/>
    <x v="0"/>
    <s v="J.F. Ingram State Technical College "/>
    <m/>
    <n v="101471"/>
    <x v="10"/>
    <n v="6164813"/>
    <n v="6110765"/>
    <m/>
    <m/>
    <m/>
    <m/>
    <n v="2219176.75"/>
    <m/>
    <n v="2219176.75"/>
    <n v="2308800"/>
    <m/>
    <n v="2308800"/>
    <n v="8383989.75"/>
    <n v="8419565"/>
    <m/>
    <m/>
    <m/>
    <m/>
    <n v="0"/>
    <m/>
    <m/>
    <n v="0"/>
    <m/>
    <m/>
    <m/>
    <m/>
    <m/>
    <m/>
    <n v="8383989.75"/>
    <n v="8419565"/>
  </r>
  <r>
    <x v="0"/>
    <x v="8"/>
    <s v="Special line items for education operations"/>
    <m/>
    <n v="101471"/>
    <x v="10"/>
    <m/>
    <m/>
    <m/>
    <m/>
    <m/>
    <m/>
    <m/>
    <m/>
    <n v="0"/>
    <m/>
    <m/>
    <n v="0"/>
    <n v="0"/>
    <n v="0"/>
    <m/>
    <m/>
    <m/>
    <m/>
    <n v="0"/>
    <m/>
    <m/>
    <n v="0"/>
    <m/>
    <m/>
    <m/>
    <m/>
    <m/>
    <m/>
    <n v="0"/>
    <n v="0"/>
  </r>
  <r>
    <x v="0"/>
    <x v="8"/>
    <s v="Special Population Training"/>
    <m/>
    <n v="101471"/>
    <x v="10"/>
    <m/>
    <m/>
    <m/>
    <n v="92729"/>
    <m/>
    <m/>
    <m/>
    <m/>
    <n v="0"/>
    <m/>
    <m/>
    <n v="0"/>
    <n v="0"/>
    <n v="92729"/>
    <m/>
    <m/>
    <m/>
    <m/>
    <n v="0"/>
    <m/>
    <m/>
    <n v="0"/>
    <m/>
    <m/>
    <m/>
    <m/>
    <m/>
    <m/>
    <n v="0"/>
    <n v="92729"/>
  </r>
  <r>
    <x v="0"/>
    <x v="0"/>
    <s v="Reid State Technical College "/>
    <m/>
    <n v="101994"/>
    <x v="10"/>
    <n v="4177612"/>
    <n v="4141837"/>
    <m/>
    <m/>
    <m/>
    <m/>
    <n v="2364866.15"/>
    <n v="248744.59"/>
    <n v="2613610.7399999998"/>
    <n v="2334439"/>
    <n v="249890"/>
    <n v="2584329"/>
    <n v="6542478.1500000004"/>
    <n v="6476276"/>
    <m/>
    <m/>
    <m/>
    <m/>
    <n v="0"/>
    <m/>
    <m/>
    <n v="0"/>
    <m/>
    <m/>
    <m/>
    <m/>
    <m/>
    <m/>
    <n v="6542478.1500000004"/>
    <n v="6476276"/>
  </r>
  <r>
    <x v="0"/>
    <x v="8"/>
    <s v="Special line items for education operations"/>
    <m/>
    <n v="101994"/>
    <x v="10"/>
    <m/>
    <m/>
    <m/>
    <m/>
    <m/>
    <m/>
    <m/>
    <m/>
    <n v="0"/>
    <m/>
    <m/>
    <n v="0"/>
    <n v="0"/>
    <n v="0"/>
    <m/>
    <m/>
    <m/>
    <m/>
    <n v="0"/>
    <m/>
    <m/>
    <n v="0"/>
    <m/>
    <m/>
    <m/>
    <m/>
    <m/>
    <m/>
    <n v="0"/>
    <n v="0"/>
  </r>
  <r>
    <x v="0"/>
    <x v="8"/>
    <s v="Special Population Training"/>
    <m/>
    <n v="101994"/>
    <x v="10"/>
    <m/>
    <m/>
    <n v="280187.40000000002"/>
    <n v="4990"/>
    <m/>
    <m/>
    <m/>
    <m/>
    <n v="0"/>
    <m/>
    <m/>
    <n v="0"/>
    <n v="280187.40000000002"/>
    <n v="4990"/>
    <m/>
    <m/>
    <m/>
    <m/>
    <n v="0"/>
    <m/>
    <m/>
    <n v="0"/>
    <m/>
    <m/>
    <m/>
    <m/>
    <m/>
    <m/>
    <n v="280187.40000000002"/>
    <n v="4990"/>
  </r>
  <r>
    <x v="0"/>
    <x v="8"/>
    <s v="Workforce Development"/>
    <m/>
    <n v="101994"/>
    <x v="10"/>
    <m/>
    <m/>
    <n v="128509.11"/>
    <n v="280482"/>
    <m/>
    <m/>
    <m/>
    <m/>
    <n v="0"/>
    <m/>
    <m/>
    <n v="0"/>
    <n v="128509.11"/>
    <n v="280482"/>
    <m/>
    <m/>
    <m/>
    <m/>
    <n v="0"/>
    <m/>
    <m/>
    <n v="0"/>
    <m/>
    <m/>
    <m/>
    <m/>
    <m/>
    <m/>
    <n v="128509.11"/>
    <n v="280482"/>
  </r>
  <r>
    <x v="0"/>
    <x v="9"/>
    <s v="Marion Military Institute"/>
    <m/>
    <n v="101648"/>
    <x v="11"/>
    <m/>
    <m/>
    <m/>
    <m/>
    <m/>
    <m/>
    <m/>
    <m/>
    <n v="0"/>
    <m/>
    <m/>
    <n v="0"/>
    <n v="0"/>
    <n v="0"/>
    <n v="5925939"/>
    <n v="5875192"/>
    <n v="4711616.91"/>
    <n v="181829.22"/>
    <n v="4893446.13"/>
    <n v="4208010"/>
    <n v="179300"/>
    <n v="4387310"/>
    <m/>
    <m/>
    <m/>
    <m/>
    <m/>
    <m/>
    <n v="10637555.91"/>
    <n v="10083202"/>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200824"/>
    <n v="1184945"/>
    <m/>
    <m/>
    <m/>
    <m/>
    <n v="0"/>
    <m/>
    <m/>
    <n v="0"/>
    <n v="1200824"/>
    <n v="1184945"/>
    <m/>
    <m/>
    <m/>
    <m/>
    <n v="0"/>
    <m/>
    <m/>
    <n v="0"/>
    <m/>
    <m/>
    <m/>
    <m/>
    <m/>
    <m/>
    <n v="1200824"/>
    <n v="1184945"/>
  </r>
  <r>
    <x v="0"/>
    <x v="11"/>
    <s v="MESC/Dauphin Isl Sealab/Marine Environmental Sci Consort."/>
    <m/>
    <m/>
    <x v="12"/>
    <m/>
    <m/>
    <n v="3499430"/>
    <n v="3469463"/>
    <m/>
    <m/>
    <m/>
    <m/>
    <n v="0"/>
    <m/>
    <m/>
    <n v="0"/>
    <n v="3499430"/>
    <n v="3469463"/>
    <m/>
    <m/>
    <m/>
    <m/>
    <n v="0"/>
    <m/>
    <m/>
    <n v="0"/>
    <m/>
    <m/>
    <m/>
    <m/>
    <m/>
    <m/>
    <n v="3499430"/>
    <n v="3469463"/>
  </r>
  <r>
    <x v="0"/>
    <x v="12"/>
    <s v="Special line items for education operations"/>
    <m/>
    <m/>
    <x v="12"/>
    <m/>
    <m/>
    <m/>
    <m/>
    <m/>
    <m/>
    <m/>
    <m/>
    <n v="0"/>
    <m/>
    <m/>
    <n v="0"/>
    <n v="0"/>
    <n v="0"/>
    <m/>
    <m/>
    <m/>
    <m/>
    <n v="0"/>
    <m/>
    <m/>
    <n v="0"/>
    <m/>
    <m/>
    <m/>
    <m/>
    <m/>
    <m/>
    <n v="0"/>
    <n v="0"/>
  </r>
  <r>
    <x v="0"/>
    <x v="12"/>
    <s v="Network of Al Academic Libraries (NAAL)"/>
    <m/>
    <m/>
    <x v="12"/>
    <m/>
    <m/>
    <n v="259124"/>
    <n v="313821"/>
    <m/>
    <m/>
    <m/>
    <m/>
    <n v="0"/>
    <m/>
    <m/>
    <n v="0"/>
    <n v="259124"/>
    <n v="313821"/>
    <m/>
    <m/>
    <m/>
    <m/>
    <n v="0"/>
    <m/>
    <m/>
    <n v="0"/>
    <m/>
    <m/>
    <m/>
    <m/>
    <m/>
    <m/>
    <n v="259124"/>
    <n v="313821"/>
  </r>
  <r>
    <x v="0"/>
    <x v="12"/>
    <s v="AL Agricultural LG Alliance"/>
    <m/>
    <m/>
    <x v="12"/>
    <m/>
    <m/>
    <n v="1885141"/>
    <n v="1546413"/>
    <m/>
    <m/>
    <m/>
    <m/>
    <n v="0"/>
    <m/>
    <m/>
    <n v="0"/>
    <n v="1885141"/>
    <n v="1546413"/>
    <m/>
    <m/>
    <m/>
    <m/>
    <n v="0"/>
    <m/>
    <m/>
    <n v="0"/>
    <m/>
    <m/>
    <m/>
    <m/>
    <m/>
    <m/>
    <n v="1885141"/>
    <n v="1546413"/>
  </r>
  <r>
    <x v="0"/>
    <x v="12"/>
    <s v="Adult Basic Education"/>
    <m/>
    <m/>
    <x v="12"/>
    <m/>
    <m/>
    <n v="12193805"/>
    <n v="12656223"/>
    <m/>
    <m/>
    <m/>
    <m/>
    <n v="0"/>
    <m/>
    <m/>
    <n v="0"/>
    <n v="12193805"/>
    <n v="12656223"/>
    <m/>
    <m/>
    <m/>
    <m/>
    <n v="0"/>
    <m/>
    <m/>
    <n v="0"/>
    <m/>
    <m/>
    <m/>
    <m/>
    <m/>
    <m/>
    <n v="12193805"/>
    <n v="12656223"/>
  </r>
  <r>
    <x v="0"/>
    <x v="12"/>
    <s v="Alabama Technology Network"/>
    <m/>
    <m/>
    <x v="12"/>
    <m/>
    <m/>
    <n v="4755040"/>
    <n v="4753120"/>
    <m/>
    <m/>
    <m/>
    <m/>
    <n v="0"/>
    <m/>
    <m/>
    <n v="0"/>
    <n v="4755040"/>
    <n v="4753120"/>
    <m/>
    <m/>
    <m/>
    <m/>
    <n v="0"/>
    <m/>
    <m/>
    <n v="0"/>
    <m/>
    <m/>
    <m/>
    <m/>
    <m/>
    <m/>
    <n v="4755040"/>
    <n v="4753120"/>
  </r>
  <r>
    <x v="0"/>
    <x v="12"/>
    <s v="Special Population Training"/>
    <m/>
    <m/>
    <x v="12"/>
    <m/>
    <m/>
    <n v="42805.53"/>
    <n v="0"/>
    <m/>
    <m/>
    <m/>
    <m/>
    <n v="0"/>
    <m/>
    <m/>
    <n v="0"/>
    <n v="42805.53"/>
    <n v="0"/>
    <m/>
    <m/>
    <m/>
    <m/>
    <n v="0"/>
    <m/>
    <m/>
    <n v="0"/>
    <m/>
    <m/>
    <m/>
    <m/>
    <m/>
    <m/>
    <n v="42805.53"/>
    <n v="0"/>
  </r>
  <r>
    <x v="0"/>
    <x v="12"/>
    <s v="Prison Education - Theraputic Training"/>
    <m/>
    <m/>
    <x v="12"/>
    <m/>
    <m/>
    <n v="1821497"/>
    <n v="1999898"/>
    <m/>
    <m/>
    <m/>
    <m/>
    <n v="0"/>
    <m/>
    <m/>
    <n v="0"/>
    <n v="1821497"/>
    <n v="1999898"/>
    <m/>
    <m/>
    <m/>
    <m/>
    <n v="0"/>
    <m/>
    <m/>
    <n v="0"/>
    <m/>
    <m/>
    <m/>
    <m/>
    <m/>
    <m/>
    <n v="1821497"/>
    <n v="1999898"/>
  </r>
  <r>
    <x v="0"/>
    <x v="12"/>
    <s v="Military Operations Program"/>
    <m/>
    <m/>
    <x v="12"/>
    <m/>
    <m/>
    <n v="438469"/>
    <m/>
    <m/>
    <m/>
    <m/>
    <m/>
    <n v="0"/>
    <m/>
    <m/>
    <n v="0"/>
    <n v="438469"/>
    <n v="0"/>
    <m/>
    <m/>
    <m/>
    <m/>
    <n v="0"/>
    <m/>
    <m/>
    <n v="0"/>
    <m/>
    <m/>
    <m/>
    <m/>
    <m/>
    <m/>
    <n v="438469"/>
    <n v="0"/>
  </r>
  <r>
    <x v="0"/>
    <x v="12"/>
    <s v="Workforce Development"/>
    <m/>
    <m/>
    <x v="12"/>
    <m/>
    <m/>
    <n v="228000"/>
    <n v="904907"/>
    <m/>
    <m/>
    <m/>
    <m/>
    <n v="0"/>
    <m/>
    <m/>
    <n v="0"/>
    <n v="228000"/>
    <n v="904907"/>
    <m/>
    <m/>
    <m/>
    <m/>
    <n v="0"/>
    <m/>
    <m/>
    <n v="0"/>
    <m/>
    <m/>
    <m/>
    <m/>
    <m/>
    <m/>
    <n v="228000"/>
    <n v="904907"/>
  </r>
  <r>
    <x v="0"/>
    <x v="12"/>
    <s v="Washington Ctr Intership Pgm"/>
    <m/>
    <m/>
    <x v="12"/>
    <m/>
    <m/>
    <n v="53275"/>
    <n v="49030"/>
    <m/>
    <m/>
    <m/>
    <m/>
    <n v="0"/>
    <m/>
    <m/>
    <n v="0"/>
    <n v="53275"/>
    <n v="49030"/>
    <m/>
    <m/>
    <m/>
    <m/>
    <n v="0"/>
    <m/>
    <m/>
    <n v="0"/>
    <m/>
    <m/>
    <m/>
    <m/>
    <m/>
    <m/>
    <n v="53275"/>
    <n v="49030"/>
  </r>
  <r>
    <x v="0"/>
    <x v="12"/>
    <s v="ESL Program"/>
    <m/>
    <m/>
    <x v="12"/>
    <m/>
    <m/>
    <m/>
    <n v="0"/>
    <m/>
    <m/>
    <m/>
    <m/>
    <n v="0"/>
    <m/>
    <m/>
    <n v="0"/>
    <n v="0"/>
    <n v="0"/>
    <m/>
    <m/>
    <m/>
    <m/>
    <n v="0"/>
    <m/>
    <m/>
    <n v="0"/>
    <m/>
    <m/>
    <m/>
    <m/>
    <m/>
    <m/>
    <n v="0"/>
    <n v="0"/>
  </r>
  <r>
    <x v="0"/>
    <x v="12"/>
    <s v="Mine Safety Training Pgm"/>
    <m/>
    <m/>
    <x v="12"/>
    <m/>
    <m/>
    <n v="239822"/>
    <n v="237768"/>
    <m/>
    <m/>
    <m/>
    <m/>
    <n v="0"/>
    <m/>
    <m/>
    <n v="0"/>
    <n v="239822"/>
    <n v="237768"/>
    <m/>
    <m/>
    <m/>
    <m/>
    <n v="0"/>
    <m/>
    <m/>
    <n v="0"/>
    <m/>
    <m/>
    <m/>
    <m/>
    <m/>
    <m/>
    <n v="239822"/>
    <n v="237768"/>
  </r>
  <r>
    <x v="0"/>
    <x v="12"/>
    <s v="Statewide workforce devlopment (administered by AL Industrial Development Training Institute)"/>
    <m/>
    <m/>
    <x v="12"/>
    <m/>
    <m/>
    <n v="33573637"/>
    <n v="33509228"/>
    <m/>
    <m/>
    <m/>
    <m/>
    <n v="0"/>
    <m/>
    <m/>
    <n v="0"/>
    <n v="33573637"/>
    <n v="33509228"/>
    <m/>
    <m/>
    <m/>
    <m/>
    <n v="0"/>
    <m/>
    <m/>
    <n v="0"/>
    <m/>
    <m/>
    <m/>
    <m/>
    <m/>
    <m/>
    <n v="33573637"/>
    <n v="33509228"/>
  </r>
  <r>
    <x v="0"/>
    <x v="13"/>
    <s v="Educational special purpose funds - all other"/>
    <m/>
    <m/>
    <x v="12"/>
    <m/>
    <m/>
    <m/>
    <m/>
    <m/>
    <m/>
    <m/>
    <m/>
    <n v="0"/>
    <m/>
    <m/>
    <n v="0"/>
    <n v="0"/>
    <n v="0"/>
    <m/>
    <m/>
    <m/>
    <m/>
    <n v="0"/>
    <m/>
    <m/>
    <n v="0"/>
    <m/>
    <m/>
    <m/>
    <m/>
    <m/>
    <m/>
    <n v="0"/>
    <n v="0"/>
  </r>
  <r>
    <x v="0"/>
    <x v="13"/>
    <s v="Telephone Revolving Fund"/>
    <m/>
    <m/>
    <x v="12"/>
    <m/>
    <m/>
    <n v="1119169"/>
    <n v="1109585"/>
    <m/>
    <m/>
    <m/>
    <m/>
    <n v="0"/>
    <m/>
    <m/>
    <n v="0"/>
    <n v="1119169"/>
    <n v="1109585"/>
    <m/>
    <m/>
    <m/>
    <m/>
    <n v="0"/>
    <m/>
    <m/>
    <n v="0"/>
    <m/>
    <m/>
    <m/>
    <m/>
    <m/>
    <m/>
    <n v="1119169"/>
    <n v="1109585"/>
  </r>
  <r>
    <x v="0"/>
    <x v="13"/>
    <s v="Articulation "/>
    <m/>
    <m/>
    <x v="12"/>
    <m/>
    <m/>
    <n v="366729"/>
    <n v="385164"/>
    <m/>
    <m/>
    <m/>
    <m/>
    <n v="0"/>
    <m/>
    <m/>
    <n v="0"/>
    <n v="366729"/>
    <n v="385164"/>
    <m/>
    <m/>
    <m/>
    <m/>
    <n v="0"/>
    <m/>
    <m/>
    <n v="0"/>
    <m/>
    <m/>
    <m/>
    <m/>
    <m/>
    <m/>
    <n v="366729"/>
    <n v="385164"/>
  </r>
  <r>
    <x v="0"/>
    <x v="13"/>
    <s v="Knight v Alabama"/>
    <m/>
    <m/>
    <x v="12"/>
    <m/>
    <m/>
    <n v="8235633"/>
    <n v="5235134"/>
    <m/>
    <m/>
    <m/>
    <m/>
    <n v="0"/>
    <m/>
    <m/>
    <n v="0"/>
    <n v="8235633"/>
    <n v="5235134"/>
    <m/>
    <m/>
    <m/>
    <m/>
    <n v="0"/>
    <m/>
    <m/>
    <n v="0"/>
    <m/>
    <m/>
    <m/>
    <m/>
    <m/>
    <m/>
    <n v="8235633"/>
    <n v="5235134"/>
  </r>
  <r>
    <x v="0"/>
    <x v="13"/>
    <s v="School &amp; University Partnership for Education Renewal "/>
    <m/>
    <m/>
    <x v="12"/>
    <m/>
    <m/>
    <n v="79940"/>
    <n v="79256"/>
    <m/>
    <m/>
    <m/>
    <m/>
    <n v="0"/>
    <m/>
    <m/>
    <n v="0"/>
    <n v="79940"/>
    <n v="79256"/>
    <m/>
    <m/>
    <m/>
    <m/>
    <n v="0"/>
    <m/>
    <m/>
    <n v="0"/>
    <m/>
    <m/>
    <m/>
    <m/>
    <m/>
    <m/>
    <n v="79940"/>
    <n v="79256"/>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2524781"/>
    <n v="2587322"/>
    <m/>
    <m/>
    <n v="0"/>
    <m/>
    <m/>
    <n v="0"/>
    <m/>
    <m/>
    <m/>
    <m/>
    <m/>
    <m/>
    <n v="2524781"/>
    <n v="2587322"/>
  </r>
  <r>
    <x v="0"/>
    <x v="16"/>
    <s v="Two-year system(s), if any"/>
    <m/>
    <m/>
    <x v="12"/>
    <m/>
    <m/>
    <m/>
    <m/>
    <m/>
    <m/>
    <m/>
    <m/>
    <n v="0"/>
    <m/>
    <m/>
    <n v="0"/>
    <n v="0"/>
    <n v="0"/>
    <m/>
    <m/>
    <m/>
    <m/>
    <n v="0"/>
    <m/>
    <m/>
    <n v="0"/>
    <m/>
    <m/>
    <m/>
    <m/>
    <m/>
    <m/>
    <n v="0"/>
    <n v="0"/>
  </r>
  <r>
    <x v="0"/>
    <x v="16"/>
    <s v="Department of Postsecondary Education Operations"/>
    <m/>
    <m/>
    <x v="12"/>
    <m/>
    <m/>
    <m/>
    <m/>
    <m/>
    <m/>
    <m/>
    <m/>
    <n v="0"/>
    <m/>
    <m/>
    <n v="0"/>
    <n v="0"/>
    <n v="0"/>
    <n v="5068554"/>
    <n v="4980050"/>
    <m/>
    <m/>
    <n v="0"/>
    <m/>
    <m/>
    <n v="0"/>
    <m/>
    <m/>
    <m/>
    <m/>
    <m/>
    <m/>
    <n v="5068554"/>
    <n v="4980050"/>
  </r>
  <r>
    <x v="0"/>
    <x v="17"/>
    <s v="National or regional associations, compacts or consortia"/>
    <m/>
    <m/>
    <x v="12"/>
    <m/>
    <m/>
    <m/>
    <m/>
    <m/>
    <m/>
    <m/>
    <m/>
    <n v="0"/>
    <m/>
    <m/>
    <n v="0"/>
    <n v="0"/>
    <n v="0"/>
    <m/>
    <m/>
    <m/>
    <m/>
    <n v="0"/>
    <m/>
    <m/>
    <n v="0"/>
    <m/>
    <m/>
    <m/>
    <m/>
    <m/>
    <m/>
    <n v="0"/>
    <n v="0"/>
  </r>
  <r>
    <x v="0"/>
    <x v="17"/>
    <s v="SREB Membership  *"/>
    <m/>
    <m/>
    <x v="12"/>
    <m/>
    <m/>
    <m/>
    <m/>
    <m/>
    <m/>
    <m/>
    <m/>
    <n v="0"/>
    <m/>
    <m/>
    <n v="0"/>
    <n v="0"/>
    <n v="0"/>
    <n v="201550"/>
    <n v="205123"/>
    <m/>
    <m/>
    <n v="0"/>
    <m/>
    <m/>
    <n v="0"/>
    <m/>
    <m/>
    <m/>
    <m/>
    <m/>
    <m/>
    <n v="201550"/>
    <n v="205123"/>
  </r>
  <r>
    <x v="0"/>
    <x v="17"/>
    <s v="SREB ACHE Administrative Costs"/>
    <m/>
    <m/>
    <x v="12"/>
    <m/>
    <m/>
    <m/>
    <m/>
    <m/>
    <m/>
    <m/>
    <m/>
    <n v="0"/>
    <m/>
    <m/>
    <n v="0"/>
    <n v="0"/>
    <n v="0"/>
    <n v="53450"/>
    <n v="33169"/>
    <m/>
    <m/>
    <n v="0"/>
    <m/>
    <m/>
    <n v="0"/>
    <m/>
    <m/>
    <m/>
    <m/>
    <m/>
    <m/>
    <n v="53450"/>
    <n v="33169"/>
  </r>
  <r>
    <x v="0"/>
    <x v="18"/>
    <s v="Adm. of Statewide Student Aid Progs. (including centralized guaranteed student loans)"/>
    <m/>
    <m/>
    <x v="12"/>
    <m/>
    <m/>
    <m/>
    <m/>
    <m/>
    <m/>
    <m/>
    <m/>
    <n v="0"/>
    <m/>
    <m/>
    <n v="0"/>
    <n v="0"/>
    <n v="0"/>
    <n v="175001"/>
    <n v="124442"/>
    <m/>
    <m/>
    <n v="0"/>
    <m/>
    <m/>
    <n v="0"/>
    <m/>
    <m/>
    <m/>
    <m/>
    <m/>
    <m/>
    <n v="175001"/>
    <n v="124442"/>
  </r>
  <r>
    <x v="0"/>
    <x v="19"/>
    <s v="State Support to Private Colleges Other Than Student Aid"/>
    <m/>
    <m/>
    <x v="12"/>
    <m/>
    <m/>
    <m/>
    <m/>
    <m/>
    <m/>
    <m/>
    <m/>
    <n v="0"/>
    <m/>
    <m/>
    <n v="0"/>
    <n v="0"/>
    <n v="0"/>
    <m/>
    <m/>
    <m/>
    <m/>
    <n v="0"/>
    <m/>
    <m/>
    <n v="0"/>
    <m/>
    <m/>
    <m/>
    <m/>
    <m/>
    <m/>
    <n v="0"/>
    <n v="0"/>
  </r>
  <r>
    <x v="0"/>
    <x v="19"/>
    <s v="AL A&amp;M-Miles College Consortium"/>
    <m/>
    <m/>
    <x v="12"/>
    <m/>
    <m/>
    <m/>
    <m/>
    <m/>
    <m/>
    <m/>
    <m/>
    <n v="0"/>
    <m/>
    <m/>
    <n v="0"/>
    <n v="0"/>
    <n v="0"/>
    <n v="362332"/>
    <n v="359229"/>
    <m/>
    <m/>
    <n v="0"/>
    <m/>
    <m/>
    <n v="0"/>
    <m/>
    <m/>
    <m/>
    <m/>
    <m/>
    <m/>
    <n v="362332"/>
    <n v="359229"/>
  </r>
  <r>
    <x v="0"/>
    <x v="19"/>
    <s v="Talladega College"/>
    <m/>
    <m/>
    <x v="12"/>
    <m/>
    <m/>
    <m/>
    <m/>
    <m/>
    <m/>
    <m/>
    <m/>
    <n v="0"/>
    <m/>
    <m/>
    <n v="0"/>
    <n v="0"/>
    <n v="0"/>
    <n v="837356"/>
    <n v="830185"/>
    <m/>
    <m/>
    <n v="0"/>
    <m/>
    <m/>
    <n v="0"/>
    <m/>
    <m/>
    <m/>
    <m/>
    <m/>
    <m/>
    <n v="837356"/>
    <n v="830185"/>
  </r>
  <r>
    <x v="0"/>
    <x v="19"/>
    <s v="Tuskegee University"/>
    <m/>
    <m/>
    <x v="12"/>
    <m/>
    <m/>
    <m/>
    <m/>
    <m/>
    <m/>
    <m/>
    <m/>
    <n v="0"/>
    <m/>
    <m/>
    <n v="0"/>
    <n v="0"/>
    <n v="0"/>
    <n v="9494174"/>
    <n v="9412870"/>
    <m/>
    <m/>
    <n v="0"/>
    <m/>
    <m/>
    <n v="0"/>
    <m/>
    <m/>
    <m/>
    <m/>
    <m/>
    <m/>
    <n v="9494174"/>
    <n v="9412870"/>
  </r>
  <r>
    <x v="0"/>
    <x v="19"/>
    <s v="AL Agricultural LG Alliance Tuskegee University"/>
    <m/>
    <m/>
    <x v="12"/>
    <m/>
    <m/>
    <m/>
    <m/>
    <m/>
    <m/>
    <m/>
    <m/>
    <n v="0"/>
    <m/>
    <m/>
    <n v="0"/>
    <n v="0"/>
    <n v="0"/>
    <n v="1779430"/>
    <n v="2225000"/>
    <m/>
    <m/>
    <n v="0"/>
    <m/>
    <m/>
    <n v="0"/>
    <m/>
    <m/>
    <m/>
    <m/>
    <m/>
    <m/>
    <n v="1779430"/>
    <n v="2225000"/>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m/>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n v="40500"/>
    <n v="40500"/>
    <m/>
    <m/>
    <n v="0"/>
    <m/>
    <m/>
    <n v="0"/>
    <m/>
    <m/>
    <m/>
    <m/>
    <m/>
    <m/>
    <n v="40500"/>
    <n v="4050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040920"/>
    <n v="1031038"/>
    <m/>
    <m/>
    <n v="0"/>
    <m/>
    <m/>
    <n v="0"/>
    <m/>
    <m/>
    <m/>
    <m/>
    <m/>
    <m/>
    <n v="1040920"/>
    <n v="1031038"/>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267801"/>
    <n v="265508"/>
    <m/>
    <m/>
    <n v="0"/>
    <m/>
    <m/>
    <n v="0"/>
    <m/>
    <m/>
    <m/>
    <m/>
    <m/>
    <m/>
    <n v="267801"/>
    <n v="265508"/>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50289"/>
    <n v="149002"/>
    <m/>
    <m/>
    <n v="0"/>
    <m/>
    <m/>
    <n v="0"/>
    <m/>
    <m/>
    <m/>
    <m/>
    <m/>
    <m/>
    <n v="150289"/>
    <n v="14900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28620"/>
    <n v="24626"/>
    <m/>
    <m/>
    <n v="0"/>
    <m/>
    <m/>
    <n v="0"/>
    <m/>
    <m/>
    <m/>
    <m/>
    <m/>
    <m/>
    <n v="28620"/>
    <n v="24626"/>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232585"/>
    <n v="228272"/>
    <m/>
    <m/>
    <n v="0"/>
    <m/>
    <m/>
    <n v="0"/>
    <m/>
    <m/>
    <m/>
    <m/>
    <m/>
    <m/>
    <n v="232585"/>
    <n v="22827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58985"/>
    <n v="350000"/>
    <m/>
    <m/>
    <n v="0"/>
    <m/>
    <m/>
    <n v="0"/>
    <m/>
    <m/>
    <m/>
    <m/>
    <m/>
    <m/>
    <n v="358985"/>
    <n v="35000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246979"/>
    <n v="2220461"/>
    <m/>
    <m/>
    <n v="0"/>
    <m/>
    <m/>
    <n v="0"/>
    <m/>
    <m/>
    <m/>
    <m/>
    <m/>
    <m/>
    <n v="2246979"/>
    <n v="2220461"/>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548921"/>
    <n v="531607"/>
    <m/>
    <m/>
    <n v="0"/>
    <m/>
    <m/>
    <n v="0"/>
    <m/>
    <m/>
    <m/>
    <m/>
    <m/>
    <m/>
    <n v="548921"/>
    <n v="531607"/>
  </r>
  <r>
    <x v="0"/>
    <x v="33"/>
    <s v="Non need-based"/>
    <m/>
    <m/>
    <x v="12"/>
    <m/>
    <m/>
    <m/>
    <m/>
    <m/>
    <m/>
    <m/>
    <m/>
    <n v="0"/>
    <m/>
    <m/>
    <n v="0"/>
    <n v="0"/>
    <n v="0"/>
    <m/>
    <m/>
    <m/>
    <m/>
    <n v="0"/>
    <m/>
    <m/>
    <n v="0"/>
    <m/>
    <m/>
    <m/>
    <m/>
    <m/>
    <m/>
    <n v="0"/>
    <n v="0"/>
  </r>
  <r>
    <x v="0"/>
    <x v="25"/>
    <s v="AL Teacher Recruitment Incentiv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405"/>
    <n v="10316"/>
    <m/>
    <m/>
    <n v="0"/>
    <m/>
    <m/>
    <n v="0"/>
    <m/>
    <m/>
    <m/>
    <m/>
    <m/>
    <m/>
    <n v="10405"/>
    <n v="10316"/>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2181278"/>
    <n v="38383099"/>
    <m/>
    <m/>
    <n v="0"/>
    <m/>
    <m/>
    <n v="0"/>
    <m/>
    <m/>
    <m/>
    <m/>
    <m/>
    <m/>
    <n v="32181278"/>
    <n v="38383099"/>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man'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161703"/>
    <n v="80897"/>
    <m/>
    <m/>
    <n v="0"/>
    <m/>
    <m/>
    <n v="0"/>
    <m/>
    <m/>
    <m/>
    <m/>
    <m/>
    <m/>
    <n v="161703"/>
    <n v="80897"/>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49261"/>
    <n v="321623"/>
    <m/>
    <m/>
    <n v="0"/>
    <m/>
    <m/>
    <n v="0"/>
    <m/>
    <m/>
    <m/>
    <m/>
    <m/>
    <m/>
    <n v="449261"/>
    <n v="321623"/>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95037"/>
    <n v="61230"/>
    <m/>
    <m/>
    <n v="0"/>
    <m/>
    <m/>
    <n v="0"/>
    <m/>
    <m/>
    <m/>
    <m/>
    <m/>
    <m/>
    <n v="95037"/>
    <n v="61230"/>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2213292"/>
    <n v="2175808"/>
    <m/>
    <m/>
    <n v="0"/>
    <m/>
    <m/>
    <n v="0"/>
    <m/>
    <m/>
    <m/>
    <m/>
    <m/>
    <m/>
    <n v="2213292"/>
    <n v="2175808"/>
  </r>
  <r>
    <x v="1"/>
    <x v="0"/>
    <s v="University of Arkansas, Fayetteville"/>
    <m/>
    <n v="106397"/>
    <x v="0"/>
    <n v="118602540"/>
    <n v="120946912"/>
    <m/>
    <m/>
    <m/>
    <m/>
    <n v="131918432"/>
    <m/>
    <n v="131918432"/>
    <n v="107384455"/>
    <m/>
    <n v="107384455"/>
    <n v="250520972"/>
    <n v="228331367"/>
    <n v="40098576"/>
    <n v="45945987"/>
    <m/>
    <m/>
    <n v="0"/>
    <m/>
    <m/>
    <n v="0"/>
    <m/>
    <m/>
    <m/>
    <m/>
    <m/>
    <m/>
    <n v="290619548"/>
    <n v="274277354"/>
  </r>
  <r>
    <x v="1"/>
    <x v="40"/>
    <s v="Agricultural cooperative extension"/>
    <m/>
    <n v="106397"/>
    <x v="0"/>
    <m/>
    <m/>
    <m/>
    <m/>
    <m/>
    <m/>
    <m/>
    <m/>
    <n v="0"/>
    <m/>
    <m/>
    <n v="0"/>
    <n v="0"/>
    <n v="0"/>
    <m/>
    <m/>
    <m/>
    <m/>
    <n v="0"/>
    <m/>
    <m/>
    <n v="0"/>
    <m/>
    <m/>
    <m/>
    <m/>
    <m/>
    <m/>
    <n v="0"/>
    <n v="0"/>
  </r>
  <r>
    <x v="1"/>
    <x v="40"/>
    <s v="Univ of Ark. System Divison of Agriculture"/>
    <m/>
    <n v="106397"/>
    <x v="0"/>
    <m/>
    <m/>
    <n v="66495861"/>
    <n v="67788504"/>
    <m/>
    <m/>
    <m/>
    <m/>
    <n v="0"/>
    <m/>
    <m/>
    <n v="0"/>
    <n v="66495861"/>
    <n v="67788504"/>
    <m/>
    <m/>
    <m/>
    <m/>
    <n v="0"/>
    <m/>
    <m/>
    <n v="0"/>
    <m/>
    <m/>
    <m/>
    <m/>
    <m/>
    <m/>
    <n v="66495861"/>
    <n v="67788504"/>
  </r>
  <r>
    <x v="1"/>
    <x v="11"/>
    <s v="Univ of Ark. System Archeological Survey"/>
    <m/>
    <n v="106397"/>
    <x v="0"/>
    <m/>
    <m/>
    <n v="2395720"/>
    <n v="2447364"/>
    <m/>
    <m/>
    <m/>
    <m/>
    <n v="0"/>
    <m/>
    <m/>
    <n v="0"/>
    <n v="2395720"/>
    <n v="2447364"/>
    <m/>
    <m/>
    <m/>
    <m/>
    <n v="0"/>
    <m/>
    <m/>
    <n v="0"/>
    <m/>
    <m/>
    <m/>
    <m/>
    <m/>
    <m/>
    <n v="2395720"/>
    <n v="2447364"/>
  </r>
  <r>
    <x v="1"/>
    <x v="11"/>
    <s v="Univ of Ark. System Criminal Justice Institute"/>
    <m/>
    <n v="106397"/>
    <x v="0"/>
    <m/>
    <m/>
    <n v="1779832"/>
    <n v="1825769"/>
    <m/>
    <m/>
    <m/>
    <m/>
    <n v="0"/>
    <m/>
    <m/>
    <n v="0"/>
    <n v="1779832"/>
    <n v="1825769"/>
    <m/>
    <m/>
    <m/>
    <m/>
    <n v="0"/>
    <m/>
    <m/>
    <n v="0"/>
    <m/>
    <m/>
    <m/>
    <m/>
    <m/>
    <m/>
    <n v="1779832"/>
    <n v="1825769"/>
  </r>
  <r>
    <x v="1"/>
    <x v="3"/>
    <s v="Community or public service units"/>
    <m/>
    <n v="106397"/>
    <x v="0"/>
    <m/>
    <m/>
    <m/>
    <m/>
    <m/>
    <m/>
    <m/>
    <m/>
    <n v="0"/>
    <m/>
    <m/>
    <n v="0"/>
    <n v="0"/>
    <n v="0"/>
    <m/>
    <m/>
    <m/>
    <m/>
    <n v="0"/>
    <m/>
    <m/>
    <n v="0"/>
    <m/>
    <m/>
    <m/>
    <m/>
    <m/>
    <m/>
    <n v="0"/>
    <n v="0"/>
  </r>
  <r>
    <x v="1"/>
    <x v="3"/>
    <s v="Univ. of Ark. System Arkansas School of Mathematics, Sciences and the Arts"/>
    <m/>
    <m/>
    <x v="0"/>
    <m/>
    <m/>
    <n v="8045714"/>
    <n v="7694467"/>
    <m/>
    <m/>
    <m/>
    <m/>
    <n v="0"/>
    <m/>
    <m/>
    <n v="0"/>
    <n v="8045714"/>
    <n v="7694467"/>
    <m/>
    <m/>
    <m/>
    <m/>
    <n v="0"/>
    <m/>
    <m/>
    <n v="0"/>
    <m/>
    <m/>
    <m/>
    <m/>
    <m/>
    <m/>
    <n v="8045714"/>
    <n v="7694467"/>
  </r>
  <r>
    <x v="1"/>
    <x v="0"/>
    <s v="Clinton School for Public Service"/>
    <m/>
    <n v="106397"/>
    <x v="0"/>
    <m/>
    <m/>
    <n v="2237817"/>
    <n v="2295575"/>
    <m/>
    <m/>
    <n v="462600"/>
    <m/>
    <n v="462600"/>
    <n v="479298"/>
    <m/>
    <n v="479298"/>
    <n v="2700417"/>
    <n v="2774873"/>
    <m/>
    <m/>
    <m/>
    <m/>
    <n v="0"/>
    <m/>
    <m/>
    <n v="0"/>
    <m/>
    <m/>
    <m/>
    <m/>
    <m/>
    <m/>
    <n v="2700417"/>
    <n v="2774873"/>
  </r>
  <r>
    <x v="1"/>
    <x v="0"/>
    <s v="Arkansas State University"/>
    <m/>
    <n v="106458"/>
    <x v="2"/>
    <n v="58028329"/>
    <n v="59054066"/>
    <m/>
    <m/>
    <m/>
    <m/>
    <n v="73194110"/>
    <m/>
    <n v="73194110"/>
    <n v="66342947"/>
    <m/>
    <n v="66342947"/>
    <n v="131222439"/>
    <n v="125397013"/>
    <m/>
    <m/>
    <m/>
    <m/>
    <n v="0"/>
    <m/>
    <m/>
    <n v="0"/>
    <m/>
    <m/>
    <m/>
    <m/>
    <m/>
    <m/>
    <n v="131222439"/>
    <n v="125397013"/>
  </r>
  <r>
    <x v="1"/>
    <x v="3"/>
    <s v="Community or public service units"/>
    <m/>
    <n v="106458"/>
    <x v="2"/>
    <m/>
    <m/>
    <m/>
    <m/>
    <m/>
    <m/>
    <m/>
    <m/>
    <n v="0"/>
    <m/>
    <m/>
    <n v="0"/>
    <n v="0"/>
    <n v="0"/>
    <m/>
    <m/>
    <m/>
    <m/>
    <n v="0"/>
    <m/>
    <m/>
    <n v="0"/>
    <m/>
    <m/>
    <m/>
    <m/>
    <m/>
    <m/>
    <n v="0"/>
    <n v="0"/>
  </r>
  <r>
    <x v="1"/>
    <x v="0"/>
    <s v="University of Arkansas at Little Rock"/>
    <m/>
    <n v="106245"/>
    <x v="2"/>
    <n v="59932420"/>
    <n v="61063662"/>
    <m/>
    <m/>
    <m/>
    <m/>
    <n v="65238119"/>
    <m/>
    <n v="65238119"/>
    <n v="70604406"/>
    <m/>
    <n v="70604406"/>
    <n v="125170539"/>
    <n v="131668068"/>
    <m/>
    <m/>
    <m/>
    <m/>
    <n v="0"/>
    <m/>
    <m/>
    <n v="0"/>
    <m/>
    <m/>
    <m/>
    <m/>
    <m/>
    <m/>
    <n v="125170539"/>
    <n v="131668068"/>
  </r>
  <r>
    <x v="1"/>
    <x v="3"/>
    <s v="Community or public service units"/>
    <m/>
    <n v="106245"/>
    <x v="2"/>
    <m/>
    <m/>
    <m/>
    <m/>
    <m/>
    <m/>
    <m/>
    <m/>
    <n v="0"/>
    <m/>
    <m/>
    <n v="0"/>
    <n v="0"/>
    <n v="0"/>
    <m/>
    <m/>
    <m/>
    <m/>
    <n v="0"/>
    <m/>
    <m/>
    <n v="0"/>
    <m/>
    <m/>
    <m/>
    <m/>
    <m/>
    <m/>
    <n v="0"/>
    <n v="0"/>
  </r>
  <r>
    <x v="1"/>
    <x v="3"/>
    <s v="Research and Public Service Unit"/>
    <m/>
    <n v="106245"/>
    <x v="2"/>
    <m/>
    <m/>
    <n v="3498617"/>
    <n v="3588916"/>
    <m/>
    <m/>
    <m/>
    <m/>
    <n v="0"/>
    <m/>
    <m/>
    <n v="0"/>
    <n v="3498617"/>
    <n v="3588916"/>
    <m/>
    <m/>
    <m/>
    <m/>
    <n v="0"/>
    <m/>
    <m/>
    <n v="0"/>
    <m/>
    <m/>
    <m/>
    <m/>
    <m/>
    <m/>
    <n v="3498617"/>
    <n v="3588916"/>
  </r>
  <r>
    <x v="1"/>
    <x v="0"/>
    <s v="University of Central Arkansas "/>
    <m/>
    <n v="106704"/>
    <x v="2"/>
    <n v="55150546"/>
    <n v="56213798"/>
    <m/>
    <m/>
    <m/>
    <m/>
    <n v="68479631.370000005"/>
    <m/>
    <n v="68479631.370000005"/>
    <n v="66830470"/>
    <m/>
    <n v="66830470"/>
    <n v="123630177.37"/>
    <n v="123044268"/>
    <m/>
    <m/>
    <m/>
    <m/>
    <n v="0"/>
    <m/>
    <m/>
    <n v="0"/>
    <m/>
    <m/>
    <m/>
    <m/>
    <m/>
    <m/>
    <n v="123630177.37"/>
    <n v="123044268"/>
  </r>
  <r>
    <x v="1"/>
    <x v="0"/>
    <s v="Arkansas Tech University"/>
    <s v="Met the criteria for Four-Year 3 in 2010-11."/>
    <n v="106467"/>
    <x v="3"/>
    <n v="30208099"/>
    <n v="30829562"/>
    <m/>
    <m/>
    <m/>
    <m/>
    <n v="37941465"/>
    <m/>
    <n v="37941465"/>
    <n v="37045510"/>
    <m/>
    <n v="37045510"/>
    <n v="68149564"/>
    <n v="67875072"/>
    <m/>
    <m/>
    <m/>
    <m/>
    <n v="0"/>
    <m/>
    <m/>
    <n v="0"/>
    <m/>
    <m/>
    <m/>
    <m/>
    <m/>
    <m/>
    <n v="68149564"/>
    <n v="67875072"/>
  </r>
  <r>
    <x v="1"/>
    <x v="3"/>
    <s v="Community or public service units"/>
    <m/>
    <n v="106467"/>
    <x v="3"/>
    <m/>
    <m/>
    <m/>
    <m/>
    <m/>
    <m/>
    <m/>
    <m/>
    <n v="0"/>
    <m/>
    <m/>
    <n v="0"/>
    <n v="0"/>
    <n v="0"/>
    <m/>
    <m/>
    <m/>
    <m/>
    <n v="0"/>
    <m/>
    <m/>
    <n v="0"/>
    <m/>
    <m/>
    <m/>
    <m/>
    <m/>
    <m/>
    <n v="0"/>
    <n v="0"/>
  </r>
  <r>
    <x v="1"/>
    <x v="3"/>
    <s v="Arkansas Tech University - Ozark"/>
    <m/>
    <n v="106467"/>
    <x v="3"/>
    <m/>
    <m/>
    <n v="3019214"/>
    <n v="3156908"/>
    <m/>
    <m/>
    <n v="1784893"/>
    <m/>
    <n v="1784893"/>
    <n v="1571187"/>
    <m/>
    <n v="1571187"/>
    <n v="4804107"/>
    <n v="4728095"/>
    <m/>
    <m/>
    <m/>
    <m/>
    <n v="0"/>
    <m/>
    <m/>
    <n v="0"/>
    <m/>
    <m/>
    <m/>
    <m/>
    <m/>
    <m/>
    <n v="4804107"/>
    <n v="4728095"/>
  </r>
  <r>
    <x v="1"/>
    <x v="0"/>
    <s v="Henderson State University "/>
    <m/>
    <n v="107071"/>
    <x v="3"/>
    <n v="20075962"/>
    <n v="20430463"/>
    <m/>
    <m/>
    <m/>
    <m/>
    <n v="21456177"/>
    <m/>
    <n v="21456177"/>
    <n v="22167360"/>
    <m/>
    <n v="22167360"/>
    <n v="41532139"/>
    <n v="42597823"/>
    <m/>
    <m/>
    <m/>
    <m/>
    <n v="0"/>
    <m/>
    <m/>
    <n v="0"/>
    <m/>
    <m/>
    <m/>
    <m/>
    <m/>
    <m/>
    <n v="41532139"/>
    <n v="42597823"/>
  </r>
  <r>
    <x v="1"/>
    <x v="3"/>
    <s v="Community or public service units"/>
    <m/>
    <n v="107071"/>
    <x v="3"/>
    <m/>
    <m/>
    <m/>
    <m/>
    <m/>
    <m/>
    <m/>
    <m/>
    <n v="0"/>
    <m/>
    <m/>
    <n v="0"/>
    <n v="0"/>
    <n v="0"/>
    <m/>
    <m/>
    <m/>
    <m/>
    <n v="0"/>
    <m/>
    <m/>
    <n v="0"/>
    <m/>
    <m/>
    <m/>
    <m/>
    <m/>
    <m/>
    <n v="0"/>
    <n v="0"/>
  </r>
  <r>
    <x v="1"/>
    <x v="3"/>
    <s v="Southwest Arkansas Tech Learning Center"/>
    <m/>
    <n v="107071"/>
    <x v="3"/>
    <m/>
    <m/>
    <n v="205287"/>
    <n v="210585"/>
    <m/>
    <m/>
    <m/>
    <m/>
    <n v="0"/>
    <m/>
    <m/>
    <n v="0"/>
    <n v="205287"/>
    <n v="210585"/>
    <m/>
    <m/>
    <m/>
    <m/>
    <n v="0"/>
    <m/>
    <m/>
    <n v="0"/>
    <m/>
    <m/>
    <m/>
    <m/>
    <m/>
    <m/>
    <n v="205287"/>
    <n v="210585"/>
  </r>
  <r>
    <x v="1"/>
    <x v="0"/>
    <s v="University of Arkansas at Monticello"/>
    <m/>
    <n v="106485"/>
    <x v="4"/>
    <n v="13668359"/>
    <n v="13937633"/>
    <m/>
    <m/>
    <m/>
    <m/>
    <n v="11759934"/>
    <m/>
    <n v="11759934"/>
    <n v="11278507"/>
    <m/>
    <n v="11278507"/>
    <n v="25428293"/>
    <n v="25216140"/>
    <m/>
    <m/>
    <m/>
    <m/>
    <n v="0"/>
    <m/>
    <m/>
    <n v="0"/>
    <m/>
    <m/>
    <m/>
    <m/>
    <m/>
    <m/>
    <n v="25428293"/>
    <n v="25216140"/>
  </r>
  <r>
    <x v="1"/>
    <x v="3"/>
    <s v="Community or public service units"/>
    <m/>
    <n v="106485"/>
    <x v="4"/>
    <m/>
    <m/>
    <m/>
    <m/>
    <m/>
    <m/>
    <m/>
    <m/>
    <n v="0"/>
    <m/>
    <m/>
    <n v="0"/>
    <n v="0"/>
    <n v="0"/>
    <m/>
    <m/>
    <m/>
    <m/>
    <n v="0"/>
    <m/>
    <m/>
    <n v="0"/>
    <m/>
    <m/>
    <m/>
    <m/>
    <m/>
    <m/>
    <n v="0"/>
    <n v="0"/>
  </r>
  <r>
    <x v="1"/>
    <x v="3"/>
    <s v="UAM College of Technology-McGehee"/>
    <m/>
    <n v="106485"/>
    <x v="4"/>
    <m/>
    <m/>
    <n v="2289466"/>
    <n v="2401697"/>
    <m/>
    <m/>
    <n v="778161"/>
    <m/>
    <n v="778161"/>
    <n v="716947"/>
    <m/>
    <n v="716947"/>
    <n v="3067627"/>
    <n v="3118644"/>
    <m/>
    <m/>
    <m/>
    <m/>
    <n v="0"/>
    <m/>
    <m/>
    <n v="0"/>
    <m/>
    <m/>
    <m/>
    <m/>
    <m/>
    <m/>
    <n v="3067627"/>
    <n v="3118644"/>
  </r>
  <r>
    <x v="1"/>
    <x v="3"/>
    <s v="UAM College of Technology-Crossett "/>
    <m/>
    <n v="106485"/>
    <x v="4"/>
    <m/>
    <m/>
    <n v="1691382"/>
    <n v="1784442"/>
    <m/>
    <m/>
    <n v="626339"/>
    <m/>
    <n v="626339"/>
    <n v="539776"/>
    <m/>
    <n v="539776"/>
    <n v="2317721"/>
    <n v="2324218"/>
    <m/>
    <m/>
    <m/>
    <m/>
    <n v="0"/>
    <m/>
    <m/>
    <n v="0"/>
    <m/>
    <m/>
    <m/>
    <m/>
    <m/>
    <m/>
    <n v="2317721"/>
    <n v="2324218"/>
  </r>
  <r>
    <x v="1"/>
    <x v="0"/>
    <s v="Southern Arkansas University"/>
    <s v="Met the criteria for Four-Year 4 in 2009-10 and 2010-11."/>
    <n v="107983"/>
    <x v="4"/>
    <n v="16265914"/>
    <n v="16588978"/>
    <m/>
    <m/>
    <m/>
    <m/>
    <n v="17992393"/>
    <m/>
    <n v="17992393"/>
    <n v="18381247"/>
    <m/>
    <n v="18381247"/>
    <n v="34258307"/>
    <n v="34970225"/>
    <m/>
    <m/>
    <m/>
    <m/>
    <n v="0"/>
    <m/>
    <m/>
    <n v="0"/>
    <m/>
    <m/>
    <m/>
    <m/>
    <m/>
    <m/>
    <n v="34258307"/>
    <n v="34970225"/>
  </r>
  <r>
    <x v="1"/>
    <x v="0"/>
    <s v="University of Arkansas at Fort Smith"/>
    <m/>
    <n v="108092"/>
    <x v="5"/>
    <n v="22596446"/>
    <n v="22939853"/>
    <m/>
    <m/>
    <n v="5286908"/>
    <n v="5200000"/>
    <n v="25380584"/>
    <m/>
    <n v="25380584"/>
    <n v="27758747"/>
    <m/>
    <n v="27758747"/>
    <n v="53263938"/>
    <n v="55898600"/>
    <m/>
    <m/>
    <m/>
    <m/>
    <n v="0"/>
    <m/>
    <m/>
    <n v="0"/>
    <m/>
    <m/>
    <m/>
    <m/>
    <m/>
    <m/>
    <n v="53263938"/>
    <n v="55898600"/>
  </r>
  <r>
    <x v="1"/>
    <x v="0"/>
    <s v="University of Arkansas at Pine Bluff"/>
    <s v="Met the criteria for Four-Year 5 in 2010-11."/>
    <n v="106412"/>
    <x v="5"/>
    <n v="26400367"/>
    <n v="26936796"/>
    <m/>
    <m/>
    <m/>
    <m/>
    <n v="19365175"/>
    <m/>
    <n v="19365175"/>
    <n v="16074684"/>
    <m/>
    <n v="16074684"/>
    <n v="45765542"/>
    <n v="43011480"/>
    <m/>
    <m/>
    <m/>
    <m/>
    <n v="0"/>
    <m/>
    <m/>
    <n v="0"/>
    <m/>
    <m/>
    <m/>
    <m/>
    <m/>
    <m/>
    <n v="45765542"/>
    <n v="43011480"/>
  </r>
  <r>
    <x v="1"/>
    <x v="0"/>
    <s v="Pulaski Technical College"/>
    <m/>
    <n v="107664"/>
    <x v="6"/>
    <n v="15908696"/>
    <n v="16490356"/>
    <m/>
    <m/>
    <m/>
    <m/>
    <n v="24150584"/>
    <m/>
    <n v="24150584"/>
    <n v="23936160"/>
    <m/>
    <n v="23936160"/>
    <n v="40059280"/>
    <n v="40426516"/>
    <m/>
    <m/>
    <m/>
    <m/>
    <n v="0"/>
    <m/>
    <m/>
    <n v="0"/>
    <m/>
    <m/>
    <m/>
    <m/>
    <m/>
    <m/>
    <n v="40059280"/>
    <n v="40426516"/>
  </r>
  <r>
    <x v="1"/>
    <x v="0"/>
    <s v="Arkansas State University-Beebe"/>
    <m/>
    <n v="106449"/>
    <x v="7"/>
    <n v="13835556"/>
    <n v="14140377"/>
    <m/>
    <m/>
    <n v="1649254"/>
    <n v="1600000"/>
    <n v="10020000"/>
    <m/>
    <n v="10020000"/>
    <n v="10136000"/>
    <m/>
    <n v="10136000"/>
    <n v="25504810"/>
    <n v="25876377"/>
    <m/>
    <m/>
    <m/>
    <m/>
    <n v="0"/>
    <m/>
    <m/>
    <n v="0"/>
    <m/>
    <m/>
    <m/>
    <m/>
    <m/>
    <m/>
    <n v="25504810"/>
    <n v="25876377"/>
  </r>
  <r>
    <x v="1"/>
    <x v="0"/>
    <s v="Northwest Arkansas Community College "/>
    <s v="Met the criteria for Two-Year 1 in 2009-10 and 2010-11."/>
    <n v="367459"/>
    <x v="7"/>
    <n v="10507932"/>
    <n v="10701252"/>
    <m/>
    <m/>
    <n v="6604779.2300000004"/>
    <n v="6500000"/>
    <n v="19583336.34"/>
    <m/>
    <n v="19583336.34"/>
    <n v="22652147"/>
    <m/>
    <n v="22652147"/>
    <n v="36696047.57"/>
    <n v="39853399"/>
    <m/>
    <m/>
    <m/>
    <m/>
    <n v="0"/>
    <m/>
    <m/>
    <n v="0"/>
    <m/>
    <m/>
    <m/>
    <m/>
    <m/>
    <m/>
    <n v="36696047.57"/>
    <n v="39853399"/>
  </r>
  <r>
    <x v="1"/>
    <x v="0"/>
    <s v="Arkansas Northeastern College"/>
    <m/>
    <n v="107327"/>
    <x v="8"/>
    <n v="9694372"/>
    <n v="9943125"/>
    <m/>
    <m/>
    <m/>
    <m/>
    <n v="3165868"/>
    <m/>
    <n v="3165868"/>
    <n v="2821153"/>
    <m/>
    <n v="2821153"/>
    <n v="12860240"/>
    <n v="12764278"/>
    <m/>
    <m/>
    <m/>
    <m/>
    <n v="0"/>
    <m/>
    <m/>
    <n v="0"/>
    <m/>
    <m/>
    <m/>
    <m/>
    <m/>
    <m/>
    <n v="12860240"/>
    <n v="12764278"/>
  </r>
  <r>
    <x v="1"/>
    <x v="0"/>
    <s v="Arkansas State University Mountain Home"/>
    <m/>
    <n v="420538"/>
    <x v="8"/>
    <n v="4176380"/>
    <n v="4346156"/>
    <m/>
    <m/>
    <n v="1180217"/>
    <n v="1100000"/>
    <n v="3680525.98"/>
    <m/>
    <n v="3680525.98"/>
    <n v="4077715"/>
    <m/>
    <n v="4077715"/>
    <n v="9037122.9800000004"/>
    <n v="9523871"/>
    <m/>
    <m/>
    <m/>
    <m/>
    <n v="0"/>
    <m/>
    <m/>
    <n v="0"/>
    <m/>
    <m/>
    <m/>
    <m/>
    <m/>
    <m/>
    <n v="9037122.9800000004"/>
    <n v="9523871"/>
  </r>
  <r>
    <x v="1"/>
    <x v="0"/>
    <s v="Arkansas State University-Newport"/>
    <m/>
    <n v="440402"/>
    <x v="8"/>
    <n v="7063557"/>
    <n v="7352514"/>
    <m/>
    <m/>
    <n v="945886"/>
    <n v="940000"/>
    <n v="3923655"/>
    <m/>
    <n v="3923655"/>
    <n v="3007000"/>
    <m/>
    <n v="3007000"/>
    <n v="11933098"/>
    <n v="11299514"/>
    <m/>
    <m/>
    <m/>
    <m/>
    <n v="0"/>
    <m/>
    <m/>
    <n v="0"/>
    <m/>
    <m/>
    <m/>
    <m/>
    <m/>
    <m/>
    <n v="11933098"/>
    <n v="11299514"/>
  </r>
  <r>
    <x v="1"/>
    <x v="0"/>
    <s v="Black River Technical College"/>
    <s v="Met the criteria for Two-Year 2 in 2010-11."/>
    <n v="106625"/>
    <x v="8"/>
    <n v="7795314"/>
    <n v="8165416"/>
    <m/>
    <m/>
    <m/>
    <m/>
    <n v="4584304"/>
    <m/>
    <n v="4584304"/>
    <n v="4400000"/>
    <m/>
    <n v="4400000"/>
    <n v="12379618"/>
    <n v="12565416"/>
    <m/>
    <m/>
    <m/>
    <m/>
    <n v="0"/>
    <m/>
    <m/>
    <n v="0"/>
    <m/>
    <m/>
    <m/>
    <m/>
    <m/>
    <m/>
    <n v="12379618"/>
    <n v="12565416"/>
  </r>
  <r>
    <x v="1"/>
    <x v="0"/>
    <s v="Cossatot Community College of the University of Arkansas"/>
    <m/>
    <n v="106795"/>
    <x v="8"/>
    <n v="4407874"/>
    <n v="4623226"/>
    <m/>
    <m/>
    <n v="1195474"/>
    <n v="1100000"/>
    <n v="2461354"/>
    <m/>
    <n v="2461354"/>
    <n v="2502350"/>
    <m/>
    <n v="2502350"/>
    <n v="8064702"/>
    <n v="8225576"/>
    <m/>
    <m/>
    <m/>
    <m/>
    <n v="0"/>
    <m/>
    <m/>
    <n v="0"/>
    <m/>
    <m/>
    <m/>
    <m/>
    <m/>
    <m/>
    <n v="8064702"/>
    <n v="8225576"/>
  </r>
  <r>
    <x v="1"/>
    <x v="0"/>
    <s v="East Arkansas Community College "/>
    <m/>
    <n v="106883"/>
    <x v="8"/>
    <n v="6376338"/>
    <n v="6481981"/>
    <m/>
    <m/>
    <m/>
    <m/>
    <n v="2923060.37"/>
    <m/>
    <n v="2923060.37"/>
    <n v="2100000"/>
    <m/>
    <n v="2100000"/>
    <n v="9299398.370000001"/>
    <n v="8581981"/>
    <m/>
    <m/>
    <m/>
    <m/>
    <n v="0"/>
    <m/>
    <m/>
    <n v="0"/>
    <m/>
    <m/>
    <m/>
    <m/>
    <m/>
    <m/>
    <n v="9299398.370000001"/>
    <n v="8581981"/>
  </r>
  <r>
    <x v="1"/>
    <x v="0"/>
    <s v="Mid-South Community College "/>
    <m/>
    <n v="107318"/>
    <x v="8"/>
    <n v="5584991"/>
    <n v="5893961"/>
    <m/>
    <m/>
    <n v="82632"/>
    <n v="80000"/>
    <n v="3785433"/>
    <m/>
    <n v="3785433"/>
    <n v="3827895"/>
    <m/>
    <n v="3827895"/>
    <n v="9453056"/>
    <n v="9801856"/>
    <m/>
    <m/>
    <m/>
    <m/>
    <n v="0"/>
    <m/>
    <m/>
    <n v="0"/>
    <m/>
    <m/>
    <m/>
    <m/>
    <m/>
    <m/>
    <n v="9453056"/>
    <n v="9801856"/>
  </r>
  <r>
    <x v="1"/>
    <x v="0"/>
    <s v="National Park Community College"/>
    <s v="Reclassifed: met the criteria for Two-Year 2 in 2008-09, 2009-10 and 2010-11."/>
    <n v="106980"/>
    <x v="7"/>
    <n v="10349878"/>
    <n v="10579127"/>
    <m/>
    <m/>
    <m/>
    <m/>
    <n v="6623655"/>
    <m/>
    <n v="6623655"/>
    <n v="6650380"/>
    <m/>
    <n v="6650380"/>
    <n v="16973533"/>
    <n v="17229507"/>
    <m/>
    <m/>
    <m/>
    <m/>
    <n v="0"/>
    <m/>
    <m/>
    <n v="0"/>
    <m/>
    <m/>
    <m/>
    <m/>
    <m/>
    <m/>
    <n v="16973533"/>
    <n v="17229507"/>
  </r>
  <r>
    <x v="1"/>
    <x v="0"/>
    <s v="North Arkansas College"/>
    <m/>
    <n v="107460"/>
    <x v="8"/>
    <n v="8694915"/>
    <n v="8927798"/>
    <m/>
    <m/>
    <m/>
    <m/>
    <n v="4304046"/>
    <m/>
    <n v="4304046"/>
    <n v="4326400"/>
    <m/>
    <n v="4326400"/>
    <n v="12998961"/>
    <n v="13254198"/>
    <m/>
    <m/>
    <m/>
    <m/>
    <n v="0"/>
    <m/>
    <m/>
    <n v="0"/>
    <m/>
    <m/>
    <m/>
    <m/>
    <m/>
    <m/>
    <n v="12998961"/>
    <n v="13254198"/>
  </r>
  <r>
    <x v="1"/>
    <x v="0"/>
    <s v="Ouachita Technical College "/>
    <m/>
    <n v="107521"/>
    <x v="8"/>
    <n v="4414729"/>
    <n v="4615668"/>
    <m/>
    <m/>
    <m/>
    <m/>
    <n v="2571115"/>
    <m/>
    <n v="2571115"/>
    <n v="1965848"/>
    <m/>
    <n v="1965848"/>
    <n v="6985844"/>
    <n v="6581516"/>
    <m/>
    <m/>
    <m/>
    <m/>
    <n v="0"/>
    <m/>
    <m/>
    <n v="0"/>
    <m/>
    <m/>
    <m/>
    <m/>
    <m/>
    <m/>
    <n v="6985844"/>
    <n v="6581516"/>
  </r>
  <r>
    <x v="1"/>
    <x v="0"/>
    <s v="Ozarka College "/>
    <m/>
    <n v="107549"/>
    <x v="8"/>
    <n v="3981489"/>
    <n v="4179930"/>
    <m/>
    <m/>
    <m/>
    <m/>
    <n v="2863626"/>
    <m/>
    <n v="2863626"/>
    <n v="3020950"/>
    <m/>
    <n v="3020950"/>
    <n v="6845115"/>
    <n v="7200880"/>
    <m/>
    <m/>
    <m/>
    <m/>
    <n v="0"/>
    <m/>
    <m/>
    <n v="0"/>
    <m/>
    <m/>
    <m/>
    <m/>
    <m/>
    <m/>
    <n v="6845115"/>
    <n v="7200880"/>
  </r>
  <r>
    <x v="1"/>
    <x v="0"/>
    <s v="Phillips Community College of the Univ of Arkansas"/>
    <m/>
    <n v="107619"/>
    <x v="8"/>
    <n v="10006534"/>
    <n v="10247276"/>
    <m/>
    <m/>
    <n v="1758374"/>
    <n v="1750000"/>
    <n v="3160368"/>
    <m/>
    <n v="3160368"/>
    <n v="3152000"/>
    <m/>
    <n v="3152000"/>
    <n v="14925276"/>
    <n v="15149276"/>
    <m/>
    <m/>
    <m/>
    <m/>
    <n v="0"/>
    <m/>
    <m/>
    <n v="0"/>
    <m/>
    <m/>
    <m/>
    <m/>
    <m/>
    <m/>
    <n v="14925276"/>
    <n v="15149276"/>
  </r>
  <r>
    <x v="1"/>
    <x v="0"/>
    <s v="Rich Mountain Community College "/>
    <m/>
    <n v="107743"/>
    <x v="8"/>
    <n v="3314431"/>
    <n v="3384422"/>
    <m/>
    <m/>
    <m/>
    <m/>
    <n v="1481069.08"/>
    <m/>
    <n v="1481069.08"/>
    <n v="1419925"/>
    <m/>
    <n v="1419925"/>
    <n v="4795500.08"/>
    <n v="4804347"/>
    <m/>
    <m/>
    <m/>
    <m/>
    <n v="0"/>
    <m/>
    <m/>
    <n v="0"/>
    <m/>
    <m/>
    <m/>
    <m/>
    <m/>
    <m/>
    <n v="4795500.08"/>
    <n v="4804347"/>
  </r>
  <r>
    <x v="1"/>
    <x v="0"/>
    <s v="South Arkansas Community College"/>
    <m/>
    <n v="107974"/>
    <x v="8"/>
    <n v="6743167"/>
    <n v="6911616"/>
    <m/>
    <m/>
    <m/>
    <m/>
    <n v="3979476"/>
    <m/>
    <n v="3979476"/>
    <n v="3795582"/>
    <m/>
    <n v="3795582"/>
    <n v="10722643"/>
    <n v="10707198"/>
    <m/>
    <m/>
    <m/>
    <m/>
    <n v="0"/>
    <m/>
    <m/>
    <n v="0"/>
    <m/>
    <m/>
    <m/>
    <m/>
    <m/>
    <m/>
    <n v="10722643"/>
    <n v="10707198"/>
  </r>
  <r>
    <x v="1"/>
    <x v="0"/>
    <s v="Southeast Arkansas College"/>
    <m/>
    <n v="107637"/>
    <x v="8"/>
    <n v="7197648"/>
    <n v="7532013"/>
    <m/>
    <m/>
    <m/>
    <m/>
    <n v="4091285"/>
    <m/>
    <n v="4091285"/>
    <n v="3752415"/>
    <m/>
    <n v="3752415"/>
    <n v="11288933"/>
    <n v="11284428"/>
    <m/>
    <m/>
    <m/>
    <m/>
    <n v="0"/>
    <m/>
    <m/>
    <n v="0"/>
    <m/>
    <m/>
    <m/>
    <m/>
    <m/>
    <m/>
    <n v="11288933"/>
    <n v="11284428"/>
  </r>
  <r>
    <x v="1"/>
    <x v="0"/>
    <s v="Southern Arkansas University Tech"/>
    <m/>
    <n v="107992"/>
    <x v="8"/>
    <n v="5668295"/>
    <n v="5798707"/>
    <m/>
    <m/>
    <m/>
    <m/>
    <n v="4110949"/>
    <m/>
    <n v="4110949"/>
    <n v="4214555"/>
    <m/>
    <n v="4214555"/>
    <n v="9779244"/>
    <n v="10013262"/>
    <m/>
    <m/>
    <m/>
    <m/>
    <n v="0"/>
    <m/>
    <m/>
    <n v="0"/>
    <m/>
    <m/>
    <m/>
    <m/>
    <m/>
    <m/>
    <n v="9779244"/>
    <n v="10013262"/>
  </r>
  <r>
    <x v="1"/>
    <x v="3"/>
    <s v="Environmental Control Academy &amp; Fire Control Academy"/>
    <m/>
    <n v="107992"/>
    <x v="8"/>
    <m/>
    <m/>
    <n v="2085557"/>
    <n v="2130018"/>
    <m/>
    <m/>
    <n v="543836"/>
    <m/>
    <n v="543836"/>
    <n v="562580"/>
    <m/>
    <n v="562580"/>
    <n v="2629393"/>
    <n v="2692598"/>
    <m/>
    <m/>
    <m/>
    <m/>
    <n v="0"/>
    <m/>
    <m/>
    <n v="0"/>
    <m/>
    <m/>
    <m/>
    <m/>
    <m/>
    <m/>
    <n v="2629393"/>
    <n v="2692598"/>
  </r>
  <r>
    <x v="1"/>
    <x v="0"/>
    <s v="University of Arkansas Community College at Batesville"/>
    <m/>
    <n v="106999"/>
    <x v="8"/>
    <n v="4666655"/>
    <n v="4852307"/>
    <m/>
    <m/>
    <n v="1203834"/>
    <n v="1200000"/>
    <n v="3650284"/>
    <m/>
    <n v="3650284"/>
    <n v="3745179"/>
    <m/>
    <n v="3745179"/>
    <n v="9520773"/>
    <n v="9797486"/>
    <m/>
    <m/>
    <m/>
    <m/>
    <n v="0"/>
    <m/>
    <m/>
    <n v="0"/>
    <m/>
    <m/>
    <m/>
    <m/>
    <m/>
    <m/>
    <n v="9520773"/>
    <n v="9797486"/>
  </r>
  <r>
    <x v="1"/>
    <x v="0"/>
    <s v="University of Arkansas Community College at Hope"/>
    <m/>
    <n v="107725"/>
    <x v="8"/>
    <n v="6067641"/>
    <n v="6371618"/>
    <m/>
    <m/>
    <n v="689762"/>
    <n v="650000"/>
    <n v="2410218"/>
    <m/>
    <n v="2410218"/>
    <n v="2328221"/>
    <m/>
    <n v="2328221"/>
    <n v="9167621"/>
    <n v="9349839"/>
    <m/>
    <m/>
    <m/>
    <m/>
    <n v="0"/>
    <m/>
    <m/>
    <n v="0"/>
    <m/>
    <m/>
    <m/>
    <m/>
    <m/>
    <m/>
    <n v="9167621"/>
    <n v="9349839"/>
  </r>
  <r>
    <x v="1"/>
    <x v="0"/>
    <s v="University of Arkansas Community College at Morrilton"/>
    <m/>
    <n v="107585"/>
    <x v="8"/>
    <n v="5729750"/>
    <n v="5974770"/>
    <m/>
    <m/>
    <n v="639865"/>
    <n v="625000"/>
    <n v="5652061"/>
    <m/>
    <n v="5652061"/>
    <n v="6072974"/>
    <m/>
    <n v="6072974"/>
    <n v="12021676"/>
    <n v="12672744"/>
    <m/>
    <m/>
    <m/>
    <m/>
    <n v="0"/>
    <m/>
    <m/>
    <n v="0"/>
    <m/>
    <m/>
    <m/>
    <m/>
    <m/>
    <m/>
    <n v="12021676"/>
    <n v="12672744"/>
  </r>
  <r>
    <x v="1"/>
    <x v="41"/>
    <s v="University of Arkansas for Medical Sciences"/>
    <m/>
    <n v="106263"/>
    <x v="11"/>
    <m/>
    <m/>
    <m/>
    <m/>
    <m/>
    <m/>
    <m/>
    <m/>
    <n v="0"/>
    <m/>
    <m/>
    <n v="0"/>
    <n v="0"/>
    <n v="0"/>
    <m/>
    <m/>
    <m/>
    <m/>
    <n v="0"/>
    <m/>
    <m/>
    <n v="0"/>
    <n v="110155737"/>
    <n v="112265445"/>
    <n v="21753119"/>
    <n v="28520211"/>
    <m/>
    <m/>
    <n v="131908856"/>
    <n v="112265445"/>
  </r>
  <r>
    <x v="1"/>
    <x v="13"/>
    <s v="All Other State Operating Appropriations Related to Postsecondary Education"/>
    <m/>
    <m/>
    <x v="12"/>
    <m/>
    <m/>
    <m/>
    <m/>
    <m/>
    <m/>
    <m/>
    <m/>
    <n v="0"/>
    <m/>
    <m/>
    <n v="0"/>
    <n v="0"/>
    <n v="0"/>
    <m/>
    <m/>
    <m/>
    <m/>
    <n v="0"/>
    <m/>
    <m/>
    <n v="0"/>
    <m/>
    <m/>
    <m/>
    <m/>
    <m/>
    <m/>
    <n v="0"/>
    <n v="0"/>
  </r>
  <r>
    <x v="1"/>
    <x v="13"/>
    <s v="Y.O.U. Program for At-Risk Youth"/>
    <m/>
    <m/>
    <x v="12"/>
    <m/>
    <m/>
    <n v="40000"/>
    <n v="40000"/>
    <m/>
    <m/>
    <m/>
    <m/>
    <n v="0"/>
    <m/>
    <m/>
    <n v="0"/>
    <n v="40000"/>
    <n v="40000"/>
    <m/>
    <m/>
    <m/>
    <m/>
    <n v="0"/>
    <m/>
    <m/>
    <n v="0"/>
    <m/>
    <m/>
    <m/>
    <m/>
    <m/>
    <m/>
    <n v="40000"/>
    <n v="4000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3196699"/>
    <n v="4237758"/>
    <m/>
    <m/>
    <n v="0"/>
    <m/>
    <m/>
    <n v="0"/>
    <m/>
    <m/>
    <m/>
    <m/>
    <m/>
    <m/>
    <n v="3196699"/>
    <n v="4237758"/>
  </r>
  <r>
    <x v="1"/>
    <x v="15"/>
    <s v="Univ. of Ark System Office"/>
    <m/>
    <m/>
    <x v="12"/>
    <m/>
    <m/>
    <m/>
    <m/>
    <m/>
    <m/>
    <m/>
    <m/>
    <n v="0"/>
    <m/>
    <m/>
    <n v="0"/>
    <n v="0"/>
    <n v="0"/>
    <n v="3588666"/>
    <n v="3660678"/>
    <m/>
    <m/>
    <n v="0"/>
    <m/>
    <m/>
    <n v="0"/>
    <m/>
    <m/>
    <m/>
    <m/>
    <m/>
    <m/>
    <n v="3588666"/>
    <n v="3660678"/>
  </r>
  <r>
    <x v="1"/>
    <x v="15"/>
    <s v="Arkansas State University System Office"/>
    <m/>
    <m/>
    <x v="12"/>
    <m/>
    <m/>
    <m/>
    <m/>
    <m/>
    <m/>
    <m/>
    <m/>
    <n v="0"/>
    <m/>
    <m/>
    <n v="0"/>
    <n v="0"/>
    <n v="0"/>
    <n v="2303233"/>
    <n v="2362680"/>
    <m/>
    <m/>
    <n v="0"/>
    <m/>
    <m/>
    <n v="0"/>
    <m/>
    <m/>
    <m/>
    <m/>
    <m/>
    <m/>
    <n v="2303233"/>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18400"/>
    <n v="18400"/>
    <m/>
    <m/>
    <n v="0"/>
    <m/>
    <m/>
    <n v="0"/>
    <m/>
    <m/>
    <m/>
    <m/>
    <m/>
    <m/>
    <n v="18400"/>
    <n v="18400"/>
  </r>
  <r>
    <x v="1"/>
    <x v="21"/>
    <s v="Meharry Medical College (Dentistry)"/>
    <m/>
    <m/>
    <x v="12"/>
    <m/>
    <m/>
    <m/>
    <m/>
    <m/>
    <m/>
    <m/>
    <m/>
    <n v="0"/>
    <m/>
    <m/>
    <n v="0"/>
    <n v="0"/>
    <n v="0"/>
    <n v="63600"/>
    <n v="79500"/>
    <m/>
    <m/>
    <n v="0"/>
    <m/>
    <m/>
    <n v="0"/>
    <m/>
    <m/>
    <m/>
    <m/>
    <m/>
    <m/>
    <n v="63600"/>
    <n v="79500"/>
  </r>
  <r>
    <x v="1"/>
    <x v="21"/>
    <s v="Rosalind Franklin University"/>
    <m/>
    <m/>
    <x v="12"/>
    <m/>
    <m/>
    <m/>
    <m/>
    <m/>
    <m/>
    <m/>
    <m/>
    <n v="0"/>
    <m/>
    <m/>
    <n v="0"/>
    <n v="0"/>
    <n v="0"/>
    <n v="0"/>
    <n v="0"/>
    <m/>
    <m/>
    <n v="0"/>
    <m/>
    <m/>
    <n v="0"/>
    <m/>
    <m/>
    <m/>
    <m/>
    <m/>
    <m/>
    <n v="0"/>
    <n v="0"/>
  </r>
  <r>
    <x v="1"/>
    <x v="21"/>
    <s v="Southern College of Optometry"/>
    <m/>
    <m/>
    <x v="12"/>
    <m/>
    <m/>
    <m/>
    <m/>
    <m/>
    <m/>
    <m/>
    <m/>
    <n v="0"/>
    <m/>
    <m/>
    <n v="0"/>
    <n v="0"/>
    <n v="0"/>
    <n v="264100"/>
    <n v="264100"/>
    <m/>
    <m/>
    <n v="0"/>
    <m/>
    <m/>
    <n v="0"/>
    <m/>
    <m/>
    <m/>
    <m/>
    <m/>
    <m/>
    <n v="264100"/>
    <n v="264100"/>
  </r>
  <r>
    <x v="1"/>
    <x v="21"/>
    <s v="Virginia College of Osteopathic Medicine"/>
    <m/>
    <m/>
    <x v="12"/>
    <m/>
    <m/>
    <m/>
    <m/>
    <m/>
    <m/>
    <m/>
    <m/>
    <n v="0"/>
    <m/>
    <m/>
    <n v="0"/>
    <n v="0"/>
    <n v="0"/>
    <n v="27000"/>
    <n v="40500"/>
    <m/>
    <m/>
    <n v="0"/>
    <m/>
    <m/>
    <n v="0"/>
    <m/>
    <m/>
    <m/>
    <m/>
    <m/>
    <m/>
    <n v="27000"/>
    <n v="40500"/>
  </r>
  <r>
    <x v="1"/>
    <x v="21"/>
    <s v="Southeastern University College of Osteopathic Medicine (NOVA)"/>
    <m/>
    <m/>
    <x v="12"/>
    <m/>
    <m/>
    <m/>
    <m/>
    <m/>
    <m/>
    <m/>
    <m/>
    <n v="0"/>
    <m/>
    <m/>
    <n v="0"/>
    <n v="0"/>
    <n v="0"/>
    <n v="13100"/>
    <n v="0"/>
    <m/>
    <m/>
    <n v="0"/>
    <m/>
    <m/>
    <n v="0"/>
    <m/>
    <m/>
    <m/>
    <m/>
    <m/>
    <m/>
    <n v="13100"/>
    <n v="0"/>
  </r>
  <r>
    <x v="1"/>
    <x v="22"/>
    <s v="SREB contract program with public colleges"/>
    <m/>
    <m/>
    <x v="12"/>
    <m/>
    <m/>
    <m/>
    <m/>
    <m/>
    <m/>
    <m/>
    <m/>
    <n v="0"/>
    <m/>
    <m/>
    <n v="0"/>
    <n v="0"/>
    <n v="0"/>
    <n v="0"/>
    <n v="0"/>
    <m/>
    <m/>
    <n v="0"/>
    <m/>
    <m/>
    <n v="0"/>
    <m/>
    <m/>
    <m/>
    <m/>
    <m/>
    <m/>
    <n v="0"/>
    <n v="0"/>
  </r>
  <r>
    <x v="1"/>
    <x v="22"/>
    <s v="Louisiana State Univ. Medical Center (Dentistry)"/>
    <m/>
    <m/>
    <x v="12"/>
    <m/>
    <m/>
    <m/>
    <m/>
    <m/>
    <m/>
    <m/>
    <m/>
    <n v="0"/>
    <m/>
    <m/>
    <n v="0"/>
    <n v="0"/>
    <n v="0"/>
    <n v="143100"/>
    <n v="143100"/>
    <m/>
    <m/>
    <n v="0"/>
    <m/>
    <m/>
    <n v="0"/>
    <m/>
    <m/>
    <m/>
    <m/>
    <m/>
    <m/>
    <n v="143100"/>
    <n v="143100"/>
  </r>
  <r>
    <x v="1"/>
    <x v="22"/>
    <s v="Mississippi State University (Veterinary Medicine)"/>
    <m/>
    <m/>
    <x v="12"/>
    <m/>
    <m/>
    <m/>
    <m/>
    <m/>
    <m/>
    <m/>
    <m/>
    <n v="0"/>
    <m/>
    <m/>
    <n v="0"/>
    <n v="0"/>
    <n v="0"/>
    <n v="72600"/>
    <n v="48400"/>
    <m/>
    <m/>
    <n v="0"/>
    <m/>
    <m/>
    <n v="0"/>
    <m/>
    <m/>
    <m/>
    <m/>
    <m/>
    <m/>
    <n v="72600"/>
    <n v="48400"/>
  </r>
  <r>
    <x v="1"/>
    <x v="22"/>
    <s v="Oklahoma State University (Osteopathic Medicine)"/>
    <m/>
    <m/>
    <x v="12"/>
    <m/>
    <m/>
    <m/>
    <m/>
    <m/>
    <m/>
    <m/>
    <m/>
    <n v="0"/>
    <m/>
    <m/>
    <n v="0"/>
    <n v="0"/>
    <n v="0"/>
    <n v="67500"/>
    <n v="67500"/>
    <m/>
    <m/>
    <n v="0"/>
    <m/>
    <m/>
    <n v="0"/>
    <m/>
    <m/>
    <m/>
    <m/>
    <m/>
    <m/>
    <n v="67500"/>
    <n v="67500"/>
  </r>
  <r>
    <x v="1"/>
    <x v="22"/>
    <s v="University of Tennessee (Dentistry)"/>
    <m/>
    <m/>
    <x v="12"/>
    <m/>
    <m/>
    <m/>
    <m/>
    <m/>
    <m/>
    <m/>
    <m/>
    <n v="0"/>
    <m/>
    <m/>
    <n v="0"/>
    <n v="0"/>
    <n v="0"/>
    <n v="1184550"/>
    <n v="1272000"/>
    <m/>
    <m/>
    <n v="0"/>
    <m/>
    <m/>
    <n v="0"/>
    <m/>
    <m/>
    <m/>
    <m/>
    <m/>
    <m/>
    <n v="1184550"/>
    <n v="1272000"/>
  </r>
  <r>
    <x v="1"/>
    <x v="22"/>
    <s v="University of Oklahoma (Dentistry)"/>
    <m/>
    <m/>
    <x v="12"/>
    <m/>
    <m/>
    <m/>
    <m/>
    <m/>
    <m/>
    <m/>
    <m/>
    <n v="0"/>
    <m/>
    <m/>
    <n v="0"/>
    <n v="0"/>
    <n v="0"/>
    <n v="31800"/>
    <n v="31800"/>
    <m/>
    <m/>
    <n v="0"/>
    <m/>
    <m/>
    <n v="0"/>
    <m/>
    <m/>
    <m/>
    <m/>
    <m/>
    <m/>
    <n v="31800"/>
    <n v="31800"/>
  </r>
  <r>
    <x v="1"/>
    <x v="22"/>
    <s v="Baylor College of Medicine-Texas A&amp;M (Dentistry)"/>
    <m/>
    <m/>
    <x v="12"/>
    <m/>
    <m/>
    <m/>
    <m/>
    <m/>
    <m/>
    <m/>
    <m/>
    <n v="0"/>
    <m/>
    <m/>
    <n v="0"/>
    <n v="0"/>
    <n v="0"/>
    <n v="63600"/>
    <n v="79500"/>
    <m/>
    <m/>
    <n v="0"/>
    <m/>
    <m/>
    <n v="0"/>
    <m/>
    <m/>
    <m/>
    <m/>
    <m/>
    <m/>
    <n v="63600"/>
    <n v="79500"/>
  </r>
  <r>
    <x v="1"/>
    <x v="22"/>
    <s v="Louisiana State University (Veterinary Medicine)"/>
    <m/>
    <m/>
    <x v="12"/>
    <m/>
    <m/>
    <m/>
    <m/>
    <m/>
    <m/>
    <m/>
    <m/>
    <n v="0"/>
    <m/>
    <m/>
    <n v="0"/>
    <n v="0"/>
    <n v="0"/>
    <n v="847000"/>
    <n v="847000"/>
    <m/>
    <m/>
    <n v="0"/>
    <m/>
    <m/>
    <n v="0"/>
    <m/>
    <m/>
    <m/>
    <m/>
    <m/>
    <m/>
    <n v="847000"/>
    <n v="847000"/>
  </r>
  <r>
    <x v="1"/>
    <x v="22"/>
    <s v="Northeastern University (Optometry)"/>
    <m/>
    <m/>
    <x v="12"/>
    <m/>
    <m/>
    <m/>
    <m/>
    <m/>
    <m/>
    <m/>
    <m/>
    <n v="0"/>
    <m/>
    <m/>
    <n v="0"/>
    <n v="0"/>
    <n v="0"/>
    <n v="97300"/>
    <n v="83400"/>
    <m/>
    <m/>
    <n v="0"/>
    <m/>
    <m/>
    <n v="0"/>
    <m/>
    <m/>
    <m/>
    <m/>
    <m/>
    <m/>
    <n v="97300"/>
    <n v="83400"/>
  </r>
  <r>
    <x v="1"/>
    <x v="22"/>
    <s v="University of Louisville (Dentistry)"/>
    <m/>
    <m/>
    <x v="12"/>
    <m/>
    <m/>
    <m/>
    <m/>
    <m/>
    <m/>
    <m/>
    <m/>
    <n v="0"/>
    <m/>
    <m/>
    <n v="0"/>
    <n v="0"/>
    <n v="0"/>
    <n v="95400"/>
    <n v="63600"/>
    <m/>
    <m/>
    <n v="0"/>
    <m/>
    <m/>
    <n v="0"/>
    <m/>
    <m/>
    <m/>
    <m/>
    <m/>
    <m/>
    <n v="95400"/>
    <n v="63600"/>
  </r>
  <r>
    <x v="1"/>
    <x v="22"/>
    <s v="University of Alabama - Birmingham (Dentistry)"/>
    <m/>
    <m/>
    <x v="12"/>
    <m/>
    <m/>
    <m/>
    <m/>
    <m/>
    <m/>
    <m/>
    <m/>
    <n v="0"/>
    <m/>
    <m/>
    <n v="0"/>
    <n v="0"/>
    <n v="0"/>
    <n v="0"/>
    <n v="0"/>
    <m/>
    <m/>
    <n v="0"/>
    <m/>
    <m/>
    <n v="0"/>
    <m/>
    <m/>
    <m/>
    <m/>
    <m/>
    <m/>
    <n v="0"/>
    <n v="0"/>
  </r>
  <r>
    <x v="1"/>
    <x v="23"/>
    <s v="Other contract education programs"/>
    <m/>
    <m/>
    <x v="12"/>
    <m/>
    <m/>
    <m/>
    <m/>
    <m/>
    <m/>
    <m/>
    <m/>
    <n v="0"/>
    <m/>
    <m/>
    <n v="0"/>
    <n v="0"/>
    <n v="0"/>
    <n v="441193"/>
    <n v="450000"/>
    <m/>
    <m/>
    <n v="0"/>
    <m/>
    <m/>
    <n v="0"/>
    <m/>
    <m/>
    <m/>
    <m/>
    <m/>
    <m/>
    <n v="441193"/>
    <n v="45000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519885"/>
    <n v="7750000"/>
    <m/>
    <m/>
    <n v="0"/>
    <m/>
    <m/>
    <n v="0"/>
    <m/>
    <m/>
    <m/>
    <m/>
    <m/>
    <m/>
    <n v="7519885"/>
    <n v="775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226000"/>
    <n v="3000000"/>
    <m/>
    <m/>
    <n v="0"/>
    <m/>
    <m/>
    <n v="0"/>
    <m/>
    <m/>
    <m/>
    <m/>
    <m/>
    <m/>
    <n v="3226000"/>
    <n v="3000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19406315"/>
    <m/>
    <m/>
    <m/>
    <n v="0"/>
    <m/>
    <m/>
    <n v="0"/>
    <m/>
    <m/>
    <m/>
    <m/>
    <m/>
    <m/>
    <n v="19406315"/>
    <n v="0"/>
  </r>
  <r>
    <x v="1"/>
    <x v="30"/>
    <s v="Non need-based"/>
    <m/>
    <m/>
    <x v="12"/>
    <m/>
    <m/>
    <m/>
    <m/>
    <m/>
    <m/>
    <m/>
    <m/>
    <n v="0"/>
    <m/>
    <m/>
    <n v="0"/>
    <n v="0"/>
    <n v="0"/>
    <m/>
    <n v="110000000"/>
    <m/>
    <m/>
    <n v="0"/>
    <m/>
    <m/>
    <n v="0"/>
    <m/>
    <m/>
    <m/>
    <m/>
    <m/>
    <m/>
    <n v="0"/>
    <n v="110000000"/>
  </r>
  <r>
    <x v="1"/>
    <x v="31"/>
    <s v="Amount to private sector students"/>
    <m/>
    <m/>
    <x v="12"/>
    <m/>
    <m/>
    <m/>
    <m/>
    <m/>
    <m/>
    <m/>
    <m/>
    <n v="0"/>
    <m/>
    <m/>
    <n v="0"/>
    <n v="0"/>
    <n v="0"/>
    <m/>
    <m/>
    <m/>
    <m/>
    <n v="0"/>
    <m/>
    <m/>
    <n v="0"/>
    <m/>
    <m/>
    <m/>
    <m/>
    <m/>
    <m/>
    <n v="0"/>
    <n v="0"/>
  </r>
  <r>
    <x v="1"/>
    <x v="32"/>
    <s v="Need-based"/>
    <m/>
    <m/>
    <x v="12"/>
    <m/>
    <m/>
    <m/>
    <m/>
    <m/>
    <m/>
    <m/>
    <m/>
    <n v="0"/>
    <m/>
    <m/>
    <n v="0"/>
    <n v="0"/>
    <n v="0"/>
    <n v="2491866"/>
    <m/>
    <m/>
    <m/>
    <n v="0"/>
    <m/>
    <m/>
    <n v="0"/>
    <m/>
    <m/>
    <m/>
    <m/>
    <m/>
    <m/>
    <n v="2491866"/>
    <n v="0"/>
  </r>
  <r>
    <x v="1"/>
    <x v="33"/>
    <s v="Non need-based"/>
    <m/>
    <m/>
    <x v="12"/>
    <m/>
    <m/>
    <m/>
    <m/>
    <m/>
    <m/>
    <m/>
    <m/>
    <n v="0"/>
    <m/>
    <m/>
    <n v="0"/>
    <n v="0"/>
    <n v="0"/>
    <m/>
    <n v="14000000"/>
    <m/>
    <m/>
    <n v="0"/>
    <m/>
    <m/>
    <n v="0"/>
    <m/>
    <m/>
    <m/>
    <m/>
    <m/>
    <m/>
    <n v="0"/>
    <n v="1400000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4850174"/>
    <n v="9900000"/>
    <m/>
    <m/>
    <n v="0"/>
    <m/>
    <m/>
    <n v="0"/>
    <m/>
    <m/>
    <m/>
    <m/>
    <m/>
    <m/>
    <n v="4850174"/>
    <n v="99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544750"/>
    <n v="1100000"/>
    <m/>
    <m/>
    <n v="0"/>
    <m/>
    <m/>
    <n v="0"/>
    <m/>
    <m/>
    <m/>
    <m/>
    <m/>
    <m/>
    <n v="544750"/>
    <n v="1100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924824"/>
    <n v="1000000"/>
    <m/>
    <m/>
    <n v="0"/>
    <m/>
    <m/>
    <n v="0"/>
    <m/>
    <m/>
    <m/>
    <m/>
    <m/>
    <m/>
    <n v="924824"/>
    <n v="10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56701"/>
    <n v="200000"/>
    <m/>
    <m/>
    <n v="0"/>
    <m/>
    <m/>
    <n v="0"/>
    <m/>
    <m/>
    <m/>
    <m/>
    <m/>
    <m/>
    <n v="156701"/>
    <n v="20000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4710"/>
    <n v="15000"/>
    <m/>
    <m/>
    <n v="0"/>
    <m/>
    <m/>
    <n v="0"/>
    <m/>
    <m/>
    <m/>
    <m/>
    <m/>
    <m/>
    <n v="14710"/>
    <n v="15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351063"/>
    <n v="200000"/>
    <m/>
    <m/>
    <n v="0"/>
    <m/>
    <m/>
    <n v="0"/>
    <m/>
    <m/>
    <m/>
    <m/>
    <m/>
    <m/>
    <n v="351063"/>
    <n v="2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431874"/>
    <n v="1400000"/>
    <m/>
    <m/>
    <n v="0"/>
    <m/>
    <m/>
    <n v="0"/>
    <m/>
    <m/>
    <m/>
    <m/>
    <m/>
    <m/>
    <n v="1431874"/>
    <n v="14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66250"/>
    <n v="100000"/>
    <m/>
    <m/>
    <n v="0"/>
    <m/>
    <m/>
    <n v="0"/>
    <m/>
    <m/>
    <m/>
    <m/>
    <m/>
    <m/>
    <n v="66250"/>
    <n v="100000"/>
  </r>
  <r>
    <x v="1"/>
    <x v="25"/>
    <s v="Junior/Senior Minority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84623"/>
    <n v="140000"/>
    <m/>
    <m/>
    <n v="0"/>
    <m/>
    <m/>
    <n v="0"/>
    <m/>
    <m/>
    <m/>
    <m/>
    <m/>
    <m/>
    <n v="184623"/>
    <n v="14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10000"/>
    <m/>
    <m/>
    <n v="0"/>
    <m/>
    <m/>
    <n v="0"/>
    <m/>
    <m/>
    <m/>
    <m/>
    <m/>
    <m/>
    <n v="0"/>
    <n v="1000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9614"/>
    <n v="180000"/>
    <m/>
    <m/>
    <n v="0"/>
    <m/>
    <m/>
    <n v="0"/>
    <m/>
    <m/>
    <m/>
    <m/>
    <m/>
    <m/>
    <n v="209614"/>
    <n v="18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7500"/>
    <n v="5000"/>
    <m/>
    <m/>
    <n v="0"/>
    <m/>
    <m/>
    <n v="0"/>
    <m/>
    <m/>
    <m/>
    <m/>
    <m/>
    <m/>
    <n v="7500"/>
    <n v="500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200000"/>
    <m/>
    <m/>
    <n v="0"/>
    <m/>
    <m/>
    <n v="0"/>
    <m/>
    <m/>
    <m/>
    <m/>
    <m/>
    <m/>
    <n v="200000"/>
    <n v="200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22625"/>
    <n v="130000"/>
    <m/>
    <m/>
    <n v="0"/>
    <m/>
    <m/>
    <n v="0"/>
    <m/>
    <m/>
    <m/>
    <m/>
    <m/>
    <m/>
    <n v="122625"/>
    <n v="13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5000"/>
    <m/>
    <m/>
    <n v="0"/>
    <m/>
    <m/>
    <n v="0"/>
    <m/>
    <m/>
    <m/>
    <m/>
    <m/>
    <m/>
    <n v="0"/>
    <n v="500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4025698"/>
    <n v="4000000"/>
    <m/>
    <m/>
    <n v="0"/>
    <m/>
    <m/>
    <n v="0"/>
    <m/>
    <m/>
    <m/>
    <m/>
    <m/>
    <m/>
    <n v="4025698"/>
    <n v="40000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204487"/>
    <n v="250000"/>
    <m/>
    <m/>
    <n v="0"/>
    <m/>
    <m/>
    <n v="0"/>
    <m/>
    <m/>
    <m/>
    <m/>
    <m/>
    <m/>
    <n v="204487"/>
    <n v="250000"/>
  </r>
  <r>
    <x v="1"/>
    <x v="33"/>
    <s v="Non need-based"/>
    <m/>
    <m/>
    <x v="12"/>
    <m/>
    <m/>
    <m/>
    <m/>
    <m/>
    <m/>
    <m/>
    <m/>
    <n v="0"/>
    <m/>
    <m/>
    <n v="0"/>
    <n v="0"/>
    <n v="0"/>
    <m/>
    <m/>
    <m/>
    <m/>
    <n v="0"/>
    <m/>
    <m/>
    <n v="0"/>
    <m/>
    <m/>
    <m/>
    <m/>
    <m/>
    <m/>
    <n v="0"/>
    <n v="0"/>
  </r>
  <r>
    <x v="1"/>
    <x v="25"/>
    <s v="State Teacher Assistance Resource"/>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74500"/>
    <n v="800000"/>
    <m/>
    <m/>
    <n v="0"/>
    <m/>
    <m/>
    <n v="0"/>
    <m/>
    <m/>
    <m/>
    <m/>
    <m/>
    <m/>
    <n v="874500"/>
    <n v="8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8000"/>
    <n v="5000"/>
    <m/>
    <m/>
    <n v="0"/>
    <m/>
    <m/>
    <n v="0"/>
    <m/>
    <m/>
    <m/>
    <m/>
    <m/>
    <m/>
    <n v="8000"/>
    <n v="500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174571"/>
    <n v="200000"/>
    <m/>
    <m/>
    <n v="0"/>
    <m/>
    <m/>
    <n v="0"/>
    <m/>
    <m/>
    <m/>
    <m/>
    <m/>
    <m/>
    <n v="174571"/>
    <n v="200000"/>
  </r>
  <r>
    <x v="2"/>
    <x v="0"/>
    <s v="University of Delaware"/>
    <m/>
    <n v="130943"/>
    <x v="0"/>
    <n v="122444600"/>
    <n v="115726000"/>
    <m/>
    <m/>
    <m/>
    <m/>
    <n v="371660474"/>
    <m/>
    <n v="371660474"/>
    <n v="413159776"/>
    <n v="0"/>
    <n v="413159776"/>
    <n v="494105074"/>
    <n v="528885776"/>
    <m/>
    <m/>
    <m/>
    <m/>
    <n v="0"/>
    <m/>
    <m/>
    <n v="0"/>
    <m/>
    <m/>
    <m/>
    <m/>
    <m/>
    <m/>
    <n v="494105074"/>
    <n v="528885776"/>
  </r>
  <r>
    <x v="2"/>
    <x v="3"/>
    <s v="Community/Public Service"/>
    <m/>
    <n v="130943"/>
    <x v="0"/>
    <m/>
    <m/>
    <m/>
    <m/>
    <m/>
    <m/>
    <m/>
    <m/>
    <n v="0"/>
    <m/>
    <m/>
    <n v="0"/>
    <n v="0"/>
    <n v="0"/>
    <m/>
    <m/>
    <m/>
    <m/>
    <n v="0"/>
    <m/>
    <m/>
    <n v="0"/>
    <m/>
    <m/>
    <m/>
    <m/>
    <m/>
    <m/>
    <n v="0"/>
    <n v="0"/>
  </r>
  <r>
    <x v="2"/>
    <x v="3"/>
    <s v="The College School"/>
    <m/>
    <n v="130943"/>
    <x v="0"/>
    <m/>
    <m/>
    <n v="91800"/>
    <n v="91800"/>
    <m/>
    <m/>
    <m/>
    <m/>
    <n v="0"/>
    <m/>
    <m/>
    <n v="0"/>
    <n v="91800"/>
    <n v="91800"/>
    <m/>
    <m/>
    <m/>
    <m/>
    <n v="0"/>
    <m/>
    <m/>
    <n v="0"/>
    <m/>
    <m/>
    <m/>
    <m/>
    <m/>
    <m/>
    <n v="91800"/>
    <n v="91800"/>
  </r>
  <r>
    <x v="2"/>
    <x v="5"/>
    <s v="Agricultural cooperative extension"/>
    <m/>
    <n v="130943"/>
    <x v="0"/>
    <m/>
    <m/>
    <n v="2303197"/>
    <n v="2303197"/>
    <m/>
    <m/>
    <m/>
    <m/>
    <n v="0"/>
    <m/>
    <m/>
    <n v="0"/>
    <n v="2303197"/>
    <n v="2303197"/>
    <m/>
    <m/>
    <m/>
    <m/>
    <n v="0"/>
    <m/>
    <m/>
    <n v="0"/>
    <m/>
    <m/>
    <m/>
    <m/>
    <m/>
    <m/>
    <n v="2303197"/>
    <n v="2303197"/>
  </r>
  <r>
    <x v="2"/>
    <x v="6"/>
    <s v="Agricultural experiment stations"/>
    <m/>
    <n v="130943"/>
    <x v="0"/>
    <m/>
    <m/>
    <n v="2628703"/>
    <n v="2628703"/>
    <m/>
    <m/>
    <m/>
    <m/>
    <n v="0"/>
    <m/>
    <m/>
    <n v="0"/>
    <n v="2628703"/>
    <n v="2628703"/>
    <m/>
    <m/>
    <m/>
    <m/>
    <n v="0"/>
    <m/>
    <m/>
    <n v="0"/>
    <m/>
    <m/>
    <m/>
    <m/>
    <m/>
    <m/>
    <n v="2628703"/>
    <n v="2628703"/>
  </r>
  <r>
    <x v="2"/>
    <x v="7"/>
    <s v="Research centers/institutes"/>
    <m/>
    <n v="130943"/>
    <x v="0"/>
    <m/>
    <m/>
    <m/>
    <m/>
    <m/>
    <m/>
    <m/>
    <m/>
    <n v="0"/>
    <m/>
    <m/>
    <n v="0"/>
    <n v="0"/>
    <n v="0"/>
    <m/>
    <m/>
    <m/>
    <m/>
    <n v="0"/>
    <m/>
    <m/>
    <n v="0"/>
    <m/>
    <m/>
    <m/>
    <m/>
    <m/>
    <m/>
    <n v="0"/>
    <n v="0"/>
  </r>
  <r>
    <x v="2"/>
    <x v="7"/>
    <s v="Delaware Biotech Institute Operating Funds"/>
    <m/>
    <n v="130943"/>
    <x v="0"/>
    <m/>
    <m/>
    <n v="734300"/>
    <n v="734300"/>
    <m/>
    <m/>
    <m/>
    <m/>
    <n v="0"/>
    <m/>
    <m/>
    <n v="0"/>
    <n v="734300"/>
    <n v="734300"/>
    <m/>
    <m/>
    <m/>
    <m/>
    <n v="0"/>
    <m/>
    <m/>
    <n v="0"/>
    <m/>
    <m/>
    <m/>
    <m/>
    <m/>
    <m/>
    <n v="734300"/>
    <n v="734300"/>
  </r>
  <r>
    <x v="2"/>
    <x v="7"/>
    <s v="Sea Grant"/>
    <m/>
    <n v="130943"/>
    <x v="0"/>
    <m/>
    <m/>
    <n v="559000"/>
    <n v="559000"/>
    <m/>
    <m/>
    <m/>
    <m/>
    <n v="0"/>
    <m/>
    <m/>
    <n v="0"/>
    <n v="559000"/>
    <n v="559000"/>
    <m/>
    <m/>
    <m/>
    <m/>
    <n v="0"/>
    <m/>
    <m/>
    <n v="0"/>
    <m/>
    <m/>
    <m/>
    <m/>
    <m/>
    <m/>
    <n v="559000"/>
    <n v="559000"/>
  </r>
  <r>
    <x v="2"/>
    <x v="7"/>
    <s v="Urban Agent"/>
    <m/>
    <n v="130943"/>
    <x v="0"/>
    <m/>
    <m/>
    <n v="135600"/>
    <n v="135600"/>
    <m/>
    <m/>
    <m/>
    <m/>
    <n v="0"/>
    <m/>
    <m/>
    <n v="0"/>
    <n v="135600"/>
    <n v="135600"/>
    <m/>
    <m/>
    <m/>
    <m/>
    <n v="0"/>
    <m/>
    <m/>
    <n v="0"/>
    <m/>
    <m/>
    <m/>
    <m/>
    <m/>
    <m/>
    <n v="135600"/>
    <n v="135600"/>
  </r>
  <r>
    <x v="2"/>
    <x v="7"/>
    <s v="Public Service &amp; Applied Research Projects"/>
    <m/>
    <n v="130943"/>
    <x v="0"/>
    <m/>
    <m/>
    <n v="452900"/>
    <n v="452900"/>
    <m/>
    <m/>
    <m/>
    <m/>
    <n v="0"/>
    <m/>
    <m/>
    <n v="0"/>
    <n v="452900"/>
    <n v="452900"/>
    <m/>
    <m/>
    <m/>
    <m/>
    <n v="0"/>
    <m/>
    <m/>
    <n v="0"/>
    <m/>
    <m/>
    <m/>
    <m/>
    <m/>
    <m/>
    <n v="452900"/>
    <n v="452900"/>
  </r>
  <r>
    <x v="2"/>
    <x v="7"/>
    <s v="Local Government Research &amp; Assistance"/>
    <m/>
    <n v="130943"/>
    <x v="0"/>
    <m/>
    <m/>
    <n v="238700"/>
    <n v="238700"/>
    <m/>
    <m/>
    <m/>
    <m/>
    <n v="0"/>
    <m/>
    <m/>
    <n v="0"/>
    <n v="238700"/>
    <n v="238700"/>
    <m/>
    <m/>
    <m/>
    <m/>
    <n v="0"/>
    <m/>
    <m/>
    <n v="0"/>
    <m/>
    <m/>
    <m/>
    <m/>
    <m/>
    <m/>
    <n v="238700"/>
    <n v="238700"/>
  </r>
  <r>
    <x v="2"/>
    <x v="7"/>
    <s v="Research on School Finance"/>
    <m/>
    <n v="130943"/>
    <x v="0"/>
    <m/>
    <m/>
    <n v="90500"/>
    <n v="90500"/>
    <m/>
    <m/>
    <m/>
    <m/>
    <n v="0"/>
    <m/>
    <m/>
    <n v="0"/>
    <n v="90500"/>
    <n v="90500"/>
    <m/>
    <m/>
    <m/>
    <m/>
    <n v="0"/>
    <m/>
    <m/>
    <n v="0"/>
    <m/>
    <m/>
    <m/>
    <m/>
    <m/>
    <m/>
    <n v="90500"/>
    <n v="90500"/>
  </r>
  <r>
    <x v="2"/>
    <x v="7"/>
    <s v="Delaware Education Research &amp; Development Center"/>
    <m/>
    <n v="130943"/>
    <x v="0"/>
    <m/>
    <m/>
    <n v="235100"/>
    <n v="235100"/>
    <m/>
    <m/>
    <m/>
    <m/>
    <n v="0"/>
    <m/>
    <m/>
    <n v="0"/>
    <n v="235100"/>
    <n v="235100"/>
    <m/>
    <m/>
    <m/>
    <m/>
    <n v="0"/>
    <m/>
    <m/>
    <n v="0"/>
    <m/>
    <m/>
    <m/>
    <m/>
    <m/>
    <m/>
    <n v="235100"/>
    <n v="235100"/>
  </r>
  <r>
    <x v="2"/>
    <x v="7"/>
    <s v="Geological Survey"/>
    <m/>
    <n v="130943"/>
    <x v="0"/>
    <m/>
    <m/>
    <n v="1631600"/>
    <n v="1643600"/>
    <m/>
    <m/>
    <m/>
    <m/>
    <n v="0"/>
    <m/>
    <m/>
    <n v="0"/>
    <n v="1631600"/>
    <n v="1643600"/>
    <m/>
    <m/>
    <m/>
    <m/>
    <n v="0"/>
    <m/>
    <m/>
    <n v="0"/>
    <m/>
    <m/>
    <m/>
    <m/>
    <m/>
    <m/>
    <n v="1631600"/>
    <n v="1643600"/>
  </r>
  <r>
    <x v="2"/>
    <x v="0"/>
    <s v="Delaware State University"/>
    <s v="Met the criteria for Four-Year 3 in 2010-11."/>
    <n v="130934"/>
    <x v="3"/>
    <n v="35925500"/>
    <n v="32210000"/>
    <m/>
    <m/>
    <m/>
    <m/>
    <n v="28460062"/>
    <n v="3376989"/>
    <n v="31837051"/>
    <n v="30715828"/>
    <n v="3344800"/>
    <n v="34060628"/>
    <n v="64385562"/>
    <n v="62925828"/>
    <m/>
    <m/>
    <m/>
    <m/>
    <n v="0"/>
    <m/>
    <m/>
    <n v="0"/>
    <m/>
    <m/>
    <m/>
    <m/>
    <m/>
    <m/>
    <n v="64385562"/>
    <n v="62925828"/>
  </r>
  <r>
    <x v="2"/>
    <x v="0"/>
    <s v="Delaware Technical and Community College--Owens"/>
    <m/>
    <n v="130891"/>
    <x v="7"/>
    <n v="18222400"/>
    <n v="16931900"/>
    <m/>
    <m/>
    <m/>
    <m/>
    <n v="12059600"/>
    <m/>
    <n v="12059600"/>
    <n v="13136000"/>
    <m/>
    <n v="13136000"/>
    <n v="30282000"/>
    <n v="30067900"/>
    <m/>
    <m/>
    <m/>
    <m/>
    <n v="0"/>
    <m/>
    <m/>
    <n v="0"/>
    <m/>
    <m/>
    <m/>
    <m/>
    <m/>
    <m/>
    <n v="30282000"/>
    <n v="30067900"/>
  </r>
  <r>
    <x v="2"/>
    <x v="0"/>
    <s v="Delaware Technical and Community College--Stanton-Wilmington"/>
    <s v="Met the criteria for Two-Year 1 in 2009-10 and in 2010-11."/>
    <n v="130916"/>
    <x v="7"/>
    <n v="30030190"/>
    <n v="28620400"/>
    <m/>
    <m/>
    <m/>
    <m/>
    <n v="20072660"/>
    <m/>
    <n v="20072660"/>
    <n v="21036000"/>
    <m/>
    <n v="21036000"/>
    <n v="50102850"/>
    <n v="49656400"/>
    <m/>
    <m/>
    <m/>
    <m/>
    <n v="0"/>
    <m/>
    <m/>
    <n v="0"/>
    <m/>
    <m/>
    <m/>
    <m/>
    <m/>
    <m/>
    <n v="50102850"/>
    <n v="49656400"/>
  </r>
  <r>
    <x v="2"/>
    <x v="0"/>
    <s v="Delaware Technical and Community College--Terry"/>
    <m/>
    <n v="130907"/>
    <x v="8"/>
    <n v="11335200"/>
    <n v="10718000"/>
    <m/>
    <m/>
    <m/>
    <m/>
    <n v="8183700"/>
    <m/>
    <n v="8183700"/>
    <n v="9107100"/>
    <m/>
    <n v="9107100"/>
    <n v="19518900"/>
    <n v="19825100"/>
    <m/>
    <m/>
    <m/>
    <m/>
    <n v="0"/>
    <m/>
    <m/>
    <n v="0"/>
    <m/>
    <m/>
    <m/>
    <m/>
    <m/>
    <m/>
    <n v="19518900"/>
    <n v="19825100"/>
  </r>
  <r>
    <x v="2"/>
    <x v="13"/>
    <s v="Educational special-purpose funds-- all other"/>
    <m/>
    <m/>
    <x v="12"/>
    <m/>
    <m/>
    <m/>
    <m/>
    <m/>
    <m/>
    <m/>
    <m/>
    <n v="0"/>
    <m/>
    <m/>
    <n v="0"/>
    <n v="0"/>
    <n v="0"/>
    <m/>
    <m/>
    <m/>
    <m/>
    <n v="0"/>
    <m/>
    <m/>
    <n v="0"/>
    <m/>
    <m/>
    <m/>
    <m/>
    <m/>
    <m/>
    <n v="0"/>
    <n v="0"/>
  </r>
  <r>
    <x v="2"/>
    <x v="13"/>
    <s v="Matching Funds Minority Engineering Recruitment"/>
    <m/>
    <m/>
    <x v="12"/>
    <m/>
    <m/>
    <n v="30000"/>
    <n v="30000"/>
    <m/>
    <m/>
    <m/>
    <m/>
    <n v="0"/>
    <m/>
    <m/>
    <n v="0"/>
    <n v="30000"/>
    <n v="30000"/>
    <m/>
    <m/>
    <m/>
    <m/>
    <n v="0"/>
    <m/>
    <m/>
    <n v="0"/>
    <m/>
    <m/>
    <m/>
    <m/>
    <m/>
    <m/>
    <n v="30000"/>
    <n v="30000"/>
  </r>
  <r>
    <x v="2"/>
    <x v="13"/>
    <s v="Matching Funds; Advancement of Minorities in Engineering"/>
    <m/>
    <m/>
    <x v="12"/>
    <m/>
    <m/>
    <n v="255000"/>
    <n v="255000"/>
    <m/>
    <m/>
    <m/>
    <m/>
    <n v="0"/>
    <m/>
    <m/>
    <n v="0"/>
    <n v="255000"/>
    <n v="255000"/>
    <m/>
    <m/>
    <m/>
    <m/>
    <n v="0"/>
    <m/>
    <m/>
    <n v="0"/>
    <m/>
    <m/>
    <m/>
    <m/>
    <m/>
    <m/>
    <n v="255000"/>
    <n v="255000"/>
  </r>
  <r>
    <x v="2"/>
    <x v="13"/>
    <s v="Associate in Arts Program (joint Del. Tech - UD program administered by Del Tech)"/>
    <m/>
    <m/>
    <x v="12"/>
    <m/>
    <m/>
    <n v="3123896"/>
    <n v="1957100"/>
    <m/>
    <m/>
    <m/>
    <m/>
    <n v="0"/>
    <m/>
    <m/>
    <n v="0"/>
    <n v="3123896"/>
    <n v="1957100"/>
    <m/>
    <m/>
    <m/>
    <m/>
    <n v="0"/>
    <m/>
    <m/>
    <n v="0"/>
    <m/>
    <m/>
    <m/>
    <m/>
    <m/>
    <m/>
    <n v="3123896"/>
    <n v="1957100"/>
  </r>
  <r>
    <x v="2"/>
    <x v="13"/>
    <s v="Occupational Teacher Program (Del. Tech.)"/>
    <m/>
    <m/>
    <x v="12"/>
    <m/>
    <m/>
    <n v="0"/>
    <m/>
    <m/>
    <m/>
    <m/>
    <m/>
    <n v="0"/>
    <m/>
    <m/>
    <n v="0"/>
    <n v="0"/>
    <n v="0"/>
    <m/>
    <m/>
    <m/>
    <m/>
    <n v="0"/>
    <m/>
    <m/>
    <n v="0"/>
    <m/>
    <m/>
    <m/>
    <m/>
    <m/>
    <m/>
    <n v="0"/>
    <n v="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43800"/>
    <n v="842200"/>
    <m/>
    <m/>
    <n v="0"/>
    <m/>
    <m/>
    <n v="0"/>
    <m/>
    <m/>
    <m/>
    <m/>
    <m/>
    <m/>
    <n v="843800"/>
    <n v="842200"/>
  </r>
  <r>
    <x v="2"/>
    <x v="16"/>
    <s v="Two-year system(s), if any"/>
    <m/>
    <m/>
    <x v="12"/>
    <m/>
    <m/>
    <m/>
    <m/>
    <m/>
    <m/>
    <m/>
    <m/>
    <n v="0"/>
    <m/>
    <m/>
    <n v="0"/>
    <n v="0"/>
    <n v="0"/>
    <m/>
    <m/>
    <m/>
    <m/>
    <n v="0"/>
    <m/>
    <m/>
    <n v="0"/>
    <m/>
    <m/>
    <m/>
    <m/>
    <m/>
    <m/>
    <n v="0"/>
    <n v="0"/>
  </r>
  <r>
    <x v="2"/>
    <x v="16"/>
    <s v="Delaware Tech College System Office"/>
    <m/>
    <m/>
    <x v="12"/>
    <m/>
    <m/>
    <m/>
    <m/>
    <m/>
    <m/>
    <m/>
    <m/>
    <n v="0"/>
    <m/>
    <m/>
    <n v="0"/>
    <n v="0"/>
    <n v="0"/>
    <n v="6053900"/>
    <n v="7937900"/>
    <m/>
    <m/>
    <n v="0"/>
    <m/>
    <m/>
    <n v="0"/>
    <m/>
    <m/>
    <m/>
    <m/>
    <m/>
    <m/>
    <n v="6053900"/>
    <n v="7937900"/>
  </r>
  <r>
    <x v="2"/>
    <x v="17"/>
    <s v="National or regional associations, compacts or consortia"/>
    <m/>
    <m/>
    <x v="12"/>
    <m/>
    <m/>
    <m/>
    <m/>
    <m/>
    <m/>
    <m/>
    <m/>
    <n v="0"/>
    <m/>
    <m/>
    <n v="0"/>
    <n v="0"/>
    <n v="0"/>
    <m/>
    <m/>
    <m/>
    <m/>
    <n v="0"/>
    <m/>
    <m/>
    <n v="0"/>
    <m/>
    <m/>
    <m/>
    <m/>
    <m/>
    <m/>
    <n v="0"/>
    <n v="0"/>
  </r>
  <r>
    <x v="2"/>
    <x v="17"/>
    <s v="SREB"/>
    <m/>
    <m/>
    <x v="12"/>
    <m/>
    <m/>
    <m/>
    <m/>
    <m/>
    <m/>
    <m/>
    <m/>
    <n v="0"/>
    <m/>
    <m/>
    <n v="0"/>
    <n v="0"/>
    <n v="0"/>
    <n v="193550"/>
    <n v="197425"/>
    <m/>
    <m/>
    <n v="0"/>
    <m/>
    <m/>
    <n v="0"/>
    <m/>
    <m/>
    <m/>
    <m/>
    <m/>
    <m/>
    <n v="193550"/>
    <n v="197425"/>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2130000"/>
    <n v="2130000"/>
    <m/>
    <m/>
    <n v="0"/>
    <m/>
    <m/>
    <n v="0"/>
    <m/>
    <m/>
    <m/>
    <m/>
    <m/>
    <m/>
    <n v="213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314600"/>
    <n v="314600"/>
    <m/>
    <m/>
    <n v="0"/>
    <m/>
    <m/>
    <n v="0"/>
    <m/>
    <m/>
    <m/>
    <m/>
    <m/>
    <m/>
    <n v="314600"/>
    <n v="314600"/>
  </r>
  <r>
    <x v="2"/>
    <x v="22"/>
    <s v="Del Institute for Dental Ed &amp; Rsch (DIDER)"/>
    <m/>
    <m/>
    <x v="12"/>
    <m/>
    <m/>
    <m/>
    <m/>
    <m/>
    <m/>
    <m/>
    <m/>
    <n v="0"/>
    <m/>
    <m/>
    <n v="0"/>
    <n v="0"/>
    <n v="0"/>
    <n v="563000"/>
    <n v="540000"/>
    <m/>
    <m/>
    <n v="0"/>
    <m/>
    <m/>
    <n v="0"/>
    <m/>
    <m/>
    <m/>
    <m/>
    <m/>
    <m/>
    <n v="563000"/>
    <n v="5400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952318"/>
    <n v="1374423"/>
    <m/>
    <m/>
    <n v="0"/>
    <m/>
    <m/>
    <n v="0"/>
    <m/>
    <m/>
    <m/>
    <m/>
    <m/>
    <m/>
    <n v="1952318"/>
    <n v="1374423"/>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14250"/>
    <n v="156562"/>
    <m/>
    <m/>
    <n v="0"/>
    <m/>
    <m/>
    <n v="0"/>
    <m/>
    <m/>
    <m/>
    <m/>
    <m/>
    <m/>
    <n v="114250"/>
    <n v="156562"/>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0540"/>
    <n v="68124"/>
    <m/>
    <m/>
    <n v="0"/>
    <m/>
    <m/>
    <n v="0"/>
    <m/>
    <m/>
    <m/>
    <m/>
    <m/>
    <m/>
    <n v="80540"/>
    <n v="68124"/>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1145"/>
    <n v="57717"/>
    <m/>
    <m/>
    <n v="0"/>
    <m/>
    <m/>
    <n v="0"/>
    <m/>
    <m/>
    <m/>
    <m/>
    <m/>
    <m/>
    <n v="51145"/>
    <n v="57717"/>
  </r>
  <r>
    <x v="2"/>
    <x v="31"/>
    <s v="To private sector students"/>
    <m/>
    <m/>
    <x v="12"/>
    <m/>
    <m/>
    <m/>
    <m/>
    <m/>
    <m/>
    <m/>
    <m/>
    <n v="0"/>
    <m/>
    <m/>
    <n v="0"/>
    <n v="0"/>
    <n v="0"/>
    <m/>
    <m/>
    <m/>
    <m/>
    <n v="0"/>
    <m/>
    <m/>
    <n v="0"/>
    <m/>
    <m/>
    <m/>
    <m/>
    <m/>
    <m/>
    <n v="0"/>
    <n v="0"/>
  </r>
  <r>
    <x v="2"/>
    <x v="32"/>
    <s v="Need-based"/>
    <m/>
    <m/>
    <x v="12"/>
    <m/>
    <m/>
    <m/>
    <m/>
    <m/>
    <m/>
    <m/>
    <m/>
    <n v="0"/>
    <m/>
    <m/>
    <n v="0"/>
    <n v="0"/>
    <n v="0"/>
    <m/>
    <n v="3483"/>
    <m/>
    <m/>
    <n v="0"/>
    <m/>
    <m/>
    <n v="0"/>
    <m/>
    <m/>
    <m/>
    <m/>
    <m/>
    <m/>
    <n v="0"/>
    <n v="3483"/>
  </r>
  <r>
    <x v="2"/>
    <x v="33"/>
    <s v="Non need-based"/>
    <m/>
    <m/>
    <x v="12"/>
    <m/>
    <m/>
    <m/>
    <m/>
    <m/>
    <m/>
    <m/>
    <m/>
    <n v="0"/>
    <m/>
    <m/>
    <n v="0"/>
    <n v="0"/>
    <n v="0"/>
    <m/>
    <m/>
    <m/>
    <m/>
    <n v="0"/>
    <m/>
    <m/>
    <n v="0"/>
    <m/>
    <m/>
    <m/>
    <m/>
    <m/>
    <m/>
    <n v="0"/>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83750"/>
    <n v="55000"/>
    <m/>
    <m/>
    <n v="0"/>
    <m/>
    <m/>
    <n v="0"/>
    <m/>
    <m/>
    <m/>
    <m/>
    <m/>
    <m/>
    <n v="83750"/>
    <n v="5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53750"/>
    <n v="55000"/>
    <m/>
    <m/>
    <n v="0"/>
    <m/>
    <m/>
    <n v="0"/>
    <m/>
    <m/>
    <m/>
    <m/>
    <m/>
    <m/>
    <n v="53750"/>
    <n v="55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3000"/>
    <n v="57343"/>
    <m/>
    <m/>
    <n v="0"/>
    <m/>
    <m/>
    <n v="0"/>
    <m/>
    <m/>
    <m/>
    <m/>
    <m/>
    <m/>
    <n v="73000"/>
    <n v="5734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24000"/>
    <m/>
    <m/>
    <n v="0"/>
    <m/>
    <m/>
    <n v="0"/>
    <m/>
    <m/>
    <m/>
    <m/>
    <m/>
    <m/>
    <n v="0"/>
    <n v="24000"/>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8750"/>
    <n v="14375"/>
    <m/>
    <m/>
    <n v="0"/>
    <m/>
    <m/>
    <n v="0"/>
    <m/>
    <m/>
    <m/>
    <m/>
    <m/>
    <m/>
    <n v="18750"/>
    <n v="14375"/>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16989"/>
    <m/>
    <m/>
    <n v="0"/>
    <m/>
    <m/>
    <n v="0"/>
    <m/>
    <m/>
    <m/>
    <m/>
    <m/>
    <m/>
    <n v="0"/>
    <n v="16989"/>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85527"/>
    <n v="62811"/>
    <m/>
    <m/>
    <n v="0"/>
    <m/>
    <m/>
    <n v="0"/>
    <m/>
    <m/>
    <m/>
    <m/>
    <m/>
    <m/>
    <n v="85527"/>
    <n v="62811"/>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35000"/>
    <n v="25000"/>
    <m/>
    <m/>
    <n v="0"/>
    <m/>
    <m/>
    <n v="0"/>
    <m/>
    <m/>
    <m/>
    <m/>
    <m/>
    <m/>
    <n v="35000"/>
    <n v="2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10000"/>
    <m/>
    <m/>
    <n v="0"/>
    <m/>
    <m/>
    <n v="0"/>
    <m/>
    <m/>
    <m/>
    <m/>
    <m/>
    <m/>
    <n v="20000"/>
    <n v="10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9432"/>
    <n v="71783"/>
    <m/>
    <m/>
    <n v="0"/>
    <m/>
    <m/>
    <n v="0"/>
    <m/>
    <m/>
    <m/>
    <m/>
    <m/>
    <m/>
    <n v="59432"/>
    <n v="7178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500"/>
    <n v="2000"/>
    <m/>
    <m/>
    <n v="0"/>
    <m/>
    <m/>
    <n v="0"/>
    <m/>
    <m/>
    <m/>
    <m/>
    <m/>
    <m/>
    <n v="5500"/>
    <n v="2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5000"/>
    <n v="4000"/>
    <m/>
    <m/>
    <n v="0"/>
    <m/>
    <m/>
    <n v="0"/>
    <m/>
    <m/>
    <m/>
    <m/>
    <m/>
    <m/>
    <n v="5000"/>
    <n v="400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7887"/>
    <n v="127414"/>
    <m/>
    <m/>
    <n v="0"/>
    <m/>
    <m/>
    <n v="0"/>
    <m/>
    <m/>
    <m/>
    <m/>
    <m/>
    <m/>
    <n v="97887"/>
    <n v="12741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160"/>
    <n v="37342"/>
    <m/>
    <m/>
    <n v="0"/>
    <m/>
    <m/>
    <n v="0"/>
    <m/>
    <m/>
    <m/>
    <m/>
    <m/>
    <m/>
    <n v="80160"/>
    <n v="37342"/>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2021"/>
    <n v="4087"/>
    <m/>
    <m/>
    <n v="0"/>
    <m/>
    <m/>
    <n v="0"/>
    <m/>
    <m/>
    <m/>
    <m/>
    <m/>
    <m/>
    <n v="12021"/>
    <n v="4087"/>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57021"/>
    <n v="16151"/>
    <m/>
    <m/>
    <n v="0"/>
    <m/>
    <m/>
    <n v="0"/>
    <m/>
    <m/>
    <m/>
    <m/>
    <m/>
    <m/>
    <n v="57021"/>
    <n v="16151"/>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
    <n v="2000"/>
    <m/>
    <m/>
    <n v="0"/>
    <m/>
    <m/>
    <n v="0"/>
    <m/>
    <m/>
    <m/>
    <m/>
    <m/>
    <m/>
    <n v="2000"/>
    <n v="200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40000"/>
    <n v="80000"/>
    <m/>
    <m/>
    <n v="0"/>
    <m/>
    <m/>
    <n v="0"/>
    <m/>
    <m/>
    <m/>
    <m/>
    <m/>
    <m/>
    <n v="4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0000"/>
    <n v="20000"/>
    <m/>
    <m/>
    <n v="0"/>
    <m/>
    <m/>
    <n v="0"/>
    <m/>
    <m/>
    <m/>
    <m/>
    <m/>
    <m/>
    <n v="1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67500"/>
    <n v="309500"/>
    <m/>
    <m/>
    <n v="0"/>
    <m/>
    <m/>
    <n v="0"/>
    <m/>
    <m/>
    <m/>
    <m/>
    <m/>
    <m/>
    <n v="267500"/>
    <n v="309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92500"/>
    <n v="164500"/>
    <m/>
    <m/>
    <n v="0"/>
    <m/>
    <m/>
    <n v="0"/>
    <m/>
    <m/>
    <m/>
    <m/>
    <m/>
    <m/>
    <n v="192500"/>
    <n v="164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24000"/>
    <m/>
    <m/>
    <n v="0"/>
    <m/>
    <m/>
    <n v="0"/>
    <m/>
    <m/>
    <m/>
    <m/>
    <m/>
    <m/>
    <n v="20000"/>
    <n v="24000"/>
  </r>
  <r>
    <x v="2"/>
    <x v="25"/>
    <s v="National Board for Professional Teaching Standards Loan"/>
    <m/>
    <m/>
    <x v="12"/>
    <m/>
    <m/>
    <m/>
    <m/>
    <m/>
    <m/>
    <m/>
    <m/>
    <n v="0"/>
    <m/>
    <m/>
    <n v="0"/>
    <n v="0"/>
    <n v="0"/>
    <n v="0"/>
    <n v="0"/>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29394"/>
    <n v="110914"/>
    <m/>
    <m/>
    <n v="0"/>
    <m/>
    <m/>
    <n v="0"/>
    <m/>
    <m/>
    <m/>
    <m/>
    <m/>
    <m/>
    <n v="129394"/>
    <n v="11091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4886"/>
    <n v="31801"/>
    <m/>
    <m/>
    <n v="0"/>
    <m/>
    <m/>
    <n v="0"/>
    <m/>
    <m/>
    <m/>
    <m/>
    <m/>
    <m/>
    <n v="24886"/>
    <n v="31801"/>
  </r>
  <r>
    <x v="2"/>
    <x v="25"/>
    <s v="DE State Loan Repayment Program/Physicians &amp; Dentists"/>
    <m/>
    <m/>
    <x v="12"/>
    <m/>
    <m/>
    <m/>
    <m/>
    <m/>
    <m/>
    <m/>
    <m/>
    <n v="0"/>
    <m/>
    <m/>
    <n v="0"/>
    <n v="0"/>
    <n v="0"/>
    <n v="303908"/>
    <n v="326050"/>
    <m/>
    <m/>
    <n v="0"/>
    <m/>
    <m/>
    <n v="0"/>
    <m/>
    <m/>
    <m/>
    <m/>
    <m/>
    <m/>
    <n v="303908"/>
    <n v="326050"/>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1000"/>
    <n v="20000"/>
    <m/>
    <m/>
    <n v="0"/>
    <m/>
    <m/>
    <n v="0"/>
    <m/>
    <m/>
    <m/>
    <m/>
    <m/>
    <m/>
    <n v="21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79010936"/>
    <n v="186522886"/>
    <m/>
    <m/>
    <m/>
    <m/>
    <n v="142109953"/>
    <n v="3610333"/>
    <n v="145720286"/>
    <n v="158444602"/>
    <n v="3436312"/>
    <n v="161880914"/>
    <n v="321120889"/>
    <n v="344967488"/>
    <m/>
    <m/>
    <m/>
    <m/>
    <n v="0"/>
    <m/>
    <m/>
    <n v="0"/>
    <m/>
    <m/>
    <m/>
    <m/>
    <m/>
    <m/>
    <n v="321120889"/>
    <n v="344967488"/>
  </r>
  <r>
    <x v="3"/>
    <x v="0"/>
    <s v="Student Financial Aid"/>
    <m/>
    <n v="133951"/>
    <x v="0"/>
    <m/>
    <m/>
    <n v="1304265"/>
    <n v="1272154"/>
    <m/>
    <m/>
    <m/>
    <m/>
    <n v="0"/>
    <m/>
    <m/>
    <n v="0"/>
    <n v="1304265"/>
    <n v="1272154"/>
    <m/>
    <m/>
    <m/>
    <m/>
    <n v="0"/>
    <m/>
    <m/>
    <n v="0"/>
    <m/>
    <m/>
    <m/>
    <m/>
    <m/>
    <m/>
    <n v="1304265"/>
    <n v="1272154"/>
  </r>
  <r>
    <x v="3"/>
    <x v="0"/>
    <s v="Risk Management/Casualty Insurance"/>
    <m/>
    <n v="133951"/>
    <x v="0"/>
    <m/>
    <m/>
    <n v="1407241"/>
    <n v="1407241"/>
    <m/>
    <m/>
    <m/>
    <m/>
    <n v="0"/>
    <m/>
    <m/>
    <n v="0"/>
    <n v="1407241"/>
    <n v="1407241"/>
    <m/>
    <m/>
    <m/>
    <m/>
    <n v="0"/>
    <m/>
    <m/>
    <n v="0"/>
    <m/>
    <m/>
    <m/>
    <m/>
    <m/>
    <m/>
    <n v="1407241"/>
    <n v="1407241"/>
  </r>
  <r>
    <x v="3"/>
    <x v="1"/>
    <s v="Medical School"/>
    <m/>
    <n v="133951"/>
    <x v="0"/>
    <m/>
    <m/>
    <m/>
    <m/>
    <m/>
    <m/>
    <m/>
    <m/>
    <n v="0"/>
    <m/>
    <m/>
    <n v="0"/>
    <n v="0"/>
    <n v="0"/>
    <m/>
    <m/>
    <m/>
    <m/>
    <n v="0"/>
    <m/>
    <m/>
    <n v="0"/>
    <n v="21410785"/>
    <n v="25210077"/>
    <n v="972185"/>
    <m/>
    <n v="1867169"/>
    <m/>
    <n v="22382970"/>
    <n v="27077246"/>
  </r>
  <r>
    <x v="3"/>
    <x v="7"/>
    <s v="Research centers/institutes"/>
    <m/>
    <n v="137351"/>
    <x v="0"/>
    <m/>
    <m/>
    <m/>
    <m/>
    <m/>
    <m/>
    <m/>
    <m/>
    <n v="0"/>
    <m/>
    <m/>
    <n v="0"/>
    <n v="0"/>
    <n v="0"/>
    <m/>
    <m/>
    <m/>
    <m/>
    <n v="0"/>
    <m/>
    <m/>
    <n v="0"/>
    <m/>
    <m/>
    <m/>
    <m/>
    <m/>
    <m/>
    <n v="0"/>
    <n v="0"/>
  </r>
  <r>
    <x v="3"/>
    <x v="0"/>
    <s v="Florida State University "/>
    <m/>
    <n v="134097"/>
    <x v="0"/>
    <n v="261944880"/>
    <n v="273845726"/>
    <m/>
    <m/>
    <m/>
    <m/>
    <n v="153385390"/>
    <n v="4166414"/>
    <n v="157551804"/>
    <n v="166175723"/>
    <n v="3662606"/>
    <n v="169838329"/>
    <n v="415330270"/>
    <n v="440021449"/>
    <m/>
    <m/>
    <m/>
    <m/>
    <n v="0"/>
    <m/>
    <m/>
    <n v="0"/>
    <m/>
    <m/>
    <m/>
    <m/>
    <m/>
    <m/>
    <n v="415330270"/>
    <n v="440021449"/>
  </r>
  <r>
    <x v="3"/>
    <x v="0"/>
    <s v="Student Financial Aid"/>
    <m/>
    <n v="134097"/>
    <x v="0"/>
    <m/>
    <m/>
    <n v="3540501"/>
    <n v="3453334"/>
    <m/>
    <m/>
    <m/>
    <m/>
    <n v="0"/>
    <m/>
    <m/>
    <n v="0"/>
    <n v="3540501"/>
    <n v="3453334"/>
    <m/>
    <m/>
    <m/>
    <m/>
    <n v="0"/>
    <m/>
    <m/>
    <n v="0"/>
    <m/>
    <m/>
    <m/>
    <m/>
    <m/>
    <m/>
    <n v="3540501"/>
    <n v="3453334"/>
  </r>
  <r>
    <x v="3"/>
    <x v="0"/>
    <s v="Risk Management/Casualty Insurance"/>
    <m/>
    <n v="134097"/>
    <x v="0"/>
    <m/>
    <m/>
    <n v="2111419"/>
    <n v="2111419"/>
    <m/>
    <m/>
    <m/>
    <m/>
    <n v="0"/>
    <m/>
    <m/>
    <n v="0"/>
    <n v="2111419"/>
    <n v="2111419"/>
    <m/>
    <m/>
    <m/>
    <m/>
    <n v="0"/>
    <m/>
    <m/>
    <n v="0"/>
    <n v="59608"/>
    <n v="52372"/>
    <m/>
    <m/>
    <m/>
    <m/>
    <n v="2171027"/>
    <n v="2163791"/>
  </r>
  <r>
    <x v="3"/>
    <x v="1"/>
    <s v="Medical School"/>
    <m/>
    <n v="134097"/>
    <x v="0"/>
    <m/>
    <m/>
    <m/>
    <m/>
    <m/>
    <m/>
    <m/>
    <m/>
    <n v="0"/>
    <m/>
    <m/>
    <n v="0"/>
    <n v="0"/>
    <n v="0"/>
    <m/>
    <m/>
    <m/>
    <m/>
    <n v="0"/>
    <m/>
    <m/>
    <n v="0"/>
    <n v="35378869"/>
    <n v="36193679"/>
    <n v="9933495"/>
    <m/>
    <n v="10207063"/>
    <m/>
    <n v="45312364"/>
    <n v="46400742"/>
  </r>
  <r>
    <x v="3"/>
    <x v="1"/>
    <s v="College of Medicine Autism Program"/>
    <m/>
    <n v="134097"/>
    <x v="0"/>
    <m/>
    <m/>
    <m/>
    <m/>
    <m/>
    <m/>
    <m/>
    <m/>
    <n v="0"/>
    <m/>
    <m/>
    <n v="0"/>
    <n v="0"/>
    <n v="0"/>
    <m/>
    <m/>
    <m/>
    <m/>
    <n v="0"/>
    <m/>
    <m/>
    <n v="0"/>
    <n v="830019"/>
    <n v="830019"/>
    <m/>
    <m/>
    <m/>
    <m/>
    <n v="830019"/>
    <n v="830019"/>
  </r>
  <r>
    <x v="3"/>
    <x v="3"/>
    <s v="Community or public service units"/>
    <m/>
    <n v="134097"/>
    <x v="0"/>
    <m/>
    <m/>
    <n v="438138"/>
    <n v="438138"/>
    <m/>
    <m/>
    <m/>
    <m/>
    <n v="0"/>
    <m/>
    <m/>
    <n v="0"/>
    <n v="438138"/>
    <n v="438138"/>
    <m/>
    <m/>
    <m/>
    <m/>
    <n v="0"/>
    <m/>
    <m/>
    <n v="0"/>
    <m/>
    <m/>
    <m/>
    <m/>
    <m/>
    <m/>
    <n v="438138"/>
    <n v="438138"/>
  </r>
  <r>
    <x v="3"/>
    <x v="3"/>
    <s v="Off-Campus Volunteers"/>
    <m/>
    <n v="134097"/>
    <x v="0"/>
    <m/>
    <m/>
    <n v="208111"/>
    <m/>
    <m/>
    <m/>
    <m/>
    <m/>
    <n v="0"/>
    <m/>
    <m/>
    <n v="0"/>
    <n v="208111"/>
    <n v="0"/>
    <m/>
    <m/>
    <m/>
    <m/>
    <n v="0"/>
    <m/>
    <m/>
    <n v="0"/>
    <m/>
    <m/>
    <m/>
    <m/>
    <m/>
    <m/>
    <n v="208111"/>
    <n v="0"/>
  </r>
  <r>
    <x v="3"/>
    <x v="3"/>
    <s v="Developmental Research School"/>
    <m/>
    <n v="134097"/>
    <x v="0"/>
    <m/>
    <m/>
    <n v="15882022"/>
    <n v="15882022"/>
    <m/>
    <m/>
    <m/>
    <m/>
    <n v="0"/>
    <m/>
    <m/>
    <n v="0"/>
    <n v="15882022"/>
    <n v="15882022"/>
    <m/>
    <m/>
    <m/>
    <m/>
    <n v="0"/>
    <m/>
    <m/>
    <n v="0"/>
    <m/>
    <m/>
    <m/>
    <m/>
    <m/>
    <m/>
    <n v="15882022"/>
    <n v="15882022"/>
  </r>
  <r>
    <x v="3"/>
    <x v="3"/>
    <s v="Col of Communications Autism Program"/>
    <m/>
    <n v="134097"/>
    <x v="0"/>
    <m/>
    <m/>
    <m/>
    <m/>
    <m/>
    <m/>
    <m/>
    <m/>
    <n v="0"/>
    <m/>
    <m/>
    <n v="0"/>
    <n v="0"/>
    <n v="0"/>
    <m/>
    <m/>
    <m/>
    <m/>
    <n v="0"/>
    <m/>
    <m/>
    <n v="0"/>
    <m/>
    <m/>
    <m/>
    <m/>
    <m/>
    <m/>
    <n v="0"/>
    <n v="0"/>
  </r>
  <r>
    <x v="3"/>
    <x v="7"/>
    <s v="Research centers/institutes"/>
    <m/>
    <n v="134097"/>
    <x v="0"/>
    <m/>
    <m/>
    <m/>
    <m/>
    <m/>
    <m/>
    <m/>
    <m/>
    <n v="0"/>
    <m/>
    <m/>
    <n v="0"/>
    <n v="0"/>
    <n v="0"/>
    <m/>
    <m/>
    <m/>
    <m/>
    <n v="0"/>
    <m/>
    <m/>
    <n v="0"/>
    <m/>
    <m/>
    <m/>
    <m/>
    <m/>
    <m/>
    <n v="0"/>
    <n v="0"/>
  </r>
  <r>
    <x v="3"/>
    <x v="7"/>
    <s v="Centers of Excellence"/>
    <m/>
    <n v="134097"/>
    <x v="0"/>
    <m/>
    <m/>
    <m/>
    <m/>
    <m/>
    <m/>
    <m/>
    <m/>
    <n v="0"/>
    <m/>
    <m/>
    <n v="0"/>
    <n v="0"/>
    <n v="0"/>
    <m/>
    <m/>
    <m/>
    <m/>
    <n v="0"/>
    <m/>
    <m/>
    <n v="0"/>
    <m/>
    <m/>
    <m/>
    <m/>
    <m/>
    <m/>
    <n v="0"/>
    <n v="0"/>
  </r>
  <r>
    <x v="3"/>
    <x v="7"/>
    <s v="Florida Energy Systems Consortium"/>
    <m/>
    <n v="134097"/>
    <x v="0"/>
    <m/>
    <m/>
    <m/>
    <m/>
    <m/>
    <m/>
    <m/>
    <m/>
    <n v="0"/>
    <m/>
    <m/>
    <n v="0"/>
    <n v="0"/>
    <n v="0"/>
    <m/>
    <m/>
    <m/>
    <m/>
    <n v="0"/>
    <m/>
    <m/>
    <n v="0"/>
    <m/>
    <m/>
    <m/>
    <m/>
    <m/>
    <m/>
    <n v="0"/>
    <n v="0"/>
  </r>
  <r>
    <x v="3"/>
    <x v="0"/>
    <s v="University of Central Florida "/>
    <m/>
    <n v="132903"/>
    <x v="0"/>
    <n v="227825132"/>
    <n v="237434951"/>
    <m/>
    <m/>
    <m/>
    <m/>
    <n v="163479726"/>
    <n v="4658224"/>
    <n v="168137950"/>
    <n v="181823616"/>
    <n v="5143294"/>
    <n v="186966910"/>
    <n v="391304858"/>
    <n v="419258567"/>
    <m/>
    <m/>
    <m/>
    <m/>
    <n v="0"/>
    <m/>
    <m/>
    <n v="0"/>
    <m/>
    <m/>
    <m/>
    <m/>
    <m/>
    <m/>
    <n v="391304858"/>
    <n v="419258567"/>
  </r>
  <r>
    <x v="3"/>
    <x v="0"/>
    <s v="Student Financial Aid"/>
    <m/>
    <n v="132903"/>
    <x v="0"/>
    <m/>
    <m/>
    <n v="2070760"/>
    <n v="2019778"/>
    <m/>
    <m/>
    <m/>
    <m/>
    <n v="0"/>
    <m/>
    <m/>
    <n v="0"/>
    <n v="2070760"/>
    <n v="2019778"/>
    <m/>
    <m/>
    <m/>
    <m/>
    <n v="0"/>
    <m/>
    <m/>
    <n v="0"/>
    <m/>
    <m/>
    <m/>
    <m/>
    <m/>
    <m/>
    <n v="2070760"/>
    <n v="2019778"/>
  </r>
  <r>
    <x v="3"/>
    <x v="0"/>
    <s v="Risk Management/Casualty Insurance"/>
    <m/>
    <n v="132903"/>
    <x v="0"/>
    <m/>
    <m/>
    <n v="1699468"/>
    <n v="1699468"/>
    <m/>
    <m/>
    <m/>
    <m/>
    <n v="0"/>
    <m/>
    <m/>
    <n v="0"/>
    <n v="1699468"/>
    <n v="1699468"/>
    <m/>
    <m/>
    <m/>
    <m/>
    <n v="0"/>
    <m/>
    <m/>
    <n v="0"/>
    <m/>
    <m/>
    <m/>
    <m/>
    <m/>
    <m/>
    <n v="1699468"/>
    <n v="1699468"/>
  </r>
  <r>
    <x v="3"/>
    <x v="1"/>
    <s v="Medical School"/>
    <m/>
    <n v="132903"/>
    <x v="0"/>
    <m/>
    <m/>
    <m/>
    <m/>
    <m/>
    <m/>
    <m/>
    <m/>
    <n v="0"/>
    <m/>
    <m/>
    <n v="0"/>
    <n v="0"/>
    <n v="0"/>
    <m/>
    <m/>
    <m/>
    <m/>
    <n v="0"/>
    <m/>
    <m/>
    <n v="0"/>
    <n v="18309829"/>
    <n v="20710194"/>
    <n v="957185"/>
    <m/>
    <n v="2317185"/>
    <m/>
    <n v="19267014"/>
    <n v="23027379"/>
  </r>
  <r>
    <x v="3"/>
    <x v="3"/>
    <s v="Community or public service units"/>
    <m/>
    <n v="132903"/>
    <x v="0"/>
    <m/>
    <m/>
    <m/>
    <m/>
    <m/>
    <m/>
    <m/>
    <m/>
    <n v="0"/>
    <m/>
    <m/>
    <n v="0"/>
    <n v="0"/>
    <n v="0"/>
    <m/>
    <m/>
    <m/>
    <m/>
    <n v="0"/>
    <m/>
    <m/>
    <n v="0"/>
    <m/>
    <m/>
    <m/>
    <m/>
    <m/>
    <m/>
    <n v="0"/>
    <n v="0"/>
  </r>
  <r>
    <x v="3"/>
    <x v="3"/>
    <s v="Autism Program"/>
    <m/>
    <n v="132903"/>
    <x v="0"/>
    <m/>
    <m/>
    <n v="885209"/>
    <n v="885209"/>
    <m/>
    <m/>
    <m/>
    <m/>
    <n v="0"/>
    <m/>
    <m/>
    <n v="0"/>
    <n v="885209"/>
    <n v="885209"/>
    <m/>
    <m/>
    <m/>
    <m/>
    <n v="0"/>
    <m/>
    <m/>
    <n v="0"/>
    <m/>
    <m/>
    <m/>
    <m/>
    <m/>
    <m/>
    <n v="885209"/>
    <n v="885209"/>
  </r>
  <r>
    <x v="3"/>
    <x v="7"/>
    <s v="Research centers/institutes"/>
    <m/>
    <n v="132903"/>
    <x v="0"/>
    <m/>
    <m/>
    <m/>
    <m/>
    <m/>
    <m/>
    <m/>
    <m/>
    <n v="0"/>
    <m/>
    <m/>
    <n v="0"/>
    <n v="0"/>
    <n v="0"/>
    <m/>
    <m/>
    <m/>
    <m/>
    <n v="0"/>
    <m/>
    <m/>
    <n v="0"/>
    <m/>
    <m/>
    <m/>
    <m/>
    <m/>
    <m/>
    <n v="0"/>
    <n v="0"/>
  </r>
  <r>
    <x v="3"/>
    <x v="7"/>
    <s v="Florida Energy Systems Consortium"/>
    <m/>
    <n v="132903"/>
    <x v="0"/>
    <m/>
    <m/>
    <m/>
    <m/>
    <m/>
    <m/>
    <m/>
    <m/>
    <n v="0"/>
    <m/>
    <m/>
    <n v="0"/>
    <n v="0"/>
    <n v="0"/>
    <m/>
    <m/>
    <m/>
    <m/>
    <n v="0"/>
    <m/>
    <m/>
    <n v="0"/>
    <m/>
    <m/>
    <m/>
    <m/>
    <m/>
    <m/>
    <n v="0"/>
    <n v="0"/>
  </r>
  <r>
    <x v="3"/>
    <x v="0"/>
    <s v="University of Florida"/>
    <m/>
    <n v="134130"/>
    <x v="0"/>
    <n v="318858178"/>
    <n v="330648092"/>
    <m/>
    <m/>
    <m/>
    <m/>
    <n v="231613999"/>
    <n v="4431880"/>
    <n v="236045879"/>
    <n v="264630624"/>
    <n v="4182244"/>
    <n v="268812868"/>
    <n v="550472177"/>
    <n v="595278716"/>
    <m/>
    <m/>
    <m/>
    <m/>
    <n v="0"/>
    <m/>
    <m/>
    <n v="0"/>
    <m/>
    <m/>
    <m/>
    <m/>
    <m/>
    <m/>
    <n v="550472177"/>
    <n v="595278716"/>
  </r>
  <r>
    <x v="3"/>
    <x v="0"/>
    <s v="Student Financial Aid"/>
    <m/>
    <n v="134130"/>
    <x v="0"/>
    <m/>
    <m/>
    <n v="4191140"/>
    <n v="4087954"/>
    <m/>
    <m/>
    <m/>
    <m/>
    <n v="0"/>
    <m/>
    <m/>
    <n v="0"/>
    <n v="4191140"/>
    <n v="4087954"/>
    <m/>
    <m/>
    <m/>
    <m/>
    <n v="0"/>
    <m/>
    <m/>
    <n v="0"/>
    <m/>
    <m/>
    <m/>
    <m/>
    <m/>
    <m/>
    <n v="4191140"/>
    <n v="4087954"/>
  </r>
  <r>
    <x v="3"/>
    <x v="0"/>
    <s v="Risk Management/Casualty Insurance"/>
    <m/>
    <n v="134130"/>
    <x v="0"/>
    <m/>
    <m/>
    <n v="1942369"/>
    <n v="1942369"/>
    <m/>
    <m/>
    <m/>
    <m/>
    <n v="0"/>
    <m/>
    <m/>
    <n v="0"/>
    <n v="1942369"/>
    <n v="1942369"/>
    <m/>
    <m/>
    <m/>
    <m/>
    <n v="0"/>
    <m/>
    <m/>
    <n v="0"/>
    <n v="1230419"/>
    <n v="1562458"/>
    <m/>
    <m/>
    <m/>
    <m/>
    <n v="3172788"/>
    <n v="3504827"/>
  </r>
  <r>
    <x v="3"/>
    <x v="1"/>
    <s v="Medical School"/>
    <m/>
    <n v="134130"/>
    <x v="0"/>
    <m/>
    <m/>
    <m/>
    <m/>
    <m/>
    <m/>
    <m/>
    <m/>
    <n v="0"/>
    <m/>
    <m/>
    <n v="0"/>
    <n v="0"/>
    <n v="0"/>
    <m/>
    <m/>
    <m/>
    <m/>
    <n v="0"/>
    <m/>
    <m/>
    <n v="0"/>
    <n v="96731692"/>
    <n v="102363701"/>
    <n v="29613302"/>
    <m/>
    <n v="32075356"/>
    <m/>
    <n v="126344994"/>
    <n v="134439057"/>
  </r>
  <r>
    <x v="3"/>
    <x v="1"/>
    <s v="College of Medicine Autism Program"/>
    <m/>
    <n v="134130"/>
    <x v="0"/>
    <m/>
    <m/>
    <m/>
    <m/>
    <m/>
    <m/>
    <m/>
    <m/>
    <n v="0"/>
    <m/>
    <m/>
    <n v="0"/>
    <n v="0"/>
    <n v="0"/>
    <m/>
    <m/>
    <m/>
    <m/>
    <n v="0"/>
    <m/>
    <m/>
    <n v="0"/>
    <n v="716817"/>
    <n v="716817"/>
    <m/>
    <m/>
    <m/>
    <m/>
    <n v="716817"/>
    <n v="716817"/>
  </r>
  <r>
    <x v="3"/>
    <x v="1"/>
    <s v="Jacksonville Autism Program"/>
    <m/>
    <n v="134130"/>
    <x v="0"/>
    <m/>
    <m/>
    <m/>
    <m/>
    <m/>
    <m/>
    <m/>
    <m/>
    <n v="0"/>
    <m/>
    <m/>
    <n v="0"/>
    <n v="0"/>
    <n v="0"/>
    <m/>
    <m/>
    <m/>
    <m/>
    <n v="0"/>
    <m/>
    <m/>
    <n v="0"/>
    <n v="746999"/>
    <n v="746999"/>
    <m/>
    <m/>
    <m/>
    <m/>
    <n v="746999"/>
    <n v="746999"/>
  </r>
  <r>
    <x v="3"/>
    <x v="3"/>
    <s v="Community or public service units"/>
    <m/>
    <n v="134130"/>
    <x v="0"/>
    <m/>
    <m/>
    <n v="466719"/>
    <n v="466719"/>
    <m/>
    <m/>
    <m/>
    <m/>
    <n v="0"/>
    <m/>
    <m/>
    <n v="0"/>
    <n v="466719"/>
    <n v="466719"/>
    <m/>
    <m/>
    <m/>
    <m/>
    <n v="0"/>
    <m/>
    <m/>
    <n v="0"/>
    <n v="546125"/>
    <n v="546125"/>
    <m/>
    <m/>
    <m/>
    <m/>
    <n v="1012844"/>
    <n v="1012844"/>
  </r>
  <r>
    <x v="3"/>
    <x v="3"/>
    <s v="Developmental Research School"/>
    <m/>
    <n v="134130"/>
    <x v="0"/>
    <m/>
    <m/>
    <n v="7821680"/>
    <n v="7821680"/>
    <m/>
    <m/>
    <m/>
    <m/>
    <n v="0"/>
    <m/>
    <m/>
    <n v="0"/>
    <n v="7821680"/>
    <n v="7821680"/>
    <m/>
    <m/>
    <m/>
    <m/>
    <n v="0"/>
    <m/>
    <m/>
    <n v="0"/>
    <m/>
    <m/>
    <m/>
    <m/>
    <m/>
    <m/>
    <n v="7821680"/>
    <n v="7821680"/>
  </r>
  <r>
    <x v="3"/>
    <x v="5"/>
    <s v="Agricultural cooperative extension"/>
    <m/>
    <n v="134130"/>
    <x v="0"/>
    <m/>
    <m/>
    <n v="123592756"/>
    <n v="118097713"/>
    <m/>
    <m/>
    <m/>
    <m/>
    <n v="0"/>
    <m/>
    <m/>
    <n v="0"/>
    <n v="123592756"/>
    <n v="118097713"/>
    <m/>
    <m/>
    <m/>
    <m/>
    <n v="0"/>
    <m/>
    <m/>
    <n v="0"/>
    <m/>
    <m/>
    <m/>
    <m/>
    <m/>
    <m/>
    <n v="123592756"/>
    <n v="118097713"/>
  </r>
  <r>
    <x v="3"/>
    <x v="7"/>
    <s v="Research centers/institutes"/>
    <m/>
    <n v="134130"/>
    <x v="0"/>
    <m/>
    <m/>
    <m/>
    <m/>
    <m/>
    <m/>
    <m/>
    <m/>
    <n v="0"/>
    <m/>
    <m/>
    <n v="0"/>
    <n v="0"/>
    <n v="0"/>
    <m/>
    <m/>
    <m/>
    <m/>
    <n v="0"/>
    <m/>
    <m/>
    <n v="0"/>
    <m/>
    <m/>
    <m/>
    <m/>
    <m/>
    <m/>
    <n v="0"/>
    <n v="0"/>
  </r>
  <r>
    <x v="3"/>
    <x v="7"/>
    <s v="Florida Energy Systems Consortium"/>
    <m/>
    <n v="134130"/>
    <x v="0"/>
    <m/>
    <m/>
    <m/>
    <m/>
    <m/>
    <m/>
    <m/>
    <m/>
    <n v="0"/>
    <m/>
    <m/>
    <n v="0"/>
    <n v="0"/>
    <n v="0"/>
    <m/>
    <m/>
    <m/>
    <m/>
    <n v="0"/>
    <m/>
    <m/>
    <n v="0"/>
    <m/>
    <m/>
    <m/>
    <m/>
    <m/>
    <m/>
    <n v="0"/>
    <n v="0"/>
  </r>
  <r>
    <x v="3"/>
    <x v="0"/>
    <s v="University of South Florida "/>
    <m/>
    <n v="137351"/>
    <x v="0"/>
    <n v="239025513"/>
    <n v="263938885"/>
    <m/>
    <m/>
    <m/>
    <m/>
    <n v="140663250"/>
    <n v="4247451"/>
    <n v="144910701"/>
    <n v="148672283"/>
    <n v="4405744"/>
    <n v="153078027"/>
    <n v="379688763"/>
    <n v="412611168"/>
    <m/>
    <m/>
    <m/>
    <m/>
    <n v="0"/>
    <m/>
    <m/>
    <n v="0"/>
    <m/>
    <m/>
    <m/>
    <m/>
    <m/>
    <m/>
    <n v="379688763"/>
    <n v="412611168"/>
  </r>
  <r>
    <x v="3"/>
    <x v="0"/>
    <s v="Student Financial Aid"/>
    <m/>
    <n v="137351"/>
    <x v="0"/>
    <m/>
    <m/>
    <n v="2053783"/>
    <n v="2003219"/>
    <m/>
    <m/>
    <m/>
    <m/>
    <n v="0"/>
    <m/>
    <m/>
    <n v="0"/>
    <n v="2053783"/>
    <n v="2003219"/>
    <m/>
    <m/>
    <m/>
    <m/>
    <n v="0"/>
    <m/>
    <m/>
    <n v="0"/>
    <m/>
    <m/>
    <m/>
    <m/>
    <m/>
    <m/>
    <n v="2053783"/>
    <n v="2003219"/>
  </r>
  <r>
    <x v="3"/>
    <x v="0"/>
    <s v="Risk Management/Casualty Insurance"/>
    <m/>
    <n v="137351"/>
    <x v="0"/>
    <m/>
    <m/>
    <n v="2347571"/>
    <n v="2347571"/>
    <m/>
    <m/>
    <m/>
    <m/>
    <n v="0"/>
    <m/>
    <m/>
    <n v="0"/>
    <n v="2347571"/>
    <n v="2347571"/>
    <m/>
    <m/>
    <m/>
    <m/>
    <n v="0"/>
    <m/>
    <m/>
    <n v="0"/>
    <n v="226275"/>
    <n v="310240"/>
    <m/>
    <m/>
    <m/>
    <m/>
    <n v="2573846"/>
    <n v="2657811"/>
  </r>
  <r>
    <x v="3"/>
    <x v="1"/>
    <s v="Medical School"/>
    <m/>
    <n v="137351"/>
    <x v="0"/>
    <m/>
    <m/>
    <m/>
    <m/>
    <m/>
    <m/>
    <m/>
    <m/>
    <n v="0"/>
    <m/>
    <m/>
    <n v="0"/>
    <n v="0"/>
    <n v="0"/>
    <m/>
    <m/>
    <m/>
    <m/>
    <n v="0"/>
    <m/>
    <m/>
    <n v="0"/>
    <n v="61549150"/>
    <n v="62688955"/>
    <n v="23051685"/>
    <m/>
    <n v="37050046"/>
    <m/>
    <n v="84600835"/>
    <n v="99739001"/>
  </r>
  <r>
    <x v="3"/>
    <x v="7"/>
    <s v="Research centers/institutes"/>
    <m/>
    <n v="137351"/>
    <x v="0"/>
    <m/>
    <m/>
    <n v="458092"/>
    <n v="458092"/>
    <m/>
    <m/>
    <m/>
    <m/>
    <n v="0"/>
    <m/>
    <m/>
    <n v="0"/>
    <n v="458092"/>
    <n v="458092"/>
    <m/>
    <m/>
    <m/>
    <m/>
    <n v="0"/>
    <m/>
    <m/>
    <n v="0"/>
    <m/>
    <m/>
    <m/>
    <m/>
    <m/>
    <m/>
    <n v="458092"/>
    <n v="458092"/>
  </r>
  <r>
    <x v="3"/>
    <x v="7"/>
    <s v="Phosphate research"/>
    <m/>
    <n v="137351"/>
    <x v="0"/>
    <m/>
    <m/>
    <n v="7299033"/>
    <n v="7308009"/>
    <m/>
    <m/>
    <m/>
    <m/>
    <n v="0"/>
    <m/>
    <m/>
    <n v="0"/>
    <n v="7299033"/>
    <n v="7308009"/>
    <m/>
    <m/>
    <m/>
    <m/>
    <n v="0"/>
    <m/>
    <m/>
    <n v="0"/>
    <m/>
    <m/>
    <m/>
    <m/>
    <m/>
    <m/>
    <n v="7299033"/>
    <n v="7308009"/>
  </r>
  <r>
    <x v="3"/>
    <x v="8"/>
    <s v="Special line items for education operations"/>
    <m/>
    <n v="137351"/>
    <x v="0"/>
    <m/>
    <m/>
    <m/>
    <m/>
    <m/>
    <m/>
    <m/>
    <m/>
    <n v="0"/>
    <m/>
    <m/>
    <n v="0"/>
    <n v="0"/>
    <n v="0"/>
    <m/>
    <m/>
    <m/>
    <m/>
    <n v="0"/>
    <m/>
    <m/>
    <n v="0"/>
    <m/>
    <m/>
    <m/>
    <m/>
    <m/>
    <m/>
    <n v="0"/>
    <n v="0"/>
  </r>
  <r>
    <x v="3"/>
    <x v="8"/>
    <s v="Mental Health Institute Autism Program"/>
    <m/>
    <n v="137351"/>
    <x v="0"/>
    <m/>
    <m/>
    <n v="1033689"/>
    <n v="1033689"/>
    <m/>
    <m/>
    <m/>
    <m/>
    <n v="0"/>
    <m/>
    <m/>
    <n v="0"/>
    <n v="1033689"/>
    <n v="1033689"/>
    <m/>
    <m/>
    <m/>
    <m/>
    <n v="0"/>
    <m/>
    <m/>
    <n v="0"/>
    <m/>
    <m/>
    <m/>
    <m/>
    <m/>
    <m/>
    <n v="1033689"/>
    <n v="1033689"/>
  </r>
  <r>
    <x v="3"/>
    <x v="7"/>
    <s v="Florida Energy Systems Consortium"/>
    <m/>
    <n v="137351"/>
    <x v="0"/>
    <m/>
    <m/>
    <m/>
    <m/>
    <m/>
    <m/>
    <m/>
    <m/>
    <n v="0"/>
    <m/>
    <m/>
    <n v="0"/>
    <n v="0"/>
    <n v="0"/>
    <m/>
    <m/>
    <m/>
    <m/>
    <n v="0"/>
    <m/>
    <m/>
    <n v="0"/>
    <m/>
    <m/>
    <m/>
    <m/>
    <m/>
    <m/>
    <n v="0"/>
    <n v="0"/>
  </r>
  <r>
    <x v="3"/>
    <x v="0"/>
    <s v="Florida Atlantic University "/>
    <m/>
    <n v="133669"/>
    <x v="1"/>
    <n v="150761223"/>
    <n v="155644513"/>
    <m/>
    <m/>
    <m/>
    <m/>
    <n v="80943990"/>
    <n v="2218734"/>
    <n v="83162724"/>
    <n v="86948921"/>
    <n v="2262937"/>
    <n v="89211858"/>
    <n v="231705213"/>
    <n v="242593434"/>
    <m/>
    <m/>
    <m/>
    <m/>
    <n v="0"/>
    <m/>
    <m/>
    <n v="0"/>
    <m/>
    <m/>
    <m/>
    <m/>
    <m/>
    <m/>
    <n v="231705213"/>
    <n v="242593434"/>
  </r>
  <r>
    <x v="3"/>
    <x v="0"/>
    <s v="Student Financial Aid"/>
    <m/>
    <n v="133669"/>
    <x v="1"/>
    <m/>
    <m/>
    <n v="964108"/>
    <n v="940372"/>
    <m/>
    <m/>
    <m/>
    <m/>
    <n v="0"/>
    <m/>
    <m/>
    <n v="0"/>
    <n v="964108"/>
    <n v="940372"/>
    <m/>
    <m/>
    <m/>
    <m/>
    <n v="0"/>
    <m/>
    <m/>
    <n v="0"/>
    <m/>
    <m/>
    <m/>
    <m/>
    <m/>
    <m/>
    <n v="964108"/>
    <n v="940372"/>
  </r>
  <r>
    <x v="3"/>
    <x v="0"/>
    <s v="Risk Management/Casualty Insurance"/>
    <m/>
    <n v="133669"/>
    <x v="1"/>
    <m/>
    <m/>
    <n v="1529975"/>
    <n v="1529975"/>
    <m/>
    <m/>
    <m/>
    <m/>
    <n v="0"/>
    <m/>
    <m/>
    <n v="0"/>
    <n v="1529975"/>
    <n v="1529975"/>
    <m/>
    <m/>
    <m/>
    <m/>
    <n v="0"/>
    <m/>
    <m/>
    <n v="0"/>
    <m/>
    <m/>
    <m/>
    <m/>
    <m/>
    <m/>
    <n v="1529975"/>
    <n v="1529975"/>
  </r>
  <r>
    <x v="3"/>
    <x v="8"/>
    <s v="Special line items for education operations"/>
    <m/>
    <n v="133669"/>
    <x v="1"/>
    <m/>
    <m/>
    <m/>
    <m/>
    <m/>
    <m/>
    <m/>
    <m/>
    <n v="0"/>
    <m/>
    <m/>
    <n v="0"/>
    <n v="0"/>
    <n v="0"/>
    <m/>
    <m/>
    <m/>
    <m/>
    <n v="0"/>
    <m/>
    <m/>
    <n v="0"/>
    <m/>
    <m/>
    <m/>
    <m/>
    <m/>
    <m/>
    <n v="0"/>
    <n v="0"/>
  </r>
  <r>
    <x v="3"/>
    <x v="8"/>
    <s v="Autism Program"/>
    <m/>
    <n v="133669"/>
    <x v="1"/>
    <m/>
    <m/>
    <n v="560602"/>
    <n v="560602"/>
    <m/>
    <m/>
    <m/>
    <m/>
    <n v="0"/>
    <m/>
    <m/>
    <n v="0"/>
    <n v="560602"/>
    <n v="560602"/>
    <m/>
    <m/>
    <m/>
    <m/>
    <n v="0"/>
    <m/>
    <m/>
    <n v="0"/>
    <m/>
    <m/>
    <m/>
    <m/>
    <m/>
    <m/>
    <n v="560602"/>
    <n v="560602"/>
  </r>
  <r>
    <x v="3"/>
    <x v="3"/>
    <s v="Community or public service units"/>
    <m/>
    <n v="133669"/>
    <x v="1"/>
    <m/>
    <m/>
    <m/>
    <m/>
    <m/>
    <m/>
    <m/>
    <m/>
    <n v="0"/>
    <m/>
    <m/>
    <n v="0"/>
    <n v="0"/>
    <n v="0"/>
    <m/>
    <m/>
    <m/>
    <m/>
    <n v="0"/>
    <m/>
    <m/>
    <n v="0"/>
    <m/>
    <m/>
    <m/>
    <m/>
    <m/>
    <m/>
    <n v="0"/>
    <n v="0"/>
  </r>
  <r>
    <x v="3"/>
    <x v="3"/>
    <s v="Developmental Research School"/>
    <m/>
    <n v="133669"/>
    <x v="1"/>
    <m/>
    <m/>
    <n v="14023308"/>
    <n v="14023308"/>
    <m/>
    <m/>
    <m/>
    <m/>
    <n v="0"/>
    <m/>
    <m/>
    <n v="0"/>
    <n v="14023308"/>
    <n v="14023308"/>
    <m/>
    <m/>
    <m/>
    <m/>
    <n v="0"/>
    <m/>
    <m/>
    <n v="0"/>
    <m/>
    <m/>
    <m/>
    <m/>
    <m/>
    <m/>
    <n v="14023308"/>
    <n v="14023308"/>
  </r>
  <r>
    <x v="3"/>
    <x v="7"/>
    <s v="Research centers/institutes"/>
    <m/>
    <n v="137351"/>
    <x v="0"/>
    <m/>
    <m/>
    <m/>
    <m/>
    <m/>
    <m/>
    <m/>
    <m/>
    <n v="0"/>
    <m/>
    <m/>
    <n v="0"/>
    <n v="0"/>
    <n v="0"/>
    <m/>
    <m/>
    <m/>
    <m/>
    <n v="0"/>
    <m/>
    <m/>
    <n v="0"/>
    <m/>
    <m/>
    <m/>
    <m/>
    <m/>
    <m/>
    <n v="0"/>
    <n v="0"/>
  </r>
  <r>
    <x v="3"/>
    <x v="7"/>
    <s v="Florida Energy Systems Consortium"/>
    <m/>
    <n v="137351"/>
    <x v="1"/>
    <m/>
    <m/>
    <m/>
    <m/>
    <m/>
    <m/>
    <m/>
    <m/>
    <n v="0"/>
    <m/>
    <m/>
    <n v="0"/>
    <n v="0"/>
    <n v="0"/>
    <m/>
    <m/>
    <m/>
    <m/>
    <n v="0"/>
    <m/>
    <m/>
    <n v="0"/>
    <m/>
    <m/>
    <m/>
    <m/>
    <m/>
    <m/>
    <n v="0"/>
    <n v="0"/>
  </r>
  <r>
    <x v="3"/>
    <x v="0"/>
    <s v="Florida Agricultural &amp; Mechanical University "/>
    <m/>
    <n v="133650"/>
    <x v="2"/>
    <n v="97367836"/>
    <n v="106939122"/>
    <m/>
    <m/>
    <m/>
    <m/>
    <n v="56009335"/>
    <n v="1162460"/>
    <n v="57171795"/>
    <n v="58257807"/>
    <n v="1349381"/>
    <n v="59607188"/>
    <n v="153377171"/>
    <n v="165196929"/>
    <m/>
    <m/>
    <m/>
    <m/>
    <n v="0"/>
    <m/>
    <m/>
    <n v="0"/>
    <m/>
    <m/>
    <m/>
    <m/>
    <m/>
    <m/>
    <n v="153377171"/>
    <n v="165196929"/>
  </r>
  <r>
    <x v="3"/>
    <x v="0"/>
    <s v="Student Financial Aid"/>
    <m/>
    <n v="133650"/>
    <x v="2"/>
    <m/>
    <m/>
    <n v="1506303"/>
    <n v="1469218"/>
    <m/>
    <m/>
    <m/>
    <m/>
    <n v="0"/>
    <m/>
    <m/>
    <n v="0"/>
    <n v="1506303"/>
    <n v="1469218"/>
    <m/>
    <m/>
    <m/>
    <m/>
    <n v="0"/>
    <m/>
    <m/>
    <n v="0"/>
    <m/>
    <m/>
    <m/>
    <m/>
    <m/>
    <m/>
    <n v="1506303"/>
    <n v="1469218"/>
  </r>
  <r>
    <x v="3"/>
    <x v="0"/>
    <s v="Risk Management/Casualty Insurance"/>
    <m/>
    <n v="133650"/>
    <x v="2"/>
    <m/>
    <m/>
    <n v="1060219"/>
    <n v="1060219"/>
    <m/>
    <m/>
    <m/>
    <m/>
    <n v="0"/>
    <m/>
    <m/>
    <n v="0"/>
    <n v="1060219"/>
    <n v="1060219"/>
    <m/>
    <m/>
    <m/>
    <m/>
    <n v="0"/>
    <m/>
    <m/>
    <n v="0"/>
    <m/>
    <m/>
    <m/>
    <m/>
    <m/>
    <m/>
    <n v="1060219"/>
    <n v="1060219"/>
  </r>
  <r>
    <x v="3"/>
    <x v="3"/>
    <s v="Community or public service units"/>
    <m/>
    <n v="133650"/>
    <x v="2"/>
    <m/>
    <m/>
    <m/>
    <m/>
    <m/>
    <m/>
    <m/>
    <m/>
    <n v="0"/>
    <m/>
    <m/>
    <n v="0"/>
    <n v="0"/>
    <n v="0"/>
    <m/>
    <m/>
    <m/>
    <m/>
    <n v="0"/>
    <m/>
    <m/>
    <n v="0"/>
    <m/>
    <m/>
    <m/>
    <m/>
    <m/>
    <m/>
    <n v="0"/>
    <n v="0"/>
  </r>
  <r>
    <x v="3"/>
    <x v="3"/>
    <s v="Developmental Research School"/>
    <m/>
    <n v="133650"/>
    <x v="2"/>
    <m/>
    <m/>
    <n v="3747147"/>
    <n v="3747147"/>
    <m/>
    <m/>
    <m/>
    <m/>
    <n v="0"/>
    <m/>
    <m/>
    <n v="0"/>
    <n v="3747147"/>
    <n v="3747147"/>
    <m/>
    <m/>
    <m/>
    <m/>
    <n v="0"/>
    <m/>
    <m/>
    <n v="0"/>
    <m/>
    <m/>
    <m/>
    <m/>
    <m/>
    <m/>
    <n v="3747147"/>
    <n v="3747147"/>
  </r>
  <r>
    <x v="3"/>
    <x v="0"/>
    <s v="University of North Florida"/>
    <m/>
    <n v="136172"/>
    <x v="2"/>
    <n v="73515382"/>
    <n v="76039674"/>
    <m/>
    <m/>
    <m/>
    <m/>
    <n v="50238260"/>
    <n v="1570439"/>
    <n v="51808699"/>
    <n v="55509869"/>
    <n v="1391287"/>
    <n v="56901156"/>
    <n v="123753642"/>
    <n v="131549543"/>
    <m/>
    <m/>
    <m/>
    <m/>
    <n v="0"/>
    <m/>
    <m/>
    <n v="0"/>
    <m/>
    <m/>
    <m/>
    <m/>
    <m/>
    <m/>
    <n v="123753642"/>
    <n v="131549543"/>
  </r>
  <r>
    <x v="3"/>
    <x v="0"/>
    <s v="Student Financial Aid"/>
    <m/>
    <n v="136172"/>
    <x v="2"/>
    <m/>
    <m/>
    <n v="483840"/>
    <n v="471928"/>
    <m/>
    <m/>
    <m/>
    <m/>
    <n v="0"/>
    <m/>
    <m/>
    <n v="0"/>
    <n v="483840"/>
    <n v="471928"/>
    <m/>
    <m/>
    <m/>
    <m/>
    <n v="0"/>
    <m/>
    <m/>
    <n v="0"/>
    <m/>
    <m/>
    <m/>
    <m/>
    <m/>
    <m/>
    <n v="483840"/>
    <n v="471928"/>
  </r>
  <r>
    <x v="3"/>
    <x v="0"/>
    <s v="Risk Management/Casualty Insurance"/>
    <m/>
    <n v="136172"/>
    <x v="2"/>
    <m/>
    <m/>
    <n v="588642"/>
    <n v="588642"/>
    <m/>
    <m/>
    <m/>
    <m/>
    <n v="0"/>
    <m/>
    <m/>
    <n v="0"/>
    <n v="588642"/>
    <n v="588642"/>
    <m/>
    <m/>
    <m/>
    <m/>
    <n v="0"/>
    <m/>
    <m/>
    <n v="0"/>
    <m/>
    <m/>
    <m/>
    <m/>
    <m/>
    <m/>
    <n v="588642"/>
    <n v="588642"/>
  </r>
  <r>
    <x v="3"/>
    <x v="0"/>
    <s v="University of West Florida"/>
    <m/>
    <n v="138354"/>
    <x v="2"/>
    <n v="55883605"/>
    <n v="57825324"/>
    <m/>
    <m/>
    <m/>
    <m/>
    <n v="30642548"/>
    <n v="924938"/>
    <n v="31567486"/>
    <n v="31221396"/>
    <n v="975019"/>
    <n v="32196415"/>
    <n v="86526153"/>
    <n v="89046720"/>
    <m/>
    <m/>
    <m/>
    <m/>
    <n v="0"/>
    <m/>
    <m/>
    <n v="0"/>
    <m/>
    <m/>
    <m/>
    <m/>
    <m/>
    <m/>
    <n v="86526153"/>
    <n v="89046720"/>
  </r>
  <r>
    <x v="3"/>
    <x v="0"/>
    <s v="Student Financial Aid"/>
    <m/>
    <n v="138354"/>
    <x v="2"/>
    <m/>
    <m/>
    <n v="380584"/>
    <n v="371214"/>
    <m/>
    <m/>
    <m/>
    <m/>
    <n v="0"/>
    <m/>
    <m/>
    <n v="0"/>
    <n v="380584"/>
    <n v="371214"/>
    <m/>
    <m/>
    <m/>
    <m/>
    <n v="0"/>
    <m/>
    <m/>
    <n v="0"/>
    <m/>
    <m/>
    <m/>
    <m/>
    <m/>
    <m/>
    <n v="380584"/>
    <n v="371214"/>
  </r>
  <r>
    <x v="3"/>
    <x v="0"/>
    <s v="Risk Management/Casualty Insurance"/>
    <m/>
    <n v="138354"/>
    <x v="2"/>
    <m/>
    <m/>
    <n v="659862"/>
    <n v="659862"/>
    <m/>
    <m/>
    <m/>
    <m/>
    <n v="0"/>
    <m/>
    <m/>
    <n v="0"/>
    <n v="659862"/>
    <n v="659862"/>
    <m/>
    <m/>
    <m/>
    <m/>
    <n v="0"/>
    <m/>
    <m/>
    <n v="0"/>
    <m/>
    <m/>
    <m/>
    <m/>
    <m/>
    <m/>
    <n v="659862"/>
    <n v="659862"/>
  </r>
  <r>
    <x v="3"/>
    <x v="0"/>
    <s v="Florida Gulf Coast University"/>
    <m/>
    <n v="433660"/>
    <x v="3"/>
    <n v="45250852"/>
    <n v="46712009"/>
    <m/>
    <m/>
    <m/>
    <m/>
    <n v="33066822"/>
    <n v="852285"/>
    <n v="33919107"/>
    <n v="35479669"/>
    <n v="1022512"/>
    <n v="36502181"/>
    <n v="78317674"/>
    <n v="82191678"/>
    <m/>
    <m/>
    <m/>
    <m/>
    <n v="0"/>
    <m/>
    <m/>
    <n v="0"/>
    <m/>
    <m/>
    <m/>
    <m/>
    <m/>
    <m/>
    <n v="78317674"/>
    <n v="82191678"/>
  </r>
  <r>
    <x v="3"/>
    <x v="0"/>
    <s v="Student Financial Aid"/>
    <m/>
    <n v="433660"/>
    <x v="3"/>
    <m/>
    <m/>
    <n v="236585"/>
    <n v="230760"/>
    <m/>
    <m/>
    <m/>
    <m/>
    <n v="0"/>
    <m/>
    <m/>
    <n v="0"/>
    <n v="236585"/>
    <n v="230760"/>
    <m/>
    <m/>
    <m/>
    <m/>
    <n v="0"/>
    <m/>
    <m/>
    <n v="0"/>
    <m/>
    <m/>
    <m/>
    <m/>
    <m/>
    <m/>
    <n v="236585"/>
    <n v="230760"/>
  </r>
  <r>
    <x v="3"/>
    <x v="0"/>
    <s v="Risk Management/Casualty Insurance"/>
    <m/>
    <n v="433660"/>
    <x v="3"/>
    <m/>
    <m/>
    <n v="775445"/>
    <n v="775445"/>
    <m/>
    <m/>
    <m/>
    <m/>
    <n v="0"/>
    <m/>
    <m/>
    <n v="0"/>
    <n v="775445"/>
    <n v="775445"/>
    <m/>
    <m/>
    <m/>
    <m/>
    <n v="0"/>
    <m/>
    <m/>
    <n v="0"/>
    <m/>
    <m/>
    <m/>
    <m/>
    <m/>
    <m/>
    <n v="775445"/>
    <n v="775445"/>
  </r>
  <r>
    <x v="3"/>
    <x v="0"/>
    <s v="New College of Florida"/>
    <m/>
    <n v="262129"/>
    <x v="5"/>
    <n v="14629738"/>
    <n v="16123927"/>
    <m/>
    <m/>
    <m/>
    <m/>
    <n v="5428205"/>
    <n v="100598"/>
    <n v="5528803"/>
    <n v="5073547"/>
    <n v="106162"/>
    <n v="5179709"/>
    <n v="20057943"/>
    <n v="21197474"/>
    <m/>
    <m/>
    <m/>
    <m/>
    <n v="0"/>
    <m/>
    <m/>
    <n v="0"/>
    <m/>
    <m/>
    <m/>
    <m/>
    <m/>
    <m/>
    <n v="20057943"/>
    <n v="21197474"/>
  </r>
  <r>
    <x v="3"/>
    <x v="0"/>
    <s v="Student Financial Aid"/>
    <m/>
    <n v="262129"/>
    <x v="5"/>
    <m/>
    <m/>
    <n v="493100"/>
    <n v="480959"/>
    <m/>
    <m/>
    <m/>
    <m/>
    <n v="0"/>
    <m/>
    <m/>
    <n v="0"/>
    <n v="493100"/>
    <n v="480959"/>
    <m/>
    <m/>
    <m/>
    <m/>
    <n v="0"/>
    <m/>
    <m/>
    <n v="0"/>
    <m/>
    <m/>
    <m/>
    <m/>
    <m/>
    <m/>
    <n v="493100"/>
    <n v="480959"/>
  </r>
  <r>
    <x v="3"/>
    <x v="0"/>
    <s v="Risk Management/Casualty Insurance"/>
    <m/>
    <n v="262129"/>
    <x v="5"/>
    <m/>
    <m/>
    <n v="292282"/>
    <n v="292282"/>
    <m/>
    <m/>
    <m/>
    <m/>
    <n v="0"/>
    <m/>
    <m/>
    <n v="0"/>
    <n v="292282"/>
    <n v="292282"/>
    <m/>
    <m/>
    <m/>
    <m/>
    <n v="0"/>
    <m/>
    <m/>
    <n v="0"/>
    <m/>
    <m/>
    <m/>
    <m/>
    <m/>
    <m/>
    <n v="292282"/>
    <n v="292282"/>
  </r>
  <r>
    <x v="3"/>
    <x v="13"/>
    <s v="Education special purpose funds -all other"/>
    <m/>
    <m/>
    <x v="12"/>
    <m/>
    <m/>
    <m/>
    <m/>
    <m/>
    <m/>
    <m/>
    <m/>
    <n v="0"/>
    <m/>
    <m/>
    <n v="0"/>
    <n v="0"/>
    <n v="0"/>
    <m/>
    <m/>
    <m/>
    <m/>
    <n v="0"/>
    <m/>
    <m/>
    <n v="0"/>
    <m/>
    <m/>
    <m/>
    <m/>
    <m/>
    <m/>
    <n v="0"/>
    <n v="0"/>
  </r>
  <r>
    <x v="3"/>
    <x v="13"/>
    <s v="Major gifts and Eminent Scholars Programs Matching Funds"/>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9363197"/>
    <n v="9114381"/>
    <m/>
    <m/>
    <m/>
    <m/>
    <n v="0"/>
    <m/>
    <m/>
    <n v="0"/>
    <n v="9363197"/>
    <n v="9114381"/>
    <m/>
    <m/>
    <m/>
    <m/>
    <n v="0"/>
    <m/>
    <m/>
    <n v="0"/>
    <m/>
    <m/>
    <m/>
    <m/>
    <m/>
    <m/>
    <n v="9363197"/>
    <n v="9114381"/>
  </r>
  <r>
    <x v="3"/>
    <x v="11"/>
    <s v="Institute for Human and Machine Cognition "/>
    <m/>
    <m/>
    <x v="12"/>
    <m/>
    <m/>
    <n v="1055016"/>
    <n v="1010453"/>
    <m/>
    <m/>
    <m/>
    <m/>
    <n v="0"/>
    <m/>
    <m/>
    <n v="0"/>
    <n v="1055016"/>
    <n v="1010453"/>
    <m/>
    <m/>
    <m/>
    <m/>
    <n v="0"/>
    <m/>
    <m/>
    <n v="0"/>
    <m/>
    <m/>
    <m/>
    <m/>
    <m/>
    <m/>
    <n v="1055016"/>
    <n v="1010453"/>
  </r>
  <r>
    <x v="3"/>
    <x v="12"/>
    <s v="Special line items for education operations"/>
    <m/>
    <m/>
    <x v="12"/>
    <m/>
    <m/>
    <m/>
    <m/>
    <m/>
    <m/>
    <m/>
    <m/>
    <n v="0"/>
    <m/>
    <m/>
    <n v="0"/>
    <n v="0"/>
    <n v="0"/>
    <m/>
    <m/>
    <m/>
    <m/>
    <n v="0"/>
    <m/>
    <m/>
    <n v="0"/>
    <m/>
    <m/>
    <m/>
    <m/>
    <m/>
    <m/>
    <n v="0"/>
    <n v="0"/>
  </r>
  <r>
    <x v="3"/>
    <x v="12"/>
    <s v="Distance Learning Consortium"/>
    <m/>
    <m/>
    <x v="12"/>
    <m/>
    <m/>
    <n v="285898"/>
    <n v="278859"/>
    <m/>
    <m/>
    <m/>
    <m/>
    <n v="0"/>
    <m/>
    <m/>
    <n v="0"/>
    <n v="285898"/>
    <n v="278859"/>
    <m/>
    <m/>
    <m/>
    <m/>
    <n v="0"/>
    <m/>
    <m/>
    <n v="0"/>
    <m/>
    <m/>
    <m/>
    <m/>
    <m/>
    <m/>
    <n v="285898"/>
    <n v="278859"/>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4092033"/>
    <n v="4690945"/>
    <m/>
    <m/>
    <n v="0"/>
    <m/>
    <m/>
    <n v="0"/>
    <m/>
    <m/>
    <m/>
    <m/>
    <m/>
    <m/>
    <n v="4092033"/>
    <n v="4690945"/>
  </r>
  <r>
    <x v="3"/>
    <x v="17"/>
    <s v="National or regional associations, compacts or consortia"/>
    <m/>
    <m/>
    <x v="12"/>
    <m/>
    <m/>
    <m/>
    <m/>
    <m/>
    <m/>
    <m/>
    <m/>
    <n v="0"/>
    <m/>
    <m/>
    <n v="0"/>
    <n v="0"/>
    <n v="0"/>
    <m/>
    <m/>
    <m/>
    <m/>
    <n v="0"/>
    <m/>
    <m/>
    <n v="0"/>
    <m/>
    <m/>
    <m/>
    <m/>
    <m/>
    <m/>
    <n v="0"/>
    <n v="0"/>
  </r>
  <r>
    <x v="3"/>
    <x v="17"/>
    <s v="SREB membership"/>
    <m/>
    <m/>
    <x v="12"/>
    <m/>
    <m/>
    <m/>
    <m/>
    <m/>
    <m/>
    <m/>
    <m/>
    <n v="0"/>
    <m/>
    <m/>
    <n v="0"/>
    <n v="0"/>
    <n v="0"/>
    <n v="193550"/>
    <n v="193550"/>
    <m/>
    <m/>
    <n v="0"/>
    <m/>
    <m/>
    <n v="0"/>
    <m/>
    <m/>
    <m/>
    <m/>
    <m/>
    <m/>
    <n v="193550"/>
    <n v="193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n v="4946237"/>
    <n v="4660188"/>
    <m/>
    <m/>
    <n v="0"/>
    <m/>
    <m/>
    <n v="0"/>
    <m/>
    <m/>
    <m/>
    <m/>
    <m/>
    <m/>
    <n v="4946237"/>
    <n v="4660188"/>
  </r>
  <r>
    <x v="3"/>
    <x v="19"/>
    <s v="Regional Diabetes Center at Univ of Miami"/>
    <m/>
    <m/>
    <x v="12"/>
    <m/>
    <m/>
    <m/>
    <m/>
    <m/>
    <m/>
    <m/>
    <m/>
    <n v="0"/>
    <m/>
    <m/>
    <n v="0"/>
    <n v="0"/>
    <n v="0"/>
    <n v="416685"/>
    <n v="400018"/>
    <m/>
    <m/>
    <n v="0"/>
    <m/>
    <m/>
    <n v="0"/>
    <m/>
    <m/>
    <m/>
    <m/>
    <m/>
    <m/>
    <n v="416685"/>
    <n v="400018"/>
  </r>
  <r>
    <x v="3"/>
    <x v="19"/>
    <s v="Autism Program at Univ Miami"/>
    <m/>
    <m/>
    <x v="12"/>
    <m/>
    <m/>
    <m/>
    <m/>
    <m/>
    <m/>
    <m/>
    <m/>
    <n v="0"/>
    <m/>
    <m/>
    <n v="0"/>
    <n v="0"/>
    <n v="0"/>
    <n v="1120396"/>
    <n v="1120396"/>
    <m/>
    <m/>
    <n v="0"/>
    <m/>
    <m/>
    <n v="0"/>
    <m/>
    <m/>
    <m/>
    <m/>
    <m/>
    <m/>
    <n v="1120396"/>
    <n v="1120396"/>
  </r>
  <r>
    <x v="3"/>
    <x v="19"/>
    <s v="Nova SE Univ-health programs (osteopathy, pharmacy, optometry)"/>
    <m/>
    <m/>
    <x v="12"/>
    <m/>
    <m/>
    <m/>
    <m/>
    <m/>
    <m/>
    <m/>
    <m/>
    <n v="0"/>
    <m/>
    <m/>
    <n v="0"/>
    <n v="0"/>
    <n v="0"/>
    <n v="3466492"/>
    <n v="3260832"/>
    <m/>
    <m/>
    <n v="0"/>
    <m/>
    <m/>
    <n v="0"/>
    <m/>
    <m/>
    <m/>
    <m/>
    <m/>
    <m/>
    <n v="3466492"/>
    <n v="3260832"/>
  </r>
  <r>
    <x v="3"/>
    <x v="19"/>
    <s v="Bethune-Cookman"/>
    <m/>
    <m/>
    <x v="12"/>
    <m/>
    <m/>
    <m/>
    <m/>
    <m/>
    <m/>
    <m/>
    <m/>
    <n v="0"/>
    <m/>
    <m/>
    <n v="0"/>
    <n v="0"/>
    <n v="0"/>
    <n v="2543065"/>
    <n v="2396335"/>
    <m/>
    <m/>
    <n v="0"/>
    <m/>
    <m/>
    <n v="0"/>
    <m/>
    <m/>
    <m/>
    <m/>
    <m/>
    <m/>
    <n v="2543065"/>
    <n v="2396335"/>
  </r>
  <r>
    <x v="3"/>
    <x v="19"/>
    <s v="Edwards Waters College"/>
    <m/>
    <m/>
    <x v="12"/>
    <m/>
    <m/>
    <m/>
    <m/>
    <m/>
    <m/>
    <m/>
    <m/>
    <n v="0"/>
    <m/>
    <m/>
    <n v="0"/>
    <n v="0"/>
    <n v="0"/>
    <n v="1976680"/>
    <n v="1862629"/>
    <m/>
    <m/>
    <n v="0"/>
    <m/>
    <m/>
    <n v="0"/>
    <m/>
    <m/>
    <m/>
    <m/>
    <m/>
    <m/>
    <n v="1976680"/>
    <n v="1862629"/>
  </r>
  <r>
    <x v="3"/>
    <x v="19"/>
    <s v="Fl Memorial College"/>
    <m/>
    <m/>
    <x v="12"/>
    <m/>
    <m/>
    <m/>
    <m/>
    <m/>
    <m/>
    <m/>
    <m/>
    <n v="0"/>
    <m/>
    <m/>
    <n v="0"/>
    <n v="0"/>
    <n v="0"/>
    <n v="2202103"/>
    <n v="2075045"/>
    <m/>
    <m/>
    <n v="0"/>
    <m/>
    <m/>
    <n v="0"/>
    <m/>
    <m/>
    <m/>
    <m/>
    <m/>
    <m/>
    <n v="2202103"/>
    <n v="2075045"/>
  </r>
  <r>
    <x v="3"/>
    <x v="19"/>
    <s v="Library resources for HBCU's"/>
    <m/>
    <m/>
    <x v="12"/>
    <m/>
    <m/>
    <m/>
    <m/>
    <m/>
    <m/>
    <m/>
    <m/>
    <n v="0"/>
    <m/>
    <m/>
    <n v="0"/>
    <n v="0"/>
    <n v="0"/>
    <n v="94666"/>
    <n v="89204"/>
    <m/>
    <m/>
    <n v="0"/>
    <m/>
    <m/>
    <n v="0"/>
    <m/>
    <m/>
    <m/>
    <m/>
    <m/>
    <m/>
    <n v="94666"/>
    <n v="89204"/>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399710"/>
    <n v="299782"/>
    <m/>
    <m/>
    <n v="0"/>
    <m/>
    <m/>
    <n v="0"/>
    <m/>
    <m/>
    <m/>
    <m/>
    <m/>
    <m/>
    <n v="399710"/>
    <n v="299782"/>
  </r>
  <r>
    <x v="3"/>
    <x v="23"/>
    <s v="Nova SE Univ academic program contracts"/>
    <m/>
    <m/>
    <x v="12"/>
    <m/>
    <m/>
    <m/>
    <m/>
    <m/>
    <m/>
    <m/>
    <m/>
    <n v="0"/>
    <m/>
    <m/>
    <n v="0"/>
    <n v="0"/>
    <n v="0"/>
    <n v="62995"/>
    <n v="47246"/>
    <m/>
    <m/>
    <n v="0"/>
    <m/>
    <m/>
    <n v="0"/>
    <m/>
    <m/>
    <m/>
    <m/>
    <m/>
    <m/>
    <n v="62995"/>
    <n v="47246"/>
  </r>
  <r>
    <x v="3"/>
    <x v="23"/>
    <s v="FL Inst. Of Technology"/>
    <m/>
    <m/>
    <x v="12"/>
    <m/>
    <m/>
    <m/>
    <m/>
    <m/>
    <m/>
    <m/>
    <m/>
    <n v="0"/>
    <m/>
    <m/>
    <n v="0"/>
    <n v="0"/>
    <n v="0"/>
    <n v="206841"/>
    <n v="155131"/>
    <m/>
    <m/>
    <n v="0"/>
    <m/>
    <m/>
    <n v="0"/>
    <m/>
    <m/>
    <m/>
    <m/>
    <m/>
    <m/>
    <n v="206841"/>
    <n v="155131"/>
  </r>
  <r>
    <x v="3"/>
    <x v="23"/>
    <s v="Barry University"/>
    <m/>
    <m/>
    <x v="12"/>
    <m/>
    <m/>
    <m/>
    <m/>
    <m/>
    <m/>
    <m/>
    <m/>
    <n v="0"/>
    <m/>
    <m/>
    <n v="0"/>
    <n v="0"/>
    <n v="0"/>
    <n v="112286"/>
    <n v="84215"/>
    <m/>
    <m/>
    <n v="0"/>
    <m/>
    <m/>
    <n v="0"/>
    <m/>
    <m/>
    <m/>
    <m/>
    <m/>
    <m/>
    <n v="112286"/>
    <n v="84215"/>
  </r>
  <r>
    <x v="3"/>
    <x v="23"/>
    <s v="Le Comm/Florida Health Programs"/>
    <m/>
    <m/>
    <x v="12"/>
    <m/>
    <m/>
    <m/>
    <m/>
    <m/>
    <m/>
    <m/>
    <m/>
    <n v="0"/>
    <m/>
    <m/>
    <n v="0"/>
    <n v="0"/>
    <n v="0"/>
    <n v="785106"/>
    <n v="740422"/>
    <m/>
    <m/>
    <n v="0"/>
    <m/>
    <m/>
    <n v="0"/>
    <m/>
    <m/>
    <m/>
    <m/>
    <m/>
    <m/>
    <n v="785106"/>
    <n v="740422"/>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418878452"/>
    <n v="338367564"/>
    <m/>
    <m/>
    <n v="0"/>
    <m/>
    <m/>
    <n v="0"/>
    <m/>
    <m/>
    <m/>
    <m/>
    <m/>
    <m/>
    <n v="418878452"/>
    <n v="338367564"/>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1997365"/>
    <n v="2442776"/>
    <m/>
    <m/>
    <n v="0"/>
    <m/>
    <m/>
    <n v="0"/>
    <m/>
    <m/>
    <m/>
    <m/>
    <m/>
    <m/>
    <n v="1997365"/>
    <n v="2442776"/>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Ethics in busines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61431"/>
    <n v="58974"/>
    <m/>
    <m/>
    <n v="0"/>
    <m/>
    <m/>
    <n v="0"/>
    <m/>
    <m/>
    <m/>
    <m/>
    <m/>
    <m/>
    <n v="61431"/>
    <n v="58974"/>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3275611"/>
    <n v="3108087"/>
    <m/>
    <m/>
    <n v="0"/>
    <m/>
    <m/>
    <n v="0"/>
    <m/>
    <m/>
    <m/>
    <m/>
    <m/>
    <m/>
    <n v="3275611"/>
    <n v="3108087"/>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Critical Teacher Shortage"/>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2500000"/>
    <n v="0"/>
    <m/>
    <m/>
    <n v="0"/>
    <m/>
    <m/>
    <n v="0"/>
    <m/>
    <m/>
    <m/>
    <m/>
    <m/>
    <m/>
    <n v="2500000"/>
    <n v="0"/>
  </r>
  <r>
    <x v="3"/>
    <x v="34"/>
    <s v="Florida Student Assistance - Public - Full &amp; Part-time"/>
    <m/>
    <m/>
    <x v="12"/>
    <m/>
    <m/>
    <m/>
    <m/>
    <m/>
    <m/>
    <m/>
    <m/>
    <n v="0"/>
    <m/>
    <m/>
    <n v="0"/>
    <n v="0"/>
    <n v="0"/>
    <m/>
    <m/>
    <m/>
    <m/>
    <n v="0"/>
    <m/>
    <m/>
    <n v="0"/>
    <m/>
    <m/>
    <m/>
    <m/>
    <m/>
    <m/>
    <n v="0"/>
    <n v="0"/>
  </r>
  <r>
    <x v="3"/>
    <x v="35"/>
    <s v="Need-based"/>
    <m/>
    <m/>
    <x v="12"/>
    <m/>
    <m/>
    <m/>
    <m/>
    <m/>
    <m/>
    <m/>
    <m/>
    <n v="0"/>
    <m/>
    <m/>
    <n v="0"/>
    <n v="0"/>
    <n v="0"/>
    <n v="98546590"/>
    <n v="100350612"/>
    <m/>
    <m/>
    <n v="0"/>
    <m/>
    <m/>
    <n v="0"/>
    <m/>
    <m/>
    <m/>
    <m/>
    <m/>
    <m/>
    <n v="98546590"/>
    <n v="100350612"/>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1263442"/>
    <n v="1199124"/>
    <m/>
    <m/>
    <n v="0"/>
    <m/>
    <m/>
    <n v="0"/>
    <m/>
    <m/>
    <m/>
    <m/>
    <m/>
    <m/>
    <n v="1263442"/>
    <n v="1199124"/>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58301709"/>
    <n v="57986500"/>
    <m/>
    <m/>
    <n v="0"/>
    <m/>
    <m/>
    <n v="0"/>
    <m/>
    <m/>
    <m/>
    <m/>
    <m/>
    <m/>
    <n v="58301709"/>
    <n v="57986500"/>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552287"/>
    <n v="2658355"/>
    <m/>
    <m/>
    <n v="0"/>
    <m/>
    <m/>
    <n v="0"/>
    <m/>
    <m/>
    <m/>
    <m/>
    <m/>
    <m/>
    <n v="2552287"/>
    <n v="2658355"/>
  </r>
  <r>
    <x v="3"/>
    <x v="37"/>
    <s v="Postsecondary Student Assistance Grant"/>
    <m/>
    <m/>
    <x v="12"/>
    <m/>
    <m/>
    <m/>
    <m/>
    <m/>
    <m/>
    <m/>
    <m/>
    <n v="0"/>
    <m/>
    <m/>
    <n v="0"/>
    <n v="0"/>
    <n v="0"/>
    <m/>
    <m/>
    <m/>
    <m/>
    <n v="0"/>
    <m/>
    <m/>
    <n v="0"/>
    <m/>
    <m/>
    <m/>
    <m/>
    <m/>
    <m/>
    <n v="0"/>
    <n v="0"/>
  </r>
  <r>
    <x v="3"/>
    <x v="38"/>
    <s v="Need-based"/>
    <m/>
    <m/>
    <x v="12"/>
    <m/>
    <m/>
    <m/>
    <m/>
    <m/>
    <m/>
    <m/>
    <m/>
    <n v="0"/>
    <m/>
    <m/>
    <n v="0"/>
    <n v="0"/>
    <n v="0"/>
    <n v="11066226"/>
    <n v="11268807"/>
    <m/>
    <m/>
    <n v="0"/>
    <m/>
    <m/>
    <n v="0"/>
    <m/>
    <m/>
    <m/>
    <m/>
    <m/>
    <m/>
    <n v="11066226"/>
    <n v="11268807"/>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5875417"/>
    <n v="16166037"/>
    <m/>
    <m/>
    <n v="0"/>
    <m/>
    <m/>
    <n v="0"/>
    <m/>
    <m/>
    <m/>
    <m/>
    <m/>
    <m/>
    <n v="15875417"/>
    <n v="16166037"/>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372309"/>
    <n v="357417"/>
    <m/>
    <m/>
    <n v="0"/>
    <m/>
    <m/>
    <n v="0"/>
    <m/>
    <m/>
    <m/>
    <m/>
    <m/>
    <m/>
    <n v="372309"/>
    <n v="357417"/>
  </r>
  <r>
    <x v="3"/>
    <x v="39"/>
    <s v="Non need-based"/>
    <m/>
    <m/>
    <x v="12"/>
    <m/>
    <m/>
    <m/>
    <m/>
    <m/>
    <m/>
    <m/>
    <m/>
    <n v="0"/>
    <m/>
    <m/>
    <n v="0"/>
    <n v="0"/>
    <n v="0"/>
    <m/>
    <m/>
    <m/>
    <m/>
    <n v="0"/>
    <m/>
    <m/>
    <n v="0"/>
    <m/>
    <m/>
    <m/>
    <m/>
    <m/>
    <m/>
    <n v="0"/>
    <n v="0"/>
  </r>
  <r>
    <x v="3"/>
    <x v="0"/>
    <s v="Brevard Community College "/>
    <m/>
    <n v="132693"/>
    <x v="6"/>
    <n v="35186924"/>
    <n v="37411362"/>
    <m/>
    <m/>
    <m/>
    <m/>
    <n v="25994945"/>
    <m/>
    <n v="25994945"/>
    <n v="27636731.717012126"/>
    <m/>
    <n v="27636731.717012126"/>
    <n v="61181869"/>
    <n v="65048093.717012122"/>
    <m/>
    <m/>
    <m/>
    <m/>
    <n v="0"/>
    <m/>
    <m/>
    <n v="0"/>
    <m/>
    <m/>
    <m/>
    <m/>
    <m/>
    <m/>
    <n v="61181869"/>
    <n v="65048093.717012122"/>
  </r>
  <r>
    <x v="3"/>
    <x v="0"/>
    <s v="Broward College "/>
    <s v="Formerly Broward Community College."/>
    <n v="132709"/>
    <x v="6"/>
    <n v="66945461"/>
    <n v="71124001"/>
    <m/>
    <m/>
    <m/>
    <m/>
    <n v="64406524"/>
    <m/>
    <n v="64406524"/>
    <n v="71061836.134082079"/>
    <m/>
    <n v="71061836.134082079"/>
    <n v="131351985"/>
    <n v="142185837.13408208"/>
    <m/>
    <m/>
    <m/>
    <m/>
    <n v="0"/>
    <m/>
    <m/>
    <n v="0"/>
    <m/>
    <m/>
    <m/>
    <m/>
    <m/>
    <m/>
    <n v="131351985"/>
    <n v="142185837.13408208"/>
  </r>
  <r>
    <x v="3"/>
    <x v="0"/>
    <s v="College of Central Florida"/>
    <s v="Reclassified: met the criteria for Two-Year 1 in 2008-09, 2009-10 and 2010-11. Formerly Central Florida Community College. "/>
    <n v="132851"/>
    <x v="6"/>
    <n v="17282683"/>
    <n v="18517704"/>
    <m/>
    <m/>
    <m/>
    <m/>
    <n v="15606376"/>
    <m/>
    <n v="15606376"/>
    <n v="15003035.797507176"/>
    <m/>
    <n v="15003035.797507176"/>
    <n v="32889059"/>
    <n v="33520739.797507174"/>
    <m/>
    <m/>
    <m/>
    <m/>
    <n v="0"/>
    <m/>
    <m/>
    <n v="0"/>
    <m/>
    <m/>
    <m/>
    <m/>
    <m/>
    <m/>
    <n v="32889059"/>
    <n v="33520739.797507174"/>
  </r>
  <r>
    <x v="3"/>
    <x v="0"/>
    <s v="Chipola College "/>
    <m/>
    <n v="133021"/>
    <x v="13"/>
    <n v="9333308"/>
    <n v="9638166"/>
    <m/>
    <m/>
    <m/>
    <m/>
    <n v="3216520"/>
    <m/>
    <n v="3216520"/>
    <n v="3308812.0778580671"/>
    <m/>
    <n v="3308812.0778580671"/>
    <n v="12549828"/>
    <n v="12946978.077858068"/>
    <m/>
    <m/>
    <m/>
    <m/>
    <n v="0"/>
    <m/>
    <m/>
    <n v="0"/>
    <m/>
    <m/>
    <m/>
    <m/>
    <m/>
    <m/>
    <n v="12549828"/>
    <n v="12946978.077858068"/>
  </r>
  <r>
    <x v="3"/>
    <x v="0"/>
    <s v="Daytona State College "/>
    <s v="Formerly Daytona Beacah Community College."/>
    <n v="133386"/>
    <x v="13"/>
    <n v="46053097"/>
    <n v="48569764"/>
    <m/>
    <m/>
    <m/>
    <m/>
    <n v="30487845"/>
    <m/>
    <n v="30487845"/>
    <n v="33491675.153173309"/>
    <m/>
    <n v="33491675.153173309"/>
    <n v="76540942"/>
    <n v="82061439.153173313"/>
    <m/>
    <m/>
    <m/>
    <m/>
    <n v="0"/>
    <m/>
    <m/>
    <n v="0"/>
    <m/>
    <m/>
    <m/>
    <m/>
    <m/>
    <m/>
    <n v="76540942"/>
    <n v="82061439.153173313"/>
  </r>
  <r>
    <x v="3"/>
    <x v="0"/>
    <s v="Edison State College "/>
    <s v="Reclassified: met the criteria for Two-Year with Bachelor's in 2008-09, 2009-10 and 2010-11"/>
    <n v="133508"/>
    <x v="13"/>
    <n v="22025827"/>
    <n v="25047076"/>
    <m/>
    <m/>
    <m/>
    <m/>
    <n v="25621604"/>
    <m/>
    <n v="25621604"/>
    <n v="28077346.335722372"/>
    <m/>
    <n v="28077346.335722372"/>
    <n v="47647431"/>
    <n v="53124422.335722372"/>
    <m/>
    <m/>
    <m/>
    <m/>
    <n v="0"/>
    <m/>
    <m/>
    <n v="0"/>
    <m/>
    <m/>
    <m/>
    <m/>
    <m/>
    <m/>
    <n v="47647431"/>
    <n v="53124422.335722372"/>
  </r>
  <r>
    <x v="3"/>
    <x v="0"/>
    <s v="Florida State College at Jacksonville"/>
    <s v="Formerly Florida Community College at Jacksonville. Met the criteria for Two-Year with Bachelor's in 2009-10 and 2010-11."/>
    <n v="133702"/>
    <x v="6"/>
    <n v="69940467"/>
    <n v="74396242"/>
    <m/>
    <m/>
    <m/>
    <m/>
    <n v="68869805"/>
    <m/>
    <n v="68869805"/>
    <n v="55173973.479748584"/>
    <m/>
    <n v="55173973.479748584"/>
    <n v="138810272"/>
    <n v="129570215.47974858"/>
    <m/>
    <m/>
    <m/>
    <m/>
    <n v="0"/>
    <m/>
    <m/>
    <n v="0"/>
    <m/>
    <m/>
    <m/>
    <m/>
    <m/>
    <m/>
    <n v="138810272"/>
    <n v="129570215.47974858"/>
  </r>
  <r>
    <x v="3"/>
    <x v="0"/>
    <s v="Florida Keys Community College "/>
    <m/>
    <n v="133960"/>
    <x v="8"/>
    <n v="5489550"/>
    <n v="5740109"/>
    <m/>
    <m/>
    <m/>
    <m/>
    <n v="2762967"/>
    <m/>
    <n v="2762967"/>
    <n v="2525622.0910654953"/>
    <m/>
    <n v="2525622.0910654953"/>
    <n v="8252517"/>
    <n v="8265731.0910654953"/>
    <m/>
    <m/>
    <m/>
    <m/>
    <n v="0"/>
    <m/>
    <m/>
    <n v="0"/>
    <m/>
    <m/>
    <m/>
    <m/>
    <m/>
    <m/>
    <n v="8252517"/>
    <n v="8265731.0910654953"/>
  </r>
  <r>
    <x v="3"/>
    <x v="0"/>
    <s v="Gulf Coast Community College "/>
    <s v="Met the criteria for Two-Year 1 in 2009-10 and 2010-11."/>
    <n v="134343"/>
    <x v="7"/>
    <n v="16852292"/>
    <n v="17814864"/>
    <m/>
    <m/>
    <m/>
    <m/>
    <n v="9952987"/>
    <m/>
    <n v="9952987"/>
    <n v="9555430.5523966942"/>
    <m/>
    <n v="9555430.5523966942"/>
    <n v="26805279"/>
    <n v="27370294.552396692"/>
    <m/>
    <m/>
    <m/>
    <m/>
    <n v="0"/>
    <m/>
    <m/>
    <n v="0"/>
    <m/>
    <m/>
    <m/>
    <m/>
    <m/>
    <m/>
    <n v="26805279"/>
    <n v="27370294.552396692"/>
  </r>
  <r>
    <x v="3"/>
    <x v="0"/>
    <s v="Hillsborough Community College "/>
    <m/>
    <n v="134495"/>
    <x v="6"/>
    <n v="45640478"/>
    <n v="49064771"/>
    <m/>
    <m/>
    <m/>
    <m/>
    <n v="46705693"/>
    <m/>
    <n v="46705693"/>
    <n v="49460112.503466435"/>
    <m/>
    <n v="49460112.503466435"/>
    <n v="92346171"/>
    <n v="98524883.503466427"/>
    <m/>
    <m/>
    <m/>
    <m/>
    <n v="0"/>
    <m/>
    <m/>
    <n v="0"/>
    <m/>
    <m/>
    <m/>
    <m/>
    <m/>
    <m/>
    <n v="92346171"/>
    <n v="98524883.503466427"/>
  </r>
  <r>
    <x v="3"/>
    <x v="0"/>
    <s v="Indian River State College "/>
    <s v="Formerly Indian River Community College. Met the criteria for Two-Year with Bachelor's in 2009-10 and 2010-11."/>
    <n v="134608"/>
    <x v="6"/>
    <n v="41855506"/>
    <n v="44058319"/>
    <m/>
    <m/>
    <m/>
    <m/>
    <n v="24501346"/>
    <m/>
    <n v="24501346"/>
    <n v="27471984.164917991"/>
    <m/>
    <n v="27471984.164917991"/>
    <n v="66356852"/>
    <n v="71530303.164917991"/>
    <m/>
    <m/>
    <m/>
    <m/>
    <n v="0"/>
    <m/>
    <m/>
    <n v="0"/>
    <m/>
    <m/>
    <m/>
    <m/>
    <m/>
    <m/>
    <n v="66356852"/>
    <n v="71530303.164917991"/>
  </r>
  <r>
    <x v="3"/>
    <x v="0"/>
    <s v="Lake City Community College "/>
    <m/>
    <n v="135160"/>
    <x v="7"/>
    <n v="11706494"/>
    <n v="12221493"/>
    <m/>
    <m/>
    <m/>
    <m/>
    <n v="4630930"/>
    <m/>
    <n v="4630930"/>
    <n v="4412631.5541444356"/>
    <m/>
    <n v="4412631.5541444356"/>
    <n v="16337424"/>
    <n v="16634124.554144435"/>
    <m/>
    <m/>
    <m/>
    <m/>
    <n v="0"/>
    <m/>
    <m/>
    <n v="0"/>
    <m/>
    <m/>
    <m/>
    <m/>
    <m/>
    <m/>
    <n v="16337424"/>
    <n v="16634124.554144435"/>
  </r>
  <r>
    <x v="3"/>
    <x v="0"/>
    <s v="Lake-Sumter Community College "/>
    <m/>
    <n v="135188"/>
    <x v="7"/>
    <n v="10146073"/>
    <n v="10726900"/>
    <m/>
    <m/>
    <m/>
    <m/>
    <n v="6357811"/>
    <m/>
    <n v="6357811"/>
    <n v="6760765.2967113005"/>
    <m/>
    <n v="6760765.2967113005"/>
    <n v="16503884"/>
    <n v="17487665.2967113"/>
    <m/>
    <m/>
    <m/>
    <m/>
    <n v="0"/>
    <m/>
    <m/>
    <n v="0"/>
    <m/>
    <m/>
    <m/>
    <m/>
    <m/>
    <m/>
    <n v="16503884"/>
    <n v="17487665.2967113"/>
  </r>
  <r>
    <x v="3"/>
    <x v="0"/>
    <s v="Miami Dade College "/>
    <m/>
    <n v="135717"/>
    <x v="13"/>
    <n v="156745548"/>
    <n v="164120185"/>
    <m/>
    <m/>
    <m/>
    <m/>
    <n v="126060244"/>
    <m/>
    <n v="126060244"/>
    <n v="137092015.61169529"/>
    <m/>
    <n v="137092015.61169529"/>
    <n v="282805792"/>
    <n v="301212200.61169529"/>
    <m/>
    <m/>
    <m/>
    <m/>
    <n v="0"/>
    <m/>
    <m/>
    <n v="0"/>
    <m/>
    <m/>
    <m/>
    <m/>
    <m/>
    <m/>
    <n v="282805792"/>
    <n v="301212200.61169529"/>
  </r>
  <r>
    <x v="3"/>
    <x v="0"/>
    <s v="North Florida Community College "/>
    <m/>
    <n v="136145"/>
    <x v="8"/>
    <n v="5921803"/>
    <n v="6175241"/>
    <m/>
    <m/>
    <m/>
    <m/>
    <n v="1756781"/>
    <m/>
    <n v="1756781"/>
    <n v="1925656.5118793002"/>
    <m/>
    <n v="1925656.5118793002"/>
    <n v="7678584"/>
    <n v="8100897.5118793007"/>
    <m/>
    <m/>
    <m/>
    <m/>
    <n v="0"/>
    <m/>
    <m/>
    <n v="0"/>
    <m/>
    <m/>
    <m/>
    <m/>
    <m/>
    <m/>
    <n v="7678584"/>
    <n v="8100897.5118793007"/>
  </r>
  <r>
    <x v="3"/>
    <x v="0"/>
    <s v="Northwest Florida State College"/>
    <m/>
    <n v="136233"/>
    <x v="13"/>
    <n v="16627029"/>
    <n v="17922303"/>
    <m/>
    <m/>
    <m/>
    <m/>
    <n v="11508738"/>
    <m/>
    <n v="11508738"/>
    <n v="12838821.028946487"/>
    <m/>
    <n v="12838821.028946487"/>
    <n v="28135767"/>
    <n v="30761124.028946489"/>
    <m/>
    <m/>
    <m/>
    <m/>
    <n v="0"/>
    <m/>
    <m/>
    <n v="0"/>
    <m/>
    <m/>
    <m/>
    <m/>
    <m/>
    <m/>
    <n v="28135767"/>
    <n v="30761124.028946489"/>
  </r>
  <r>
    <x v="3"/>
    <x v="0"/>
    <s v="Palm Beach State College "/>
    <s v="Formerly Palm Beach Community College."/>
    <n v="136358"/>
    <x v="6"/>
    <n v="47715293"/>
    <n v="51300233"/>
    <m/>
    <m/>
    <m/>
    <m/>
    <n v="43742162"/>
    <m/>
    <n v="43742162"/>
    <n v="48554801.500749253"/>
    <m/>
    <n v="48554801.500749253"/>
    <n v="91457455"/>
    <n v="99855034.50074926"/>
    <m/>
    <m/>
    <m/>
    <m/>
    <n v="0"/>
    <m/>
    <m/>
    <n v="0"/>
    <m/>
    <m/>
    <m/>
    <m/>
    <m/>
    <m/>
    <n v="91457455"/>
    <n v="99855034.50074926"/>
  </r>
  <r>
    <x v="3"/>
    <x v="0"/>
    <s v="Pasco-Hernando Community College "/>
    <m/>
    <n v="136400"/>
    <x v="6"/>
    <n v="17731562"/>
    <n v="19657172"/>
    <m/>
    <m/>
    <m/>
    <m/>
    <n v="13870121"/>
    <m/>
    <n v="13870121"/>
    <n v="15487188.298441311"/>
    <m/>
    <n v="15487188.298441311"/>
    <n v="31601683"/>
    <n v="35144360.298441313"/>
    <m/>
    <m/>
    <m/>
    <m/>
    <n v="0"/>
    <m/>
    <m/>
    <n v="0"/>
    <m/>
    <m/>
    <m/>
    <m/>
    <m/>
    <m/>
    <n v="31601683"/>
    <n v="35144360.298441313"/>
  </r>
  <r>
    <x v="3"/>
    <x v="0"/>
    <s v="Pensacola State College "/>
    <s v="Formerly Pensacola Junior College."/>
    <n v="136473"/>
    <x v="6"/>
    <n v="31709441"/>
    <n v="33197201"/>
    <m/>
    <m/>
    <m/>
    <m/>
    <n v="17539613"/>
    <m/>
    <n v="17539613"/>
    <n v="18162517.645373393"/>
    <m/>
    <n v="18162517.645373393"/>
    <n v="49249054"/>
    <n v="51359718.645373389"/>
    <m/>
    <m/>
    <m/>
    <m/>
    <n v="0"/>
    <m/>
    <m/>
    <n v="0"/>
    <m/>
    <m/>
    <m/>
    <m/>
    <m/>
    <m/>
    <n v="49249054"/>
    <n v="51359718.645373389"/>
  </r>
  <r>
    <x v="3"/>
    <x v="0"/>
    <s v="Polk State College "/>
    <s v="Formerly Polk Community College."/>
    <n v="136516"/>
    <x v="6"/>
    <n v="17378060"/>
    <n v="21697656"/>
    <m/>
    <m/>
    <m/>
    <m/>
    <n v="13285800"/>
    <m/>
    <n v="13285800"/>
    <n v="15588601.110590465"/>
    <m/>
    <n v="15588601.110590465"/>
    <n v="30663860"/>
    <n v="37286257.110590465"/>
    <m/>
    <m/>
    <m/>
    <m/>
    <n v="0"/>
    <m/>
    <m/>
    <n v="0"/>
    <m/>
    <m/>
    <m/>
    <m/>
    <m/>
    <m/>
    <n v="30663860"/>
    <n v="37286257.110590465"/>
  </r>
  <r>
    <x v="3"/>
    <x v="0"/>
    <s v="Santa Fe College "/>
    <s v="Formerly Santa Fe Community College."/>
    <n v="137096"/>
    <x v="6"/>
    <n v="32750780"/>
    <n v="34329487"/>
    <m/>
    <m/>
    <m/>
    <m/>
    <n v="27753634"/>
    <m/>
    <n v="27753634"/>
    <n v="29874079.498927061"/>
    <m/>
    <n v="29874079.498927061"/>
    <n v="60504414"/>
    <n v="64203566.498927057"/>
    <m/>
    <m/>
    <m/>
    <m/>
    <n v="0"/>
    <m/>
    <m/>
    <n v="0"/>
    <m/>
    <m/>
    <m/>
    <m/>
    <m/>
    <m/>
    <n v="60504414"/>
    <n v="64203566.498927057"/>
  </r>
  <r>
    <x v="3"/>
    <x v="0"/>
    <s v="Seminole State College of Florida"/>
    <s v="Formerly Seminole Community College."/>
    <n v="137209"/>
    <x v="6"/>
    <n v="32928008"/>
    <n v="35649730"/>
    <m/>
    <m/>
    <m/>
    <m/>
    <n v="30126563"/>
    <m/>
    <n v="30126563"/>
    <n v="34520786.017012253"/>
    <m/>
    <n v="34520786.017012253"/>
    <n v="63054571"/>
    <n v="70170516.017012253"/>
    <m/>
    <m/>
    <m/>
    <m/>
    <n v="0"/>
    <m/>
    <m/>
    <n v="0"/>
    <m/>
    <m/>
    <m/>
    <m/>
    <m/>
    <m/>
    <n v="63054571"/>
    <n v="70170516.017012253"/>
  </r>
  <r>
    <x v="3"/>
    <x v="0"/>
    <s v="South Florida Community College "/>
    <m/>
    <n v="137315"/>
    <x v="7"/>
    <n v="14648377"/>
    <n v="15231389"/>
    <m/>
    <m/>
    <m/>
    <m/>
    <n v="4029941"/>
    <m/>
    <n v="4029941"/>
    <n v="3963957.2853873484"/>
    <m/>
    <n v="3963957.2853873484"/>
    <n v="18678318"/>
    <n v="19195346.285387348"/>
    <m/>
    <m/>
    <m/>
    <m/>
    <n v="0"/>
    <m/>
    <m/>
    <n v="0"/>
    <m/>
    <m/>
    <m/>
    <m/>
    <m/>
    <m/>
    <n v="18678318"/>
    <n v="19195346.285387348"/>
  </r>
  <r>
    <x v="3"/>
    <x v="0"/>
    <s v="St. Johns River Community College "/>
    <s v="Met the criteria for Two-Year 1 in  2010-11."/>
    <n v="137281"/>
    <x v="7"/>
    <n v="15568626"/>
    <n v="16668502"/>
    <m/>
    <m/>
    <m/>
    <m/>
    <n v="9403447"/>
    <m/>
    <n v="9403447"/>
    <n v="10114459.078029143"/>
    <m/>
    <n v="10114459.078029143"/>
    <n v="24972073"/>
    <n v="26782961.078029141"/>
    <m/>
    <m/>
    <m/>
    <m/>
    <n v="0"/>
    <m/>
    <m/>
    <n v="0"/>
    <m/>
    <m/>
    <m/>
    <m/>
    <m/>
    <m/>
    <n v="24972073"/>
    <n v="26782961.078029141"/>
  </r>
  <r>
    <x v="3"/>
    <x v="0"/>
    <s v="St. Petersburg College "/>
    <m/>
    <n v="137078"/>
    <x v="13"/>
    <n v="60393235"/>
    <n v="63031486"/>
    <m/>
    <m/>
    <m/>
    <m/>
    <n v="51689640"/>
    <m/>
    <n v="51689640"/>
    <n v="55017177.060220815"/>
    <m/>
    <n v="55017177.060220815"/>
    <n v="112082875"/>
    <n v="118048663.06022081"/>
    <m/>
    <m/>
    <m/>
    <m/>
    <n v="0"/>
    <m/>
    <m/>
    <n v="0"/>
    <m/>
    <m/>
    <m/>
    <m/>
    <m/>
    <m/>
    <n v="112082875"/>
    <n v="118048663.06022081"/>
  </r>
  <r>
    <x v="3"/>
    <x v="0"/>
    <s v="State College of Florida, Manatee-Sarasota"/>
    <m/>
    <n v="135391"/>
    <x v="6"/>
    <n v="19869946"/>
    <n v="21755709"/>
    <m/>
    <m/>
    <m/>
    <m/>
    <n v="21626151"/>
    <m/>
    <n v="21626151"/>
    <n v="20920528.895805813"/>
    <m/>
    <n v="20920528.895805813"/>
    <n v="41496097"/>
    <n v="42676237.895805813"/>
    <m/>
    <m/>
    <m/>
    <m/>
    <n v="0"/>
    <m/>
    <m/>
    <n v="0"/>
    <m/>
    <m/>
    <m/>
    <m/>
    <m/>
    <m/>
    <n v="41496097"/>
    <n v="42676237.895805813"/>
  </r>
  <r>
    <x v="3"/>
    <x v="0"/>
    <s v="Tallahassee Community College "/>
    <m/>
    <n v="137759"/>
    <x v="6"/>
    <n v="27132764"/>
    <n v="29316900"/>
    <m/>
    <m/>
    <m/>
    <m/>
    <n v="23904997"/>
    <m/>
    <n v="23904997"/>
    <n v="28174466.33506719"/>
    <m/>
    <n v="28174466.33506719"/>
    <n v="51037761"/>
    <n v="57491366.33506719"/>
    <m/>
    <m/>
    <m/>
    <m/>
    <n v="0"/>
    <m/>
    <m/>
    <n v="0"/>
    <m/>
    <m/>
    <m/>
    <m/>
    <m/>
    <m/>
    <n v="51037761"/>
    <n v="57491366.33506719"/>
  </r>
  <r>
    <x v="3"/>
    <x v="0"/>
    <s v="Valencia Community College "/>
    <m/>
    <n v="138187"/>
    <x v="6"/>
    <n v="57656855"/>
    <n v="61937606"/>
    <m/>
    <m/>
    <m/>
    <m/>
    <n v="70010417"/>
    <m/>
    <n v="70010417"/>
    <n v="73854720.147220448"/>
    <m/>
    <n v="73854720.147220448"/>
    <n v="127667272"/>
    <n v="135792326.14722043"/>
    <m/>
    <m/>
    <m/>
    <m/>
    <n v="0"/>
    <m/>
    <m/>
    <n v="0"/>
    <m/>
    <m/>
    <m/>
    <m/>
    <m/>
    <m/>
    <n v="127667272"/>
    <n v="135792326.14722043"/>
  </r>
  <r>
    <x v="3"/>
    <x v="14"/>
    <s v="Statewide System Operations"/>
    <m/>
    <m/>
    <x v="12"/>
    <m/>
    <m/>
    <m/>
    <m/>
    <m/>
    <m/>
    <m/>
    <m/>
    <n v="0"/>
    <m/>
    <m/>
    <n v="0"/>
    <n v="0"/>
    <n v="0"/>
    <m/>
    <m/>
    <m/>
    <m/>
    <n v="0"/>
    <m/>
    <m/>
    <n v="0"/>
    <m/>
    <m/>
    <m/>
    <m/>
    <m/>
    <m/>
    <n v="0"/>
    <n v="0"/>
  </r>
  <r>
    <x v="3"/>
    <x v="16"/>
    <s v="Division of Florida Colleges Central Office "/>
    <m/>
    <m/>
    <x v="12"/>
    <m/>
    <m/>
    <m/>
    <m/>
    <m/>
    <m/>
    <m/>
    <m/>
    <n v="0"/>
    <m/>
    <m/>
    <n v="0"/>
    <n v="0"/>
    <n v="0"/>
    <n v="1938333"/>
    <n v="1926838"/>
    <m/>
    <m/>
    <n v="0"/>
    <m/>
    <m/>
    <n v="0"/>
    <m/>
    <m/>
    <m/>
    <m/>
    <m/>
    <m/>
    <n v="1938333"/>
    <n v="1926838"/>
  </r>
  <r>
    <x v="4"/>
    <x v="0"/>
    <s v="Georgia State University "/>
    <m/>
    <n v="139940"/>
    <x v="0"/>
    <n v="175509705"/>
    <n v="189437176"/>
    <m/>
    <m/>
    <m/>
    <m/>
    <n v="170025080"/>
    <m/>
    <n v="170025080"/>
    <n v="200561048"/>
    <m/>
    <n v="200561048"/>
    <n v="345534785"/>
    <n v="389998224"/>
    <m/>
    <m/>
    <m/>
    <m/>
    <n v="0"/>
    <m/>
    <m/>
    <n v="0"/>
    <m/>
    <m/>
    <m/>
    <m/>
    <m/>
    <m/>
    <n v="345534785"/>
    <n v="389998224"/>
  </r>
  <r>
    <x v="4"/>
    <x v="0"/>
    <s v="University of Georgia"/>
    <m/>
    <n v="139959"/>
    <x v="0"/>
    <n v="281309177"/>
    <n v="297671826"/>
    <m/>
    <m/>
    <m/>
    <m/>
    <n v="239344056"/>
    <m/>
    <n v="239344056"/>
    <n v="272306295"/>
    <m/>
    <n v="272306295"/>
    <n v="520653233"/>
    <n v="569978121"/>
    <m/>
    <m/>
    <m/>
    <m/>
    <n v="0"/>
    <m/>
    <m/>
    <n v="0"/>
    <m/>
    <m/>
    <m/>
    <m/>
    <m/>
    <m/>
    <n v="520653233"/>
    <n v="569978121"/>
  </r>
  <r>
    <x v="4"/>
    <x v="1"/>
    <s v="Heatlh Professions Education"/>
    <m/>
    <n v="139959"/>
    <x v="0"/>
    <m/>
    <m/>
    <m/>
    <m/>
    <m/>
    <m/>
    <m/>
    <m/>
    <n v="0"/>
    <m/>
    <m/>
    <n v="0"/>
    <n v="0"/>
    <n v="0"/>
    <m/>
    <m/>
    <m/>
    <m/>
    <n v="0"/>
    <m/>
    <m/>
    <n v="0"/>
    <m/>
    <m/>
    <m/>
    <m/>
    <m/>
    <m/>
    <n v="0"/>
    <n v="0"/>
  </r>
  <r>
    <x v="4"/>
    <x v="1"/>
    <s v="College of Veterinary Medicine"/>
    <m/>
    <n v="139959"/>
    <x v="0"/>
    <m/>
    <m/>
    <m/>
    <m/>
    <m/>
    <m/>
    <m/>
    <m/>
    <n v="0"/>
    <m/>
    <m/>
    <n v="0"/>
    <n v="0"/>
    <n v="0"/>
    <m/>
    <m/>
    <m/>
    <m/>
    <n v="0"/>
    <m/>
    <m/>
    <n v="0"/>
    <n v="13296105"/>
    <n v="13118159"/>
    <n v="5635224"/>
    <m/>
    <n v="6224550"/>
    <m/>
    <n v="18931329"/>
    <n v="19342709"/>
  </r>
  <r>
    <x v="4"/>
    <x v="1"/>
    <s v="Vet Med Teaching Hospital"/>
    <m/>
    <n v="139959"/>
    <x v="0"/>
    <m/>
    <m/>
    <m/>
    <m/>
    <m/>
    <m/>
    <m/>
    <m/>
    <n v="0"/>
    <m/>
    <m/>
    <n v="0"/>
    <n v="0"/>
    <n v="0"/>
    <m/>
    <m/>
    <m/>
    <m/>
    <n v="0"/>
    <m/>
    <m/>
    <n v="0"/>
    <n v="483572"/>
    <n v="433774"/>
    <m/>
    <m/>
    <m/>
    <m/>
    <n v="483572"/>
    <n v="433774"/>
  </r>
  <r>
    <x v="4"/>
    <x v="3"/>
    <s v="Public Service Units"/>
    <m/>
    <n v="139959"/>
    <x v="0"/>
    <m/>
    <m/>
    <m/>
    <m/>
    <m/>
    <m/>
    <m/>
    <m/>
    <n v="0"/>
    <m/>
    <m/>
    <n v="0"/>
    <n v="0"/>
    <n v="0"/>
    <m/>
    <m/>
    <m/>
    <m/>
    <n v="0"/>
    <m/>
    <m/>
    <n v="0"/>
    <m/>
    <m/>
    <m/>
    <m/>
    <m/>
    <m/>
    <n v="0"/>
    <n v="0"/>
  </r>
  <r>
    <x v="4"/>
    <x v="5"/>
    <s v="Ag Cooperative Extension Service"/>
    <m/>
    <n v="139959"/>
    <x v="0"/>
    <m/>
    <m/>
    <n v="31668434"/>
    <n v="29614855"/>
    <m/>
    <m/>
    <m/>
    <m/>
    <n v="0"/>
    <m/>
    <m/>
    <n v="0"/>
    <n v="31668434"/>
    <n v="29614855"/>
    <m/>
    <m/>
    <m/>
    <m/>
    <n v="0"/>
    <m/>
    <m/>
    <n v="0"/>
    <m/>
    <m/>
    <m/>
    <m/>
    <m/>
    <m/>
    <n v="31668434"/>
    <n v="29614855"/>
  </r>
  <r>
    <x v="4"/>
    <x v="6"/>
    <s v="Ag Experiment Stations"/>
    <m/>
    <n v="139959"/>
    <x v="0"/>
    <m/>
    <m/>
    <n v="37743953"/>
    <n v="35212885"/>
    <m/>
    <m/>
    <m/>
    <m/>
    <n v="0"/>
    <m/>
    <m/>
    <n v="0"/>
    <n v="37743953"/>
    <n v="35212885"/>
    <m/>
    <m/>
    <m/>
    <m/>
    <n v="0"/>
    <m/>
    <m/>
    <n v="0"/>
    <m/>
    <m/>
    <m/>
    <m/>
    <m/>
    <m/>
    <n v="37743953"/>
    <n v="35212885"/>
  </r>
  <r>
    <x v="4"/>
    <x v="7"/>
    <s v="Research Units"/>
    <m/>
    <n v="139959"/>
    <x v="0"/>
    <m/>
    <m/>
    <m/>
    <m/>
    <m/>
    <m/>
    <m/>
    <m/>
    <n v="0"/>
    <m/>
    <m/>
    <n v="0"/>
    <n v="0"/>
    <n v="0"/>
    <m/>
    <m/>
    <m/>
    <m/>
    <n v="0"/>
    <m/>
    <m/>
    <n v="0"/>
    <m/>
    <m/>
    <m/>
    <m/>
    <m/>
    <m/>
    <n v="0"/>
    <n v="0"/>
  </r>
  <r>
    <x v="4"/>
    <x v="7"/>
    <s v="Marine Extension Service"/>
    <m/>
    <n v="139959"/>
    <x v="0"/>
    <m/>
    <m/>
    <n v="1323628"/>
    <n v="1218201"/>
    <m/>
    <m/>
    <m/>
    <m/>
    <n v="0"/>
    <m/>
    <m/>
    <n v="0"/>
    <n v="1323628"/>
    <n v="1218201"/>
    <m/>
    <m/>
    <m/>
    <m/>
    <n v="0"/>
    <m/>
    <m/>
    <n v="0"/>
    <m/>
    <m/>
    <m/>
    <m/>
    <m/>
    <m/>
    <n v="1323628"/>
    <n v="1218201"/>
  </r>
  <r>
    <x v="4"/>
    <x v="7"/>
    <s v="Vet Med Exp Station"/>
    <m/>
    <n v="139959"/>
    <x v="0"/>
    <m/>
    <m/>
    <n v="2858730"/>
    <n v="2653432"/>
    <m/>
    <m/>
    <m/>
    <m/>
    <n v="0"/>
    <m/>
    <m/>
    <n v="0"/>
    <n v="2858730"/>
    <n v="2653432"/>
    <m/>
    <m/>
    <m/>
    <m/>
    <n v="0"/>
    <m/>
    <m/>
    <n v="0"/>
    <m/>
    <m/>
    <m/>
    <m/>
    <m/>
    <m/>
    <n v="2858730"/>
    <n v="2653432"/>
  </r>
  <r>
    <x v="4"/>
    <x v="7"/>
    <s v="Marine Institute"/>
    <m/>
    <n v="139959"/>
    <x v="0"/>
    <m/>
    <m/>
    <n v="808304"/>
    <n v="749746"/>
    <m/>
    <m/>
    <m/>
    <m/>
    <n v="0"/>
    <m/>
    <m/>
    <n v="0"/>
    <n v="808304"/>
    <n v="749746"/>
    <m/>
    <m/>
    <m/>
    <m/>
    <n v="0"/>
    <m/>
    <m/>
    <n v="0"/>
    <m/>
    <m/>
    <m/>
    <m/>
    <m/>
    <m/>
    <n v="808304"/>
    <n v="749746"/>
  </r>
  <r>
    <x v="4"/>
    <x v="7"/>
    <s v="Forest Research"/>
    <m/>
    <n v="139959"/>
    <x v="0"/>
    <m/>
    <m/>
    <n v="3401553"/>
    <n v="3168858"/>
    <m/>
    <m/>
    <m/>
    <m/>
    <n v="0"/>
    <m/>
    <m/>
    <n v="0"/>
    <n v="3401553"/>
    <n v="3168858"/>
    <m/>
    <m/>
    <m/>
    <m/>
    <n v="0"/>
    <m/>
    <m/>
    <n v="0"/>
    <m/>
    <m/>
    <m/>
    <m/>
    <m/>
    <m/>
    <n v="3401553"/>
    <n v="3168858"/>
  </r>
  <r>
    <x v="4"/>
    <x v="0"/>
    <s v="Georgia Institute of Technology"/>
    <m/>
    <n v="139755"/>
    <x v="1"/>
    <n v="192906840"/>
    <n v="208509353"/>
    <m/>
    <m/>
    <m/>
    <m/>
    <n v="205250723"/>
    <m/>
    <n v="205250723"/>
    <n v="236973640"/>
    <m/>
    <n v="236973640"/>
    <n v="398157563"/>
    <n v="445482993"/>
    <m/>
    <m/>
    <m/>
    <m/>
    <n v="0"/>
    <m/>
    <m/>
    <n v="0"/>
    <m/>
    <m/>
    <m/>
    <m/>
    <m/>
    <m/>
    <n v="398157563"/>
    <n v="445482993"/>
  </r>
  <r>
    <x v="4"/>
    <x v="3"/>
    <s v="Public Service Units"/>
    <m/>
    <n v="139755"/>
    <x v="1"/>
    <m/>
    <m/>
    <m/>
    <m/>
    <m/>
    <m/>
    <m/>
    <m/>
    <n v="0"/>
    <m/>
    <m/>
    <n v="0"/>
    <n v="0"/>
    <n v="0"/>
    <m/>
    <m/>
    <m/>
    <m/>
    <n v="0"/>
    <m/>
    <m/>
    <n v="0"/>
    <m/>
    <m/>
    <m/>
    <m/>
    <m/>
    <m/>
    <n v="0"/>
    <n v="0"/>
  </r>
  <r>
    <x v="4"/>
    <x v="3"/>
    <s v="Advanced Technology Development Center"/>
    <m/>
    <n v="139755"/>
    <x v="1"/>
    <m/>
    <m/>
    <n v="8415436"/>
    <n v="7808944"/>
    <m/>
    <m/>
    <m/>
    <m/>
    <n v="0"/>
    <m/>
    <m/>
    <n v="0"/>
    <n v="8415436"/>
    <n v="7808944"/>
    <m/>
    <m/>
    <m/>
    <m/>
    <n v="0"/>
    <m/>
    <m/>
    <n v="0"/>
    <m/>
    <m/>
    <m/>
    <m/>
    <m/>
    <m/>
    <n v="8415436"/>
    <n v="7808944"/>
  </r>
  <r>
    <x v="4"/>
    <x v="7"/>
    <s v="Research Units"/>
    <m/>
    <n v="139755"/>
    <x v="1"/>
    <m/>
    <m/>
    <m/>
    <m/>
    <m/>
    <m/>
    <m/>
    <m/>
    <n v="0"/>
    <m/>
    <m/>
    <n v="0"/>
    <n v="0"/>
    <n v="0"/>
    <m/>
    <m/>
    <m/>
    <m/>
    <n v="0"/>
    <m/>
    <m/>
    <n v="0"/>
    <m/>
    <m/>
    <m/>
    <m/>
    <m/>
    <m/>
    <n v="0"/>
    <n v="0"/>
  </r>
  <r>
    <x v="4"/>
    <x v="43"/>
    <s v="Eng Experiment Station (Ga. Tech. Resch Inst.)"/>
    <m/>
    <n v="139755"/>
    <x v="1"/>
    <m/>
    <m/>
    <n v="6391518"/>
    <n v="5866807"/>
    <m/>
    <m/>
    <m/>
    <m/>
    <n v="0"/>
    <m/>
    <m/>
    <n v="0"/>
    <n v="6391518"/>
    <n v="5866807"/>
    <m/>
    <m/>
    <m/>
    <m/>
    <n v="0"/>
    <m/>
    <m/>
    <n v="0"/>
    <m/>
    <m/>
    <m/>
    <m/>
    <m/>
    <m/>
    <n v="6391518"/>
    <n v="5866807"/>
  </r>
  <r>
    <x v="4"/>
    <x v="0"/>
    <s v="Georgia Southern University"/>
    <m/>
    <n v="139931"/>
    <x v="2"/>
    <n v="69629279"/>
    <n v="76676117"/>
    <m/>
    <s v=" "/>
    <m/>
    <m/>
    <n v="79068719"/>
    <m/>
    <n v="79068719"/>
    <n v="104452139"/>
    <m/>
    <n v="104452139"/>
    <n v="148697998"/>
    <n v="181128256"/>
    <m/>
    <m/>
    <m/>
    <m/>
    <n v="0"/>
    <m/>
    <m/>
    <n v="0"/>
    <m/>
    <m/>
    <m/>
    <m/>
    <m/>
    <m/>
    <n v="148697998"/>
    <n v="181128256"/>
  </r>
  <r>
    <x v="4"/>
    <x v="0"/>
    <s v="University of West Georgia"/>
    <m/>
    <n v="141334"/>
    <x v="2"/>
    <n v="38484728"/>
    <n v="42993711"/>
    <m/>
    <m/>
    <m/>
    <m/>
    <n v="45525843"/>
    <m/>
    <n v="45525843"/>
    <n v="51641497"/>
    <m/>
    <n v="51641497"/>
    <n v="84010571"/>
    <n v="94635208"/>
    <m/>
    <m/>
    <m/>
    <m/>
    <n v="0"/>
    <m/>
    <m/>
    <n v="0"/>
    <m/>
    <m/>
    <m/>
    <m/>
    <m/>
    <m/>
    <n v="84010571"/>
    <n v="94635208"/>
  </r>
  <r>
    <x v="4"/>
    <x v="0"/>
    <s v="Valdosta State University"/>
    <m/>
    <n v="141264"/>
    <x v="2"/>
    <n v="42130486"/>
    <n v="45940783"/>
    <m/>
    <m/>
    <m/>
    <m/>
    <n v="49100885"/>
    <m/>
    <n v="49100885"/>
    <n v="59290071"/>
    <m/>
    <n v="59290071"/>
    <n v="91231371"/>
    <n v="105230854"/>
    <m/>
    <m/>
    <m/>
    <m/>
    <n v="0"/>
    <m/>
    <m/>
    <n v="0"/>
    <m/>
    <m/>
    <m/>
    <m/>
    <m/>
    <m/>
    <n v="91231371"/>
    <n v="105230854"/>
  </r>
  <r>
    <x v="4"/>
    <x v="0"/>
    <s v="Albany State University "/>
    <m/>
    <n v="138716"/>
    <x v="3"/>
    <n v="17513538"/>
    <n v="18930667"/>
    <m/>
    <m/>
    <m/>
    <m/>
    <n v="17756843"/>
    <m/>
    <n v="17756843"/>
    <n v="21525907"/>
    <m/>
    <n v="21525907"/>
    <n v="35270381"/>
    <n v="40456574"/>
    <m/>
    <m/>
    <m/>
    <m/>
    <n v="0"/>
    <m/>
    <m/>
    <n v="0"/>
    <m/>
    <m/>
    <m/>
    <m/>
    <m/>
    <m/>
    <n v="35270381"/>
    <n v="40456574"/>
  </r>
  <r>
    <x v="4"/>
    <x v="3"/>
    <s v="Public Service Units"/>
    <m/>
    <n v="138716"/>
    <x v="3"/>
    <m/>
    <m/>
    <m/>
    <m/>
    <m/>
    <m/>
    <m/>
    <m/>
    <n v="0"/>
    <m/>
    <m/>
    <n v="0"/>
    <n v="0"/>
    <n v="0"/>
    <m/>
    <m/>
    <m/>
    <m/>
    <n v="0"/>
    <m/>
    <m/>
    <n v="0"/>
    <m/>
    <m/>
    <m/>
    <m/>
    <m/>
    <m/>
    <n v="0"/>
    <n v="0"/>
  </r>
  <r>
    <x v="4"/>
    <x v="0"/>
    <s v="Armstrong Atlantic State University"/>
    <m/>
    <n v="138789"/>
    <x v="3"/>
    <n v="25004411"/>
    <n v="27780646"/>
    <m/>
    <m/>
    <m/>
    <m/>
    <n v="26417005"/>
    <m/>
    <n v="26417005"/>
    <n v="31414030"/>
    <m/>
    <n v="31414030"/>
    <n v="51421416"/>
    <n v="59194676"/>
    <m/>
    <m/>
    <m/>
    <m/>
    <n v="0"/>
    <m/>
    <m/>
    <n v="0"/>
    <m/>
    <m/>
    <m/>
    <m/>
    <m/>
    <m/>
    <n v="51421416"/>
    <n v="59194676"/>
  </r>
  <r>
    <x v="4"/>
    <x v="0"/>
    <s v="Columbus State University"/>
    <m/>
    <n v="139366"/>
    <x v="3"/>
    <n v="28811321"/>
    <n v="31662207"/>
    <m/>
    <m/>
    <m/>
    <m/>
    <n v="29862702"/>
    <m/>
    <n v="29862702"/>
    <n v="35577955"/>
    <m/>
    <n v="35577955"/>
    <n v="58674023"/>
    <n v="67240162"/>
    <m/>
    <m/>
    <m/>
    <m/>
    <n v="0"/>
    <m/>
    <m/>
    <n v="0"/>
    <m/>
    <m/>
    <m/>
    <m/>
    <m/>
    <m/>
    <n v="58674023"/>
    <n v="67240162"/>
  </r>
  <r>
    <x v="4"/>
    <x v="0"/>
    <s v="Georgia College and State University"/>
    <m/>
    <n v="139861"/>
    <x v="3"/>
    <n v="26423094"/>
    <n v="28703565"/>
    <m/>
    <m/>
    <m/>
    <m/>
    <n v="33917549"/>
    <m/>
    <n v="33917549"/>
    <n v="40549259"/>
    <m/>
    <n v="40549259"/>
    <n v="60340643"/>
    <n v="69252824"/>
    <m/>
    <m/>
    <m/>
    <m/>
    <n v="0"/>
    <m/>
    <m/>
    <n v="0"/>
    <m/>
    <m/>
    <m/>
    <m/>
    <m/>
    <m/>
    <n v="60340643"/>
    <n v="69252824"/>
  </r>
  <r>
    <x v="4"/>
    <x v="0"/>
    <s v="Kennesaw State University"/>
    <m/>
    <n v="140164"/>
    <x v="3"/>
    <n v="67363113"/>
    <n v="73767255"/>
    <m/>
    <m/>
    <m/>
    <m/>
    <n v="90352359"/>
    <m/>
    <n v="90352359"/>
    <n v="109521030"/>
    <m/>
    <n v="109521030"/>
    <n v="157715472"/>
    <n v="183288285"/>
    <m/>
    <m/>
    <m/>
    <m/>
    <n v="0"/>
    <m/>
    <m/>
    <n v="0"/>
    <m/>
    <m/>
    <m/>
    <m/>
    <m/>
    <m/>
    <n v="157715472"/>
    <n v="183288285"/>
  </r>
  <r>
    <x v="4"/>
    <x v="0"/>
    <s v="Augusta State University"/>
    <s v="Met the criteria for Four-Year 4 in 2010-11."/>
    <n v="138983"/>
    <x v="4"/>
    <n v="22203416"/>
    <n v="24203315"/>
    <m/>
    <m/>
    <m/>
    <m/>
    <n v="23884898"/>
    <m/>
    <n v="23884898"/>
    <n v="26497339"/>
    <m/>
    <n v="26497339"/>
    <n v="46088314"/>
    <n v="50700654"/>
    <m/>
    <m/>
    <m/>
    <m/>
    <n v="0"/>
    <m/>
    <m/>
    <n v="0"/>
    <m/>
    <m/>
    <m/>
    <m/>
    <m/>
    <m/>
    <n v="46088314"/>
    <n v="50700654"/>
  </r>
  <r>
    <x v="4"/>
    <x v="3"/>
    <s v="Public Service Units"/>
    <m/>
    <n v="138983"/>
    <x v="4"/>
    <m/>
    <m/>
    <m/>
    <m/>
    <m/>
    <m/>
    <m/>
    <m/>
    <n v="0"/>
    <m/>
    <m/>
    <n v="0"/>
    <n v="0"/>
    <n v="0"/>
    <m/>
    <m/>
    <m/>
    <m/>
    <n v="0"/>
    <m/>
    <m/>
    <n v="0"/>
    <m/>
    <m/>
    <m/>
    <m/>
    <m/>
    <m/>
    <n v="0"/>
    <n v="0"/>
  </r>
  <r>
    <x v="4"/>
    <x v="0"/>
    <s v="Fort Valley State University"/>
    <m/>
    <n v="139719"/>
    <x v="4"/>
    <n v="17724293"/>
    <n v="20970177"/>
    <m/>
    <m/>
    <m/>
    <m/>
    <n v="14123746"/>
    <m/>
    <n v="14123746"/>
    <n v="16390580"/>
    <m/>
    <n v="16390580"/>
    <n v="31848039"/>
    <n v="37360757"/>
    <m/>
    <m/>
    <m/>
    <m/>
    <n v="0"/>
    <m/>
    <m/>
    <n v="0"/>
    <m/>
    <m/>
    <m/>
    <m/>
    <m/>
    <m/>
    <n v="31848039"/>
    <n v="37360757"/>
  </r>
  <r>
    <x v="4"/>
    <x v="0"/>
    <s v="Georgia Southwestern State University"/>
    <m/>
    <n v="139764"/>
    <x v="4"/>
    <n v="9886424"/>
    <n v="11547347"/>
    <m/>
    <m/>
    <m/>
    <m/>
    <n v="10777939"/>
    <m/>
    <n v="10777939"/>
    <n v="12790158"/>
    <m/>
    <n v="12790158"/>
    <n v="20664363"/>
    <n v="24337505"/>
    <m/>
    <m/>
    <m/>
    <m/>
    <n v="0"/>
    <m/>
    <m/>
    <n v="0"/>
    <m/>
    <m/>
    <m/>
    <m/>
    <m/>
    <m/>
    <n v="20664363"/>
    <n v="24337505"/>
  </r>
  <r>
    <x v="4"/>
    <x v="0"/>
    <s v="North Georgia College and State University"/>
    <s v="Met the criteria for Four-Year 4 in 2010-11."/>
    <n v="140669"/>
    <x v="4"/>
    <n v="20324006"/>
    <n v="21739968"/>
    <m/>
    <m/>
    <m/>
    <m/>
    <n v="20627180"/>
    <m/>
    <n v="20627180"/>
    <n v="26687203"/>
    <m/>
    <n v="26687203"/>
    <n v="40951186"/>
    <n v="48427171"/>
    <m/>
    <m/>
    <m/>
    <m/>
    <n v="0"/>
    <m/>
    <m/>
    <n v="0"/>
    <m/>
    <m/>
    <m/>
    <m/>
    <m/>
    <m/>
    <n v="40951186"/>
    <n v="48427171"/>
  </r>
  <r>
    <x v="4"/>
    <x v="0"/>
    <s v="Savannah State University"/>
    <m/>
    <n v="140960"/>
    <x v="4"/>
    <n v="15531617"/>
    <n v="17663509"/>
    <m/>
    <m/>
    <m/>
    <m/>
    <n v="15943690"/>
    <m/>
    <n v="15943690"/>
    <n v="18279511"/>
    <m/>
    <n v="18279511"/>
    <n v="31475307"/>
    <n v="35943020"/>
    <m/>
    <m/>
    <m/>
    <m/>
    <n v="0"/>
    <m/>
    <m/>
    <n v="0"/>
    <m/>
    <m/>
    <m/>
    <m/>
    <m/>
    <m/>
    <n v="31475307"/>
    <n v="35943020"/>
  </r>
  <r>
    <x v="4"/>
    <x v="0"/>
    <s v="Clayton State University"/>
    <s v="Met the criteria for Four-Year 5 in 2009-10 and 2010-11."/>
    <n v="139311"/>
    <x v="5"/>
    <n v="19827885"/>
    <n v="22643975"/>
    <m/>
    <m/>
    <m/>
    <m/>
    <n v="24639230"/>
    <m/>
    <n v="24639230"/>
    <n v="28043134"/>
    <m/>
    <n v="28043134"/>
    <n v="44467115"/>
    <n v="50687109"/>
    <m/>
    <m/>
    <m/>
    <m/>
    <n v="0"/>
    <m/>
    <m/>
    <n v="0"/>
    <m/>
    <m/>
    <m/>
    <m/>
    <m/>
    <m/>
    <n v="44467115"/>
    <n v="50687109"/>
  </r>
  <r>
    <x v="4"/>
    <x v="0"/>
    <s v="Macon State College "/>
    <m/>
    <n v="140322"/>
    <x v="5"/>
    <n v="17057002"/>
    <n v="18305239"/>
    <m/>
    <m/>
    <m/>
    <m/>
    <n v="14565850"/>
    <m/>
    <n v="14565850"/>
    <n v="13099677"/>
    <m/>
    <n v="13099677"/>
    <n v="31622852"/>
    <n v="31404916"/>
    <m/>
    <m/>
    <m/>
    <m/>
    <n v="0"/>
    <m/>
    <m/>
    <n v="0"/>
    <m/>
    <m/>
    <m/>
    <m/>
    <m/>
    <m/>
    <n v="31622852"/>
    <n v="31404916"/>
  </r>
  <r>
    <x v="4"/>
    <x v="0"/>
    <s v="Dalton State College "/>
    <m/>
    <n v="139463"/>
    <x v="13"/>
    <n v="11390723"/>
    <n v="13094814"/>
    <m/>
    <m/>
    <m/>
    <m/>
    <n v="12265558"/>
    <m/>
    <n v="12265558"/>
    <n v="13730931"/>
    <m/>
    <n v="13730931"/>
    <n v="23656281"/>
    <n v="26825745"/>
    <m/>
    <m/>
    <m/>
    <m/>
    <n v="0"/>
    <m/>
    <m/>
    <n v="0"/>
    <m/>
    <m/>
    <m/>
    <m/>
    <m/>
    <m/>
    <n v="23656281"/>
    <n v="26825745"/>
  </r>
  <r>
    <x v="4"/>
    <x v="0"/>
    <s v="Georgia Perimeter College "/>
    <m/>
    <n v="244437"/>
    <x v="6"/>
    <n v="47589445"/>
    <n v="52911645"/>
    <m/>
    <m/>
    <m/>
    <m/>
    <n v="61354201"/>
    <m/>
    <n v="61354201"/>
    <n v="64526532"/>
    <m/>
    <n v="64526532"/>
    <n v="108943646"/>
    <n v="117438177"/>
    <m/>
    <m/>
    <m/>
    <m/>
    <n v="0"/>
    <m/>
    <m/>
    <n v="0"/>
    <m/>
    <m/>
    <m/>
    <m/>
    <m/>
    <m/>
    <n v="108943646"/>
    <n v="117438177"/>
  </r>
  <r>
    <x v="4"/>
    <x v="0"/>
    <s v="Abraham Baldwin Agricultural College "/>
    <s v="Met the criteria for Two-Year with Bachelor's in 2009-10. Did not award any bachelor's for 2010-11 analysis, looses flag."/>
    <n v="138558"/>
    <x v="7"/>
    <n v="11204802"/>
    <n v="12802845"/>
    <m/>
    <m/>
    <m/>
    <m/>
    <n v="7518615"/>
    <m/>
    <n v="7518615"/>
    <n v="8690642"/>
    <m/>
    <n v="8690642"/>
    <n v="18723417"/>
    <n v="21493487"/>
    <m/>
    <m/>
    <m/>
    <m/>
    <n v="0"/>
    <m/>
    <m/>
    <n v="0"/>
    <m/>
    <m/>
    <m/>
    <m/>
    <m/>
    <m/>
    <n v="18723417"/>
    <n v="21493487"/>
  </r>
  <r>
    <x v="4"/>
    <x v="0"/>
    <s v="Bainbridge College "/>
    <m/>
    <n v="139010"/>
    <x v="7"/>
    <n v="7335113"/>
    <n v="8447534"/>
    <m/>
    <m/>
    <m/>
    <m/>
    <n v="7573667"/>
    <m/>
    <n v="7573667"/>
    <n v="8992193"/>
    <m/>
    <n v="8992193"/>
    <n v="14908780"/>
    <n v="17439727"/>
    <m/>
    <m/>
    <m/>
    <m/>
    <n v="0"/>
    <m/>
    <m/>
    <n v="0"/>
    <m/>
    <m/>
    <m/>
    <m/>
    <m/>
    <m/>
    <n v="14908780"/>
    <n v="17439727"/>
  </r>
  <r>
    <x v="4"/>
    <x v="0"/>
    <s v="College of Coastal Georgia"/>
    <m/>
    <n v="139250"/>
    <x v="7"/>
    <n v="11046460"/>
    <n v="12738935"/>
    <m/>
    <m/>
    <m/>
    <m/>
    <n v="6211920"/>
    <m/>
    <n v="6211920"/>
    <n v="8499036"/>
    <m/>
    <n v="8499036"/>
    <n v="17258380"/>
    <n v="21237971"/>
    <m/>
    <m/>
    <m/>
    <m/>
    <n v="0"/>
    <m/>
    <m/>
    <n v="0"/>
    <m/>
    <m/>
    <m/>
    <m/>
    <m/>
    <m/>
    <n v="17258380"/>
    <n v="21237971"/>
  </r>
  <r>
    <x v="4"/>
    <x v="0"/>
    <s v="Darton College "/>
    <m/>
    <n v="138691"/>
    <x v="7"/>
    <n v="12476670"/>
    <n v="14035772"/>
    <m/>
    <m/>
    <m/>
    <m/>
    <n v="11870048"/>
    <m/>
    <n v="11870048"/>
    <n v="13532669"/>
    <m/>
    <n v="13532669"/>
    <n v="24346718"/>
    <n v="27568441"/>
    <m/>
    <m/>
    <m/>
    <m/>
    <n v="0"/>
    <m/>
    <m/>
    <n v="0"/>
    <m/>
    <m/>
    <m/>
    <m/>
    <m/>
    <m/>
    <n v="24346718"/>
    <n v="27568441"/>
  </r>
  <r>
    <x v="4"/>
    <x v="0"/>
    <s v="Gainesville State College "/>
    <s v="Reclassified: met the criteria for Two-Year with Bachelors in 2008-09, 2009-10 and 2010-11."/>
    <n v="139773"/>
    <x v="13"/>
    <n v="16091846"/>
    <n v="19347681"/>
    <m/>
    <m/>
    <m/>
    <m/>
    <n v="19256899"/>
    <m/>
    <n v="19256899"/>
    <n v="21328215"/>
    <m/>
    <n v="21328215"/>
    <n v="35348745"/>
    <n v="40675896"/>
    <m/>
    <m/>
    <m/>
    <m/>
    <n v="0"/>
    <m/>
    <m/>
    <n v="0"/>
    <m/>
    <m/>
    <m/>
    <m/>
    <m/>
    <m/>
    <n v="35348745"/>
    <n v="40675896"/>
  </r>
  <r>
    <x v="4"/>
    <x v="0"/>
    <s v="Georgia Highlands College "/>
    <m/>
    <n v="139700"/>
    <x v="7"/>
    <n v="11510669"/>
    <n v="13569415"/>
    <m/>
    <m/>
    <m/>
    <m/>
    <n v="10668521"/>
    <m/>
    <n v="10668521"/>
    <n v="11492821"/>
    <m/>
    <n v="11492821"/>
    <n v="22179190"/>
    <n v="25062236"/>
    <m/>
    <m/>
    <m/>
    <m/>
    <n v="0"/>
    <m/>
    <m/>
    <n v="0"/>
    <m/>
    <m/>
    <m/>
    <m/>
    <m/>
    <m/>
    <n v="22179190"/>
    <n v="25062236"/>
  </r>
  <r>
    <x v="4"/>
    <x v="0"/>
    <s v="Gordon College "/>
    <s v="Met the criteria for Two-Year with Bachelor's in 2009-10."/>
    <n v="139968"/>
    <x v="7"/>
    <n v="9439666"/>
    <n v="10682968"/>
    <m/>
    <m/>
    <m/>
    <m/>
    <n v="10174448"/>
    <m/>
    <n v="10174448"/>
    <n v="12590192"/>
    <m/>
    <n v="12590192"/>
    <n v="19614114"/>
    <n v="23273160"/>
    <m/>
    <m/>
    <m/>
    <m/>
    <n v="0"/>
    <m/>
    <m/>
    <n v="0"/>
    <m/>
    <m/>
    <m/>
    <m/>
    <m/>
    <m/>
    <n v="19614114"/>
    <n v="23273160"/>
  </r>
  <r>
    <x v="4"/>
    <x v="0"/>
    <s v="Middle Georgia College "/>
    <m/>
    <n v="140483"/>
    <x v="7"/>
    <n v="14481692"/>
    <n v="15305356"/>
    <m/>
    <m/>
    <m/>
    <m/>
    <n v="8755814"/>
    <m/>
    <n v="8755814"/>
    <n v="9221506"/>
    <m/>
    <n v="9221506"/>
    <n v="23237506"/>
    <n v="24526862"/>
    <m/>
    <m/>
    <m/>
    <m/>
    <n v="0"/>
    <m/>
    <m/>
    <n v="0"/>
    <m/>
    <m/>
    <m/>
    <m/>
    <m/>
    <m/>
    <n v="23237506"/>
    <n v="24526862"/>
  </r>
  <r>
    <x v="4"/>
    <x v="0"/>
    <s v="Atlanta Metropolitan College"/>
    <s v="Met the criteria for Two-Year 2 in 2009-10 and 2010-11."/>
    <n v="138901"/>
    <x v="8"/>
    <n v="6486957"/>
    <n v="7778657"/>
    <m/>
    <m/>
    <m/>
    <m/>
    <n v="7302629"/>
    <m/>
    <n v="7302629"/>
    <n v="8445522"/>
    <m/>
    <n v="8445522"/>
    <n v="13789586"/>
    <n v="16224179"/>
    <m/>
    <m/>
    <m/>
    <m/>
    <n v="0"/>
    <m/>
    <m/>
    <n v="0"/>
    <m/>
    <m/>
    <m/>
    <m/>
    <m/>
    <m/>
    <n v="13789586"/>
    <n v="16224179"/>
  </r>
  <r>
    <x v="4"/>
    <x v="0"/>
    <s v="East Georgia College"/>
    <s v="Met the criteria for Two-Year 2 in 2009-10 and 2010-11."/>
    <n v="139621"/>
    <x v="8"/>
    <n v="4911132"/>
    <n v="6180471"/>
    <m/>
    <m/>
    <m/>
    <m/>
    <n v="5783292"/>
    <m/>
    <n v="5783292"/>
    <n v="6911924"/>
    <m/>
    <n v="6911924"/>
    <n v="10694424"/>
    <n v="13092395"/>
    <m/>
    <m/>
    <m/>
    <m/>
    <n v="0"/>
    <m/>
    <m/>
    <n v="0"/>
    <m/>
    <m/>
    <m/>
    <m/>
    <m/>
    <m/>
    <n v="10694424"/>
    <n v="13092395"/>
  </r>
  <r>
    <x v="4"/>
    <x v="0"/>
    <s v="South Georgia College "/>
    <m/>
    <n v="140997"/>
    <x v="8"/>
    <n v="6205056"/>
    <n v="6705246"/>
    <m/>
    <m/>
    <m/>
    <m/>
    <n v="4655126"/>
    <m/>
    <n v="4655126"/>
    <n v="5195223"/>
    <m/>
    <n v="5195223"/>
    <n v="10860182"/>
    <n v="11900469"/>
    <m/>
    <m/>
    <m/>
    <m/>
    <n v="0"/>
    <m/>
    <m/>
    <n v="0"/>
    <m/>
    <m/>
    <m/>
    <m/>
    <m/>
    <m/>
    <n v="10860182"/>
    <n v="11900469"/>
  </r>
  <r>
    <x v="4"/>
    <x v="0"/>
    <s v="Waycross College "/>
    <m/>
    <n v="141307"/>
    <x v="8"/>
    <n v="3181137"/>
    <n v="3450157"/>
    <m/>
    <m/>
    <m/>
    <m/>
    <n v="2273881"/>
    <m/>
    <n v="2273881"/>
    <n v="2491048"/>
    <m/>
    <n v="2491048"/>
    <n v="5455018"/>
    <n v="5941205"/>
    <m/>
    <m/>
    <m/>
    <m/>
    <n v="0"/>
    <m/>
    <m/>
    <n v="0"/>
    <m/>
    <m/>
    <m/>
    <m/>
    <m/>
    <m/>
    <n v="5455018"/>
    <n v="5941205"/>
  </r>
  <r>
    <x v="4"/>
    <x v="9"/>
    <s v="Georgia Gwinnett College"/>
    <s v="In start up phase."/>
    <n v="447689"/>
    <x v="14"/>
    <m/>
    <m/>
    <m/>
    <m/>
    <m/>
    <m/>
    <m/>
    <m/>
    <n v="0"/>
    <m/>
    <m/>
    <n v="0"/>
    <n v="0"/>
    <n v="0"/>
    <n v="28491424"/>
    <n v="31908828"/>
    <n v="8878580"/>
    <m/>
    <n v="8878580"/>
    <n v="17749975"/>
    <m/>
    <n v="17749975"/>
    <m/>
    <m/>
    <m/>
    <m/>
    <m/>
    <m/>
    <n v="37370004"/>
    <n v="49658803"/>
  </r>
  <r>
    <x v="4"/>
    <x v="41"/>
    <s v="Medical College of Georgia"/>
    <m/>
    <n v="140401"/>
    <x v="11"/>
    <m/>
    <m/>
    <m/>
    <m/>
    <m/>
    <m/>
    <m/>
    <m/>
    <n v="0"/>
    <m/>
    <m/>
    <n v="0"/>
    <n v="0"/>
    <n v="0"/>
    <m/>
    <m/>
    <m/>
    <m/>
    <n v="0"/>
    <m/>
    <m/>
    <n v="0"/>
    <n v="130390109"/>
    <n v="140142107"/>
    <n v="34353142"/>
    <m/>
    <n v="37652050"/>
    <m/>
    <n v="164743251"/>
    <n v="177794157"/>
  </r>
  <r>
    <x v="4"/>
    <x v="41"/>
    <s v="Student Education Enrichment Program"/>
    <m/>
    <n v="140401"/>
    <x v="11"/>
    <m/>
    <m/>
    <m/>
    <m/>
    <m/>
    <m/>
    <m/>
    <m/>
    <n v="0"/>
    <m/>
    <m/>
    <n v="0"/>
    <n v="0"/>
    <n v="0"/>
    <m/>
    <m/>
    <m/>
    <m/>
    <n v="0"/>
    <m/>
    <m/>
    <n v="0"/>
    <m/>
    <m/>
    <m/>
    <m/>
    <m/>
    <m/>
    <n v="0"/>
    <n v="0"/>
  </r>
  <r>
    <x v="4"/>
    <x v="41"/>
    <s v="Talmadge Memorial Hospital"/>
    <m/>
    <n v="140401"/>
    <x v="11"/>
    <m/>
    <m/>
    <m/>
    <m/>
    <m/>
    <m/>
    <m/>
    <m/>
    <n v="0"/>
    <m/>
    <m/>
    <n v="0"/>
    <n v="0"/>
    <n v="0"/>
    <m/>
    <m/>
    <m/>
    <m/>
    <n v="0"/>
    <m/>
    <m/>
    <n v="0"/>
    <n v="31914306"/>
    <n v="30441017"/>
    <m/>
    <m/>
    <m/>
    <m/>
    <n v="31914306"/>
    <n v="30441017"/>
  </r>
  <r>
    <x v="4"/>
    <x v="9"/>
    <s v="Southern Polytechnic State University"/>
    <m/>
    <n v="141097"/>
    <x v="11"/>
    <m/>
    <m/>
    <m/>
    <m/>
    <m/>
    <m/>
    <m/>
    <m/>
    <n v="0"/>
    <m/>
    <m/>
    <n v="0"/>
    <n v="0"/>
    <n v="0"/>
    <n v="17506941"/>
    <n v="20284279"/>
    <n v="23176800"/>
    <m/>
    <n v="23176800"/>
    <n v="28287154"/>
    <m/>
    <n v="28287154"/>
    <m/>
    <m/>
    <m/>
    <m/>
    <m/>
    <m/>
    <n v="40683741"/>
    <n v="48571433"/>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Skidaway Inst of Oceanography"/>
    <m/>
    <m/>
    <x v="12"/>
    <m/>
    <m/>
    <n v="2456941"/>
    <n v="2201341"/>
    <m/>
    <m/>
    <m/>
    <m/>
    <n v="0"/>
    <m/>
    <m/>
    <n v="0"/>
    <n v="2456941"/>
    <n v="2201341"/>
    <m/>
    <m/>
    <m/>
    <m/>
    <n v="0"/>
    <m/>
    <m/>
    <n v="0"/>
    <m/>
    <m/>
    <m/>
    <m/>
    <m/>
    <m/>
    <n v="2456941"/>
    <n v="2201341"/>
  </r>
  <r>
    <x v="4"/>
    <x v="13"/>
    <s v="Education special purpose funds -all other"/>
    <m/>
    <m/>
    <x v="12"/>
    <m/>
    <m/>
    <m/>
    <m/>
    <m/>
    <m/>
    <m/>
    <m/>
    <n v="0"/>
    <m/>
    <m/>
    <n v="0"/>
    <n v="0"/>
    <n v="0"/>
    <m/>
    <m/>
    <m/>
    <m/>
    <n v="0"/>
    <m/>
    <m/>
    <n v="0"/>
    <m/>
    <m/>
    <m/>
    <m/>
    <m/>
    <m/>
    <n v="0"/>
    <n v="0"/>
  </r>
  <r>
    <x v="4"/>
    <x v="13"/>
    <s v="Residence Instruction Reserve"/>
    <m/>
    <m/>
    <x v="12"/>
    <m/>
    <m/>
    <m/>
    <m/>
    <m/>
    <m/>
    <m/>
    <m/>
    <n v="0"/>
    <m/>
    <m/>
    <n v="0"/>
    <n v="0"/>
    <n v="0"/>
    <m/>
    <m/>
    <m/>
    <m/>
    <n v="0"/>
    <m/>
    <m/>
    <n v="0"/>
    <m/>
    <m/>
    <m/>
    <m/>
    <m/>
    <m/>
    <n v="0"/>
    <n v="0"/>
  </r>
  <r>
    <x v="4"/>
    <x v="13"/>
    <s v="Office of Information and Instructional Technology"/>
    <m/>
    <m/>
    <x v="12"/>
    <m/>
    <m/>
    <n v="36405259"/>
    <n v="34329035"/>
    <m/>
    <m/>
    <m/>
    <m/>
    <n v="0"/>
    <m/>
    <m/>
    <n v="0"/>
    <n v="36405259"/>
    <n v="34329035"/>
    <m/>
    <m/>
    <m/>
    <m/>
    <n v="0"/>
    <m/>
    <m/>
    <n v="0"/>
    <m/>
    <m/>
    <m/>
    <m/>
    <m/>
    <m/>
    <n v="36405259"/>
    <n v="34329035"/>
  </r>
  <r>
    <x v="4"/>
    <x v="13"/>
    <s v="(SHARED SERVICES) University System Regents"/>
    <m/>
    <m/>
    <x v="12"/>
    <m/>
    <m/>
    <n v="9135359"/>
    <n v="9290150"/>
    <m/>
    <m/>
    <m/>
    <m/>
    <n v="0"/>
    <m/>
    <m/>
    <n v="0"/>
    <n v="9135359"/>
    <n v="9290150"/>
    <m/>
    <m/>
    <m/>
    <m/>
    <n v="0"/>
    <m/>
    <m/>
    <n v="0"/>
    <m/>
    <m/>
    <m/>
    <m/>
    <m/>
    <m/>
    <n v="9135359"/>
    <n v="9290150"/>
  </r>
  <r>
    <x v="4"/>
    <x v="13"/>
    <s v="&quot;RCO A&quot;"/>
    <m/>
    <m/>
    <x v="12"/>
    <m/>
    <m/>
    <n v="15938808"/>
    <n v="11444175"/>
    <m/>
    <m/>
    <m/>
    <m/>
    <n v="0"/>
    <m/>
    <m/>
    <n v="0"/>
    <n v="15938808"/>
    <n v="11444175"/>
    <m/>
    <m/>
    <m/>
    <m/>
    <n v="0"/>
    <m/>
    <m/>
    <n v="0"/>
    <m/>
    <m/>
    <m/>
    <m/>
    <m/>
    <m/>
    <n v="15938808"/>
    <n v="11444175"/>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5273275"/>
    <n v="4672521"/>
    <m/>
    <m/>
    <n v="0"/>
    <m/>
    <m/>
    <n v="0"/>
    <m/>
    <m/>
    <m/>
    <m/>
    <m/>
    <m/>
    <n v="5273275"/>
    <n v="4672521"/>
  </r>
  <r>
    <x v="4"/>
    <x v="17"/>
    <s v="National or regional associations, compacts or consortia"/>
    <m/>
    <m/>
    <x v="12"/>
    <m/>
    <m/>
    <m/>
    <m/>
    <m/>
    <m/>
    <m/>
    <m/>
    <n v="0"/>
    <m/>
    <m/>
    <n v="0"/>
    <n v="0"/>
    <n v="0"/>
    <m/>
    <m/>
    <m/>
    <m/>
    <n v="0"/>
    <m/>
    <m/>
    <n v="0"/>
    <m/>
    <m/>
    <m/>
    <m/>
    <m/>
    <m/>
    <n v="0"/>
    <n v="0"/>
  </r>
  <r>
    <x v="4"/>
    <x v="17"/>
    <s v="SREB membership"/>
    <m/>
    <m/>
    <x v="12"/>
    <m/>
    <m/>
    <m/>
    <m/>
    <m/>
    <m/>
    <m/>
    <m/>
    <n v="0"/>
    <m/>
    <m/>
    <n v="0"/>
    <n v="0"/>
    <n v="0"/>
    <n v="103550"/>
    <n v="103550"/>
    <m/>
    <m/>
    <n v="0"/>
    <m/>
    <m/>
    <n v="0"/>
    <m/>
    <m/>
    <m/>
    <m/>
    <m/>
    <m/>
    <n v="103550"/>
    <n v="10355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364930"/>
    <n v="2393133"/>
    <m/>
    <m/>
    <n v="0"/>
    <m/>
    <m/>
    <n v="0"/>
    <m/>
    <m/>
    <m/>
    <m/>
    <m/>
    <m/>
    <n v="2364930"/>
    <n v="2393133"/>
  </r>
  <r>
    <x v="4"/>
    <x v="19"/>
    <s v="Mercer University (Medicine)"/>
    <m/>
    <m/>
    <x v="12"/>
    <m/>
    <m/>
    <m/>
    <m/>
    <m/>
    <m/>
    <m/>
    <m/>
    <n v="0"/>
    <m/>
    <m/>
    <n v="0"/>
    <n v="0"/>
    <n v="0"/>
    <n v="21616240"/>
    <n v="21615287"/>
    <m/>
    <m/>
    <n v="0"/>
    <m/>
    <m/>
    <n v="0"/>
    <m/>
    <m/>
    <m/>
    <m/>
    <m/>
    <m/>
    <n v="21616240"/>
    <n v="21615287"/>
  </r>
  <r>
    <x v="4"/>
    <x v="19"/>
    <s v="Morehouse School of Medicine"/>
    <m/>
    <m/>
    <x v="12"/>
    <m/>
    <m/>
    <m/>
    <m/>
    <m/>
    <m/>
    <m/>
    <m/>
    <n v="0"/>
    <m/>
    <m/>
    <n v="0"/>
    <n v="0"/>
    <n v="0"/>
    <n v="8885607"/>
    <n v="8122357"/>
    <m/>
    <m/>
    <n v="0"/>
    <m/>
    <m/>
    <n v="0"/>
    <m/>
    <m/>
    <m/>
    <m/>
    <m/>
    <m/>
    <n v="8885607"/>
    <n v="8122357"/>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16118"/>
    <n v="333600"/>
    <m/>
    <m/>
    <n v="0"/>
    <m/>
    <m/>
    <n v="0"/>
    <m/>
    <m/>
    <m/>
    <m/>
    <m/>
    <m/>
    <n v="316118"/>
    <n v="333600"/>
  </r>
  <r>
    <x v="4"/>
    <x v="21"/>
    <s v="Nova Southeastern University (Osteopathic Medicine)"/>
    <m/>
    <m/>
    <x v="12"/>
    <m/>
    <m/>
    <m/>
    <m/>
    <m/>
    <m/>
    <m/>
    <m/>
    <n v="0"/>
    <m/>
    <m/>
    <n v="0"/>
    <n v="0"/>
    <n v="0"/>
    <n v="67500"/>
    <n v="40500"/>
    <m/>
    <m/>
    <n v="0"/>
    <m/>
    <m/>
    <n v="0"/>
    <m/>
    <m/>
    <m/>
    <m/>
    <m/>
    <m/>
    <n v="67500"/>
    <n v="40500"/>
  </r>
  <r>
    <x v="4"/>
    <x v="22"/>
    <s v="SREB contract program with public colleges"/>
    <m/>
    <m/>
    <x v="12"/>
    <m/>
    <m/>
    <m/>
    <m/>
    <m/>
    <m/>
    <m/>
    <m/>
    <n v="0"/>
    <m/>
    <m/>
    <n v="0"/>
    <n v="0"/>
    <n v="0"/>
    <m/>
    <m/>
    <m/>
    <m/>
    <n v="0"/>
    <m/>
    <m/>
    <n v="0"/>
    <m/>
    <m/>
    <m/>
    <m/>
    <m/>
    <m/>
    <n v="0"/>
    <n v="0"/>
  </r>
  <r>
    <x v="4"/>
    <x v="22"/>
    <s v="University of Alabama at Birmingham (Medicine)"/>
    <m/>
    <m/>
    <x v="12"/>
    <m/>
    <m/>
    <m/>
    <m/>
    <m/>
    <m/>
    <m/>
    <m/>
    <n v="0"/>
    <m/>
    <m/>
    <n v="0"/>
    <n v="0"/>
    <n v="0"/>
    <n v="107617"/>
    <n v="125100"/>
    <m/>
    <m/>
    <n v="0"/>
    <m/>
    <m/>
    <n v="0"/>
    <m/>
    <m/>
    <m/>
    <m/>
    <m/>
    <m/>
    <n v="107617"/>
    <n v="125100"/>
  </r>
  <r>
    <x v="4"/>
    <x v="23"/>
    <s v="Other contracted programs (Med. Student Capitation Grants)"/>
    <m/>
    <m/>
    <x v="12"/>
    <m/>
    <m/>
    <m/>
    <m/>
    <m/>
    <m/>
    <m/>
    <m/>
    <n v="0"/>
    <m/>
    <m/>
    <n v="0"/>
    <n v="0"/>
    <n v="0"/>
    <m/>
    <m/>
    <m/>
    <m/>
    <n v="0"/>
    <m/>
    <m/>
    <n v="0"/>
    <m/>
    <m/>
    <m/>
    <m/>
    <m/>
    <m/>
    <n v="0"/>
    <n v="0"/>
  </r>
  <r>
    <x v="4"/>
    <x v="23"/>
    <s v="Mercer University (Medicine)"/>
    <m/>
    <m/>
    <x v="12"/>
    <m/>
    <m/>
    <m/>
    <m/>
    <m/>
    <m/>
    <m/>
    <m/>
    <n v="0"/>
    <m/>
    <m/>
    <n v="0"/>
    <n v="0"/>
    <n v="0"/>
    <n v="1637240"/>
    <n v="1473043"/>
    <m/>
    <m/>
    <n v="0"/>
    <m/>
    <m/>
    <n v="0"/>
    <m/>
    <m/>
    <m/>
    <m/>
    <m/>
    <m/>
    <n v="1637240"/>
    <n v="1473043"/>
  </r>
  <r>
    <x v="4"/>
    <x v="23"/>
    <s v="Morehouse School of Medicine"/>
    <m/>
    <m/>
    <x v="12"/>
    <m/>
    <m/>
    <m/>
    <m/>
    <m/>
    <m/>
    <m/>
    <m/>
    <n v="0"/>
    <m/>
    <m/>
    <n v="0"/>
    <n v="0"/>
    <n v="0"/>
    <n v="1038"/>
    <n v="299820"/>
    <m/>
    <m/>
    <n v="0"/>
    <m/>
    <m/>
    <n v="0"/>
    <m/>
    <m/>
    <m/>
    <m/>
    <m/>
    <m/>
    <n v="1038"/>
    <n v="299820"/>
  </r>
  <r>
    <x v="4"/>
    <x v="23"/>
    <s v="Emory University (Medicine)"/>
    <m/>
    <m/>
    <x v="12"/>
    <m/>
    <m/>
    <m/>
    <m/>
    <m/>
    <m/>
    <m/>
    <m/>
    <n v="0"/>
    <m/>
    <m/>
    <n v="0"/>
    <n v="0"/>
    <n v="0"/>
    <n v="882380"/>
    <n v="792641"/>
    <m/>
    <m/>
    <n v="0"/>
    <m/>
    <m/>
    <n v="0"/>
    <m/>
    <m/>
    <m/>
    <m/>
    <m/>
    <m/>
    <n v="882380"/>
    <n v="792641"/>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LEPD Grants"/>
    <m/>
    <m/>
    <x v="12"/>
    <m/>
    <m/>
    <m/>
    <m/>
    <m/>
    <m/>
    <m/>
    <m/>
    <n v="0"/>
    <m/>
    <m/>
    <n v="0"/>
    <n v="0"/>
    <n v="0"/>
    <n v="50911"/>
    <n v="0"/>
    <m/>
    <m/>
    <n v="0"/>
    <m/>
    <m/>
    <n v="0"/>
    <m/>
    <m/>
    <m/>
    <m/>
    <m/>
    <m/>
    <n v="50911"/>
    <n v="0"/>
  </r>
  <r>
    <x v="4"/>
    <x v="35"/>
    <s v="Need-based"/>
    <m/>
    <m/>
    <x v="12"/>
    <m/>
    <m/>
    <m/>
    <m/>
    <m/>
    <m/>
    <m/>
    <m/>
    <n v="0"/>
    <m/>
    <m/>
    <n v="0"/>
    <n v="0"/>
    <n v="0"/>
    <m/>
    <m/>
    <m/>
    <m/>
    <n v="0"/>
    <m/>
    <m/>
    <n v="0"/>
    <m/>
    <m/>
    <m/>
    <m/>
    <m/>
    <m/>
    <n v="0"/>
    <n v="0"/>
  </r>
  <r>
    <x v="4"/>
    <x v="36"/>
    <s v="Non need-based"/>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255850"/>
    <n v="306761"/>
    <m/>
    <m/>
    <n v="0"/>
    <m/>
    <m/>
    <n v="0"/>
    <m/>
    <m/>
    <m/>
    <m/>
    <m/>
    <m/>
    <n v="255850"/>
    <n v="30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Teacher Scholarships"/>
    <m/>
    <m/>
    <x v="12"/>
    <m/>
    <m/>
    <m/>
    <m/>
    <m/>
    <m/>
    <m/>
    <m/>
    <n v="0"/>
    <m/>
    <m/>
    <n v="0"/>
    <n v="0"/>
    <n v="0"/>
    <n v="5332698"/>
    <n v="0"/>
    <m/>
    <m/>
    <n v="0"/>
    <m/>
    <m/>
    <n v="0"/>
    <m/>
    <m/>
    <m/>
    <m/>
    <m/>
    <m/>
    <n v="5332698"/>
    <n v="0"/>
  </r>
  <r>
    <x v="4"/>
    <x v="35"/>
    <s v="Need-based"/>
    <m/>
    <m/>
    <x v="12"/>
    <m/>
    <m/>
    <m/>
    <m/>
    <m/>
    <m/>
    <m/>
    <m/>
    <n v="0"/>
    <m/>
    <m/>
    <n v="0"/>
    <n v="0"/>
    <n v="0"/>
    <m/>
    <m/>
    <m/>
    <m/>
    <n v="0"/>
    <m/>
    <m/>
    <n v="0"/>
    <m/>
    <m/>
    <m/>
    <m/>
    <m/>
    <m/>
    <n v="0"/>
    <n v="0"/>
  </r>
  <r>
    <x v="4"/>
    <x v="36"/>
    <s v="Non need-based"/>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Promise I &amp; II Scholarships"/>
    <m/>
    <m/>
    <x v="12"/>
    <m/>
    <m/>
    <m/>
    <m/>
    <m/>
    <m/>
    <m/>
    <m/>
    <n v="0"/>
    <m/>
    <m/>
    <n v="0"/>
    <n v="0"/>
    <n v="0"/>
    <n v="5855278"/>
    <n v="0"/>
    <m/>
    <m/>
    <n v="0"/>
    <m/>
    <m/>
    <n v="0"/>
    <m/>
    <m/>
    <m/>
    <m/>
    <m/>
    <m/>
    <n v="5855278"/>
    <n v="0"/>
  </r>
  <r>
    <x v="4"/>
    <x v="35"/>
    <s v="Need-based"/>
    <m/>
    <m/>
    <x v="12"/>
    <m/>
    <m/>
    <m/>
    <m/>
    <m/>
    <m/>
    <m/>
    <m/>
    <n v="0"/>
    <m/>
    <m/>
    <n v="0"/>
    <n v="0"/>
    <n v="0"/>
    <m/>
    <m/>
    <m/>
    <m/>
    <n v="0"/>
    <m/>
    <m/>
    <n v="0"/>
    <m/>
    <m/>
    <m/>
    <m/>
    <m/>
    <m/>
    <n v="0"/>
    <n v="0"/>
  </r>
  <r>
    <x v="4"/>
    <x v="36"/>
    <s v="Non need-based"/>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710000"/>
    <n v="550000"/>
    <m/>
    <m/>
    <n v="0"/>
    <m/>
    <m/>
    <n v="0"/>
    <m/>
    <m/>
    <m/>
    <m/>
    <m/>
    <m/>
    <n v="710000"/>
    <n v="55000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39062132"/>
    <n v="474575353"/>
    <m/>
    <m/>
    <n v="0"/>
    <m/>
    <m/>
    <n v="0"/>
    <m/>
    <m/>
    <m/>
    <m/>
    <m/>
    <m/>
    <n v="439062132"/>
    <n v="474575353"/>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228708"/>
    <n v="1228708"/>
    <m/>
    <m/>
    <n v="0"/>
    <m/>
    <m/>
    <n v="0"/>
    <m/>
    <m/>
    <m/>
    <m/>
    <m/>
    <m/>
    <n v="1228708"/>
    <n v="1228708"/>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45182629"/>
    <n v="59332133"/>
    <m/>
    <m/>
    <n v="0"/>
    <m/>
    <m/>
    <n v="0"/>
    <m/>
    <m/>
    <m/>
    <m/>
    <m/>
    <m/>
    <n v="45182629"/>
    <n v="59332133"/>
  </r>
  <r>
    <x v="4"/>
    <x v="0"/>
    <s v="Albany Technical College"/>
    <m/>
    <n v="138682"/>
    <x v="9"/>
    <n v="9045304"/>
    <n v="8917866"/>
    <m/>
    <m/>
    <m/>
    <m/>
    <n v="7164599.4840000002"/>
    <m/>
    <n v="7164599.4840000002"/>
    <n v="9296663.1899999995"/>
    <m/>
    <n v="9296663.1899999995"/>
    <n v="16209903.484000001"/>
    <n v="18214529.189999998"/>
    <m/>
    <m/>
    <m/>
    <m/>
    <n v="0"/>
    <m/>
    <m/>
    <n v="0"/>
    <m/>
    <m/>
    <m/>
    <m/>
    <m/>
    <m/>
    <n v="16209903.484000001"/>
    <n v="18214529.189999998"/>
  </r>
  <r>
    <x v="4"/>
    <x v="0"/>
    <s v="Athens Technical College"/>
    <m/>
    <n v="246813"/>
    <x v="9"/>
    <n v="10196204"/>
    <n v="10078323"/>
    <m/>
    <m/>
    <m/>
    <m/>
    <n v="9570830.1719999984"/>
    <m/>
    <n v="9570830.1719999984"/>
    <n v="10763240.85"/>
    <m/>
    <n v="10763240.85"/>
    <n v="19767034.171999998"/>
    <n v="20841563.850000001"/>
    <m/>
    <m/>
    <m/>
    <m/>
    <n v="0"/>
    <m/>
    <m/>
    <n v="0"/>
    <m/>
    <m/>
    <m/>
    <m/>
    <m/>
    <m/>
    <n v="19767034.171999998"/>
    <n v="20841563.850000001"/>
  </r>
  <r>
    <x v="4"/>
    <x v="0"/>
    <s v="Atlanta Technical College"/>
    <m/>
    <n v="138840"/>
    <x v="9"/>
    <n v="12412529"/>
    <n v="11937033"/>
    <m/>
    <m/>
    <m/>
    <m/>
    <n v="9847256.5559999999"/>
    <m/>
    <n v="9847256.5559999999"/>
    <n v="12202878.02"/>
    <m/>
    <n v="12202878.02"/>
    <n v="22259785.556000002"/>
    <n v="24139911.02"/>
    <m/>
    <m/>
    <m/>
    <m/>
    <n v="0"/>
    <m/>
    <m/>
    <n v="0"/>
    <m/>
    <m/>
    <m/>
    <m/>
    <m/>
    <m/>
    <n v="22259785.556000002"/>
    <n v="24139911.02"/>
  </r>
  <r>
    <x v="4"/>
    <x v="0"/>
    <s v="Augusta Technical College"/>
    <m/>
    <n v="138956"/>
    <x v="9"/>
    <n v="14443683"/>
    <n v="13571143"/>
    <m/>
    <m/>
    <m/>
    <m/>
    <n v="9551529.3479999993"/>
    <m/>
    <n v="9551529.3479999993"/>
    <n v="9381545.9800000004"/>
    <m/>
    <n v="9381545.9800000004"/>
    <n v="23995212.347999997"/>
    <n v="22952688.98"/>
    <m/>
    <m/>
    <m/>
    <m/>
    <n v="0"/>
    <m/>
    <m/>
    <n v="0"/>
    <m/>
    <m/>
    <m/>
    <m/>
    <m/>
    <m/>
    <n v="23995212.347999997"/>
    <n v="22952688.98"/>
  </r>
  <r>
    <x v="4"/>
    <x v="0"/>
    <s v="Central Georgia Technical College"/>
    <m/>
    <n v="140304"/>
    <x v="9"/>
    <n v="13491080"/>
    <n v="13104791"/>
    <m/>
    <m/>
    <m/>
    <m/>
    <n v="12775567.716"/>
    <m/>
    <n v="12775567.716"/>
    <n v="13684650.939999999"/>
    <m/>
    <n v="13684650.939999999"/>
    <n v="26266647.715999998"/>
    <n v="26789441.939999998"/>
    <m/>
    <m/>
    <m/>
    <m/>
    <n v="0"/>
    <m/>
    <m/>
    <n v="0"/>
    <m/>
    <m/>
    <m/>
    <m/>
    <m/>
    <m/>
    <n v="26266647.715999998"/>
    <n v="26789441.939999998"/>
  </r>
  <r>
    <x v="4"/>
    <x v="0"/>
    <s v="Chattahoochee Technical College"/>
    <m/>
    <n v="140331"/>
    <x v="9"/>
    <n v="19687098"/>
    <n v="19324737"/>
    <m/>
    <m/>
    <m/>
    <m/>
    <n v="23210839.439999998"/>
    <m/>
    <n v="23210839.439999998"/>
    <n v="25557810.539999999"/>
    <m/>
    <n v="25557810.539999999"/>
    <n v="42897937.439999998"/>
    <n v="44882547.539999999"/>
    <m/>
    <m/>
    <m/>
    <m/>
    <n v="0"/>
    <m/>
    <m/>
    <n v="0"/>
    <m/>
    <m/>
    <m/>
    <m/>
    <m/>
    <m/>
    <n v="42897937.439999998"/>
    <n v="44882547.539999999"/>
  </r>
  <r>
    <x v="4"/>
    <x v="0"/>
    <s v="Columbus Technical College"/>
    <m/>
    <n v="139357"/>
    <x v="9"/>
    <n v="9715856"/>
    <n v="9978540"/>
    <m/>
    <m/>
    <m/>
    <m/>
    <n v="8228041.2359999996"/>
    <m/>
    <n v="8228041.2359999996"/>
    <n v="8289678.1100000003"/>
    <m/>
    <n v="8289678.1100000003"/>
    <n v="17943897.236000001"/>
    <n v="18268218.109999999"/>
    <m/>
    <m/>
    <m/>
    <m/>
    <n v="0"/>
    <m/>
    <m/>
    <n v="0"/>
    <m/>
    <m/>
    <m/>
    <m/>
    <m/>
    <m/>
    <n v="17943897.236000001"/>
    <n v="18268218.109999999"/>
  </r>
  <r>
    <x v="4"/>
    <x v="0"/>
    <s v="DeKalb Technical College"/>
    <m/>
    <n v="244446"/>
    <x v="9"/>
    <n v="15392458"/>
    <n v="14114140"/>
    <m/>
    <m/>
    <m/>
    <m/>
    <n v="12343585.02"/>
    <m/>
    <n v="12343585.02"/>
    <n v="13178255.949999999"/>
    <m/>
    <n v="13178255.949999999"/>
    <n v="27736043.02"/>
    <n v="27292395.949999999"/>
    <m/>
    <m/>
    <m/>
    <m/>
    <n v="0"/>
    <m/>
    <m/>
    <n v="0"/>
    <m/>
    <m/>
    <m/>
    <m/>
    <m/>
    <m/>
    <n v="27736043.02"/>
    <n v="27292395.949999999"/>
  </r>
  <r>
    <x v="4"/>
    <x v="0"/>
    <s v="Georgia Northwestern Technical College"/>
    <m/>
    <n v="139384"/>
    <x v="9"/>
    <n v="15308299"/>
    <n v="14766799"/>
    <m/>
    <m/>
    <m/>
    <m/>
    <n v="10704549.575999999"/>
    <m/>
    <n v="10704549.575999999"/>
    <n v="14957776.82"/>
    <m/>
    <n v="14957776.82"/>
    <n v="26012848.575999998"/>
    <n v="29724575.82"/>
    <m/>
    <m/>
    <m/>
    <m/>
    <n v="0"/>
    <m/>
    <m/>
    <n v="0"/>
    <m/>
    <m/>
    <m/>
    <m/>
    <m/>
    <m/>
    <n v="26012848.575999998"/>
    <n v="29724575.82"/>
  </r>
  <r>
    <x v="4"/>
    <x v="0"/>
    <s v="Flint River Technical College"/>
    <m/>
    <n v="248794"/>
    <x v="10"/>
    <n v="3925940.37"/>
    <n v="0"/>
    <m/>
    <m/>
    <m/>
    <m/>
    <n v="3161121.4920000001"/>
    <m/>
    <n v="3161121.4920000001"/>
    <n v="0"/>
    <m/>
    <n v="0"/>
    <n v="7087061.8619999997"/>
    <n v="0"/>
    <m/>
    <m/>
    <m/>
    <m/>
    <n v="0"/>
    <m/>
    <m/>
    <n v="0"/>
    <m/>
    <m/>
    <m/>
    <m/>
    <m/>
    <m/>
    <n v="7087061.8619999997"/>
    <n v="0"/>
  </r>
  <r>
    <x v="4"/>
    <x v="0"/>
    <s v="Griffin Technical College  "/>
    <m/>
    <n v="139986"/>
    <x v="9"/>
    <n v="7970848.6300000008"/>
    <m/>
    <m/>
    <m/>
    <m/>
    <m/>
    <n v="9636619.5120000001"/>
    <m/>
    <n v="9636619.5120000001"/>
    <m/>
    <m/>
    <n v="0"/>
    <n v="17607468.142000001"/>
    <n v="0"/>
    <m/>
    <m/>
    <m/>
    <m/>
    <n v="0"/>
    <m/>
    <m/>
    <n v="0"/>
    <m/>
    <m/>
    <m/>
    <m/>
    <m/>
    <m/>
    <n v="17607468.142000001"/>
    <n v="0"/>
  </r>
  <r>
    <x v="4"/>
    <x v="0"/>
    <s v="Southern Crescent Technical College"/>
    <s v="Is the merger of Flint River Tech. Col. and Griffin Tech.l Col."/>
    <n v="139986"/>
    <x v="9"/>
    <n v="11896789"/>
    <n v="11746670"/>
    <m/>
    <m/>
    <m/>
    <m/>
    <n v="12797741.004000001"/>
    <m/>
    <n v="12797741.004000001"/>
    <n v="13417758.15"/>
    <m/>
    <n v="13417758.15"/>
    <n v="24694530.004000001"/>
    <n v="25164428.149999999"/>
    <m/>
    <m/>
    <m/>
    <m/>
    <n v="0"/>
    <m/>
    <m/>
    <n v="0"/>
    <m/>
    <m/>
    <m/>
    <m/>
    <m/>
    <m/>
    <n v="24694530.004000001"/>
    <n v="25164428.149999999"/>
  </r>
  <r>
    <x v="4"/>
    <x v="0"/>
    <s v="Gwinnett Technical College"/>
    <m/>
    <n v="140012"/>
    <x v="9"/>
    <n v="13513326"/>
    <n v="13045589"/>
    <m/>
    <m/>
    <m/>
    <m/>
    <n v="16547321.088"/>
    <m/>
    <n v="16547321.088"/>
    <n v="17903490.710000001"/>
    <m/>
    <n v="17903490.710000001"/>
    <n v="30060647.088"/>
    <n v="30949079.710000001"/>
    <m/>
    <m/>
    <m/>
    <m/>
    <n v="0"/>
    <m/>
    <m/>
    <n v="0"/>
    <m/>
    <m/>
    <m/>
    <m/>
    <m/>
    <m/>
    <n v="30060647.088"/>
    <n v="30949079.710000001"/>
  </r>
  <r>
    <x v="4"/>
    <x v="0"/>
    <s v="Heart of Georgia Technical College"/>
    <m/>
    <n v="140076"/>
    <x v="9"/>
    <n v="5786894"/>
    <n v="5347045"/>
    <m/>
    <m/>
    <m/>
    <m/>
    <n v="4572750.0359999994"/>
    <m/>
    <n v="4572750.0359999994"/>
    <n v="4437957.16"/>
    <m/>
    <n v="4437957.16"/>
    <n v="10359644.035999998"/>
    <n v="9785002.1600000001"/>
    <m/>
    <m/>
    <m/>
    <m/>
    <n v="0"/>
    <m/>
    <m/>
    <n v="0"/>
    <m/>
    <m/>
    <m/>
    <m/>
    <m/>
    <m/>
    <n v="10359644.035999998"/>
    <n v="9785002.1600000001"/>
  </r>
  <r>
    <x v="4"/>
    <x v="0"/>
    <s v="Lanier Technical College"/>
    <m/>
    <n v="140243"/>
    <x v="9"/>
    <n v="8919790"/>
    <n v="8756500"/>
    <m/>
    <m/>
    <m/>
    <m/>
    <n v="7489078.919999999"/>
    <m/>
    <n v="7489078.919999999"/>
    <n v="8194933.5700000003"/>
    <m/>
    <n v="8194933.5700000003"/>
    <n v="16408868.919999998"/>
    <n v="16951433.57"/>
    <m/>
    <m/>
    <m/>
    <m/>
    <n v="0"/>
    <m/>
    <m/>
    <n v="0"/>
    <m/>
    <m/>
    <m/>
    <m/>
    <m/>
    <m/>
    <n v="16408868.919999998"/>
    <n v="16951433.57"/>
  </r>
  <r>
    <x v="4"/>
    <x v="0"/>
    <s v="Middle Georgia Technical College"/>
    <m/>
    <n v="140085"/>
    <x v="9"/>
    <n v="7863667"/>
    <n v="7802339"/>
    <m/>
    <m/>
    <m/>
    <m/>
    <n v="5565976.3679999998"/>
    <m/>
    <n v="5565976.3679999998"/>
    <n v="7258815.5499999998"/>
    <m/>
    <n v="7258815.5499999998"/>
    <n v="13429643.368000001"/>
    <n v="15061154.550000001"/>
    <m/>
    <m/>
    <m/>
    <m/>
    <n v="0"/>
    <m/>
    <m/>
    <n v="0"/>
    <m/>
    <m/>
    <m/>
    <m/>
    <m/>
    <m/>
    <n v="13429643.368000001"/>
    <n v="15061154.550000001"/>
  </r>
  <r>
    <x v="4"/>
    <x v="0"/>
    <s v="Moultrie Technical College"/>
    <m/>
    <n v="140599"/>
    <x v="9"/>
    <n v="7341981"/>
    <n v="7025145"/>
    <m/>
    <m/>
    <m/>
    <m/>
    <n v="5469754.8599999994"/>
    <m/>
    <n v="5469754.8599999994"/>
    <n v="5617623.5599999996"/>
    <m/>
    <n v="5617623.5599999996"/>
    <n v="12811735.859999999"/>
    <n v="12642768.559999999"/>
    <m/>
    <m/>
    <m/>
    <m/>
    <n v="0"/>
    <m/>
    <m/>
    <n v="0"/>
    <m/>
    <m/>
    <m/>
    <m/>
    <m/>
    <m/>
    <n v="12811735.859999999"/>
    <n v="12642768.559999999"/>
  </r>
  <r>
    <x v="4"/>
    <x v="0"/>
    <s v="North Georgia Technical College"/>
    <m/>
    <n v="140678"/>
    <x v="9"/>
    <n v="8775387"/>
    <n v="8349968"/>
    <m/>
    <m/>
    <m/>
    <m/>
    <n v="8042216.879999999"/>
    <m/>
    <n v="8042216.879999999"/>
    <n v="9043705.2200000007"/>
    <m/>
    <n v="9043705.2200000007"/>
    <n v="16817603.879999999"/>
    <n v="17393673.219999999"/>
    <m/>
    <m/>
    <m/>
    <m/>
    <n v="0"/>
    <m/>
    <m/>
    <n v="0"/>
    <m/>
    <m/>
    <m/>
    <m/>
    <m/>
    <m/>
    <n v="16817603.879999999"/>
    <n v="17393673.219999999"/>
  </r>
  <r>
    <x v="4"/>
    <x v="0"/>
    <s v="Ogeechee Technical College"/>
    <m/>
    <n v="366465"/>
    <x v="9"/>
    <n v="6965004"/>
    <n v="6679865"/>
    <m/>
    <m/>
    <m/>
    <m/>
    <n v="5194777.067999999"/>
    <m/>
    <n v="5194777.067999999"/>
    <n v="5953320.9199999999"/>
    <m/>
    <n v="5953320.9199999999"/>
    <n v="12159781.068"/>
    <n v="12633185.92"/>
    <m/>
    <m/>
    <m/>
    <m/>
    <n v="0"/>
    <m/>
    <m/>
    <n v="0"/>
    <m/>
    <m/>
    <m/>
    <m/>
    <m/>
    <m/>
    <n v="12159781.068"/>
    <n v="12633185.92"/>
  </r>
  <r>
    <x v="4"/>
    <x v="0"/>
    <s v="Okefenokee Technical College"/>
    <m/>
    <n v="248776"/>
    <x v="9"/>
    <n v="5300674"/>
    <n v="5039536"/>
    <m/>
    <m/>
    <m/>
    <m/>
    <n v="3759164.6159999999"/>
    <m/>
    <n v="3759164.6159999999"/>
    <n v="3831415.47"/>
    <m/>
    <n v="3831415.47"/>
    <n v="9059838.6160000004"/>
    <n v="8870951.4700000007"/>
    <m/>
    <m/>
    <m/>
    <m/>
    <n v="0"/>
    <m/>
    <m/>
    <n v="0"/>
    <m/>
    <m/>
    <m/>
    <m/>
    <m/>
    <m/>
    <n v="9059838.6160000004"/>
    <n v="8870951.4700000007"/>
  </r>
  <r>
    <x v="4"/>
    <x v="0"/>
    <s v="Savannah Technical College"/>
    <m/>
    <n v="140942"/>
    <x v="9"/>
    <n v="10468639"/>
    <n v="10927359"/>
    <m/>
    <m/>
    <m/>
    <m/>
    <n v="15568178.76"/>
    <m/>
    <n v="15568178.76"/>
    <n v="16531210.189999999"/>
    <m/>
    <n v="16531210.189999999"/>
    <n v="26036817.759999998"/>
    <n v="27458569.189999998"/>
    <m/>
    <m/>
    <m/>
    <m/>
    <n v="0"/>
    <m/>
    <m/>
    <n v="0"/>
    <m/>
    <m/>
    <m/>
    <m/>
    <m/>
    <m/>
    <n v="26036817.759999998"/>
    <n v="27458569.189999998"/>
  </r>
  <r>
    <x v="4"/>
    <x v="0"/>
    <s v="South Georgia Technical College"/>
    <m/>
    <n v="141006"/>
    <x v="9"/>
    <n v="8558554"/>
    <n v="8082834"/>
    <m/>
    <m/>
    <m/>
    <m/>
    <n v="5654726.892"/>
    <m/>
    <n v="5654726.892"/>
    <n v="6457365.3099999996"/>
    <m/>
    <n v="6457365.3099999996"/>
    <n v="14213280.892000001"/>
    <n v="14540199.309999999"/>
    <m/>
    <m/>
    <m/>
    <m/>
    <n v="0"/>
    <m/>
    <m/>
    <n v="0"/>
    <m/>
    <m/>
    <m/>
    <m/>
    <m/>
    <m/>
    <n v="14213280.892000001"/>
    <n v="14540199.309999999"/>
  </r>
  <r>
    <x v="4"/>
    <x v="0"/>
    <s v="Southeastern Technical College"/>
    <m/>
    <n v="368911"/>
    <x v="9"/>
    <n v="9416943"/>
    <n v="8445121"/>
    <m/>
    <m/>
    <m/>
    <m/>
    <n v="4288734.1919999998"/>
    <m/>
    <n v="4288734.1919999998"/>
    <n v="4493050.78"/>
    <m/>
    <n v="4493050.78"/>
    <n v="13705677.192"/>
    <n v="12938171.780000001"/>
    <m/>
    <m/>
    <m/>
    <m/>
    <n v="0"/>
    <m/>
    <m/>
    <n v="0"/>
    <m/>
    <m/>
    <m/>
    <m/>
    <m/>
    <m/>
    <n v="13705677.192"/>
    <n v="12938171.780000001"/>
  </r>
  <r>
    <x v="4"/>
    <x v="0"/>
    <s v="Southwest Georgia Technical College"/>
    <m/>
    <n v="141158"/>
    <x v="9"/>
    <n v="6985171"/>
    <n v="6779860"/>
    <m/>
    <m/>
    <m/>
    <m/>
    <n v="3862211.04"/>
    <m/>
    <n v="3862211.04"/>
    <n v="3956059.49"/>
    <m/>
    <n v="3956059.49"/>
    <n v="10847382.039999999"/>
    <n v="10735919.49"/>
    <m/>
    <m/>
    <m/>
    <m/>
    <n v="0"/>
    <m/>
    <m/>
    <n v="0"/>
    <m/>
    <m/>
    <m/>
    <m/>
    <m/>
    <m/>
    <n v="10847382.039999999"/>
    <n v="10735919.49"/>
  </r>
  <r>
    <x v="4"/>
    <x v="0"/>
    <s v="East Central Technical College"/>
    <m/>
    <n v="139126"/>
    <x v="9"/>
    <n v="5864832"/>
    <n v="0"/>
    <m/>
    <m/>
    <m/>
    <m/>
    <n v="3871117.4160000002"/>
    <m/>
    <n v="3871117.4160000002"/>
    <n v="0"/>
    <m/>
    <n v="0"/>
    <n v="9735949.4160000011"/>
    <n v="0"/>
    <m/>
    <m/>
    <m/>
    <m/>
    <n v="0"/>
    <m/>
    <m/>
    <n v="0"/>
    <m/>
    <m/>
    <m/>
    <m/>
    <m/>
    <m/>
    <n v="9735949.4160000011"/>
    <n v="0"/>
  </r>
  <r>
    <x v="4"/>
    <x v="0"/>
    <s v="Valdosta Technical College  "/>
    <m/>
    <n v="141255"/>
    <x v="9"/>
    <n v="7415756"/>
    <m/>
    <m/>
    <m/>
    <m/>
    <m/>
    <n v="6611451.3599999994"/>
    <m/>
    <n v="6611451.3599999994"/>
    <m/>
    <m/>
    <n v="0"/>
    <n v="14027207.359999999"/>
    <n v="0"/>
    <m/>
    <m/>
    <m/>
    <m/>
    <n v="0"/>
    <m/>
    <m/>
    <n v="0"/>
    <m/>
    <m/>
    <m/>
    <m/>
    <m/>
    <m/>
    <n v="14027207.359999999"/>
    <n v="0"/>
  </r>
  <r>
    <x v="4"/>
    <x v="0"/>
    <s v="Wiregrass Georgia Technical College"/>
    <s v="Is the merger of East Central Tech. Col. and Valdosta Tech. Col."/>
    <n v="141255"/>
    <x v="9"/>
    <n v="13280588"/>
    <n v="12541592"/>
    <m/>
    <m/>
    <m/>
    <m/>
    <n v="10482568.776000001"/>
    <m/>
    <n v="10482568.776000001"/>
    <n v="12775530.380000001"/>
    <m/>
    <n v="12775530.380000001"/>
    <n v="23763156.776000001"/>
    <n v="25317122.380000003"/>
    <m/>
    <m/>
    <m/>
    <m/>
    <n v="0"/>
    <m/>
    <m/>
    <n v="0"/>
    <m/>
    <m/>
    <m/>
    <m/>
    <m/>
    <m/>
    <n v="23763156.776000001"/>
    <n v="25317122.380000003"/>
  </r>
  <r>
    <x v="4"/>
    <x v="0"/>
    <s v="West Georgia Technical College"/>
    <m/>
    <n v="139278"/>
    <x v="9"/>
    <n v="16008338"/>
    <n v="15566167"/>
    <m/>
    <m/>
    <m/>
    <m/>
    <n v="14465361.696"/>
    <m/>
    <n v="14465361.696"/>
    <n v="14646012.85"/>
    <m/>
    <n v="14646012.85"/>
    <n v="30473699.696000002"/>
    <n v="30212179.850000001"/>
    <m/>
    <m/>
    <m/>
    <m/>
    <n v="0"/>
    <m/>
    <m/>
    <n v="0"/>
    <m/>
    <m/>
    <m/>
    <m/>
    <m/>
    <m/>
    <n v="30473699.696000002"/>
    <n v="30212179.850000001"/>
  </r>
  <r>
    <x v="4"/>
    <x v="0"/>
    <s v="Altamaha Technical College"/>
    <s v="Reclassified: met criteria for Technical Institute or College 1 in 2008-09, 2009-10 and 2010-11."/>
    <n v="366447"/>
    <x v="9"/>
    <n v="7685336"/>
    <n v="6895151"/>
    <m/>
    <m/>
    <m/>
    <m/>
    <n v="2167068.8879999998"/>
    <m/>
    <n v="2167068.8879999998"/>
    <n v="3459783.85"/>
    <m/>
    <n v="3459783.85"/>
    <n v="9852404.8880000003"/>
    <n v="10354934.85"/>
    <m/>
    <m/>
    <m/>
    <m/>
    <n v="0"/>
    <m/>
    <m/>
    <n v="0"/>
    <m/>
    <m/>
    <m/>
    <m/>
    <m/>
    <m/>
    <n v="9852404.8880000003"/>
    <n v="10354934.85"/>
  </r>
  <r>
    <x v="4"/>
    <x v="0"/>
    <s v="Sandersville Technical College"/>
    <m/>
    <n v="420431"/>
    <x v="10"/>
    <n v="3887349"/>
    <n v="3555448"/>
    <m/>
    <m/>
    <m/>
    <m/>
    <n v="2423990.8080000002"/>
    <m/>
    <n v="2423990.8080000002"/>
    <n v="2664655.12"/>
    <m/>
    <n v="2664655.12"/>
    <n v="6311339.8080000002"/>
    <n v="6220103.1200000001"/>
    <m/>
    <m/>
    <m/>
    <m/>
    <n v="0"/>
    <m/>
    <m/>
    <n v="0"/>
    <m/>
    <m/>
    <m/>
    <m/>
    <m/>
    <m/>
    <n v="6311339.8080000002"/>
    <n v="6220103.1200000001"/>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2070395"/>
    <n v="1702422"/>
    <m/>
    <m/>
    <m/>
    <m/>
    <n v="0"/>
    <m/>
    <m/>
    <n v="0"/>
    <n v="2070395"/>
    <n v="1702422"/>
    <m/>
    <m/>
    <m/>
    <m/>
    <n v="0"/>
    <m/>
    <m/>
    <n v="0"/>
    <m/>
    <m/>
    <m/>
    <m/>
    <m/>
    <m/>
    <n v="2070395"/>
    <n v="1702422"/>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9220999"/>
    <n v="13825432"/>
    <m/>
    <m/>
    <n v="0"/>
    <m/>
    <m/>
    <n v="0"/>
    <m/>
    <m/>
    <m/>
    <m/>
    <m/>
    <m/>
    <n v="19220999"/>
    <n v="13825432"/>
  </r>
  <r>
    <x v="5"/>
    <x v="0"/>
    <s v="University of Kentucky"/>
    <m/>
    <n v="157085"/>
    <x v="0"/>
    <n v="150416058"/>
    <n v="157456233"/>
    <m/>
    <m/>
    <m/>
    <m/>
    <n v="253126364"/>
    <m/>
    <n v="253126364"/>
    <n v="268087635"/>
    <m/>
    <n v="268087635"/>
    <n v="403542422"/>
    <n v="425543868"/>
    <m/>
    <m/>
    <m/>
    <m/>
    <n v="0"/>
    <m/>
    <m/>
    <n v="0"/>
    <m/>
    <m/>
    <m/>
    <m/>
    <m/>
    <m/>
    <n v="403542422"/>
    <n v="425543868"/>
  </r>
  <r>
    <x v="5"/>
    <x v="1"/>
    <s v="Medical School"/>
    <m/>
    <n v="157085"/>
    <x v="0"/>
    <m/>
    <m/>
    <m/>
    <m/>
    <m/>
    <m/>
    <m/>
    <m/>
    <n v="0"/>
    <m/>
    <m/>
    <n v="0"/>
    <n v="0"/>
    <n v="0"/>
    <m/>
    <m/>
    <m/>
    <m/>
    <n v="0"/>
    <m/>
    <m/>
    <n v="0"/>
    <n v="59602200"/>
    <n v="57455400"/>
    <n v="19334336"/>
    <m/>
    <n v="21049865"/>
    <m/>
    <n v="78936536"/>
    <n v="78505265"/>
  </r>
  <r>
    <x v="5"/>
    <x v="3"/>
    <s v="Public Service Units"/>
    <m/>
    <n v="157085"/>
    <x v="0"/>
    <m/>
    <m/>
    <m/>
    <m/>
    <m/>
    <m/>
    <m/>
    <m/>
    <n v="0"/>
    <m/>
    <m/>
    <n v="0"/>
    <n v="0"/>
    <n v="0"/>
    <m/>
    <m/>
    <m/>
    <m/>
    <n v="0"/>
    <m/>
    <m/>
    <n v="0"/>
    <m/>
    <m/>
    <m/>
    <m/>
    <m/>
    <m/>
    <n v="0"/>
    <n v="0"/>
  </r>
  <r>
    <x v="5"/>
    <x v="3"/>
    <s v="Livestock Disease Diagnostic Laboratory"/>
    <m/>
    <n v="157085"/>
    <x v="0"/>
    <m/>
    <m/>
    <n v="3332300"/>
    <n v="3344500"/>
    <m/>
    <m/>
    <m/>
    <m/>
    <n v="0"/>
    <m/>
    <m/>
    <n v="0"/>
    <n v="3332300"/>
    <n v="3344500"/>
    <m/>
    <m/>
    <m/>
    <m/>
    <n v="0"/>
    <m/>
    <m/>
    <n v="0"/>
    <m/>
    <m/>
    <m/>
    <m/>
    <m/>
    <m/>
    <n v="3332300"/>
    <n v="3344500"/>
  </r>
  <r>
    <x v="5"/>
    <x v="3"/>
    <s v="Agriculture Public Service"/>
    <m/>
    <n v="157085"/>
    <x v="0"/>
    <m/>
    <m/>
    <n v="1902800"/>
    <n v="2057400"/>
    <m/>
    <m/>
    <m/>
    <m/>
    <n v="0"/>
    <m/>
    <m/>
    <n v="0"/>
    <n v="1902800"/>
    <n v="2057400"/>
    <m/>
    <m/>
    <m/>
    <m/>
    <n v="0"/>
    <m/>
    <m/>
    <n v="0"/>
    <m/>
    <m/>
    <m/>
    <m/>
    <m/>
    <m/>
    <n v="1902800"/>
    <n v="2057400"/>
  </r>
  <r>
    <x v="5"/>
    <x v="3"/>
    <s v="Kentucky Geological Survey"/>
    <m/>
    <n v="157085"/>
    <x v="0"/>
    <m/>
    <m/>
    <n v="4103900"/>
    <n v="4077800"/>
    <m/>
    <m/>
    <m/>
    <m/>
    <n v="0"/>
    <m/>
    <m/>
    <n v="0"/>
    <n v="4103900"/>
    <n v="4077800"/>
    <m/>
    <m/>
    <m/>
    <m/>
    <n v="0"/>
    <m/>
    <m/>
    <n v="0"/>
    <m/>
    <m/>
    <m/>
    <m/>
    <m/>
    <m/>
    <n v="4103900"/>
    <n v="4077800"/>
  </r>
  <r>
    <x v="5"/>
    <x v="3"/>
    <s v="University Press"/>
    <m/>
    <n v="157085"/>
    <x v="0"/>
    <m/>
    <m/>
    <n v="633300"/>
    <n v="633000"/>
    <m/>
    <m/>
    <m/>
    <m/>
    <n v="0"/>
    <m/>
    <m/>
    <n v="0"/>
    <n v="633300"/>
    <n v="633000"/>
    <m/>
    <m/>
    <m/>
    <m/>
    <n v="0"/>
    <m/>
    <m/>
    <n v="0"/>
    <m/>
    <m/>
    <m/>
    <m/>
    <m/>
    <m/>
    <n v="633300"/>
    <n v="633000"/>
  </r>
  <r>
    <x v="5"/>
    <x v="3"/>
    <s v="Japanese Saturday School"/>
    <m/>
    <n v="157085"/>
    <x v="0"/>
    <m/>
    <m/>
    <n v="292600"/>
    <n v="283800"/>
    <m/>
    <m/>
    <m/>
    <m/>
    <n v="0"/>
    <m/>
    <m/>
    <n v="0"/>
    <n v="292600"/>
    <n v="283800"/>
    <m/>
    <m/>
    <m/>
    <m/>
    <n v="0"/>
    <m/>
    <m/>
    <n v="0"/>
    <m/>
    <m/>
    <m/>
    <m/>
    <m/>
    <m/>
    <n v="292600"/>
    <n v="283800"/>
  </r>
  <r>
    <x v="5"/>
    <x v="3"/>
    <s v="Rural Health Care"/>
    <m/>
    <n v="157085"/>
    <x v="0"/>
    <m/>
    <m/>
    <n v="116800"/>
    <n v="106000"/>
    <m/>
    <m/>
    <m/>
    <m/>
    <n v="0"/>
    <m/>
    <m/>
    <n v="0"/>
    <n v="116800"/>
    <n v="106000"/>
    <m/>
    <m/>
    <m/>
    <m/>
    <n v="0"/>
    <m/>
    <m/>
    <n v="0"/>
    <m/>
    <m/>
    <m/>
    <m/>
    <m/>
    <m/>
    <n v="116800"/>
    <n v="106000"/>
  </r>
  <r>
    <x v="5"/>
    <x v="5"/>
    <s v="Agricultural cooperative extension"/>
    <m/>
    <n v="157085"/>
    <x v="0"/>
    <m/>
    <m/>
    <n v="33748100"/>
    <n v="33731800"/>
    <m/>
    <m/>
    <m/>
    <m/>
    <n v="0"/>
    <m/>
    <m/>
    <n v="0"/>
    <n v="33748100"/>
    <n v="33731800"/>
    <m/>
    <m/>
    <m/>
    <m/>
    <n v="0"/>
    <m/>
    <m/>
    <n v="0"/>
    <m/>
    <m/>
    <m/>
    <m/>
    <m/>
    <m/>
    <n v="33748100"/>
    <n v="33731800"/>
  </r>
  <r>
    <x v="5"/>
    <x v="5"/>
    <s v="Agricultural experiment stations"/>
    <m/>
    <n v="157085"/>
    <x v="0"/>
    <m/>
    <m/>
    <n v="29018600"/>
    <n v="29878900"/>
    <m/>
    <m/>
    <m/>
    <m/>
    <n v="0"/>
    <m/>
    <m/>
    <n v="0"/>
    <n v="29018600"/>
    <n v="29878900"/>
    <m/>
    <m/>
    <m/>
    <m/>
    <n v="0"/>
    <m/>
    <m/>
    <n v="0"/>
    <m/>
    <m/>
    <m/>
    <m/>
    <m/>
    <m/>
    <n v="29018600"/>
    <n v="29878900"/>
  </r>
  <r>
    <x v="5"/>
    <x v="7"/>
    <s v="Research centers/institutes"/>
    <m/>
    <n v="157085"/>
    <x v="0"/>
    <m/>
    <m/>
    <m/>
    <m/>
    <m/>
    <m/>
    <m/>
    <m/>
    <n v="0"/>
    <m/>
    <m/>
    <n v="0"/>
    <n v="0"/>
    <n v="0"/>
    <m/>
    <m/>
    <m/>
    <m/>
    <n v="0"/>
    <m/>
    <m/>
    <n v="0"/>
    <m/>
    <m/>
    <m/>
    <m/>
    <m/>
    <m/>
    <n v="0"/>
    <n v="0"/>
  </r>
  <r>
    <x v="5"/>
    <x v="7"/>
    <s v="Center for Applied Energy Research"/>
    <m/>
    <n v="157085"/>
    <x v="0"/>
    <m/>
    <m/>
    <n v="4633700"/>
    <n v="4512000"/>
    <m/>
    <m/>
    <m/>
    <m/>
    <n v="0"/>
    <m/>
    <m/>
    <n v="0"/>
    <n v="4633700"/>
    <n v="4512000"/>
    <m/>
    <m/>
    <m/>
    <m/>
    <n v="0"/>
    <m/>
    <m/>
    <n v="0"/>
    <m/>
    <m/>
    <m/>
    <m/>
    <m/>
    <m/>
    <n v="4633700"/>
    <n v="4512000"/>
  </r>
  <r>
    <x v="5"/>
    <x v="7"/>
    <s v="KY Cancer Registry"/>
    <m/>
    <n v="157085"/>
    <x v="0"/>
    <m/>
    <m/>
    <n v="820742"/>
    <n v="822367"/>
    <m/>
    <m/>
    <m/>
    <m/>
    <n v="0"/>
    <m/>
    <m/>
    <n v="0"/>
    <n v="820742"/>
    <n v="822367"/>
    <m/>
    <m/>
    <m/>
    <m/>
    <n v="0"/>
    <m/>
    <m/>
    <n v="0"/>
    <m/>
    <m/>
    <m/>
    <m/>
    <m/>
    <m/>
    <n v="820742"/>
    <n v="822367"/>
  </r>
  <r>
    <x v="5"/>
    <x v="7"/>
    <s v="Rural Health Care"/>
    <m/>
    <n v="157085"/>
    <x v="0"/>
    <m/>
    <m/>
    <n v="583500"/>
    <n v="554000"/>
    <m/>
    <m/>
    <m/>
    <m/>
    <n v="0"/>
    <m/>
    <m/>
    <n v="0"/>
    <n v="583500"/>
    <n v="554000"/>
    <m/>
    <m/>
    <m/>
    <m/>
    <n v="0"/>
    <m/>
    <m/>
    <n v="0"/>
    <m/>
    <m/>
    <m/>
    <m/>
    <m/>
    <m/>
    <n v="583500"/>
    <n v="554000"/>
  </r>
  <r>
    <x v="5"/>
    <x v="0"/>
    <s v="University of Louisville"/>
    <m/>
    <n v="157289"/>
    <x v="0"/>
    <n v="125163900"/>
    <n v="124087400"/>
    <m/>
    <m/>
    <m/>
    <m/>
    <n v="170194144"/>
    <m/>
    <n v="170194144"/>
    <n v="180039973"/>
    <m/>
    <n v="180039973"/>
    <n v="295358044"/>
    <n v="304127373"/>
    <m/>
    <m/>
    <m/>
    <m/>
    <n v="0"/>
    <m/>
    <m/>
    <n v="0"/>
    <m/>
    <m/>
    <m/>
    <m/>
    <m/>
    <m/>
    <n v="295358044"/>
    <n v="304127373"/>
  </r>
  <r>
    <x v="5"/>
    <x v="1"/>
    <s v="Medical School"/>
    <m/>
    <n v="157289"/>
    <x v="0"/>
    <m/>
    <m/>
    <m/>
    <m/>
    <m/>
    <m/>
    <m/>
    <m/>
    <n v="0"/>
    <m/>
    <m/>
    <n v="0"/>
    <n v="0"/>
    <n v="0"/>
    <m/>
    <m/>
    <m/>
    <m/>
    <n v="0"/>
    <m/>
    <m/>
    <n v="0"/>
    <n v="36274500"/>
    <n v="40071600"/>
    <n v="29164756"/>
    <m/>
    <n v="33162927"/>
    <m/>
    <n v="65439256"/>
    <n v="73234527"/>
  </r>
  <r>
    <x v="5"/>
    <x v="3"/>
    <s v="Public Service Units"/>
    <m/>
    <n v="157289"/>
    <x v="0"/>
    <m/>
    <m/>
    <m/>
    <m/>
    <m/>
    <m/>
    <m/>
    <m/>
    <n v="0"/>
    <m/>
    <m/>
    <n v="0"/>
    <n v="0"/>
    <n v="0"/>
    <m/>
    <m/>
    <m/>
    <m/>
    <n v="0"/>
    <m/>
    <m/>
    <n v="0"/>
    <m/>
    <m/>
    <m/>
    <m/>
    <m/>
    <m/>
    <n v="0"/>
    <n v="0"/>
  </r>
  <r>
    <x v="5"/>
    <x v="3"/>
    <s v="Community Cancer Program"/>
    <m/>
    <n v="157289"/>
    <x v="0"/>
    <m/>
    <m/>
    <n v="824500"/>
    <n v="828000"/>
    <m/>
    <m/>
    <m/>
    <m/>
    <n v="0"/>
    <m/>
    <m/>
    <n v="0"/>
    <n v="824500"/>
    <n v="828000"/>
    <m/>
    <m/>
    <m/>
    <m/>
    <n v="0"/>
    <m/>
    <m/>
    <n v="0"/>
    <m/>
    <m/>
    <m/>
    <m/>
    <m/>
    <m/>
    <n v="824500"/>
    <n v="828000"/>
  </r>
  <r>
    <x v="5"/>
    <x v="3"/>
    <s v="State Data Center"/>
    <m/>
    <n v="157289"/>
    <x v="0"/>
    <m/>
    <m/>
    <n v="284700"/>
    <n v="147000"/>
    <m/>
    <m/>
    <m/>
    <m/>
    <n v="0"/>
    <m/>
    <m/>
    <n v="0"/>
    <n v="284700"/>
    <n v="147000"/>
    <m/>
    <m/>
    <m/>
    <m/>
    <n v="0"/>
    <m/>
    <m/>
    <n v="0"/>
    <m/>
    <m/>
    <m/>
    <m/>
    <m/>
    <m/>
    <n v="284700"/>
    <n v="147000"/>
  </r>
  <r>
    <x v="5"/>
    <x v="7"/>
    <s v="Research centers/institutes"/>
    <m/>
    <n v="157289"/>
    <x v="0"/>
    <m/>
    <m/>
    <m/>
    <m/>
    <m/>
    <m/>
    <m/>
    <m/>
    <n v="0"/>
    <m/>
    <m/>
    <n v="0"/>
    <n v="0"/>
    <n v="0"/>
    <m/>
    <m/>
    <m/>
    <m/>
    <n v="0"/>
    <m/>
    <m/>
    <n v="0"/>
    <m/>
    <m/>
    <m/>
    <m/>
    <m/>
    <m/>
    <n v="0"/>
    <n v="0"/>
  </r>
  <r>
    <x v="5"/>
    <x v="0"/>
    <s v="Eastern Kentucky University "/>
    <m/>
    <n v="156620"/>
    <x v="2"/>
    <n v="68663500"/>
    <n v="70262600"/>
    <m/>
    <m/>
    <m/>
    <m/>
    <n v="111554300"/>
    <m/>
    <n v="111554300"/>
    <n v="116993000"/>
    <m/>
    <n v="116993000"/>
    <n v="180217800"/>
    <n v="187255600"/>
    <m/>
    <m/>
    <m/>
    <m/>
    <n v="0"/>
    <m/>
    <m/>
    <n v="0"/>
    <m/>
    <m/>
    <m/>
    <m/>
    <m/>
    <m/>
    <n v="180217800"/>
    <n v="187255600"/>
  </r>
  <r>
    <x v="5"/>
    <x v="0"/>
    <s v="Murray State University "/>
    <m/>
    <n v="157401"/>
    <x v="2"/>
    <n v="45916200"/>
    <n v="47058700"/>
    <m/>
    <m/>
    <m/>
    <m/>
    <n v="82956200"/>
    <m/>
    <n v="82956200"/>
    <n v="84866700"/>
    <m/>
    <n v="84866700"/>
    <n v="128872400"/>
    <n v="131925400"/>
    <m/>
    <m/>
    <m/>
    <m/>
    <n v="0"/>
    <m/>
    <m/>
    <n v="0"/>
    <m/>
    <m/>
    <m/>
    <m/>
    <m/>
    <m/>
    <n v="128872400"/>
    <n v="131925400"/>
  </r>
  <r>
    <x v="5"/>
    <x v="3"/>
    <s v="Community or public service units"/>
    <m/>
    <n v="157401"/>
    <x v="2"/>
    <m/>
    <m/>
    <m/>
    <m/>
    <m/>
    <m/>
    <m/>
    <m/>
    <n v="0"/>
    <m/>
    <m/>
    <n v="0"/>
    <n v="0"/>
    <n v="0"/>
    <m/>
    <m/>
    <m/>
    <m/>
    <n v="0"/>
    <m/>
    <m/>
    <n v="0"/>
    <m/>
    <m/>
    <m/>
    <m/>
    <m/>
    <m/>
    <n v="0"/>
    <n v="0"/>
  </r>
  <r>
    <x v="5"/>
    <x v="3"/>
    <s v="Breathitt Veterinary Clinic"/>
    <m/>
    <n v="157401"/>
    <x v="2"/>
    <m/>
    <m/>
    <n v="2497600"/>
    <n v="2854000"/>
    <m/>
    <m/>
    <m/>
    <m/>
    <n v="0"/>
    <m/>
    <m/>
    <n v="0"/>
    <n v="2497600"/>
    <n v="2854000"/>
    <m/>
    <m/>
    <m/>
    <m/>
    <n v="0"/>
    <m/>
    <m/>
    <n v="0"/>
    <m/>
    <m/>
    <m/>
    <m/>
    <m/>
    <m/>
    <n v="2497600"/>
    <n v="2854000"/>
  </r>
  <r>
    <x v="5"/>
    <x v="0"/>
    <s v="Western Kentucky University "/>
    <m/>
    <n v="157951"/>
    <x v="2"/>
    <n v="70967600"/>
    <n v="72588200"/>
    <m/>
    <m/>
    <m/>
    <m/>
    <n v="142338000"/>
    <m/>
    <n v="142338000"/>
    <n v="155685000"/>
    <m/>
    <n v="155685000"/>
    <n v="213305600"/>
    <n v="228273200"/>
    <m/>
    <m/>
    <m/>
    <m/>
    <n v="0"/>
    <m/>
    <m/>
    <n v="0"/>
    <m/>
    <m/>
    <m/>
    <m/>
    <m/>
    <m/>
    <n v="213305600"/>
    <n v="228273200"/>
  </r>
  <r>
    <x v="5"/>
    <x v="3"/>
    <s v="Community or public service units"/>
    <m/>
    <n v="157951"/>
    <x v="2"/>
    <m/>
    <m/>
    <m/>
    <m/>
    <m/>
    <m/>
    <m/>
    <m/>
    <n v="0"/>
    <m/>
    <m/>
    <n v="0"/>
    <n v="0"/>
    <n v="0"/>
    <m/>
    <m/>
    <m/>
    <m/>
    <n v="0"/>
    <m/>
    <m/>
    <n v="0"/>
    <m/>
    <m/>
    <m/>
    <m/>
    <m/>
    <m/>
    <n v="0"/>
    <n v="0"/>
  </r>
  <r>
    <x v="5"/>
    <x v="3"/>
    <s v="Kentucky Academy for Math and Science"/>
    <m/>
    <n v="157951"/>
    <x v="2"/>
    <m/>
    <m/>
    <n v="2630100"/>
    <n v="2657600"/>
    <m/>
    <m/>
    <m/>
    <m/>
    <n v="0"/>
    <m/>
    <m/>
    <n v="0"/>
    <n v="2630100"/>
    <n v="2657600"/>
    <m/>
    <m/>
    <m/>
    <m/>
    <n v="0"/>
    <m/>
    <m/>
    <n v="0"/>
    <m/>
    <m/>
    <m/>
    <m/>
    <m/>
    <m/>
    <n v="2630100"/>
    <n v="2657600"/>
  </r>
  <r>
    <x v="5"/>
    <x v="0"/>
    <s v="Morehead State University "/>
    <s v="Reclassified: met the criteria for Four-Year 3 in 2008-09, 2009-10 and 2010-11."/>
    <n v="157386"/>
    <x v="2"/>
    <n v="40453700"/>
    <n v="41445900"/>
    <m/>
    <m/>
    <m/>
    <m/>
    <n v="55529900"/>
    <m/>
    <n v="55529900"/>
    <n v="58792500"/>
    <m/>
    <n v="58792500"/>
    <n v="95983600"/>
    <n v="100238400"/>
    <m/>
    <m/>
    <m/>
    <m/>
    <n v="0"/>
    <m/>
    <m/>
    <n v="0"/>
    <m/>
    <m/>
    <m/>
    <m/>
    <m/>
    <m/>
    <n v="95983600"/>
    <n v="100238400"/>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Northern Kentucky University "/>
    <m/>
    <n v="157447"/>
    <x v="3"/>
    <n v="46162900"/>
    <n v="47023700"/>
    <m/>
    <m/>
    <m/>
    <m/>
    <n v="112334000"/>
    <m/>
    <n v="112334000"/>
    <n v="115000000"/>
    <m/>
    <n v="115000000"/>
    <n v="158496900"/>
    <n v="162023700"/>
    <m/>
    <m/>
    <m/>
    <m/>
    <n v="0"/>
    <m/>
    <m/>
    <n v="0"/>
    <m/>
    <m/>
    <m/>
    <m/>
    <m/>
    <m/>
    <n v="158496900"/>
    <n v="162023700"/>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Kentucky State University "/>
    <s v="Reclassified: met the criteria for Four-Year 4 in 2008-09, 2009-10 and 2010-11."/>
    <n v="157058"/>
    <x v="3"/>
    <n v="17899700"/>
    <n v="21839747"/>
    <m/>
    <m/>
    <m/>
    <m/>
    <n v="20396800"/>
    <m/>
    <n v="20396800"/>
    <n v="21648572"/>
    <m/>
    <n v="21648572"/>
    <n v="38296500"/>
    <n v="43488319"/>
    <m/>
    <m/>
    <m/>
    <m/>
    <n v="0"/>
    <m/>
    <m/>
    <n v="0"/>
    <m/>
    <m/>
    <m/>
    <m/>
    <m/>
    <m/>
    <n v="38296500"/>
    <n v="43488319"/>
  </r>
  <r>
    <x v="5"/>
    <x v="3"/>
    <s v="Public Service Units"/>
    <m/>
    <n v="157058"/>
    <x v="3"/>
    <m/>
    <m/>
    <n v="2903700"/>
    <n v="1220176"/>
    <m/>
    <m/>
    <m/>
    <m/>
    <n v="0"/>
    <m/>
    <m/>
    <n v="0"/>
    <n v="2903700"/>
    <n v="1220176"/>
    <m/>
    <m/>
    <m/>
    <m/>
    <n v="0"/>
    <m/>
    <m/>
    <n v="0"/>
    <m/>
    <m/>
    <m/>
    <m/>
    <m/>
    <m/>
    <n v="2903700"/>
    <n v="1220176"/>
  </r>
  <r>
    <x v="5"/>
    <x v="5"/>
    <s v="Agricultural cooperative extension"/>
    <m/>
    <n v="157058"/>
    <x v="3"/>
    <m/>
    <m/>
    <n v="2927200"/>
    <n v="1348277"/>
    <m/>
    <m/>
    <m/>
    <m/>
    <n v="0"/>
    <m/>
    <m/>
    <n v="0"/>
    <n v="2927200"/>
    <n v="1348277"/>
    <m/>
    <m/>
    <m/>
    <m/>
    <n v="0"/>
    <m/>
    <m/>
    <n v="0"/>
    <m/>
    <m/>
    <m/>
    <m/>
    <m/>
    <m/>
    <n v="2927200"/>
    <n v="1348277"/>
  </r>
  <r>
    <x v="5"/>
    <x v="0"/>
    <s v="Bluegrass Community and Technical College"/>
    <m/>
    <n v="157173"/>
    <x v="6"/>
    <n v="13904475"/>
    <n v="13438369.432494203"/>
    <m/>
    <m/>
    <m/>
    <m/>
    <n v="31404100"/>
    <m/>
    <n v="31404100"/>
    <n v="35306900"/>
    <m/>
    <n v="35306900"/>
    <n v="45308575"/>
    <n v="48745269.432494201"/>
    <m/>
    <m/>
    <m/>
    <m/>
    <n v="0"/>
    <m/>
    <m/>
    <n v="0"/>
    <m/>
    <m/>
    <m/>
    <m/>
    <m/>
    <m/>
    <n v="45308575"/>
    <n v="48745269.432494201"/>
  </r>
  <r>
    <x v="5"/>
    <x v="0"/>
    <s v="Jefferson Community and Technical College "/>
    <m/>
    <n v="156921"/>
    <x v="6"/>
    <n v="20174007"/>
    <n v="20315746.138016168"/>
    <m/>
    <m/>
    <m/>
    <m/>
    <n v="30085700"/>
    <m/>
    <n v="30085700"/>
    <n v="33273500"/>
    <m/>
    <n v="33273500"/>
    <n v="50259707"/>
    <n v="53589246.138016164"/>
    <m/>
    <m/>
    <m/>
    <m/>
    <n v="0"/>
    <m/>
    <m/>
    <n v="0"/>
    <m/>
    <m/>
    <m/>
    <m/>
    <m/>
    <m/>
    <n v="50259707"/>
    <n v="53589246.138016164"/>
  </r>
  <r>
    <x v="5"/>
    <x v="0"/>
    <s v="Ashland Community and Technical College"/>
    <m/>
    <n v="156231"/>
    <x v="7"/>
    <n v="10177058"/>
    <n v="10635653.549276112"/>
    <m/>
    <m/>
    <m/>
    <m/>
    <n v="8840300"/>
    <m/>
    <n v="8840300"/>
    <n v="10860100"/>
    <m/>
    <n v="10860100"/>
    <n v="19017358"/>
    <n v="21495753.549276114"/>
    <m/>
    <m/>
    <m/>
    <m/>
    <n v="0"/>
    <m/>
    <m/>
    <n v="0"/>
    <m/>
    <m/>
    <m/>
    <m/>
    <m/>
    <m/>
    <n v="19017358"/>
    <n v="21495753.549276114"/>
  </r>
  <r>
    <x v="5"/>
    <x v="0"/>
    <s v="Big Sandy Community and Technical College "/>
    <m/>
    <n v="157553"/>
    <x v="7"/>
    <n v="11252621"/>
    <n v="11906119.482618771"/>
    <m/>
    <m/>
    <m/>
    <m/>
    <n v="9271900"/>
    <m/>
    <n v="9271900"/>
    <n v="12087900"/>
    <m/>
    <n v="12087900"/>
    <n v="20524521"/>
    <n v="23994019.482618771"/>
    <m/>
    <m/>
    <m/>
    <m/>
    <n v="0"/>
    <m/>
    <m/>
    <n v="0"/>
    <m/>
    <m/>
    <m/>
    <m/>
    <m/>
    <m/>
    <n v="20524521"/>
    <n v="23994019.482618771"/>
  </r>
  <r>
    <x v="5"/>
    <x v="0"/>
    <s v="Elizabethtown Community and Technical College "/>
    <m/>
    <n v="156648"/>
    <x v="7"/>
    <n v="10505033"/>
    <n v="10818434.009030396"/>
    <m/>
    <m/>
    <m/>
    <m/>
    <n v="12517600"/>
    <m/>
    <n v="12517600"/>
    <n v="16662000"/>
    <m/>
    <n v="16662000"/>
    <n v="23022633"/>
    <n v="27480434.009030394"/>
    <m/>
    <m/>
    <m/>
    <m/>
    <n v="0"/>
    <m/>
    <m/>
    <n v="0"/>
    <m/>
    <m/>
    <m/>
    <m/>
    <m/>
    <m/>
    <n v="23022633"/>
    <n v="27480434.009030394"/>
  </r>
  <r>
    <x v="5"/>
    <x v="0"/>
    <s v="Madisonville Community College"/>
    <m/>
    <n v="157304"/>
    <x v="7"/>
    <n v="9363966"/>
    <n v="9762547.1589191649"/>
    <m/>
    <m/>
    <m/>
    <m/>
    <n v="7836000"/>
    <m/>
    <n v="7836000"/>
    <n v="8680100"/>
    <m/>
    <n v="8680100"/>
    <n v="17199966"/>
    <n v="18442647.158919163"/>
    <m/>
    <m/>
    <m/>
    <m/>
    <n v="0"/>
    <m/>
    <m/>
    <n v="0"/>
    <m/>
    <m/>
    <m/>
    <m/>
    <m/>
    <m/>
    <n v="17199966"/>
    <n v="18442647.158919163"/>
  </r>
  <r>
    <x v="5"/>
    <x v="0"/>
    <s v="Maysville Community and Technical College "/>
    <m/>
    <n v="157331"/>
    <x v="7"/>
    <n v="8349496"/>
    <n v="8596844.1323810518"/>
    <m/>
    <m/>
    <m/>
    <m/>
    <n v="8092900"/>
    <m/>
    <n v="8092900"/>
    <n v="12709400"/>
    <m/>
    <n v="12709400"/>
    <n v="16442396"/>
    <n v="21306244.132381052"/>
    <m/>
    <m/>
    <m/>
    <m/>
    <n v="0"/>
    <m/>
    <m/>
    <n v="0"/>
    <m/>
    <m/>
    <m/>
    <m/>
    <m/>
    <m/>
    <n v="16442396"/>
    <n v="21306244.132381052"/>
  </r>
  <r>
    <x v="5"/>
    <x v="0"/>
    <s v="Owensboro Community and Technical College "/>
    <m/>
    <n v="247940"/>
    <x v="7"/>
    <n v="7960542"/>
    <n v="8123808.7955388771"/>
    <m/>
    <m/>
    <m/>
    <m/>
    <n v="9913900"/>
    <m/>
    <n v="9913900"/>
    <n v="12696600"/>
    <m/>
    <n v="12696600"/>
    <n v="17874442"/>
    <n v="20820408.795538876"/>
    <m/>
    <m/>
    <m/>
    <m/>
    <n v="0"/>
    <m/>
    <m/>
    <n v="0"/>
    <m/>
    <m/>
    <m/>
    <m/>
    <m/>
    <m/>
    <n v="17874442"/>
    <n v="20820408.795538876"/>
  </r>
  <r>
    <x v="5"/>
    <x v="0"/>
    <s v="Somerset Community College "/>
    <m/>
    <n v="157711"/>
    <x v="7"/>
    <n v="13003365"/>
    <n v="13447859.719345909"/>
    <m/>
    <m/>
    <m/>
    <m/>
    <n v="14307600"/>
    <m/>
    <n v="14307600"/>
    <n v="19769400"/>
    <m/>
    <n v="19769400"/>
    <n v="27310965"/>
    <n v="33217259.719345909"/>
    <m/>
    <m/>
    <m/>
    <m/>
    <n v="0"/>
    <m/>
    <m/>
    <n v="0"/>
    <m/>
    <m/>
    <m/>
    <m/>
    <m/>
    <m/>
    <n v="27310965"/>
    <n v="33217259.719345909"/>
  </r>
  <r>
    <x v="5"/>
    <x v="0"/>
    <s v="Southeast Kentucky Community and Technical College"/>
    <s v="Met the criteria for classification as a Two-Year 2 in 2010-11."/>
    <n v="157739"/>
    <x v="7"/>
    <n v="11240855"/>
    <n v="8399643.3666313179"/>
    <m/>
    <m/>
    <m/>
    <m/>
    <n v="7776800"/>
    <m/>
    <n v="7776800"/>
    <n v="12675900"/>
    <m/>
    <n v="12675900"/>
    <n v="19017655"/>
    <n v="21075543.366631318"/>
    <m/>
    <m/>
    <m/>
    <m/>
    <n v="0"/>
    <m/>
    <m/>
    <n v="0"/>
    <m/>
    <m/>
    <m/>
    <m/>
    <m/>
    <m/>
    <n v="19017655"/>
    <n v="21075543.366631318"/>
  </r>
  <r>
    <x v="5"/>
    <x v="0"/>
    <s v="West Kentucky Community and Technical College"/>
    <m/>
    <n v="157483"/>
    <x v="7"/>
    <n v="11599489"/>
    <n v="12021605.181060959"/>
    <m/>
    <m/>
    <m/>
    <m/>
    <n v="12550000"/>
    <m/>
    <n v="12550000"/>
    <n v="14845400"/>
    <m/>
    <n v="14845400"/>
    <n v="24149489"/>
    <n v="26867005.181060959"/>
    <m/>
    <m/>
    <m/>
    <m/>
    <n v="0"/>
    <m/>
    <m/>
    <n v="0"/>
    <m/>
    <m/>
    <m/>
    <m/>
    <m/>
    <m/>
    <n v="24149489"/>
    <n v="26867005.181060959"/>
  </r>
  <r>
    <x v="5"/>
    <x v="0"/>
    <s v="Hazard Community and Technical College"/>
    <s v="Met the criteria for classification as a Two-Year 2 in 2010-11."/>
    <n v="156790"/>
    <x v="8"/>
    <n v="13574012"/>
    <n v="14322321.864967385"/>
    <m/>
    <m/>
    <m/>
    <m/>
    <n v="7177600"/>
    <m/>
    <n v="7177600"/>
    <n v="8550100"/>
    <m/>
    <n v="8550100"/>
    <n v="20751612"/>
    <n v="22872421.864967383"/>
    <m/>
    <m/>
    <m/>
    <m/>
    <n v="0"/>
    <m/>
    <m/>
    <n v="0"/>
    <m/>
    <m/>
    <m/>
    <m/>
    <m/>
    <m/>
    <n v="20751612"/>
    <n v="22872421.864967383"/>
  </r>
  <r>
    <x v="5"/>
    <x v="0"/>
    <s v="Henderson Community College "/>
    <m/>
    <n v="156851"/>
    <x v="8"/>
    <n v="5740406"/>
    <n v="5834184.6547058746"/>
    <m/>
    <m/>
    <m/>
    <m/>
    <n v="4063300"/>
    <m/>
    <n v="4063300"/>
    <n v="5496200"/>
    <m/>
    <n v="5496200"/>
    <n v="9803706"/>
    <n v="11330384.654705875"/>
    <m/>
    <m/>
    <m/>
    <m/>
    <n v="0"/>
    <m/>
    <m/>
    <n v="0"/>
    <m/>
    <m/>
    <m/>
    <m/>
    <m/>
    <m/>
    <n v="9803706"/>
    <n v="11330384.654705875"/>
  </r>
  <r>
    <x v="5"/>
    <x v="0"/>
    <s v="Hopkinsville Community College "/>
    <s v="Met the criteria for Two-Year 2 in 2009-10 and 2010-11."/>
    <n v="156860"/>
    <x v="8"/>
    <n v="5699904"/>
    <n v="5809534.5589871574"/>
    <m/>
    <m/>
    <m/>
    <m/>
    <n v="7596600"/>
    <m/>
    <n v="7596600"/>
    <n v="9952500"/>
    <m/>
    <n v="9952500"/>
    <n v="13296504"/>
    <n v="15762034.558987157"/>
    <m/>
    <m/>
    <m/>
    <m/>
    <n v="0"/>
    <m/>
    <m/>
    <n v="0"/>
    <m/>
    <m/>
    <m/>
    <m/>
    <m/>
    <m/>
    <n v="13296504"/>
    <n v="15762034.558987157"/>
  </r>
  <r>
    <x v="5"/>
    <x v="0"/>
    <s v="Bowling Green Technical College"/>
    <m/>
    <n v="156338"/>
    <x v="9"/>
    <n v="7634377"/>
    <n v="8098665.6979057863"/>
    <m/>
    <m/>
    <m/>
    <m/>
    <n v="4885900"/>
    <m/>
    <n v="4885900"/>
    <n v="8290000"/>
    <m/>
    <n v="8290000"/>
    <n v="12520277"/>
    <n v="16388665.697905786"/>
    <m/>
    <m/>
    <m/>
    <m/>
    <n v="0"/>
    <m/>
    <m/>
    <n v="0"/>
    <m/>
    <m/>
    <m/>
    <m/>
    <m/>
    <m/>
    <n v="12520277"/>
    <n v="16388665.697905786"/>
  </r>
  <r>
    <x v="5"/>
    <x v="0"/>
    <s v="Gateway Community and Technical College"/>
    <m/>
    <n v="157438"/>
    <x v="9"/>
    <n v="8164296"/>
    <n v="8500462.2581208684"/>
    <m/>
    <m/>
    <m/>
    <m/>
    <n v="7299400"/>
    <m/>
    <n v="7299400"/>
    <n v="9667600"/>
    <m/>
    <n v="9667600"/>
    <n v="15463696"/>
    <n v="18168062.258120868"/>
    <m/>
    <m/>
    <m/>
    <m/>
    <n v="0"/>
    <m/>
    <m/>
    <n v="0"/>
    <m/>
    <m/>
    <m/>
    <m/>
    <m/>
    <m/>
    <n v="15463696"/>
    <n v="18168062.258120868"/>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Corrections"/>
    <m/>
    <m/>
    <x v="12"/>
    <m/>
    <m/>
    <n v="5348100"/>
    <n v="0"/>
    <m/>
    <m/>
    <m/>
    <m/>
    <n v="0"/>
    <m/>
    <m/>
    <n v="0"/>
    <n v="5348100"/>
    <n v="0"/>
    <m/>
    <m/>
    <m/>
    <m/>
    <n v="0"/>
    <m/>
    <m/>
    <n v="0"/>
    <m/>
    <m/>
    <m/>
    <m/>
    <m/>
    <m/>
    <n v="5348100"/>
    <n v="0"/>
  </r>
  <r>
    <x v="5"/>
    <x v="42"/>
    <s v="KY WINS"/>
    <m/>
    <m/>
    <x v="12"/>
    <m/>
    <m/>
    <n v="5532500"/>
    <n v="5455000"/>
    <m/>
    <m/>
    <m/>
    <m/>
    <n v="0"/>
    <m/>
    <m/>
    <n v="0"/>
    <n v="5532500"/>
    <n v="5455000"/>
    <m/>
    <m/>
    <m/>
    <m/>
    <n v="0"/>
    <m/>
    <m/>
    <n v="0"/>
    <m/>
    <m/>
    <m/>
    <m/>
    <m/>
    <m/>
    <n v="5532500"/>
    <n v="5455000"/>
  </r>
  <r>
    <x v="5"/>
    <x v="42"/>
    <s v="Kentucky Coal Academy"/>
    <m/>
    <m/>
    <x v="12"/>
    <m/>
    <m/>
    <n v="2766200"/>
    <n v="2727500"/>
    <m/>
    <m/>
    <m/>
    <m/>
    <n v="0"/>
    <m/>
    <m/>
    <n v="0"/>
    <n v="2766200"/>
    <n v="2727500"/>
    <m/>
    <m/>
    <m/>
    <m/>
    <n v="0"/>
    <m/>
    <m/>
    <n v="0"/>
    <m/>
    <m/>
    <m/>
    <m/>
    <m/>
    <m/>
    <n v="2766200"/>
    <n v="2727500"/>
  </r>
  <r>
    <x v="5"/>
    <x v="42"/>
    <s v="University Health Insurance Premium Supplement"/>
    <m/>
    <m/>
    <x v="12"/>
    <m/>
    <m/>
    <n v="922100"/>
    <n v="909300"/>
    <m/>
    <m/>
    <m/>
    <m/>
    <n v="0"/>
    <m/>
    <m/>
    <n v="0"/>
    <n v="922100"/>
    <n v="909300"/>
    <m/>
    <m/>
    <m/>
    <m/>
    <n v="0"/>
    <m/>
    <m/>
    <n v="0"/>
    <m/>
    <m/>
    <m/>
    <m/>
    <m/>
    <m/>
    <n v="922100"/>
    <n v="909300"/>
  </r>
  <r>
    <x v="5"/>
    <x v="42"/>
    <s v="Kentucky Board of Emergency Medical Services"/>
    <m/>
    <m/>
    <x v="12"/>
    <m/>
    <m/>
    <n v="2188900"/>
    <n v="2158300"/>
    <m/>
    <m/>
    <m/>
    <m/>
    <n v="0"/>
    <m/>
    <m/>
    <n v="0"/>
    <n v="2188900"/>
    <n v="2158300"/>
    <m/>
    <m/>
    <m/>
    <m/>
    <n v="0"/>
    <m/>
    <m/>
    <n v="0"/>
    <m/>
    <m/>
    <m/>
    <m/>
    <m/>
    <m/>
    <n v="2188900"/>
    <n v="2158300"/>
  </r>
  <r>
    <x v="5"/>
    <x v="42"/>
    <s v="Fire Commission"/>
    <m/>
    <m/>
    <x v="12"/>
    <m/>
    <m/>
    <n v="2239100"/>
    <n v="2464100"/>
    <m/>
    <m/>
    <m/>
    <m/>
    <n v="0"/>
    <m/>
    <m/>
    <n v="0"/>
    <n v="2239100"/>
    <n v="2464100"/>
    <m/>
    <m/>
    <m/>
    <m/>
    <n v="0"/>
    <m/>
    <m/>
    <n v="0"/>
    <m/>
    <m/>
    <m/>
    <m/>
    <m/>
    <m/>
    <n v="2239100"/>
    <n v="2464100"/>
  </r>
  <r>
    <x v="5"/>
    <x v="13"/>
    <s v="Education special purpose funds — all other"/>
    <m/>
    <m/>
    <x v="12"/>
    <m/>
    <m/>
    <m/>
    <m/>
    <m/>
    <m/>
    <m/>
    <m/>
    <n v="0"/>
    <m/>
    <m/>
    <n v="0"/>
    <n v="0"/>
    <n v="0"/>
    <m/>
    <m/>
    <m/>
    <m/>
    <n v="0"/>
    <m/>
    <m/>
    <n v="0"/>
    <m/>
    <m/>
    <m/>
    <m/>
    <m/>
    <m/>
    <n v="0"/>
    <n v="0"/>
  </r>
  <r>
    <x v="5"/>
    <x v="13"/>
    <s v="(PEPP) Health Programs"/>
    <m/>
    <m/>
    <x v="12"/>
    <m/>
    <m/>
    <n v="322600"/>
    <n v="305400"/>
    <m/>
    <m/>
    <m/>
    <m/>
    <n v="0"/>
    <m/>
    <m/>
    <n v="0"/>
    <n v="322600"/>
    <n v="305400"/>
    <m/>
    <m/>
    <m/>
    <m/>
    <n v="0"/>
    <m/>
    <m/>
    <n v="0"/>
    <m/>
    <m/>
    <m/>
    <m/>
    <m/>
    <m/>
    <n v="322600"/>
    <n v="305400"/>
  </r>
  <r>
    <x v="5"/>
    <x v="13"/>
    <s v="Minority Student Col Prep"/>
    <m/>
    <m/>
    <x v="12"/>
    <m/>
    <m/>
    <n v="225300"/>
    <n v="213300"/>
    <m/>
    <m/>
    <m/>
    <m/>
    <n v="0"/>
    <m/>
    <m/>
    <n v="0"/>
    <n v="225300"/>
    <n v="213300"/>
    <m/>
    <m/>
    <m/>
    <m/>
    <n v="0"/>
    <m/>
    <m/>
    <n v="0"/>
    <m/>
    <m/>
    <m/>
    <m/>
    <m/>
    <m/>
    <n v="225300"/>
    <n v="213300"/>
  </r>
  <r>
    <x v="5"/>
    <x v="13"/>
    <s v="Research Challenge Trust Fund-Lung Cancer Research"/>
    <m/>
    <m/>
    <x v="12"/>
    <m/>
    <m/>
    <n v="5680600"/>
    <n v="4633800"/>
    <m/>
    <m/>
    <m/>
    <m/>
    <n v="0"/>
    <m/>
    <m/>
    <n v="0"/>
    <n v="5680600"/>
    <n v="4633800"/>
    <m/>
    <m/>
    <m/>
    <m/>
    <n v="0"/>
    <m/>
    <m/>
    <n v="0"/>
    <m/>
    <m/>
    <m/>
    <m/>
    <m/>
    <m/>
    <n v="5680600"/>
    <n v="4633800"/>
  </r>
  <r>
    <x v="5"/>
    <x v="13"/>
    <s v="Technology Trust Fund"/>
    <m/>
    <m/>
    <x v="12"/>
    <m/>
    <m/>
    <n v="0"/>
    <n v="0"/>
    <m/>
    <m/>
    <m/>
    <m/>
    <n v="0"/>
    <m/>
    <m/>
    <n v="0"/>
    <n v="0"/>
    <n v="0"/>
    <m/>
    <m/>
    <m/>
    <m/>
    <n v="0"/>
    <m/>
    <m/>
    <n v="0"/>
    <m/>
    <m/>
    <m/>
    <m/>
    <m/>
    <m/>
    <n v="0"/>
    <n v="0"/>
  </r>
  <r>
    <x v="5"/>
    <x v="13"/>
    <s v="KY Postsecondary Education Network"/>
    <m/>
    <m/>
    <x v="12"/>
    <m/>
    <m/>
    <n v="2930300"/>
    <n v="2724200"/>
    <m/>
    <m/>
    <m/>
    <m/>
    <n v="0"/>
    <m/>
    <m/>
    <n v="0"/>
    <n v="2930300"/>
    <n v="2724200"/>
    <m/>
    <m/>
    <m/>
    <m/>
    <n v="0"/>
    <m/>
    <m/>
    <n v="0"/>
    <m/>
    <m/>
    <m/>
    <m/>
    <m/>
    <m/>
    <n v="2930300"/>
    <n v="2724200"/>
  </r>
  <r>
    <x v="5"/>
    <x v="13"/>
    <s v="Commonweatlh Virtual Univ"/>
    <m/>
    <m/>
    <x v="12"/>
    <m/>
    <m/>
    <n v="2485200"/>
    <n v="2126800"/>
    <m/>
    <m/>
    <m/>
    <m/>
    <n v="0"/>
    <m/>
    <m/>
    <n v="0"/>
    <n v="2485200"/>
    <n v="2126800"/>
    <m/>
    <m/>
    <m/>
    <m/>
    <n v="0"/>
    <m/>
    <m/>
    <n v="0"/>
    <m/>
    <m/>
    <m/>
    <m/>
    <m/>
    <m/>
    <n v="2485200"/>
    <n v="2126800"/>
  </r>
  <r>
    <x v="5"/>
    <x v="13"/>
    <s v="Adult Education Operations"/>
    <m/>
    <m/>
    <x v="12"/>
    <m/>
    <m/>
    <n v="1577800"/>
    <n v="1655000"/>
    <m/>
    <m/>
    <m/>
    <m/>
    <n v="0"/>
    <m/>
    <m/>
    <n v="0"/>
    <n v="1577800"/>
    <n v="1655000"/>
    <m/>
    <m/>
    <m/>
    <m/>
    <n v="0"/>
    <m/>
    <m/>
    <n v="0"/>
    <m/>
    <m/>
    <m/>
    <m/>
    <m/>
    <m/>
    <n v="1577800"/>
    <n v="1655000"/>
  </r>
  <r>
    <x v="5"/>
    <x v="13"/>
    <s v=" Adult Education and Literacy Funding Program"/>
    <m/>
    <m/>
    <x v="12"/>
    <m/>
    <m/>
    <n v="22585000"/>
    <n v="22246200"/>
    <m/>
    <m/>
    <m/>
    <m/>
    <n v="0"/>
    <m/>
    <m/>
    <n v="0"/>
    <n v="22585000"/>
    <n v="22246200"/>
    <m/>
    <m/>
    <m/>
    <m/>
    <n v="0"/>
    <m/>
    <m/>
    <n v="0"/>
    <m/>
    <m/>
    <m/>
    <m/>
    <m/>
    <m/>
    <n v="22585000"/>
    <n v="22246200"/>
  </r>
  <r>
    <x v="5"/>
    <x v="13"/>
    <s v="State Autism Training Center"/>
    <m/>
    <m/>
    <x v="12"/>
    <m/>
    <m/>
    <n v="161000"/>
    <n v="152400"/>
    <m/>
    <m/>
    <m/>
    <m/>
    <n v="0"/>
    <m/>
    <m/>
    <n v="0"/>
    <n v="161000"/>
    <n v="152400"/>
    <m/>
    <m/>
    <m/>
    <m/>
    <n v="0"/>
    <m/>
    <m/>
    <n v="0"/>
    <m/>
    <m/>
    <m/>
    <m/>
    <m/>
    <m/>
    <n v="161000"/>
    <n v="152400"/>
  </r>
  <r>
    <x v="5"/>
    <x v="13"/>
    <s v="Science and Technology Trust Fund"/>
    <m/>
    <m/>
    <x v="12"/>
    <m/>
    <m/>
    <n v="6956900"/>
    <n v="6585400"/>
    <m/>
    <m/>
    <m/>
    <m/>
    <n v="0"/>
    <m/>
    <m/>
    <n v="0"/>
    <n v="6956900"/>
    <n v="6585400"/>
    <m/>
    <m/>
    <m/>
    <m/>
    <n v="0"/>
    <m/>
    <m/>
    <n v="0"/>
    <m/>
    <m/>
    <m/>
    <m/>
    <m/>
    <m/>
    <n v="6956900"/>
    <n v="65854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6440100"/>
    <n v="5839400"/>
    <m/>
    <m/>
    <n v="0"/>
    <m/>
    <m/>
    <n v="0"/>
    <m/>
    <m/>
    <m/>
    <m/>
    <m/>
    <m/>
    <n v="6440100"/>
    <n v="5839400"/>
  </r>
  <r>
    <x v="5"/>
    <x v="16"/>
    <s v="Two-year system(s), if any"/>
    <m/>
    <m/>
    <x v="12"/>
    <m/>
    <m/>
    <m/>
    <m/>
    <m/>
    <m/>
    <m/>
    <m/>
    <n v="0"/>
    <m/>
    <m/>
    <n v="0"/>
    <n v="0"/>
    <n v="0"/>
    <m/>
    <m/>
    <m/>
    <m/>
    <n v="0"/>
    <m/>
    <m/>
    <n v="0"/>
    <m/>
    <m/>
    <m/>
    <m/>
    <m/>
    <m/>
    <n v="0"/>
    <n v="0"/>
  </r>
  <r>
    <x v="5"/>
    <x v="16"/>
    <s v="Ky Community and Technical College System operations"/>
    <m/>
    <m/>
    <x v="12"/>
    <m/>
    <m/>
    <m/>
    <m/>
    <m/>
    <m/>
    <m/>
    <m/>
    <n v="0"/>
    <m/>
    <m/>
    <n v="0"/>
    <n v="0"/>
    <n v="0"/>
    <n v="13213900"/>
    <n v="15410700"/>
    <m/>
    <m/>
    <n v="0"/>
    <m/>
    <m/>
    <n v="0"/>
    <m/>
    <m/>
    <m/>
    <m/>
    <m/>
    <m/>
    <n v="13213900"/>
    <n v="154107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550"/>
    <m/>
    <m/>
    <n v="0"/>
    <m/>
    <m/>
    <n v="0"/>
    <m/>
    <m/>
    <m/>
    <m/>
    <m/>
    <m/>
    <n v="193550"/>
    <n v="193550"/>
  </r>
  <r>
    <x v="5"/>
    <x v="13"/>
    <s v="SREB Doctoral Scholar Program"/>
    <m/>
    <m/>
    <x v="12"/>
    <m/>
    <m/>
    <n v="87100"/>
    <n v="82400"/>
    <m/>
    <m/>
    <m/>
    <m/>
    <n v="0"/>
    <m/>
    <m/>
    <n v="0"/>
    <n v="87100"/>
    <n v="82400"/>
    <m/>
    <m/>
    <m/>
    <m/>
    <n v="0"/>
    <m/>
    <m/>
    <n v="0"/>
    <m/>
    <m/>
    <m/>
    <m/>
    <m/>
    <m/>
    <n v="87100"/>
    <n v="824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290400"/>
    <n v="290400"/>
    <m/>
    <m/>
    <n v="0"/>
    <m/>
    <m/>
    <n v="0"/>
    <m/>
    <m/>
    <m/>
    <m/>
    <m/>
    <m/>
    <n v="290400"/>
    <n v="290400"/>
  </r>
  <r>
    <x v="5"/>
    <x v="21"/>
    <s v="Southern College of Optometry"/>
    <m/>
    <m/>
    <x v="12"/>
    <m/>
    <m/>
    <m/>
    <m/>
    <m/>
    <m/>
    <m/>
    <m/>
    <n v="0"/>
    <m/>
    <m/>
    <n v="0"/>
    <n v="0"/>
    <n v="0"/>
    <n v="222400"/>
    <n v="278000"/>
    <m/>
    <m/>
    <n v="0"/>
    <m/>
    <m/>
    <n v="0"/>
    <m/>
    <m/>
    <m/>
    <m/>
    <m/>
    <m/>
    <n v="222400"/>
    <n v="278000"/>
  </r>
  <r>
    <x v="5"/>
    <x v="22"/>
    <s v="SREB contract program with public colleges"/>
    <m/>
    <m/>
    <x v="12"/>
    <m/>
    <m/>
    <m/>
    <m/>
    <m/>
    <m/>
    <m/>
    <m/>
    <n v="0"/>
    <m/>
    <m/>
    <n v="0"/>
    <n v="0"/>
    <n v="0"/>
    <m/>
    <m/>
    <m/>
    <m/>
    <n v="0"/>
    <m/>
    <m/>
    <n v="0"/>
    <m/>
    <m/>
    <m/>
    <m/>
    <m/>
    <m/>
    <n v="0"/>
    <n v="0"/>
  </r>
  <r>
    <x v="5"/>
    <x v="22"/>
    <s v="Auburn University (Veterinary Medicine)"/>
    <m/>
    <m/>
    <x v="12"/>
    <m/>
    <m/>
    <m/>
    <m/>
    <m/>
    <m/>
    <m/>
    <m/>
    <n v="0"/>
    <m/>
    <m/>
    <n v="0"/>
    <n v="0"/>
    <n v="0"/>
    <n v="3436400"/>
    <n v="3557400"/>
    <m/>
    <m/>
    <n v="0"/>
    <m/>
    <m/>
    <n v="0"/>
    <m/>
    <m/>
    <m/>
    <m/>
    <m/>
    <m/>
    <n v="3436400"/>
    <n v="3557400"/>
  </r>
  <r>
    <x v="5"/>
    <x v="22"/>
    <s v="University of Alabama at Birmingham (Optometry)"/>
    <m/>
    <m/>
    <x v="12"/>
    <m/>
    <m/>
    <m/>
    <m/>
    <m/>
    <m/>
    <m/>
    <m/>
    <n v="0"/>
    <m/>
    <m/>
    <n v="0"/>
    <n v="0"/>
    <n v="0"/>
    <n v="166800"/>
    <n v="166800"/>
    <m/>
    <m/>
    <n v="0"/>
    <m/>
    <m/>
    <n v="0"/>
    <m/>
    <m/>
    <m/>
    <m/>
    <m/>
    <m/>
    <n v="166800"/>
    <n v="166800"/>
  </r>
  <r>
    <x v="5"/>
    <x v="23"/>
    <s v="Other contract education programs (Indiana University)"/>
    <m/>
    <m/>
    <x v="12"/>
    <m/>
    <m/>
    <m/>
    <m/>
    <m/>
    <m/>
    <m/>
    <m/>
    <n v="0"/>
    <m/>
    <m/>
    <n v="0"/>
    <n v="0"/>
    <n v="0"/>
    <n v="170334"/>
    <n v="170400"/>
    <m/>
    <m/>
    <n v="0"/>
    <m/>
    <m/>
    <n v="0"/>
    <m/>
    <m/>
    <m/>
    <m/>
    <m/>
    <m/>
    <n v="170334"/>
    <n v="1704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73506633"/>
    <n v="75975729"/>
    <m/>
    <m/>
    <n v="0"/>
    <m/>
    <m/>
    <n v="0"/>
    <m/>
    <m/>
    <m/>
    <m/>
    <m/>
    <m/>
    <n v="73506633"/>
    <n v="75975729"/>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6878045"/>
    <n v="17441194"/>
    <m/>
    <m/>
    <n v="0"/>
    <m/>
    <m/>
    <n v="0"/>
    <m/>
    <m/>
    <m/>
    <m/>
    <m/>
    <m/>
    <n v="16878045"/>
    <n v="17441194"/>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6211086"/>
    <n v="46516961"/>
    <m/>
    <m/>
    <n v="0"/>
    <m/>
    <m/>
    <n v="0"/>
    <m/>
    <m/>
    <m/>
    <m/>
    <m/>
    <m/>
    <n v="46211086"/>
    <n v="46516961"/>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4913204"/>
    <n v="16772094"/>
    <m/>
    <m/>
    <n v="0"/>
    <m/>
    <m/>
    <n v="0"/>
    <m/>
    <m/>
    <m/>
    <m/>
    <m/>
    <m/>
    <n v="14913204"/>
    <n v="16772094"/>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31938565"/>
    <n v="32395283"/>
    <m/>
    <m/>
    <n v="0"/>
    <m/>
    <m/>
    <n v="0"/>
    <m/>
    <m/>
    <m/>
    <m/>
    <m/>
    <m/>
    <n v="31938565"/>
    <n v="32395283"/>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949878"/>
    <n v="810705"/>
    <m/>
    <m/>
    <n v="0"/>
    <m/>
    <m/>
    <n v="0"/>
    <m/>
    <m/>
    <m/>
    <m/>
    <m/>
    <m/>
    <n v="949878"/>
    <n v="810705"/>
  </r>
  <r>
    <x v="6"/>
    <x v="0"/>
    <s v="Louisiana State University and A &amp; M College"/>
    <m/>
    <n v="159391"/>
    <x v="0"/>
    <n v="147753928"/>
    <n v="141376248"/>
    <m/>
    <m/>
    <m/>
    <m/>
    <n v="166205704"/>
    <m/>
    <n v="166205704"/>
    <n v="190067064"/>
    <m/>
    <n v="190067064"/>
    <n v="313959632"/>
    <n v="331443312"/>
    <m/>
    <m/>
    <m/>
    <m/>
    <n v="0"/>
    <m/>
    <m/>
    <n v="0"/>
    <m/>
    <m/>
    <m/>
    <m/>
    <m/>
    <m/>
    <n v="313959632"/>
    <n v="331443312"/>
  </r>
  <r>
    <x v="6"/>
    <x v="12"/>
    <s v="Special line items for education operations"/>
    <m/>
    <n v="159391"/>
    <x v="0"/>
    <m/>
    <m/>
    <m/>
    <m/>
    <m/>
    <m/>
    <m/>
    <m/>
    <n v="0"/>
    <m/>
    <m/>
    <n v="0"/>
    <n v="0"/>
    <n v="0"/>
    <m/>
    <m/>
    <m/>
    <m/>
    <n v="0"/>
    <m/>
    <m/>
    <n v="0"/>
    <m/>
    <m/>
    <m/>
    <m/>
    <m/>
    <m/>
    <n v="0"/>
    <n v="0"/>
  </r>
  <r>
    <x v="6"/>
    <x v="12"/>
    <s v="Paul M. Hebert Law Center"/>
    <m/>
    <n v="159391"/>
    <x v="0"/>
    <n v="6925179"/>
    <n v="6238534"/>
    <m/>
    <m/>
    <m/>
    <m/>
    <n v="10907207"/>
    <m/>
    <n v="10907207"/>
    <n v="12998883"/>
    <m/>
    <n v="12998883"/>
    <n v="17832386"/>
    <n v="19237417"/>
    <m/>
    <m/>
    <m/>
    <m/>
    <n v="0"/>
    <m/>
    <m/>
    <n v="0"/>
    <m/>
    <m/>
    <m/>
    <m/>
    <m/>
    <m/>
    <n v="17832386"/>
    <n v="19237417"/>
  </r>
  <r>
    <x v="6"/>
    <x v="1"/>
    <s v="Health professions education"/>
    <m/>
    <n v="159391"/>
    <x v="0"/>
    <m/>
    <m/>
    <m/>
    <m/>
    <m/>
    <m/>
    <m/>
    <m/>
    <n v="0"/>
    <m/>
    <m/>
    <n v="0"/>
    <n v="0"/>
    <n v="0"/>
    <m/>
    <m/>
    <m/>
    <m/>
    <n v="0"/>
    <m/>
    <m/>
    <n v="0"/>
    <m/>
    <m/>
    <m/>
    <m/>
    <m/>
    <m/>
    <n v="0"/>
    <n v="0"/>
  </r>
  <r>
    <x v="6"/>
    <x v="1"/>
    <s v="Vet School"/>
    <m/>
    <n v="159391"/>
    <x v="0"/>
    <m/>
    <m/>
    <m/>
    <m/>
    <m/>
    <m/>
    <m/>
    <m/>
    <n v="0"/>
    <m/>
    <m/>
    <n v="0"/>
    <n v="0"/>
    <n v="0"/>
    <m/>
    <m/>
    <m/>
    <m/>
    <n v="0"/>
    <m/>
    <m/>
    <n v="0"/>
    <n v="17451721"/>
    <n v="18818006"/>
    <n v="8388912"/>
    <m/>
    <n v="9445248"/>
    <m/>
    <n v="25840633"/>
    <n v="28263254"/>
  </r>
  <r>
    <x v="6"/>
    <x v="5"/>
    <s v="Agricultural Center"/>
    <m/>
    <n v="159391"/>
    <x v="0"/>
    <m/>
    <m/>
    <m/>
    <m/>
    <m/>
    <m/>
    <m/>
    <m/>
    <n v="0"/>
    <m/>
    <m/>
    <n v="0"/>
    <n v="0"/>
    <n v="0"/>
    <m/>
    <m/>
    <m/>
    <m/>
    <n v="0"/>
    <m/>
    <m/>
    <n v="0"/>
    <m/>
    <m/>
    <m/>
    <m/>
    <m/>
    <m/>
    <n v="0"/>
    <n v="0"/>
  </r>
  <r>
    <x v="6"/>
    <x v="5"/>
    <s v="Agricultural cooperative extension"/>
    <m/>
    <n v="159391"/>
    <x v="0"/>
    <m/>
    <m/>
    <n v="27987377"/>
    <n v="23568516"/>
    <m/>
    <m/>
    <m/>
    <m/>
    <n v="0"/>
    <m/>
    <m/>
    <n v="0"/>
    <n v="27987377"/>
    <n v="23568516"/>
    <m/>
    <m/>
    <m/>
    <m/>
    <n v="0"/>
    <m/>
    <m/>
    <n v="0"/>
    <m/>
    <m/>
    <m/>
    <m/>
    <m/>
    <m/>
    <n v="27987377"/>
    <n v="23568516"/>
  </r>
  <r>
    <x v="6"/>
    <x v="6"/>
    <s v="Agricultural experiment stations"/>
    <m/>
    <n v="159391"/>
    <x v="0"/>
    <m/>
    <m/>
    <n v="35851855"/>
    <n v="29601654"/>
    <m/>
    <m/>
    <m/>
    <m/>
    <n v="0"/>
    <m/>
    <m/>
    <n v="0"/>
    <n v="35851855"/>
    <n v="29601654"/>
    <m/>
    <m/>
    <m/>
    <m/>
    <n v="0"/>
    <m/>
    <m/>
    <n v="0"/>
    <m/>
    <m/>
    <m/>
    <m/>
    <m/>
    <m/>
    <n v="35851855"/>
    <n v="29601654"/>
  </r>
  <r>
    <x v="6"/>
    <x v="5"/>
    <s v="Administration"/>
    <m/>
    <n v="159391"/>
    <x v="0"/>
    <m/>
    <m/>
    <n v="15339865"/>
    <n v="15782396"/>
    <m/>
    <m/>
    <m/>
    <m/>
    <n v="0"/>
    <m/>
    <m/>
    <n v="0"/>
    <n v="15339865"/>
    <n v="15782396"/>
    <m/>
    <m/>
    <m/>
    <m/>
    <n v="0"/>
    <m/>
    <m/>
    <n v="0"/>
    <m/>
    <m/>
    <m/>
    <m/>
    <m/>
    <m/>
    <n v="15339865"/>
    <n v="15782396"/>
  </r>
  <r>
    <x v="6"/>
    <x v="0"/>
    <s v="University of Louisiana at Lafayette"/>
    <m/>
    <n v="160658"/>
    <x v="1"/>
    <n v="68887384"/>
    <n v="71458633"/>
    <m/>
    <m/>
    <m/>
    <m/>
    <n v="50790214"/>
    <m/>
    <n v="50790214"/>
    <n v="48886901"/>
    <m/>
    <n v="48886901"/>
    <n v="119677598"/>
    <n v="120345534"/>
    <m/>
    <m/>
    <m/>
    <m/>
    <n v="0"/>
    <m/>
    <m/>
    <n v="0"/>
    <m/>
    <m/>
    <m/>
    <m/>
    <m/>
    <m/>
    <n v="119677598"/>
    <n v="120345534"/>
  </r>
  <r>
    <x v="6"/>
    <x v="0"/>
    <s v="University of New Orleans"/>
    <m/>
    <n v="159939"/>
    <x v="1"/>
    <n v="48312646"/>
    <n v="48754553"/>
    <m/>
    <m/>
    <m/>
    <m/>
    <n v="50090183"/>
    <m/>
    <n v="50090183"/>
    <n v="56788454"/>
    <m/>
    <n v="56788454"/>
    <n v="98402829"/>
    <n v="105543007"/>
    <m/>
    <m/>
    <m/>
    <m/>
    <n v="0"/>
    <m/>
    <m/>
    <n v="0"/>
    <m/>
    <m/>
    <m/>
    <m/>
    <m/>
    <m/>
    <n v="98402829"/>
    <n v="105543007"/>
  </r>
  <r>
    <x v="6"/>
    <x v="0"/>
    <s v="Louisiana Tech University "/>
    <m/>
    <n v="159647"/>
    <x v="1"/>
    <n v="43495328"/>
    <n v="45431581"/>
    <m/>
    <m/>
    <m/>
    <m/>
    <n v="34186000"/>
    <m/>
    <n v="34186000"/>
    <n v="34174170"/>
    <m/>
    <n v="34174170"/>
    <n v="77681328"/>
    <n v="79605751"/>
    <m/>
    <m/>
    <m/>
    <m/>
    <n v="0"/>
    <m/>
    <m/>
    <n v="0"/>
    <m/>
    <m/>
    <m/>
    <m/>
    <m/>
    <m/>
    <n v="77681328"/>
    <n v="79605751"/>
  </r>
  <r>
    <x v="6"/>
    <x v="0"/>
    <s v="Southern University and A&amp;M College at Baton Rouge "/>
    <m/>
    <n v="160621"/>
    <x v="2"/>
    <n v="37480339"/>
    <n v="33649853"/>
    <m/>
    <m/>
    <m/>
    <m/>
    <n v="32638437"/>
    <m/>
    <n v="32638437"/>
    <n v="30295010"/>
    <m/>
    <n v="30295010"/>
    <n v="70118776"/>
    <n v="63944863"/>
    <m/>
    <m/>
    <m/>
    <m/>
    <n v="0"/>
    <m/>
    <m/>
    <n v="0"/>
    <m/>
    <m/>
    <m/>
    <m/>
    <m/>
    <m/>
    <n v="70118776"/>
    <n v="63944863"/>
  </r>
  <r>
    <x v="6"/>
    <x v="0"/>
    <s v="Law Center"/>
    <m/>
    <n v="160621"/>
    <x v="2"/>
    <n v="5243559"/>
    <n v="5461695"/>
    <m/>
    <m/>
    <m/>
    <m/>
    <n v="4243919"/>
    <m/>
    <n v="4243919"/>
    <n v="5922909"/>
    <m/>
    <n v="5922909"/>
    <n v="9487478"/>
    <n v="11384604"/>
    <m/>
    <m/>
    <m/>
    <m/>
    <n v="0"/>
    <m/>
    <m/>
    <n v="0"/>
    <m/>
    <m/>
    <m/>
    <m/>
    <m/>
    <m/>
    <n v="9487478"/>
    <n v="11384604"/>
  </r>
  <r>
    <x v="6"/>
    <x v="5"/>
    <s v="Agricultural Center"/>
    <m/>
    <n v="160621"/>
    <x v="2"/>
    <m/>
    <m/>
    <m/>
    <m/>
    <m/>
    <m/>
    <m/>
    <m/>
    <n v="0"/>
    <m/>
    <m/>
    <n v="0"/>
    <n v="0"/>
    <n v="0"/>
    <m/>
    <m/>
    <m/>
    <m/>
    <n v="0"/>
    <m/>
    <m/>
    <n v="0"/>
    <m/>
    <m/>
    <m/>
    <m/>
    <m/>
    <m/>
    <n v="0"/>
    <n v="0"/>
  </r>
  <r>
    <x v="6"/>
    <x v="5"/>
    <s v="Agriculture Center"/>
    <m/>
    <n v="160621"/>
    <x v="2"/>
    <m/>
    <m/>
    <n v="4582677"/>
    <n v="4054950"/>
    <m/>
    <m/>
    <m/>
    <m/>
    <n v="0"/>
    <m/>
    <m/>
    <n v="0"/>
    <n v="4582677"/>
    <n v="4054950"/>
    <m/>
    <m/>
    <m/>
    <m/>
    <n v="0"/>
    <m/>
    <m/>
    <n v="0"/>
    <m/>
    <m/>
    <m/>
    <m/>
    <m/>
    <m/>
    <n v="4582677"/>
    <n v="4054950"/>
  </r>
  <r>
    <x v="6"/>
    <x v="0"/>
    <s v="University of Louisiana at Monroe"/>
    <m/>
    <n v="159993"/>
    <x v="2"/>
    <n v="38195466"/>
    <n v="41000517"/>
    <m/>
    <m/>
    <m/>
    <m/>
    <n v="30244096"/>
    <m/>
    <n v="30244096"/>
    <n v="28879497"/>
    <m/>
    <n v="28879497"/>
    <n v="68439562"/>
    <n v="69880014"/>
    <m/>
    <m/>
    <m/>
    <m/>
    <n v="0"/>
    <m/>
    <m/>
    <n v="0"/>
    <m/>
    <m/>
    <m/>
    <m/>
    <m/>
    <m/>
    <n v="68439562"/>
    <n v="69880014"/>
  </r>
  <r>
    <x v="6"/>
    <x v="0"/>
    <s v="Southeastern Louisiana University "/>
    <m/>
    <n v="160612"/>
    <x v="2"/>
    <n v="53639198"/>
    <n v="53144739"/>
    <m/>
    <m/>
    <m/>
    <m/>
    <n v="45158387"/>
    <m/>
    <n v="45158387"/>
    <n v="45433000"/>
    <m/>
    <n v="45433000"/>
    <n v="98797585"/>
    <n v="98577739"/>
    <m/>
    <m/>
    <m/>
    <m/>
    <n v="0"/>
    <m/>
    <m/>
    <n v="0"/>
    <m/>
    <m/>
    <m/>
    <m/>
    <m/>
    <m/>
    <n v="98797585"/>
    <n v="98577739"/>
  </r>
  <r>
    <x v="6"/>
    <x v="0"/>
    <s v="Grambling State University"/>
    <m/>
    <n v="159009"/>
    <x v="3"/>
    <n v="20983225"/>
    <n v="21512822"/>
    <m/>
    <m/>
    <m/>
    <m/>
    <n v="26180769"/>
    <m/>
    <n v="26180769"/>
    <n v="24647906"/>
    <m/>
    <n v="24647906"/>
    <n v="47163994"/>
    <n v="46160728"/>
    <m/>
    <m/>
    <m/>
    <m/>
    <n v="0"/>
    <m/>
    <m/>
    <n v="0"/>
    <m/>
    <m/>
    <m/>
    <m/>
    <m/>
    <m/>
    <n v="47163994"/>
    <n v="46160728"/>
  </r>
  <r>
    <x v="6"/>
    <x v="0"/>
    <s v="Louisiana State University in Shreveport"/>
    <m/>
    <n v="159416"/>
    <x v="3"/>
    <n v="11854466"/>
    <n v="12566619"/>
    <m/>
    <m/>
    <m/>
    <m/>
    <n v="13873080"/>
    <m/>
    <n v="13873080"/>
    <n v="15396570"/>
    <m/>
    <n v="15396570"/>
    <n v="25727546"/>
    <n v="27963189"/>
    <m/>
    <m/>
    <m/>
    <m/>
    <n v="0"/>
    <m/>
    <m/>
    <n v="0"/>
    <m/>
    <m/>
    <m/>
    <m/>
    <m/>
    <m/>
    <n v="25727546"/>
    <n v="27963189"/>
  </r>
  <r>
    <x v="6"/>
    <x v="0"/>
    <s v="McNeese State University"/>
    <m/>
    <n v="159717"/>
    <x v="3"/>
    <n v="29847626"/>
    <n v="31151238"/>
    <m/>
    <m/>
    <m/>
    <m/>
    <n v="27121556"/>
    <m/>
    <n v="27121556"/>
    <n v="25224971"/>
    <m/>
    <n v="25224971"/>
    <n v="56969182"/>
    <n v="56376209"/>
    <m/>
    <m/>
    <m/>
    <m/>
    <n v="0"/>
    <m/>
    <m/>
    <n v="0"/>
    <m/>
    <m/>
    <m/>
    <m/>
    <m/>
    <m/>
    <n v="56969182"/>
    <n v="56376209"/>
  </r>
  <r>
    <x v="6"/>
    <x v="0"/>
    <s v="Northwestern State University"/>
    <m/>
    <n v="160038"/>
    <x v="3"/>
    <n v="33571371"/>
    <n v="33370746"/>
    <m/>
    <m/>
    <m/>
    <m/>
    <n v="29717270"/>
    <m/>
    <n v="29717270"/>
    <n v="29937852"/>
    <m/>
    <n v="29937852"/>
    <n v="63288641"/>
    <n v="63308598"/>
    <m/>
    <m/>
    <m/>
    <m/>
    <n v="0"/>
    <m/>
    <m/>
    <n v="0"/>
    <m/>
    <m/>
    <m/>
    <m/>
    <m/>
    <m/>
    <n v="63288641"/>
    <n v="63308598"/>
  </r>
  <r>
    <x v="6"/>
    <x v="0"/>
    <s v="Nicholls State University "/>
    <m/>
    <n v="159966"/>
    <x v="3"/>
    <n v="24368983"/>
    <n v="25219075"/>
    <m/>
    <m/>
    <m/>
    <m/>
    <n v="22165029"/>
    <m/>
    <n v="22165029"/>
    <n v="23349145"/>
    <m/>
    <n v="23349145"/>
    <n v="46534012"/>
    <n v="48568220"/>
    <m/>
    <m/>
    <m/>
    <m/>
    <n v="0"/>
    <m/>
    <m/>
    <n v="0"/>
    <m/>
    <m/>
    <m/>
    <m/>
    <m/>
    <m/>
    <n v="46534012"/>
    <n v="48568220"/>
  </r>
  <r>
    <x v="6"/>
    <x v="0"/>
    <s v="Southern University at New Orleans"/>
    <s v="Met the criteria for Four-year 5 in 2010-11."/>
    <n v="160630"/>
    <x v="3"/>
    <n v="10366136"/>
    <n v="10117763"/>
    <m/>
    <m/>
    <m/>
    <m/>
    <n v="6638669"/>
    <m/>
    <n v="6638669"/>
    <n v="8405529"/>
    <m/>
    <n v="8405529"/>
    <n v="17004805"/>
    <n v="18523292"/>
    <m/>
    <m/>
    <m/>
    <m/>
    <n v="0"/>
    <m/>
    <m/>
    <n v="0"/>
    <m/>
    <m/>
    <m/>
    <m/>
    <m/>
    <m/>
    <n v="17004805"/>
    <n v="18523292"/>
  </r>
  <r>
    <x v="6"/>
    <x v="0"/>
    <s v="Louisiana State University at Alexandria"/>
    <s v="Met the criteria for Four-Year 6 in 2009-10 and 2010-11."/>
    <n v="159382"/>
    <x v="13"/>
    <n v="8184804"/>
    <n v="8368498"/>
    <m/>
    <m/>
    <m/>
    <m/>
    <n v="8001183"/>
    <m/>
    <n v="8001183"/>
    <n v="8234749"/>
    <m/>
    <n v="8234749"/>
    <n v="16185987"/>
    <n v="16603247"/>
    <m/>
    <m/>
    <m/>
    <m/>
    <n v="0"/>
    <m/>
    <m/>
    <n v="0"/>
    <m/>
    <m/>
    <m/>
    <m/>
    <m/>
    <m/>
    <n v="16185987"/>
    <n v="16603247"/>
  </r>
  <r>
    <x v="6"/>
    <x v="0"/>
    <s v="Delgado Community College "/>
    <s v="Now includes LTC-Jefferson Campus and LTC-W.Jefferson Campus"/>
    <n v="158662"/>
    <x v="6"/>
    <n v="32087842"/>
    <n v="35039622"/>
    <m/>
    <m/>
    <m/>
    <m/>
    <n v="32788765"/>
    <m/>
    <n v="32788765"/>
    <n v="40019653"/>
    <m/>
    <n v="40019653"/>
    <n v="64876607"/>
    <n v="75059275"/>
    <m/>
    <m/>
    <m/>
    <m/>
    <n v="0"/>
    <m/>
    <m/>
    <n v="0"/>
    <m/>
    <m/>
    <m/>
    <m/>
    <m/>
    <m/>
    <n v="64876607"/>
    <n v="75059275"/>
  </r>
  <r>
    <x v="6"/>
    <x v="0"/>
    <s v="Baton Rouge Community College"/>
    <s v="Reclassified: Met criteria for Two-Year 1 in 2008-09, 2009-10 and 2010-11."/>
    <n v="437103"/>
    <x v="6"/>
    <n v="14435972"/>
    <n v="13933107"/>
    <m/>
    <m/>
    <m/>
    <m/>
    <n v="11320849"/>
    <m/>
    <n v="11320849"/>
    <n v="12062682"/>
    <m/>
    <n v="12062682"/>
    <n v="25756821"/>
    <n v="25995789"/>
    <m/>
    <m/>
    <m/>
    <m/>
    <n v="0"/>
    <m/>
    <m/>
    <n v="0"/>
    <m/>
    <m/>
    <m/>
    <m/>
    <m/>
    <m/>
    <n v="25756821"/>
    <n v="25995789"/>
  </r>
  <r>
    <x v="6"/>
    <x v="0"/>
    <s v="Bossier Parish Community College"/>
    <s v="Met the criteria for Two-Year 1 in 2010-11."/>
    <n v="158431"/>
    <x v="7"/>
    <n v="11078482"/>
    <n v="10754855"/>
    <m/>
    <m/>
    <m/>
    <m/>
    <n v="8600954"/>
    <m/>
    <n v="8600954"/>
    <n v="11774227"/>
    <m/>
    <n v="11774227"/>
    <n v="19679436"/>
    <n v="22529082"/>
    <m/>
    <m/>
    <m/>
    <m/>
    <n v="0"/>
    <m/>
    <m/>
    <n v="0"/>
    <m/>
    <m/>
    <m/>
    <m/>
    <m/>
    <m/>
    <n v="19679436"/>
    <n v="22529082"/>
  </r>
  <r>
    <x v="6"/>
    <x v="0"/>
    <s v="Louisiana State University at Eunice"/>
    <m/>
    <n v="159407"/>
    <x v="7"/>
    <n v="6214380"/>
    <n v="6411450"/>
    <m/>
    <m/>
    <m/>
    <m/>
    <n v="5369120"/>
    <m/>
    <n v="5369120"/>
    <n v="6018383"/>
    <m/>
    <n v="6018383"/>
    <n v="11583500"/>
    <n v="12429833"/>
    <m/>
    <m/>
    <m/>
    <m/>
    <n v="0"/>
    <m/>
    <m/>
    <n v="0"/>
    <m/>
    <m/>
    <m/>
    <m/>
    <m/>
    <m/>
    <n v="11583500"/>
    <n v="12429833"/>
  </r>
  <r>
    <x v="6"/>
    <x v="0"/>
    <s v="Louisiana Delta Community College"/>
    <s v="Now includes LTC Tallulah Campus"/>
    <n v="440624"/>
    <x v="8"/>
    <n v="3363044"/>
    <n v="4938528"/>
    <m/>
    <m/>
    <m/>
    <m/>
    <n v="2676686"/>
    <m/>
    <n v="2676686"/>
    <n v="4234892"/>
    <m/>
    <n v="4234892"/>
    <n v="6039730"/>
    <n v="9173420"/>
    <m/>
    <m/>
    <m/>
    <m/>
    <n v="0"/>
    <m/>
    <m/>
    <n v="0"/>
    <m/>
    <m/>
    <m/>
    <m/>
    <m/>
    <m/>
    <n v="6039730"/>
    <n v="9173420"/>
  </r>
  <r>
    <x v="6"/>
    <x v="0"/>
    <s v="Nunez Community College"/>
    <m/>
    <n v="158884"/>
    <x v="8"/>
    <n v="3879114"/>
    <n v="3949000"/>
    <m/>
    <m/>
    <m/>
    <m/>
    <n v="3028377"/>
    <m/>
    <n v="3028377"/>
    <n v="2643570"/>
    <m/>
    <n v="2643570"/>
    <n v="6907491"/>
    <n v="6592570"/>
    <m/>
    <m/>
    <m/>
    <m/>
    <n v="0"/>
    <m/>
    <m/>
    <n v="0"/>
    <m/>
    <m/>
    <m/>
    <m/>
    <m/>
    <m/>
    <n v="6907491"/>
    <n v="6592570"/>
  </r>
  <r>
    <x v="6"/>
    <x v="0"/>
    <s v="River Parishes Community College"/>
    <s v="Now includes LTC Ascension Campus"/>
    <n v="436304"/>
    <x v="8"/>
    <n v="2459339"/>
    <n v="3385143"/>
    <m/>
    <m/>
    <m/>
    <m/>
    <n v="2086393"/>
    <m/>
    <n v="2086393"/>
    <n v="2113807"/>
    <m/>
    <n v="2113807"/>
    <n v="4545732"/>
    <n v="5498950"/>
    <m/>
    <m/>
    <m/>
    <m/>
    <n v="0"/>
    <m/>
    <m/>
    <n v="0"/>
    <m/>
    <m/>
    <m/>
    <m/>
    <m/>
    <m/>
    <n v="4545732"/>
    <n v="5498950"/>
  </r>
  <r>
    <x v="6"/>
    <x v="0"/>
    <s v="South Louisiana Community College"/>
    <s v="Reclassified: Met criteria for Two-Year 2 in 2008-09, 2009-10 and 2010-11."/>
    <n v="434061"/>
    <x v="7"/>
    <n v="5807887"/>
    <n v="5959168"/>
    <m/>
    <m/>
    <m/>
    <m/>
    <n v="5234822"/>
    <m/>
    <n v="5234822"/>
    <n v="5890495"/>
    <m/>
    <n v="5890495"/>
    <n v="11042709"/>
    <n v="11849663"/>
    <m/>
    <m/>
    <m/>
    <m/>
    <n v="0"/>
    <m/>
    <m/>
    <n v="0"/>
    <m/>
    <m/>
    <m/>
    <m/>
    <m/>
    <m/>
    <n v="11042709"/>
    <n v="11849663"/>
  </r>
  <r>
    <x v="6"/>
    <x v="0"/>
    <s v="Southern University in Shreveport"/>
    <s v="Met criteria for Two-Year 2 in 2009-10 and 2010-11."/>
    <n v="160649"/>
    <x v="8"/>
    <n v="6118772"/>
    <n v="7856896"/>
    <m/>
    <m/>
    <m/>
    <m/>
    <n v="4951793"/>
    <m/>
    <n v="4951793"/>
    <n v="4766411"/>
    <m/>
    <n v="4766411"/>
    <n v="11070565"/>
    <n v="12623307"/>
    <m/>
    <m/>
    <m/>
    <m/>
    <n v="0"/>
    <m/>
    <m/>
    <n v="0"/>
    <m/>
    <m/>
    <m/>
    <m/>
    <m/>
    <m/>
    <n v="11070565"/>
    <n v="12623307"/>
  </r>
  <r>
    <x v="6"/>
    <x v="0"/>
    <s v="Sowela Technical Community College"/>
    <m/>
    <n v="160579"/>
    <x v="9"/>
    <n v="5996044"/>
    <n v="6836655"/>
    <m/>
    <m/>
    <m/>
    <m/>
    <n v="3277031"/>
    <m/>
    <n v="3277031"/>
    <n v="2958140"/>
    <m/>
    <n v="2958140"/>
    <n v="9273075"/>
    <n v="9794795"/>
    <m/>
    <m/>
    <m/>
    <m/>
    <n v="0"/>
    <m/>
    <m/>
    <n v="0"/>
    <m/>
    <m/>
    <m/>
    <m/>
    <m/>
    <m/>
    <n v="9273075"/>
    <n v="9794795"/>
  </r>
  <r>
    <x v="6"/>
    <x v="0"/>
    <s v="L.E. Fletcher Technical Community College"/>
    <s v="Met the criteria for Technical Institute or College 1 in 2009-10 and 2010-11."/>
    <n v="160481"/>
    <x v="10"/>
    <n v="3567232"/>
    <n v="3573003"/>
    <m/>
    <m/>
    <m/>
    <m/>
    <n v="2072331"/>
    <m/>
    <n v="2072331"/>
    <n v="3100633"/>
    <m/>
    <n v="3100633"/>
    <n v="5639563"/>
    <n v="6673636"/>
    <m/>
    <m/>
    <m/>
    <m/>
    <n v="0"/>
    <m/>
    <m/>
    <n v="0"/>
    <m/>
    <m/>
    <m/>
    <m/>
    <m/>
    <m/>
    <n v="5639563"/>
    <n v="6673636"/>
  </r>
  <r>
    <x v="6"/>
    <x v="0"/>
    <s v="Louisiana Technical College-Acadian Campus"/>
    <m/>
    <n v="160560"/>
    <x v="15"/>
    <m/>
    <m/>
    <m/>
    <m/>
    <m/>
    <m/>
    <m/>
    <m/>
    <n v="0"/>
    <m/>
    <m/>
    <n v="0"/>
    <n v="0"/>
    <n v="0"/>
    <m/>
    <m/>
    <m/>
    <m/>
    <n v="0"/>
    <m/>
    <m/>
    <n v="0"/>
    <m/>
    <m/>
    <m/>
    <m/>
    <m/>
    <m/>
    <n v="0"/>
    <n v="0"/>
  </r>
  <r>
    <x v="6"/>
    <x v="0"/>
    <s v="Louisiana Technical College-Alexandria Campus"/>
    <m/>
    <n v="158088"/>
    <x v="15"/>
    <m/>
    <m/>
    <m/>
    <m/>
    <m/>
    <m/>
    <m/>
    <m/>
    <n v="0"/>
    <m/>
    <m/>
    <n v="0"/>
    <n v="0"/>
    <n v="0"/>
    <m/>
    <m/>
    <m/>
    <m/>
    <n v="0"/>
    <m/>
    <m/>
    <n v="0"/>
    <m/>
    <m/>
    <m/>
    <m/>
    <m/>
    <m/>
    <n v="0"/>
    <n v="0"/>
  </r>
  <r>
    <x v="6"/>
    <x v="0"/>
    <s v="Louisiana Technical College-Ascension Campus"/>
    <m/>
    <n v="158219"/>
    <x v="15"/>
    <m/>
    <m/>
    <m/>
    <m/>
    <m/>
    <m/>
    <m/>
    <m/>
    <n v="0"/>
    <m/>
    <m/>
    <n v="0"/>
    <n v="0"/>
    <n v="0"/>
    <m/>
    <m/>
    <m/>
    <m/>
    <n v="0"/>
    <m/>
    <m/>
    <n v="0"/>
    <m/>
    <m/>
    <m/>
    <m/>
    <m/>
    <m/>
    <n v="0"/>
    <n v="0"/>
  </r>
  <r>
    <x v="6"/>
    <x v="0"/>
    <s v="Louisiana Technical College-Avoyelles Campus"/>
    <m/>
    <n v="158237"/>
    <x v="15"/>
    <m/>
    <m/>
    <m/>
    <m/>
    <m/>
    <m/>
    <m/>
    <m/>
    <n v="0"/>
    <m/>
    <m/>
    <n v="0"/>
    <n v="0"/>
    <n v="0"/>
    <m/>
    <m/>
    <m/>
    <m/>
    <n v="0"/>
    <m/>
    <m/>
    <n v="0"/>
    <m/>
    <m/>
    <m/>
    <m/>
    <m/>
    <m/>
    <n v="0"/>
    <n v="0"/>
  </r>
  <r>
    <x v="6"/>
    <x v="0"/>
    <s v="Louisiana Technical College-Bastrop Campus"/>
    <m/>
    <n v="158307"/>
    <x v="15"/>
    <m/>
    <m/>
    <m/>
    <m/>
    <m/>
    <m/>
    <m/>
    <m/>
    <n v="0"/>
    <m/>
    <m/>
    <n v="0"/>
    <n v="0"/>
    <n v="0"/>
    <m/>
    <m/>
    <m/>
    <m/>
    <n v="0"/>
    <m/>
    <m/>
    <n v="0"/>
    <m/>
    <m/>
    <m/>
    <m/>
    <m/>
    <m/>
    <n v="0"/>
    <n v="0"/>
  </r>
  <r>
    <x v="6"/>
    <x v="0"/>
    <s v="Louisiana Technical College-Baton Rouge Campus"/>
    <m/>
    <n v="158352"/>
    <x v="15"/>
    <m/>
    <m/>
    <m/>
    <m/>
    <m/>
    <m/>
    <m/>
    <m/>
    <n v="0"/>
    <m/>
    <m/>
    <n v="0"/>
    <n v="0"/>
    <n v="0"/>
    <m/>
    <m/>
    <m/>
    <m/>
    <n v="0"/>
    <m/>
    <m/>
    <n v="0"/>
    <m/>
    <m/>
    <m/>
    <m/>
    <m/>
    <m/>
    <n v="0"/>
    <n v="0"/>
  </r>
  <r>
    <x v="6"/>
    <x v="0"/>
    <s v="Louisiana Technical College-Charles B. Coreil Campus"/>
    <m/>
    <n v="160816"/>
    <x v="15"/>
    <m/>
    <m/>
    <m/>
    <m/>
    <m/>
    <m/>
    <m/>
    <m/>
    <n v="0"/>
    <m/>
    <m/>
    <n v="0"/>
    <n v="0"/>
    <n v="0"/>
    <m/>
    <m/>
    <m/>
    <m/>
    <n v="0"/>
    <m/>
    <m/>
    <n v="0"/>
    <m/>
    <m/>
    <m/>
    <m/>
    <m/>
    <m/>
    <n v="0"/>
    <n v="0"/>
  </r>
  <r>
    <x v="6"/>
    <x v="0"/>
    <s v="Louisiana Technical College-Delta/Ouachita Campus"/>
    <m/>
    <n v="158769"/>
    <x v="15"/>
    <m/>
    <m/>
    <m/>
    <m/>
    <m/>
    <m/>
    <m/>
    <m/>
    <n v="0"/>
    <m/>
    <m/>
    <n v="0"/>
    <n v="0"/>
    <n v="0"/>
    <m/>
    <m/>
    <m/>
    <m/>
    <n v="0"/>
    <m/>
    <m/>
    <n v="0"/>
    <m/>
    <m/>
    <m/>
    <m/>
    <m/>
    <m/>
    <n v="0"/>
    <n v="0"/>
  </r>
  <r>
    <x v="6"/>
    <x v="0"/>
    <s v="Louisiana Technical College-Evangeline Campus"/>
    <m/>
    <n v="158893"/>
    <x v="15"/>
    <m/>
    <m/>
    <m/>
    <m/>
    <m/>
    <m/>
    <m/>
    <m/>
    <n v="0"/>
    <m/>
    <m/>
    <n v="0"/>
    <n v="0"/>
    <n v="0"/>
    <m/>
    <m/>
    <m/>
    <m/>
    <n v="0"/>
    <m/>
    <m/>
    <n v="0"/>
    <m/>
    <m/>
    <m/>
    <m/>
    <m/>
    <m/>
    <n v="0"/>
    <n v="0"/>
  </r>
  <r>
    <x v="6"/>
    <x v="0"/>
    <s v="Louisiana Technical College-Florida Parishes Campus"/>
    <m/>
    <n v="158936"/>
    <x v="15"/>
    <m/>
    <m/>
    <m/>
    <m/>
    <m/>
    <m/>
    <m/>
    <m/>
    <n v="0"/>
    <m/>
    <m/>
    <n v="0"/>
    <n v="0"/>
    <n v="0"/>
    <m/>
    <m/>
    <m/>
    <m/>
    <n v="0"/>
    <m/>
    <m/>
    <n v="0"/>
    <m/>
    <m/>
    <m/>
    <m/>
    <m/>
    <m/>
    <n v="0"/>
    <n v="0"/>
  </r>
  <r>
    <x v="6"/>
    <x v="0"/>
    <s v="Louisiana Technical College-Folkes Campus"/>
    <m/>
    <n v="158945"/>
    <x v="15"/>
    <m/>
    <m/>
    <m/>
    <m/>
    <m/>
    <m/>
    <m/>
    <m/>
    <n v="0"/>
    <m/>
    <m/>
    <n v="0"/>
    <n v="0"/>
    <n v="0"/>
    <m/>
    <m/>
    <m/>
    <m/>
    <n v="0"/>
    <m/>
    <m/>
    <n v="0"/>
    <m/>
    <m/>
    <m/>
    <m/>
    <m/>
    <m/>
    <n v="0"/>
    <n v="0"/>
  </r>
  <r>
    <x v="6"/>
    <x v="0"/>
    <s v="Louisiana Technical College-Gulf Area Campus"/>
    <m/>
    <n v="159018"/>
    <x v="15"/>
    <m/>
    <m/>
    <m/>
    <m/>
    <m/>
    <m/>
    <m/>
    <m/>
    <n v="0"/>
    <m/>
    <m/>
    <n v="0"/>
    <n v="0"/>
    <n v="0"/>
    <m/>
    <m/>
    <m/>
    <m/>
    <n v="0"/>
    <m/>
    <m/>
    <n v="0"/>
    <m/>
    <m/>
    <m/>
    <m/>
    <m/>
    <m/>
    <n v="0"/>
    <n v="0"/>
  </r>
  <r>
    <x v="6"/>
    <x v="0"/>
    <s v="Louisiana Technical College-Hammond Area Campus"/>
    <m/>
    <n v="159045"/>
    <x v="15"/>
    <m/>
    <m/>
    <m/>
    <m/>
    <m/>
    <m/>
    <m/>
    <m/>
    <n v="0"/>
    <m/>
    <m/>
    <n v="0"/>
    <n v="0"/>
    <n v="0"/>
    <m/>
    <m/>
    <m/>
    <m/>
    <n v="0"/>
    <m/>
    <m/>
    <n v="0"/>
    <m/>
    <m/>
    <m/>
    <m/>
    <m/>
    <m/>
    <n v="0"/>
    <n v="0"/>
  </r>
  <r>
    <x v="6"/>
    <x v="0"/>
    <s v="Louisiana Technical College-Huey P. Long Campus"/>
    <m/>
    <n v="159090"/>
    <x v="15"/>
    <m/>
    <m/>
    <m/>
    <m/>
    <m/>
    <m/>
    <m/>
    <m/>
    <n v="0"/>
    <m/>
    <m/>
    <n v="0"/>
    <n v="0"/>
    <n v="0"/>
    <m/>
    <m/>
    <m/>
    <m/>
    <n v="0"/>
    <m/>
    <m/>
    <n v="0"/>
    <m/>
    <m/>
    <m/>
    <m/>
    <m/>
    <m/>
    <n v="0"/>
    <n v="0"/>
  </r>
  <r>
    <x v="6"/>
    <x v="0"/>
    <s v="Louisiana Technical College-Jefferson Campus"/>
    <m/>
    <n v="159258"/>
    <x v="15"/>
    <m/>
    <m/>
    <m/>
    <m/>
    <m/>
    <m/>
    <m/>
    <m/>
    <n v="0"/>
    <m/>
    <m/>
    <n v="0"/>
    <n v="0"/>
    <n v="0"/>
    <m/>
    <m/>
    <m/>
    <m/>
    <n v="0"/>
    <m/>
    <m/>
    <n v="0"/>
    <m/>
    <m/>
    <m/>
    <m/>
    <m/>
    <m/>
    <n v="0"/>
    <n v="0"/>
  </r>
  <r>
    <x v="6"/>
    <x v="0"/>
    <s v="Louisiana Technical College-Jumonville Memorial Campus"/>
    <m/>
    <n v="160214"/>
    <x v="15"/>
    <m/>
    <m/>
    <m/>
    <m/>
    <m/>
    <m/>
    <m/>
    <m/>
    <n v="0"/>
    <m/>
    <m/>
    <n v="0"/>
    <n v="0"/>
    <n v="0"/>
    <m/>
    <m/>
    <m/>
    <m/>
    <n v="0"/>
    <m/>
    <m/>
    <n v="0"/>
    <m/>
    <m/>
    <m/>
    <m/>
    <m/>
    <m/>
    <n v="0"/>
    <n v="0"/>
  </r>
  <r>
    <x v="6"/>
    <x v="0"/>
    <s v="Louisiana Technical College-Lafayette Campus"/>
    <m/>
    <n v="159443"/>
    <x v="15"/>
    <m/>
    <m/>
    <m/>
    <m/>
    <m/>
    <m/>
    <m/>
    <m/>
    <n v="0"/>
    <m/>
    <m/>
    <n v="0"/>
    <n v="0"/>
    <n v="0"/>
    <m/>
    <m/>
    <m/>
    <m/>
    <n v="0"/>
    <m/>
    <m/>
    <n v="0"/>
    <m/>
    <m/>
    <m/>
    <m/>
    <m/>
    <m/>
    <n v="0"/>
    <n v="0"/>
  </r>
  <r>
    <x v="6"/>
    <x v="0"/>
    <s v="Louisiana Technical College-Lafourche Campus"/>
    <m/>
    <n v="160719"/>
    <x v="15"/>
    <m/>
    <m/>
    <m/>
    <m/>
    <m/>
    <m/>
    <m/>
    <m/>
    <n v="0"/>
    <m/>
    <m/>
    <n v="0"/>
    <n v="0"/>
    <n v="0"/>
    <m/>
    <m/>
    <m/>
    <m/>
    <n v="0"/>
    <m/>
    <m/>
    <n v="0"/>
    <m/>
    <m/>
    <m/>
    <m/>
    <m/>
    <m/>
    <n v="0"/>
    <n v="0"/>
  </r>
  <r>
    <x v="6"/>
    <x v="0"/>
    <s v="Louisiana Technical College-Lamar Salter Campus"/>
    <m/>
    <n v="160843"/>
    <x v="15"/>
    <m/>
    <m/>
    <m/>
    <m/>
    <m/>
    <m/>
    <m/>
    <m/>
    <n v="0"/>
    <m/>
    <m/>
    <n v="0"/>
    <n v="0"/>
    <n v="0"/>
    <m/>
    <m/>
    <m/>
    <m/>
    <n v="0"/>
    <m/>
    <m/>
    <n v="0"/>
    <m/>
    <m/>
    <m/>
    <m/>
    <m/>
    <m/>
    <n v="0"/>
    <n v="0"/>
  </r>
  <r>
    <x v="6"/>
    <x v="0"/>
    <s v="Louisiana Technical College-Mansfield Campus"/>
    <m/>
    <n v="159692"/>
    <x v="15"/>
    <m/>
    <m/>
    <m/>
    <m/>
    <m/>
    <m/>
    <m/>
    <m/>
    <n v="0"/>
    <m/>
    <m/>
    <n v="0"/>
    <n v="0"/>
    <n v="0"/>
    <m/>
    <m/>
    <m/>
    <m/>
    <n v="0"/>
    <m/>
    <m/>
    <n v="0"/>
    <m/>
    <m/>
    <m/>
    <m/>
    <m/>
    <m/>
    <n v="0"/>
    <n v="0"/>
  </r>
  <r>
    <x v="6"/>
    <x v="0"/>
    <s v="Louisiana Technical College-Morgan Smith Campus"/>
    <m/>
    <n v="159249"/>
    <x v="15"/>
    <m/>
    <m/>
    <m/>
    <m/>
    <m/>
    <m/>
    <m/>
    <m/>
    <n v="0"/>
    <m/>
    <m/>
    <n v="0"/>
    <n v="0"/>
    <n v="0"/>
    <m/>
    <m/>
    <m/>
    <m/>
    <n v="0"/>
    <m/>
    <m/>
    <n v="0"/>
    <m/>
    <m/>
    <m/>
    <m/>
    <m/>
    <m/>
    <n v="0"/>
    <n v="0"/>
  </r>
  <r>
    <x v="6"/>
    <x v="0"/>
    <s v="Louisiana Technical College-Nachitoches Campus"/>
    <m/>
    <n v="159823"/>
    <x v="15"/>
    <m/>
    <m/>
    <m/>
    <m/>
    <m/>
    <m/>
    <m/>
    <m/>
    <n v="0"/>
    <m/>
    <m/>
    <n v="0"/>
    <n v="0"/>
    <n v="0"/>
    <m/>
    <m/>
    <m/>
    <m/>
    <n v="0"/>
    <m/>
    <m/>
    <n v="0"/>
    <m/>
    <m/>
    <m/>
    <m/>
    <m/>
    <m/>
    <n v="0"/>
    <n v="0"/>
  </r>
  <r>
    <x v="6"/>
    <x v="0"/>
    <s v="Louisiana Technical College-North Central Campus"/>
    <m/>
    <n v="159984"/>
    <x v="15"/>
    <m/>
    <m/>
    <m/>
    <m/>
    <m/>
    <m/>
    <m/>
    <m/>
    <n v="0"/>
    <m/>
    <m/>
    <n v="0"/>
    <n v="0"/>
    <n v="0"/>
    <m/>
    <m/>
    <m/>
    <m/>
    <n v="0"/>
    <m/>
    <m/>
    <n v="0"/>
    <m/>
    <m/>
    <m/>
    <m/>
    <m/>
    <m/>
    <n v="0"/>
    <n v="0"/>
  </r>
  <r>
    <x v="6"/>
    <x v="0"/>
    <s v="Louisiana Technical College-Northeast Louisiana Campus"/>
    <m/>
    <n v="160001"/>
    <x v="15"/>
    <m/>
    <m/>
    <m/>
    <m/>
    <m/>
    <m/>
    <m/>
    <m/>
    <n v="0"/>
    <m/>
    <m/>
    <n v="0"/>
    <n v="0"/>
    <n v="0"/>
    <m/>
    <m/>
    <m/>
    <m/>
    <n v="0"/>
    <m/>
    <m/>
    <n v="0"/>
    <m/>
    <m/>
    <m/>
    <m/>
    <m/>
    <m/>
    <n v="0"/>
    <n v="0"/>
  </r>
  <r>
    <x v="6"/>
    <x v="0"/>
    <s v="Louisiana Technical College-Northwest Louisiana Campus"/>
    <m/>
    <n v="160010"/>
    <x v="15"/>
    <m/>
    <m/>
    <m/>
    <m/>
    <m/>
    <m/>
    <m/>
    <m/>
    <n v="0"/>
    <m/>
    <m/>
    <n v="0"/>
    <n v="0"/>
    <n v="0"/>
    <m/>
    <m/>
    <m/>
    <m/>
    <n v="0"/>
    <m/>
    <m/>
    <n v="0"/>
    <m/>
    <m/>
    <m/>
    <m/>
    <m/>
    <m/>
    <n v="0"/>
    <n v="0"/>
  </r>
  <r>
    <x v="6"/>
    <x v="0"/>
    <s v="Louisiana Technical College-Oakdale Campus"/>
    <m/>
    <n v="160047"/>
    <x v="15"/>
    <m/>
    <m/>
    <m/>
    <m/>
    <m/>
    <m/>
    <m/>
    <m/>
    <n v="0"/>
    <m/>
    <m/>
    <n v="0"/>
    <n v="0"/>
    <n v="0"/>
    <m/>
    <m/>
    <m/>
    <m/>
    <n v="0"/>
    <m/>
    <m/>
    <n v="0"/>
    <m/>
    <m/>
    <m/>
    <m/>
    <m/>
    <m/>
    <n v="0"/>
    <n v="0"/>
  </r>
  <r>
    <x v="6"/>
    <x v="0"/>
    <s v="Louisiana Technical College-River Parishes Campus"/>
    <m/>
    <n v="160311"/>
    <x v="15"/>
    <m/>
    <m/>
    <m/>
    <m/>
    <m/>
    <m/>
    <m/>
    <m/>
    <n v="0"/>
    <m/>
    <m/>
    <n v="0"/>
    <n v="0"/>
    <n v="0"/>
    <m/>
    <m/>
    <m/>
    <m/>
    <n v="0"/>
    <m/>
    <m/>
    <n v="0"/>
    <m/>
    <m/>
    <m/>
    <m/>
    <m/>
    <m/>
    <n v="0"/>
    <n v="0"/>
  </r>
  <r>
    <x v="6"/>
    <x v="0"/>
    <s v="Louisiana Technical College-Ruston Campus"/>
    <m/>
    <n v="160366"/>
    <x v="15"/>
    <m/>
    <m/>
    <m/>
    <m/>
    <m/>
    <m/>
    <m/>
    <m/>
    <n v="0"/>
    <m/>
    <m/>
    <n v="0"/>
    <n v="0"/>
    <n v="0"/>
    <m/>
    <m/>
    <m/>
    <m/>
    <n v="0"/>
    <m/>
    <m/>
    <n v="0"/>
    <m/>
    <m/>
    <m/>
    <m/>
    <m/>
    <m/>
    <n v="0"/>
    <n v="0"/>
  </r>
  <r>
    <x v="6"/>
    <x v="0"/>
    <s v="Louisiana Technical College-Sabine Valley Campus"/>
    <m/>
    <n v="160384"/>
    <x v="15"/>
    <m/>
    <m/>
    <m/>
    <m/>
    <m/>
    <m/>
    <m/>
    <m/>
    <n v="0"/>
    <m/>
    <m/>
    <n v="0"/>
    <n v="0"/>
    <n v="0"/>
    <m/>
    <m/>
    <m/>
    <m/>
    <n v="0"/>
    <m/>
    <m/>
    <n v="0"/>
    <m/>
    <m/>
    <m/>
    <m/>
    <m/>
    <m/>
    <n v="0"/>
    <n v="0"/>
  </r>
  <r>
    <x v="6"/>
    <x v="0"/>
    <s v="Louisiana Technical College-Shelby M. Jackson Campus"/>
    <m/>
    <n v="158583"/>
    <x v="15"/>
    <m/>
    <m/>
    <m/>
    <m/>
    <m/>
    <m/>
    <m/>
    <m/>
    <n v="0"/>
    <m/>
    <m/>
    <n v="0"/>
    <n v="0"/>
    <n v="0"/>
    <m/>
    <m/>
    <m/>
    <m/>
    <n v="0"/>
    <m/>
    <m/>
    <n v="0"/>
    <m/>
    <m/>
    <m/>
    <m/>
    <m/>
    <m/>
    <n v="0"/>
    <n v="0"/>
  </r>
  <r>
    <x v="6"/>
    <x v="0"/>
    <s v="Louisiana Technical College-Shreveport/Bossier Campus"/>
    <m/>
    <n v="160427"/>
    <x v="15"/>
    <m/>
    <m/>
    <m/>
    <m/>
    <m/>
    <m/>
    <m/>
    <m/>
    <n v="0"/>
    <m/>
    <m/>
    <n v="0"/>
    <n v="0"/>
    <n v="0"/>
    <m/>
    <m/>
    <m/>
    <m/>
    <n v="0"/>
    <m/>
    <m/>
    <n v="0"/>
    <m/>
    <m/>
    <m/>
    <m/>
    <m/>
    <m/>
    <n v="0"/>
    <n v="0"/>
  </r>
  <r>
    <x v="6"/>
    <x v="0"/>
    <s v="Louisiana Technical College-Sidney N. Collier Campus"/>
    <m/>
    <n v="160436"/>
    <x v="15"/>
    <m/>
    <m/>
    <m/>
    <m/>
    <m/>
    <m/>
    <m/>
    <m/>
    <n v="0"/>
    <m/>
    <m/>
    <n v="0"/>
    <n v="0"/>
    <n v="0"/>
    <m/>
    <m/>
    <m/>
    <m/>
    <n v="0"/>
    <m/>
    <m/>
    <n v="0"/>
    <m/>
    <m/>
    <m/>
    <m/>
    <m/>
    <m/>
    <n v="0"/>
    <n v="0"/>
  </r>
  <r>
    <x v="6"/>
    <x v="0"/>
    <s v="Louisiana Technical College-Slidell Campus"/>
    <m/>
    <n v="160454"/>
    <x v="15"/>
    <m/>
    <m/>
    <m/>
    <m/>
    <m/>
    <m/>
    <m/>
    <m/>
    <n v="0"/>
    <m/>
    <m/>
    <n v="0"/>
    <n v="0"/>
    <n v="0"/>
    <m/>
    <m/>
    <m/>
    <m/>
    <n v="0"/>
    <m/>
    <m/>
    <n v="0"/>
    <m/>
    <m/>
    <m/>
    <m/>
    <m/>
    <m/>
    <n v="0"/>
    <n v="0"/>
  </r>
  <r>
    <x v="6"/>
    <x v="0"/>
    <s v="Louisiana Technical College-Sullivan Campus"/>
    <m/>
    <n v="160667"/>
    <x v="15"/>
    <m/>
    <m/>
    <m/>
    <m/>
    <m/>
    <m/>
    <m/>
    <m/>
    <n v="0"/>
    <m/>
    <m/>
    <n v="0"/>
    <n v="0"/>
    <n v="0"/>
    <m/>
    <m/>
    <m/>
    <m/>
    <n v="0"/>
    <m/>
    <m/>
    <n v="0"/>
    <m/>
    <m/>
    <m/>
    <m/>
    <m/>
    <m/>
    <n v="0"/>
    <n v="0"/>
  </r>
  <r>
    <x v="6"/>
    <x v="0"/>
    <s v="Louisiana Technical College-T.H. Harris Campus"/>
    <m/>
    <n v="160676"/>
    <x v="15"/>
    <m/>
    <m/>
    <m/>
    <m/>
    <m/>
    <m/>
    <m/>
    <m/>
    <n v="0"/>
    <m/>
    <m/>
    <n v="0"/>
    <n v="0"/>
    <n v="0"/>
    <m/>
    <m/>
    <m/>
    <m/>
    <n v="0"/>
    <m/>
    <m/>
    <n v="0"/>
    <m/>
    <m/>
    <m/>
    <m/>
    <m/>
    <m/>
    <n v="0"/>
    <n v="0"/>
  </r>
  <r>
    <x v="6"/>
    <x v="0"/>
    <s v="Louisiana Technical College-Tallulah Campus"/>
    <m/>
    <n v="160685"/>
    <x v="15"/>
    <m/>
    <m/>
    <m/>
    <m/>
    <m/>
    <m/>
    <m/>
    <m/>
    <n v="0"/>
    <m/>
    <m/>
    <n v="0"/>
    <n v="0"/>
    <n v="0"/>
    <m/>
    <m/>
    <m/>
    <m/>
    <n v="0"/>
    <m/>
    <m/>
    <n v="0"/>
    <m/>
    <m/>
    <m/>
    <m/>
    <m/>
    <m/>
    <n v="0"/>
    <n v="0"/>
  </r>
  <r>
    <x v="6"/>
    <x v="0"/>
    <s v="Louisiana Technical College-Teche Area Campus"/>
    <m/>
    <n v="160694"/>
    <x v="15"/>
    <m/>
    <m/>
    <m/>
    <m/>
    <m/>
    <m/>
    <m/>
    <m/>
    <n v="0"/>
    <m/>
    <m/>
    <n v="0"/>
    <n v="0"/>
    <n v="0"/>
    <m/>
    <m/>
    <m/>
    <m/>
    <n v="0"/>
    <m/>
    <m/>
    <n v="0"/>
    <m/>
    <m/>
    <m/>
    <m/>
    <m/>
    <m/>
    <n v="0"/>
    <n v="0"/>
  </r>
  <r>
    <x v="6"/>
    <x v="0"/>
    <s v="Louisiana Technical College-West Jefferson Campus"/>
    <m/>
    <n v="159267"/>
    <x v="15"/>
    <m/>
    <m/>
    <m/>
    <m/>
    <m/>
    <m/>
    <m/>
    <m/>
    <n v="0"/>
    <m/>
    <m/>
    <n v="0"/>
    <n v="0"/>
    <n v="0"/>
    <m/>
    <m/>
    <m/>
    <m/>
    <n v="0"/>
    <m/>
    <m/>
    <n v="0"/>
    <m/>
    <m/>
    <m/>
    <m/>
    <m/>
    <m/>
    <n v="0"/>
    <n v="0"/>
  </r>
  <r>
    <x v="6"/>
    <x v="0"/>
    <s v="Louisiana Technical College-Westside Campus"/>
    <m/>
    <n v="160870"/>
    <x v="15"/>
    <m/>
    <m/>
    <m/>
    <m/>
    <m/>
    <m/>
    <m/>
    <m/>
    <n v="0"/>
    <m/>
    <m/>
    <n v="0"/>
    <n v="0"/>
    <n v="0"/>
    <m/>
    <m/>
    <m/>
    <m/>
    <n v="0"/>
    <m/>
    <m/>
    <n v="0"/>
    <m/>
    <m/>
    <m/>
    <m/>
    <m/>
    <m/>
    <n v="0"/>
    <n v="0"/>
  </r>
  <r>
    <x v="6"/>
    <x v="0"/>
    <s v="Louisiana Technical College-Young Memorial Campus"/>
    <m/>
    <n v="160913"/>
    <x v="15"/>
    <m/>
    <m/>
    <m/>
    <m/>
    <m/>
    <m/>
    <m/>
    <m/>
    <n v="0"/>
    <m/>
    <m/>
    <n v="0"/>
    <n v="0"/>
    <n v="0"/>
    <m/>
    <m/>
    <m/>
    <m/>
    <n v="0"/>
    <m/>
    <m/>
    <n v="0"/>
    <m/>
    <m/>
    <m/>
    <m/>
    <m/>
    <m/>
    <n v="0"/>
    <n v="0"/>
  </r>
  <r>
    <x v="6"/>
    <x v="0"/>
    <s v="Louisiana Technical Colleges -- all campuses"/>
    <m/>
    <m/>
    <x v="15"/>
    <n v="58951919"/>
    <m/>
    <m/>
    <m/>
    <m/>
    <m/>
    <n v="13188894"/>
    <m/>
    <n v="13188894"/>
    <m/>
    <m/>
    <n v="0"/>
    <n v="72140813"/>
    <n v="0"/>
    <m/>
    <m/>
    <m/>
    <m/>
    <n v="0"/>
    <m/>
    <m/>
    <n v="0"/>
    <m/>
    <m/>
    <m/>
    <m/>
    <m/>
    <m/>
    <n v="72140813"/>
    <n v="0"/>
  </r>
  <r>
    <x v="6"/>
    <x v="0"/>
    <s v="Acadiana Technical College"/>
    <s v="Includes LTC Acadian, C.B. Coreil, Evangaline, Gulf Area, Lafayette, T.H. Harris and Teche Area Campuses"/>
    <m/>
    <x v="9"/>
    <m/>
    <n v="12004619"/>
    <m/>
    <m/>
    <m/>
    <m/>
    <m/>
    <m/>
    <n v="0"/>
    <n v="2347032"/>
    <m/>
    <n v="2347032"/>
    <n v="0"/>
    <n v="14351651"/>
    <m/>
    <m/>
    <m/>
    <m/>
    <n v="0"/>
    <m/>
    <m/>
    <n v="0"/>
    <m/>
    <m/>
    <m/>
    <m/>
    <m/>
    <m/>
    <n v="0"/>
    <n v="14351651"/>
  </r>
  <r>
    <x v="6"/>
    <x v="0"/>
    <s v="Capital Area Technical College"/>
    <s v="Includes LTC Baton Rouge, Folkes, Jumonville Memorial and Westside Campuses"/>
    <m/>
    <x v="9"/>
    <m/>
    <n v="7476847"/>
    <m/>
    <m/>
    <m/>
    <m/>
    <m/>
    <m/>
    <n v="0"/>
    <n v="636849"/>
    <m/>
    <n v="636849"/>
    <n v="0"/>
    <n v="8113696"/>
    <m/>
    <m/>
    <m/>
    <m/>
    <n v="0"/>
    <m/>
    <m/>
    <n v="0"/>
    <m/>
    <m/>
    <m/>
    <m/>
    <m/>
    <m/>
    <n v="0"/>
    <n v="8113696"/>
  </r>
  <r>
    <x v="6"/>
    <x v="0"/>
    <s v="Central LA Technical College"/>
    <s v="Includes LTC Alexandria, Avoyelles, Huey P. Long, Lamar-Salter, Morgan Smith, Oakdale and Shelby M. Jackson campuses"/>
    <m/>
    <x v="9"/>
    <m/>
    <n v="7485174"/>
    <m/>
    <m/>
    <m/>
    <m/>
    <m/>
    <m/>
    <n v="0"/>
    <n v="796557"/>
    <m/>
    <n v="796557"/>
    <n v="0"/>
    <n v="8281731"/>
    <m/>
    <m/>
    <m/>
    <m/>
    <n v="0"/>
    <m/>
    <m/>
    <n v="0"/>
    <m/>
    <m/>
    <m/>
    <m/>
    <m/>
    <m/>
    <n v="0"/>
    <n v="8281731"/>
  </r>
  <r>
    <x v="6"/>
    <x v="0"/>
    <s v="Northeast Technical College"/>
    <s v="Includes LTC Bastrop, Delta/Ouachita, North Central, Northeast Louisiana and Ruston Campuses"/>
    <m/>
    <x v="9"/>
    <m/>
    <n v="5989003"/>
    <m/>
    <m/>
    <m/>
    <m/>
    <m/>
    <m/>
    <n v="0"/>
    <n v="1158958"/>
    <m/>
    <n v="1158958"/>
    <n v="0"/>
    <n v="7147961"/>
    <m/>
    <m/>
    <m/>
    <m/>
    <n v="0"/>
    <m/>
    <m/>
    <n v="0"/>
    <m/>
    <m/>
    <m/>
    <m/>
    <m/>
    <m/>
    <n v="0"/>
    <n v="7147961"/>
  </r>
  <r>
    <x v="6"/>
    <x v="0"/>
    <s v="Northshore Technical College"/>
    <s v="Includes LTC Florida Parishes, Hammond Area and Sullivan Campuses"/>
    <m/>
    <x v="9"/>
    <m/>
    <n v="5617405"/>
    <m/>
    <m/>
    <m/>
    <m/>
    <m/>
    <m/>
    <n v="0"/>
    <n v="1608401"/>
    <m/>
    <n v="1608401"/>
    <n v="0"/>
    <n v="7225806"/>
    <m/>
    <m/>
    <m/>
    <m/>
    <n v="0"/>
    <m/>
    <m/>
    <n v="0"/>
    <m/>
    <m/>
    <m/>
    <m/>
    <m/>
    <m/>
    <n v="0"/>
    <n v="7225806"/>
  </r>
  <r>
    <x v="6"/>
    <x v="0"/>
    <s v="Northwest LA Technical College"/>
    <s v="Includes LTC Mansfield, Nachitoches, Northwest Louisiana, Sabine Valley and Shreveport/Bossier campuses."/>
    <m/>
    <x v="9"/>
    <m/>
    <n v="8767833"/>
    <m/>
    <m/>
    <m/>
    <m/>
    <m/>
    <m/>
    <n v="0"/>
    <n v="1492543"/>
    <m/>
    <n v="1492543"/>
    <n v="0"/>
    <n v="10260376"/>
    <m/>
    <m/>
    <m/>
    <m/>
    <n v="0"/>
    <m/>
    <m/>
    <n v="0"/>
    <m/>
    <m/>
    <m/>
    <m/>
    <m/>
    <m/>
    <n v="0"/>
    <n v="10260376"/>
  </r>
  <r>
    <x v="6"/>
    <x v="0"/>
    <s v="South Central LA Technical College"/>
    <s v="Includes LTC Laforuche, Rivers Parishes and Young Memorial Campuses"/>
    <m/>
    <x v="9"/>
    <m/>
    <n v="5989003"/>
    <m/>
    <m/>
    <m/>
    <m/>
    <m/>
    <m/>
    <n v="0"/>
    <n v="1767587"/>
    <m/>
    <n v="1767587"/>
    <n v="0"/>
    <n v="7756590"/>
    <m/>
    <m/>
    <m/>
    <m/>
    <n v="0"/>
    <m/>
    <m/>
    <n v="0"/>
    <m/>
    <m/>
    <m/>
    <m/>
    <m/>
    <m/>
    <n v="0"/>
    <n v="7756590"/>
  </r>
  <r>
    <x v="6"/>
    <x v="41"/>
    <s v="Louisiana State University Health Sciences Center—New Orleans"/>
    <m/>
    <n v="159373"/>
    <x v="11"/>
    <m/>
    <m/>
    <m/>
    <m/>
    <m/>
    <m/>
    <m/>
    <m/>
    <n v="0"/>
    <m/>
    <m/>
    <n v="0"/>
    <n v="0"/>
    <n v="0"/>
    <m/>
    <m/>
    <m/>
    <m/>
    <n v="0"/>
    <m/>
    <m/>
    <n v="0"/>
    <n v="97299480"/>
    <n v="102944100"/>
    <n v="21083135"/>
    <m/>
    <n v="23647884"/>
    <m/>
    <n v="118382615"/>
    <n v="126591984"/>
  </r>
  <r>
    <x v="6"/>
    <x v="41"/>
    <s v="Louisiana State University Health Sciences Center — Shreveport"/>
    <m/>
    <n v="435000"/>
    <x v="11"/>
    <m/>
    <m/>
    <m/>
    <m/>
    <m/>
    <m/>
    <m/>
    <m/>
    <n v="0"/>
    <m/>
    <m/>
    <n v="0"/>
    <n v="0"/>
    <n v="0"/>
    <m/>
    <m/>
    <m/>
    <m/>
    <n v="0"/>
    <m/>
    <m/>
    <n v="0"/>
    <n v="60366946"/>
    <n v="59353825"/>
    <n v="7797913"/>
    <m/>
    <n v="8628584"/>
    <m/>
    <n v="68164859"/>
    <n v="67982409"/>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822668"/>
    <n v="574431"/>
    <m/>
    <m/>
    <m/>
    <m/>
    <n v="0"/>
    <m/>
    <m/>
    <n v="0"/>
    <n v="822668"/>
    <n v="574431"/>
    <m/>
    <m/>
    <m/>
    <m/>
    <n v="0"/>
    <m/>
    <m/>
    <n v="0"/>
    <m/>
    <m/>
    <m/>
    <m/>
    <m/>
    <m/>
    <n v="822668"/>
    <n v="574431"/>
  </r>
  <r>
    <x v="6"/>
    <x v="11"/>
    <s v="Audubon Center for Research of Endangered Species (ACRES)"/>
    <m/>
    <m/>
    <x v="12"/>
    <m/>
    <m/>
    <m/>
    <m/>
    <m/>
    <m/>
    <m/>
    <m/>
    <n v="0"/>
    <m/>
    <m/>
    <n v="0"/>
    <n v="0"/>
    <n v="0"/>
    <m/>
    <m/>
    <m/>
    <m/>
    <n v="0"/>
    <m/>
    <m/>
    <n v="0"/>
    <m/>
    <m/>
    <m/>
    <m/>
    <m/>
    <m/>
    <n v="0"/>
    <n v="0"/>
  </r>
  <r>
    <x v="6"/>
    <x v="11"/>
    <s v="LA Universities' Marine Consortium"/>
    <m/>
    <m/>
    <x v="12"/>
    <m/>
    <m/>
    <n v="2741280"/>
    <m/>
    <m/>
    <m/>
    <m/>
    <m/>
    <n v="0"/>
    <m/>
    <m/>
    <n v="0"/>
    <n v="2741280"/>
    <n v="0"/>
    <m/>
    <m/>
    <m/>
    <m/>
    <n v="0"/>
    <m/>
    <m/>
    <n v="0"/>
    <m/>
    <m/>
    <m/>
    <m/>
    <m/>
    <m/>
    <n v="2741280"/>
    <n v="0"/>
  </r>
  <r>
    <x v="6"/>
    <x v="11"/>
    <s v="Pennington Biomedical Research Center"/>
    <m/>
    <m/>
    <x v="12"/>
    <m/>
    <m/>
    <n v="13720891"/>
    <n v="12019252"/>
    <m/>
    <m/>
    <m/>
    <m/>
    <n v="0"/>
    <m/>
    <m/>
    <n v="0"/>
    <n v="13720891"/>
    <n v="12019252"/>
    <m/>
    <m/>
    <m/>
    <m/>
    <n v="0"/>
    <m/>
    <m/>
    <n v="0"/>
    <m/>
    <m/>
    <m/>
    <m/>
    <m/>
    <m/>
    <n v="13720891"/>
    <n v="12019252"/>
  </r>
  <r>
    <x v="6"/>
    <x v="13"/>
    <s v="Education special purpose funds — all other"/>
    <m/>
    <m/>
    <x v="12"/>
    <m/>
    <m/>
    <m/>
    <m/>
    <m/>
    <m/>
    <m/>
    <m/>
    <n v="0"/>
    <m/>
    <m/>
    <n v="0"/>
    <n v="0"/>
    <n v="0"/>
    <m/>
    <m/>
    <m/>
    <m/>
    <n v="0"/>
    <m/>
    <m/>
    <n v="0"/>
    <m/>
    <m/>
    <m/>
    <m/>
    <m/>
    <m/>
    <n v="0"/>
    <n v="0"/>
  </r>
  <r>
    <x v="6"/>
    <x v="13"/>
    <s v="Health Care WorkForce"/>
    <m/>
    <m/>
    <x v="12"/>
    <m/>
    <m/>
    <n v="12951011"/>
    <n v="671349"/>
    <m/>
    <m/>
    <m/>
    <m/>
    <n v="0"/>
    <m/>
    <m/>
    <n v="0"/>
    <n v="12951011"/>
    <n v="671349"/>
    <m/>
    <m/>
    <m/>
    <m/>
    <n v="0"/>
    <m/>
    <m/>
    <n v="0"/>
    <m/>
    <m/>
    <m/>
    <m/>
    <m/>
    <m/>
    <n v="12951011"/>
    <n v="671349"/>
  </r>
  <r>
    <x v="6"/>
    <x v="13"/>
    <s v="Distance learning"/>
    <m/>
    <m/>
    <x v="12"/>
    <m/>
    <m/>
    <n v="707496"/>
    <n v="500000"/>
    <m/>
    <m/>
    <m/>
    <m/>
    <n v="0"/>
    <m/>
    <m/>
    <n v="0"/>
    <n v="707496"/>
    <n v="500000"/>
    <m/>
    <m/>
    <m/>
    <m/>
    <n v="0"/>
    <m/>
    <m/>
    <n v="0"/>
    <m/>
    <m/>
    <m/>
    <m/>
    <m/>
    <m/>
    <n v="707496"/>
    <n v="500000"/>
  </r>
  <r>
    <x v="6"/>
    <x v="13"/>
    <s v="LA Online Library Network (LOUIS)"/>
    <m/>
    <m/>
    <x v="12"/>
    <m/>
    <m/>
    <n v="2737601"/>
    <n v="650000"/>
    <m/>
    <m/>
    <m/>
    <m/>
    <n v="0"/>
    <m/>
    <m/>
    <n v="0"/>
    <n v="2737601"/>
    <n v="650000"/>
    <m/>
    <m/>
    <m/>
    <m/>
    <n v="0"/>
    <m/>
    <m/>
    <n v="0"/>
    <m/>
    <m/>
    <m/>
    <m/>
    <m/>
    <m/>
    <n v="2737601"/>
    <n v="650000"/>
  </r>
  <r>
    <x v="6"/>
    <x v="13"/>
    <s v="Gene Therapy"/>
    <m/>
    <m/>
    <x v="12"/>
    <m/>
    <m/>
    <n v="1990255"/>
    <n v="0"/>
    <m/>
    <m/>
    <m/>
    <m/>
    <n v="0"/>
    <m/>
    <m/>
    <n v="0"/>
    <n v="1990255"/>
    <n v="0"/>
    <m/>
    <m/>
    <m/>
    <m/>
    <n v="0"/>
    <m/>
    <m/>
    <n v="0"/>
    <m/>
    <m/>
    <m/>
    <m/>
    <m/>
    <m/>
    <n v="1990255"/>
    <n v="0"/>
  </r>
  <r>
    <x v="6"/>
    <x v="13"/>
    <s v="LA Endowment for the Humanities"/>
    <m/>
    <m/>
    <x v="12"/>
    <m/>
    <m/>
    <n v="1100000"/>
    <n v="0"/>
    <m/>
    <m/>
    <m/>
    <m/>
    <n v="0"/>
    <m/>
    <m/>
    <n v="0"/>
    <n v="1100000"/>
    <n v="0"/>
    <m/>
    <m/>
    <m/>
    <m/>
    <n v="0"/>
    <m/>
    <m/>
    <n v="0"/>
    <m/>
    <m/>
    <m/>
    <m/>
    <m/>
    <m/>
    <n v="1100000"/>
    <n v="0"/>
  </r>
  <r>
    <x v="6"/>
    <x v="13"/>
    <s v="Endowed Chairs/Professorships"/>
    <m/>
    <m/>
    <x v="12"/>
    <m/>
    <m/>
    <n v="5880000"/>
    <n v="5880000"/>
    <m/>
    <m/>
    <m/>
    <m/>
    <n v="0"/>
    <m/>
    <m/>
    <n v="0"/>
    <n v="5880000"/>
    <n v="5880000"/>
    <m/>
    <m/>
    <m/>
    <m/>
    <n v="0"/>
    <m/>
    <m/>
    <n v="0"/>
    <m/>
    <m/>
    <m/>
    <m/>
    <m/>
    <m/>
    <n v="5880000"/>
    <n v="5880000"/>
  </r>
  <r>
    <x v="6"/>
    <x v="13"/>
    <s v="Endowed Scholarships"/>
    <m/>
    <m/>
    <x v="12"/>
    <m/>
    <m/>
    <n v="1000000"/>
    <n v="1000000"/>
    <m/>
    <m/>
    <m/>
    <m/>
    <n v="0"/>
    <m/>
    <m/>
    <n v="0"/>
    <n v="1000000"/>
    <n v="1000000"/>
    <m/>
    <m/>
    <m/>
    <m/>
    <n v="0"/>
    <m/>
    <m/>
    <n v="0"/>
    <m/>
    <m/>
    <m/>
    <m/>
    <m/>
    <m/>
    <n v="1000000"/>
    <n v="1000000"/>
  </r>
  <r>
    <x v="6"/>
    <x v="13"/>
    <s v="Secure Campus Funding"/>
    <m/>
    <m/>
    <x v="12"/>
    <m/>
    <m/>
    <n v="212600"/>
    <n v="0"/>
    <m/>
    <m/>
    <m/>
    <m/>
    <n v="0"/>
    <m/>
    <m/>
    <n v="0"/>
    <n v="212600"/>
    <n v="0"/>
    <m/>
    <m/>
    <m/>
    <m/>
    <n v="0"/>
    <m/>
    <m/>
    <n v="0"/>
    <m/>
    <m/>
    <m/>
    <m/>
    <m/>
    <m/>
    <n v="212600"/>
    <n v="0"/>
  </r>
  <r>
    <x v="6"/>
    <x v="13"/>
    <s v="LONI"/>
    <m/>
    <m/>
    <x v="12"/>
    <m/>
    <m/>
    <n v="5152400"/>
    <n v="4582881"/>
    <m/>
    <m/>
    <m/>
    <m/>
    <n v="0"/>
    <m/>
    <m/>
    <n v="0"/>
    <n v="5152400"/>
    <n v="4582881"/>
    <m/>
    <m/>
    <m/>
    <m/>
    <n v="0"/>
    <m/>
    <m/>
    <n v="0"/>
    <m/>
    <m/>
    <m/>
    <m/>
    <m/>
    <m/>
    <n v="5152400"/>
    <n v="4582881"/>
  </r>
  <r>
    <x v="6"/>
    <x v="13"/>
    <s v="Other Initiatives"/>
    <m/>
    <m/>
    <x v="12"/>
    <m/>
    <m/>
    <n v="3687135"/>
    <n v="272060"/>
    <m/>
    <m/>
    <m/>
    <m/>
    <n v="0"/>
    <m/>
    <m/>
    <n v="0"/>
    <n v="3687135"/>
    <n v="272060"/>
    <m/>
    <m/>
    <m/>
    <m/>
    <n v="0"/>
    <m/>
    <m/>
    <n v="0"/>
    <m/>
    <m/>
    <m/>
    <m/>
    <m/>
    <m/>
    <n v="3687135"/>
    <n v="272060"/>
  </r>
  <r>
    <x v="6"/>
    <x v="13"/>
    <s v="Adult Education"/>
    <m/>
    <m/>
    <x v="12"/>
    <m/>
    <m/>
    <n v="474000"/>
    <n v="350000"/>
    <m/>
    <m/>
    <m/>
    <m/>
    <n v="0"/>
    <m/>
    <m/>
    <n v="0"/>
    <n v="474000"/>
    <n v="350000"/>
    <m/>
    <m/>
    <m/>
    <m/>
    <n v="0"/>
    <m/>
    <m/>
    <n v="0"/>
    <m/>
    <m/>
    <m/>
    <m/>
    <m/>
    <m/>
    <n v="474000"/>
    <n v="3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5737767"/>
    <n v="5551568"/>
    <m/>
    <m/>
    <n v="0"/>
    <m/>
    <m/>
    <n v="0"/>
    <m/>
    <m/>
    <m/>
    <m/>
    <m/>
    <m/>
    <n v="5737767"/>
    <n v="5551568"/>
  </r>
  <r>
    <x v="6"/>
    <x v="15"/>
    <s v="Southern University System Office"/>
    <m/>
    <m/>
    <x v="12"/>
    <m/>
    <m/>
    <m/>
    <m/>
    <m/>
    <m/>
    <m/>
    <m/>
    <n v="0"/>
    <m/>
    <m/>
    <n v="0"/>
    <n v="0"/>
    <n v="0"/>
    <n v="2702082"/>
    <n v="2223162"/>
    <m/>
    <m/>
    <n v="0"/>
    <m/>
    <m/>
    <n v="0"/>
    <m/>
    <m/>
    <m/>
    <m/>
    <m/>
    <m/>
    <n v="2702082"/>
    <n v="2223162"/>
  </r>
  <r>
    <x v="6"/>
    <x v="15"/>
    <s v="LA State University System Office"/>
    <m/>
    <m/>
    <x v="12"/>
    <m/>
    <m/>
    <m/>
    <m/>
    <m/>
    <m/>
    <m/>
    <m/>
    <n v="0"/>
    <m/>
    <m/>
    <n v="0"/>
    <n v="0"/>
    <n v="0"/>
    <n v="9660773"/>
    <n v="5285620"/>
    <m/>
    <m/>
    <n v="0"/>
    <m/>
    <m/>
    <n v="0"/>
    <m/>
    <m/>
    <m/>
    <m/>
    <m/>
    <m/>
    <n v="9660773"/>
    <n v="5285620"/>
  </r>
  <r>
    <x v="6"/>
    <x v="15"/>
    <s v="Univ. of LA System Office"/>
    <m/>
    <m/>
    <x v="12"/>
    <m/>
    <m/>
    <m/>
    <m/>
    <m/>
    <m/>
    <m/>
    <m/>
    <n v="0"/>
    <m/>
    <m/>
    <n v="0"/>
    <n v="0"/>
    <n v="0"/>
    <n v="2268169"/>
    <n v="1171509"/>
    <m/>
    <m/>
    <n v="0"/>
    <m/>
    <m/>
    <n v="0"/>
    <m/>
    <m/>
    <m/>
    <m/>
    <m/>
    <m/>
    <n v="2268169"/>
    <n v="1171509"/>
  </r>
  <r>
    <x v="6"/>
    <x v="16"/>
    <s v="Two-year system(s), if any"/>
    <m/>
    <m/>
    <x v="12"/>
    <m/>
    <m/>
    <m/>
    <m/>
    <m/>
    <m/>
    <m/>
    <m/>
    <n v="0"/>
    <m/>
    <m/>
    <n v="0"/>
    <n v="0"/>
    <n v="0"/>
    <m/>
    <m/>
    <m/>
    <m/>
    <n v="0"/>
    <m/>
    <m/>
    <n v="0"/>
    <m/>
    <m/>
    <m/>
    <m/>
    <m/>
    <m/>
    <n v="0"/>
    <n v="0"/>
  </r>
  <r>
    <x v="6"/>
    <x v="16"/>
    <s v="LA Community and Technical College System Office"/>
    <m/>
    <m/>
    <x v="12"/>
    <m/>
    <m/>
    <m/>
    <m/>
    <m/>
    <m/>
    <m/>
    <m/>
    <n v="0"/>
    <m/>
    <m/>
    <n v="0"/>
    <n v="0"/>
    <n v="0"/>
    <n v="14168361"/>
    <n v="16231829"/>
    <m/>
    <m/>
    <n v="0"/>
    <m/>
    <m/>
    <n v="0"/>
    <m/>
    <m/>
    <m/>
    <m/>
    <m/>
    <m/>
    <n v="14168361"/>
    <n v="16231829"/>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3896869"/>
    <n v="3799179"/>
    <m/>
    <m/>
    <n v="0"/>
    <m/>
    <m/>
    <n v="0"/>
    <m/>
    <m/>
    <m/>
    <m/>
    <m/>
    <m/>
    <n v="3896869"/>
    <n v="3799179"/>
  </r>
  <r>
    <x v="6"/>
    <x v="19"/>
    <s v="State Support to Private Colleges Other Than Student Aid (ATI)"/>
    <m/>
    <m/>
    <x v="12"/>
    <m/>
    <m/>
    <m/>
    <m/>
    <m/>
    <m/>
    <m/>
    <m/>
    <n v="0"/>
    <m/>
    <m/>
    <n v="0"/>
    <n v="0"/>
    <n v="0"/>
    <n v="1000000"/>
    <n v="0"/>
    <m/>
    <m/>
    <n v="0"/>
    <m/>
    <m/>
    <n v="0"/>
    <m/>
    <m/>
    <m/>
    <m/>
    <m/>
    <m/>
    <n v="100000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1033550"/>
    <n v="530903"/>
    <m/>
    <m/>
    <n v="0"/>
    <m/>
    <m/>
    <n v="0"/>
    <m/>
    <m/>
    <m/>
    <m/>
    <m/>
    <m/>
    <n v="1033550"/>
    <n v="530903"/>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19479148"/>
    <n v="23843765"/>
    <m/>
    <m/>
    <n v="0"/>
    <m/>
    <m/>
    <n v="0"/>
    <m/>
    <m/>
    <m/>
    <m/>
    <m/>
    <m/>
    <n v="19479148"/>
    <n v="23843765"/>
  </r>
  <r>
    <x v="6"/>
    <x v="30"/>
    <s v="Non need-based"/>
    <m/>
    <m/>
    <x v="12"/>
    <m/>
    <m/>
    <m/>
    <m/>
    <m/>
    <m/>
    <m/>
    <m/>
    <n v="0"/>
    <m/>
    <m/>
    <n v="0"/>
    <n v="0"/>
    <n v="0"/>
    <n v="119164022"/>
    <n v="133605798"/>
    <m/>
    <m/>
    <n v="0"/>
    <m/>
    <m/>
    <n v="0"/>
    <m/>
    <m/>
    <m/>
    <m/>
    <m/>
    <m/>
    <n v="119164022"/>
    <n v="133605798"/>
  </r>
  <r>
    <x v="6"/>
    <x v="31"/>
    <s v="Amount to private sector students"/>
    <m/>
    <m/>
    <x v="12"/>
    <m/>
    <m/>
    <m/>
    <m/>
    <m/>
    <m/>
    <m/>
    <m/>
    <n v="0"/>
    <m/>
    <m/>
    <n v="0"/>
    <n v="0"/>
    <n v="0"/>
    <m/>
    <m/>
    <m/>
    <m/>
    <n v="0"/>
    <m/>
    <m/>
    <n v="0"/>
    <m/>
    <m/>
    <m/>
    <m/>
    <m/>
    <m/>
    <n v="0"/>
    <n v="0"/>
  </r>
  <r>
    <x v="6"/>
    <x v="32"/>
    <s v="Need-based"/>
    <m/>
    <m/>
    <x v="12"/>
    <m/>
    <m/>
    <m/>
    <m/>
    <m/>
    <m/>
    <m/>
    <m/>
    <n v="0"/>
    <m/>
    <m/>
    <n v="0"/>
    <n v="0"/>
    <n v="0"/>
    <n v="2428101"/>
    <n v="2304740"/>
    <m/>
    <m/>
    <n v="0"/>
    <m/>
    <m/>
    <n v="0"/>
    <m/>
    <m/>
    <m/>
    <m/>
    <m/>
    <m/>
    <n v="2428101"/>
    <n v="2304740"/>
  </r>
  <r>
    <x v="6"/>
    <x v="33"/>
    <s v="Non need-based"/>
    <m/>
    <m/>
    <x v="12"/>
    <m/>
    <m/>
    <m/>
    <m/>
    <m/>
    <m/>
    <m/>
    <m/>
    <n v="0"/>
    <m/>
    <m/>
    <n v="0"/>
    <n v="0"/>
    <n v="0"/>
    <n v="10589811"/>
    <n v="11522079"/>
    <m/>
    <m/>
    <n v="0"/>
    <m/>
    <m/>
    <n v="0"/>
    <m/>
    <m/>
    <m/>
    <m/>
    <m/>
    <m/>
    <n v="10589811"/>
    <n v="11522079"/>
  </r>
  <r>
    <x v="6"/>
    <x v="34"/>
    <s v="Limited to public college students only"/>
    <m/>
    <m/>
    <x v="12"/>
    <m/>
    <m/>
    <m/>
    <m/>
    <m/>
    <m/>
    <m/>
    <m/>
    <n v="0"/>
    <m/>
    <m/>
    <n v="0"/>
    <n v="0"/>
    <n v="0"/>
    <m/>
    <m/>
    <m/>
    <m/>
    <n v="0"/>
    <m/>
    <m/>
    <n v="0"/>
    <m/>
    <m/>
    <m/>
    <m/>
    <m/>
    <m/>
    <n v="0"/>
    <n v="0"/>
  </r>
  <r>
    <x v="6"/>
    <x v="34"/>
    <s v="ROCKEFELLER/DUAL ENROLLMENT (Public sec students)"/>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5578800"/>
    <n v="5999100"/>
    <m/>
    <m/>
    <n v="0"/>
    <m/>
    <m/>
    <n v="0"/>
    <m/>
    <m/>
    <m/>
    <m/>
    <m/>
    <m/>
    <n v="5578800"/>
    <n v="5999100"/>
  </r>
  <r>
    <x v="6"/>
    <x v="37"/>
    <s v="Limited to private college students only"/>
    <m/>
    <m/>
    <x v="12"/>
    <m/>
    <m/>
    <m/>
    <m/>
    <m/>
    <m/>
    <m/>
    <m/>
    <n v="0"/>
    <m/>
    <m/>
    <n v="0"/>
    <n v="0"/>
    <n v="0"/>
    <m/>
    <m/>
    <m/>
    <m/>
    <n v="0"/>
    <m/>
    <m/>
    <n v="0"/>
    <m/>
    <m/>
    <m/>
    <m/>
    <m/>
    <m/>
    <n v="0"/>
    <n v="0"/>
  </r>
  <r>
    <x v="6"/>
    <x v="38"/>
    <s v="Need-based"/>
    <m/>
    <m/>
    <x v="12"/>
    <m/>
    <m/>
    <m/>
    <m/>
    <m/>
    <m/>
    <m/>
    <m/>
    <n v="0"/>
    <m/>
    <m/>
    <n v="0"/>
    <n v="0"/>
    <n v="0"/>
    <n v="2100"/>
    <n v="600"/>
    <m/>
    <m/>
    <n v="0"/>
    <m/>
    <m/>
    <n v="0"/>
    <m/>
    <m/>
    <m/>
    <m/>
    <m/>
    <m/>
    <n v="2100"/>
    <n v="600"/>
  </r>
  <r>
    <x v="6"/>
    <x v="39"/>
    <s v="Non need-based"/>
    <m/>
    <m/>
    <x v="12"/>
    <m/>
    <m/>
    <m/>
    <m/>
    <m/>
    <m/>
    <m/>
    <m/>
    <n v="0"/>
    <m/>
    <m/>
    <n v="0"/>
    <n v="0"/>
    <n v="0"/>
    <m/>
    <m/>
    <m/>
    <m/>
    <n v="0"/>
    <m/>
    <m/>
    <n v="0"/>
    <m/>
    <m/>
    <m/>
    <m/>
    <m/>
    <m/>
    <n v="0"/>
    <n v="0"/>
  </r>
  <r>
    <x v="7"/>
    <x v="0"/>
    <s v="University of Maryland College Park"/>
    <m/>
    <n v="163286"/>
    <x v="0"/>
    <n v="380317317"/>
    <n v="367696216"/>
    <m/>
    <m/>
    <m/>
    <m/>
    <n v="418864892"/>
    <m/>
    <n v="418864892"/>
    <n v="417706873"/>
    <m/>
    <n v="417706873"/>
    <n v="799182209"/>
    <n v="785403089"/>
    <m/>
    <m/>
    <m/>
    <m/>
    <n v="0"/>
    <m/>
    <m/>
    <n v="0"/>
    <m/>
    <m/>
    <m/>
    <m/>
    <m/>
    <m/>
    <n v="799182209"/>
    <n v="785403089"/>
  </r>
  <r>
    <x v="7"/>
    <x v="4"/>
    <s v="Non-Credit Continuing Education"/>
    <m/>
    <n v="163286"/>
    <x v="0"/>
    <s v="^^^revised"/>
    <m/>
    <m/>
    <m/>
    <m/>
    <m/>
    <m/>
    <m/>
    <n v="0"/>
    <m/>
    <m/>
    <n v="0"/>
    <n v="0"/>
    <n v="0"/>
    <m/>
    <m/>
    <m/>
    <m/>
    <n v="0"/>
    <m/>
    <m/>
    <n v="0"/>
    <m/>
    <m/>
    <m/>
    <m/>
    <m/>
    <m/>
    <n v="0"/>
    <n v="0"/>
  </r>
  <r>
    <x v="7"/>
    <x v="5"/>
    <s v="Agricultural cooperative extension"/>
    <m/>
    <n v="163286"/>
    <x v="0"/>
    <m/>
    <m/>
    <n v="17379537"/>
    <n v="19181748"/>
    <m/>
    <m/>
    <m/>
    <m/>
    <n v="0"/>
    <m/>
    <m/>
    <n v="0"/>
    <n v="17379537"/>
    <n v="19181748"/>
    <m/>
    <m/>
    <m/>
    <m/>
    <n v="0"/>
    <m/>
    <m/>
    <n v="0"/>
    <m/>
    <m/>
    <m/>
    <m/>
    <m/>
    <m/>
    <n v="17379537"/>
    <n v="19181748"/>
  </r>
  <r>
    <x v="7"/>
    <x v="6"/>
    <s v="Agricultural experiment stations"/>
    <m/>
    <n v="163286"/>
    <x v="0"/>
    <m/>
    <m/>
    <n v="15834373"/>
    <n v="16988676"/>
    <m/>
    <m/>
    <m/>
    <m/>
    <n v="0"/>
    <m/>
    <m/>
    <n v="0"/>
    <n v="15834373"/>
    <n v="16988676"/>
    <m/>
    <m/>
    <m/>
    <m/>
    <n v="0"/>
    <m/>
    <m/>
    <n v="0"/>
    <m/>
    <m/>
    <m/>
    <m/>
    <m/>
    <m/>
    <n v="15834373"/>
    <n v="16988676"/>
  </r>
  <r>
    <x v="7"/>
    <x v="7"/>
    <s v="Research centers/institutes"/>
    <m/>
    <n v="163286"/>
    <x v="0"/>
    <m/>
    <m/>
    <m/>
    <m/>
    <m/>
    <m/>
    <m/>
    <m/>
    <n v="0"/>
    <m/>
    <m/>
    <n v="0"/>
    <n v="0"/>
    <n v="0"/>
    <m/>
    <m/>
    <m/>
    <m/>
    <n v="0"/>
    <m/>
    <m/>
    <n v="0"/>
    <m/>
    <m/>
    <m/>
    <m/>
    <m/>
    <m/>
    <n v="0"/>
    <n v="0"/>
  </r>
  <r>
    <x v="7"/>
    <x v="7"/>
    <s v="Center for Environmental Science"/>
    <m/>
    <n v="163286"/>
    <x v="0"/>
    <m/>
    <m/>
    <n v="17876232"/>
    <n v="17924773"/>
    <m/>
    <m/>
    <m/>
    <m/>
    <n v="0"/>
    <m/>
    <m/>
    <n v="0"/>
    <n v="17876232"/>
    <n v="17924773"/>
    <m/>
    <m/>
    <m/>
    <m/>
    <n v="0"/>
    <m/>
    <m/>
    <n v="0"/>
    <m/>
    <m/>
    <m/>
    <m/>
    <m/>
    <m/>
    <n v="17876232"/>
    <n v="17924773"/>
  </r>
  <r>
    <x v="7"/>
    <x v="7"/>
    <s v="Biotechnology Institute"/>
    <m/>
    <n v="163286"/>
    <x v="0"/>
    <m/>
    <m/>
    <n v="20543438"/>
    <m/>
    <m/>
    <m/>
    <m/>
    <m/>
    <n v="0"/>
    <m/>
    <m/>
    <n v="0"/>
    <n v="20543438"/>
    <n v="0"/>
    <m/>
    <m/>
    <m/>
    <m/>
    <n v="0"/>
    <m/>
    <m/>
    <n v="0"/>
    <m/>
    <m/>
    <m/>
    <m/>
    <m/>
    <m/>
    <n v="20543438"/>
    <n v="0"/>
  </r>
  <r>
    <x v="7"/>
    <x v="0"/>
    <s v="University of Maryland, Baltimore County"/>
    <m/>
    <n v="163268"/>
    <x v="1"/>
    <n v="88737822"/>
    <n v="89306609"/>
    <m/>
    <m/>
    <m/>
    <m/>
    <n v="94330396"/>
    <m/>
    <n v="94330396"/>
    <n v="93990242"/>
    <m/>
    <n v="93990242"/>
    <n v="183068218"/>
    <n v="183296851"/>
    <m/>
    <m/>
    <m/>
    <m/>
    <n v="0"/>
    <m/>
    <m/>
    <n v="0"/>
    <m/>
    <m/>
    <m/>
    <m/>
    <m/>
    <m/>
    <n v="183068218"/>
    <n v="183296851"/>
  </r>
  <r>
    <x v="7"/>
    <x v="0"/>
    <s v="Morgan State University"/>
    <s v="Met the criteria for  Four-Year 2 in 2009-10 and 2010-11."/>
    <n v="163453"/>
    <x v="2"/>
    <n v="71224997"/>
    <n v="72946259"/>
    <m/>
    <m/>
    <m/>
    <m/>
    <n v="48064395"/>
    <m/>
    <n v="48064395"/>
    <n v="50028652"/>
    <m/>
    <n v="50028652"/>
    <n v="119289392"/>
    <n v="122974911"/>
    <m/>
    <m/>
    <m/>
    <m/>
    <n v="0"/>
    <m/>
    <m/>
    <n v="0"/>
    <m/>
    <m/>
    <m/>
    <m/>
    <m/>
    <m/>
    <n v="119289392"/>
    <n v="122974911"/>
  </r>
  <r>
    <x v="7"/>
    <x v="0"/>
    <s v="Towson University "/>
    <m/>
    <n v="164076"/>
    <x v="2"/>
    <n v="88928616"/>
    <n v="89569941"/>
    <m/>
    <m/>
    <m/>
    <m/>
    <n v="147993953"/>
    <m/>
    <n v="147993953"/>
    <n v="155733707"/>
    <m/>
    <n v="155733707"/>
    <n v="236922569"/>
    <n v="245303648"/>
    <m/>
    <m/>
    <m/>
    <m/>
    <n v="0"/>
    <m/>
    <m/>
    <n v="0"/>
    <m/>
    <m/>
    <m/>
    <m/>
    <m/>
    <m/>
    <n v="236922569"/>
    <n v="245303648"/>
  </r>
  <r>
    <x v="7"/>
    <x v="0"/>
    <s v="Bowie State University "/>
    <m/>
    <n v="162007"/>
    <x v="3"/>
    <n v="35349241"/>
    <n v="34921359"/>
    <m/>
    <m/>
    <m/>
    <m/>
    <n v="32956142"/>
    <m/>
    <n v="32956142"/>
    <n v="32332735"/>
    <m/>
    <n v="32332735"/>
    <n v="68305383"/>
    <n v="67254094"/>
    <m/>
    <m/>
    <m/>
    <m/>
    <n v="0"/>
    <m/>
    <m/>
    <n v="0"/>
    <m/>
    <m/>
    <m/>
    <m/>
    <m/>
    <m/>
    <n v="68305383"/>
    <n v="67254094"/>
  </r>
  <r>
    <x v="7"/>
    <x v="0"/>
    <s v="Coppin State University"/>
    <s v="Met the criteria for Four-Year 5 in 2010-11."/>
    <n v="162283"/>
    <x v="3"/>
    <n v="37899470"/>
    <n v="37774962"/>
    <m/>
    <m/>
    <m/>
    <m/>
    <n v="16490326"/>
    <m/>
    <n v="16490326"/>
    <n v="16882136"/>
    <m/>
    <n v="16882136"/>
    <n v="54389796"/>
    <n v="54657098"/>
    <m/>
    <m/>
    <m/>
    <m/>
    <n v="0"/>
    <m/>
    <m/>
    <n v="0"/>
    <m/>
    <m/>
    <m/>
    <m/>
    <m/>
    <m/>
    <n v="54389796"/>
    <n v="54657098"/>
  </r>
  <r>
    <x v="7"/>
    <x v="0"/>
    <s v="Frostburg State University "/>
    <m/>
    <n v="162584"/>
    <x v="3"/>
    <n v="32711204"/>
    <n v="32851678"/>
    <m/>
    <m/>
    <m/>
    <m/>
    <n v="31584885"/>
    <m/>
    <n v="31584885"/>
    <n v="31895034"/>
    <m/>
    <n v="31895034"/>
    <n v="64296089"/>
    <n v="64746712"/>
    <m/>
    <m/>
    <m/>
    <m/>
    <n v="0"/>
    <m/>
    <m/>
    <n v="0"/>
    <m/>
    <m/>
    <m/>
    <m/>
    <m/>
    <m/>
    <n v="64296089"/>
    <n v="64746712"/>
  </r>
  <r>
    <x v="7"/>
    <x v="0"/>
    <s v="Salisbury University "/>
    <m/>
    <n v="163851"/>
    <x v="3"/>
    <n v="38662497"/>
    <n v="39049439"/>
    <m/>
    <m/>
    <m/>
    <m/>
    <n v="51401626"/>
    <m/>
    <n v="51401626"/>
    <n v="51707334"/>
    <m/>
    <n v="51707334"/>
    <n v="90064123"/>
    <n v="90756773"/>
    <m/>
    <m/>
    <m/>
    <m/>
    <n v="0"/>
    <m/>
    <m/>
    <n v="0"/>
    <m/>
    <m/>
    <m/>
    <m/>
    <m/>
    <m/>
    <n v="90064123"/>
    <n v="90756773"/>
  </r>
  <r>
    <x v="7"/>
    <x v="0"/>
    <s v="University of Baltimore"/>
    <m/>
    <n v="161873"/>
    <x v="3"/>
    <n v="30460505"/>
    <n v="30123847"/>
    <m/>
    <m/>
    <m/>
    <m/>
    <n v="58685635"/>
    <m/>
    <n v="58685635"/>
    <n v="61682386"/>
    <m/>
    <n v="61682386"/>
    <n v="89146140"/>
    <n v="91806233"/>
    <m/>
    <m/>
    <m/>
    <m/>
    <n v="0"/>
    <m/>
    <m/>
    <n v="0"/>
    <m/>
    <m/>
    <m/>
    <m/>
    <m/>
    <m/>
    <n v="89146140"/>
    <n v="91806233"/>
  </r>
  <r>
    <x v="7"/>
    <x v="0"/>
    <s v="University of Maryland Eastern Shore "/>
    <m/>
    <n v="163338"/>
    <x v="3"/>
    <n v="32928572"/>
    <n v="31867298"/>
    <m/>
    <m/>
    <m/>
    <m/>
    <n v="22780513"/>
    <m/>
    <n v="22780513"/>
    <n v="26582492"/>
    <m/>
    <n v="26582492"/>
    <n v="55709085"/>
    <n v="58449790"/>
    <m/>
    <m/>
    <m/>
    <m/>
    <n v="0"/>
    <m/>
    <m/>
    <n v="0"/>
    <m/>
    <m/>
    <m/>
    <m/>
    <m/>
    <m/>
    <n v="55709085"/>
    <n v="58449790"/>
  </r>
  <r>
    <x v="7"/>
    <x v="0"/>
    <s v="Saint Mary's College of Maryland"/>
    <s v="Met the criteria for Four-Year 5 in 2010-11."/>
    <n v="163912"/>
    <x v="5"/>
    <n v="17214772"/>
    <n v="17517752"/>
    <m/>
    <m/>
    <m/>
    <m/>
    <n v="28550901"/>
    <m/>
    <n v="28550901"/>
    <n v="28669244"/>
    <m/>
    <n v="28669244"/>
    <n v="45765673"/>
    <n v="46186996"/>
    <m/>
    <m/>
    <m/>
    <m/>
    <n v="0"/>
    <m/>
    <m/>
    <n v="0"/>
    <m/>
    <m/>
    <m/>
    <m/>
    <m/>
    <m/>
    <n v="45765673"/>
    <n v="46186996"/>
  </r>
  <r>
    <x v="7"/>
    <x v="0"/>
    <s v="Anne Arundel Community College "/>
    <m/>
    <n v="161767"/>
    <x v="6"/>
    <n v="27503700"/>
    <n v="26648864"/>
    <m/>
    <m/>
    <n v="33822700"/>
    <n v="33822700"/>
    <n v="37616375"/>
    <m/>
    <n v="37616375"/>
    <n v="39689900"/>
    <m/>
    <n v="39689900"/>
    <n v="98942775"/>
    <n v="100161464"/>
    <m/>
    <m/>
    <m/>
    <m/>
    <n v="0"/>
    <m/>
    <m/>
    <n v="0"/>
    <m/>
    <m/>
    <m/>
    <m/>
    <m/>
    <m/>
    <n v="98942775"/>
    <n v="100161464"/>
  </r>
  <r>
    <x v="7"/>
    <x v="0"/>
    <s v="Community College of Baltimore County"/>
    <m/>
    <n v="434672"/>
    <x v="6"/>
    <n v="34524096"/>
    <n v="33670348"/>
    <m/>
    <m/>
    <n v="36855145"/>
    <n v="38462795"/>
    <n v="65337456"/>
    <m/>
    <n v="65337456"/>
    <n v="70897222"/>
    <m/>
    <n v="70897222"/>
    <n v="136716697"/>
    <n v="143030365"/>
    <m/>
    <m/>
    <m/>
    <m/>
    <n v="0"/>
    <m/>
    <m/>
    <n v="0"/>
    <m/>
    <m/>
    <m/>
    <m/>
    <m/>
    <m/>
    <n v="136716697"/>
    <n v="143030365"/>
  </r>
  <r>
    <x v="7"/>
    <x v="0"/>
    <s v="Montgomery College"/>
    <m/>
    <n v="163426"/>
    <x v="6"/>
    <n v="36665429"/>
    <n v="34982472"/>
    <m/>
    <m/>
    <n v="107999261"/>
    <n v="99589930"/>
    <n v="83616598"/>
    <m/>
    <n v="83616598"/>
    <n v="86323592"/>
    <m/>
    <n v="86323592"/>
    <n v="228281288"/>
    <n v="220895994"/>
    <m/>
    <m/>
    <m/>
    <m/>
    <n v="0"/>
    <m/>
    <m/>
    <n v="0"/>
    <m/>
    <m/>
    <m/>
    <m/>
    <m/>
    <m/>
    <n v="228281288"/>
    <n v="220895994"/>
  </r>
  <r>
    <x v="7"/>
    <x v="0"/>
    <s v="Prince George's Community College "/>
    <m/>
    <n v="163657"/>
    <x v="6"/>
    <n v="22798413"/>
    <n v="21484279"/>
    <m/>
    <m/>
    <n v="30484600"/>
    <n v="30245200"/>
    <n v="40392726"/>
    <m/>
    <n v="40392726"/>
    <n v="38496000"/>
    <m/>
    <n v="38496000"/>
    <n v="93675739"/>
    <n v="90225479"/>
    <m/>
    <m/>
    <m/>
    <m/>
    <n v="0"/>
    <m/>
    <m/>
    <n v="0"/>
    <m/>
    <m/>
    <m/>
    <m/>
    <m/>
    <m/>
    <n v="93675739"/>
    <n v="90225479"/>
  </r>
  <r>
    <x v="7"/>
    <x v="0"/>
    <s v="Allegany College of Maryland"/>
    <m/>
    <n v="161688"/>
    <x v="7"/>
    <n v="4734907"/>
    <n v="4702063"/>
    <m/>
    <m/>
    <n v="7425000"/>
    <n v="7425000"/>
    <n v="16030527"/>
    <m/>
    <n v="16030527"/>
    <n v="15998851"/>
    <m/>
    <n v="15998851"/>
    <n v="28190434"/>
    <n v="28125914"/>
    <m/>
    <m/>
    <m/>
    <m/>
    <n v="0"/>
    <m/>
    <m/>
    <n v="0"/>
    <m/>
    <m/>
    <m/>
    <m/>
    <m/>
    <m/>
    <n v="28190434"/>
    <n v="28125914"/>
  </r>
  <r>
    <x v="7"/>
    <x v="0"/>
    <s v="Baltimore City Community College"/>
    <m/>
    <n v="161864"/>
    <x v="7"/>
    <n v="40202531"/>
    <n v="40902095"/>
    <m/>
    <m/>
    <n v="890919"/>
    <n v="125000"/>
    <n v="18071716"/>
    <m/>
    <n v="18071716"/>
    <n v="19173419"/>
    <m/>
    <n v="19173419"/>
    <n v="59165166"/>
    <n v="60200514"/>
    <m/>
    <m/>
    <m/>
    <m/>
    <n v="0"/>
    <m/>
    <m/>
    <n v="0"/>
    <m/>
    <m/>
    <m/>
    <m/>
    <m/>
    <m/>
    <n v="59165166"/>
    <n v="60200514"/>
  </r>
  <r>
    <x v="7"/>
    <x v="0"/>
    <s v="College of Southern Maryland"/>
    <s v="Met the criteria for Two-Year 1 in 2009-10 and 2010-11."/>
    <n v="162122"/>
    <x v="7"/>
    <n v="10581180"/>
    <n v="10581183"/>
    <m/>
    <m/>
    <n v="14965275"/>
    <n v="15740796"/>
    <n v="23116069"/>
    <m/>
    <n v="23116069"/>
    <n v="26556888"/>
    <m/>
    <n v="26556888"/>
    <n v="48662524"/>
    <n v="52878867"/>
    <m/>
    <m/>
    <m/>
    <m/>
    <n v="0"/>
    <m/>
    <m/>
    <n v="0"/>
    <m/>
    <m/>
    <m/>
    <m/>
    <m/>
    <m/>
    <n v="48662524"/>
    <n v="52878867"/>
  </r>
  <r>
    <x v="7"/>
    <x v="0"/>
    <s v="Frederick Community College "/>
    <m/>
    <n v="162557"/>
    <x v="7"/>
    <n v="7902886"/>
    <n v="7892917"/>
    <m/>
    <m/>
    <n v="14579999"/>
    <n v="13568387"/>
    <n v="16005348"/>
    <m/>
    <n v="16005348"/>
    <n v="17374886"/>
    <m/>
    <n v="17374886"/>
    <n v="38488233"/>
    <n v="38836190"/>
    <m/>
    <m/>
    <m/>
    <m/>
    <n v="0"/>
    <m/>
    <m/>
    <n v="0"/>
    <m/>
    <m/>
    <m/>
    <m/>
    <m/>
    <m/>
    <n v="38488233"/>
    <n v="38836190"/>
  </r>
  <r>
    <x v="7"/>
    <x v="0"/>
    <s v="Hagerstown Community College "/>
    <m/>
    <n v="162690"/>
    <x v="7"/>
    <n v="6852269"/>
    <n v="6812015"/>
    <m/>
    <m/>
    <n v="9045010"/>
    <n v="9045010"/>
    <n v="13722401"/>
    <m/>
    <n v="13722401"/>
    <n v="15565526"/>
    <m/>
    <n v="15565526"/>
    <n v="29619680"/>
    <n v="31422551"/>
    <m/>
    <m/>
    <m/>
    <m/>
    <n v="0"/>
    <m/>
    <m/>
    <n v="0"/>
    <m/>
    <m/>
    <m/>
    <m/>
    <m/>
    <m/>
    <n v="29619680"/>
    <n v="31422551"/>
  </r>
  <r>
    <x v="7"/>
    <x v="0"/>
    <s v="Harford Community College "/>
    <m/>
    <n v="162706"/>
    <x v="7"/>
    <n v="10039487"/>
    <n v="9719168"/>
    <m/>
    <m/>
    <n v="15939806"/>
    <n v="14961612"/>
    <n v="15463161"/>
    <m/>
    <n v="15463161"/>
    <n v="15843367"/>
    <m/>
    <n v="15843367"/>
    <n v="41442454"/>
    <n v="40524147"/>
    <m/>
    <m/>
    <m/>
    <m/>
    <n v="0"/>
    <m/>
    <m/>
    <n v="0"/>
    <m/>
    <m/>
    <m/>
    <m/>
    <m/>
    <m/>
    <n v="41442454"/>
    <n v="40524147"/>
  </r>
  <r>
    <x v="7"/>
    <x v="0"/>
    <s v="Howard Community College "/>
    <s v="Met the criteria for Two-Year 1 in 2009-10 and 2010-11."/>
    <n v="162779"/>
    <x v="7"/>
    <n v="12410298"/>
    <n v="12290083"/>
    <m/>
    <m/>
    <n v="25195470"/>
    <n v="25195470"/>
    <n v="30961268"/>
    <m/>
    <n v="30961268"/>
    <n v="33853509"/>
    <m/>
    <n v="33853509"/>
    <n v="68567036"/>
    <n v="71339062"/>
    <m/>
    <m/>
    <m/>
    <m/>
    <n v="0"/>
    <m/>
    <m/>
    <n v="0"/>
    <m/>
    <m/>
    <m/>
    <m/>
    <m/>
    <m/>
    <n v="68567036"/>
    <n v="71339062"/>
  </r>
  <r>
    <x v="7"/>
    <x v="0"/>
    <s v="Carroll Community College"/>
    <s v="Reclassified: Met the criteria for Two-Year 2 in 2008-09, 2009-10 and 2010-11."/>
    <n v="405872"/>
    <x v="7"/>
    <n v="6896127"/>
    <n v="6697291"/>
    <m/>
    <m/>
    <n v="8473274"/>
    <n v="8533260"/>
    <n v="11022712"/>
    <m/>
    <n v="11022712"/>
    <n v="11409497"/>
    <m/>
    <n v="11409497"/>
    <n v="26392113"/>
    <n v="26640048"/>
    <m/>
    <m/>
    <m/>
    <m/>
    <n v="0"/>
    <m/>
    <m/>
    <n v="0"/>
    <m/>
    <m/>
    <m/>
    <m/>
    <m/>
    <m/>
    <n v="26392113"/>
    <n v="26640048"/>
  </r>
  <r>
    <x v="7"/>
    <x v="0"/>
    <s v="Cecil Community College "/>
    <m/>
    <n v="162104"/>
    <x v="8"/>
    <n v="4534234"/>
    <n v="4554005"/>
    <m/>
    <m/>
    <n v="8124924"/>
    <n v="8125027"/>
    <n v="7497084"/>
    <m/>
    <n v="7497084"/>
    <n v="7584668"/>
    <m/>
    <n v="7584668"/>
    <n v="20156242"/>
    <n v="20263700"/>
    <m/>
    <m/>
    <m/>
    <m/>
    <n v="0"/>
    <m/>
    <m/>
    <n v="0"/>
    <m/>
    <m/>
    <m/>
    <m/>
    <m/>
    <m/>
    <n v="20156242"/>
    <n v="20263700"/>
  </r>
  <r>
    <x v="7"/>
    <x v="0"/>
    <s v="Chesapeake College "/>
    <m/>
    <n v="162168"/>
    <x v="8"/>
    <n v="5450061"/>
    <n v="5564701"/>
    <m/>
    <m/>
    <n v="5885590"/>
    <n v="5885590"/>
    <n v="7158303"/>
    <m/>
    <n v="7158303"/>
    <n v="7106794"/>
    <m/>
    <n v="7106794"/>
    <n v="18493954"/>
    <n v="18557085"/>
    <m/>
    <m/>
    <m/>
    <m/>
    <n v="0"/>
    <m/>
    <m/>
    <n v="0"/>
    <m/>
    <m/>
    <m/>
    <m/>
    <m/>
    <m/>
    <n v="18493954"/>
    <n v="18557085"/>
  </r>
  <r>
    <x v="7"/>
    <x v="0"/>
    <s v="Garrett College "/>
    <m/>
    <n v="162609"/>
    <x v="8"/>
    <n v="2312184"/>
    <n v="2217155"/>
    <m/>
    <m/>
    <n v="4273000"/>
    <n v="4318000"/>
    <n v="3608315"/>
    <m/>
    <n v="3608315"/>
    <n v="3394244"/>
    <m/>
    <n v="3394244"/>
    <n v="10193499"/>
    <n v="9929399"/>
    <m/>
    <m/>
    <m/>
    <m/>
    <n v="0"/>
    <m/>
    <m/>
    <n v="0"/>
    <m/>
    <m/>
    <m/>
    <m/>
    <m/>
    <m/>
    <n v="10193499"/>
    <n v="9929399"/>
  </r>
  <r>
    <x v="7"/>
    <x v="0"/>
    <s v="Wor-Wic Community College "/>
    <s v="Reclassified: Met the criteria for Two-Year 2 in 2008-09, 2009-10 and 2010-11."/>
    <n v="164313"/>
    <x v="7"/>
    <n v="6597178"/>
    <n v="6590877"/>
    <m/>
    <m/>
    <n v="5298980"/>
    <n v="4441762"/>
    <n v="9943985"/>
    <m/>
    <n v="9943985"/>
    <n v="11060653"/>
    <m/>
    <n v="11060653"/>
    <n v="21840143"/>
    <n v="22093292"/>
    <m/>
    <m/>
    <m/>
    <m/>
    <n v="0"/>
    <m/>
    <m/>
    <n v="0"/>
    <m/>
    <m/>
    <m/>
    <m/>
    <m/>
    <m/>
    <n v="21840143"/>
    <n v="22093292"/>
  </r>
  <r>
    <x v="7"/>
    <x v="9"/>
    <s v="University of Maryland University College"/>
    <m/>
    <n v="163204"/>
    <x v="11"/>
    <m/>
    <m/>
    <m/>
    <m/>
    <m/>
    <m/>
    <m/>
    <m/>
    <n v="0"/>
    <m/>
    <m/>
    <n v="0"/>
    <n v="0"/>
    <n v="0"/>
    <n v="29804848"/>
    <n v="31429876"/>
    <n v="267347042"/>
    <m/>
    <n v="267347042"/>
    <n v="238241134"/>
    <m/>
    <n v="238241134"/>
    <m/>
    <m/>
    <m/>
    <m/>
    <m/>
    <m/>
    <n v="297151890"/>
    <n v="269671010"/>
  </r>
  <r>
    <x v="7"/>
    <x v="41"/>
    <s v="University of Maryland at Baltimore"/>
    <m/>
    <n v="163259"/>
    <x v="11"/>
    <m/>
    <m/>
    <m/>
    <m/>
    <m/>
    <m/>
    <m/>
    <m/>
    <n v="0"/>
    <m/>
    <m/>
    <n v="0"/>
    <n v="0"/>
    <n v="0"/>
    <m/>
    <m/>
    <m/>
    <m/>
    <n v="0"/>
    <m/>
    <m/>
    <n v="0"/>
    <n v="180473559"/>
    <n v="178589273"/>
    <n v="101793051"/>
    <m/>
    <n v="104033790"/>
    <m/>
    <n v="282266610"/>
    <n v="282623063"/>
  </r>
  <r>
    <x v="7"/>
    <x v="13"/>
    <s v="Education special purpose funds — all other"/>
    <m/>
    <m/>
    <x v="12"/>
    <m/>
    <m/>
    <m/>
    <m/>
    <m/>
    <m/>
    <m/>
    <m/>
    <n v="0"/>
    <m/>
    <m/>
    <n v="0"/>
    <n v="0"/>
    <n v="0"/>
    <m/>
    <m/>
    <m/>
    <m/>
    <n v="0"/>
    <m/>
    <m/>
    <n v="0"/>
    <m/>
    <m/>
    <m/>
    <m/>
    <m/>
    <m/>
    <n v="0"/>
    <n v="0"/>
  </r>
  <r>
    <x v="7"/>
    <x v="13"/>
    <s v="Community College Statewide Programs"/>
    <m/>
    <m/>
    <x v="12"/>
    <m/>
    <m/>
    <m/>
    <m/>
    <m/>
    <m/>
    <m/>
    <m/>
    <n v="0"/>
    <m/>
    <m/>
    <n v="0"/>
    <n v="0"/>
    <n v="0"/>
    <m/>
    <m/>
    <m/>
    <m/>
    <n v="0"/>
    <m/>
    <m/>
    <n v="0"/>
    <m/>
    <m/>
    <m/>
    <m/>
    <m/>
    <m/>
    <n v="0"/>
    <n v="0"/>
  </r>
  <r>
    <x v="7"/>
    <x v="13"/>
    <s v="Welcome Grants"/>
    <m/>
    <m/>
    <x v="12"/>
    <m/>
    <m/>
    <m/>
    <m/>
    <m/>
    <m/>
    <m/>
    <m/>
    <n v="0"/>
    <m/>
    <m/>
    <n v="0"/>
    <n v="0"/>
    <n v="0"/>
    <m/>
    <m/>
    <m/>
    <m/>
    <n v="0"/>
    <m/>
    <m/>
    <n v="0"/>
    <m/>
    <m/>
    <m/>
    <m/>
    <m/>
    <m/>
    <n v="0"/>
    <n v="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9798634"/>
    <n v="9090943"/>
    <m/>
    <m/>
    <n v="0"/>
    <m/>
    <m/>
    <n v="0"/>
    <m/>
    <m/>
    <m/>
    <m/>
    <m/>
    <m/>
    <n v="9798634"/>
    <n v="9090943"/>
  </r>
  <r>
    <x v="7"/>
    <x v="15"/>
    <s v="Md Commission on Higher Education"/>
    <m/>
    <m/>
    <x v="12"/>
    <m/>
    <m/>
    <m/>
    <m/>
    <m/>
    <m/>
    <m/>
    <m/>
    <n v="0"/>
    <m/>
    <m/>
    <n v="0"/>
    <n v="0"/>
    <n v="0"/>
    <n v="5558809"/>
    <n v="4875109"/>
    <m/>
    <m/>
    <n v="0"/>
    <m/>
    <m/>
    <n v="0"/>
    <m/>
    <m/>
    <m/>
    <m/>
    <m/>
    <m/>
    <n v="5558809"/>
    <n v="4875109"/>
  </r>
  <r>
    <x v="7"/>
    <x v="17"/>
    <s v="National or regional associations, compacts or consortia"/>
    <m/>
    <m/>
    <x v="12"/>
    <m/>
    <m/>
    <m/>
    <m/>
    <m/>
    <m/>
    <m/>
    <m/>
    <n v="0"/>
    <m/>
    <m/>
    <n v="0"/>
    <n v="0"/>
    <n v="0"/>
    <m/>
    <m/>
    <m/>
    <m/>
    <n v="0"/>
    <m/>
    <m/>
    <n v="0"/>
    <m/>
    <m/>
    <m/>
    <m/>
    <m/>
    <m/>
    <n v="0"/>
    <n v="0"/>
  </r>
  <r>
    <x v="7"/>
    <x v="17"/>
    <s v="SREB"/>
    <m/>
    <m/>
    <x v="12"/>
    <m/>
    <m/>
    <m/>
    <m/>
    <m/>
    <m/>
    <m/>
    <m/>
    <n v="0"/>
    <m/>
    <m/>
    <n v="0"/>
    <n v="0"/>
    <n v="0"/>
    <n v="195500"/>
    <n v="195500"/>
    <m/>
    <m/>
    <n v="0"/>
    <m/>
    <m/>
    <n v="0"/>
    <m/>
    <m/>
    <m/>
    <m/>
    <m/>
    <m/>
    <n v="195500"/>
    <n v="195500"/>
  </r>
  <r>
    <x v="7"/>
    <x v="18"/>
    <s v="Adm. of Statewide Student Aid Progs. (incldng centralized guaranteed student loans)"/>
    <m/>
    <m/>
    <x v="12"/>
    <m/>
    <m/>
    <m/>
    <m/>
    <m/>
    <m/>
    <m/>
    <m/>
    <n v="0"/>
    <m/>
    <m/>
    <n v="0"/>
    <n v="0"/>
    <n v="0"/>
    <n v="964504"/>
    <m/>
    <m/>
    <m/>
    <n v="0"/>
    <m/>
    <m/>
    <n v="0"/>
    <m/>
    <m/>
    <m/>
    <m/>
    <m/>
    <m/>
    <n v="964504"/>
    <n v="0"/>
  </r>
  <r>
    <x v="7"/>
    <x v="19"/>
    <s v="State Support to Private Colleges Other Than Student Aid"/>
    <m/>
    <m/>
    <x v="12"/>
    <m/>
    <m/>
    <m/>
    <m/>
    <m/>
    <m/>
    <m/>
    <m/>
    <n v="0"/>
    <m/>
    <m/>
    <n v="0"/>
    <n v="0"/>
    <n v="0"/>
    <n v="38445958"/>
    <n v="38445958"/>
    <m/>
    <m/>
    <n v="0"/>
    <m/>
    <m/>
    <n v="0"/>
    <m/>
    <m/>
    <m/>
    <m/>
    <m/>
    <m/>
    <n v="38445958"/>
    <n v="38445958"/>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3193700"/>
    <n v="1444514"/>
    <m/>
    <m/>
    <n v="0"/>
    <m/>
    <m/>
    <n v="0"/>
    <m/>
    <m/>
    <m/>
    <m/>
    <m/>
    <m/>
    <n v="3193700"/>
    <n v="1444514"/>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438300"/>
    <n v="132650"/>
    <m/>
    <m/>
    <n v="0"/>
    <m/>
    <m/>
    <n v="0"/>
    <m/>
    <m/>
    <m/>
    <m/>
    <m/>
    <m/>
    <n v="438300"/>
    <n v="132650"/>
  </r>
  <r>
    <x v="7"/>
    <x v="27"/>
    <s v="Non need-based"/>
    <m/>
    <m/>
    <x v="12"/>
    <m/>
    <m/>
    <m/>
    <m/>
    <m/>
    <m/>
    <m/>
    <m/>
    <n v="0"/>
    <m/>
    <m/>
    <n v="0"/>
    <n v="0"/>
    <n v="0"/>
    <m/>
    <m/>
    <m/>
    <m/>
    <n v="0"/>
    <m/>
    <m/>
    <n v="0"/>
    <m/>
    <m/>
    <m/>
    <m/>
    <m/>
    <m/>
    <n v="0"/>
    <n v="0"/>
  </r>
  <r>
    <x v="7"/>
    <x v="25"/>
    <s v="Part-Tim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3925146"/>
    <m/>
    <m/>
    <m/>
    <n v="0"/>
    <m/>
    <m/>
    <n v="0"/>
    <m/>
    <m/>
    <m/>
    <m/>
    <m/>
    <m/>
    <n v="3925146"/>
    <n v="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83652"/>
    <m/>
    <m/>
    <m/>
    <n v="0"/>
    <m/>
    <m/>
    <n v="0"/>
    <m/>
    <m/>
    <m/>
    <m/>
    <m/>
    <m/>
    <n v="183652"/>
    <n v="0"/>
  </r>
  <r>
    <x v="7"/>
    <x v="27"/>
    <s v="Non need-based"/>
    <m/>
    <m/>
    <x v="12"/>
    <m/>
    <m/>
    <m/>
    <m/>
    <m/>
    <m/>
    <m/>
    <m/>
    <n v="0"/>
    <m/>
    <m/>
    <n v="0"/>
    <n v="0"/>
    <n v="0"/>
    <m/>
    <m/>
    <m/>
    <m/>
    <n v="0"/>
    <m/>
    <m/>
    <n v="0"/>
    <m/>
    <m/>
    <m/>
    <m/>
    <m/>
    <m/>
    <n v="0"/>
    <n v="0"/>
  </r>
  <r>
    <x v="7"/>
    <x v="25"/>
    <s v="Early College Access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0"/>
    <n v="0"/>
    <m/>
    <m/>
    <n v="0"/>
    <m/>
    <m/>
    <n v="0"/>
    <m/>
    <m/>
    <m/>
    <m/>
    <m/>
    <m/>
    <n v="0"/>
    <n v="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n v="0"/>
    <m/>
    <m/>
    <n v="0"/>
    <m/>
    <m/>
    <n v="0"/>
    <m/>
    <m/>
    <m/>
    <m/>
    <m/>
    <m/>
    <n v="0"/>
    <n v="0"/>
  </r>
  <r>
    <x v="7"/>
    <x v="27"/>
    <s v="Non need-based"/>
    <m/>
    <m/>
    <x v="12"/>
    <m/>
    <m/>
    <m/>
    <m/>
    <m/>
    <m/>
    <m/>
    <m/>
    <n v="0"/>
    <m/>
    <m/>
    <n v="0"/>
    <n v="0"/>
    <n v="0"/>
    <m/>
    <m/>
    <m/>
    <m/>
    <n v="0"/>
    <m/>
    <m/>
    <n v="0"/>
    <m/>
    <m/>
    <m/>
    <m/>
    <m/>
    <m/>
    <n v="0"/>
    <n v="0"/>
  </r>
  <r>
    <x v="7"/>
    <x v="25"/>
    <s v="Graduate and Professional Scholarship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311945"/>
    <m/>
    <m/>
    <m/>
    <n v="0"/>
    <m/>
    <m/>
    <n v="0"/>
    <m/>
    <m/>
    <m/>
    <m/>
    <m/>
    <m/>
    <n v="1311945"/>
    <n v="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98846"/>
    <m/>
    <m/>
    <m/>
    <n v="0"/>
    <m/>
    <m/>
    <n v="0"/>
    <m/>
    <m/>
    <m/>
    <m/>
    <m/>
    <m/>
    <n v="98846"/>
    <n v="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8090814"/>
    <n v="54398982"/>
    <m/>
    <m/>
    <n v="0"/>
    <m/>
    <m/>
    <n v="0"/>
    <m/>
    <m/>
    <m/>
    <m/>
    <m/>
    <m/>
    <n v="58090814"/>
    <n v="54398982"/>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4248382"/>
    <n v="13139600"/>
    <m/>
    <m/>
    <n v="0"/>
    <m/>
    <m/>
    <n v="0"/>
    <m/>
    <m/>
    <m/>
    <m/>
    <m/>
    <m/>
    <n v="14248382"/>
    <n v="13139600"/>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239950"/>
    <n v="5466425"/>
    <m/>
    <m/>
    <n v="0"/>
    <m/>
    <m/>
    <n v="0"/>
    <m/>
    <m/>
    <m/>
    <m/>
    <m/>
    <m/>
    <n v="5239950"/>
    <n v="546642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016850"/>
    <n v="1103150"/>
    <m/>
    <m/>
    <n v="0"/>
    <m/>
    <m/>
    <n v="0"/>
    <m/>
    <m/>
    <m/>
    <m/>
    <m/>
    <m/>
    <n v="1016850"/>
    <n v="110315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22948"/>
    <n v="444432"/>
    <m/>
    <m/>
    <n v="0"/>
    <m/>
    <m/>
    <n v="0"/>
    <m/>
    <m/>
    <m/>
    <m/>
    <m/>
    <m/>
    <n v="622948"/>
    <n v="44443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40545"/>
    <n v="102722"/>
    <m/>
    <m/>
    <n v="0"/>
    <m/>
    <m/>
    <n v="0"/>
    <m/>
    <m/>
    <m/>
    <m/>
    <m/>
    <m/>
    <n v="140545"/>
    <n v="102722"/>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562901"/>
    <n v="3828221"/>
    <m/>
    <m/>
    <n v="0"/>
    <m/>
    <m/>
    <n v="0"/>
    <m/>
    <m/>
    <m/>
    <m/>
    <m/>
    <m/>
    <n v="4562901"/>
    <n v="382822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3472960"/>
    <n v="732814"/>
    <m/>
    <m/>
    <n v="0"/>
    <m/>
    <m/>
    <n v="0"/>
    <m/>
    <m/>
    <m/>
    <m/>
    <m/>
    <m/>
    <n v="3472960"/>
    <n v="732814"/>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97979"/>
    <n v="340979"/>
    <m/>
    <m/>
    <n v="0"/>
    <m/>
    <m/>
    <n v="0"/>
    <m/>
    <m/>
    <m/>
    <m/>
    <m/>
    <m/>
    <n v="297979"/>
    <n v="340979"/>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836500"/>
    <n v="2598000"/>
    <m/>
    <m/>
    <n v="0"/>
    <m/>
    <m/>
    <n v="0"/>
    <m/>
    <m/>
    <m/>
    <m/>
    <m/>
    <m/>
    <n v="2836500"/>
    <n v="2598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14000"/>
    <n v="669000"/>
    <m/>
    <m/>
    <n v="0"/>
    <m/>
    <m/>
    <n v="0"/>
    <m/>
    <m/>
    <m/>
    <m/>
    <m/>
    <m/>
    <n v="714000"/>
    <n v="6690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0"/>
    <n v="0"/>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0"/>
    <n v="147500"/>
    <m/>
    <m/>
    <n v="0"/>
    <m/>
    <m/>
    <n v="0"/>
    <m/>
    <m/>
    <m/>
    <m/>
    <m/>
    <m/>
    <n v="0"/>
    <n v="147500"/>
  </r>
  <r>
    <x v="7"/>
    <x v="33"/>
    <s v="Non-need based"/>
    <m/>
    <m/>
    <x v="12"/>
    <m/>
    <m/>
    <m/>
    <m/>
    <m/>
    <m/>
    <m/>
    <m/>
    <n v="0"/>
    <m/>
    <m/>
    <n v="0"/>
    <n v="0"/>
    <n v="0"/>
    <m/>
    <m/>
    <m/>
    <m/>
    <n v="0"/>
    <m/>
    <m/>
    <n v="0"/>
    <m/>
    <m/>
    <m/>
    <m/>
    <m/>
    <m/>
    <n v="0"/>
    <n v="0"/>
  </r>
  <r>
    <x v="7"/>
    <x v="25"/>
    <s v="Sharon Christa McAuliffe Memorial Teache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Teacher Education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500"/>
    <n v="0"/>
    <m/>
    <m/>
    <n v="0"/>
    <m/>
    <m/>
    <n v="0"/>
    <m/>
    <m/>
    <m/>
    <m/>
    <m/>
    <m/>
    <n v="7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State Nursing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3235"/>
    <n v="0"/>
    <m/>
    <m/>
    <n v="0"/>
    <m/>
    <m/>
    <n v="0"/>
    <m/>
    <m/>
    <m/>
    <m/>
    <m/>
    <m/>
    <n v="23235"/>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7000"/>
    <n v="0"/>
    <m/>
    <m/>
    <n v="0"/>
    <m/>
    <m/>
    <n v="0"/>
    <m/>
    <m/>
    <m/>
    <m/>
    <m/>
    <m/>
    <n v="27000"/>
    <n v="0"/>
  </r>
  <r>
    <x v="7"/>
    <x v="25"/>
    <s v="Physical and Occupational Therapists and Assistants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1000"/>
    <n v="0"/>
    <m/>
    <m/>
    <n v="0"/>
    <m/>
    <m/>
    <n v="0"/>
    <m/>
    <m/>
    <m/>
    <m/>
    <m/>
    <m/>
    <n v="61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n v="0"/>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000"/>
    <n v="2000"/>
    <m/>
    <m/>
    <n v="0"/>
    <m/>
    <m/>
    <n v="0"/>
    <m/>
    <m/>
    <m/>
    <m/>
    <m/>
    <m/>
    <n v="2000"/>
    <n v="2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Maryland Teacher Scholarship (Hope)"/>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500"/>
    <n v="0"/>
    <m/>
    <m/>
    <n v="0"/>
    <m/>
    <m/>
    <n v="0"/>
    <m/>
    <m/>
    <m/>
    <m/>
    <m/>
    <m/>
    <n v="7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n v="0"/>
    <m/>
    <m/>
    <n v="0"/>
    <m/>
    <m/>
    <n v="0"/>
    <m/>
    <m/>
    <m/>
    <m/>
    <m/>
    <m/>
    <n v="0"/>
    <n v="0"/>
  </r>
  <r>
    <x v="7"/>
    <x v="25"/>
    <s v="General Hope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000"/>
    <n v="0"/>
    <m/>
    <m/>
    <n v="0"/>
    <m/>
    <m/>
    <n v="0"/>
    <m/>
    <m/>
    <m/>
    <m/>
    <m/>
    <m/>
    <n v="5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n v="0"/>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7476"/>
    <n v="1500"/>
    <m/>
    <m/>
    <n v="0"/>
    <m/>
    <m/>
    <n v="0"/>
    <m/>
    <m/>
    <m/>
    <m/>
    <m/>
    <m/>
    <n v="7476"/>
    <n v="15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n v="0"/>
    <m/>
    <m/>
    <n v="0"/>
    <m/>
    <m/>
    <n v="0"/>
    <m/>
    <m/>
    <m/>
    <m/>
    <m/>
    <m/>
    <n v="0"/>
    <n v="0"/>
  </r>
  <r>
    <x v="7"/>
    <x v="25"/>
    <s v="William Donald Schaefer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1500"/>
    <n v="0"/>
    <m/>
    <m/>
    <n v="0"/>
    <m/>
    <m/>
    <n v="0"/>
    <m/>
    <m/>
    <m/>
    <m/>
    <m/>
    <m/>
    <n v="21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2000"/>
    <n v="0"/>
    <m/>
    <m/>
    <n v="0"/>
    <m/>
    <m/>
    <n v="0"/>
    <m/>
    <m/>
    <m/>
    <m/>
    <m/>
    <m/>
    <n v="4200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27175"/>
    <n v="225000"/>
    <m/>
    <m/>
    <n v="0"/>
    <m/>
    <m/>
    <n v="0"/>
    <m/>
    <m/>
    <m/>
    <m/>
    <m/>
    <m/>
    <n v="527175"/>
    <n v="225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306050"/>
    <n v="30000"/>
    <m/>
    <m/>
    <n v="0"/>
    <m/>
    <m/>
    <n v="0"/>
    <m/>
    <m/>
    <m/>
    <m/>
    <m/>
    <m/>
    <n v="306050"/>
    <n v="3000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39777"/>
    <n v="4400"/>
    <m/>
    <m/>
    <n v="0"/>
    <m/>
    <m/>
    <n v="0"/>
    <m/>
    <m/>
    <m/>
    <m/>
    <m/>
    <m/>
    <n v="1039777"/>
    <n v="44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60000"/>
    <n v="3000"/>
    <m/>
    <m/>
    <n v="0"/>
    <m/>
    <m/>
    <n v="0"/>
    <m/>
    <m/>
    <m/>
    <m/>
    <m/>
    <m/>
    <n v="160000"/>
    <n v="3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704375"/>
    <n v="1176943"/>
    <m/>
    <m/>
    <n v="0"/>
    <m/>
    <m/>
    <n v="0"/>
    <m/>
    <m/>
    <m/>
    <m/>
    <m/>
    <m/>
    <n v="1704375"/>
    <n v="1176943"/>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81250"/>
    <n v="259492"/>
    <m/>
    <m/>
    <n v="0"/>
    <m/>
    <m/>
    <n v="0"/>
    <m/>
    <m/>
    <m/>
    <m/>
    <m/>
    <m/>
    <n v="181250"/>
    <n v="259492"/>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21645"/>
    <n v="2068750"/>
    <m/>
    <m/>
    <n v="0"/>
    <m/>
    <m/>
    <n v="0"/>
    <m/>
    <m/>
    <m/>
    <m/>
    <m/>
    <m/>
    <n v="621645"/>
    <n v="206875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6088"/>
    <n v="268750"/>
    <m/>
    <m/>
    <n v="0"/>
    <m/>
    <m/>
    <n v="0"/>
    <m/>
    <m/>
    <m/>
    <m/>
    <m/>
    <m/>
    <n v="46088"/>
    <n v="26875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758250"/>
    <n v="453771"/>
    <m/>
    <m/>
    <n v="0"/>
    <m/>
    <m/>
    <n v="0"/>
    <m/>
    <m/>
    <m/>
    <m/>
    <m/>
    <m/>
    <n v="1758250"/>
    <n v="45377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504000"/>
    <n v="59606"/>
    <m/>
    <m/>
    <n v="0"/>
    <m/>
    <m/>
    <n v="0"/>
    <m/>
    <m/>
    <m/>
    <m/>
    <m/>
    <m/>
    <n v="504000"/>
    <n v="59606"/>
  </r>
  <r>
    <x v="7"/>
    <x v="25"/>
    <s v="Workforce Shortage Student Assistance Grant"/>
    <m/>
    <m/>
    <x v="12"/>
    <m/>
    <m/>
    <m/>
    <m/>
    <m/>
    <m/>
    <m/>
    <m/>
    <n v="0"/>
    <m/>
    <m/>
    <n v="0"/>
    <n v="0"/>
    <n v="0"/>
    <m/>
    <m/>
    <m/>
    <m/>
    <n v="0"/>
    <m/>
    <m/>
    <n v="0"/>
    <m/>
    <m/>
    <m/>
    <m/>
    <m/>
    <m/>
    <n v="0"/>
    <n v="0"/>
  </r>
  <r>
    <x v="7"/>
    <x v="28"/>
    <s v="Amount to public sector students"/>
    <m/>
    <m/>
    <x v="12"/>
    <m/>
    <m/>
    <m/>
    <m/>
    <m/>
    <m/>
    <m/>
    <m/>
    <n v="0"/>
    <m/>
    <m/>
    <n v="0"/>
    <n v="0"/>
    <n v="0"/>
    <n v="5237091"/>
    <m/>
    <m/>
    <m/>
    <n v="0"/>
    <m/>
    <m/>
    <n v="0"/>
    <m/>
    <m/>
    <m/>
    <m/>
    <m/>
    <m/>
    <n v="5237091"/>
    <n v="0"/>
  </r>
  <r>
    <x v="7"/>
    <x v="29"/>
    <s v="Need-based"/>
    <m/>
    <m/>
    <x v="12"/>
    <m/>
    <m/>
    <m/>
    <m/>
    <m/>
    <m/>
    <m/>
    <m/>
    <n v="0"/>
    <m/>
    <m/>
    <n v="0"/>
    <n v="0"/>
    <n v="0"/>
    <n v="12989861"/>
    <n v="797000"/>
    <m/>
    <m/>
    <n v="0"/>
    <m/>
    <m/>
    <n v="0"/>
    <m/>
    <m/>
    <m/>
    <m/>
    <m/>
    <m/>
    <n v="12989861"/>
    <n v="797000"/>
  </r>
  <r>
    <x v="7"/>
    <x v="30"/>
    <s v="Non-need based"/>
    <m/>
    <m/>
    <x v="12"/>
    <m/>
    <m/>
    <m/>
    <m/>
    <m/>
    <m/>
    <m/>
    <m/>
    <n v="0"/>
    <m/>
    <m/>
    <n v="0"/>
    <n v="0"/>
    <n v="0"/>
    <m/>
    <m/>
    <m/>
    <m/>
    <n v="0"/>
    <m/>
    <m/>
    <n v="0"/>
    <m/>
    <m/>
    <m/>
    <m/>
    <m/>
    <m/>
    <n v="0"/>
    <n v="0"/>
  </r>
  <r>
    <x v="7"/>
    <x v="31"/>
    <s v="Amount to private sector students"/>
    <m/>
    <m/>
    <x v="12"/>
    <m/>
    <m/>
    <m/>
    <m/>
    <m/>
    <m/>
    <m/>
    <m/>
    <n v="0"/>
    <m/>
    <m/>
    <n v="0"/>
    <n v="0"/>
    <n v="0"/>
    <n v="1737648"/>
    <n v="288500"/>
    <m/>
    <m/>
    <n v="0"/>
    <m/>
    <m/>
    <n v="0"/>
    <m/>
    <m/>
    <m/>
    <m/>
    <m/>
    <m/>
    <n v="1737648"/>
    <n v="288500"/>
  </r>
  <r>
    <x v="7"/>
    <x v="32"/>
    <s v="Need-based"/>
    <m/>
    <m/>
    <x v="12"/>
    <m/>
    <m/>
    <m/>
    <m/>
    <m/>
    <m/>
    <m/>
    <m/>
    <n v="0"/>
    <m/>
    <m/>
    <n v="0"/>
    <n v="0"/>
    <n v="0"/>
    <n v="5287843"/>
    <m/>
    <m/>
    <m/>
    <n v="0"/>
    <m/>
    <m/>
    <n v="0"/>
    <m/>
    <m/>
    <m/>
    <m/>
    <m/>
    <m/>
    <n v="5287843"/>
    <n v="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95822404.716989353"/>
    <n v="76550404"/>
    <m/>
    <m/>
    <m/>
    <m/>
    <n v="106649242"/>
    <m/>
    <n v="106649242"/>
    <n v="123939055"/>
    <m/>
    <n v="123939055"/>
    <n v="202471646.71698934"/>
    <n v="200489459"/>
    <m/>
    <m/>
    <m/>
    <m/>
    <n v="0"/>
    <m/>
    <m/>
    <n v="0"/>
    <m/>
    <m/>
    <m/>
    <m/>
    <m/>
    <m/>
    <n v="202471646.71698934"/>
    <n v="200489459"/>
  </r>
  <r>
    <x v="8"/>
    <x v="1"/>
    <s v="Vet Med School"/>
    <m/>
    <n v="176080"/>
    <x v="0"/>
    <m/>
    <m/>
    <m/>
    <m/>
    <m/>
    <m/>
    <m/>
    <m/>
    <n v="0"/>
    <m/>
    <m/>
    <n v="0"/>
    <n v="0"/>
    <n v="0"/>
    <m/>
    <m/>
    <m/>
    <m/>
    <n v="0"/>
    <m/>
    <m/>
    <n v="0"/>
    <n v="16378789"/>
    <n v="14522186"/>
    <n v="7500000"/>
    <m/>
    <n v="8500000"/>
    <m/>
    <n v="23878789"/>
    <n v="23022186"/>
  </r>
  <r>
    <x v="8"/>
    <x v="5"/>
    <s v="Agricultural Cooperative Extension"/>
    <m/>
    <n v="176080"/>
    <x v="0"/>
    <m/>
    <m/>
    <n v="27981421"/>
    <n v="27269914"/>
    <m/>
    <m/>
    <m/>
    <m/>
    <n v="0"/>
    <m/>
    <m/>
    <n v="0"/>
    <n v="27981421"/>
    <n v="27269914"/>
    <m/>
    <m/>
    <m/>
    <m/>
    <n v="0"/>
    <m/>
    <m/>
    <n v="0"/>
    <m/>
    <m/>
    <m/>
    <m/>
    <m/>
    <m/>
    <n v="27981421"/>
    <n v="27269914"/>
  </r>
  <r>
    <x v="8"/>
    <x v="6"/>
    <s v="Agricultural Experiment Stations"/>
    <m/>
    <n v="176080"/>
    <x v="0"/>
    <m/>
    <m/>
    <n v="22553105"/>
    <n v="21365833"/>
    <m/>
    <m/>
    <m/>
    <m/>
    <n v="0"/>
    <m/>
    <m/>
    <n v="0"/>
    <n v="22553105"/>
    <n v="21365833"/>
    <m/>
    <m/>
    <m/>
    <m/>
    <n v="0"/>
    <m/>
    <m/>
    <n v="0"/>
    <m/>
    <m/>
    <m/>
    <m/>
    <m/>
    <m/>
    <n v="22553105"/>
    <n v="21365833"/>
  </r>
  <r>
    <x v="8"/>
    <x v="7"/>
    <s v="Research Units"/>
    <m/>
    <n v="176080"/>
    <x v="0"/>
    <m/>
    <m/>
    <m/>
    <m/>
    <m/>
    <m/>
    <m/>
    <m/>
    <n v="0"/>
    <m/>
    <m/>
    <n v="0"/>
    <n v="0"/>
    <n v="0"/>
    <m/>
    <m/>
    <m/>
    <m/>
    <n v="0"/>
    <m/>
    <m/>
    <n v="0"/>
    <m/>
    <m/>
    <m/>
    <m/>
    <m/>
    <m/>
    <n v="0"/>
    <n v="0"/>
  </r>
  <r>
    <x v="8"/>
    <x v="7"/>
    <s v="State Chemical Lab"/>
    <m/>
    <n v="176080"/>
    <x v="0"/>
    <m/>
    <m/>
    <n v="1827108"/>
    <n v="1709315"/>
    <m/>
    <m/>
    <m/>
    <m/>
    <n v="0"/>
    <m/>
    <m/>
    <n v="0"/>
    <n v="1827108"/>
    <n v="1709315"/>
    <m/>
    <m/>
    <m/>
    <m/>
    <n v="0"/>
    <m/>
    <m/>
    <n v="0"/>
    <m/>
    <m/>
    <m/>
    <m/>
    <m/>
    <m/>
    <n v="1827108"/>
    <n v="1709315"/>
  </r>
  <r>
    <x v="8"/>
    <x v="7"/>
    <s v="Forest/wildlife Research Center"/>
    <m/>
    <n v="176080"/>
    <x v="0"/>
    <m/>
    <m/>
    <n v="5828360"/>
    <n v="5392854"/>
    <m/>
    <m/>
    <m/>
    <m/>
    <n v="0"/>
    <m/>
    <m/>
    <n v="0"/>
    <n v="5828360"/>
    <n v="5392854"/>
    <m/>
    <m/>
    <m/>
    <m/>
    <n v="0"/>
    <m/>
    <m/>
    <n v="0"/>
    <m/>
    <m/>
    <m/>
    <m/>
    <m/>
    <m/>
    <n v="5828360"/>
    <n v="5392854"/>
  </r>
  <r>
    <x v="8"/>
    <x v="7"/>
    <s v="Water resources institute"/>
    <m/>
    <n v="176080"/>
    <x v="0"/>
    <m/>
    <m/>
    <n v="121914"/>
    <n v="120531"/>
    <m/>
    <m/>
    <m/>
    <m/>
    <n v="0"/>
    <m/>
    <m/>
    <n v="0"/>
    <n v="121914"/>
    <n v="120531"/>
    <m/>
    <m/>
    <m/>
    <m/>
    <n v="0"/>
    <m/>
    <m/>
    <n v="0"/>
    <m/>
    <m/>
    <m/>
    <m/>
    <m/>
    <m/>
    <n v="121914"/>
    <n v="120531"/>
  </r>
  <r>
    <x v="8"/>
    <x v="7"/>
    <s v="Stennis Institute"/>
    <m/>
    <n v="176080"/>
    <x v="0"/>
    <m/>
    <m/>
    <n v="1033286"/>
    <n v="965739"/>
    <m/>
    <m/>
    <m/>
    <m/>
    <n v="0"/>
    <m/>
    <m/>
    <n v="0"/>
    <n v="1033286"/>
    <n v="965739"/>
    <m/>
    <m/>
    <m/>
    <m/>
    <n v="0"/>
    <m/>
    <m/>
    <n v="0"/>
    <m/>
    <m/>
    <m/>
    <m/>
    <m/>
    <m/>
    <n v="1033286"/>
    <n v="965739"/>
  </r>
  <r>
    <x v="8"/>
    <x v="7"/>
    <s v="Advanced Vehicular Systems"/>
    <m/>
    <n v="176080"/>
    <x v="0"/>
    <m/>
    <m/>
    <n v="3618803"/>
    <n v="3926291"/>
    <m/>
    <m/>
    <m/>
    <m/>
    <n v="0"/>
    <m/>
    <m/>
    <n v="0"/>
    <n v="3618803"/>
    <n v="3926291"/>
    <m/>
    <m/>
    <m/>
    <m/>
    <n v="0"/>
    <m/>
    <m/>
    <n v="0"/>
    <m/>
    <m/>
    <m/>
    <m/>
    <m/>
    <m/>
    <n v="3618803"/>
    <n v="3926291"/>
  </r>
  <r>
    <x v="8"/>
    <x v="0"/>
    <s v="University of Southern Mississippi"/>
    <m/>
    <n v="176372"/>
    <x v="0"/>
    <n v="86232954.417977378"/>
    <n v="68796722"/>
    <m/>
    <m/>
    <m/>
    <m/>
    <n v="85707374"/>
    <m/>
    <n v="85707374"/>
    <n v="91239360"/>
    <m/>
    <n v="91239360"/>
    <n v="171940328.41797739"/>
    <n v="160036082"/>
    <m/>
    <m/>
    <m/>
    <m/>
    <n v="0"/>
    <m/>
    <m/>
    <n v="0"/>
    <m/>
    <m/>
    <m/>
    <m/>
    <m/>
    <m/>
    <n v="171940328.41797739"/>
    <n v="160036082"/>
  </r>
  <r>
    <x v="8"/>
    <x v="7"/>
    <s v="Research Units"/>
    <m/>
    <n v="176372"/>
    <x v="0"/>
    <m/>
    <m/>
    <m/>
    <m/>
    <m/>
    <m/>
    <m/>
    <m/>
    <n v="0"/>
    <m/>
    <m/>
    <n v="0"/>
    <n v="0"/>
    <n v="0"/>
    <m/>
    <m/>
    <m/>
    <m/>
    <n v="0"/>
    <m/>
    <m/>
    <n v="0"/>
    <m/>
    <m/>
    <m/>
    <m/>
    <m/>
    <m/>
    <n v="0"/>
    <n v="0"/>
  </r>
  <r>
    <x v="8"/>
    <x v="7"/>
    <s v="Gulf-Coast Research Lab"/>
    <m/>
    <n v="176372"/>
    <x v="0"/>
    <m/>
    <m/>
    <n v="3332900"/>
    <n v="3255104"/>
    <m/>
    <m/>
    <m/>
    <m/>
    <n v="0"/>
    <m/>
    <m/>
    <n v="0"/>
    <n v="3332900"/>
    <n v="3255104"/>
    <m/>
    <m/>
    <m/>
    <m/>
    <n v="0"/>
    <m/>
    <m/>
    <n v="0"/>
    <m/>
    <m/>
    <m/>
    <m/>
    <m/>
    <m/>
    <n v="3332900"/>
    <n v="3255104"/>
  </r>
  <r>
    <x v="8"/>
    <x v="7"/>
    <s v="Polymer Institute"/>
    <m/>
    <n v="176372"/>
    <x v="0"/>
    <m/>
    <m/>
    <n v="636610"/>
    <n v="692525"/>
    <m/>
    <m/>
    <m/>
    <m/>
    <n v="0"/>
    <m/>
    <m/>
    <n v="0"/>
    <n v="636610"/>
    <n v="692525"/>
    <m/>
    <m/>
    <m/>
    <m/>
    <n v="0"/>
    <m/>
    <m/>
    <n v="0"/>
    <m/>
    <m/>
    <m/>
    <m/>
    <m/>
    <m/>
    <n v="636610"/>
    <n v="692525"/>
  </r>
  <r>
    <x v="8"/>
    <x v="7"/>
    <s v="Stennis Center"/>
    <m/>
    <n v="176372"/>
    <x v="0"/>
    <m/>
    <m/>
    <n v="519674"/>
    <n v="444485"/>
    <m/>
    <m/>
    <m/>
    <m/>
    <n v="0"/>
    <m/>
    <m/>
    <n v="0"/>
    <n v="519674"/>
    <n v="444485"/>
    <m/>
    <m/>
    <m/>
    <m/>
    <n v="0"/>
    <m/>
    <m/>
    <n v="0"/>
    <m/>
    <m/>
    <m/>
    <m/>
    <m/>
    <m/>
    <n v="519674"/>
    <n v="444485"/>
  </r>
  <r>
    <x v="8"/>
    <x v="0"/>
    <s v="Jackson State University "/>
    <m/>
    <n v="175856"/>
    <x v="1"/>
    <n v="51201130.913867958"/>
    <n v="43266631"/>
    <m/>
    <m/>
    <m/>
    <m/>
    <n v="39363399"/>
    <m/>
    <n v="39363399"/>
    <n v="42962315"/>
    <m/>
    <n v="42962315"/>
    <n v="90564529.91386795"/>
    <n v="86228946"/>
    <m/>
    <m/>
    <m/>
    <m/>
    <n v="0"/>
    <m/>
    <m/>
    <n v="0"/>
    <m/>
    <m/>
    <m/>
    <m/>
    <m/>
    <m/>
    <n v="90564529.91386795"/>
    <n v="86228946"/>
  </r>
  <r>
    <x v="8"/>
    <x v="7"/>
    <s v="Urban Research Center"/>
    <m/>
    <n v="175856"/>
    <x v="1"/>
    <m/>
    <m/>
    <n v="509401"/>
    <n v="502407"/>
    <m/>
    <m/>
    <m/>
    <m/>
    <n v="0"/>
    <m/>
    <m/>
    <n v="0"/>
    <n v="509401"/>
    <n v="502407"/>
    <m/>
    <m/>
    <m/>
    <m/>
    <n v="0"/>
    <m/>
    <m/>
    <n v="0"/>
    <m/>
    <m/>
    <m/>
    <m/>
    <m/>
    <m/>
    <n v="509401"/>
    <n v="502407"/>
  </r>
  <r>
    <x v="8"/>
    <x v="0"/>
    <s v="University of Mississippi"/>
    <m/>
    <n v="176017"/>
    <x v="1"/>
    <n v="78990686.413183138"/>
    <n v="63061230"/>
    <m/>
    <m/>
    <m/>
    <m/>
    <n v="120601476"/>
    <m/>
    <n v="120601476"/>
    <n v="133594484"/>
    <m/>
    <n v="133594484"/>
    <n v="199592162.41318315"/>
    <n v="196655714"/>
    <m/>
    <m/>
    <m/>
    <m/>
    <n v="0"/>
    <m/>
    <m/>
    <n v="0"/>
    <m/>
    <m/>
    <m/>
    <m/>
    <m/>
    <m/>
    <n v="199592162.41318315"/>
    <n v="196655714"/>
  </r>
  <r>
    <x v="8"/>
    <x v="3"/>
    <s v="Community/Public Service  Units"/>
    <m/>
    <n v="176017"/>
    <x v="1"/>
    <m/>
    <m/>
    <m/>
    <m/>
    <m/>
    <m/>
    <m/>
    <m/>
    <n v="0"/>
    <m/>
    <m/>
    <n v="0"/>
    <n v="0"/>
    <n v="0"/>
    <m/>
    <m/>
    <m/>
    <m/>
    <n v="0"/>
    <m/>
    <m/>
    <n v="0"/>
    <m/>
    <m/>
    <m/>
    <m/>
    <m/>
    <m/>
    <n v="0"/>
    <n v="0"/>
  </r>
  <r>
    <x v="8"/>
    <x v="3"/>
    <s v="Small Business Development Ctr."/>
    <m/>
    <n v="176017"/>
    <x v="1"/>
    <m/>
    <m/>
    <n v="263960"/>
    <n v="250984"/>
    <m/>
    <m/>
    <m/>
    <m/>
    <n v="0"/>
    <m/>
    <m/>
    <n v="0"/>
    <n v="263960"/>
    <n v="250984"/>
    <m/>
    <m/>
    <m/>
    <m/>
    <n v="0"/>
    <m/>
    <m/>
    <n v="0"/>
    <m/>
    <m/>
    <m/>
    <m/>
    <m/>
    <m/>
    <n v="263960"/>
    <n v="250984"/>
  </r>
  <r>
    <x v="8"/>
    <x v="7"/>
    <s v="Research Units"/>
    <m/>
    <n v="176017"/>
    <x v="1"/>
    <m/>
    <m/>
    <m/>
    <m/>
    <m/>
    <m/>
    <m/>
    <m/>
    <n v="0"/>
    <m/>
    <m/>
    <n v="0"/>
    <n v="0"/>
    <n v="0"/>
    <m/>
    <m/>
    <m/>
    <m/>
    <n v="0"/>
    <m/>
    <m/>
    <n v="0"/>
    <m/>
    <m/>
    <m/>
    <m/>
    <m/>
    <m/>
    <n v="0"/>
    <n v="0"/>
  </r>
  <r>
    <x v="8"/>
    <x v="7"/>
    <s v="Pharmaceutical research"/>
    <m/>
    <n v="176017"/>
    <x v="1"/>
    <m/>
    <m/>
    <n v="3502595"/>
    <n v="3208655"/>
    <m/>
    <m/>
    <m/>
    <m/>
    <n v="0"/>
    <m/>
    <m/>
    <n v="0"/>
    <n v="3502595"/>
    <n v="3208655"/>
    <m/>
    <m/>
    <m/>
    <m/>
    <n v="0"/>
    <m/>
    <m/>
    <n v="0"/>
    <m/>
    <m/>
    <m/>
    <m/>
    <m/>
    <m/>
    <n v="3502595"/>
    <n v="3208655"/>
  </r>
  <r>
    <x v="8"/>
    <x v="7"/>
    <s v="Law Research Institute"/>
    <m/>
    <n v="176017"/>
    <x v="1"/>
    <m/>
    <m/>
    <n v="840129"/>
    <n v="829232"/>
    <m/>
    <m/>
    <m/>
    <m/>
    <n v="0"/>
    <m/>
    <m/>
    <n v="0"/>
    <n v="840129"/>
    <n v="829232"/>
    <m/>
    <m/>
    <m/>
    <m/>
    <n v="0"/>
    <m/>
    <m/>
    <n v="0"/>
    <m/>
    <m/>
    <m/>
    <m/>
    <m/>
    <m/>
    <n v="840129"/>
    <n v="829232"/>
  </r>
  <r>
    <x v="8"/>
    <x v="7"/>
    <s v="Mineral Resources Institute"/>
    <m/>
    <n v="176017"/>
    <x v="1"/>
    <m/>
    <m/>
    <n v="473132"/>
    <n v="423586"/>
    <m/>
    <m/>
    <m/>
    <m/>
    <n v="0"/>
    <m/>
    <m/>
    <n v="0"/>
    <n v="473132"/>
    <n v="423586"/>
    <m/>
    <m/>
    <m/>
    <m/>
    <n v="0"/>
    <m/>
    <m/>
    <n v="0"/>
    <m/>
    <m/>
    <m/>
    <m/>
    <m/>
    <m/>
    <n v="473132"/>
    <n v="423586"/>
  </r>
  <r>
    <x v="8"/>
    <x v="7"/>
    <s v="Supercomputer"/>
    <m/>
    <n v="176017"/>
    <x v="1"/>
    <m/>
    <m/>
    <n v="804342"/>
    <n v="727661"/>
    <m/>
    <m/>
    <m/>
    <m/>
    <n v="0"/>
    <m/>
    <m/>
    <n v="0"/>
    <n v="804342"/>
    <n v="727661"/>
    <m/>
    <m/>
    <m/>
    <m/>
    <n v="0"/>
    <m/>
    <m/>
    <n v="0"/>
    <m/>
    <m/>
    <m/>
    <m/>
    <m/>
    <m/>
    <n v="804342"/>
    <n v="727661"/>
  </r>
  <r>
    <x v="8"/>
    <x v="7"/>
    <s v="Center for Manufacturing Excellence "/>
    <m/>
    <n v="176017"/>
    <x v="1"/>
    <m/>
    <m/>
    <n v="950000"/>
    <n v="826132"/>
    <m/>
    <m/>
    <m/>
    <m/>
    <n v="0"/>
    <m/>
    <m/>
    <n v="0"/>
    <n v="950000"/>
    <n v="826132"/>
    <m/>
    <m/>
    <m/>
    <m/>
    <n v="0"/>
    <m/>
    <m/>
    <n v="0"/>
    <m/>
    <m/>
    <m/>
    <m/>
    <m/>
    <m/>
    <n v="950000"/>
    <n v="826132"/>
  </r>
  <r>
    <x v="8"/>
    <x v="0"/>
    <s v="Alcorn State University"/>
    <m/>
    <n v="175342"/>
    <x v="3"/>
    <n v="23721284.616502974"/>
    <n v="19792990"/>
    <m/>
    <m/>
    <m/>
    <m/>
    <n v="17312471"/>
    <m/>
    <n v="17312471"/>
    <n v="19488558"/>
    <m/>
    <n v="19488558"/>
    <n v="41033755.61650297"/>
    <n v="39281548"/>
    <m/>
    <m/>
    <m/>
    <m/>
    <n v="0"/>
    <m/>
    <m/>
    <n v="0"/>
    <m/>
    <m/>
    <m/>
    <m/>
    <m/>
    <m/>
    <n v="41033755.61650297"/>
    <n v="39281548"/>
  </r>
  <r>
    <x v="8"/>
    <x v="5"/>
    <s v="Agricultural Units"/>
    <m/>
    <n v="175342"/>
    <x v="3"/>
    <m/>
    <m/>
    <n v="5326762"/>
    <n v="5213674"/>
    <m/>
    <m/>
    <m/>
    <m/>
    <n v="0"/>
    <m/>
    <m/>
    <n v="0"/>
    <n v="5326762"/>
    <n v="5213674"/>
    <m/>
    <m/>
    <m/>
    <m/>
    <n v="0"/>
    <m/>
    <m/>
    <n v="0"/>
    <m/>
    <m/>
    <m/>
    <m/>
    <m/>
    <m/>
    <n v="5326762"/>
    <n v="5213674"/>
  </r>
  <r>
    <x v="8"/>
    <x v="0"/>
    <s v="Delta State University"/>
    <m/>
    <n v="175616"/>
    <x v="3"/>
    <n v="22992387.534014363"/>
    <n v="18494157"/>
    <m/>
    <m/>
    <m/>
    <m/>
    <n v="17724059"/>
    <m/>
    <n v="17724059"/>
    <n v="18991144"/>
    <m/>
    <n v="18991144"/>
    <n v="40716446.534014359"/>
    <n v="37485301"/>
    <m/>
    <m/>
    <m/>
    <m/>
    <n v="0"/>
    <m/>
    <m/>
    <n v="0"/>
    <m/>
    <m/>
    <m/>
    <m/>
    <m/>
    <m/>
    <n v="40716446.534014359"/>
    <n v="37485301"/>
  </r>
  <r>
    <x v="8"/>
    <x v="0"/>
    <s v="Mississippi Valley State University"/>
    <m/>
    <n v="176044"/>
    <x v="3"/>
    <n v="19412209.710326329"/>
    <n v="16356739"/>
    <m/>
    <m/>
    <m/>
    <m/>
    <n v="15687656"/>
    <m/>
    <n v="15687656"/>
    <n v="16293482"/>
    <m/>
    <n v="16293482"/>
    <n v="35099865.710326329"/>
    <n v="32650221"/>
    <m/>
    <m/>
    <m/>
    <m/>
    <n v="0"/>
    <m/>
    <m/>
    <n v="0"/>
    <m/>
    <m/>
    <m/>
    <m/>
    <m/>
    <m/>
    <n v="35099865.710326329"/>
    <n v="32650221"/>
  </r>
  <r>
    <x v="8"/>
    <x v="0"/>
    <s v="Mississippi University for Women"/>
    <m/>
    <n v="176035"/>
    <x v="4"/>
    <n v="15144679.677138524"/>
    <n v="12092589"/>
    <m/>
    <m/>
    <m/>
    <m/>
    <n v="12103627"/>
    <m/>
    <n v="12103627"/>
    <n v="13025563"/>
    <m/>
    <n v="13025563"/>
    <n v="27248306.677138522"/>
    <n v="25118152"/>
    <m/>
    <m/>
    <m/>
    <m/>
    <n v="0"/>
    <m/>
    <m/>
    <n v="0"/>
    <m/>
    <m/>
    <m/>
    <m/>
    <m/>
    <m/>
    <n v="27248306.677138522"/>
    <n v="25118152"/>
  </r>
  <r>
    <x v="8"/>
    <x v="41"/>
    <s v="University of Mississippi Medical Center"/>
    <m/>
    <n v="176026"/>
    <x v="11"/>
    <m/>
    <m/>
    <m/>
    <m/>
    <m/>
    <m/>
    <m/>
    <m/>
    <n v="0"/>
    <m/>
    <m/>
    <n v="0"/>
    <n v="0"/>
    <n v="0"/>
    <m/>
    <m/>
    <m/>
    <m/>
    <n v="0"/>
    <m/>
    <m/>
    <n v="0"/>
    <n v="220361965"/>
    <n v="215332977"/>
    <n v="12961305"/>
    <m/>
    <n v="15729542"/>
    <m/>
    <n v="233323270"/>
    <n v="231062519"/>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490402"/>
    <n v="363913"/>
    <m/>
    <m/>
    <n v="0"/>
    <m/>
    <m/>
    <n v="0"/>
    <m/>
    <m/>
    <m/>
    <m/>
    <m/>
    <m/>
    <n v="490402"/>
    <n v="363913"/>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678568"/>
    <n v="7264198"/>
    <m/>
    <m/>
    <n v="0"/>
    <m/>
    <m/>
    <n v="0"/>
    <m/>
    <m/>
    <m/>
    <m/>
    <m/>
    <m/>
    <n v="7678568"/>
    <n v="7264198"/>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1151177"/>
    <n v="920992"/>
    <m/>
    <m/>
    <n v="0"/>
    <m/>
    <m/>
    <n v="0"/>
    <m/>
    <m/>
    <m/>
    <m/>
    <m/>
    <m/>
    <n v="1151177"/>
    <n v="920992"/>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27000"/>
    <n v="27000"/>
    <m/>
    <m/>
    <n v="0"/>
    <m/>
    <m/>
    <n v="0"/>
    <m/>
    <m/>
    <m/>
    <m/>
    <m/>
    <m/>
    <n v="27000"/>
    <n v="27000"/>
  </r>
  <r>
    <x v="8"/>
    <x v="21"/>
    <s v="Southern College of Optometry"/>
    <m/>
    <m/>
    <x v="12"/>
    <m/>
    <m/>
    <m/>
    <m/>
    <m/>
    <m/>
    <m/>
    <m/>
    <n v="0"/>
    <m/>
    <m/>
    <n v="0"/>
    <n v="0"/>
    <n v="0"/>
    <n v="305800"/>
    <n v="319700"/>
    <m/>
    <m/>
    <n v="0"/>
    <m/>
    <m/>
    <n v="0"/>
    <m/>
    <m/>
    <m/>
    <m/>
    <m/>
    <m/>
    <n v="305800"/>
    <n v="319700"/>
  </r>
  <r>
    <x v="8"/>
    <x v="21"/>
    <s v="Edward Via VA College of Osteopathic Medicine"/>
    <m/>
    <m/>
    <x v="12"/>
    <m/>
    <m/>
    <m/>
    <m/>
    <m/>
    <m/>
    <m/>
    <m/>
    <n v="0"/>
    <m/>
    <m/>
    <n v="0"/>
    <n v="0"/>
    <n v="0"/>
    <n v="67500"/>
    <n v="67500"/>
    <m/>
    <m/>
    <n v="0"/>
    <m/>
    <m/>
    <n v="0"/>
    <m/>
    <m/>
    <m/>
    <m/>
    <m/>
    <m/>
    <n v="67500"/>
    <n v="67500"/>
  </r>
  <r>
    <x v="8"/>
    <x v="22"/>
    <s v="SREB contract program with public colleges"/>
    <m/>
    <m/>
    <x v="12"/>
    <m/>
    <m/>
    <m/>
    <m/>
    <m/>
    <m/>
    <m/>
    <m/>
    <n v="0"/>
    <m/>
    <m/>
    <n v="0"/>
    <n v="0"/>
    <n v="0"/>
    <m/>
    <m/>
    <m/>
    <m/>
    <n v="0"/>
    <m/>
    <m/>
    <n v="0"/>
    <m/>
    <m/>
    <m/>
    <m/>
    <m/>
    <m/>
    <n v="0"/>
    <n v="0"/>
  </r>
  <r>
    <x v="8"/>
    <x v="22"/>
    <s v="University of Houston (Optometry)"/>
    <m/>
    <m/>
    <x v="12"/>
    <m/>
    <m/>
    <m/>
    <m/>
    <m/>
    <m/>
    <m/>
    <m/>
    <n v="0"/>
    <m/>
    <m/>
    <n v="0"/>
    <n v="0"/>
    <n v="0"/>
    <n v="55600"/>
    <n v="41700"/>
    <m/>
    <m/>
    <n v="0"/>
    <m/>
    <m/>
    <n v="0"/>
    <m/>
    <m/>
    <m/>
    <m/>
    <m/>
    <m/>
    <n v="55600"/>
    <n v="41700"/>
  </r>
  <r>
    <x v="8"/>
    <x v="22"/>
    <s v="University of Alabama at Birmingham (Optometry)"/>
    <m/>
    <m/>
    <x v="12"/>
    <m/>
    <m/>
    <m/>
    <m/>
    <m/>
    <m/>
    <m/>
    <m/>
    <n v="0"/>
    <m/>
    <m/>
    <n v="0"/>
    <n v="0"/>
    <n v="0"/>
    <n v="69500"/>
    <n v="97300"/>
    <m/>
    <m/>
    <n v="0"/>
    <m/>
    <m/>
    <n v="0"/>
    <m/>
    <m/>
    <m/>
    <m/>
    <m/>
    <m/>
    <n v="69500"/>
    <n v="973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1124193"/>
    <n v="1381987"/>
    <m/>
    <m/>
    <n v="0"/>
    <m/>
    <m/>
    <n v="0"/>
    <m/>
    <m/>
    <m/>
    <m/>
    <m/>
    <m/>
    <n v="1124193"/>
    <n v="1381987"/>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141045"/>
    <n v="151724"/>
    <m/>
    <m/>
    <n v="0"/>
    <m/>
    <m/>
    <n v="0"/>
    <m/>
    <m/>
    <m/>
    <m/>
    <m/>
    <m/>
    <n v="141045"/>
    <n v="151724"/>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595455"/>
    <n v="1008474"/>
    <m/>
    <m/>
    <n v="0"/>
    <m/>
    <m/>
    <n v="0"/>
    <m/>
    <m/>
    <m/>
    <m/>
    <m/>
    <m/>
    <n v="595455"/>
    <n v="1008474"/>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GUMS and State LEAP)"/>
    <m/>
    <m/>
    <x v="12"/>
    <m/>
    <m/>
    <m/>
    <m/>
    <m/>
    <m/>
    <m/>
    <m/>
    <n v="0"/>
    <m/>
    <m/>
    <n v="0"/>
    <n v="0"/>
    <n v="0"/>
    <n v="82500"/>
    <n v="226875"/>
    <m/>
    <m/>
    <n v="0"/>
    <m/>
    <m/>
    <n v="0"/>
    <m/>
    <m/>
    <m/>
    <m/>
    <m/>
    <m/>
    <n v="82500"/>
    <n v="226875"/>
  </r>
  <r>
    <x v="8"/>
    <x v="27"/>
    <s v="Non need-based"/>
    <m/>
    <m/>
    <x v="12"/>
    <m/>
    <m/>
    <m/>
    <m/>
    <m/>
    <m/>
    <m/>
    <m/>
    <n v="0"/>
    <m/>
    <m/>
    <n v="0"/>
    <n v="0"/>
    <n v="0"/>
    <m/>
    <m/>
    <m/>
    <m/>
    <n v="0"/>
    <m/>
    <m/>
    <n v="0"/>
    <m/>
    <m/>
    <m/>
    <m/>
    <m/>
    <m/>
    <n v="0"/>
    <n v="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914147"/>
    <n v="1610954"/>
    <m/>
    <m/>
    <n v="0"/>
    <m/>
    <m/>
    <n v="0"/>
    <m/>
    <m/>
    <m/>
    <m/>
    <m/>
    <m/>
    <n v="1914147"/>
    <n v="1610954"/>
  </r>
  <r>
    <x v="8"/>
    <x v="27"/>
    <s v="Amount to private sector students Non need-based"/>
    <m/>
    <m/>
    <x v="12"/>
    <m/>
    <m/>
    <m/>
    <m/>
    <m/>
    <m/>
    <m/>
    <m/>
    <n v="0"/>
    <m/>
    <m/>
    <n v="0"/>
    <n v="0"/>
    <n v="0"/>
    <n v="383250"/>
    <n v="337194"/>
    <m/>
    <m/>
    <n v="0"/>
    <m/>
    <m/>
    <n v="0"/>
    <m/>
    <m/>
    <m/>
    <m/>
    <m/>
    <m/>
    <n v="383250"/>
    <n v="337194"/>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347167"/>
    <n v="12519094"/>
    <m/>
    <m/>
    <n v="0"/>
    <m/>
    <m/>
    <n v="0"/>
    <m/>
    <m/>
    <m/>
    <m/>
    <m/>
    <m/>
    <n v="12347167"/>
    <n v="12519094"/>
  </r>
  <r>
    <x v="8"/>
    <x v="31"/>
    <s v="Amount to private sector students"/>
    <m/>
    <m/>
    <x v="12"/>
    <m/>
    <m/>
    <m/>
    <m/>
    <m/>
    <m/>
    <m/>
    <m/>
    <n v="0"/>
    <m/>
    <m/>
    <n v="0"/>
    <n v="0"/>
    <n v="0"/>
    <m/>
    <m/>
    <m/>
    <m/>
    <n v="0"/>
    <m/>
    <m/>
    <n v="0"/>
    <m/>
    <m/>
    <m/>
    <m/>
    <m/>
    <m/>
    <n v="0"/>
    <n v="0"/>
  </r>
  <r>
    <x v="8"/>
    <x v="33"/>
    <s v="Non need-based"/>
    <m/>
    <m/>
    <x v="12"/>
    <m/>
    <m/>
    <m/>
    <m/>
    <m/>
    <m/>
    <m/>
    <m/>
    <n v="0"/>
    <m/>
    <m/>
    <n v="0"/>
    <n v="0"/>
    <n v="0"/>
    <n v="1595093"/>
    <n v="1536229"/>
    <m/>
    <m/>
    <n v="0"/>
    <m/>
    <m/>
    <n v="0"/>
    <m/>
    <m/>
    <m/>
    <m/>
    <m/>
    <m/>
    <n v="1595093"/>
    <n v="1536229"/>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3899908.88"/>
    <n v="3989875"/>
    <m/>
    <m/>
    <n v="0"/>
    <m/>
    <m/>
    <n v="0"/>
    <m/>
    <m/>
    <m/>
    <m/>
    <m/>
    <m/>
    <n v="3899908.88"/>
    <n v="3989875"/>
  </r>
  <r>
    <x v="8"/>
    <x v="31"/>
    <s v="Amount to private sector students"/>
    <m/>
    <m/>
    <x v="12"/>
    <m/>
    <m/>
    <m/>
    <m/>
    <m/>
    <m/>
    <m/>
    <m/>
    <n v="0"/>
    <m/>
    <m/>
    <n v="0"/>
    <n v="0"/>
    <n v="0"/>
    <m/>
    <m/>
    <m/>
    <m/>
    <n v="0"/>
    <m/>
    <m/>
    <n v="0"/>
    <m/>
    <m/>
    <m/>
    <m/>
    <m/>
    <m/>
    <n v="0"/>
    <n v="0"/>
  </r>
  <r>
    <x v="8"/>
    <x v="33"/>
    <s v="Non need-based"/>
    <m/>
    <m/>
    <x v="12"/>
    <m/>
    <m/>
    <m/>
    <m/>
    <m/>
    <m/>
    <m/>
    <m/>
    <n v="0"/>
    <m/>
    <m/>
    <n v="0"/>
    <n v="0"/>
    <n v="0"/>
    <n v="812499"/>
    <n v="821668"/>
    <m/>
    <m/>
    <n v="0"/>
    <m/>
    <m/>
    <n v="0"/>
    <m/>
    <m/>
    <m/>
    <m/>
    <m/>
    <m/>
    <n v="812499"/>
    <n v="821668"/>
  </r>
  <r>
    <x v="8"/>
    <x v="28"/>
    <s v="Loan/Scholarship Programs"/>
    <m/>
    <m/>
    <x v="12"/>
    <m/>
    <m/>
    <m/>
    <m/>
    <m/>
    <m/>
    <m/>
    <m/>
    <n v="0"/>
    <m/>
    <m/>
    <n v="0"/>
    <n v="0"/>
    <n v="0"/>
    <m/>
    <m/>
    <m/>
    <m/>
    <n v="0"/>
    <m/>
    <m/>
    <n v="0"/>
    <m/>
    <m/>
    <m/>
    <m/>
    <m/>
    <m/>
    <n v="0"/>
    <n v="0"/>
  </r>
  <r>
    <x v="8"/>
    <x v="28"/>
    <s v="Mississippi Teacher Loan Repayment Program"/>
    <m/>
    <m/>
    <x v="12"/>
    <m/>
    <m/>
    <m/>
    <m/>
    <m/>
    <m/>
    <m/>
    <m/>
    <n v="0"/>
    <m/>
    <m/>
    <n v="0"/>
    <n v="0"/>
    <n v="0"/>
    <m/>
    <n v="453145"/>
    <m/>
    <m/>
    <n v="0"/>
    <m/>
    <m/>
    <n v="0"/>
    <m/>
    <m/>
    <m/>
    <m/>
    <m/>
    <m/>
    <n v="0"/>
    <n v="453145"/>
  </r>
  <r>
    <x v="8"/>
    <x v="28"/>
    <s v="Amount to public sector students"/>
    <m/>
    <m/>
    <x v="12"/>
    <m/>
    <m/>
    <m/>
    <m/>
    <m/>
    <m/>
    <m/>
    <m/>
    <n v="0"/>
    <m/>
    <m/>
    <n v="0"/>
    <n v="0"/>
    <n v="0"/>
    <m/>
    <m/>
    <m/>
    <m/>
    <n v="0"/>
    <m/>
    <m/>
    <n v="0"/>
    <m/>
    <m/>
    <m/>
    <m/>
    <m/>
    <m/>
    <n v="0"/>
    <n v="0"/>
  </r>
  <r>
    <x v="8"/>
    <x v="36"/>
    <s v="Non need-based"/>
    <m/>
    <m/>
    <x v="12"/>
    <m/>
    <m/>
    <m/>
    <m/>
    <m/>
    <m/>
    <m/>
    <m/>
    <n v="0"/>
    <m/>
    <m/>
    <n v="0"/>
    <n v="0"/>
    <n v="0"/>
    <n v="2153016"/>
    <n v="2426976"/>
    <m/>
    <m/>
    <n v="0"/>
    <m/>
    <m/>
    <n v="0"/>
    <m/>
    <m/>
    <m/>
    <m/>
    <m/>
    <m/>
    <n v="2153016"/>
    <n v="2426976"/>
  </r>
  <r>
    <x v="8"/>
    <x v="31"/>
    <s v="Amount to private sector students"/>
    <m/>
    <m/>
    <x v="12"/>
    <m/>
    <m/>
    <m/>
    <m/>
    <m/>
    <m/>
    <m/>
    <m/>
    <n v="0"/>
    <m/>
    <m/>
    <n v="0"/>
    <n v="0"/>
    <n v="0"/>
    <m/>
    <m/>
    <m/>
    <m/>
    <n v="0"/>
    <m/>
    <m/>
    <n v="0"/>
    <m/>
    <m/>
    <m/>
    <m/>
    <m/>
    <m/>
    <n v="0"/>
    <n v="0"/>
  </r>
  <r>
    <x v="8"/>
    <x v="33"/>
    <s v="Non need-based"/>
    <m/>
    <m/>
    <x v="12"/>
    <m/>
    <m/>
    <m/>
    <m/>
    <m/>
    <m/>
    <m/>
    <m/>
    <n v="0"/>
    <m/>
    <m/>
    <n v="0"/>
    <n v="0"/>
    <n v="0"/>
    <n v="635250"/>
    <n v="654856"/>
    <m/>
    <m/>
    <n v="0"/>
    <m/>
    <m/>
    <n v="0"/>
    <m/>
    <m/>
    <m/>
    <m/>
    <m/>
    <m/>
    <n v="635250"/>
    <n v="654856"/>
  </r>
  <r>
    <x v="8"/>
    <x v="34"/>
    <s v="Limited to public college students only"/>
    <m/>
    <m/>
    <x v="12"/>
    <m/>
    <m/>
    <m/>
    <m/>
    <m/>
    <m/>
    <m/>
    <m/>
    <n v="0"/>
    <m/>
    <m/>
    <n v="0"/>
    <n v="0"/>
    <n v="0"/>
    <m/>
    <m/>
    <m/>
    <m/>
    <n v="0"/>
    <m/>
    <m/>
    <n v="0"/>
    <m/>
    <m/>
    <m/>
    <m/>
    <m/>
    <m/>
    <n v="0"/>
    <n v="0"/>
  </r>
  <r>
    <x v="8"/>
    <x v="35"/>
    <s v="Need-based (SUMD)"/>
    <m/>
    <m/>
    <x v="12"/>
    <m/>
    <m/>
    <m/>
    <m/>
    <m/>
    <m/>
    <m/>
    <m/>
    <n v="0"/>
    <m/>
    <m/>
    <n v="0"/>
    <n v="0"/>
    <n v="0"/>
    <n v="697591.5"/>
    <n v="750000"/>
    <m/>
    <m/>
    <n v="0"/>
    <m/>
    <m/>
    <n v="0"/>
    <m/>
    <m/>
    <m/>
    <m/>
    <m/>
    <m/>
    <n v="697591.5"/>
    <n v="750000"/>
  </r>
  <r>
    <x v="8"/>
    <x v="36"/>
    <s v="Non need-based (DENT, LAW, MED,PMGT, SDSP, VMMP)"/>
    <m/>
    <m/>
    <x v="12"/>
    <m/>
    <m/>
    <m/>
    <m/>
    <m/>
    <m/>
    <m/>
    <m/>
    <n v="0"/>
    <m/>
    <m/>
    <n v="0"/>
    <n v="0"/>
    <n v="0"/>
    <n v="333583.52"/>
    <n v="363722"/>
    <m/>
    <m/>
    <n v="0"/>
    <m/>
    <m/>
    <n v="0"/>
    <m/>
    <m/>
    <m/>
    <m/>
    <m/>
    <m/>
    <n v="333583.52"/>
    <n v="363722"/>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55336"/>
    <n v="84902"/>
    <m/>
    <m/>
    <n v="0"/>
    <m/>
    <m/>
    <n v="0"/>
    <m/>
    <m/>
    <m/>
    <m/>
    <m/>
    <m/>
    <n v="55336"/>
    <n v="84902"/>
  </r>
  <r>
    <x v="8"/>
    <x v="0"/>
    <s v="Hinds Community College "/>
    <m/>
    <n v="175786"/>
    <x v="6"/>
    <n v="28310038"/>
    <n v="26488892"/>
    <m/>
    <m/>
    <n v="10322131"/>
    <n v="10866970"/>
    <n v="24655479"/>
    <m/>
    <n v="24655479"/>
    <n v="28548205"/>
    <n v="0"/>
    <n v="28548205"/>
    <n v="63287648"/>
    <n v="65904067"/>
    <m/>
    <m/>
    <m/>
    <m/>
    <n v="0"/>
    <m/>
    <m/>
    <n v="0"/>
    <m/>
    <m/>
    <m/>
    <m/>
    <m/>
    <m/>
    <n v="63287648"/>
    <n v="65904067"/>
  </r>
  <r>
    <x v="8"/>
    <x v="8"/>
    <s v="Special line items for education operations"/>
    <m/>
    <n v="175786"/>
    <x v="6"/>
    <m/>
    <m/>
    <m/>
    <m/>
    <m/>
    <m/>
    <m/>
    <m/>
    <n v="0"/>
    <m/>
    <m/>
    <n v="0"/>
    <n v="0"/>
    <n v="0"/>
    <m/>
    <m/>
    <m/>
    <m/>
    <n v="0"/>
    <m/>
    <m/>
    <n v="0"/>
    <m/>
    <m/>
    <m/>
    <m/>
    <m/>
    <m/>
    <n v="0"/>
    <n v="0"/>
  </r>
  <r>
    <x v="8"/>
    <x v="8"/>
    <s v="Post-Secondary Vocational Education"/>
    <m/>
    <n v="175786"/>
    <x v="6"/>
    <m/>
    <m/>
    <n v="4164345"/>
    <n v="4750150"/>
    <m/>
    <m/>
    <m/>
    <m/>
    <n v="0"/>
    <m/>
    <m/>
    <n v="0"/>
    <n v="4164345"/>
    <n v="4750150"/>
    <m/>
    <m/>
    <m/>
    <m/>
    <n v="0"/>
    <m/>
    <m/>
    <n v="0"/>
    <m/>
    <m/>
    <m/>
    <m/>
    <m/>
    <m/>
    <n v="4164345"/>
    <n v="4750150"/>
  </r>
  <r>
    <x v="8"/>
    <x v="0"/>
    <s v="Mississippi Gulf Coast Community College "/>
    <m/>
    <n v="176071"/>
    <x v="6"/>
    <n v="23849144"/>
    <n v="21904632"/>
    <m/>
    <m/>
    <n v="8670939"/>
    <n v="8821587"/>
    <n v="22705480"/>
    <m/>
    <n v="22705480"/>
    <n v="27869675"/>
    <m/>
    <n v="27869675"/>
    <n v="55225563"/>
    <n v="58595894"/>
    <m/>
    <m/>
    <m/>
    <m/>
    <n v="0"/>
    <m/>
    <m/>
    <n v="0"/>
    <m/>
    <m/>
    <m/>
    <m/>
    <m/>
    <m/>
    <n v="55225563"/>
    <n v="58595894"/>
  </r>
  <r>
    <x v="8"/>
    <x v="8"/>
    <s v="Special line items for education operations"/>
    <m/>
    <n v="176071"/>
    <x v="6"/>
    <m/>
    <m/>
    <m/>
    <m/>
    <m/>
    <m/>
    <m/>
    <m/>
    <n v="0"/>
    <m/>
    <m/>
    <n v="0"/>
    <n v="0"/>
    <n v="0"/>
    <m/>
    <m/>
    <m/>
    <m/>
    <n v="0"/>
    <m/>
    <m/>
    <n v="0"/>
    <m/>
    <m/>
    <m/>
    <m/>
    <m/>
    <m/>
    <n v="0"/>
    <n v="0"/>
  </r>
  <r>
    <x v="8"/>
    <x v="8"/>
    <s v="Post-Secondary Vocational Education"/>
    <m/>
    <n v="176071"/>
    <x v="6"/>
    <m/>
    <m/>
    <n v="2624800"/>
    <n v="3087296"/>
    <m/>
    <m/>
    <m/>
    <m/>
    <n v="0"/>
    <m/>
    <m/>
    <n v="0"/>
    <n v="2624800"/>
    <n v="3087296"/>
    <m/>
    <m/>
    <m/>
    <m/>
    <n v="0"/>
    <m/>
    <m/>
    <n v="0"/>
    <m/>
    <m/>
    <m/>
    <m/>
    <m/>
    <m/>
    <n v="2624800"/>
    <n v="3087296"/>
  </r>
  <r>
    <x v="8"/>
    <x v="0"/>
    <s v="Northwest Mississippi Community College "/>
    <m/>
    <n v="176178"/>
    <x v="6"/>
    <n v="19196292"/>
    <n v="17817772"/>
    <m/>
    <m/>
    <n v="4839873"/>
    <n v="4885987"/>
    <n v="15870420"/>
    <m/>
    <n v="15870420"/>
    <n v="17490945"/>
    <m/>
    <n v="17490945"/>
    <n v="39906585"/>
    <n v="40194704"/>
    <m/>
    <m/>
    <m/>
    <m/>
    <n v="0"/>
    <m/>
    <m/>
    <n v="0"/>
    <m/>
    <m/>
    <m/>
    <m/>
    <m/>
    <m/>
    <n v="39906585"/>
    <n v="40194704"/>
  </r>
  <r>
    <x v="8"/>
    <x v="8"/>
    <s v="Special line items for education operations"/>
    <m/>
    <n v="176178"/>
    <x v="6"/>
    <m/>
    <m/>
    <m/>
    <m/>
    <m/>
    <m/>
    <m/>
    <m/>
    <n v="0"/>
    <m/>
    <m/>
    <n v="0"/>
    <n v="0"/>
    <n v="0"/>
    <m/>
    <m/>
    <m/>
    <m/>
    <n v="0"/>
    <m/>
    <m/>
    <n v="0"/>
    <m/>
    <m/>
    <m/>
    <m/>
    <m/>
    <m/>
    <n v="0"/>
    <n v="0"/>
  </r>
  <r>
    <x v="8"/>
    <x v="8"/>
    <s v="Post-Secondary Vocational Education"/>
    <m/>
    <n v="176178"/>
    <x v="6"/>
    <m/>
    <m/>
    <n v="1817799"/>
    <n v="1990246"/>
    <m/>
    <m/>
    <m/>
    <m/>
    <n v="0"/>
    <m/>
    <m/>
    <n v="0"/>
    <n v="1817799"/>
    <n v="1990246"/>
    <m/>
    <m/>
    <m/>
    <m/>
    <n v="0"/>
    <m/>
    <m/>
    <n v="0"/>
    <m/>
    <m/>
    <m/>
    <m/>
    <m/>
    <m/>
    <n v="1817799"/>
    <n v="1990246"/>
  </r>
  <r>
    <x v="8"/>
    <x v="0"/>
    <s v="Copiah-Lincoln Community College "/>
    <m/>
    <n v="175573"/>
    <x v="7"/>
    <n v="10663771"/>
    <n v="9949601"/>
    <m/>
    <m/>
    <n v="2301267"/>
    <n v="2292128"/>
    <n v="8445401"/>
    <m/>
    <n v="8445401"/>
    <n v="9070830"/>
    <m/>
    <n v="9070830"/>
    <n v="21410439"/>
    <n v="21312559"/>
    <m/>
    <m/>
    <m/>
    <m/>
    <n v="0"/>
    <m/>
    <m/>
    <n v="0"/>
    <m/>
    <m/>
    <m/>
    <m/>
    <m/>
    <m/>
    <n v="21410439"/>
    <n v="21312559"/>
  </r>
  <r>
    <x v="8"/>
    <x v="8"/>
    <s v="Special line items for education operations"/>
    <m/>
    <n v="175573"/>
    <x v="7"/>
    <m/>
    <m/>
    <m/>
    <m/>
    <m/>
    <m/>
    <m/>
    <m/>
    <n v="0"/>
    <m/>
    <m/>
    <n v="0"/>
    <n v="0"/>
    <n v="0"/>
    <m/>
    <m/>
    <m/>
    <m/>
    <n v="0"/>
    <m/>
    <m/>
    <n v="0"/>
    <m/>
    <m/>
    <m/>
    <m/>
    <m/>
    <m/>
    <n v="0"/>
    <n v="0"/>
  </r>
  <r>
    <x v="8"/>
    <x v="8"/>
    <s v="Post-Secondary Vocational Education"/>
    <m/>
    <n v="175573"/>
    <x v="7"/>
    <m/>
    <m/>
    <n v="1335228"/>
    <n v="1368145"/>
    <m/>
    <m/>
    <m/>
    <m/>
    <n v="0"/>
    <m/>
    <m/>
    <n v="0"/>
    <n v="1335228"/>
    <n v="1368145"/>
    <m/>
    <m/>
    <m/>
    <m/>
    <n v="0"/>
    <m/>
    <m/>
    <n v="0"/>
    <m/>
    <m/>
    <m/>
    <m/>
    <m/>
    <m/>
    <n v="1335228"/>
    <n v="1368145"/>
  </r>
  <r>
    <x v="8"/>
    <x v="0"/>
    <s v="East Central Community College "/>
    <m/>
    <n v="175643"/>
    <x v="7"/>
    <n v="8864102"/>
    <n v="8146138"/>
    <m/>
    <m/>
    <n v="1253774"/>
    <n v="1137892"/>
    <n v="4858169"/>
    <m/>
    <n v="4858169"/>
    <n v="6016777"/>
    <m/>
    <n v="6016777"/>
    <n v="14976045"/>
    <n v="15300807"/>
    <m/>
    <m/>
    <m/>
    <m/>
    <n v="0"/>
    <m/>
    <m/>
    <n v="0"/>
    <m/>
    <m/>
    <m/>
    <m/>
    <m/>
    <m/>
    <n v="14976045"/>
    <n v="15300807"/>
  </r>
  <r>
    <x v="8"/>
    <x v="8"/>
    <s v="Special line items for education operations"/>
    <m/>
    <n v="175643"/>
    <x v="7"/>
    <m/>
    <m/>
    <m/>
    <m/>
    <m/>
    <m/>
    <m/>
    <m/>
    <n v="0"/>
    <m/>
    <m/>
    <n v="0"/>
    <n v="0"/>
    <n v="0"/>
    <m/>
    <m/>
    <m/>
    <m/>
    <n v="0"/>
    <m/>
    <m/>
    <n v="0"/>
    <m/>
    <m/>
    <m/>
    <m/>
    <m/>
    <m/>
    <n v="0"/>
    <n v="0"/>
  </r>
  <r>
    <x v="8"/>
    <x v="8"/>
    <s v="Post-Secondary Vocational Education"/>
    <m/>
    <n v="175643"/>
    <x v="7"/>
    <m/>
    <m/>
    <n v="1034562.43"/>
    <n v="1096443"/>
    <m/>
    <m/>
    <m/>
    <m/>
    <n v="0"/>
    <m/>
    <m/>
    <n v="0"/>
    <n v="1034562.43"/>
    <n v="1096443"/>
    <m/>
    <m/>
    <m/>
    <m/>
    <n v="0"/>
    <m/>
    <m/>
    <n v="0"/>
    <m/>
    <m/>
    <m/>
    <m/>
    <m/>
    <m/>
    <n v="1034562.43"/>
    <n v="1096443"/>
  </r>
  <r>
    <x v="8"/>
    <x v="0"/>
    <s v="East Mississippi Community College "/>
    <m/>
    <n v="175652"/>
    <x v="7"/>
    <n v="11979806"/>
    <n v="11712272"/>
    <m/>
    <m/>
    <n v="1634550"/>
    <n v="1634550"/>
    <n v="12972187"/>
    <m/>
    <n v="12972187"/>
    <n v="14422200"/>
    <m/>
    <n v="14422200"/>
    <n v="26586543"/>
    <n v="27769022"/>
    <m/>
    <m/>
    <m/>
    <m/>
    <n v="0"/>
    <m/>
    <m/>
    <n v="0"/>
    <m/>
    <m/>
    <m/>
    <m/>
    <m/>
    <m/>
    <n v="26586543"/>
    <n v="27769022"/>
  </r>
  <r>
    <x v="8"/>
    <x v="8"/>
    <s v="Special line items for education operations"/>
    <m/>
    <n v="175652"/>
    <x v="7"/>
    <m/>
    <m/>
    <m/>
    <m/>
    <m/>
    <m/>
    <m/>
    <m/>
    <n v="0"/>
    <m/>
    <m/>
    <n v="0"/>
    <n v="0"/>
    <n v="0"/>
    <m/>
    <m/>
    <m/>
    <m/>
    <n v="0"/>
    <m/>
    <m/>
    <n v="0"/>
    <m/>
    <m/>
    <m/>
    <m/>
    <m/>
    <m/>
    <n v="0"/>
    <n v="0"/>
  </r>
  <r>
    <x v="8"/>
    <x v="8"/>
    <s v="Post-Secondary Vocational Education"/>
    <m/>
    <n v="175652"/>
    <x v="7"/>
    <m/>
    <m/>
    <n v="971170.57"/>
    <n v="1104825"/>
    <m/>
    <m/>
    <m/>
    <m/>
    <n v="0"/>
    <m/>
    <m/>
    <n v="0"/>
    <n v="971170.57"/>
    <n v="1104825"/>
    <m/>
    <m/>
    <m/>
    <m/>
    <n v="0"/>
    <m/>
    <m/>
    <n v="0"/>
    <m/>
    <m/>
    <m/>
    <m/>
    <m/>
    <m/>
    <n v="971170.57"/>
    <n v="1104825"/>
  </r>
  <r>
    <x v="8"/>
    <x v="0"/>
    <s v="Holmes Community College "/>
    <s v="Met the criteria for Two-Year 1 in 2010-11."/>
    <n v="175810"/>
    <x v="7"/>
    <n v="15249087"/>
    <n v="14392377"/>
    <m/>
    <m/>
    <n v="2537758"/>
    <n v="2546084"/>
    <n v="12926651"/>
    <m/>
    <n v="12926651"/>
    <n v="15049347"/>
    <m/>
    <n v="15049347"/>
    <n v="30713496"/>
    <n v="31987808"/>
    <m/>
    <m/>
    <m/>
    <m/>
    <n v="0"/>
    <m/>
    <m/>
    <n v="0"/>
    <m/>
    <m/>
    <m/>
    <m/>
    <m/>
    <m/>
    <n v="30713496"/>
    <n v="31987808"/>
  </r>
  <r>
    <x v="8"/>
    <x v="8"/>
    <s v="Special line items for education operations"/>
    <m/>
    <n v="175810"/>
    <x v="7"/>
    <m/>
    <m/>
    <m/>
    <m/>
    <m/>
    <m/>
    <m/>
    <m/>
    <n v="0"/>
    <m/>
    <m/>
    <n v="0"/>
    <n v="0"/>
    <n v="0"/>
    <m/>
    <m/>
    <m/>
    <m/>
    <n v="0"/>
    <m/>
    <m/>
    <n v="0"/>
    <m/>
    <m/>
    <m/>
    <m/>
    <m/>
    <m/>
    <n v="0"/>
    <n v="0"/>
  </r>
  <r>
    <x v="8"/>
    <x v="8"/>
    <s v="Post-Secondary Vocational Education"/>
    <m/>
    <n v="175810"/>
    <x v="7"/>
    <m/>
    <m/>
    <n v="1420041"/>
    <n v="1637044"/>
    <m/>
    <m/>
    <m/>
    <m/>
    <n v="0"/>
    <m/>
    <m/>
    <n v="0"/>
    <n v="1420041"/>
    <n v="1637044"/>
    <m/>
    <m/>
    <m/>
    <m/>
    <n v="0"/>
    <m/>
    <m/>
    <n v="0"/>
    <m/>
    <m/>
    <m/>
    <m/>
    <m/>
    <m/>
    <n v="1420041"/>
    <n v="1637044"/>
  </r>
  <r>
    <x v="8"/>
    <x v="0"/>
    <s v="Itawamba Community College "/>
    <s v="Reclassified: Met criteria for Two-Year 1 2008-09, 2009-10 and 2010-11."/>
    <n v="175829"/>
    <x v="6"/>
    <n v="20342801"/>
    <n v="19070176"/>
    <m/>
    <m/>
    <n v="5267262"/>
    <n v="5218132"/>
    <n v="15074217"/>
    <m/>
    <n v="15074217"/>
    <n v="15419718"/>
    <m/>
    <n v="15419718"/>
    <n v="40684280"/>
    <n v="39708026"/>
    <m/>
    <m/>
    <m/>
    <m/>
    <n v="0"/>
    <m/>
    <m/>
    <n v="0"/>
    <m/>
    <m/>
    <m/>
    <m/>
    <m/>
    <m/>
    <n v="40684280"/>
    <n v="39708026"/>
  </r>
  <r>
    <x v="8"/>
    <x v="8"/>
    <s v="Special line items for education operations"/>
    <m/>
    <n v="175829"/>
    <x v="6"/>
    <m/>
    <m/>
    <m/>
    <m/>
    <m/>
    <m/>
    <m/>
    <m/>
    <n v="0"/>
    <m/>
    <m/>
    <n v="0"/>
    <n v="0"/>
    <n v="0"/>
    <m/>
    <m/>
    <m/>
    <m/>
    <n v="0"/>
    <m/>
    <m/>
    <n v="0"/>
    <m/>
    <m/>
    <m/>
    <m/>
    <m/>
    <m/>
    <n v="0"/>
    <n v="0"/>
  </r>
  <r>
    <x v="8"/>
    <x v="8"/>
    <s v="Post-Secondary Vocational Education"/>
    <m/>
    <n v="175830"/>
    <x v="6"/>
    <m/>
    <m/>
    <n v="1764084"/>
    <n v="2025028"/>
    <m/>
    <m/>
    <m/>
    <m/>
    <n v="0"/>
    <m/>
    <m/>
    <n v="0"/>
    <n v="1764084"/>
    <n v="2025028"/>
    <m/>
    <m/>
    <m/>
    <m/>
    <n v="0"/>
    <m/>
    <m/>
    <n v="0"/>
    <m/>
    <m/>
    <m/>
    <m/>
    <m/>
    <m/>
    <n v="1764084"/>
    <n v="2025028"/>
  </r>
  <r>
    <x v="8"/>
    <x v="0"/>
    <s v="Jones County Junior College "/>
    <s v="Met the criteria for Two-Year 1 in 2010-11."/>
    <n v="175883"/>
    <x v="7"/>
    <n v="14560894"/>
    <n v="13441999"/>
    <m/>
    <m/>
    <n v="2385702"/>
    <n v="2278471"/>
    <n v="12385624"/>
    <m/>
    <n v="12385624"/>
    <n v="13508398"/>
    <m/>
    <n v="13508398"/>
    <n v="29332220"/>
    <n v="29228868"/>
    <m/>
    <m/>
    <m/>
    <m/>
    <n v="0"/>
    <m/>
    <m/>
    <n v="0"/>
    <m/>
    <m/>
    <m/>
    <m/>
    <m/>
    <m/>
    <n v="29332220"/>
    <n v="29228868"/>
  </r>
  <r>
    <x v="8"/>
    <x v="8"/>
    <s v="Special line items for education operations"/>
    <m/>
    <n v="175883"/>
    <x v="7"/>
    <m/>
    <m/>
    <m/>
    <m/>
    <m/>
    <m/>
    <m/>
    <m/>
    <n v="0"/>
    <m/>
    <m/>
    <n v="0"/>
    <n v="0"/>
    <n v="0"/>
    <m/>
    <m/>
    <m/>
    <m/>
    <n v="0"/>
    <m/>
    <m/>
    <n v="0"/>
    <m/>
    <m/>
    <m/>
    <m/>
    <m/>
    <m/>
    <n v="0"/>
    <n v="0"/>
  </r>
  <r>
    <x v="8"/>
    <x v="8"/>
    <s v="Post-Secondary Vocational Education"/>
    <m/>
    <n v="175884"/>
    <x v="7"/>
    <m/>
    <m/>
    <n v="1593081"/>
    <n v="1784619"/>
    <m/>
    <m/>
    <m/>
    <m/>
    <n v="0"/>
    <m/>
    <m/>
    <n v="0"/>
    <n v="1593081"/>
    <n v="1784619"/>
    <m/>
    <m/>
    <m/>
    <m/>
    <n v="0"/>
    <m/>
    <m/>
    <n v="0"/>
    <m/>
    <m/>
    <m/>
    <m/>
    <m/>
    <m/>
    <n v="1593081"/>
    <n v="1784619"/>
  </r>
  <r>
    <x v="8"/>
    <x v="0"/>
    <s v="Meridian Community College "/>
    <m/>
    <n v="175935"/>
    <x v="7"/>
    <n v="11854197"/>
    <n v="10652916"/>
    <m/>
    <m/>
    <n v="2236393"/>
    <n v="1984432"/>
    <n v="8052034"/>
    <m/>
    <n v="8052034"/>
    <n v="9661130"/>
    <m/>
    <n v="9661130"/>
    <n v="22142624"/>
    <n v="22298478"/>
    <m/>
    <m/>
    <m/>
    <m/>
    <n v="0"/>
    <m/>
    <m/>
    <n v="0"/>
    <m/>
    <m/>
    <m/>
    <m/>
    <m/>
    <m/>
    <n v="22142624"/>
    <n v="22298478"/>
  </r>
  <r>
    <x v="8"/>
    <x v="8"/>
    <s v="Special line items for education operations"/>
    <m/>
    <n v="175935"/>
    <x v="7"/>
    <m/>
    <m/>
    <m/>
    <m/>
    <m/>
    <m/>
    <m/>
    <m/>
    <n v="0"/>
    <m/>
    <m/>
    <n v="0"/>
    <n v="0"/>
    <n v="0"/>
    <m/>
    <m/>
    <m/>
    <m/>
    <n v="0"/>
    <m/>
    <m/>
    <n v="0"/>
    <m/>
    <m/>
    <m/>
    <m/>
    <m/>
    <m/>
    <n v="0"/>
    <n v="0"/>
  </r>
  <r>
    <x v="8"/>
    <x v="8"/>
    <s v="Post-Secondary Vocational Education"/>
    <m/>
    <n v="175935"/>
    <x v="7"/>
    <m/>
    <m/>
    <n v="1270006"/>
    <n v="1344923"/>
    <m/>
    <m/>
    <m/>
    <m/>
    <n v="0"/>
    <m/>
    <m/>
    <n v="0"/>
    <n v="1270006"/>
    <n v="1344923"/>
    <m/>
    <m/>
    <m/>
    <m/>
    <n v="0"/>
    <m/>
    <m/>
    <n v="0"/>
    <m/>
    <m/>
    <m/>
    <m/>
    <m/>
    <m/>
    <n v="1270006"/>
    <n v="1344923"/>
  </r>
  <r>
    <x v="8"/>
    <x v="0"/>
    <s v="Mississippi Delta Community College "/>
    <m/>
    <n v="176008"/>
    <x v="7"/>
    <n v="10096123"/>
    <n v="9466548"/>
    <m/>
    <m/>
    <n v="2005945"/>
    <n v="1987758"/>
    <n v="7411844"/>
    <m/>
    <n v="7411844"/>
    <n v="8708483"/>
    <m/>
    <n v="8708483"/>
    <n v="19513912"/>
    <n v="20162789"/>
    <m/>
    <m/>
    <m/>
    <m/>
    <n v="0"/>
    <m/>
    <m/>
    <n v="0"/>
    <m/>
    <m/>
    <m/>
    <m/>
    <m/>
    <m/>
    <n v="19513912"/>
    <n v="20162789"/>
  </r>
  <r>
    <x v="8"/>
    <x v="8"/>
    <s v="Special line items for education operations"/>
    <m/>
    <n v="176008"/>
    <x v="7"/>
    <m/>
    <m/>
    <m/>
    <m/>
    <m/>
    <m/>
    <m/>
    <m/>
    <n v="0"/>
    <m/>
    <m/>
    <n v="0"/>
    <n v="0"/>
    <n v="0"/>
    <m/>
    <m/>
    <m/>
    <m/>
    <n v="0"/>
    <m/>
    <m/>
    <n v="0"/>
    <m/>
    <m/>
    <m/>
    <m/>
    <m/>
    <m/>
    <n v="0"/>
    <n v="0"/>
  </r>
  <r>
    <x v="8"/>
    <x v="8"/>
    <s v="Post-Secondary Vocational Education"/>
    <m/>
    <n v="176008"/>
    <x v="7"/>
    <m/>
    <m/>
    <n v="987487"/>
    <n v="990015"/>
    <m/>
    <m/>
    <m/>
    <m/>
    <n v="0"/>
    <m/>
    <m/>
    <n v="0"/>
    <n v="987487"/>
    <n v="990015"/>
    <m/>
    <m/>
    <m/>
    <m/>
    <n v="0"/>
    <m/>
    <m/>
    <n v="0"/>
    <m/>
    <m/>
    <m/>
    <m/>
    <m/>
    <m/>
    <n v="987487"/>
    <n v="990015"/>
  </r>
  <r>
    <x v="8"/>
    <x v="0"/>
    <s v="Northeast Mississippi Community College "/>
    <m/>
    <n v="176169"/>
    <x v="7"/>
    <n v="10813271"/>
    <n v="10058474"/>
    <m/>
    <m/>
    <n v="1459707"/>
    <n v="1451571"/>
    <n v="7635712"/>
    <s v=" "/>
    <n v="7635712"/>
    <n v="8728291"/>
    <m/>
    <n v="8728291"/>
    <n v="19908690"/>
    <n v="20238336"/>
    <m/>
    <m/>
    <m/>
    <m/>
    <n v="0"/>
    <m/>
    <m/>
    <n v="0"/>
    <m/>
    <m/>
    <m/>
    <m/>
    <m/>
    <m/>
    <n v="19908690"/>
    <n v="20238336"/>
  </r>
  <r>
    <x v="8"/>
    <x v="8"/>
    <s v="Special line items for education operations"/>
    <m/>
    <n v="176169"/>
    <x v="7"/>
    <m/>
    <m/>
    <m/>
    <m/>
    <m/>
    <m/>
    <m/>
    <m/>
    <n v="0"/>
    <m/>
    <m/>
    <n v="0"/>
    <n v="0"/>
    <n v="0"/>
    <m/>
    <m/>
    <m/>
    <m/>
    <n v="0"/>
    <m/>
    <m/>
    <n v="0"/>
    <m/>
    <m/>
    <m/>
    <m/>
    <m/>
    <m/>
    <n v="0"/>
    <n v="0"/>
  </r>
  <r>
    <x v="8"/>
    <x v="8"/>
    <s v="Post-Secondary Vocational Education"/>
    <m/>
    <n v="176169"/>
    <x v="7"/>
    <m/>
    <m/>
    <n v="1191979"/>
    <n v="1313145"/>
    <m/>
    <m/>
    <m/>
    <m/>
    <n v="0"/>
    <m/>
    <m/>
    <n v="0"/>
    <n v="1191979"/>
    <n v="1313145"/>
    <m/>
    <m/>
    <m/>
    <m/>
    <n v="0"/>
    <m/>
    <m/>
    <n v="0"/>
    <m/>
    <m/>
    <m/>
    <m/>
    <m/>
    <m/>
    <n v="1191979"/>
    <n v="1313145"/>
  </r>
  <r>
    <x v="8"/>
    <x v="0"/>
    <s v="Pearl River Community College "/>
    <m/>
    <n v="176239"/>
    <x v="7"/>
    <n v="13279595"/>
    <n v="12298883"/>
    <m/>
    <m/>
    <n v="2759587"/>
    <n v="3156587"/>
    <n v="9722223"/>
    <m/>
    <n v="9722223"/>
    <n v="11554239"/>
    <m/>
    <n v="11554239"/>
    <n v="25761405"/>
    <n v="27009709"/>
    <m/>
    <m/>
    <m/>
    <m/>
    <n v="0"/>
    <m/>
    <m/>
    <n v="0"/>
    <m/>
    <m/>
    <m/>
    <m/>
    <m/>
    <m/>
    <n v="25761405"/>
    <n v="27009709"/>
  </r>
  <r>
    <x v="8"/>
    <x v="8"/>
    <s v="Special line items for education operations"/>
    <m/>
    <n v="176239"/>
    <x v="7"/>
    <m/>
    <m/>
    <m/>
    <m/>
    <m/>
    <m/>
    <m/>
    <m/>
    <n v="0"/>
    <m/>
    <m/>
    <n v="0"/>
    <n v="0"/>
    <n v="0"/>
    <m/>
    <m/>
    <m/>
    <m/>
    <n v="0"/>
    <m/>
    <m/>
    <n v="0"/>
    <m/>
    <m/>
    <m/>
    <m/>
    <m/>
    <m/>
    <n v="0"/>
    <n v="0"/>
  </r>
  <r>
    <x v="8"/>
    <x v="8"/>
    <s v="Post-Secondary Vocational Education"/>
    <m/>
    <n v="176239"/>
    <x v="7"/>
    <m/>
    <m/>
    <n v="1758794"/>
    <n v="1989676"/>
    <m/>
    <m/>
    <m/>
    <m/>
    <n v="0"/>
    <m/>
    <m/>
    <n v="0"/>
    <n v="1758794"/>
    <n v="1989676"/>
    <m/>
    <m/>
    <m/>
    <m/>
    <n v="0"/>
    <m/>
    <m/>
    <n v="0"/>
    <m/>
    <m/>
    <m/>
    <m/>
    <m/>
    <m/>
    <n v="1758794"/>
    <n v="1989676"/>
  </r>
  <r>
    <x v="8"/>
    <x v="0"/>
    <s v="Coahoma Community College "/>
    <s v="Met the criteria for Two-Year 2 in 2010-11."/>
    <n v="175519"/>
    <x v="8"/>
    <n v="6812767"/>
    <n v="6507029"/>
    <m/>
    <m/>
    <n v="1359978"/>
    <n v="1352690"/>
    <n v="5503489"/>
    <m/>
    <n v="5503489"/>
    <n v="6680227"/>
    <m/>
    <n v="6680227"/>
    <n v="13676234"/>
    <n v="14539946"/>
    <m/>
    <m/>
    <m/>
    <m/>
    <n v="0"/>
    <m/>
    <m/>
    <n v="0"/>
    <m/>
    <m/>
    <m/>
    <m/>
    <m/>
    <m/>
    <n v="13676234"/>
    <n v="14539946"/>
  </r>
  <r>
    <x v="8"/>
    <x v="8"/>
    <s v="Special line items for education operations"/>
    <m/>
    <n v="175519"/>
    <x v="8"/>
    <m/>
    <m/>
    <m/>
    <m/>
    <m/>
    <m/>
    <m/>
    <m/>
    <n v="0"/>
    <m/>
    <m/>
    <n v="0"/>
    <n v="0"/>
    <n v="0"/>
    <m/>
    <m/>
    <m/>
    <m/>
    <n v="0"/>
    <m/>
    <m/>
    <n v="0"/>
    <m/>
    <m/>
    <m/>
    <m/>
    <m/>
    <m/>
    <n v="0"/>
    <n v="0"/>
  </r>
  <r>
    <x v="8"/>
    <x v="8"/>
    <s v="Post-Secondary Vocational Education"/>
    <m/>
    <n v="175519"/>
    <x v="8"/>
    <m/>
    <m/>
    <n v="946140"/>
    <n v="1251434"/>
    <m/>
    <m/>
    <m/>
    <m/>
    <n v="0"/>
    <m/>
    <m/>
    <n v="0"/>
    <n v="946140"/>
    <n v="1251434"/>
    <m/>
    <m/>
    <m/>
    <m/>
    <n v="0"/>
    <m/>
    <m/>
    <n v="0"/>
    <m/>
    <m/>
    <m/>
    <m/>
    <m/>
    <m/>
    <n v="946140"/>
    <n v="1251434"/>
  </r>
  <r>
    <x v="8"/>
    <x v="0"/>
    <s v="Southwest Mississippi Community College  "/>
    <m/>
    <n v="176354"/>
    <x v="8"/>
    <n v="7365595"/>
    <n v="6787368"/>
    <m/>
    <m/>
    <n v="1083396"/>
    <n v="1193407"/>
    <n v="4404568"/>
    <m/>
    <n v="4404568"/>
    <n v="4136150"/>
    <m/>
    <n v="4136150"/>
    <n v="12853559"/>
    <n v="12116925"/>
    <m/>
    <m/>
    <m/>
    <m/>
    <n v="0"/>
    <m/>
    <m/>
    <n v="0"/>
    <m/>
    <m/>
    <m/>
    <m/>
    <m/>
    <m/>
    <n v="12853559"/>
    <n v="12116925"/>
  </r>
  <r>
    <x v="8"/>
    <x v="8"/>
    <s v="Special line items for education operations"/>
    <m/>
    <n v="176354"/>
    <x v="8"/>
    <m/>
    <m/>
    <m/>
    <m/>
    <m/>
    <m/>
    <m/>
    <m/>
    <n v="0"/>
    <m/>
    <m/>
    <n v="0"/>
    <n v="0"/>
    <n v="0"/>
    <m/>
    <m/>
    <m/>
    <m/>
    <n v="0"/>
    <m/>
    <m/>
    <n v="0"/>
    <m/>
    <m/>
    <m/>
    <m/>
    <m/>
    <m/>
    <n v="0"/>
    <n v="0"/>
  </r>
  <r>
    <x v="8"/>
    <x v="8"/>
    <s v="Post-Secondary Vocational Education"/>
    <m/>
    <n v="176354"/>
    <x v="8"/>
    <m/>
    <m/>
    <n v="904896"/>
    <n v="1010484"/>
    <m/>
    <m/>
    <m/>
    <m/>
    <n v="0"/>
    <m/>
    <m/>
    <n v="0"/>
    <n v="904896"/>
    <n v="1010484"/>
    <m/>
    <m/>
    <m/>
    <m/>
    <n v="0"/>
    <m/>
    <m/>
    <n v="0"/>
    <m/>
    <m/>
    <m/>
    <m/>
    <m/>
    <m/>
    <n v="904896"/>
    <n v="1010484"/>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337809.47"/>
    <n v="381341"/>
    <m/>
    <m/>
    <m/>
    <m/>
    <n v="0"/>
    <m/>
    <m/>
    <n v="0"/>
    <n v="337809.47"/>
    <n v="381341"/>
    <m/>
    <m/>
    <m/>
    <m/>
    <n v="0"/>
    <m/>
    <m/>
    <n v="0"/>
    <m/>
    <m/>
    <m/>
    <m/>
    <m/>
    <m/>
    <n v="337809.47"/>
    <n v="381341"/>
  </r>
  <r>
    <x v="8"/>
    <x v="13"/>
    <s v="Post-Secondary Vocational Education @ Comm. Cols."/>
    <m/>
    <m/>
    <x v="12"/>
    <m/>
    <m/>
    <m/>
    <m/>
    <m/>
    <m/>
    <m/>
    <m/>
    <n v="0"/>
    <m/>
    <m/>
    <n v="0"/>
    <n v="0"/>
    <n v="0"/>
    <m/>
    <m/>
    <m/>
    <m/>
    <n v="0"/>
    <m/>
    <m/>
    <n v="0"/>
    <m/>
    <m/>
    <m/>
    <m/>
    <m/>
    <m/>
    <n v="0"/>
    <n v="0"/>
  </r>
  <r>
    <x v="8"/>
    <x v="13"/>
    <s v="Greenville Higher Education Center (MDCC via SBCJC)"/>
    <m/>
    <m/>
    <x v="12"/>
    <m/>
    <m/>
    <n v="542109"/>
    <n v="542459"/>
    <m/>
    <m/>
    <m/>
    <m/>
    <n v="0"/>
    <m/>
    <m/>
    <n v="0"/>
    <n v="542109"/>
    <n v="542459"/>
    <m/>
    <m/>
    <m/>
    <m/>
    <n v="0"/>
    <m/>
    <m/>
    <n v="0"/>
    <m/>
    <m/>
    <m/>
    <m/>
    <m/>
    <m/>
    <n v="54210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090732"/>
    <n v="2339801"/>
    <m/>
    <m/>
    <n v="0"/>
    <m/>
    <m/>
    <n v="0"/>
    <m/>
    <m/>
    <m/>
    <m/>
    <m/>
    <m/>
    <n v="2090732"/>
    <n v="2339801"/>
  </r>
  <r>
    <x v="9"/>
    <x v="0"/>
    <s v="North Carolina State University "/>
    <m/>
    <n v="199193"/>
    <x v="0"/>
    <n v="334333439.20000005"/>
    <n v="361932097"/>
    <m/>
    <m/>
    <m/>
    <m/>
    <n v="188653846.94"/>
    <m/>
    <n v="188653846.94"/>
    <n v="225583825"/>
    <m/>
    <n v="225583825"/>
    <n v="522987286.14000005"/>
    <n v="587515922"/>
    <m/>
    <m/>
    <m/>
    <m/>
    <n v="0"/>
    <m/>
    <m/>
    <n v="0"/>
    <m/>
    <m/>
    <m/>
    <m/>
    <m/>
    <m/>
    <n v="522987286.14000005"/>
    <n v="587515922"/>
  </r>
  <r>
    <x v="9"/>
    <x v="1"/>
    <s v="Vet Med School"/>
    <m/>
    <n v="199193"/>
    <x v="0"/>
    <m/>
    <m/>
    <m/>
    <m/>
    <m/>
    <m/>
    <m/>
    <m/>
    <n v="0"/>
    <m/>
    <m/>
    <n v="0"/>
    <n v="0"/>
    <n v="0"/>
    <m/>
    <m/>
    <m/>
    <m/>
    <n v="0"/>
    <m/>
    <m/>
    <n v="0"/>
    <n v="28257556.369999997"/>
    <n v="28722981"/>
    <n v="3902751"/>
    <m/>
    <n v="3857572"/>
    <m/>
    <n v="32160307.369999997"/>
    <n v="32580553"/>
  </r>
  <r>
    <x v="9"/>
    <x v="5"/>
    <s v="Agricultural cooperative extension"/>
    <m/>
    <n v="199193"/>
    <x v="0"/>
    <m/>
    <m/>
    <n v="42238279"/>
    <n v="44133360"/>
    <m/>
    <m/>
    <m/>
    <m/>
    <n v="0"/>
    <m/>
    <m/>
    <n v="0"/>
    <n v="42238279"/>
    <n v="44133360"/>
    <m/>
    <m/>
    <m/>
    <m/>
    <n v="0"/>
    <m/>
    <m/>
    <n v="0"/>
    <m/>
    <m/>
    <m/>
    <m/>
    <m/>
    <m/>
    <n v="42238279"/>
    <n v="44133360"/>
  </r>
  <r>
    <x v="9"/>
    <x v="6"/>
    <s v="Agricultural experiment stations"/>
    <m/>
    <n v="199193"/>
    <x v="0"/>
    <m/>
    <m/>
    <m/>
    <m/>
    <m/>
    <m/>
    <m/>
    <m/>
    <n v="0"/>
    <m/>
    <m/>
    <n v="0"/>
    <n v="0"/>
    <n v="0"/>
    <m/>
    <m/>
    <m/>
    <m/>
    <n v="0"/>
    <m/>
    <m/>
    <n v="0"/>
    <m/>
    <m/>
    <m/>
    <m/>
    <m/>
    <m/>
    <n v="0"/>
    <n v="0"/>
  </r>
  <r>
    <x v="9"/>
    <x v="6"/>
    <s v="Agricultural Research Service"/>
    <m/>
    <n v="199193"/>
    <x v="0"/>
    <m/>
    <m/>
    <n v="57507443"/>
    <n v="59544343"/>
    <m/>
    <m/>
    <m/>
    <m/>
    <n v="0"/>
    <m/>
    <m/>
    <n v="0"/>
    <n v="57507443"/>
    <n v="59544343"/>
    <m/>
    <m/>
    <m/>
    <m/>
    <n v="0"/>
    <m/>
    <m/>
    <n v="0"/>
    <m/>
    <m/>
    <m/>
    <m/>
    <m/>
    <m/>
    <n v="57507443"/>
    <n v="59544343"/>
  </r>
  <r>
    <x v="9"/>
    <x v="0"/>
    <s v="University of North Carolina at Chapel Hill "/>
    <m/>
    <n v="199120"/>
    <x v="0"/>
    <n v="269969138.29000002"/>
    <n v="281064238"/>
    <m/>
    <m/>
    <m/>
    <m/>
    <n v="206413117.5"/>
    <m/>
    <n v="206413117.5"/>
    <n v="231446363"/>
    <m/>
    <n v="231446363"/>
    <n v="476382255.79000002"/>
    <n v="512510601"/>
    <m/>
    <m/>
    <m/>
    <m/>
    <n v="0"/>
    <m/>
    <m/>
    <n v="0"/>
    <m/>
    <m/>
    <m/>
    <m/>
    <m/>
    <m/>
    <n v="476382255.79000002"/>
    <n v="512510601"/>
  </r>
  <r>
    <x v="9"/>
    <x v="1"/>
    <s v="Health professions education"/>
    <m/>
    <n v="199120"/>
    <x v="0"/>
    <m/>
    <m/>
    <m/>
    <m/>
    <m/>
    <m/>
    <m/>
    <m/>
    <n v="0"/>
    <m/>
    <m/>
    <n v="0"/>
    <n v="0"/>
    <n v="0"/>
    <m/>
    <m/>
    <m/>
    <m/>
    <n v="0"/>
    <m/>
    <m/>
    <n v="0"/>
    <m/>
    <m/>
    <m/>
    <m/>
    <m/>
    <m/>
    <n v="0"/>
    <n v="0"/>
  </r>
  <r>
    <x v="9"/>
    <x v="1"/>
    <s v="Medical School"/>
    <m/>
    <n v="199120"/>
    <x v="0"/>
    <m/>
    <m/>
    <m/>
    <m/>
    <m/>
    <m/>
    <m/>
    <m/>
    <n v="0"/>
    <m/>
    <m/>
    <n v="0"/>
    <n v="0"/>
    <n v="0"/>
    <m/>
    <m/>
    <m/>
    <m/>
    <n v="0"/>
    <m/>
    <m/>
    <n v="0"/>
    <n v="193218530.81999999"/>
    <n v="217642306"/>
    <n v="50030602.149999999"/>
    <m/>
    <n v="60375068"/>
    <m/>
    <n v="243249132.97"/>
    <n v="278017374"/>
  </r>
  <r>
    <x v="9"/>
    <x v="0"/>
    <s v="University of North Carolina at Charlotte"/>
    <m/>
    <n v="199139"/>
    <x v="1"/>
    <n v="172502568.43999997"/>
    <n v="193978113"/>
    <m/>
    <m/>
    <m/>
    <m/>
    <n v="99817659.090000004"/>
    <m/>
    <n v="99817659.090000004"/>
    <n v="113784113"/>
    <m/>
    <n v="113784113"/>
    <n v="272320227.52999997"/>
    <n v="307762226"/>
    <m/>
    <m/>
    <m/>
    <m/>
    <n v="0"/>
    <m/>
    <m/>
    <n v="0"/>
    <m/>
    <m/>
    <m/>
    <m/>
    <m/>
    <m/>
    <n v="272320227.52999997"/>
    <n v="307762226"/>
  </r>
  <r>
    <x v="9"/>
    <x v="0"/>
    <s v="University of North Carolina at Greensboro"/>
    <s v="Met the criteria for Four-Year 1 in 2009-10 and 2010-11."/>
    <n v="199148"/>
    <x v="1"/>
    <n v="156142814.33000001"/>
    <n v="163261056"/>
    <m/>
    <m/>
    <m/>
    <m/>
    <n v="66053475.740000002"/>
    <m/>
    <n v="66053475.740000002"/>
    <n v="79503641"/>
    <m/>
    <n v="79503641"/>
    <n v="222196290.07000002"/>
    <n v="242764697"/>
    <m/>
    <m/>
    <m/>
    <m/>
    <n v="0"/>
    <m/>
    <m/>
    <n v="0"/>
    <m/>
    <m/>
    <m/>
    <m/>
    <m/>
    <m/>
    <n v="222196290.07000002"/>
    <n v="242764697"/>
  </r>
  <r>
    <x v="9"/>
    <x v="0"/>
    <s v="Appalachian State University "/>
    <m/>
    <n v="197869"/>
    <x v="2"/>
    <n v="126978587.85000004"/>
    <n v="131773634"/>
    <m/>
    <m/>
    <m/>
    <m/>
    <n v="63035061.509999998"/>
    <m/>
    <n v="63035061.509999998"/>
    <n v="76871304"/>
    <m/>
    <n v="76871304"/>
    <n v="190013649.36000004"/>
    <n v="208644938"/>
    <m/>
    <m/>
    <m/>
    <m/>
    <n v="0"/>
    <m/>
    <m/>
    <n v="0"/>
    <m/>
    <m/>
    <m/>
    <m/>
    <m/>
    <m/>
    <n v="190013649.36000004"/>
    <n v="208644938"/>
  </r>
  <r>
    <x v="9"/>
    <x v="0"/>
    <s v="East Carolina University "/>
    <s v="Met the criteria for Four-Year 2 in 2010-11."/>
    <n v="198464"/>
    <x v="2"/>
    <n v="207786831.79000005"/>
    <n v="227619808"/>
    <m/>
    <m/>
    <m/>
    <m/>
    <n v="108667497.23"/>
    <m/>
    <n v="108667497.23"/>
    <n v="125805152"/>
    <m/>
    <n v="125805152"/>
    <n v="316454329.02000004"/>
    <n v="353424960"/>
    <m/>
    <m/>
    <m/>
    <m/>
    <n v="0"/>
    <m/>
    <m/>
    <n v="0"/>
    <m/>
    <m/>
    <m/>
    <m/>
    <m/>
    <m/>
    <n v="316454329.02000004"/>
    <n v="353424960"/>
  </r>
  <r>
    <x v="9"/>
    <x v="1"/>
    <s v="Medical School"/>
    <m/>
    <n v="198464"/>
    <x v="2"/>
    <m/>
    <m/>
    <m/>
    <m/>
    <m/>
    <m/>
    <m/>
    <m/>
    <n v="0"/>
    <m/>
    <m/>
    <n v="0"/>
    <n v="0"/>
    <n v="0"/>
    <m/>
    <m/>
    <m/>
    <m/>
    <n v="0"/>
    <m/>
    <m/>
    <n v="0"/>
    <n v="53893990.310000002"/>
    <n v="65223059"/>
    <n v="2673190.2400000002"/>
    <m/>
    <n v="3058000"/>
    <m/>
    <n v="56567180.550000004"/>
    <n v="68281059"/>
  </r>
  <r>
    <x v="9"/>
    <x v="0"/>
    <s v="North Carolina Agricultural &amp; Technical State University"/>
    <m/>
    <n v="199102"/>
    <x v="2"/>
    <n v="92212226.700000018"/>
    <n v="97189134"/>
    <m/>
    <m/>
    <m/>
    <m/>
    <n v="44488816.909999996"/>
    <m/>
    <n v="44488816.909999996"/>
    <n v="59007002"/>
    <m/>
    <n v="59007002"/>
    <n v="136701043.61000001"/>
    <n v="156196136"/>
    <m/>
    <m/>
    <m/>
    <m/>
    <n v="0"/>
    <m/>
    <m/>
    <n v="0"/>
    <m/>
    <m/>
    <m/>
    <m/>
    <m/>
    <m/>
    <n v="136701043.61000001"/>
    <n v="156196136"/>
  </r>
  <r>
    <x v="9"/>
    <x v="0"/>
    <s v="North Carolina Central University "/>
    <m/>
    <n v="199157"/>
    <x v="2"/>
    <n v="85156074"/>
    <n v="87739485"/>
    <m/>
    <m/>
    <m/>
    <m/>
    <n v="35437327.93"/>
    <m/>
    <n v="35437327.93"/>
    <n v="43519612"/>
    <m/>
    <n v="43519612"/>
    <n v="120593401.93000001"/>
    <n v="131259097"/>
    <m/>
    <m/>
    <m/>
    <m/>
    <n v="0"/>
    <m/>
    <m/>
    <n v="0"/>
    <m/>
    <m/>
    <m/>
    <m/>
    <m/>
    <m/>
    <n v="120593401.93000001"/>
    <n v="131259097"/>
  </r>
  <r>
    <x v="9"/>
    <x v="0"/>
    <s v="University of North Carolina at Wilmington"/>
    <m/>
    <n v="199218"/>
    <x v="2"/>
    <n v="89785211.25999999"/>
    <n v="97401552"/>
    <m/>
    <m/>
    <m/>
    <m/>
    <n v="57286868.539999999"/>
    <m/>
    <n v="57286868.539999999"/>
    <n v="64827875"/>
    <m/>
    <n v="64827875"/>
    <n v="147072079.79999998"/>
    <n v="162229427"/>
    <m/>
    <m/>
    <m/>
    <m/>
    <n v="0"/>
    <m/>
    <m/>
    <n v="0"/>
    <m/>
    <m/>
    <m/>
    <m/>
    <m/>
    <m/>
    <n v="147072079.79999998"/>
    <n v="162229427"/>
  </r>
  <r>
    <x v="9"/>
    <x v="0"/>
    <s v="Western Carolina University "/>
    <m/>
    <n v="200004"/>
    <x v="2"/>
    <n v="76616976.069999993"/>
    <n v="80989585"/>
    <m/>
    <m/>
    <m/>
    <m/>
    <n v="28175128.649999999"/>
    <m/>
    <n v="28175128.649999999"/>
    <n v="33970430"/>
    <m/>
    <n v="33970430"/>
    <n v="104792104.72"/>
    <n v="114960015"/>
    <m/>
    <m/>
    <m/>
    <m/>
    <n v="0"/>
    <m/>
    <m/>
    <n v="0"/>
    <m/>
    <m/>
    <m/>
    <m/>
    <m/>
    <m/>
    <n v="104792104.72"/>
    <n v="114960015"/>
  </r>
  <r>
    <x v="9"/>
    <x v="0"/>
    <s v="Fayetteville State University "/>
    <s v="Met the criteria for Four-Year 3 in 2010-11."/>
    <n v="198543"/>
    <x v="3"/>
    <n v="51480393.290000007"/>
    <n v="53689445"/>
    <m/>
    <m/>
    <m/>
    <m/>
    <n v="15588298.039999999"/>
    <m/>
    <n v="15588298.039999999"/>
    <n v="19337756"/>
    <m/>
    <n v="19337756"/>
    <n v="67068691.330000006"/>
    <n v="73027201"/>
    <m/>
    <m/>
    <m/>
    <m/>
    <n v="0"/>
    <m/>
    <m/>
    <n v="0"/>
    <m/>
    <m/>
    <m/>
    <m/>
    <m/>
    <m/>
    <n v="67068691.330000006"/>
    <n v="73027201"/>
  </r>
  <r>
    <x v="9"/>
    <x v="0"/>
    <s v="University of North Carolina at Pembroke"/>
    <m/>
    <n v="199281"/>
    <x v="4"/>
    <n v="53238163.969999991"/>
    <n v="56541410"/>
    <m/>
    <m/>
    <m/>
    <m/>
    <n v="17780726.289999999"/>
    <m/>
    <n v="17780726.289999999"/>
    <n v="21829316"/>
    <m/>
    <n v="21829316"/>
    <n v="71018890.25999999"/>
    <n v="78370726"/>
    <m/>
    <m/>
    <m/>
    <m/>
    <n v="0"/>
    <m/>
    <m/>
    <n v="0"/>
    <m/>
    <m/>
    <m/>
    <m/>
    <m/>
    <m/>
    <n v="71018890.25999999"/>
    <n v="78370726"/>
  </r>
  <r>
    <x v="9"/>
    <x v="0"/>
    <s v="Winston-Salem State University "/>
    <m/>
    <n v="199999"/>
    <x v="4"/>
    <n v="64220069.969999999"/>
    <n v="69216020"/>
    <m/>
    <m/>
    <m/>
    <m/>
    <n v="19112836.329999998"/>
    <m/>
    <n v="19112836.329999998"/>
    <n v="21858025"/>
    <m/>
    <n v="21858025"/>
    <n v="83332906.299999997"/>
    <n v="91074045"/>
    <m/>
    <m/>
    <m/>
    <m/>
    <n v="0"/>
    <m/>
    <m/>
    <n v="0"/>
    <m/>
    <m/>
    <m/>
    <m/>
    <m/>
    <m/>
    <n v="83332906.299999997"/>
    <n v="91074045"/>
  </r>
  <r>
    <x v="9"/>
    <x v="0"/>
    <s v="Elizabeth City State University "/>
    <m/>
    <n v="198507"/>
    <x v="5"/>
    <n v="33095088.940000005"/>
    <n v="36153836"/>
    <m/>
    <m/>
    <m/>
    <m/>
    <n v="8004604.4900000002"/>
    <m/>
    <n v="8004604.4900000002"/>
    <n v="13873083"/>
    <m/>
    <n v="13873083"/>
    <n v="41099693.430000007"/>
    <n v="50026919"/>
    <m/>
    <m/>
    <m/>
    <m/>
    <n v="0"/>
    <m/>
    <m/>
    <n v="0"/>
    <m/>
    <m/>
    <m/>
    <m/>
    <m/>
    <m/>
    <n v="41099693.430000007"/>
    <n v="50026919"/>
  </r>
  <r>
    <x v="9"/>
    <x v="0"/>
    <s v="University of North Carolina at Asheville"/>
    <m/>
    <n v="199111"/>
    <x v="5"/>
    <n v="33095088.940000005"/>
    <n v="34865660"/>
    <m/>
    <m/>
    <m/>
    <m/>
    <n v="14142238.41"/>
    <m/>
    <n v="14142238.41"/>
    <n v="16121215"/>
    <m/>
    <n v="16121215"/>
    <n v="47237327.350000009"/>
    <n v="50986875"/>
    <m/>
    <m/>
    <m/>
    <m/>
    <n v="0"/>
    <m/>
    <m/>
    <n v="0"/>
    <m/>
    <m/>
    <m/>
    <m/>
    <m/>
    <m/>
    <n v="47237327.350000009"/>
    <n v="50986875"/>
  </r>
  <r>
    <x v="9"/>
    <x v="9"/>
    <s v="North Carolina School of the Arts"/>
    <m/>
    <n v="199184"/>
    <x v="11"/>
    <m/>
    <m/>
    <m/>
    <m/>
    <m/>
    <m/>
    <m/>
    <m/>
    <n v="0"/>
    <m/>
    <m/>
    <n v="0"/>
    <n v="0"/>
    <n v="0"/>
    <n v="25858033.620000005"/>
    <n v="26831404"/>
    <n v="10598904.33"/>
    <m/>
    <n v="10598904.33"/>
    <n v="11412279"/>
    <m/>
    <n v="11412279"/>
    <m/>
    <m/>
    <m/>
    <m/>
    <m/>
    <m/>
    <n v="36456937.950000003"/>
    <n v="38243683"/>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2129531.119999999"/>
    <n v="11913346"/>
    <m/>
    <m/>
    <m/>
    <m/>
    <n v="0"/>
    <m/>
    <m/>
    <n v="0"/>
    <n v="12129531.119999999"/>
    <n v="11913346"/>
    <m/>
    <m/>
    <m/>
    <m/>
    <n v="0"/>
    <m/>
    <m/>
    <n v="0"/>
    <m/>
    <m/>
    <m/>
    <m/>
    <m/>
    <m/>
    <n v="12129531.119999999"/>
    <n v="11913346"/>
  </r>
  <r>
    <x v="9"/>
    <x v="42"/>
    <s v="Univ Syst Community Service Programs"/>
    <m/>
    <m/>
    <x v="12"/>
    <m/>
    <m/>
    <n v="19322643.739999998"/>
    <n v="20628612"/>
    <m/>
    <m/>
    <m/>
    <m/>
    <n v="0"/>
    <m/>
    <m/>
    <n v="0"/>
    <n v="19322643.739999998"/>
    <n v="20628612"/>
    <m/>
    <m/>
    <m/>
    <m/>
    <n v="0"/>
    <m/>
    <m/>
    <n v="0"/>
    <m/>
    <m/>
    <m/>
    <m/>
    <m/>
    <m/>
    <n v="19322643.739999998"/>
    <n v="20628612"/>
  </r>
  <r>
    <x v="9"/>
    <x v="42"/>
    <s v="Univ Syst Educational Computing Service"/>
    <m/>
    <m/>
    <x v="12"/>
    <m/>
    <m/>
    <n v="899839.81"/>
    <n v="956200"/>
    <m/>
    <m/>
    <m/>
    <m/>
    <n v="0"/>
    <m/>
    <m/>
    <n v="0"/>
    <n v="899839.81"/>
    <n v="956200"/>
    <m/>
    <m/>
    <m/>
    <m/>
    <n v="0"/>
    <m/>
    <m/>
    <n v="0"/>
    <m/>
    <m/>
    <m/>
    <m/>
    <m/>
    <m/>
    <n v="899839.81"/>
    <n v="956200"/>
  </r>
  <r>
    <x v="9"/>
    <x v="42"/>
    <s v="UNC Hospitals"/>
    <m/>
    <m/>
    <x v="12"/>
    <m/>
    <m/>
    <m/>
    <m/>
    <m/>
    <m/>
    <m/>
    <m/>
    <n v="0"/>
    <m/>
    <m/>
    <n v="0"/>
    <n v="0"/>
    <n v="0"/>
    <n v="41811287"/>
    <n v="36011882"/>
    <m/>
    <m/>
    <n v="0"/>
    <m/>
    <m/>
    <n v="0"/>
    <m/>
    <m/>
    <m/>
    <m/>
    <m/>
    <m/>
    <n v="41811287"/>
    <n v="36011882"/>
  </r>
  <r>
    <x v="9"/>
    <x v="42"/>
    <s v="UNC Area Health Education Centers Program"/>
    <m/>
    <m/>
    <x v="12"/>
    <m/>
    <m/>
    <m/>
    <m/>
    <m/>
    <m/>
    <m/>
    <m/>
    <n v="0"/>
    <m/>
    <m/>
    <n v="0"/>
    <n v="0"/>
    <n v="0"/>
    <n v="48346325.780000001"/>
    <n v="49747851"/>
    <m/>
    <m/>
    <n v="0"/>
    <m/>
    <m/>
    <n v="0"/>
    <m/>
    <m/>
    <m/>
    <m/>
    <m/>
    <m/>
    <n v="48346325.780000001"/>
    <n v="49747851"/>
  </r>
  <r>
    <x v="9"/>
    <x v="11"/>
    <s v="Research centers/institutes"/>
    <m/>
    <m/>
    <x v="12"/>
    <m/>
    <m/>
    <m/>
    <m/>
    <m/>
    <m/>
    <m/>
    <m/>
    <n v="0"/>
    <m/>
    <m/>
    <n v="0"/>
    <n v="0"/>
    <n v="0"/>
    <m/>
    <m/>
    <m/>
    <m/>
    <n v="0"/>
    <m/>
    <m/>
    <n v="0"/>
    <m/>
    <m/>
    <m/>
    <m/>
    <m/>
    <m/>
    <n v="0"/>
    <n v="0"/>
  </r>
  <r>
    <x v="9"/>
    <x v="11"/>
    <s v="Microelectronic Computing Center of North Carolina"/>
    <m/>
    <m/>
    <x v="12"/>
    <m/>
    <m/>
    <n v="5572341"/>
    <n v="5387190"/>
    <m/>
    <m/>
    <m/>
    <m/>
    <n v="0"/>
    <m/>
    <m/>
    <n v="0"/>
    <n v="5572341"/>
    <n v="5387190"/>
    <m/>
    <m/>
    <m/>
    <m/>
    <n v="0"/>
    <m/>
    <m/>
    <n v="0"/>
    <m/>
    <m/>
    <m/>
    <m/>
    <m/>
    <m/>
    <n v="5572341"/>
    <n v="5387190"/>
  </r>
  <r>
    <x v="9"/>
    <x v="13"/>
    <s v="Education special purpose funds- all other"/>
    <m/>
    <m/>
    <x v="12"/>
    <m/>
    <m/>
    <m/>
    <m/>
    <m/>
    <m/>
    <m/>
    <m/>
    <n v="0"/>
    <m/>
    <m/>
    <n v="0"/>
    <n v="0"/>
    <n v="0"/>
    <m/>
    <m/>
    <m/>
    <m/>
    <n v="0"/>
    <m/>
    <m/>
    <n v="0"/>
    <m/>
    <m/>
    <m/>
    <m/>
    <m/>
    <m/>
    <n v="0"/>
    <n v="0"/>
  </r>
  <r>
    <x v="9"/>
    <x v="13"/>
    <s v="UNC Reserve for Future Allocation"/>
    <m/>
    <m/>
    <x v="12"/>
    <m/>
    <m/>
    <n v="1691473"/>
    <n v="7655816"/>
    <m/>
    <m/>
    <m/>
    <m/>
    <n v="0"/>
    <m/>
    <m/>
    <n v="0"/>
    <n v="1691473"/>
    <n v="7655816"/>
    <m/>
    <m/>
    <m/>
    <m/>
    <n v="0"/>
    <m/>
    <m/>
    <n v="0"/>
    <m/>
    <m/>
    <m/>
    <m/>
    <m/>
    <m/>
    <n v="1691473"/>
    <n v="7655816"/>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9873561.23"/>
    <n v="18739459"/>
    <m/>
    <m/>
    <n v="0"/>
    <m/>
    <m/>
    <n v="0"/>
    <m/>
    <m/>
    <m/>
    <m/>
    <m/>
    <m/>
    <n v="19873561.23"/>
    <n v="18739459"/>
  </r>
  <r>
    <x v="9"/>
    <x v="17"/>
    <s v="National or regional associations, compacts or consortia"/>
    <m/>
    <m/>
    <x v="12"/>
    <m/>
    <m/>
    <m/>
    <m/>
    <m/>
    <m/>
    <m/>
    <m/>
    <n v="0"/>
    <m/>
    <m/>
    <n v="0"/>
    <n v="0"/>
    <n v="0"/>
    <m/>
    <m/>
    <m/>
    <m/>
    <n v="0"/>
    <m/>
    <m/>
    <n v="0"/>
    <m/>
    <m/>
    <m/>
    <m/>
    <m/>
    <m/>
    <n v="0"/>
    <n v="0"/>
  </r>
  <r>
    <x v="9"/>
    <x v="17"/>
    <s v="SREB Membership"/>
    <m/>
    <m/>
    <x v="12"/>
    <m/>
    <m/>
    <m/>
    <m/>
    <m/>
    <m/>
    <m/>
    <m/>
    <n v="0"/>
    <m/>
    <m/>
    <n v="0"/>
    <n v="0"/>
    <n v="0"/>
    <n v="193550"/>
    <n v="193550"/>
    <m/>
    <m/>
    <n v="0"/>
    <m/>
    <m/>
    <n v="0"/>
    <m/>
    <m/>
    <m/>
    <m/>
    <m/>
    <m/>
    <n v="193550"/>
    <n v="193550"/>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n v="1072500"/>
    <n v="1279000"/>
    <m/>
    <m/>
    <n v="0"/>
    <m/>
    <m/>
    <n v="0"/>
    <m/>
    <m/>
    <m/>
    <m/>
    <m/>
    <m/>
    <n v="1072500"/>
    <n v="1279000"/>
  </r>
  <r>
    <x v="9"/>
    <x v="19"/>
    <s v="Grants for Teacher Education"/>
    <m/>
    <m/>
    <x v="12"/>
    <m/>
    <m/>
    <m/>
    <m/>
    <m/>
    <m/>
    <m/>
    <m/>
    <n v="0"/>
    <m/>
    <m/>
    <n v="0"/>
    <n v="0"/>
    <n v="0"/>
    <n v="63635"/>
    <n v="0"/>
    <m/>
    <m/>
    <n v="0"/>
    <m/>
    <m/>
    <n v="0"/>
    <m/>
    <m/>
    <m/>
    <m/>
    <m/>
    <m/>
    <n v="63635"/>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n v="8150"/>
    <n v="0"/>
    <m/>
    <m/>
    <n v="0"/>
    <m/>
    <m/>
    <n v="0"/>
    <m/>
    <m/>
    <m/>
    <m/>
    <m/>
    <m/>
    <n v="8150"/>
    <n v="0"/>
  </r>
  <r>
    <x v="9"/>
    <x v="21"/>
    <s v="Southern College of Optometry"/>
    <m/>
    <m/>
    <x v="12"/>
    <m/>
    <m/>
    <m/>
    <m/>
    <m/>
    <m/>
    <m/>
    <m/>
    <n v="0"/>
    <m/>
    <m/>
    <n v="0"/>
    <n v="0"/>
    <n v="0"/>
    <n v="139000"/>
    <n v="90350"/>
    <m/>
    <m/>
    <n v="0"/>
    <m/>
    <m/>
    <n v="0"/>
    <m/>
    <m/>
    <m/>
    <m/>
    <m/>
    <m/>
    <n v="139000"/>
    <n v="90350"/>
  </r>
  <r>
    <x v="9"/>
    <x v="22"/>
    <s v="SREB contract program with public colleges"/>
    <m/>
    <m/>
    <x v="12"/>
    <m/>
    <m/>
    <m/>
    <m/>
    <m/>
    <m/>
    <m/>
    <m/>
    <n v="0"/>
    <m/>
    <m/>
    <n v="0"/>
    <n v="0"/>
    <n v="0"/>
    <m/>
    <m/>
    <m/>
    <m/>
    <n v="0"/>
    <m/>
    <m/>
    <n v="0"/>
    <m/>
    <m/>
    <m/>
    <m/>
    <m/>
    <m/>
    <n v="0"/>
    <n v="0"/>
  </r>
  <r>
    <x v="9"/>
    <x v="22"/>
    <s v="University of Houston (Optometry)"/>
    <m/>
    <m/>
    <x v="12"/>
    <m/>
    <m/>
    <m/>
    <m/>
    <m/>
    <m/>
    <m/>
    <m/>
    <n v="0"/>
    <m/>
    <m/>
    <n v="0"/>
    <n v="0"/>
    <n v="0"/>
    <n v="20850"/>
    <n v="20850"/>
    <m/>
    <m/>
    <n v="0"/>
    <m/>
    <m/>
    <n v="0"/>
    <m/>
    <m/>
    <m/>
    <m/>
    <m/>
    <m/>
    <n v="20850"/>
    <n v="20850"/>
  </r>
  <r>
    <x v="9"/>
    <x v="22"/>
    <s v="University of Alabama at Birmingham (Optometry)"/>
    <m/>
    <m/>
    <x v="12"/>
    <m/>
    <m/>
    <m/>
    <m/>
    <m/>
    <m/>
    <m/>
    <m/>
    <n v="0"/>
    <m/>
    <m/>
    <n v="0"/>
    <n v="0"/>
    <n v="0"/>
    <n v="83400"/>
    <n v="55600"/>
    <m/>
    <m/>
    <n v="0"/>
    <m/>
    <m/>
    <n v="0"/>
    <m/>
    <m/>
    <m/>
    <m/>
    <m/>
    <m/>
    <n v="83400"/>
    <n v="55600"/>
  </r>
  <r>
    <x v="9"/>
    <x v="23"/>
    <s v="Other contract education programs"/>
    <m/>
    <m/>
    <x v="12"/>
    <m/>
    <m/>
    <m/>
    <m/>
    <m/>
    <m/>
    <m/>
    <m/>
    <n v="0"/>
    <m/>
    <m/>
    <n v="0"/>
    <n v="0"/>
    <n v="0"/>
    <n v="145950"/>
    <n v="145950"/>
    <m/>
    <m/>
    <n v="0"/>
    <m/>
    <m/>
    <n v="0"/>
    <m/>
    <m/>
    <m/>
    <m/>
    <m/>
    <m/>
    <n v="145950"/>
    <n v="145950"/>
  </r>
  <r>
    <x v="9"/>
    <x v="24"/>
    <s v="Statewide Student Financial Aid Programs Administered Off Campus"/>
    <m/>
    <m/>
    <x v="12"/>
    <m/>
    <m/>
    <m/>
    <m/>
    <m/>
    <m/>
    <m/>
    <m/>
    <n v="0"/>
    <m/>
    <m/>
    <n v="0"/>
    <n v="0"/>
    <n v="0"/>
    <m/>
    <m/>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1443942"/>
    <n v="1634180"/>
    <m/>
    <m/>
    <n v="0"/>
    <m/>
    <m/>
    <n v="0"/>
    <m/>
    <m/>
    <m/>
    <m/>
    <m/>
    <m/>
    <n v="1443942"/>
    <n v="163418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n v="4391146"/>
    <n v="4414428"/>
    <m/>
    <m/>
    <n v="0"/>
    <m/>
    <m/>
    <n v="0"/>
    <m/>
    <m/>
    <m/>
    <m/>
    <m/>
    <m/>
    <n v="4391146"/>
    <n v="4414428"/>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822779"/>
    <n v="822779"/>
    <m/>
    <m/>
    <n v="0"/>
    <m/>
    <m/>
    <n v="0"/>
    <m/>
    <m/>
    <m/>
    <m/>
    <m/>
    <m/>
    <n v="822779"/>
    <n v="822779"/>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67756"/>
    <n v="67756"/>
    <m/>
    <m/>
    <n v="0"/>
    <m/>
    <m/>
    <n v="0"/>
    <m/>
    <m/>
    <m/>
    <m/>
    <m/>
    <m/>
    <n v="67756"/>
    <n v="67756"/>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2400000"/>
    <n v="2400000"/>
    <m/>
    <m/>
    <n v="0"/>
    <m/>
    <m/>
    <n v="0"/>
    <m/>
    <m/>
    <m/>
    <m/>
    <m/>
    <m/>
    <n v="2400000"/>
    <n v="2400000"/>
  </r>
  <r>
    <x v="9"/>
    <x v="28"/>
    <s v="Amount to public sector students"/>
    <m/>
    <m/>
    <x v="12"/>
    <m/>
    <m/>
    <m/>
    <m/>
    <m/>
    <m/>
    <m/>
    <m/>
    <n v="0"/>
    <m/>
    <m/>
    <n v="0"/>
    <n v="0"/>
    <n v="0"/>
    <s v=" "/>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252535"/>
    <n v="3252535"/>
    <m/>
    <m/>
    <n v="0"/>
    <m/>
    <m/>
    <n v="0"/>
    <m/>
    <m/>
    <m/>
    <m/>
    <m/>
    <m/>
    <n v="3252535"/>
    <n v="3252535"/>
  </r>
  <r>
    <x v="9"/>
    <x v="28"/>
    <s v="Amount to public sector students"/>
    <m/>
    <m/>
    <x v="12"/>
    <m/>
    <m/>
    <m/>
    <m/>
    <m/>
    <m/>
    <m/>
    <m/>
    <n v="0"/>
    <m/>
    <m/>
    <n v="0"/>
    <n v="0"/>
    <n v="0"/>
    <s v=" "/>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682500"/>
    <n v="455000"/>
    <m/>
    <m/>
    <n v="0"/>
    <m/>
    <m/>
    <n v="0"/>
    <m/>
    <m/>
    <m/>
    <m/>
    <m/>
    <m/>
    <n v="682500"/>
    <n v="455000"/>
  </r>
  <r>
    <x v="9"/>
    <x v="28"/>
    <s v="Amount to public sector students"/>
    <m/>
    <m/>
    <x v="12"/>
    <m/>
    <m/>
    <m/>
    <m/>
    <m/>
    <m/>
    <m/>
    <m/>
    <n v="0"/>
    <m/>
    <m/>
    <n v="0"/>
    <n v="0"/>
    <n v="0"/>
    <s v=" "/>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426482"/>
    <n v="3426482"/>
    <m/>
    <m/>
    <n v="0"/>
    <m/>
    <m/>
    <n v="0"/>
    <m/>
    <m/>
    <m/>
    <m/>
    <m/>
    <m/>
    <n v="3426482"/>
    <n v="3426482"/>
  </r>
  <r>
    <x v="9"/>
    <x v="28"/>
    <s v="Amount to public sector students"/>
    <m/>
    <m/>
    <x v="12"/>
    <m/>
    <m/>
    <m/>
    <m/>
    <m/>
    <m/>
    <m/>
    <m/>
    <n v="0"/>
    <m/>
    <m/>
    <n v="0"/>
    <n v="0"/>
    <n v="0"/>
    <s v=" "/>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5568222"/>
    <n v="6520964"/>
    <m/>
    <m/>
    <n v="0"/>
    <m/>
    <m/>
    <n v="0"/>
    <m/>
    <m/>
    <m/>
    <m/>
    <m/>
    <m/>
    <n v="5568222"/>
    <n v="6520964"/>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33351783.5"/>
    <n v="162288763"/>
    <m/>
    <m/>
    <n v="0"/>
    <m/>
    <m/>
    <n v="0"/>
    <m/>
    <m/>
    <m/>
    <m/>
    <m/>
    <m/>
    <n v="133351783.5"/>
    <n v="162288763"/>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2955087"/>
    <n v="3137282"/>
    <m/>
    <m/>
    <n v="0"/>
    <m/>
    <m/>
    <n v="0"/>
    <m/>
    <m/>
    <m/>
    <m/>
    <m/>
    <m/>
    <n v="2955087"/>
    <n v="3137282"/>
  </r>
  <r>
    <x v="9"/>
    <x v="34"/>
    <s v="Teacher Assistant Scholarships"/>
    <m/>
    <m/>
    <x v="12"/>
    <m/>
    <m/>
    <m/>
    <m/>
    <m/>
    <m/>
    <m/>
    <m/>
    <n v="0"/>
    <m/>
    <m/>
    <n v="0"/>
    <n v="0"/>
    <n v="0"/>
    <m/>
    <m/>
    <m/>
    <m/>
    <n v="0"/>
    <m/>
    <m/>
    <n v="0"/>
    <m/>
    <m/>
    <m/>
    <m/>
    <m/>
    <m/>
    <n v="0"/>
    <n v="0"/>
  </r>
  <r>
    <x v="9"/>
    <x v="35"/>
    <s v="Need-based"/>
    <m/>
    <m/>
    <x v="12"/>
    <m/>
    <m/>
    <m/>
    <m/>
    <m/>
    <m/>
    <m/>
    <m/>
    <n v="0"/>
    <m/>
    <m/>
    <n v="0"/>
    <n v="0"/>
    <n v="0"/>
    <n v="331874"/>
    <n v="364174"/>
    <m/>
    <m/>
    <n v="0"/>
    <m/>
    <m/>
    <n v="0"/>
    <m/>
    <m/>
    <m/>
    <m/>
    <m/>
    <m/>
    <n v="331874"/>
    <n v="364174"/>
  </r>
  <r>
    <x v="9"/>
    <x v="36"/>
    <s v="Non need-based"/>
    <m/>
    <m/>
    <x v="12"/>
    <m/>
    <m/>
    <m/>
    <m/>
    <m/>
    <m/>
    <m/>
    <m/>
    <n v="0"/>
    <m/>
    <m/>
    <n v="0"/>
    <n v="0"/>
    <n v="0"/>
    <m/>
    <m/>
    <m/>
    <m/>
    <n v="0"/>
    <m/>
    <m/>
    <n v="0"/>
    <m/>
    <m/>
    <m/>
    <m/>
    <m/>
    <m/>
    <n v="0"/>
    <n v="0"/>
  </r>
  <r>
    <x v="9"/>
    <x v="34"/>
    <s v="UNC Incentive Scholarships for Certain Institutions"/>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488621"/>
    <n v="488921"/>
    <m/>
    <m/>
    <n v="0"/>
    <m/>
    <m/>
    <n v="0"/>
    <m/>
    <m/>
    <m/>
    <m/>
    <m/>
    <m/>
    <n v="488621"/>
    <n v="488921"/>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620000"/>
    <n v="3620000"/>
    <m/>
    <m/>
    <n v="0"/>
    <m/>
    <m/>
    <n v="0"/>
    <m/>
    <m/>
    <m/>
    <m/>
    <m/>
    <m/>
    <n v="3620000"/>
    <n v="3620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n v="44304452"/>
    <n v="45896963"/>
    <m/>
    <m/>
    <n v="0"/>
    <m/>
    <m/>
    <n v="0"/>
    <m/>
    <m/>
    <m/>
    <m/>
    <m/>
    <m/>
    <n v="44304452"/>
    <n v="45896963"/>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n v="55237805.5"/>
    <n v="58269681"/>
    <m/>
    <m/>
    <n v="0"/>
    <m/>
    <m/>
    <n v="0"/>
    <m/>
    <m/>
    <m/>
    <m/>
    <m/>
    <m/>
    <n v="55237805.5"/>
    <n v="58269681"/>
  </r>
  <r>
    <x v="9"/>
    <x v="0"/>
    <s v="Asheville-Buncombe Technical Community College"/>
    <m/>
    <n v="197887"/>
    <x v="6"/>
    <n v="21480047"/>
    <n v="21653702"/>
    <m/>
    <m/>
    <n v="9103225"/>
    <n v="9269278"/>
    <n v="6248523"/>
    <m/>
    <n v="6248523"/>
    <n v="8453400"/>
    <m/>
    <n v="8453400"/>
    <n v="36831795"/>
    <n v="39376380"/>
    <m/>
    <m/>
    <m/>
    <m/>
    <n v="0"/>
    <m/>
    <m/>
    <n v="0"/>
    <m/>
    <m/>
    <m/>
    <m/>
    <m/>
    <m/>
    <n v="36831795"/>
    <n v="39376380"/>
  </r>
  <r>
    <x v="9"/>
    <x v="0"/>
    <s v="Nursing / allied health supplement"/>
    <m/>
    <n v="197887"/>
    <x v="6"/>
    <m/>
    <m/>
    <n v="421976"/>
    <n v="426396"/>
    <m/>
    <m/>
    <m/>
    <m/>
    <n v="0"/>
    <m/>
    <m/>
    <n v="0"/>
    <n v="421976"/>
    <n v="426396"/>
    <m/>
    <m/>
    <m/>
    <m/>
    <n v="0"/>
    <m/>
    <m/>
    <n v="0"/>
    <m/>
    <m/>
    <m/>
    <m/>
    <m/>
    <m/>
    <n v="421976"/>
    <n v="426396"/>
  </r>
  <r>
    <x v="9"/>
    <x v="3"/>
    <s v="Community or public service units"/>
    <m/>
    <n v="197887"/>
    <x v="6"/>
    <m/>
    <m/>
    <n v="163206"/>
    <n v="171573"/>
    <m/>
    <m/>
    <m/>
    <m/>
    <n v="0"/>
    <m/>
    <m/>
    <n v="0"/>
    <n v="163206"/>
    <n v="171573"/>
    <m/>
    <m/>
    <m/>
    <m/>
    <n v="0"/>
    <m/>
    <m/>
    <n v="0"/>
    <m/>
    <m/>
    <m/>
    <m/>
    <m/>
    <m/>
    <n v="163206"/>
    <n v="171573"/>
  </r>
  <r>
    <x v="9"/>
    <x v="44"/>
    <s v="Non-credit continuing education"/>
    <m/>
    <n v="197887"/>
    <x v="6"/>
    <m/>
    <m/>
    <n v="1683389"/>
    <n v="1374355"/>
    <m/>
    <m/>
    <n v="411059"/>
    <m/>
    <n v="411059"/>
    <n v="571430"/>
    <m/>
    <n v="571430"/>
    <n v="2094448"/>
    <n v="1945785"/>
    <m/>
    <m/>
    <m/>
    <m/>
    <n v="0"/>
    <m/>
    <m/>
    <n v="0"/>
    <m/>
    <m/>
    <m/>
    <m/>
    <m/>
    <m/>
    <n v="2094448"/>
    <n v="1945785"/>
  </r>
  <r>
    <x v="9"/>
    <x v="0"/>
    <s v="Cape Fear Community College"/>
    <m/>
    <n v="198154"/>
    <x v="6"/>
    <n v="25795956"/>
    <n v="27576716"/>
    <m/>
    <m/>
    <n v="6228154"/>
    <n v="6389590"/>
    <n v="10166516"/>
    <m/>
    <n v="10166516"/>
    <n v="13146759"/>
    <m/>
    <n v="13146759"/>
    <n v="42190626"/>
    <n v="47113065"/>
    <m/>
    <m/>
    <m/>
    <m/>
    <n v="0"/>
    <m/>
    <m/>
    <n v="0"/>
    <m/>
    <m/>
    <m/>
    <m/>
    <m/>
    <m/>
    <n v="42190626"/>
    <n v="47113065"/>
  </r>
  <r>
    <x v="9"/>
    <x v="0"/>
    <s v="Nursing / allied health supplement"/>
    <m/>
    <n v="198154"/>
    <x v="6"/>
    <m/>
    <m/>
    <n v="245292"/>
    <n v="248189"/>
    <m/>
    <m/>
    <m/>
    <m/>
    <n v="0"/>
    <m/>
    <m/>
    <n v="0"/>
    <n v="245292"/>
    <n v="248189"/>
    <m/>
    <m/>
    <m/>
    <m/>
    <n v="0"/>
    <m/>
    <m/>
    <n v="0"/>
    <m/>
    <m/>
    <m/>
    <m/>
    <m/>
    <m/>
    <n v="245292"/>
    <n v="248189"/>
  </r>
  <r>
    <x v="9"/>
    <x v="3"/>
    <s v="Community or public service units"/>
    <m/>
    <n v="198154"/>
    <x v="6"/>
    <m/>
    <m/>
    <n v="152306"/>
    <n v="165124"/>
    <m/>
    <m/>
    <m/>
    <m/>
    <n v="0"/>
    <m/>
    <m/>
    <n v="0"/>
    <n v="152306"/>
    <n v="165124"/>
    <m/>
    <m/>
    <m/>
    <m/>
    <n v="0"/>
    <m/>
    <m/>
    <n v="0"/>
    <m/>
    <m/>
    <m/>
    <m/>
    <m/>
    <m/>
    <n v="152306"/>
    <n v="165124"/>
  </r>
  <r>
    <x v="9"/>
    <x v="44"/>
    <s v="Non-credit continuing education"/>
    <m/>
    <n v="198154"/>
    <x v="6"/>
    <m/>
    <m/>
    <n v="1663498"/>
    <n v="1577872"/>
    <m/>
    <m/>
    <n v="314476"/>
    <m/>
    <n v="314476"/>
    <n v="552051"/>
    <m/>
    <n v="552051"/>
    <n v="1977974"/>
    <n v="2129923"/>
    <m/>
    <m/>
    <m/>
    <m/>
    <n v="0"/>
    <m/>
    <m/>
    <n v="0"/>
    <m/>
    <m/>
    <m/>
    <m/>
    <m/>
    <m/>
    <n v="1977974"/>
    <n v="2129923"/>
  </r>
  <r>
    <x v="9"/>
    <x v="0"/>
    <s v="Catawba Valley Community College"/>
    <s v="Reclassified, meets the criteria for Two-Year 2."/>
    <n v="198233"/>
    <x v="7"/>
    <n v="16092768"/>
    <n v="17815022"/>
    <m/>
    <m/>
    <n v="3435000"/>
    <n v="3652068"/>
    <n v="5107248"/>
    <m/>
    <n v="5107248"/>
    <n v="6298602"/>
    <m/>
    <n v="6298602"/>
    <n v="24635016"/>
    <n v="27765692"/>
    <m/>
    <m/>
    <m/>
    <m/>
    <n v="0"/>
    <m/>
    <m/>
    <n v="0"/>
    <m/>
    <m/>
    <m/>
    <m/>
    <m/>
    <m/>
    <n v="24635016"/>
    <n v="27765692"/>
  </r>
  <r>
    <x v="9"/>
    <x v="0"/>
    <s v="Nursing / allied health supplement"/>
    <m/>
    <n v="198233"/>
    <x v="7"/>
    <m/>
    <m/>
    <n v="196068"/>
    <n v="192239"/>
    <m/>
    <m/>
    <m/>
    <m/>
    <n v="0"/>
    <m/>
    <m/>
    <n v="0"/>
    <n v="196068"/>
    <n v="192239"/>
    <m/>
    <m/>
    <m/>
    <m/>
    <n v="0"/>
    <m/>
    <m/>
    <n v="0"/>
    <m/>
    <m/>
    <m/>
    <m/>
    <m/>
    <m/>
    <n v="196068"/>
    <n v="192239"/>
  </r>
  <r>
    <x v="9"/>
    <x v="3"/>
    <s v="Community or public service units"/>
    <m/>
    <n v="198233"/>
    <x v="7"/>
    <m/>
    <m/>
    <n v="157106"/>
    <n v="165276"/>
    <m/>
    <m/>
    <m/>
    <m/>
    <n v="0"/>
    <m/>
    <m/>
    <n v="0"/>
    <n v="157106"/>
    <n v="165276"/>
    <m/>
    <m/>
    <m/>
    <m/>
    <n v="0"/>
    <m/>
    <m/>
    <n v="0"/>
    <m/>
    <m/>
    <m/>
    <m/>
    <m/>
    <m/>
    <n v="157106"/>
    <n v="165276"/>
  </r>
  <r>
    <x v="9"/>
    <x v="44"/>
    <s v="Non-credit continuing education"/>
    <m/>
    <n v="198233"/>
    <x v="7"/>
    <m/>
    <m/>
    <n v="1170398"/>
    <n v="1231390"/>
    <m/>
    <m/>
    <n v="125167"/>
    <m/>
    <n v="125167"/>
    <n v="266553"/>
    <m/>
    <n v="266553"/>
    <n v="1295565"/>
    <n v="1497943"/>
    <m/>
    <m/>
    <m/>
    <m/>
    <n v="0"/>
    <m/>
    <m/>
    <n v="0"/>
    <m/>
    <m/>
    <m/>
    <m/>
    <m/>
    <m/>
    <n v="1295565"/>
    <n v="1497943"/>
  </r>
  <r>
    <x v="9"/>
    <x v="0"/>
    <s v="Central Carolina Commuity College"/>
    <s v="Reclassified, meets the criteria for Two-Year 2."/>
    <n v="198251"/>
    <x v="7"/>
    <n v="20358317"/>
    <n v="20907357"/>
    <m/>
    <m/>
    <n v="3314486"/>
    <n v="3632475"/>
    <n v="4024580"/>
    <m/>
    <n v="4024580"/>
    <n v="5785178"/>
    <m/>
    <n v="5785178"/>
    <n v="27697383"/>
    <n v="30325010"/>
    <m/>
    <m/>
    <m/>
    <m/>
    <n v="0"/>
    <m/>
    <m/>
    <n v="0"/>
    <m/>
    <m/>
    <m/>
    <m/>
    <m/>
    <m/>
    <n v="27697383"/>
    <n v="30325010"/>
  </r>
  <r>
    <x v="9"/>
    <x v="0"/>
    <s v="Nursing / allied health supplement"/>
    <m/>
    <n v="198251"/>
    <x v="7"/>
    <m/>
    <m/>
    <n v="398953"/>
    <n v="442373"/>
    <m/>
    <m/>
    <m/>
    <m/>
    <n v="0"/>
    <m/>
    <m/>
    <n v="0"/>
    <n v="398953"/>
    <n v="442373"/>
    <m/>
    <m/>
    <m/>
    <m/>
    <n v="0"/>
    <m/>
    <m/>
    <n v="0"/>
    <m/>
    <m/>
    <m/>
    <m/>
    <m/>
    <m/>
    <n v="398953"/>
    <n v="442373"/>
  </r>
  <r>
    <x v="9"/>
    <x v="3"/>
    <s v="Community or public service units"/>
    <m/>
    <n v="198251"/>
    <x v="7"/>
    <m/>
    <m/>
    <n v="159806"/>
    <n v="169221"/>
    <m/>
    <m/>
    <m/>
    <m/>
    <n v="0"/>
    <m/>
    <m/>
    <n v="0"/>
    <n v="159806"/>
    <n v="169221"/>
    <m/>
    <m/>
    <m/>
    <m/>
    <n v="0"/>
    <m/>
    <m/>
    <n v="0"/>
    <m/>
    <m/>
    <m/>
    <m/>
    <m/>
    <m/>
    <n v="159806"/>
    <n v="169221"/>
  </r>
  <r>
    <x v="9"/>
    <x v="44"/>
    <s v="Non-credit continuing education"/>
    <m/>
    <n v="198251"/>
    <x v="7"/>
    <m/>
    <m/>
    <n v="1573895"/>
    <n v="1414499"/>
    <m/>
    <m/>
    <n v="292561"/>
    <m/>
    <n v="292561"/>
    <n v="565386"/>
    <m/>
    <n v="565386"/>
    <n v="1866456"/>
    <n v="1979885"/>
    <m/>
    <m/>
    <m/>
    <m/>
    <n v="0"/>
    <m/>
    <m/>
    <n v="0"/>
    <m/>
    <m/>
    <m/>
    <m/>
    <m/>
    <m/>
    <n v="1866456"/>
    <n v="1979885"/>
  </r>
  <r>
    <x v="9"/>
    <x v="0"/>
    <s v="Central Piedmont Community College "/>
    <m/>
    <n v="198260"/>
    <x v="6"/>
    <n v="50261143"/>
    <n v="51354015"/>
    <m/>
    <m/>
    <n v="24492884"/>
    <n v="23900000"/>
    <n v="20235136"/>
    <m/>
    <n v="20235136"/>
    <n v="24270682"/>
    <m/>
    <n v="24270682"/>
    <n v="94989163"/>
    <n v="99524697"/>
    <m/>
    <m/>
    <m/>
    <m/>
    <n v="0"/>
    <m/>
    <m/>
    <n v="0"/>
    <m/>
    <m/>
    <m/>
    <m/>
    <m/>
    <m/>
    <n v="94989163"/>
    <n v="99524697"/>
  </r>
  <r>
    <x v="9"/>
    <x v="0"/>
    <s v="Nursing / allied health supplement"/>
    <m/>
    <n v="198260"/>
    <x v="6"/>
    <m/>
    <m/>
    <n v="379823"/>
    <n v="372968"/>
    <m/>
    <m/>
    <m/>
    <m/>
    <n v="0"/>
    <m/>
    <m/>
    <n v="0"/>
    <n v="379823"/>
    <n v="372968"/>
    <m/>
    <m/>
    <m/>
    <m/>
    <n v="0"/>
    <m/>
    <m/>
    <n v="0"/>
    <m/>
    <m/>
    <m/>
    <m/>
    <m/>
    <m/>
    <n v="379823"/>
    <n v="372968"/>
  </r>
  <r>
    <x v="9"/>
    <x v="3"/>
    <s v="Community or public service units"/>
    <m/>
    <n v="198260"/>
    <x v="6"/>
    <m/>
    <m/>
    <n v="155306"/>
    <n v="165959"/>
    <m/>
    <m/>
    <m/>
    <m/>
    <n v="0"/>
    <m/>
    <m/>
    <n v="0"/>
    <n v="155306"/>
    <n v="165959"/>
    <m/>
    <m/>
    <m/>
    <m/>
    <n v="0"/>
    <m/>
    <m/>
    <n v="0"/>
    <m/>
    <m/>
    <m/>
    <m/>
    <m/>
    <m/>
    <n v="155306"/>
    <n v="165959"/>
  </r>
  <r>
    <x v="9"/>
    <x v="44"/>
    <s v="Non-credit continuing education"/>
    <m/>
    <n v="198260"/>
    <x v="6"/>
    <m/>
    <m/>
    <n v="1755869"/>
    <n v="1473136"/>
    <m/>
    <m/>
    <n v="395577"/>
    <m/>
    <n v="395577"/>
    <n v="770453"/>
    <m/>
    <n v="770453"/>
    <n v="2151446"/>
    <n v="2243589"/>
    <m/>
    <m/>
    <m/>
    <m/>
    <n v="0"/>
    <m/>
    <m/>
    <n v="0"/>
    <m/>
    <m/>
    <m/>
    <m/>
    <m/>
    <m/>
    <n v="2151446"/>
    <n v="2243589"/>
  </r>
  <r>
    <x v="9"/>
    <x v="0"/>
    <s v="Fayetteville Technical Community College"/>
    <m/>
    <n v="198534"/>
    <x v="6"/>
    <n v="34400867"/>
    <n v="34353013"/>
    <m/>
    <m/>
    <n v="9809363"/>
    <n v="9926571"/>
    <n v="11798018"/>
    <m/>
    <n v="11798018"/>
    <n v="15026858"/>
    <m/>
    <n v="15026858"/>
    <n v="56008248"/>
    <n v="59306442"/>
    <m/>
    <m/>
    <m/>
    <m/>
    <n v="0"/>
    <m/>
    <m/>
    <n v="0"/>
    <m/>
    <m/>
    <m/>
    <m/>
    <m/>
    <m/>
    <n v="56008248"/>
    <n v="59306442"/>
  </r>
  <r>
    <x v="9"/>
    <x v="0"/>
    <s v="Nursing / allied health supplement"/>
    <m/>
    <n v="198534"/>
    <x v="6"/>
    <m/>
    <m/>
    <n v="398346"/>
    <n v="369614"/>
    <m/>
    <m/>
    <m/>
    <m/>
    <n v="0"/>
    <m/>
    <m/>
    <n v="0"/>
    <n v="398346"/>
    <n v="369614"/>
    <m/>
    <m/>
    <m/>
    <m/>
    <n v="0"/>
    <m/>
    <m/>
    <n v="0"/>
    <m/>
    <m/>
    <m/>
    <m/>
    <m/>
    <m/>
    <n v="398346"/>
    <n v="369614"/>
  </r>
  <r>
    <x v="9"/>
    <x v="3"/>
    <s v="Community or public service units"/>
    <m/>
    <n v="198534"/>
    <x v="6"/>
    <m/>
    <m/>
    <n v="157406"/>
    <n v="166869"/>
    <m/>
    <m/>
    <m/>
    <m/>
    <n v="0"/>
    <m/>
    <m/>
    <n v="0"/>
    <n v="157406"/>
    <n v="166869"/>
    <m/>
    <m/>
    <m/>
    <m/>
    <n v="0"/>
    <m/>
    <m/>
    <n v="0"/>
    <m/>
    <m/>
    <m/>
    <m/>
    <m/>
    <m/>
    <n v="157406"/>
    <n v="166869"/>
  </r>
  <r>
    <x v="9"/>
    <x v="44"/>
    <s v="Non-credit continuing education"/>
    <m/>
    <n v="198534"/>
    <x v="6"/>
    <m/>
    <m/>
    <n v="3463135"/>
    <n v="3771544"/>
    <m/>
    <m/>
    <n v="752627"/>
    <m/>
    <n v="752627"/>
    <n v="1318229"/>
    <m/>
    <n v="1318229"/>
    <n v="4215762"/>
    <n v="5089773"/>
    <m/>
    <m/>
    <m/>
    <m/>
    <n v="0"/>
    <m/>
    <m/>
    <n v="0"/>
    <m/>
    <m/>
    <m/>
    <m/>
    <m/>
    <m/>
    <n v="4215762"/>
    <n v="5089773"/>
  </r>
  <r>
    <x v="9"/>
    <x v="0"/>
    <s v="Forsyth Technical Community College"/>
    <m/>
    <n v="198552"/>
    <x v="6"/>
    <n v="23368003"/>
    <n v="26144366"/>
    <m/>
    <m/>
    <n v="6593790"/>
    <n v="6819876"/>
    <n v="8707233"/>
    <m/>
    <n v="8707233"/>
    <n v="12380171"/>
    <m/>
    <n v="12380171"/>
    <n v="38669026"/>
    <n v="45344413"/>
    <m/>
    <m/>
    <m/>
    <m/>
    <n v="0"/>
    <m/>
    <m/>
    <n v="0"/>
    <m/>
    <m/>
    <m/>
    <m/>
    <m/>
    <m/>
    <n v="38669026"/>
    <n v="45344413"/>
  </r>
  <r>
    <x v="9"/>
    <x v="0"/>
    <s v="Nursing / allied health supplement"/>
    <m/>
    <n v="198552"/>
    <x v="6"/>
    <m/>
    <m/>
    <n v="575470"/>
    <n v="536308"/>
    <m/>
    <m/>
    <m/>
    <m/>
    <n v="0"/>
    <m/>
    <m/>
    <n v="0"/>
    <n v="575470"/>
    <n v="536308"/>
    <m/>
    <m/>
    <m/>
    <m/>
    <n v="0"/>
    <m/>
    <m/>
    <n v="0"/>
    <m/>
    <m/>
    <m/>
    <m/>
    <m/>
    <m/>
    <n v="575470"/>
    <n v="536308"/>
  </r>
  <r>
    <x v="9"/>
    <x v="3"/>
    <s v="Community or public service units"/>
    <m/>
    <n v="198552"/>
    <x v="6"/>
    <m/>
    <m/>
    <n v="163106"/>
    <n v="170283"/>
    <m/>
    <m/>
    <m/>
    <m/>
    <n v="0"/>
    <m/>
    <m/>
    <n v="0"/>
    <n v="163106"/>
    <n v="170283"/>
    <m/>
    <m/>
    <m/>
    <m/>
    <n v="0"/>
    <m/>
    <m/>
    <n v="0"/>
    <m/>
    <m/>
    <m/>
    <m/>
    <m/>
    <m/>
    <n v="163106"/>
    <n v="170283"/>
  </r>
  <r>
    <x v="9"/>
    <x v="44"/>
    <s v="Non-credit continuing education"/>
    <m/>
    <n v="198552"/>
    <x v="6"/>
    <m/>
    <m/>
    <n v="1252472"/>
    <n v="1512634"/>
    <m/>
    <m/>
    <n v="777544"/>
    <m/>
    <n v="777544"/>
    <n v="1083318"/>
    <m/>
    <n v="1083318"/>
    <n v="2030016"/>
    <n v="2595952"/>
    <m/>
    <m/>
    <m/>
    <m/>
    <n v="0"/>
    <m/>
    <m/>
    <n v="0"/>
    <m/>
    <m/>
    <m/>
    <m/>
    <m/>
    <m/>
    <n v="2030016"/>
    <n v="2595952"/>
  </r>
  <r>
    <x v="9"/>
    <x v="0"/>
    <s v="Guilford Technical Community College"/>
    <m/>
    <n v="198622"/>
    <x v="6"/>
    <n v="35518770"/>
    <n v="39570207"/>
    <m/>
    <m/>
    <n v="11659390"/>
    <n v="11659390"/>
    <n v="13059260"/>
    <m/>
    <n v="13059260"/>
    <n v="19480370"/>
    <m/>
    <n v="19480370"/>
    <n v="60237420"/>
    <n v="70709967"/>
    <m/>
    <m/>
    <m/>
    <m/>
    <n v="0"/>
    <m/>
    <m/>
    <n v="0"/>
    <m/>
    <m/>
    <m/>
    <m/>
    <m/>
    <m/>
    <n v="60237420"/>
    <n v="70709967"/>
  </r>
  <r>
    <x v="9"/>
    <x v="0"/>
    <s v="Nursing / allied health supplement"/>
    <m/>
    <n v="198622"/>
    <x v="6"/>
    <m/>
    <m/>
    <n v="460588"/>
    <n v="462234"/>
    <m/>
    <m/>
    <m/>
    <m/>
    <n v="0"/>
    <m/>
    <m/>
    <n v="0"/>
    <n v="460588"/>
    <n v="462234"/>
    <m/>
    <m/>
    <m/>
    <m/>
    <n v="0"/>
    <m/>
    <m/>
    <n v="0"/>
    <m/>
    <m/>
    <m/>
    <m/>
    <m/>
    <m/>
    <n v="460588"/>
    <n v="462234"/>
  </r>
  <r>
    <x v="9"/>
    <x v="3"/>
    <s v="Community or public service units"/>
    <m/>
    <n v="198622"/>
    <x v="6"/>
    <m/>
    <m/>
    <n v="163306"/>
    <n v="169904"/>
    <m/>
    <m/>
    <m/>
    <m/>
    <n v="0"/>
    <m/>
    <m/>
    <n v="0"/>
    <n v="163306"/>
    <n v="169904"/>
    <m/>
    <m/>
    <m/>
    <m/>
    <n v="0"/>
    <m/>
    <m/>
    <n v="0"/>
    <m/>
    <m/>
    <m/>
    <m/>
    <m/>
    <m/>
    <n v="163306"/>
    <n v="169904"/>
  </r>
  <r>
    <x v="9"/>
    <x v="44"/>
    <s v="Non-credit continuing education"/>
    <m/>
    <n v="198622"/>
    <x v="6"/>
    <m/>
    <m/>
    <n v="1721889"/>
    <n v="1511037"/>
    <m/>
    <m/>
    <n v="446904"/>
    <m/>
    <n v="446904"/>
    <n v="680266"/>
    <m/>
    <n v="680266"/>
    <n v="2168793"/>
    <n v="2191303"/>
    <m/>
    <m/>
    <m/>
    <m/>
    <n v="0"/>
    <m/>
    <m/>
    <n v="0"/>
    <m/>
    <m/>
    <m/>
    <m/>
    <m/>
    <m/>
    <n v="2168793"/>
    <n v="2191303"/>
  </r>
  <r>
    <x v="9"/>
    <x v="0"/>
    <s v="Pitt Community College"/>
    <m/>
    <n v="199333"/>
    <x v="6"/>
    <n v="21010428"/>
    <n v="21622915"/>
    <m/>
    <m/>
    <n v="4110835"/>
    <n v="4370835"/>
    <n v="8347441"/>
    <m/>
    <n v="8347441"/>
    <n v="10901550"/>
    <m/>
    <n v="10901550"/>
    <n v="33468704"/>
    <n v="36895300"/>
    <m/>
    <m/>
    <m/>
    <m/>
    <n v="0"/>
    <m/>
    <m/>
    <n v="0"/>
    <m/>
    <m/>
    <m/>
    <m/>
    <m/>
    <m/>
    <n v="33468704"/>
    <n v="36895300"/>
  </r>
  <r>
    <x v="9"/>
    <x v="0"/>
    <s v="Nursing / allied health supplement"/>
    <m/>
    <n v="199333"/>
    <x v="6"/>
    <m/>
    <m/>
    <n v="434369"/>
    <n v="391134"/>
    <m/>
    <m/>
    <m/>
    <m/>
    <n v="0"/>
    <m/>
    <m/>
    <n v="0"/>
    <n v="434369"/>
    <n v="391134"/>
    <m/>
    <m/>
    <m/>
    <m/>
    <n v="0"/>
    <m/>
    <m/>
    <n v="0"/>
    <m/>
    <m/>
    <m/>
    <m/>
    <m/>
    <m/>
    <n v="434369"/>
    <n v="391134"/>
  </r>
  <r>
    <x v="9"/>
    <x v="3"/>
    <s v="Community or public service units"/>
    <m/>
    <n v="199333"/>
    <x v="6"/>
    <m/>
    <m/>
    <n v="146906"/>
    <n v="154517"/>
    <m/>
    <m/>
    <m/>
    <m/>
    <n v="0"/>
    <m/>
    <m/>
    <n v="0"/>
    <n v="146906"/>
    <n v="154517"/>
    <m/>
    <m/>
    <m/>
    <m/>
    <n v="0"/>
    <m/>
    <m/>
    <n v="0"/>
    <m/>
    <m/>
    <m/>
    <m/>
    <m/>
    <m/>
    <n v="146906"/>
    <n v="154517"/>
  </r>
  <r>
    <x v="9"/>
    <x v="44"/>
    <s v="Non-credit continuing education"/>
    <m/>
    <n v="199333"/>
    <x v="6"/>
    <m/>
    <m/>
    <n v="1177501"/>
    <n v="1217704"/>
    <m/>
    <m/>
    <n v="198111"/>
    <m/>
    <n v="198111"/>
    <n v="323432"/>
    <m/>
    <n v="323432"/>
    <n v="1375612"/>
    <n v="1541136"/>
    <m/>
    <m/>
    <m/>
    <m/>
    <n v="0"/>
    <m/>
    <m/>
    <n v="0"/>
    <m/>
    <m/>
    <m/>
    <m/>
    <m/>
    <m/>
    <n v="1375612"/>
    <n v="1541136"/>
  </r>
  <r>
    <x v="9"/>
    <x v="0"/>
    <s v="Wake Technical Community College"/>
    <m/>
    <n v="199856"/>
    <x v="6"/>
    <n v="40046442"/>
    <n v="46413296"/>
    <m/>
    <m/>
    <n v="17013550"/>
    <n v="15696050"/>
    <n v="18696193"/>
    <m/>
    <n v="18696193"/>
    <n v="17099285"/>
    <m/>
    <n v="17099285"/>
    <n v="75756185"/>
    <n v="79208631"/>
    <m/>
    <m/>
    <m/>
    <m/>
    <n v="0"/>
    <m/>
    <m/>
    <n v="0"/>
    <m/>
    <m/>
    <m/>
    <m/>
    <m/>
    <m/>
    <n v="75756185"/>
    <n v="79208631"/>
  </r>
  <r>
    <x v="9"/>
    <x v="0"/>
    <s v="Nursing / allied health supplement"/>
    <m/>
    <n v="199856"/>
    <x v="6"/>
    <m/>
    <m/>
    <n v="658843"/>
    <n v="715283"/>
    <m/>
    <m/>
    <m/>
    <m/>
    <n v="0"/>
    <m/>
    <m/>
    <n v="0"/>
    <n v="658843"/>
    <n v="715283"/>
    <m/>
    <m/>
    <m/>
    <m/>
    <n v="0"/>
    <m/>
    <m/>
    <n v="0"/>
    <m/>
    <m/>
    <m/>
    <m/>
    <m/>
    <m/>
    <n v="658843"/>
    <n v="715283"/>
  </r>
  <r>
    <x v="9"/>
    <x v="3"/>
    <s v="Community or public service units"/>
    <m/>
    <n v="199856"/>
    <x v="6"/>
    <m/>
    <m/>
    <n v="162106"/>
    <n v="171270"/>
    <m/>
    <m/>
    <m/>
    <m/>
    <n v="0"/>
    <m/>
    <m/>
    <n v="0"/>
    <n v="162106"/>
    <n v="171270"/>
    <m/>
    <m/>
    <m/>
    <m/>
    <n v="0"/>
    <m/>
    <m/>
    <n v="0"/>
    <m/>
    <m/>
    <m/>
    <m/>
    <m/>
    <m/>
    <n v="162106"/>
    <n v="171270"/>
  </r>
  <r>
    <x v="9"/>
    <x v="44"/>
    <s v="Non-credit continuing education"/>
    <m/>
    <n v="199856"/>
    <x v="6"/>
    <m/>
    <m/>
    <n v="3131655"/>
    <n v="2165451"/>
    <m/>
    <m/>
    <n v="1027109"/>
    <m/>
    <n v="1027109"/>
    <n v="1692188"/>
    <m/>
    <n v="1692188"/>
    <n v="4158764"/>
    <n v="3857639"/>
    <m/>
    <m/>
    <m/>
    <m/>
    <n v="0"/>
    <m/>
    <m/>
    <n v="0"/>
    <m/>
    <m/>
    <m/>
    <m/>
    <m/>
    <m/>
    <n v="4158764"/>
    <n v="3857639"/>
  </r>
  <r>
    <x v="9"/>
    <x v="0"/>
    <s v="Durham Technical Community College"/>
    <s v="Reclassified, meets the criteria for Two-Year 2."/>
    <n v="198455"/>
    <x v="7"/>
    <n v="15684269"/>
    <n v="15287096"/>
    <m/>
    <m/>
    <n v="4727465"/>
    <n v="4721995"/>
    <n v="4789148"/>
    <m/>
    <n v="4789148"/>
    <n v="6089043"/>
    <m/>
    <n v="6089043"/>
    <n v="25200882"/>
    <n v="26098134"/>
    <m/>
    <m/>
    <m/>
    <m/>
    <n v="0"/>
    <m/>
    <m/>
    <n v="0"/>
    <m/>
    <m/>
    <m/>
    <m/>
    <m/>
    <m/>
    <n v="25200882"/>
    <n v="26098134"/>
  </r>
  <r>
    <x v="9"/>
    <x v="0"/>
    <s v="Nursing / allied health supplement"/>
    <m/>
    <n v="198455"/>
    <x v="7"/>
    <m/>
    <m/>
    <n v="319394"/>
    <n v="284893"/>
    <m/>
    <m/>
    <m/>
    <m/>
    <n v="0"/>
    <m/>
    <m/>
    <n v="0"/>
    <n v="319394"/>
    <n v="284893"/>
    <m/>
    <m/>
    <m/>
    <m/>
    <n v="0"/>
    <m/>
    <m/>
    <n v="0"/>
    <m/>
    <m/>
    <m/>
    <m/>
    <m/>
    <m/>
    <n v="319394"/>
    <n v="284893"/>
  </r>
  <r>
    <x v="9"/>
    <x v="3"/>
    <s v="Community or public service units"/>
    <m/>
    <n v="198455"/>
    <x v="7"/>
    <m/>
    <m/>
    <n v="152306"/>
    <n v="161710"/>
    <m/>
    <m/>
    <m/>
    <m/>
    <n v="0"/>
    <m/>
    <m/>
    <n v="0"/>
    <n v="152306"/>
    <n v="161710"/>
    <m/>
    <m/>
    <m/>
    <m/>
    <n v="0"/>
    <m/>
    <m/>
    <n v="0"/>
    <m/>
    <m/>
    <m/>
    <m/>
    <m/>
    <m/>
    <n v="152306"/>
    <n v="161710"/>
  </r>
  <r>
    <x v="9"/>
    <x v="44"/>
    <s v="Non-credit continuing education"/>
    <m/>
    <n v="198455"/>
    <x v="7"/>
    <m/>
    <m/>
    <n v="1888813"/>
    <n v="1420298"/>
    <m/>
    <m/>
    <n v="473277"/>
    <m/>
    <n v="473277"/>
    <n v="645973"/>
    <m/>
    <n v="645973"/>
    <n v="2362090"/>
    <n v="2066271"/>
    <m/>
    <m/>
    <m/>
    <m/>
    <n v="0"/>
    <m/>
    <m/>
    <n v="0"/>
    <m/>
    <m/>
    <m/>
    <m/>
    <m/>
    <m/>
    <n v="2362090"/>
    <n v="2066271"/>
  </r>
  <r>
    <x v="9"/>
    <x v="0"/>
    <s v="Rowan-Cabarrus Community College"/>
    <m/>
    <n v="199494"/>
    <x v="6"/>
    <n v="19334744"/>
    <n v="22389781"/>
    <m/>
    <m/>
    <n v="3549336"/>
    <n v="3708370"/>
    <n v="5935388"/>
    <m/>
    <n v="5935388"/>
    <n v="8714124"/>
    <m/>
    <n v="8714124"/>
    <n v="28819468"/>
    <n v="34812275"/>
    <m/>
    <m/>
    <m/>
    <m/>
    <n v="0"/>
    <m/>
    <m/>
    <n v="0"/>
    <m/>
    <m/>
    <m/>
    <m/>
    <m/>
    <m/>
    <n v="28819468"/>
    <n v="34812275"/>
  </r>
  <r>
    <x v="9"/>
    <x v="0"/>
    <s v="Nursing / allied health supplement"/>
    <m/>
    <n v="199494"/>
    <x v="6"/>
    <m/>
    <m/>
    <n v="139068"/>
    <n v="103161"/>
    <m/>
    <m/>
    <m/>
    <m/>
    <n v="0"/>
    <m/>
    <m/>
    <n v="0"/>
    <n v="139068"/>
    <n v="103161"/>
    <m/>
    <m/>
    <m/>
    <m/>
    <n v="0"/>
    <m/>
    <m/>
    <n v="0"/>
    <m/>
    <m/>
    <m/>
    <m/>
    <m/>
    <m/>
    <n v="139068"/>
    <n v="103161"/>
  </r>
  <r>
    <x v="9"/>
    <x v="3"/>
    <s v="Community or public service units"/>
    <m/>
    <n v="199494"/>
    <x v="6"/>
    <m/>
    <m/>
    <n v="155706"/>
    <n v="163531"/>
    <m/>
    <m/>
    <m/>
    <m/>
    <n v="0"/>
    <m/>
    <m/>
    <n v="0"/>
    <n v="155706"/>
    <n v="163531"/>
    <m/>
    <m/>
    <m/>
    <m/>
    <n v="0"/>
    <m/>
    <m/>
    <n v="0"/>
    <m/>
    <m/>
    <m/>
    <m/>
    <m/>
    <m/>
    <n v="155706"/>
    <n v="163531"/>
  </r>
  <r>
    <x v="9"/>
    <x v="44"/>
    <s v="Non-credit continuing education"/>
    <m/>
    <n v="199494"/>
    <x v="6"/>
    <m/>
    <m/>
    <n v="2016580"/>
    <n v="2029864"/>
    <m/>
    <m/>
    <n v="253818"/>
    <m/>
    <n v="253818"/>
    <n v="370583"/>
    <m/>
    <n v="370583"/>
    <n v="2270398"/>
    <n v="2400447"/>
    <m/>
    <m/>
    <m/>
    <m/>
    <n v="0"/>
    <m/>
    <m/>
    <n v="0"/>
    <m/>
    <m/>
    <m/>
    <m/>
    <m/>
    <m/>
    <n v="2270398"/>
    <n v="2400447"/>
  </r>
  <r>
    <x v="9"/>
    <x v="0"/>
    <s v="Alamance Community College"/>
    <m/>
    <n v="199786"/>
    <x v="7"/>
    <n v="14763567"/>
    <n v="16008115"/>
    <m/>
    <m/>
    <n v="2716383"/>
    <n v="2797375"/>
    <n v="4834673"/>
    <m/>
    <n v="4834673"/>
    <n v="6904719"/>
    <m/>
    <n v="6904719"/>
    <n v="22314623"/>
    <n v="25710209"/>
    <m/>
    <m/>
    <m/>
    <m/>
    <n v="0"/>
    <m/>
    <m/>
    <n v="0"/>
    <m/>
    <m/>
    <m/>
    <m/>
    <m/>
    <m/>
    <n v="22314623"/>
    <n v="25710209"/>
  </r>
  <r>
    <x v="9"/>
    <x v="0"/>
    <s v="Nursing / allied health supplement"/>
    <m/>
    <n v="199786"/>
    <x v="7"/>
    <m/>
    <m/>
    <n v="170895"/>
    <n v="181331"/>
    <m/>
    <m/>
    <m/>
    <m/>
    <n v="0"/>
    <m/>
    <m/>
    <n v="0"/>
    <n v="170895"/>
    <n v="181331"/>
    <m/>
    <m/>
    <m/>
    <m/>
    <n v="0"/>
    <m/>
    <m/>
    <n v="0"/>
    <m/>
    <m/>
    <m/>
    <m/>
    <m/>
    <m/>
    <n v="170895"/>
    <n v="181331"/>
  </r>
  <r>
    <x v="9"/>
    <x v="3"/>
    <s v="Community or public service units"/>
    <m/>
    <n v="199786"/>
    <x v="7"/>
    <m/>
    <m/>
    <n v="154106"/>
    <n v="159510"/>
    <m/>
    <m/>
    <m/>
    <m/>
    <n v="0"/>
    <m/>
    <m/>
    <n v="0"/>
    <n v="154106"/>
    <n v="159510"/>
    <m/>
    <m/>
    <m/>
    <m/>
    <n v="0"/>
    <m/>
    <m/>
    <n v="0"/>
    <m/>
    <m/>
    <m/>
    <m/>
    <m/>
    <m/>
    <n v="154106"/>
    <n v="159510"/>
  </r>
  <r>
    <x v="9"/>
    <x v="44"/>
    <s v="Non-credit continuing education"/>
    <m/>
    <n v="199786"/>
    <x v="7"/>
    <m/>
    <m/>
    <n v="767930"/>
    <n v="766815"/>
    <m/>
    <m/>
    <n v="234132"/>
    <m/>
    <n v="234132"/>
    <n v="332851"/>
    <m/>
    <n v="332851"/>
    <n v="1002062"/>
    <n v="1099666"/>
    <m/>
    <m/>
    <m/>
    <m/>
    <n v="0"/>
    <m/>
    <m/>
    <n v="0"/>
    <m/>
    <m/>
    <m/>
    <m/>
    <m/>
    <m/>
    <n v="1002062"/>
    <n v="1099666"/>
  </r>
  <r>
    <x v="9"/>
    <x v="0"/>
    <s v="Blue Ridge Community College"/>
    <s v="Reclassified, meets the criteria for Two-Year 3."/>
    <n v="198039"/>
    <x v="8"/>
    <n v="7661561"/>
    <n v="8650880"/>
    <m/>
    <m/>
    <n v="2607787"/>
    <n v="2593894"/>
    <n v="2149087"/>
    <m/>
    <n v="2149087"/>
    <n v="2924760"/>
    <m/>
    <n v="2924760"/>
    <n v="12418435"/>
    <n v="14169534"/>
    <m/>
    <m/>
    <m/>
    <m/>
    <n v="0"/>
    <m/>
    <m/>
    <n v="0"/>
    <m/>
    <m/>
    <m/>
    <m/>
    <m/>
    <m/>
    <n v="12418435"/>
    <n v="14169534"/>
  </r>
  <r>
    <x v="9"/>
    <x v="0"/>
    <s v="Nursing / allied health supplement"/>
    <m/>
    <n v="198039"/>
    <x v="8"/>
    <m/>
    <m/>
    <n v="59724"/>
    <n v="74897"/>
    <m/>
    <m/>
    <m/>
    <m/>
    <n v="0"/>
    <m/>
    <m/>
    <n v="0"/>
    <n v="59724"/>
    <n v="74897"/>
    <m/>
    <m/>
    <m/>
    <m/>
    <n v="0"/>
    <m/>
    <m/>
    <n v="0"/>
    <m/>
    <m/>
    <m/>
    <m/>
    <m/>
    <m/>
    <n v="59724"/>
    <n v="74897"/>
  </r>
  <r>
    <x v="9"/>
    <x v="3"/>
    <s v="Community or public service units"/>
    <m/>
    <n v="198039"/>
    <x v="8"/>
    <m/>
    <m/>
    <n v="149206"/>
    <n v="159221"/>
    <m/>
    <m/>
    <m/>
    <m/>
    <n v="0"/>
    <m/>
    <m/>
    <n v="0"/>
    <n v="149206"/>
    <n v="159221"/>
    <m/>
    <m/>
    <m/>
    <m/>
    <n v="0"/>
    <m/>
    <m/>
    <n v="0"/>
    <m/>
    <m/>
    <m/>
    <m/>
    <m/>
    <m/>
    <n v="149206"/>
    <n v="159221"/>
  </r>
  <r>
    <x v="9"/>
    <x v="44"/>
    <s v="Non-credit continuing education"/>
    <m/>
    <n v="198039"/>
    <x v="8"/>
    <m/>
    <m/>
    <n v="1247438"/>
    <n v="1303178"/>
    <m/>
    <m/>
    <n v="196361"/>
    <m/>
    <n v="196361"/>
    <n v="294791"/>
    <m/>
    <n v="294791"/>
    <n v="1443799"/>
    <n v="1597969"/>
    <m/>
    <m/>
    <m/>
    <m/>
    <n v="0"/>
    <m/>
    <m/>
    <n v="0"/>
    <m/>
    <m/>
    <m/>
    <m/>
    <m/>
    <m/>
    <n v="1443799"/>
    <n v="1597969"/>
  </r>
  <r>
    <x v="9"/>
    <x v="0"/>
    <s v="Caldwell Community College &amp; Technical Institute"/>
    <m/>
    <n v="198118"/>
    <x v="7"/>
    <n v="15640637"/>
    <n v="16850130"/>
    <m/>
    <m/>
    <n v="4209685"/>
    <n v="4642591"/>
    <n v="4216328"/>
    <m/>
    <n v="4216328"/>
    <n v="5895756"/>
    <m/>
    <n v="5895756"/>
    <n v="24066650"/>
    <n v="27388477"/>
    <m/>
    <m/>
    <m/>
    <m/>
    <n v="0"/>
    <m/>
    <m/>
    <n v="0"/>
    <m/>
    <m/>
    <m/>
    <m/>
    <m/>
    <m/>
    <n v="24066650"/>
    <n v="27388477"/>
  </r>
  <r>
    <x v="9"/>
    <x v="0"/>
    <s v="Nursing / allied health supplement"/>
    <m/>
    <n v="198118"/>
    <x v="7"/>
    <m/>
    <m/>
    <n v="167349"/>
    <n v="163156"/>
    <m/>
    <m/>
    <m/>
    <m/>
    <n v="0"/>
    <m/>
    <m/>
    <n v="0"/>
    <n v="167349"/>
    <n v="163156"/>
    <m/>
    <m/>
    <m/>
    <m/>
    <n v="0"/>
    <m/>
    <m/>
    <n v="0"/>
    <m/>
    <m/>
    <m/>
    <m/>
    <m/>
    <m/>
    <n v="167349"/>
    <n v="163156"/>
  </r>
  <r>
    <x v="9"/>
    <x v="3"/>
    <s v="Community or public service units"/>
    <m/>
    <n v="198118"/>
    <x v="7"/>
    <m/>
    <m/>
    <n v="140306"/>
    <n v="147917"/>
    <m/>
    <m/>
    <m/>
    <m/>
    <n v="0"/>
    <m/>
    <m/>
    <n v="0"/>
    <n v="140306"/>
    <n v="147917"/>
    <m/>
    <m/>
    <m/>
    <m/>
    <n v="0"/>
    <m/>
    <m/>
    <n v="0"/>
    <m/>
    <m/>
    <m/>
    <m/>
    <m/>
    <m/>
    <n v="140306"/>
    <n v="147917"/>
  </r>
  <r>
    <x v="9"/>
    <x v="44"/>
    <s v="Non-credit continuing education"/>
    <m/>
    <n v="198118"/>
    <x v="7"/>
    <m/>
    <m/>
    <n v="1134038"/>
    <n v="1254866"/>
    <m/>
    <m/>
    <n v="217856"/>
    <m/>
    <n v="217856"/>
    <n v="370383"/>
    <m/>
    <n v="370383"/>
    <n v="1351894"/>
    <n v="1625249"/>
    <m/>
    <m/>
    <m/>
    <m/>
    <n v="0"/>
    <m/>
    <m/>
    <n v="0"/>
    <m/>
    <m/>
    <m/>
    <m/>
    <m/>
    <m/>
    <n v="1351894"/>
    <n v="1625249"/>
  </r>
  <r>
    <x v="9"/>
    <x v="0"/>
    <s v="Cleveland Community College"/>
    <m/>
    <n v="198321"/>
    <x v="7"/>
    <n v="12075063"/>
    <n v="13725399"/>
    <m/>
    <m/>
    <n v="1340129"/>
    <n v="1415129"/>
    <n v="2971236"/>
    <m/>
    <n v="2971236"/>
    <n v="4524026"/>
    <m/>
    <n v="4524026"/>
    <n v="16386428"/>
    <n v="19664554"/>
    <m/>
    <m/>
    <m/>
    <m/>
    <n v="0"/>
    <m/>
    <m/>
    <n v="0"/>
    <m/>
    <m/>
    <m/>
    <m/>
    <m/>
    <m/>
    <n v="16386428"/>
    <n v="19664554"/>
  </r>
  <r>
    <x v="9"/>
    <x v="0"/>
    <s v="Nursing / allied health supplement"/>
    <m/>
    <n v="198321"/>
    <x v="7"/>
    <m/>
    <m/>
    <n v="77962"/>
    <n v="75977"/>
    <m/>
    <m/>
    <m/>
    <m/>
    <n v="0"/>
    <m/>
    <m/>
    <n v="0"/>
    <n v="77962"/>
    <n v="75977"/>
    <m/>
    <m/>
    <m/>
    <m/>
    <n v="0"/>
    <m/>
    <m/>
    <n v="0"/>
    <m/>
    <m/>
    <m/>
    <m/>
    <m/>
    <m/>
    <n v="77962"/>
    <n v="75977"/>
  </r>
  <r>
    <x v="9"/>
    <x v="3"/>
    <s v="Community or public service units"/>
    <m/>
    <n v="198321"/>
    <x v="7"/>
    <m/>
    <m/>
    <n v="142806"/>
    <n v="147461"/>
    <m/>
    <m/>
    <m/>
    <m/>
    <n v="0"/>
    <m/>
    <m/>
    <n v="0"/>
    <n v="142806"/>
    <n v="147461"/>
    <m/>
    <m/>
    <m/>
    <m/>
    <n v="0"/>
    <m/>
    <m/>
    <n v="0"/>
    <m/>
    <m/>
    <m/>
    <m/>
    <m/>
    <m/>
    <n v="142806"/>
    <n v="147461"/>
  </r>
  <r>
    <x v="9"/>
    <x v="44"/>
    <s v="Non-credit continuing education"/>
    <m/>
    <n v="198321"/>
    <x v="7"/>
    <m/>
    <m/>
    <n v="705700"/>
    <n v="761412"/>
    <m/>
    <m/>
    <n v="115516"/>
    <m/>
    <n v="115516"/>
    <n v="172267"/>
    <m/>
    <n v="172267"/>
    <n v="821216"/>
    <n v="933679"/>
    <m/>
    <m/>
    <m/>
    <m/>
    <n v="0"/>
    <m/>
    <m/>
    <n v="0"/>
    <m/>
    <m/>
    <m/>
    <m/>
    <m/>
    <m/>
    <n v="821216"/>
    <n v="933679"/>
  </r>
  <r>
    <x v="9"/>
    <x v="0"/>
    <s v="Coastal Carolina Community College "/>
    <m/>
    <n v="198330"/>
    <x v="7"/>
    <n v="14404854"/>
    <n v="14221793"/>
    <m/>
    <m/>
    <n v="2730827"/>
    <n v="3116000"/>
    <n v="5362442"/>
    <m/>
    <n v="5362442"/>
    <n v="7388235"/>
    <m/>
    <n v="7388235"/>
    <n v="22498123"/>
    <n v="24726028"/>
    <m/>
    <m/>
    <m/>
    <m/>
    <n v="0"/>
    <m/>
    <m/>
    <n v="0"/>
    <m/>
    <m/>
    <m/>
    <m/>
    <m/>
    <m/>
    <n v="22498123"/>
    <n v="24726028"/>
  </r>
  <r>
    <x v="9"/>
    <x v="0"/>
    <s v="Nursing / allied health supplement"/>
    <m/>
    <n v="198330"/>
    <x v="7"/>
    <m/>
    <m/>
    <n v="175951"/>
    <n v="157532"/>
    <m/>
    <m/>
    <m/>
    <m/>
    <n v="0"/>
    <m/>
    <m/>
    <n v="0"/>
    <n v="175951"/>
    <n v="157532"/>
    <m/>
    <m/>
    <m/>
    <m/>
    <n v="0"/>
    <m/>
    <m/>
    <n v="0"/>
    <m/>
    <m/>
    <m/>
    <m/>
    <m/>
    <m/>
    <n v="175951"/>
    <n v="157532"/>
  </r>
  <r>
    <x v="9"/>
    <x v="3"/>
    <s v="Community or public service units"/>
    <m/>
    <n v="198330"/>
    <x v="7"/>
    <m/>
    <m/>
    <n v="144506"/>
    <n v="154445"/>
    <m/>
    <m/>
    <m/>
    <m/>
    <n v="0"/>
    <m/>
    <m/>
    <n v="0"/>
    <n v="144506"/>
    <n v="154445"/>
    <m/>
    <m/>
    <m/>
    <m/>
    <n v="0"/>
    <m/>
    <m/>
    <n v="0"/>
    <m/>
    <m/>
    <m/>
    <m/>
    <m/>
    <m/>
    <n v="144506"/>
    <n v="154445"/>
  </r>
  <r>
    <x v="9"/>
    <x v="44"/>
    <s v="Non-credit continuing education"/>
    <m/>
    <n v="198330"/>
    <x v="7"/>
    <m/>
    <m/>
    <n v="1596231"/>
    <n v="1082724"/>
    <m/>
    <m/>
    <n v="619647"/>
    <m/>
    <n v="619647"/>
    <n v="931261"/>
    <m/>
    <n v="931261"/>
    <n v="2215878"/>
    <n v="2013985"/>
    <m/>
    <m/>
    <m/>
    <m/>
    <n v="0"/>
    <m/>
    <m/>
    <n v="0"/>
    <m/>
    <m/>
    <m/>
    <m/>
    <m/>
    <m/>
    <n v="2215878"/>
    <n v="2013985"/>
  </r>
  <r>
    <x v="9"/>
    <x v="0"/>
    <s v="College of the Albemarle"/>
    <s v="Reclassified, meets the criteria for Two-Year 3."/>
    <n v="197814"/>
    <x v="8"/>
    <n v="9789228"/>
    <n v="9853831"/>
    <m/>
    <m/>
    <n v="1449574"/>
    <n v="1554412"/>
    <n v="2313810"/>
    <m/>
    <n v="2313810"/>
    <n v="3292951"/>
    <m/>
    <n v="3292951"/>
    <n v="13552612"/>
    <n v="14701194"/>
    <m/>
    <m/>
    <m/>
    <m/>
    <n v="0"/>
    <m/>
    <m/>
    <n v="0"/>
    <m/>
    <m/>
    <m/>
    <m/>
    <m/>
    <m/>
    <n v="13552612"/>
    <n v="14701194"/>
  </r>
  <r>
    <x v="9"/>
    <x v="0"/>
    <s v="Nursing / allied health supplement"/>
    <m/>
    <n v="197814"/>
    <x v="8"/>
    <m/>
    <m/>
    <n v="68910"/>
    <n v="87149"/>
    <m/>
    <m/>
    <m/>
    <m/>
    <n v="0"/>
    <m/>
    <m/>
    <n v="0"/>
    <n v="68910"/>
    <n v="87149"/>
    <m/>
    <m/>
    <m/>
    <m/>
    <n v="0"/>
    <m/>
    <m/>
    <n v="0"/>
    <m/>
    <m/>
    <m/>
    <m/>
    <m/>
    <m/>
    <n v="68910"/>
    <n v="87149"/>
  </r>
  <r>
    <x v="9"/>
    <x v="3"/>
    <s v="Community or public service units"/>
    <m/>
    <n v="197814"/>
    <x v="8"/>
    <m/>
    <m/>
    <n v="146906"/>
    <n v="154597"/>
    <m/>
    <m/>
    <m/>
    <m/>
    <n v="0"/>
    <m/>
    <m/>
    <n v="0"/>
    <n v="146906"/>
    <n v="154597"/>
    <m/>
    <m/>
    <m/>
    <m/>
    <n v="0"/>
    <m/>
    <m/>
    <n v="0"/>
    <m/>
    <m/>
    <m/>
    <m/>
    <m/>
    <m/>
    <n v="146906"/>
    <n v="154597"/>
  </r>
  <r>
    <x v="9"/>
    <x v="44"/>
    <s v="Non-credit continuing education"/>
    <m/>
    <n v="197814"/>
    <x v="8"/>
    <m/>
    <m/>
    <n v="608224"/>
    <n v="521196"/>
    <m/>
    <m/>
    <n v="118123"/>
    <m/>
    <n v="118123"/>
    <n v="196107"/>
    <m/>
    <n v="196107"/>
    <n v="726347"/>
    <n v="717303"/>
    <m/>
    <m/>
    <m/>
    <m/>
    <n v="0"/>
    <m/>
    <m/>
    <n v="0"/>
    <m/>
    <m/>
    <m/>
    <m/>
    <m/>
    <m/>
    <n v="726347"/>
    <n v="717303"/>
  </r>
  <r>
    <x v="9"/>
    <x v="0"/>
    <s v="Craven Community College "/>
    <m/>
    <n v="198367"/>
    <x v="7"/>
    <n v="10375709"/>
    <n v="11342462"/>
    <m/>
    <m/>
    <n v="3255130"/>
    <n v="3455130"/>
    <n v="3414168"/>
    <m/>
    <n v="3414168"/>
    <n v="4410478"/>
    <m/>
    <n v="4410478"/>
    <n v="17045007"/>
    <n v="19208070"/>
    <m/>
    <m/>
    <m/>
    <m/>
    <n v="0"/>
    <m/>
    <m/>
    <n v="0"/>
    <m/>
    <m/>
    <m/>
    <m/>
    <m/>
    <m/>
    <n v="17045007"/>
    <n v="19208070"/>
  </r>
  <r>
    <x v="9"/>
    <x v="0"/>
    <s v="Nursing / allied health supplement"/>
    <m/>
    <n v="198367"/>
    <x v="7"/>
    <m/>
    <m/>
    <n v="126101"/>
    <n v="151348"/>
    <m/>
    <m/>
    <m/>
    <m/>
    <n v="0"/>
    <m/>
    <m/>
    <n v="0"/>
    <n v="126101"/>
    <n v="151348"/>
    <m/>
    <m/>
    <m/>
    <m/>
    <n v="0"/>
    <m/>
    <m/>
    <n v="0"/>
    <m/>
    <m/>
    <m/>
    <m/>
    <m/>
    <m/>
    <n v="126101"/>
    <n v="151348"/>
  </r>
  <r>
    <x v="9"/>
    <x v="3"/>
    <s v="Community or public service units"/>
    <m/>
    <n v="198367"/>
    <x v="7"/>
    <m/>
    <m/>
    <n v="145506"/>
    <n v="153303"/>
    <m/>
    <m/>
    <m/>
    <m/>
    <n v="0"/>
    <m/>
    <m/>
    <n v="0"/>
    <n v="145506"/>
    <n v="153303"/>
    <m/>
    <m/>
    <m/>
    <m/>
    <n v="0"/>
    <m/>
    <m/>
    <n v="0"/>
    <m/>
    <m/>
    <m/>
    <m/>
    <m/>
    <m/>
    <n v="145506"/>
    <n v="153303"/>
  </r>
  <r>
    <x v="9"/>
    <x v="44"/>
    <s v="Non-credit continuing education"/>
    <m/>
    <n v="198367"/>
    <x v="7"/>
    <m/>
    <m/>
    <n v="852286"/>
    <n v="883100"/>
    <m/>
    <m/>
    <n v="212034"/>
    <m/>
    <n v="212034"/>
    <n v="346985"/>
    <m/>
    <n v="346985"/>
    <n v="1064320"/>
    <n v="1230085"/>
    <m/>
    <m/>
    <m/>
    <m/>
    <n v="0"/>
    <m/>
    <m/>
    <n v="0"/>
    <m/>
    <m/>
    <m/>
    <m/>
    <m/>
    <m/>
    <n v="1064320"/>
    <n v="1230085"/>
  </r>
  <r>
    <x v="9"/>
    <x v="0"/>
    <s v="Davidson County Community College "/>
    <m/>
    <n v="198376"/>
    <x v="7"/>
    <n v="15109413"/>
    <n v="16466702"/>
    <m/>
    <m/>
    <n v="3549395"/>
    <n v="3549395"/>
    <n v="3196755"/>
    <m/>
    <n v="3196755"/>
    <n v="4338536"/>
    <m/>
    <n v="4338536"/>
    <n v="21855563"/>
    <n v="24354633"/>
    <m/>
    <m/>
    <m/>
    <m/>
    <n v="0"/>
    <m/>
    <m/>
    <n v="0"/>
    <m/>
    <m/>
    <m/>
    <m/>
    <m/>
    <m/>
    <n v="21855563"/>
    <n v="24354633"/>
  </r>
  <r>
    <x v="9"/>
    <x v="0"/>
    <s v="Nursing / allied health supplement"/>
    <m/>
    <n v="198376"/>
    <x v="7"/>
    <m/>
    <m/>
    <n v="262988"/>
    <n v="370467"/>
    <m/>
    <m/>
    <m/>
    <m/>
    <n v="0"/>
    <m/>
    <m/>
    <n v="0"/>
    <n v="262988"/>
    <n v="370467"/>
    <m/>
    <m/>
    <m/>
    <m/>
    <n v="0"/>
    <m/>
    <m/>
    <n v="0"/>
    <m/>
    <m/>
    <m/>
    <m/>
    <m/>
    <m/>
    <n v="262988"/>
    <n v="370467"/>
  </r>
  <r>
    <x v="9"/>
    <x v="3"/>
    <s v="Community or public service units"/>
    <m/>
    <n v="198376"/>
    <x v="7"/>
    <m/>
    <m/>
    <n v="152206"/>
    <n v="158524"/>
    <m/>
    <m/>
    <m/>
    <m/>
    <n v="0"/>
    <m/>
    <m/>
    <n v="0"/>
    <n v="152206"/>
    <n v="158524"/>
    <m/>
    <m/>
    <m/>
    <m/>
    <n v="0"/>
    <m/>
    <m/>
    <n v="0"/>
    <m/>
    <m/>
    <m/>
    <m/>
    <m/>
    <m/>
    <n v="152206"/>
    <n v="158524"/>
  </r>
  <r>
    <x v="9"/>
    <x v="44"/>
    <s v="Non-credit continuing education"/>
    <m/>
    <n v="198376"/>
    <x v="7"/>
    <m/>
    <m/>
    <n v="1528603"/>
    <n v="1364387"/>
    <m/>
    <m/>
    <n v="189163"/>
    <m/>
    <n v="189163"/>
    <n v="233582"/>
    <m/>
    <n v="233582"/>
    <n v="1717766"/>
    <n v="1597969"/>
    <m/>
    <m/>
    <m/>
    <m/>
    <n v="0"/>
    <m/>
    <m/>
    <n v="0"/>
    <m/>
    <m/>
    <m/>
    <m/>
    <m/>
    <m/>
    <n v="1717766"/>
    <n v="1597969"/>
  </r>
  <r>
    <x v="9"/>
    <x v="0"/>
    <s v="Edgecombe Community College"/>
    <m/>
    <n v="198491"/>
    <x v="7"/>
    <n v="9845371"/>
    <n v="11191776"/>
    <m/>
    <m/>
    <n v="1248710"/>
    <n v="1228710"/>
    <n v="2103884"/>
    <m/>
    <n v="2103884"/>
    <n v="4098008"/>
    <m/>
    <n v="4098008"/>
    <n v="13197965"/>
    <n v="16518494"/>
    <m/>
    <m/>
    <m/>
    <m/>
    <n v="0"/>
    <m/>
    <m/>
    <n v="0"/>
    <m/>
    <m/>
    <m/>
    <m/>
    <m/>
    <m/>
    <n v="13197965"/>
    <n v="16518494"/>
  </r>
  <r>
    <x v="9"/>
    <x v="0"/>
    <s v="Nursing / allied health supplement"/>
    <m/>
    <n v="198491"/>
    <x v="7"/>
    <m/>
    <m/>
    <n v="237352"/>
    <n v="241954"/>
    <m/>
    <m/>
    <m/>
    <m/>
    <n v="0"/>
    <m/>
    <m/>
    <n v="0"/>
    <n v="237352"/>
    <n v="241954"/>
    <m/>
    <m/>
    <m/>
    <m/>
    <n v="0"/>
    <m/>
    <m/>
    <n v="0"/>
    <m/>
    <m/>
    <m/>
    <m/>
    <m/>
    <m/>
    <n v="237352"/>
    <n v="241954"/>
  </r>
  <r>
    <x v="9"/>
    <x v="3"/>
    <s v="Community or public service units"/>
    <m/>
    <n v="198491"/>
    <x v="7"/>
    <m/>
    <m/>
    <n v="140906"/>
    <n v="149969"/>
    <m/>
    <m/>
    <m/>
    <m/>
    <n v="0"/>
    <m/>
    <m/>
    <n v="0"/>
    <n v="140906"/>
    <n v="149969"/>
    <m/>
    <m/>
    <m/>
    <m/>
    <n v="0"/>
    <m/>
    <m/>
    <n v="0"/>
    <m/>
    <m/>
    <m/>
    <m/>
    <m/>
    <m/>
    <n v="140906"/>
    <n v="149969"/>
  </r>
  <r>
    <x v="9"/>
    <x v="44"/>
    <s v="Non-credit continuing education"/>
    <m/>
    <n v="198491"/>
    <x v="7"/>
    <m/>
    <m/>
    <n v="814426"/>
    <n v="579784"/>
    <m/>
    <m/>
    <n v="107589"/>
    <m/>
    <n v="107589"/>
    <n v="140483"/>
    <m/>
    <n v="140483"/>
    <n v="922015"/>
    <n v="720267"/>
    <m/>
    <m/>
    <m/>
    <m/>
    <n v="0"/>
    <m/>
    <m/>
    <n v="0"/>
    <m/>
    <m/>
    <m/>
    <m/>
    <m/>
    <m/>
    <n v="922015"/>
    <n v="720267"/>
  </r>
  <r>
    <x v="9"/>
    <x v="0"/>
    <s v="Gaston College "/>
    <s v="Reclassified, meets the criteria for Two-Year 1."/>
    <n v="198570"/>
    <x v="6"/>
    <n v="18511892"/>
    <n v="21681388"/>
    <m/>
    <m/>
    <n v="4185329"/>
    <n v="4288723"/>
    <n v="5896804"/>
    <m/>
    <n v="5896804"/>
    <n v="8199925"/>
    <m/>
    <n v="8199925"/>
    <n v="28594025"/>
    <n v="34170036"/>
    <m/>
    <m/>
    <m/>
    <m/>
    <n v="0"/>
    <m/>
    <m/>
    <n v="0"/>
    <m/>
    <m/>
    <m/>
    <m/>
    <m/>
    <m/>
    <n v="28594025"/>
    <n v="34170036"/>
  </r>
  <r>
    <x v="9"/>
    <x v="0"/>
    <s v="Nursing / allied health supplement"/>
    <m/>
    <n v="198570"/>
    <x v="6"/>
    <m/>
    <m/>
    <n v="242516"/>
    <n v="244182"/>
    <m/>
    <m/>
    <m/>
    <m/>
    <n v="0"/>
    <m/>
    <m/>
    <n v="0"/>
    <n v="242516"/>
    <n v="244182"/>
    <m/>
    <m/>
    <m/>
    <m/>
    <n v="0"/>
    <m/>
    <m/>
    <n v="0"/>
    <m/>
    <m/>
    <m/>
    <m/>
    <m/>
    <m/>
    <n v="242516"/>
    <n v="244182"/>
  </r>
  <r>
    <x v="9"/>
    <x v="3"/>
    <s v="Community or public service units"/>
    <m/>
    <n v="198570"/>
    <x v="6"/>
    <m/>
    <m/>
    <n v="158006"/>
    <n v="165883"/>
    <m/>
    <m/>
    <m/>
    <m/>
    <n v="0"/>
    <m/>
    <m/>
    <n v="0"/>
    <n v="158006"/>
    <n v="165883"/>
    <m/>
    <m/>
    <m/>
    <m/>
    <n v="0"/>
    <m/>
    <m/>
    <n v="0"/>
    <m/>
    <m/>
    <m/>
    <m/>
    <m/>
    <m/>
    <n v="158006"/>
    <n v="165883"/>
  </r>
  <r>
    <x v="9"/>
    <x v="44"/>
    <s v="Non-credit continuing education"/>
    <m/>
    <n v="198570"/>
    <x v="6"/>
    <m/>
    <m/>
    <n v="914483"/>
    <n v="1030775"/>
    <m/>
    <m/>
    <n v="188378"/>
    <m/>
    <n v="188378"/>
    <n v="252663"/>
    <m/>
    <n v="252663"/>
    <n v="1102861"/>
    <n v="1283438"/>
    <m/>
    <m/>
    <m/>
    <m/>
    <n v="0"/>
    <m/>
    <m/>
    <n v="0"/>
    <m/>
    <m/>
    <m/>
    <m/>
    <m/>
    <m/>
    <n v="1102861"/>
    <n v="1283438"/>
  </r>
  <r>
    <x v="9"/>
    <x v="0"/>
    <s v="Haywood Community College"/>
    <m/>
    <n v="198668"/>
    <x v="7"/>
    <n v="7721339"/>
    <n v="7984709"/>
    <m/>
    <m/>
    <n v="2494929"/>
    <n v="2449116"/>
    <n v="1819134"/>
    <m/>
    <n v="1819134"/>
    <n v="2409231"/>
    <m/>
    <n v="2409231"/>
    <n v="12035402"/>
    <n v="12843056"/>
    <m/>
    <m/>
    <m/>
    <m/>
    <n v="0"/>
    <m/>
    <m/>
    <n v="0"/>
    <m/>
    <m/>
    <m/>
    <m/>
    <m/>
    <m/>
    <n v="12035402"/>
    <n v="12843056"/>
  </r>
  <r>
    <x v="9"/>
    <x v="0"/>
    <s v="Nursing / allied health supplement"/>
    <m/>
    <n v="198668"/>
    <x v="7"/>
    <m/>
    <m/>
    <n v="52196"/>
    <n v="69401"/>
    <m/>
    <m/>
    <m/>
    <m/>
    <n v="0"/>
    <m/>
    <m/>
    <n v="0"/>
    <n v="52196"/>
    <n v="69401"/>
    <m/>
    <m/>
    <m/>
    <m/>
    <n v="0"/>
    <m/>
    <m/>
    <n v="0"/>
    <m/>
    <m/>
    <m/>
    <m/>
    <m/>
    <m/>
    <n v="52196"/>
    <n v="69401"/>
  </r>
  <r>
    <x v="9"/>
    <x v="3"/>
    <s v="Community or public service units"/>
    <m/>
    <n v="198668"/>
    <x v="7"/>
    <m/>
    <m/>
    <n v="136806"/>
    <n v="147010"/>
    <m/>
    <m/>
    <m/>
    <m/>
    <n v="0"/>
    <m/>
    <m/>
    <n v="0"/>
    <n v="136806"/>
    <n v="147010"/>
    <m/>
    <m/>
    <m/>
    <m/>
    <n v="0"/>
    <m/>
    <m/>
    <n v="0"/>
    <m/>
    <m/>
    <m/>
    <m/>
    <m/>
    <m/>
    <n v="136806"/>
    <n v="147010"/>
  </r>
  <r>
    <x v="9"/>
    <x v="44"/>
    <s v="Non-credit continuing education"/>
    <m/>
    <n v="198668"/>
    <x v="7"/>
    <m/>
    <m/>
    <n v="533460"/>
    <n v="572617"/>
    <m/>
    <m/>
    <n v="74299"/>
    <m/>
    <n v="74299"/>
    <n v="112081"/>
    <m/>
    <n v="112081"/>
    <n v="607759"/>
    <n v="684698"/>
    <m/>
    <m/>
    <m/>
    <m/>
    <n v="0"/>
    <m/>
    <m/>
    <n v="0"/>
    <m/>
    <m/>
    <m/>
    <m/>
    <m/>
    <m/>
    <n v="607759"/>
    <n v="684698"/>
  </r>
  <r>
    <x v="9"/>
    <x v="0"/>
    <s v="Isothermal Community College "/>
    <m/>
    <n v="198710"/>
    <x v="7"/>
    <n v="8979499"/>
    <n v="10326478"/>
    <m/>
    <m/>
    <n v="2034715"/>
    <n v="2011362"/>
    <n v="2223687"/>
    <m/>
    <n v="2223687"/>
    <n v="2950761"/>
    <m/>
    <n v="2950761"/>
    <n v="13237901"/>
    <n v="15288601"/>
    <m/>
    <m/>
    <m/>
    <m/>
    <n v="0"/>
    <m/>
    <m/>
    <n v="0"/>
    <m/>
    <m/>
    <m/>
    <m/>
    <m/>
    <m/>
    <n v="13237901"/>
    <n v="15288601"/>
  </r>
  <r>
    <x v="9"/>
    <x v="0"/>
    <s v="Nursing / allied health supplement"/>
    <m/>
    <n v="198710"/>
    <x v="7"/>
    <m/>
    <m/>
    <n v="63635"/>
    <n v="64468"/>
    <m/>
    <m/>
    <m/>
    <m/>
    <n v="0"/>
    <m/>
    <m/>
    <n v="0"/>
    <n v="63635"/>
    <n v="64468"/>
    <m/>
    <m/>
    <m/>
    <m/>
    <n v="0"/>
    <m/>
    <m/>
    <n v="0"/>
    <m/>
    <m/>
    <m/>
    <m/>
    <m/>
    <m/>
    <n v="63635"/>
    <n v="64468"/>
  </r>
  <r>
    <x v="9"/>
    <x v="3"/>
    <s v="Community or public service units"/>
    <m/>
    <n v="198710"/>
    <x v="7"/>
    <m/>
    <m/>
    <n v="136106"/>
    <n v="144582"/>
    <m/>
    <m/>
    <m/>
    <m/>
    <n v="0"/>
    <m/>
    <m/>
    <n v="0"/>
    <n v="136106"/>
    <n v="144582"/>
    <m/>
    <m/>
    <m/>
    <m/>
    <n v="0"/>
    <m/>
    <m/>
    <n v="0"/>
    <m/>
    <m/>
    <m/>
    <m/>
    <m/>
    <m/>
    <n v="136106"/>
    <n v="144582"/>
  </r>
  <r>
    <x v="9"/>
    <x v="44"/>
    <s v="Non-credit continuing education"/>
    <m/>
    <n v="198710"/>
    <x v="7"/>
    <m/>
    <m/>
    <n v="583441"/>
    <n v="645900"/>
    <m/>
    <m/>
    <n v="101400"/>
    <m/>
    <n v="101400"/>
    <n v="160324"/>
    <m/>
    <n v="160324"/>
    <n v="684841"/>
    <n v="806224"/>
    <m/>
    <m/>
    <m/>
    <m/>
    <n v="0"/>
    <m/>
    <m/>
    <n v="0"/>
    <m/>
    <m/>
    <m/>
    <m/>
    <m/>
    <m/>
    <n v="684841"/>
    <n v="806224"/>
  </r>
  <r>
    <x v="9"/>
    <x v="0"/>
    <s v="Johnston Community College"/>
    <m/>
    <n v="198774"/>
    <x v="7"/>
    <n v="16185769"/>
    <n v="15705461"/>
    <m/>
    <m/>
    <n v="3874661"/>
    <n v="3723631"/>
    <n v="3394188"/>
    <m/>
    <n v="3394188"/>
    <n v="4753949"/>
    <m/>
    <n v="4753949"/>
    <n v="23454618"/>
    <n v="24183041"/>
    <m/>
    <m/>
    <m/>
    <m/>
    <n v="0"/>
    <m/>
    <m/>
    <n v="0"/>
    <m/>
    <m/>
    <m/>
    <m/>
    <m/>
    <m/>
    <n v="23454618"/>
    <n v="24183041"/>
  </r>
  <r>
    <x v="9"/>
    <x v="0"/>
    <s v="Nursing / allied health supplement"/>
    <m/>
    <n v="198774"/>
    <x v="7"/>
    <m/>
    <m/>
    <n v="216311"/>
    <n v="208561"/>
    <m/>
    <m/>
    <m/>
    <m/>
    <n v="0"/>
    <m/>
    <m/>
    <n v="0"/>
    <n v="216311"/>
    <n v="208561"/>
    <m/>
    <m/>
    <m/>
    <m/>
    <n v="0"/>
    <m/>
    <m/>
    <n v="0"/>
    <m/>
    <m/>
    <m/>
    <m/>
    <m/>
    <m/>
    <n v="216311"/>
    <n v="208561"/>
  </r>
  <r>
    <x v="9"/>
    <x v="3"/>
    <s v="Community or public service units"/>
    <m/>
    <n v="198774"/>
    <x v="7"/>
    <m/>
    <m/>
    <n v="143606"/>
    <n v="150420"/>
    <m/>
    <m/>
    <m/>
    <m/>
    <n v="0"/>
    <m/>
    <m/>
    <n v="0"/>
    <n v="143606"/>
    <n v="150420"/>
    <m/>
    <m/>
    <m/>
    <m/>
    <n v="0"/>
    <m/>
    <m/>
    <n v="0"/>
    <m/>
    <m/>
    <m/>
    <m/>
    <m/>
    <m/>
    <n v="143606"/>
    <n v="150420"/>
  </r>
  <r>
    <x v="9"/>
    <x v="44"/>
    <s v="Non-credit continuing education"/>
    <m/>
    <n v="198774"/>
    <x v="7"/>
    <m/>
    <m/>
    <n v="1130494"/>
    <n v="1048436"/>
    <m/>
    <m/>
    <n v="256976"/>
    <m/>
    <n v="256976"/>
    <n v="556353"/>
    <m/>
    <n v="556353"/>
    <n v="1387470"/>
    <n v="1604789"/>
    <m/>
    <m/>
    <m/>
    <m/>
    <n v="0"/>
    <m/>
    <m/>
    <n v="0"/>
    <m/>
    <m/>
    <m/>
    <m/>
    <m/>
    <m/>
    <n v="1387470"/>
    <n v="1604789"/>
  </r>
  <r>
    <x v="9"/>
    <x v="0"/>
    <s v="Lenoir Community College "/>
    <m/>
    <n v="198817"/>
    <x v="7"/>
    <n v="12446527"/>
    <n v="13621804"/>
    <m/>
    <m/>
    <n v="2361956"/>
    <n v="2485231"/>
    <n v="3045194"/>
    <m/>
    <n v="3045194"/>
    <n v="3934632"/>
    <m/>
    <n v="3934632"/>
    <n v="17853677"/>
    <n v="20041667"/>
    <m/>
    <m/>
    <m/>
    <m/>
    <n v="0"/>
    <m/>
    <m/>
    <n v="0"/>
    <m/>
    <m/>
    <m/>
    <m/>
    <m/>
    <m/>
    <n v="17853677"/>
    <n v="20041667"/>
  </r>
  <r>
    <x v="9"/>
    <x v="0"/>
    <s v="Nursing / allied health supplement"/>
    <m/>
    <n v="198817"/>
    <x v="7"/>
    <m/>
    <m/>
    <n v="130456"/>
    <n v="160617"/>
    <m/>
    <m/>
    <m/>
    <m/>
    <n v="0"/>
    <m/>
    <m/>
    <n v="0"/>
    <n v="130456"/>
    <n v="160617"/>
    <m/>
    <m/>
    <m/>
    <m/>
    <n v="0"/>
    <m/>
    <m/>
    <n v="0"/>
    <m/>
    <m/>
    <m/>
    <m/>
    <m/>
    <m/>
    <n v="130456"/>
    <n v="160617"/>
  </r>
  <r>
    <x v="9"/>
    <x v="3"/>
    <s v="Community or public service units"/>
    <m/>
    <n v="198817"/>
    <x v="7"/>
    <m/>
    <m/>
    <n v="141306"/>
    <n v="148603"/>
    <m/>
    <m/>
    <m/>
    <m/>
    <n v="0"/>
    <m/>
    <m/>
    <n v="0"/>
    <n v="141306"/>
    <n v="148603"/>
    <m/>
    <m/>
    <m/>
    <m/>
    <n v="0"/>
    <m/>
    <m/>
    <n v="0"/>
    <m/>
    <m/>
    <m/>
    <m/>
    <m/>
    <m/>
    <n v="141306"/>
    <n v="148603"/>
  </r>
  <r>
    <x v="9"/>
    <x v="44"/>
    <s v="Non-credit continuing education"/>
    <m/>
    <n v="198817"/>
    <x v="7"/>
    <m/>
    <m/>
    <n v="1764976"/>
    <n v="1965288"/>
    <m/>
    <m/>
    <n v="203085"/>
    <m/>
    <n v="203085"/>
    <n v="319220"/>
    <m/>
    <n v="319220"/>
    <n v="1968061"/>
    <n v="2284508"/>
    <m/>
    <m/>
    <m/>
    <m/>
    <n v="0"/>
    <m/>
    <m/>
    <n v="0"/>
    <m/>
    <m/>
    <m/>
    <m/>
    <m/>
    <m/>
    <n v="1968061"/>
    <n v="2284508"/>
  </r>
  <r>
    <x v="9"/>
    <x v="0"/>
    <s v="Mayland Community College"/>
    <s v="Reclassified, meets the criteria for Two-Year 3."/>
    <n v="198914"/>
    <x v="8"/>
    <n v="8138480"/>
    <n v="7366003"/>
    <m/>
    <m/>
    <n v="778460"/>
    <n v="792131"/>
    <n v="897246"/>
    <m/>
    <n v="897246"/>
    <n v="1173285"/>
    <m/>
    <n v="1173285"/>
    <n v="9814186"/>
    <n v="9331419"/>
    <m/>
    <m/>
    <m/>
    <m/>
    <n v="0"/>
    <m/>
    <m/>
    <n v="0"/>
    <m/>
    <m/>
    <m/>
    <m/>
    <m/>
    <m/>
    <n v="9814186"/>
    <n v="9331419"/>
  </r>
  <r>
    <x v="9"/>
    <x v="0"/>
    <s v="Nursing / allied health supplement"/>
    <m/>
    <n v="198914"/>
    <x v="8"/>
    <m/>
    <m/>
    <n v="80111"/>
    <n v="70408"/>
    <m/>
    <m/>
    <m/>
    <m/>
    <n v="0"/>
    <m/>
    <m/>
    <n v="0"/>
    <n v="80111"/>
    <n v="70408"/>
    <m/>
    <m/>
    <m/>
    <m/>
    <n v="0"/>
    <m/>
    <m/>
    <n v="0"/>
    <m/>
    <m/>
    <m/>
    <m/>
    <m/>
    <m/>
    <n v="80111"/>
    <n v="70408"/>
  </r>
  <r>
    <x v="9"/>
    <x v="3"/>
    <s v="Community or public service units"/>
    <m/>
    <n v="198914"/>
    <x v="8"/>
    <m/>
    <m/>
    <n v="141306"/>
    <n v="148679"/>
    <m/>
    <m/>
    <m/>
    <m/>
    <n v="0"/>
    <m/>
    <m/>
    <n v="0"/>
    <n v="141306"/>
    <n v="148679"/>
    <m/>
    <m/>
    <m/>
    <m/>
    <n v="0"/>
    <m/>
    <m/>
    <n v="0"/>
    <m/>
    <m/>
    <m/>
    <m/>
    <m/>
    <m/>
    <n v="141306"/>
    <n v="148679"/>
  </r>
  <r>
    <x v="9"/>
    <x v="44"/>
    <s v="Non-credit continuing education"/>
    <m/>
    <n v="198914"/>
    <x v="8"/>
    <m/>
    <m/>
    <n v="968236"/>
    <n v="993986"/>
    <m/>
    <m/>
    <n v="90155"/>
    <m/>
    <n v="90155"/>
    <n v="147177"/>
    <m/>
    <n v="147177"/>
    <n v="1058391"/>
    <n v="1141163"/>
    <m/>
    <m/>
    <m/>
    <m/>
    <n v="0"/>
    <m/>
    <m/>
    <n v="0"/>
    <m/>
    <m/>
    <m/>
    <m/>
    <m/>
    <m/>
    <n v="1058391"/>
    <n v="1141163"/>
  </r>
  <r>
    <x v="9"/>
    <x v="0"/>
    <s v="Mitchell Community College "/>
    <m/>
    <n v="198987"/>
    <x v="7"/>
    <n v="9896981"/>
    <n v="11159577"/>
    <m/>
    <m/>
    <n v="2443025"/>
    <n v="2430473"/>
    <n v="2604241"/>
    <m/>
    <n v="2604241"/>
    <n v="3764722"/>
    <m/>
    <n v="3764722"/>
    <n v="14944247"/>
    <n v="17354772"/>
    <m/>
    <m/>
    <m/>
    <m/>
    <n v="0"/>
    <m/>
    <m/>
    <n v="0"/>
    <m/>
    <m/>
    <m/>
    <m/>
    <m/>
    <m/>
    <n v="14944247"/>
    <n v="17354772"/>
  </r>
  <r>
    <x v="9"/>
    <x v="0"/>
    <s v="Nursing / allied health supplement"/>
    <m/>
    <n v="198987"/>
    <x v="7"/>
    <m/>
    <m/>
    <n v="129559"/>
    <n v="143074"/>
    <m/>
    <m/>
    <m/>
    <m/>
    <n v="0"/>
    <m/>
    <m/>
    <n v="0"/>
    <n v="129559"/>
    <n v="143074"/>
    <m/>
    <m/>
    <m/>
    <m/>
    <n v="0"/>
    <m/>
    <m/>
    <n v="0"/>
    <m/>
    <m/>
    <m/>
    <m/>
    <m/>
    <m/>
    <n v="129559"/>
    <n v="143074"/>
  </r>
  <r>
    <x v="9"/>
    <x v="3"/>
    <s v="Community or public service units"/>
    <m/>
    <n v="198987"/>
    <x v="7"/>
    <m/>
    <m/>
    <n v="153806"/>
    <n v="160648"/>
    <m/>
    <m/>
    <m/>
    <m/>
    <n v="0"/>
    <m/>
    <m/>
    <n v="0"/>
    <n v="153806"/>
    <n v="160648"/>
    <m/>
    <m/>
    <m/>
    <m/>
    <n v="0"/>
    <m/>
    <m/>
    <n v="0"/>
    <m/>
    <m/>
    <m/>
    <m/>
    <m/>
    <m/>
    <n v="153806"/>
    <n v="160648"/>
  </r>
  <r>
    <x v="9"/>
    <x v="44"/>
    <s v="Non-credit continuing education"/>
    <m/>
    <n v="198987"/>
    <x v="7"/>
    <m/>
    <m/>
    <n v="779893"/>
    <n v="916374"/>
    <m/>
    <m/>
    <n v="136193"/>
    <m/>
    <n v="136193"/>
    <n v="221825"/>
    <m/>
    <n v="221825"/>
    <n v="916086"/>
    <n v="1138199"/>
    <m/>
    <m/>
    <m/>
    <m/>
    <n v="0"/>
    <m/>
    <m/>
    <n v="0"/>
    <m/>
    <m/>
    <m/>
    <m/>
    <m/>
    <m/>
    <n v="916086"/>
    <n v="1138199"/>
  </r>
  <r>
    <x v="9"/>
    <x v="0"/>
    <s v="Nash Community College"/>
    <m/>
    <n v="199087"/>
    <x v="7"/>
    <n v="9638112"/>
    <n v="10001186"/>
    <m/>
    <m/>
    <n v="1675180"/>
    <n v="1675180"/>
    <n v="2450470"/>
    <m/>
    <n v="2450470"/>
    <n v="3336205"/>
    <m/>
    <n v="3336205"/>
    <n v="13763762"/>
    <n v="15012571"/>
    <m/>
    <m/>
    <m/>
    <m/>
    <n v="0"/>
    <m/>
    <m/>
    <n v="0"/>
    <m/>
    <m/>
    <m/>
    <m/>
    <m/>
    <m/>
    <n v="13763762"/>
    <n v="15012571"/>
  </r>
  <r>
    <x v="9"/>
    <x v="0"/>
    <s v="Nursing / allied health supplement"/>
    <m/>
    <n v="199087"/>
    <x v="7"/>
    <m/>
    <m/>
    <n v="114130"/>
    <n v="94647"/>
    <m/>
    <m/>
    <m/>
    <m/>
    <n v="0"/>
    <m/>
    <m/>
    <n v="0"/>
    <n v="114130"/>
    <n v="94647"/>
    <m/>
    <m/>
    <m/>
    <m/>
    <n v="0"/>
    <m/>
    <m/>
    <n v="0"/>
    <m/>
    <m/>
    <m/>
    <m/>
    <m/>
    <m/>
    <n v="114130"/>
    <n v="94647"/>
  </r>
  <r>
    <x v="9"/>
    <x v="3"/>
    <s v="Community or public service units"/>
    <m/>
    <n v="199087"/>
    <x v="7"/>
    <m/>
    <m/>
    <n v="138506"/>
    <n v="157689"/>
    <m/>
    <m/>
    <m/>
    <m/>
    <n v="0"/>
    <m/>
    <m/>
    <n v="0"/>
    <n v="138506"/>
    <n v="157689"/>
    <m/>
    <m/>
    <m/>
    <m/>
    <n v="0"/>
    <m/>
    <m/>
    <n v="0"/>
    <m/>
    <m/>
    <m/>
    <m/>
    <m/>
    <m/>
    <n v="138506"/>
    <n v="157689"/>
  </r>
  <r>
    <x v="9"/>
    <x v="44"/>
    <s v="Non-credit continuing education"/>
    <m/>
    <n v="199087"/>
    <x v="7"/>
    <m/>
    <m/>
    <n v="935027"/>
    <n v="851591"/>
    <m/>
    <m/>
    <n v="120399"/>
    <m/>
    <n v="120399"/>
    <n v="212507"/>
    <m/>
    <n v="212507"/>
    <n v="1055426"/>
    <n v="1064098"/>
    <m/>
    <m/>
    <m/>
    <m/>
    <n v="0"/>
    <m/>
    <m/>
    <n v="0"/>
    <m/>
    <m/>
    <m/>
    <m/>
    <m/>
    <m/>
    <n v="1055426"/>
    <n v="1064098"/>
  </r>
  <r>
    <x v="9"/>
    <x v="0"/>
    <s v="Piedmont Community College"/>
    <s v="Reclassified, meets the criteria for Two-Year 3."/>
    <n v="199324"/>
    <x v="8"/>
    <n v="11587101"/>
    <n v="10960205"/>
    <m/>
    <m/>
    <n v="1218416"/>
    <n v="1216429"/>
    <n v="1887667"/>
    <m/>
    <n v="1887667"/>
    <n v="2554538"/>
    <m/>
    <n v="2554538"/>
    <n v="14693184"/>
    <n v="14731172"/>
    <m/>
    <m/>
    <m/>
    <m/>
    <n v="0"/>
    <m/>
    <m/>
    <n v="0"/>
    <m/>
    <m/>
    <m/>
    <m/>
    <m/>
    <m/>
    <n v="14693184"/>
    <n v="14731172"/>
  </r>
  <r>
    <x v="9"/>
    <x v="0"/>
    <s v="Nursing / allied health supplement"/>
    <m/>
    <n v="199324"/>
    <x v="8"/>
    <m/>
    <m/>
    <n v="60294"/>
    <n v="69666"/>
    <m/>
    <m/>
    <m/>
    <m/>
    <n v="0"/>
    <m/>
    <m/>
    <n v="0"/>
    <n v="60294"/>
    <n v="69666"/>
    <m/>
    <m/>
    <m/>
    <m/>
    <n v="0"/>
    <m/>
    <m/>
    <n v="0"/>
    <m/>
    <m/>
    <m/>
    <m/>
    <m/>
    <m/>
    <n v="60294"/>
    <n v="69666"/>
  </r>
  <r>
    <x v="9"/>
    <x v="3"/>
    <s v="Community or public service units"/>
    <m/>
    <n v="199324"/>
    <x v="8"/>
    <m/>
    <m/>
    <n v="138806"/>
    <n v="146327"/>
    <m/>
    <m/>
    <m/>
    <m/>
    <n v="0"/>
    <m/>
    <m/>
    <n v="0"/>
    <n v="138806"/>
    <n v="146327"/>
    <m/>
    <m/>
    <m/>
    <m/>
    <n v="0"/>
    <m/>
    <m/>
    <n v="0"/>
    <m/>
    <m/>
    <m/>
    <m/>
    <m/>
    <m/>
    <n v="138806"/>
    <n v="146327"/>
  </r>
  <r>
    <x v="9"/>
    <x v="44"/>
    <s v="Non-credit continuing education"/>
    <m/>
    <n v="199324"/>
    <x v="8"/>
    <m/>
    <m/>
    <n v="719343"/>
    <n v="798609"/>
    <m/>
    <m/>
    <n v="125591"/>
    <m/>
    <n v="125591"/>
    <n v="226956"/>
    <m/>
    <n v="226956"/>
    <n v="844934"/>
    <n v="1025565"/>
    <m/>
    <m/>
    <m/>
    <m/>
    <n v="0"/>
    <m/>
    <m/>
    <n v="0"/>
    <m/>
    <m/>
    <m/>
    <m/>
    <m/>
    <m/>
    <n v="844934"/>
    <n v="1025565"/>
  </r>
  <r>
    <x v="9"/>
    <x v="0"/>
    <s v="Randolph Community College"/>
    <m/>
    <n v="199421"/>
    <x v="7"/>
    <n v="9324008"/>
    <n v="10351636"/>
    <m/>
    <m/>
    <n v="2315000"/>
    <n v="2308000"/>
    <n v="2447519"/>
    <m/>
    <n v="2447519"/>
    <n v="3426687"/>
    <m/>
    <n v="3426687"/>
    <n v="14086527"/>
    <n v="16086323"/>
    <m/>
    <m/>
    <m/>
    <m/>
    <n v="0"/>
    <m/>
    <m/>
    <n v="0"/>
    <m/>
    <m/>
    <m/>
    <m/>
    <m/>
    <m/>
    <n v="14086527"/>
    <n v="16086323"/>
  </r>
  <r>
    <x v="9"/>
    <x v="0"/>
    <s v="Nursing / allied health supplement"/>
    <m/>
    <n v="199421"/>
    <x v="7"/>
    <m/>
    <m/>
    <n v="62896"/>
    <n v="49814"/>
    <m/>
    <m/>
    <m/>
    <m/>
    <n v="0"/>
    <m/>
    <m/>
    <n v="0"/>
    <n v="62896"/>
    <n v="49814"/>
    <m/>
    <m/>
    <m/>
    <m/>
    <n v="0"/>
    <m/>
    <m/>
    <n v="0"/>
    <m/>
    <m/>
    <m/>
    <m/>
    <m/>
    <m/>
    <n v="62896"/>
    <n v="49814"/>
  </r>
  <r>
    <x v="9"/>
    <x v="3"/>
    <s v="Community or public service units"/>
    <m/>
    <n v="199421"/>
    <x v="7"/>
    <m/>
    <m/>
    <n v="157506"/>
    <n v="167173"/>
    <m/>
    <m/>
    <m/>
    <m/>
    <n v="0"/>
    <m/>
    <m/>
    <n v="0"/>
    <n v="157506"/>
    <n v="167173"/>
    <m/>
    <m/>
    <m/>
    <m/>
    <n v="0"/>
    <m/>
    <m/>
    <n v="0"/>
    <m/>
    <m/>
    <m/>
    <m/>
    <m/>
    <m/>
    <n v="157506"/>
    <n v="167173"/>
  </r>
  <r>
    <x v="9"/>
    <x v="44"/>
    <s v="Non-credit continuing education"/>
    <m/>
    <n v="199421"/>
    <x v="7"/>
    <m/>
    <m/>
    <n v="891893"/>
    <n v="896076"/>
    <m/>
    <m/>
    <n v="213933"/>
    <m/>
    <n v="213933"/>
    <n v="360685"/>
    <m/>
    <n v="360685"/>
    <n v="1105826"/>
    <n v="1256761"/>
    <m/>
    <m/>
    <m/>
    <m/>
    <n v="0"/>
    <m/>
    <m/>
    <n v="0"/>
    <m/>
    <m/>
    <m/>
    <m/>
    <m/>
    <m/>
    <n v="1105826"/>
    <n v="1256761"/>
  </r>
  <r>
    <x v="9"/>
    <x v="0"/>
    <s v="Richmond Community College"/>
    <s v="Reclassified, meets the criteria for Two-Year 3."/>
    <n v="199449"/>
    <x v="8"/>
    <n v="8628222"/>
    <n v="8452422"/>
    <m/>
    <m/>
    <n v="1172645"/>
    <n v="1172645"/>
    <n v="1624070"/>
    <m/>
    <n v="1624070"/>
    <n v="2338662"/>
    <m/>
    <n v="2338662"/>
    <n v="11424937"/>
    <n v="11963729"/>
    <m/>
    <m/>
    <m/>
    <m/>
    <n v="0"/>
    <m/>
    <m/>
    <n v="0"/>
    <m/>
    <m/>
    <m/>
    <m/>
    <m/>
    <m/>
    <n v="11424937"/>
    <n v="11963729"/>
  </r>
  <r>
    <x v="9"/>
    <x v="0"/>
    <s v="Nursing / allied health supplement"/>
    <m/>
    <n v="199449"/>
    <x v="8"/>
    <m/>
    <m/>
    <n v="167171"/>
    <n v="159930"/>
    <m/>
    <m/>
    <m/>
    <m/>
    <n v="0"/>
    <m/>
    <m/>
    <n v="0"/>
    <n v="167171"/>
    <n v="159930"/>
    <m/>
    <m/>
    <m/>
    <m/>
    <n v="0"/>
    <m/>
    <m/>
    <n v="0"/>
    <m/>
    <m/>
    <m/>
    <m/>
    <m/>
    <m/>
    <n v="167171"/>
    <n v="159930"/>
  </r>
  <r>
    <x v="9"/>
    <x v="3"/>
    <s v="Community or public service units"/>
    <m/>
    <n v="199449"/>
    <x v="8"/>
    <m/>
    <m/>
    <n v="137406"/>
    <n v="149434"/>
    <m/>
    <m/>
    <m/>
    <m/>
    <n v="0"/>
    <m/>
    <m/>
    <n v="0"/>
    <n v="137406"/>
    <n v="149434"/>
    <m/>
    <m/>
    <m/>
    <m/>
    <n v="0"/>
    <m/>
    <m/>
    <n v="0"/>
    <m/>
    <m/>
    <m/>
    <m/>
    <m/>
    <m/>
    <n v="137406"/>
    <n v="149434"/>
  </r>
  <r>
    <x v="9"/>
    <x v="44"/>
    <s v="Non-credit continuing education"/>
    <m/>
    <n v="199449"/>
    <x v="8"/>
    <m/>
    <m/>
    <n v="740394"/>
    <n v="744277"/>
    <m/>
    <m/>
    <n v="60070"/>
    <m/>
    <n v="60070"/>
    <n v="103444"/>
    <m/>
    <n v="103444"/>
    <n v="800464"/>
    <n v="847721"/>
    <m/>
    <m/>
    <m/>
    <m/>
    <n v="0"/>
    <m/>
    <m/>
    <n v="0"/>
    <m/>
    <m/>
    <m/>
    <m/>
    <m/>
    <m/>
    <n v="800464"/>
    <n v="847721"/>
  </r>
  <r>
    <x v="9"/>
    <x v="0"/>
    <s v="Robeson Community College"/>
    <m/>
    <n v="199476"/>
    <x v="7"/>
    <n v="13883352"/>
    <n v="13899252"/>
    <m/>
    <m/>
    <n v="1900000"/>
    <n v="1900000"/>
    <n v="2566330"/>
    <m/>
    <n v="2566330"/>
    <n v="3144069"/>
    <m/>
    <n v="3144069"/>
    <n v="18349682"/>
    <n v="18943321"/>
    <m/>
    <m/>
    <m/>
    <m/>
    <n v="0"/>
    <m/>
    <m/>
    <n v="0"/>
    <m/>
    <m/>
    <m/>
    <m/>
    <m/>
    <m/>
    <n v="18349682"/>
    <n v="18943321"/>
  </r>
  <r>
    <x v="9"/>
    <x v="0"/>
    <s v="Nursing / allied health supplement"/>
    <m/>
    <n v="199476"/>
    <x v="7"/>
    <m/>
    <m/>
    <n v="93779"/>
    <n v="77253"/>
    <m/>
    <m/>
    <m/>
    <m/>
    <n v="0"/>
    <m/>
    <m/>
    <n v="0"/>
    <n v="93779"/>
    <n v="77253"/>
    <m/>
    <m/>
    <m/>
    <m/>
    <n v="0"/>
    <m/>
    <m/>
    <n v="0"/>
    <m/>
    <m/>
    <m/>
    <m/>
    <m/>
    <m/>
    <n v="93779"/>
    <n v="77253"/>
  </r>
  <r>
    <x v="9"/>
    <x v="3"/>
    <s v="Community or public service units"/>
    <m/>
    <n v="199476"/>
    <x v="7"/>
    <m/>
    <m/>
    <n v="143306"/>
    <n v="152165"/>
    <m/>
    <m/>
    <m/>
    <m/>
    <n v="0"/>
    <m/>
    <m/>
    <n v="0"/>
    <n v="143306"/>
    <n v="152165"/>
    <m/>
    <m/>
    <m/>
    <m/>
    <n v="0"/>
    <m/>
    <m/>
    <n v="0"/>
    <m/>
    <m/>
    <m/>
    <m/>
    <m/>
    <m/>
    <n v="143306"/>
    <n v="152165"/>
  </r>
  <r>
    <x v="9"/>
    <x v="44"/>
    <s v="Non-credit continuing education"/>
    <m/>
    <n v="199476"/>
    <x v="7"/>
    <m/>
    <m/>
    <n v="1633760"/>
    <n v="1463676"/>
    <m/>
    <m/>
    <n v="131091"/>
    <m/>
    <n v="131091"/>
    <n v="211585"/>
    <m/>
    <n v="211585"/>
    <n v="1764851"/>
    <n v="1675261"/>
    <m/>
    <m/>
    <m/>
    <m/>
    <n v="0"/>
    <m/>
    <m/>
    <n v="0"/>
    <m/>
    <m/>
    <m/>
    <m/>
    <m/>
    <m/>
    <n v="1764851"/>
    <n v="1675261"/>
  </r>
  <r>
    <x v="9"/>
    <x v="0"/>
    <s v="Rockingham Community College "/>
    <s v="Reclassified, meets the criteria for Two-Year 3."/>
    <n v="199485"/>
    <x v="8"/>
    <n v="7651927"/>
    <n v="8417369"/>
    <m/>
    <m/>
    <n v="2244378"/>
    <n v="2359880"/>
    <n v="2335609"/>
    <m/>
    <n v="2335609"/>
    <n v="3083740"/>
    <m/>
    <n v="3083740"/>
    <n v="12231914"/>
    <n v="13860989"/>
    <m/>
    <m/>
    <m/>
    <m/>
    <n v="0"/>
    <m/>
    <m/>
    <n v="0"/>
    <m/>
    <m/>
    <m/>
    <m/>
    <m/>
    <m/>
    <n v="12231914"/>
    <n v="13860989"/>
  </r>
  <r>
    <x v="9"/>
    <x v="0"/>
    <s v="Nursing / allied health supplement"/>
    <m/>
    <n v="199485"/>
    <x v="8"/>
    <m/>
    <m/>
    <n v="121994"/>
    <n v="102111"/>
    <m/>
    <m/>
    <m/>
    <m/>
    <n v="0"/>
    <m/>
    <m/>
    <n v="0"/>
    <n v="121994"/>
    <n v="102111"/>
    <m/>
    <m/>
    <m/>
    <m/>
    <n v="0"/>
    <m/>
    <m/>
    <n v="0"/>
    <m/>
    <m/>
    <m/>
    <m/>
    <m/>
    <m/>
    <n v="121994"/>
    <n v="102111"/>
  </r>
  <r>
    <x v="9"/>
    <x v="3"/>
    <s v="Community or public service units"/>
    <m/>
    <n v="199485"/>
    <x v="8"/>
    <m/>
    <m/>
    <n v="142306"/>
    <n v="149206"/>
    <m/>
    <m/>
    <m/>
    <m/>
    <n v="0"/>
    <m/>
    <m/>
    <n v="0"/>
    <n v="142306"/>
    <n v="149206"/>
    <m/>
    <m/>
    <m/>
    <m/>
    <n v="0"/>
    <m/>
    <m/>
    <n v="0"/>
    <m/>
    <m/>
    <m/>
    <m/>
    <m/>
    <m/>
    <n v="142306"/>
    <n v="149206"/>
  </r>
  <r>
    <x v="9"/>
    <x v="44"/>
    <s v="Non-credit continuing education"/>
    <m/>
    <n v="199485"/>
    <x v="8"/>
    <m/>
    <m/>
    <n v="774093"/>
    <n v="784635"/>
    <m/>
    <m/>
    <n v="139028"/>
    <m/>
    <n v="139028"/>
    <n v="175720"/>
    <m/>
    <n v="175720"/>
    <n v="913121"/>
    <n v="960355"/>
    <m/>
    <m/>
    <m/>
    <m/>
    <n v="0"/>
    <m/>
    <m/>
    <n v="0"/>
    <m/>
    <m/>
    <m/>
    <m/>
    <m/>
    <m/>
    <n v="913121"/>
    <n v="960355"/>
  </r>
  <r>
    <x v="9"/>
    <x v="0"/>
    <s v="Sandhills Community College "/>
    <m/>
    <n v="199634"/>
    <x v="7"/>
    <n v="14212853"/>
    <n v="14220826"/>
    <m/>
    <m/>
    <n v="4529021"/>
    <n v="4444237"/>
    <n v="3827916"/>
    <m/>
    <n v="3827916"/>
    <n v="4877203"/>
    <m/>
    <n v="4877203"/>
    <n v="22569790"/>
    <n v="23542266"/>
    <m/>
    <m/>
    <m/>
    <m/>
    <n v="0"/>
    <m/>
    <m/>
    <n v="0"/>
    <m/>
    <m/>
    <m/>
    <m/>
    <m/>
    <m/>
    <n v="22569790"/>
    <n v="23542266"/>
  </r>
  <r>
    <x v="9"/>
    <x v="0"/>
    <s v="Nursing / allied health supplement"/>
    <m/>
    <n v="199634"/>
    <x v="7"/>
    <m/>
    <m/>
    <n v="490064"/>
    <n v="509743"/>
    <m/>
    <m/>
    <m/>
    <m/>
    <n v="0"/>
    <m/>
    <m/>
    <n v="0"/>
    <n v="490064"/>
    <n v="509743"/>
    <m/>
    <m/>
    <m/>
    <m/>
    <n v="0"/>
    <m/>
    <m/>
    <n v="0"/>
    <m/>
    <m/>
    <m/>
    <m/>
    <m/>
    <m/>
    <n v="490064"/>
    <n v="509743"/>
  </r>
  <r>
    <x v="9"/>
    <x v="3"/>
    <s v="Community or public service units"/>
    <m/>
    <n v="199634"/>
    <x v="7"/>
    <m/>
    <m/>
    <n v="142906"/>
    <n v="150269"/>
    <m/>
    <m/>
    <m/>
    <m/>
    <n v="0"/>
    <m/>
    <m/>
    <n v="0"/>
    <n v="142906"/>
    <n v="150269"/>
    <m/>
    <m/>
    <m/>
    <m/>
    <n v="0"/>
    <m/>
    <m/>
    <n v="0"/>
    <m/>
    <m/>
    <m/>
    <m/>
    <m/>
    <m/>
    <n v="142906"/>
    <n v="150269"/>
  </r>
  <r>
    <x v="9"/>
    <x v="44"/>
    <s v="Non-credit continuing education"/>
    <m/>
    <n v="199634"/>
    <x v="7"/>
    <m/>
    <m/>
    <n v="905133"/>
    <n v="768237"/>
    <m/>
    <m/>
    <n v="96929"/>
    <m/>
    <n v="96929"/>
    <n v="150622"/>
    <m/>
    <n v="150622"/>
    <n v="1002062"/>
    <n v="918859"/>
    <m/>
    <m/>
    <m/>
    <m/>
    <n v="0"/>
    <m/>
    <m/>
    <n v="0"/>
    <m/>
    <m/>
    <m/>
    <m/>
    <m/>
    <m/>
    <n v="1002062"/>
    <n v="918859"/>
  </r>
  <r>
    <x v="9"/>
    <x v="0"/>
    <s v="South Piedmont Community College"/>
    <s v="Reclassified, meets the criteria for Two-Year 3."/>
    <n v="197850"/>
    <x v="8"/>
    <n v="9308073"/>
    <n v="10028170"/>
    <m/>
    <m/>
    <n v="1672463"/>
    <n v="1660629"/>
    <n v="1971265"/>
    <m/>
    <n v="1971265"/>
    <n v="2542686"/>
    <m/>
    <n v="2542686"/>
    <n v="12951801"/>
    <n v="14231485"/>
    <m/>
    <m/>
    <m/>
    <m/>
    <n v="0"/>
    <m/>
    <m/>
    <n v="0"/>
    <m/>
    <m/>
    <m/>
    <m/>
    <m/>
    <m/>
    <n v="12951801"/>
    <n v="14231485"/>
  </r>
  <r>
    <x v="9"/>
    <x v="0"/>
    <s v="Nursing / allied health supplement"/>
    <m/>
    <n v="197850"/>
    <x v="8"/>
    <m/>
    <m/>
    <n v="142596"/>
    <n v="135900"/>
    <m/>
    <m/>
    <m/>
    <m/>
    <n v="0"/>
    <m/>
    <m/>
    <n v="0"/>
    <n v="142596"/>
    <n v="135900"/>
    <m/>
    <m/>
    <m/>
    <m/>
    <n v="0"/>
    <m/>
    <m/>
    <n v="0"/>
    <m/>
    <m/>
    <m/>
    <m/>
    <m/>
    <m/>
    <n v="142596"/>
    <n v="135900"/>
  </r>
  <r>
    <x v="9"/>
    <x v="3"/>
    <s v="Community or public service units"/>
    <m/>
    <n v="197850"/>
    <x v="8"/>
    <m/>
    <m/>
    <n v="151306"/>
    <n v="157234"/>
    <m/>
    <m/>
    <m/>
    <m/>
    <n v="0"/>
    <m/>
    <m/>
    <n v="0"/>
    <n v="151306"/>
    <n v="157234"/>
    <m/>
    <m/>
    <m/>
    <m/>
    <n v="0"/>
    <m/>
    <m/>
    <n v="0"/>
    <m/>
    <m/>
    <m/>
    <m/>
    <m/>
    <m/>
    <n v="151306"/>
    <n v="157234"/>
  </r>
  <r>
    <x v="9"/>
    <x v="44"/>
    <s v="Non-credit continuing education"/>
    <m/>
    <n v="197850"/>
    <x v="8"/>
    <m/>
    <m/>
    <n v="1432645"/>
    <n v="1346453"/>
    <m/>
    <m/>
    <n v="89346"/>
    <m/>
    <n v="89346"/>
    <n v="201503"/>
    <m/>
    <n v="201503"/>
    <n v="1521991"/>
    <n v="1547956"/>
    <m/>
    <m/>
    <m/>
    <m/>
    <n v="0"/>
    <m/>
    <m/>
    <n v="0"/>
    <m/>
    <m/>
    <m/>
    <m/>
    <m/>
    <m/>
    <n v="1521991"/>
    <n v="1547956"/>
  </r>
  <r>
    <x v="9"/>
    <x v="0"/>
    <s v="Southeastern Community College "/>
    <s v="Reclassified, meets the criteria for Two-Year 3."/>
    <n v="199722"/>
    <x v="8"/>
    <n v="9693171"/>
    <n v="9851608"/>
    <m/>
    <m/>
    <n v="1115426"/>
    <n v="1148889"/>
    <n v="2000485"/>
    <m/>
    <n v="2000485"/>
    <n v="2700885"/>
    <m/>
    <n v="2700885"/>
    <n v="12809082"/>
    <n v="13701382"/>
    <m/>
    <m/>
    <m/>
    <m/>
    <n v="0"/>
    <m/>
    <m/>
    <n v="0"/>
    <m/>
    <m/>
    <m/>
    <m/>
    <m/>
    <m/>
    <n v="12809082"/>
    <n v="13701382"/>
  </r>
  <r>
    <x v="9"/>
    <x v="0"/>
    <s v="Nursing / allied health supplement"/>
    <m/>
    <n v="199722"/>
    <x v="8"/>
    <m/>
    <m/>
    <n v="149807"/>
    <n v="136237"/>
    <m/>
    <m/>
    <m/>
    <m/>
    <n v="0"/>
    <m/>
    <m/>
    <n v="0"/>
    <n v="149807"/>
    <n v="136237"/>
    <m/>
    <m/>
    <m/>
    <m/>
    <n v="0"/>
    <m/>
    <m/>
    <n v="0"/>
    <m/>
    <m/>
    <m/>
    <m/>
    <m/>
    <m/>
    <n v="149807"/>
    <n v="136237"/>
  </r>
  <r>
    <x v="9"/>
    <x v="3"/>
    <s v="Community or public service units"/>
    <m/>
    <n v="199722"/>
    <x v="8"/>
    <m/>
    <m/>
    <n v="141406"/>
    <n v="150424"/>
    <m/>
    <m/>
    <m/>
    <m/>
    <n v="0"/>
    <m/>
    <m/>
    <n v="0"/>
    <n v="141406"/>
    <n v="150424"/>
    <m/>
    <m/>
    <m/>
    <m/>
    <n v="0"/>
    <m/>
    <m/>
    <n v="0"/>
    <m/>
    <m/>
    <m/>
    <m/>
    <m/>
    <m/>
    <n v="141406"/>
    <n v="150424"/>
  </r>
  <r>
    <x v="9"/>
    <x v="44"/>
    <s v="Non-credit continuing education"/>
    <m/>
    <n v="199722"/>
    <x v="8"/>
    <m/>
    <m/>
    <n v="1124399"/>
    <n v="1038091"/>
    <m/>
    <m/>
    <n v="180060"/>
    <m/>
    <n v="180060"/>
    <n v="233491"/>
    <m/>
    <n v="233491"/>
    <n v="1304459"/>
    <n v="1271582"/>
    <m/>
    <m/>
    <m/>
    <m/>
    <n v="0"/>
    <m/>
    <m/>
    <n v="0"/>
    <m/>
    <m/>
    <m/>
    <m/>
    <m/>
    <m/>
    <n v="1304459"/>
    <n v="1271582"/>
  </r>
  <r>
    <x v="9"/>
    <x v="0"/>
    <s v="Southwestern Community College "/>
    <s v="Reclassified, meets the criteria for Two-Year 3."/>
    <n v="199731"/>
    <x v="8"/>
    <n v="8722715"/>
    <n v="8917828"/>
    <m/>
    <m/>
    <n v="1932407"/>
    <n v="1928097"/>
    <n v="2301895"/>
    <m/>
    <n v="2301895"/>
    <n v="2964089"/>
    <m/>
    <n v="2964089"/>
    <n v="12957017"/>
    <n v="13810014"/>
    <m/>
    <m/>
    <m/>
    <m/>
    <n v="0"/>
    <m/>
    <m/>
    <n v="0"/>
    <m/>
    <m/>
    <m/>
    <m/>
    <m/>
    <m/>
    <n v="12957017"/>
    <n v="13810014"/>
  </r>
  <r>
    <x v="9"/>
    <x v="0"/>
    <s v="Nursing / allied health supplement"/>
    <m/>
    <n v="199731"/>
    <x v="8"/>
    <m/>
    <m/>
    <n v="195456"/>
    <n v="177337"/>
    <m/>
    <m/>
    <m/>
    <m/>
    <n v="0"/>
    <m/>
    <m/>
    <n v="0"/>
    <n v="195456"/>
    <n v="177337"/>
    <m/>
    <m/>
    <m/>
    <m/>
    <n v="0"/>
    <m/>
    <m/>
    <n v="0"/>
    <m/>
    <m/>
    <m/>
    <m/>
    <m/>
    <m/>
    <n v="195456"/>
    <n v="177337"/>
  </r>
  <r>
    <x v="9"/>
    <x v="3"/>
    <s v="Community or public service units"/>
    <m/>
    <n v="199731"/>
    <x v="8"/>
    <m/>
    <m/>
    <n v="138306"/>
    <n v="144734"/>
    <m/>
    <m/>
    <m/>
    <m/>
    <n v="0"/>
    <m/>
    <m/>
    <n v="0"/>
    <n v="138306"/>
    <n v="144734"/>
    <m/>
    <m/>
    <m/>
    <m/>
    <n v="0"/>
    <m/>
    <m/>
    <n v="0"/>
    <m/>
    <m/>
    <m/>
    <m/>
    <m/>
    <m/>
    <n v="138306"/>
    <n v="144734"/>
  </r>
  <r>
    <x v="9"/>
    <x v="44"/>
    <s v="Non-credit continuing education"/>
    <m/>
    <n v="199731"/>
    <x v="8"/>
    <m/>
    <m/>
    <n v="1185827"/>
    <n v="1241096"/>
    <m/>
    <m/>
    <n v="201643"/>
    <m/>
    <n v="201643"/>
    <n v="268214"/>
    <m/>
    <n v="268214"/>
    <n v="1387470"/>
    <n v="1509310"/>
    <m/>
    <m/>
    <m/>
    <m/>
    <n v="0"/>
    <m/>
    <m/>
    <n v="0"/>
    <m/>
    <m/>
    <m/>
    <m/>
    <m/>
    <m/>
    <n v="1387470"/>
    <n v="1509310"/>
  </r>
  <r>
    <x v="9"/>
    <x v="0"/>
    <s v="Stanly Community College"/>
    <m/>
    <n v="199740"/>
    <x v="7"/>
    <n v="9879196"/>
    <n v="10488768"/>
    <m/>
    <m/>
    <n v="1326357"/>
    <n v="1274830"/>
    <n v="2493565"/>
    <m/>
    <n v="2493565"/>
    <n v="3562827"/>
    <m/>
    <n v="3562827"/>
    <n v="13699118"/>
    <n v="15326425"/>
    <m/>
    <m/>
    <m/>
    <m/>
    <n v="0"/>
    <m/>
    <m/>
    <n v="0"/>
    <m/>
    <m/>
    <m/>
    <m/>
    <m/>
    <m/>
    <n v="13699118"/>
    <n v="15326425"/>
  </r>
  <r>
    <x v="9"/>
    <x v="0"/>
    <s v="Nursing / allied health supplement"/>
    <m/>
    <n v="199740"/>
    <x v="7"/>
    <m/>
    <m/>
    <n v="209928"/>
    <n v="206445"/>
    <m/>
    <m/>
    <m/>
    <m/>
    <n v="0"/>
    <m/>
    <m/>
    <n v="0"/>
    <n v="209928"/>
    <n v="206445"/>
    <m/>
    <m/>
    <m/>
    <m/>
    <n v="0"/>
    <m/>
    <m/>
    <n v="0"/>
    <m/>
    <m/>
    <m/>
    <m/>
    <m/>
    <m/>
    <n v="209928"/>
    <n v="206445"/>
  </r>
  <r>
    <x v="9"/>
    <x v="3"/>
    <s v="Community or public service units"/>
    <m/>
    <n v="199740"/>
    <x v="7"/>
    <m/>
    <m/>
    <n v="133206"/>
    <n v="142610"/>
    <m/>
    <m/>
    <m/>
    <m/>
    <n v="0"/>
    <m/>
    <m/>
    <n v="0"/>
    <n v="133206"/>
    <n v="142610"/>
    <m/>
    <m/>
    <m/>
    <m/>
    <n v="0"/>
    <m/>
    <m/>
    <n v="0"/>
    <m/>
    <m/>
    <m/>
    <m/>
    <m/>
    <m/>
    <n v="133206"/>
    <n v="142610"/>
  </r>
  <r>
    <x v="9"/>
    <x v="44"/>
    <s v="Non-credit continuing education"/>
    <m/>
    <n v="199740"/>
    <x v="7"/>
    <m/>
    <m/>
    <n v="1018651"/>
    <n v="672005"/>
    <m/>
    <m/>
    <n v="164256"/>
    <m/>
    <n v="164256"/>
    <n v="448410"/>
    <m/>
    <n v="448410"/>
    <n v="1182907"/>
    <n v="1120415"/>
    <m/>
    <m/>
    <m/>
    <m/>
    <n v="0"/>
    <m/>
    <m/>
    <n v="0"/>
    <m/>
    <m/>
    <m/>
    <m/>
    <m/>
    <m/>
    <n v="1182907"/>
    <n v="1120415"/>
  </r>
  <r>
    <x v="9"/>
    <x v="0"/>
    <s v="Surry Community College "/>
    <m/>
    <n v="199768"/>
    <x v="7"/>
    <n v="12158138"/>
    <n v="11953476"/>
    <m/>
    <m/>
    <n v="2503797"/>
    <n v="2563817"/>
    <n v="3194960"/>
    <m/>
    <n v="3194960"/>
    <n v="3878296"/>
    <m/>
    <n v="3878296"/>
    <n v="17856895"/>
    <n v="18395589"/>
    <m/>
    <m/>
    <m/>
    <m/>
    <n v="0"/>
    <m/>
    <m/>
    <n v="0"/>
    <m/>
    <m/>
    <m/>
    <m/>
    <m/>
    <m/>
    <n v="17856895"/>
    <n v="18395589"/>
  </r>
  <r>
    <x v="9"/>
    <x v="0"/>
    <s v="Nursing / allied health supplement"/>
    <m/>
    <n v="199768"/>
    <x v="7"/>
    <m/>
    <m/>
    <n v="149994"/>
    <n v="132038"/>
    <m/>
    <m/>
    <m/>
    <m/>
    <n v="0"/>
    <m/>
    <m/>
    <n v="0"/>
    <n v="149994"/>
    <n v="132038"/>
    <m/>
    <m/>
    <m/>
    <m/>
    <n v="0"/>
    <m/>
    <m/>
    <n v="0"/>
    <m/>
    <m/>
    <m/>
    <m/>
    <m/>
    <m/>
    <n v="149994"/>
    <n v="132038"/>
  </r>
  <r>
    <x v="9"/>
    <x v="3"/>
    <s v="Community or public service units"/>
    <m/>
    <n v="199768"/>
    <x v="7"/>
    <m/>
    <m/>
    <n v="139506"/>
    <n v="145565"/>
    <m/>
    <m/>
    <m/>
    <m/>
    <n v="0"/>
    <m/>
    <m/>
    <n v="0"/>
    <n v="139506"/>
    <n v="145565"/>
    <m/>
    <m/>
    <m/>
    <m/>
    <n v="0"/>
    <m/>
    <m/>
    <n v="0"/>
    <m/>
    <m/>
    <m/>
    <m/>
    <m/>
    <m/>
    <n v="139506"/>
    <n v="145565"/>
  </r>
  <r>
    <x v="9"/>
    <x v="44"/>
    <s v="Non-credit continuing education"/>
    <m/>
    <n v="199768"/>
    <x v="7"/>
    <m/>
    <m/>
    <n v="1276280"/>
    <n v="1216234"/>
    <m/>
    <m/>
    <n v="155660"/>
    <m/>
    <n v="155660"/>
    <n v="304442"/>
    <m/>
    <n v="304442"/>
    <n v="1431940"/>
    <n v="1520676"/>
    <m/>
    <m/>
    <m/>
    <m/>
    <n v="0"/>
    <m/>
    <m/>
    <n v="0"/>
    <m/>
    <m/>
    <m/>
    <m/>
    <m/>
    <m/>
    <n v="1431940"/>
    <n v="1520676"/>
  </r>
  <r>
    <x v="9"/>
    <x v="0"/>
    <s v="Vance-Granville Community College "/>
    <m/>
    <n v="199838"/>
    <x v="7"/>
    <n v="16814738"/>
    <n v="15430288"/>
    <m/>
    <m/>
    <n v="2030010"/>
    <n v="2052220"/>
    <n v="3786644"/>
    <m/>
    <n v="3786644"/>
    <n v="4325631"/>
    <m/>
    <n v="4325631"/>
    <n v="22631392"/>
    <n v="21808139"/>
    <m/>
    <m/>
    <m/>
    <m/>
    <n v="0"/>
    <m/>
    <m/>
    <n v="0"/>
    <m/>
    <m/>
    <m/>
    <m/>
    <m/>
    <m/>
    <n v="22631392"/>
    <n v="21808139"/>
  </r>
  <r>
    <x v="9"/>
    <x v="0"/>
    <s v="Nursing / allied health supplement"/>
    <m/>
    <n v="199838"/>
    <x v="7"/>
    <m/>
    <m/>
    <n v="226605"/>
    <n v="210870"/>
    <m/>
    <m/>
    <m/>
    <m/>
    <n v="0"/>
    <m/>
    <m/>
    <n v="0"/>
    <n v="226605"/>
    <n v="210870"/>
    <m/>
    <m/>
    <m/>
    <m/>
    <n v="0"/>
    <m/>
    <m/>
    <n v="0"/>
    <m/>
    <m/>
    <m/>
    <m/>
    <m/>
    <m/>
    <n v="226605"/>
    <n v="210870"/>
  </r>
  <r>
    <x v="9"/>
    <x v="3"/>
    <s v="Community or public service units"/>
    <m/>
    <n v="199838"/>
    <x v="7"/>
    <m/>
    <m/>
    <n v="152206"/>
    <n v="161331"/>
    <m/>
    <m/>
    <m/>
    <m/>
    <n v="0"/>
    <m/>
    <m/>
    <n v="0"/>
    <n v="152206"/>
    <n v="161331"/>
    <m/>
    <m/>
    <m/>
    <m/>
    <n v="0"/>
    <m/>
    <m/>
    <n v="0"/>
    <m/>
    <m/>
    <m/>
    <m/>
    <m/>
    <m/>
    <n v="152206"/>
    <n v="161331"/>
  </r>
  <r>
    <x v="9"/>
    <x v="44"/>
    <s v="Non-credit continuing education"/>
    <m/>
    <n v="199838"/>
    <x v="7"/>
    <m/>
    <m/>
    <n v="1784848"/>
    <n v="1419505"/>
    <m/>
    <m/>
    <n v="240211"/>
    <m/>
    <n v="240211"/>
    <n v="355782"/>
    <m/>
    <n v="355782"/>
    <n v="2025059"/>
    <n v="1775287"/>
    <m/>
    <m/>
    <m/>
    <m/>
    <n v="0"/>
    <m/>
    <m/>
    <n v="0"/>
    <m/>
    <m/>
    <m/>
    <m/>
    <m/>
    <m/>
    <n v="2025059"/>
    <n v="1775287"/>
  </r>
  <r>
    <x v="9"/>
    <x v="0"/>
    <s v="Wayne Community College"/>
    <m/>
    <n v="199892"/>
    <x v="7"/>
    <n v="12317250"/>
    <n v="12884326"/>
    <m/>
    <m/>
    <n v="3028684"/>
    <n v="3028684"/>
    <n v="3509510"/>
    <m/>
    <n v="3509510"/>
    <n v="4454885"/>
    <m/>
    <n v="4454885"/>
    <n v="18855444"/>
    <n v="20367895"/>
    <m/>
    <m/>
    <m/>
    <m/>
    <n v="0"/>
    <m/>
    <m/>
    <n v="0"/>
    <m/>
    <m/>
    <m/>
    <m/>
    <m/>
    <m/>
    <n v="18855444"/>
    <n v="20367895"/>
  </r>
  <r>
    <x v="9"/>
    <x v="0"/>
    <s v="Nursing / allied health supplement"/>
    <m/>
    <n v="199892"/>
    <x v="7"/>
    <m/>
    <m/>
    <n v="162321"/>
    <n v="156486"/>
    <m/>
    <m/>
    <m/>
    <m/>
    <n v="0"/>
    <m/>
    <m/>
    <n v="0"/>
    <n v="162321"/>
    <n v="156486"/>
    <m/>
    <m/>
    <m/>
    <m/>
    <n v="0"/>
    <m/>
    <m/>
    <n v="0"/>
    <m/>
    <m/>
    <m/>
    <m/>
    <m/>
    <m/>
    <n v="162321"/>
    <n v="156486"/>
  </r>
  <r>
    <x v="9"/>
    <x v="3"/>
    <s v="Community or public service units"/>
    <m/>
    <n v="199892"/>
    <x v="7"/>
    <m/>
    <m/>
    <n v="145906"/>
    <n v="153152"/>
    <m/>
    <m/>
    <m/>
    <m/>
    <n v="0"/>
    <m/>
    <m/>
    <n v="0"/>
    <n v="145906"/>
    <n v="153152"/>
    <m/>
    <m/>
    <m/>
    <m/>
    <n v="0"/>
    <m/>
    <m/>
    <n v="0"/>
    <m/>
    <m/>
    <m/>
    <m/>
    <m/>
    <m/>
    <n v="145906"/>
    <n v="153152"/>
  </r>
  <r>
    <x v="9"/>
    <x v="44"/>
    <s v="Non-credit continuing education"/>
    <m/>
    <n v="199892"/>
    <x v="7"/>
    <m/>
    <m/>
    <n v="1474470"/>
    <n v="1285186"/>
    <m/>
    <m/>
    <n v="163995"/>
    <m/>
    <n v="163995"/>
    <n v="301416"/>
    <m/>
    <n v="301416"/>
    <n v="1638465"/>
    <n v="1586602"/>
    <m/>
    <m/>
    <m/>
    <m/>
    <n v="0"/>
    <m/>
    <m/>
    <n v="0"/>
    <m/>
    <m/>
    <m/>
    <m/>
    <m/>
    <m/>
    <n v="1638465"/>
    <n v="1586602"/>
  </r>
  <r>
    <x v="9"/>
    <x v="0"/>
    <s v="Western Piedmont Community College "/>
    <m/>
    <n v="199908"/>
    <x v="7"/>
    <n v="12196647"/>
    <n v="12917961"/>
    <m/>
    <m/>
    <n v="2225000"/>
    <n v="2309825"/>
    <n v="2813294"/>
    <m/>
    <n v="2813294"/>
    <n v="3928440"/>
    <m/>
    <n v="3928440"/>
    <n v="17234941"/>
    <n v="19156226"/>
    <m/>
    <m/>
    <m/>
    <m/>
    <n v="0"/>
    <m/>
    <m/>
    <n v="0"/>
    <m/>
    <m/>
    <m/>
    <m/>
    <m/>
    <m/>
    <n v="17234941"/>
    <n v="19156226"/>
  </r>
  <r>
    <x v="9"/>
    <x v="0"/>
    <s v="Nursing / allied health supplement"/>
    <m/>
    <n v="199908"/>
    <x v="7"/>
    <m/>
    <m/>
    <n v="166213"/>
    <n v="162055"/>
    <m/>
    <m/>
    <m/>
    <m/>
    <n v="0"/>
    <m/>
    <m/>
    <n v="0"/>
    <n v="166213"/>
    <n v="162055"/>
    <m/>
    <m/>
    <m/>
    <m/>
    <n v="0"/>
    <m/>
    <m/>
    <n v="0"/>
    <m/>
    <m/>
    <m/>
    <m/>
    <m/>
    <m/>
    <n v="166213"/>
    <n v="162055"/>
  </r>
  <r>
    <x v="9"/>
    <x v="3"/>
    <s v="Community or public service units"/>
    <m/>
    <n v="199908"/>
    <x v="7"/>
    <m/>
    <m/>
    <n v="142006"/>
    <n v="150724"/>
    <m/>
    <m/>
    <m/>
    <m/>
    <n v="0"/>
    <m/>
    <m/>
    <n v="0"/>
    <n v="142006"/>
    <n v="150724"/>
    <m/>
    <m/>
    <m/>
    <m/>
    <n v="0"/>
    <m/>
    <m/>
    <n v="0"/>
    <m/>
    <m/>
    <m/>
    <m/>
    <m/>
    <m/>
    <n v="142006"/>
    <n v="150724"/>
  </r>
  <r>
    <x v="9"/>
    <x v="44"/>
    <s v="Non-credit continuing education"/>
    <m/>
    <n v="199908"/>
    <x v="7"/>
    <m/>
    <m/>
    <n v="1127424"/>
    <n v="1002925"/>
    <m/>
    <m/>
    <n v="91059"/>
    <m/>
    <n v="91059"/>
    <n v="138238"/>
    <m/>
    <n v="138238"/>
    <n v="1218483"/>
    <n v="1141163"/>
    <m/>
    <m/>
    <m/>
    <m/>
    <n v="0"/>
    <m/>
    <m/>
    <n v="0"/>
    <m/>
    <m/>
    <m/>
    <m/>
    <m/>
    <m/>
    <n v="1218483"/>
    <n v="1141163"/>
  </r>
  <r>
    <x v="9"/>
    <x v="0"/>
    <s v="Wilkes Community College "/>
    <m/>
    <n v="199926"/>
    <x v="7"/>
    <n v="11158721"/>
    <n v="11594615"/>
    <m/>
    <m/>
    <n v="3518931"/>
    <n v="3095129"/>
    <n v="2752742"/>
    <m/>
    <n v="2752742"/>
    <n v="3802106"/>
    <m/>
    <n v="3802106"/>
    <n v="17430394"/>
    <n v="18491850"/>
    <m/>
    <m/>
    <m/>
    <m/>
    <n v="0"/>
    <m/>
    <m/>
    <n v="0"/>
    <m/>
    <m/>
    <m/>
    <m/>
    <m/>
    <m/>
    <n v="17430394"/>
    <n v="18491850"/>
  </r>
  <r>
    <x v="9"/>
    <x v="0"/>
    <s v="Nursing / allied health supplement"/>
    <m/>
    <n v="199926"/>
    <x v="7"/>
    <m/>
    <m/>
    <n v="162704"/>
    <n v="191581"/>
    <m/>
    <m/>
    <m/>
    <m/>
    <n v="0"/>
    <m/>
    <m/>
    <n v="0"/>
    <n v="162704"/>
    <n v="191581"/>
    <m/>
    <m/>
    <m/>
    <m/>
    <n v="0"/>
    <m/>
    <m/>
    <n v="0"/>
    <m/>
    <m/>
    <m/>
    <m/>
    <m/>
    <m/>
    <n v="162704"/>
    <n v="191581"/>
  </r>
  <r>
    <x v="9"/>
    <x v="3"/>
    <s v="Community or public service units"/>
    <m/>
    <n v="199926"/>
    <x v="7"/>
    <m/>
    <m/>
    <n v="139706"/>
    <n v="146779"/>
    <m/>
    <m/>
    <m/>
    <m/>
    <n v="0"/>
    <m/>
    <m/>
    <n v="0"/>
    <n v="139706"/>
    <n v="146779"/>
    <m/>
    <m/>
    <m/>
    <m/>
    <n v="0"/>
    <m/>
    <m/>
    <n v="0"/>
    <m/>
    <m/>
    <m/>
    <m/>
    <m/>
    <m/>
    <n v="139706"/>
    <n v="146779"/>
  </r>
  <r>
    <x v="9"/>
    <x v="44"/>
    <s v="Non-credit continuing education"/>
    <m/>
    <n v="199926"/>
    <x v="7"/>
    <m/>
    <m/>
    <n v="1253336"/>
    <n v="1223952"/>
    <m/>
    <m/>
    <n v="271133"/>
    <m/>
    <n v="271133"/>
    <n v="410390"/>
    <m/>
    <n v="410390"/>
    <n v="1524469"/>
    <n v="1634342"/>
    <m/>
    <m/>
    <m/>
    <m/>
    <n v="0"/>
    <m/>
    <m/>
    <n v="0"/>
    <m/>
    <m/>
    <m/>
    <m/>
    <m/>
    <m/>
    <n v="1524469"/>
    <n v="1634342"/>
  </r>
  <r>
    <x v="9"/>
    <x v="0"/>
    <s v="Wilson Technical Community College"/>
    <s v="Reclassified, meets the criteria for Two-Year 3."/>
    <n v="199953"/>
    <x v="8"/>
    <n v="8080731"/>
    <n v="7839768"/>
    <m/>
    <m/>
    <n v="1767523"/>
    <n v="1714497"/>
    <n v="2094460"/>
    <m/>
    <n v="2094460"/>
    <n v="2925489"/>
    <m/>
    <n v="2925489"/>
    <n v="11942714"/>
    <n v="12479754"/>
    <m/>
    <m/>
    <m/>
    <m/>
    <n v="0"/>
    <m/>
    <m/>
    <n v="0"/>
    <m/>
    <m/>
    <m/>
    <m/>
    <m/>
    <m/>
    <n v="11942714"/>
    <n v="12479754"/>
  </r>
  <r>
    <x v="9"/>
    <x v="0"/>
    <s v="Nursing / allied health supplement"/>
    <m/>
    <n v="199953"/>
    <x v="8"/>
    <m/>
    <m/>
    <n v="103516"/>
    <n v="79023"/>
    <m/>
    <m/>
    <m/>
    <m/>
    <n v="0"/>
    <m/>
    <m/>
    <n v="0"/>
    <n v="103516"/>
    <n v="79023"/>
    <m/>
    <m/>
    <m/>
    <m/>
    <n v="0"/>
    <m/>
    <m/>
    <n v="0"/>
    <m/>
    <m/>
    <m/>
    <m/>
    <m/>
    <m/>
    <n v="103516"/>
    <n v="79023"/>
  </r>
  <r>
    <x v="9"/>
    <x v="3"/>
    <s v="Community or public service units"/>
    <m/>
    <n v="199953"/>
    <x v="8"/>
    <m/>
    <m/>
    <n v="154506"/>
    <n v="154821"/>
    <m/>
    <m/>
    <m/>
    <m/>
    <n v="0"/>
    <m/>
    <m/>
    <n v="0"/>
    <n v="154506"/>
    <n v="154821"/>
    <m/>
    <m/>
    <m/>
    <m/>
    <n v="0"/>
    <m/>
    <m/>
    <n v="0"/>
    <m/>
    <m/>
    <m/>
    <m/>
    <m/>
    <m/>
    <n v="154506"/>
    <n v="154821"/>
  </r>
  <r>
    <x v="9"/>
    <x v="44"/>
    <s v="Non-credit continuing education"/>
    <m/>
    <n v="199953"/>
    <x v="8"/>
    <m/>
    <m/>
    <n v="851092"/>
    <n v="691683"/>
    <m/>
    <m/>
    <n v="177652"/>
    <m/>
    <n v="177652"/>
    <n v="322026"/>
    <m/>
    <n v="322026"/>
    <n v="1028744"/>
    <n v="1013709"/>
    <m/>
    <m/>
    <m/>
    <m/>
    <n v="0"/>
    <m/>
    <m/>
    <n v="0"/>
    <m/>
    <m/>
    <m/>
    <m/>
    <m/>
    <m/>
    <n v="1028744"/>
    <n v="1013709"/>
  </r>
  <r>
    <x v="9"/>
    <x v="0"/>
    <s v="Beaufort County Community College "/>
    <m/>
    <n v="197966"/>
    <x v="8"/>
    <n v="7911575"/>
    <n v="7889894"/>
    <m/>
    <m/>
    <n v="1945038"/>
    <n v="1944245"/>
    <n v="1548976"/>
    <m/>
    <n v="1548976"/>
    <n v="2166221"/>
    <m/>
    <n v="2166221"/>
    <n v="11405589"/>
    <n v="12000360"/>
    <m/>
    <m/>
    <m/>
    <m/>
    <n v="0"/>
    <m/>
    <m/>
    <n v="0"/>
    <m/>
    <m/>
    <m/>
    <m/>
    <m/>
    <m/>
    <n v="11405589"/>
    <n v="12000360"/>
  </r>
  <r>
    <x v="9"/>
    <x v="0"/>
    <s v="Nursing / allied health supplement"/>
    <m/>
    <n v="197966"/>
    <x v="8"/>
    <m/>
    <m/>
    <n v="125013"/>
    <n v="125343"/>
    <m/>
    <m/>
    <m/>
    <m/>
    <n v="0"/>
    <m/>
    <m/>
    <n v="0"/>
    <n v="125013"/>
    <n v="125343"/>
    <m/>
    <m/>
    <m/>
    <m/>
    <n v="0"/>
    <m/>
    <m/>
    <n v="0"/>
    <m/>
    <m/>
    <m/>
    <m/>
    <m/>
    <m/>
    <n v="125013"/>
    <n v="125343"/>
  </r>
  <r>
    <x v="9"/>
    <x v="3"/>
    <s v="Community or public service units"/>
    <m/>
    <n v="197966"/>
    <x v="8"/>
    <m/>
    <m/>
    <n v="136306"/>
    <n v="146858"/>
    <m/>
    <m/>
    <m/>
    <m/>
    <n v="0"/>
    <m/>
    <m/>
    <n v="0"/>
    <n v="136306"/>
    <n v="146858"/>
    <m/>
    <m/>
    <m/>
    <m/>
    <n v="0"/>
    <m/>
    <m/>
    <n v="0"/>
    <m/>
    <m/>
    <m/>
    <m/>
    <m/>
    <m/>
    <n v="136306"/>
    <n v="146858"/>
  </r>
  <r>
    <x v="9"/>
    <x v="44"/>
    <s v="Non-credit continuing education"/>
    <m/>
    <n v="197966"/>
    <x v="8"/>
    <m/>
    <m/>
    <n v="540320"/>
    <n v="473034"/>
    <m/>
    <m/>
    <n v="67439"/>
    <m/>
    <n v="67439"/>
    <n v="125706"/>
    <m/>
    <n v="125706"/>
    <n v="607759"/>
    <n v="598740"/>
    <m/>
    <m/>
    <m/>
    <m/>
    <n v="0"/>
    <m/>
    <m/>
    <n v="0"/>
    <m/>
    <m/>
    <m/>
    <m/>
    <m/>
    <m/>
    <n v="607759"/>
    <n v="598740"/>
  </r>
  <r>
    <x v="9"/>
    <x v="0"/>
    <s v="Bladen Community College"/>
    <m/>
    <n v="198011"/>
    <x v="8"/>
    <n v="6241017"/>
    <n v="6663503"/>
    <m/>
    <m/>
    <n v="798541"/>
    <n v="657956"/>
    <n v="1518891"/>
    <m/>
    <n v="1518891"/>
    <n v="2325782"/>
    <m/>
    <n v="2325782"/>
    <n v="8558449"/>
    <n v="9647241"/>
    <m/>
    <m/>
    <m/>
    <m/>
    <n v="0"/>
    <m/>
    <m/>
    <n v="0"/>
    <m/>
    <m/>
    <m/>
    <m/>
    <m/>
    <m/>
    <n v="8558449"/>
    <n v="9647241"/>
  </r>
  <r>
    <x v="9"/>
    <x v="0"/>
    <s v="Nursing / allied health supplement"/>
    <m/>
    <n v="198011"/>
    <x v="8"/>
    <m/>
    <m/>
    <n v="39107"/>
    <n v="38356"/>
    <m/>
    <m/>
    <m/>
    <m/>
    <n v="0"/>
    <m/>
    <m/>
    <n v="0"/>
    <n v="39107"/>
    <n v="38356"/>
    <m/>
    <m/>
    <m/>
    <m/>
    <n v="0"/>
    <m/>
    <m/>
    <n v="0"/>
    <m/>
    <m/>
    <m/>
    <m/>
    <m/>
    <m/>
    <n v="39107"/>
    <n v="38356"/>
  </r>
  <r>
    <x v="9"/>
    <x v="3"/>
    <s v="Community or public service units"/>
    <m/>
    <n v="198011"/>
    <x v="8"/>
    <m/>
    <m/>
    <n v="135806"/>
    <n v="142530"/>
    <m/>
    <m/>
    <m/>
    <m/>
    <n v="0"/>
    <m/>
    <m/>
    <n v="0"/>
    <n v="135806"/>
    <n v="142530"/>
    <m/>
    <m/>
    <m/>
    <m/>
    <n v="0"/>
    <m/>
    <m/>
    <n v="0"/>
    <m/>
    <m/>
    <m/>
    <m/>
    <m/>
    <m/>
    <n v="135806"/>
    <n v="142530"/>
  </r>
  <r>
    <x v="9"/>
    <x v="44"/>
    <s v="Non-credit continuing education"/>
    <m/>
    <n v="198011"/>
    <x v="8"/>
    <m/>
    <m/>
    <n v="463583"/>
    <n v="428020"/>
    <m/>
    <m/>
    <n v="40413"/>
    <m/>
    <n v="40413"/>
    <n v="120331"/>
    <m/>
    <n v="120331"/>
    <n v="503996"/>
    <n v="548351"/>
    <m/>
    <m/>
    <m/>
    <m/>
    <n v="0"/>
    <m/>
    <m/>
    <n v="0"/>
    <m/>
    <m/>
    <m/>
    <m/>
    <m/>
    <m/>
    <n v="503996"/>
    <n v="548351"/>
  </r>
  <r>
    <x v="9"/>
    <x v="0"/>
    <s v="Brunswick Community College"/>
    <m/>
    <n v="198084"/>
    <x v="8"/>
    <n v="6856979"/>
    <n v="7135532"/>
    <m/>
    <m/>
    <n v="3435831"/>
    <n v="3435831"/>
    <n v="1325808"/>
    <m/>
    <n v="1325808"/>
    <n v="1652352"/>
    <m/>
    <n v="1652352"/>
    <n v="11618618"/>
    <n v="12223715"/>
    <m/>
    <m/>
    <m/>
    <m/>
    <n v="0"/>
    <m/>
    <m/>
    <n v="0"/>
    <m/>
    <m/>
    <m/>
    <m/>
    <m/>
    <m/>
    <n v="11618618"/>
    <n v="12223715"/>
  </r>
  <r>
    <x v="9"/>
    <x v="0"/>
    <s v="Nursing / allied health supplement"/>
    <m/>
    <n v="198084"/>
    <x v="8"/>
    <m/>
    <m/>
    <n v="49280"/>
    <n v="57610"/>
    <m/>
    <m/>
    <m/>
    <m/>
    <n v="0"/>
    <m/>
    <m/>
    <n v="0"/>
    <n v="49280"/>
    <n v="57610"/>
    <m/>
    <m/>
    <m/>
    <m/>
    <n v="0"/>
    <m/>
    <m/>
    <n v="0"/>
    <m/>
    <m/>
    <m/>
    <m/>
    <m/>
    <m/>
    <n v="49280"/>
    <n v="57610"/>
  </r>
  <r>
    <x v="9"/>
    <x v="3"/>
    <s v="Community or public service units"/>
    <m/>
    <n v="198084"/>
    <x v="8"/>
    <m/>
    <m/>
    <n v="133106"/>
    <n v="145720"/>
    <m/>
    <m/>
    <m/>
    <m/>
    <n v="0"/>
    <m/>
    <m/>
    <n v="0"/>
    <n v="133106"/>
    <n v="145720"/>
    <m/>
    <m/>
    <m/>
    <m/>
    <n v="0"/>
    <m/>
    <m/>
    <n v="0"/>
    <m/>
    <m/>
    <m/>
    <m/>
    <m/>
    <m/>
    <n v="133106"/>
    <n v="145720"/>
  </r>
  <r>
    <x v="9"/>
    <x v="44"/>
    <s v="Non-credit continuing education"/>
    <m/>
    <n v="198084"/>
    <x v="8"/>
    <m/>
    <m/>
    <n v="690922"/>
    <n v="818555"/>
    <m/>
    <m/>
    <n v="136224"/>
    <m/>
    <n v="136224"/>
    <n v="156621"/>
    <m/>
    <n v="156621"/>
    <n v="827146"/>
    <n v="975176"/>
    <m/>
    <m/>
    <m/>
    <m/>
    <n v="0"/>
    <m/>
    <m/>
    <n v="0"/>
    <m/>
    <m/>
    <m/>
    <m/>
    <m/>
    <m/>
    <n v="827146"/>
    <n v="975176"/>
  </r>
  <r>
    <x v="9"/>
    <x v="0"/>
    <s v="Carteret Community College"/>
    <m/>
    <n v="198206"/>
    <x v="8"/>
    <n v="6932452"/>
    <n v="7174922"/>
    <m/>
    <m/>
    <n v="2025000"/>
    <n v="2043000"/>
    <n v="1536671"/>
    <m/>
    <n v="1536671"/>
    <n v="2138488"/>
    <m/>
    <n v="2138488"/>
    <n v="10494123"/>
    <n v="11356410"/>
    <m/>
    <m/>
    <m/>
    <m/>
    <n v="0"/>
    <m/>
    <m/>
    <n v="0"/>
    <m/>
    <m/>
    <m/>
    <m/>
    <m/>
    <m/>
    <n v="10494123"/>
    <n v="11356410"/>
  </r>
  <r>
    <x v="9"/>
    <x v="0"/>
    <s v="Nursing / allied health supplement"/>
    <m/>
    <n v="198206"/>
    <x v="8"/>
    <m/>
    <m/>
    <n v="129648"/>
    <n v="124502"/>
    <m/>
    <m/>
    <m/>
    <m/>
    <n v="0"/>
    <m/>
    <m/>
    <n v="0"/>
    <n v="129648"/>
    <n v="124502"/>
    <m/>
    <m/>
    <m/>
    <m/>
    <n v="0"/>
    <m/>
    <m/>
    <n v="0"/>
    <m/>
    <m/>
    <m/>
    <m/>
    <m/>
    <m/>
    <n v="129648"/>
    <n v="124502"/>
  </r>
  <r>
    <x v="9"/>
    <x v="3"/>
    <s v="Community or public service units"/>
    <m/>
    <n v="198206"/>
    <x v="8"/>
    <m/>
    <m/>
    <n v="145506"/>
    <n v="151941"/>
    <m/>
    <m/>
    <m/>
    <m/>
    <n v="0"/>
    <m/>
    <m/>
    <n v="0"/>
    <n v="145506"/>
    <n v="151941"/>
    <m/>
    <m/>
    <m/>
    <m/>
    <n v="0"/>
    <m/>
    <m/>
    <n v="0"/>
    <m/>
    <m/>
    <m/>
    <m/>
    <m/>
    <m/>
    <n v="145506"/>
    <n v="151941"/>
  </r>
  <r>
    <x v="9"/>
    <x v="44"/>
    <s v="Non-credit continuing education"/>
    <m/>
    <n v="198206"/>
    <x v="8"/>
    <m/>
    <m/>
    <n v="825134"/>
    <n v="806732"/>
    <m/>
    <m/>
    <n v="141352"/>
    <m/>
    <n v="141352"/>
    <n v="257366"/>
    <m/>
    <n v="257366"/>
    <n v="966486"/>
    <n v="1064098"/>
    <m/>
    <m/>
    <m/>
    <m/>
    <n v="0"/>
    <m/>
    <m/>
    <n v="0"/>
    <m/>
    <m/>
    <m/>
    <m/>
    <m/>
    <m/>
    <n v="966486"/>
    <n v="1064098"/>
  </r>
  <r>
    <x v="9"/>
    <x v="0"/>
    <s v="Halifax Community College "/>
    <m/>
    <n v="198640"/>
    <x v="8"/>
    <n v="6695794"/>
    <n v="7096189"/>
    <m/>
    <m/>
    <n v="984703"/>
    <n v="955522"/>
    <n v="1348700"/>
    <m/>
    <n v="1348700"/>
    <n v="2007403"/>
    <m/>
    <n v="2007403"/>
    <n v="9029197"/>
    <n v="10059114"/>
    <m/>
    <m/>
    <m/>
    <m/>
    <n v="0"/>
    <m/>
    <m/>
    <n v="0"/>
    <m/>
    <m/>
    <m/>
    <m/>
    <m/>
    <m/>
    <n v="9029197"/>
    <n v="10059114"/>
  </r>
  <r>
    <x v="9"/>
    <x v="0"/>
    <s v="Nursing / allied health supplement"/>
    <m/>
    <n v="198640"/>
    <x v="8"/>
    <m/>
    <m/>
    <n v="117200"/>
    <n v="110492"/>
    <m/>
    <m/>
    <m/>
    <m/>
    <n v="0"/>
    <m/>
    <m/>
    <n v="0"/>
    <n v="117200"/>
    <n v="110492"/>
    <m/>
    <m/>
    <m/>
    <m/>
    <n v="0"/>
    <m/>
    <m/>
    <n v="0"/>
    <m/>
    <m/>
    <m/>
    <m/>
    <m/>
    <m/>
    <n v="117200"/>
    <n v="110492"/>
  </r>
  <r>
    <x v="9"/>
    <x v="3"/>
    <s v="Community or public service units"/>
    <m/>
    <n v="198640"/>
    <x v="8"/>
    <m/>
    <m/>
    <n v="141906"/>
    <n v="149969"/>
    <m/>
    <m/>
    <m/>
    <m/>
    <n v="0"/>
    <m/>
    <m/>
    <n v="0"/>
    <n v="141906"/>
    <n v="149969"/>
    <m/>
    <m/>
    <m/>
    <m/>
    <n v="0"/>
    <m/>
    <m/>
    <n v="0"/>
    <m/>
    <m/>
    <m/>
    <m/>
    <m/>
    <m/>
    <n v="141906"/>
    <n v="149969"/>
  </r>
  <r>
    <x v="9"/>
    <x v="44"/>
    <s v="Non-credit continuing education"/>
    <m/>
    <n v="198640"/>
    <x v="8"/>
    <m/>
    <m/>
    <n v="622221"/>
    <n v="607623"/>
    <m/>
    <m/>
    <n v="86338"/>
    <m/>
    <n v="86338"/>
    <n v="106715"/>
    <m/>
    <n v="106715"/>
    <n v="708559"/>
    <n v="714338"/>
    <m/>
    <m/>
    <m/>
    <m/>
    <n v="0"/>
    <m/>
    <m/>
    <n v="0"/>
    <m/>
    <m/>
    <m/>
    <m/>
    <m/>
    <m/>
    <n v="708559"/>
    <n v="714338"/>
  </r>
  <r>
    <x v="9"/>
    <x v="0"/>
    <s v="James Sprunt Community College"/>
    <m/>
    <n v="198729"/>
    <x v="8"/>
    <n v="5656020"/>
    <n v="6042017"/>
    <m/>
    <m/>
    <n v="1362585"/>
    <n v="1362585"/>
    <n v="1109324"/>
    <m/>
    <n v="1109324"/>
    <n v="1616630"/>
    <m/>
    <n v="1616630"/>
    <n v="8127929"/>
    <n v="9021232"/>
    <m/>
    <m/>
    <m/>
    <m/>
    <n v="0"/>
    <m/>
    <m/>
    <n v="0"/>
    <m/>
    <m/>
    <m/>
    <m/>
    <m/>
    <m/>
    <n v="8127929"/>
    <n v="9021232"/>
  </r>
  <r>
    <x v="9"/>
    <x v="0"/>
    <s v="Nursing / allied health supplement"/>
    <m/>
    <n v="198729"/>
    <x v="8"/>
    <m/>
    <m/>
    <n v="71700"/>
    <n v="64967"/>
    <m/>
    <m/>
    <m/>
    <m/>
    <n v="0"/>
    <m/>
    <m/>
    <n v="0"/>
    <n v="71700"/>
    <n v="64967"/>
    <m/>
    <m/>
    <m/>
    <m/>
    <n v="0"/>
    <m/>
    <m/>
    <n v="0"/>
    <m/>
    <m/>
    <m/>
    <m/>
    <m/>
    <m/>
    <n v="71700"/>
    <n v="64967"/>
  </r>
  <r>
    <x v="9"/>
    <x v="3"/>
    <s v="Community or public service units"/>
    <m/>
    <n v="198729"/>
    <x v="8"/>
    <m/>
    <m/>
    <n v="143306"/>
    <n v="152165"/>
    <m/>
    <m/>
    <m/>
    <m/>
    <n v="0"/>
    <m/>
    <m/>
    <n v="0"/>
    <n v="143306"/>
    <n v="152165"/>
    <m/>
    <m/>
    <m/>
    <m/>
    <n v="0"/>
    <m/>
    <m/>
    <n v="0"/>
    <m/>
    <m/>
    <m/>
    <m/>
    <m/>
    <m/>
    <n v="143306"/>
    <n v="152165"/>
  </r>
  <r>
    <x v="9"/>
    <x v="44"/>
    <s v="Non-credit continuing education"/>
    <m/>
    <n v="198729"/>
    <x v="8"/>
    <m/>
    <m/>
    <n v="649802"/>
    <n v="567289"/>
    <m/>
    <m/>
    <n v="52827"/>
    <m/>
    <n v="52827"/>
    <n v="99625"/>
    <m/>
    <n v="99625"/>
    <n v="702629"/>
    <n v="666914"/>
    <m/>
    <m/>
    <m/>
    <m/>
    <n v="0"/>
    <m/>
    <m/>
    <n v="0"/>
    <m/>
    <m/>
    <m/>
    <m/>
    <m/>
    <m/>
    <n v="702629"/>
    <n v="666914"/>
  </r>
  <r>
    <x v="9"/>
    <x v="0"/>
    <s v="Martin Community College "/>
    <m/>
    <n v="198905"/>
    <x v="8"/>
    <n v="4338190"/>
    <n v="4537641"/>
    <m/>
    <m/>
    <n v="891000"/>
    <n v="891000"/>
    <n v="609523"/>
    <m/>
    <n v="609523"/>
    <n v="906540"/>
    <m/>
    <n v="906540"/>
    <n v="5838713"/>
    <n v="6335181"/>
    <m/>
    <m/>
    <m/>
    <m/>
    <n v="0"/>
    <m/>
    <m/>
    <n v="0"/>
    <m/>
    <m/>
    <m/>
    <m/>
    <m/>
    <m/>
    <n v="5838713"/>
    <n v="6335181"/>
  </r>
  <r>
    <x v="9"/>
    <x v="0"/>
    <s v="Nursing / allied health supplement"/>
    <m/>
    <n v="198905"/>
    <x v="8"/>
    <m/>
    <m/>
    <n v="43401"/>
    <n v="54337"/>
    <m/>
    <m/>
    <m/>
    <m/>
    <n v="0"/>
    <m/>
    <m/>
    <n v="0"/>
    <n v="43401"/>
    <n v="54337"/>
    <m/>
    <m/>
    <m/>
    <m/>
    <n v="0"/>
    <m/>
    <m/>
    <n v="0"/>
    <m/>
    <m/>
    <m/>
    <m/>
    <m/>
    <m/>
    <n v="43401"/>
    <n v="54337"/>
  </r>
  <r>
    <x v="9"/>
    <x v="3"/>
    <s v="Community or public service units"/>
    <m/>
    <n v="198905"/>
    <x v="8"/>
    <m/>
    <m/>
    <n v="134706"/>
    <n v="143672"/>
    <m/>
    <m/>
    <m/>
    <m/>
    <n v="0"/>
    <m/>
    <m/>
    <n v="0"/>
    <n v="134706"/>
    <n v="143672"/>
    <m/>
    <m/>
    <m/>
    <m/>
    <n v="0"/>
    <m/>
    <m/>
    <n v="0"/>
    <m/>
    <m/>
    <m/>
    <m/>
    <m/>
    <m/>
    <n v="134706"/>
    <n v="143672"/>
  </r>
  <r>
    <x v="9"/>
    <x v="44"/>
    <s v="Non-credit continuing education"/>
    <m/>
    <n v="198905"/>
    <x v="8"/>
    <m/>
    <m/>
    <n v="326600"/>
    <n v="399428"/>
    <m/>
    <m/>
    <n v="67702"/>
    <m/>
    <n v="67702"/>
    <n v="95570"/>
    <m/>
    <n v="95570"/>
    <n v="394302"/>
    <n v="494998"/>
    <m/>
    <m/>
    <m/>
    <m/>
    <n v="0"/>
    <m/>
    <m/>
    <n v="0"/>
    <m/>
    <m/>
    <m/>
    <m/>
    <m/>
    <m/>
    <n v="394302"/>
    <n v="494998"/>
  </r>
  <r>
    <x v="9"/>
    <x v="0"/>
    <s v="McDowell Technical Community College"/>
    <m/>
    <n v="198923"/>
    <x v="8"/>
    <n v="6154615"/>
    <n v="6281125"/>
    <m/>
    <m/>
    <n v="819889"/>
    <n v="815130"/>
    <n v="1257863"/>
    <m/>
    <n v="1257863"/>
    <n v="1904876"/>
    <m/>
    <n v="1904876"/>
    <n v="8232367"/>
    <n v="9001131"/>
    <m/>
    <m/>
    <m/>
    <m/>
    <n v="0"/>
    <m/>
    <m/>
    <n v="0"/>
    <m/>
    <m/>
    <m/>
    <m/>
    <m/>
    <m/>
    <n v="8232367"/>
    <n v="9001131"/>
  </r>
  <r>
    <x v="9"/>
    <x v="0"/>
    <s v="Nursing / allied health supplement"/>
    <m/>
    <n v="198923"/>
    <x v="8"/>
    <m/>
    <m/>
    <n v="91148"/>
    <n v="113970"/>
    <m/>
    <m/>
    <m/>
    <m/>
    <n v="0"/>
    <m/>
    <m/>
    <n v="0"/>
    <n v="91148"/>
    <n v="113970"/>
    <m/>
    <m/>
    <m/>
    <m/>
    <n v="0"/>
    <m/>
    <m/>
    <n v="0"/>
    <m/>
    <m/>
    <m/>
    <m/>
    <m/>
    <m/>
    <n v="91148"/>
    <n v="113970"/>
  </r>
  <r>
    <x v="9"/>
    <x v="3"/>
    <s v="Community or public service units"/>
    <m/>
    <n v="198923"/>
    <x v="8"/>
    <m/>
    <m/>
    <n v="139706"/>
    <n v="143972"/>
    <m/>
    <m/>
    <m/>
    <m/>
    <n v="0"/>
    <m/>
    <m/>
    <n v="0"/>
    <n v="139706"/>
    <n v="143972"/>
    <m/>
    <m/>
    <m/>
    <m/>
    <n v="0"/>
    <m/>
    <m/>
    <n v="0"/>
    <m/>
    <m/>
    <m/>
    <m/>
    <m/>
    <m/>
    <n v="139706"/>
    <n v="143972"/>
  </r>
  <r>
    <x v="9"/>
    <x v="44"/>
    <s v="Non-credit continuing education"/>
    <m/>
    <n v="198923"/>
    <x v="8"/>
    <m/>
    <m/>
    <n v="510137"/>
    <n v="511987"/>
    <m/>
    <m/>
    <n v="29435"/>
    <m/>
    <n v="29435"/>
    <n v="36364"/>
    <m/>
    <n v="36364"/>
    <n v="539572"/>
    <n v="548351"/>
    <m/>
    <m/>
    <m/>
    <m/>
    <n v="0"/>
    <m/>
    <m/>
    <n v="0"/>
    <m/>
    <m/>
    <m/>
    <m/>
    <m/>
    <m/>
    <n v="539572"/>
    <n v="548351"/>
  </r>
  <r>
    <x v="9"/>
    <x v="0"/>
    <s v="Montgomery Community College"/>
    <m/>
    <n v="199023"/>
    <x v="8"/>
    <n v="4559912"/>
    <n v="4360860"/>
    <m/>
    <m/>
    <n v="900918"/>
    <n v="800000"/>
    <n v="859075"/>
    <m/>
    <n v="859075"/>
    <n v="1024262"/>
    <m/>
    <n v="1024262"/>
    <n v="6319905"/>
    <n v="6185122"/>
    <m/>
    <m/>
    <m/>
    <m/>
    <n v="0"/>
    <m/>
    <m/>
    <n v="0"/>
    <m/>
    <m/>
    <m/>
    <m/>
    <m/>
    <m/>
    <n v="6319905"/>
    <n v="6185122"/>
  </r>
  <r>
    <x v="9"/>
    <x v="0"/>
    <s v="Nursing / allied health supplement"/>
    <m/>
    <n v="199023"/>
    <x v="8"/>
    <m/>
    <m/>
    <n v="72205"/>
    <n v="64489"/>
    <m/>
    <m/>
    <m/>
    <m/>
    <n v="0"/>
    <m/>
    <m/>
    <n v="0"/>
    <n v="72205"/>
    <n v="64489"/>
    <m/>
    <m/>
    <m/>
    <m/>
    <n v="0"/>
    <m/>
    <m/>
    <n v="0"/>
    <m/>
    <m/>
    <m/>
    <m/>
    <m/>
    <m/>
    <n v="72205"/>
    <n v="64489"/>
  </r>
  <r>
    <x v="9"/>
    <x v="3"/>
    <s v="Community or public service units"/>
    <m/>
    <n v="199023"/>
    <x v="8"/>
    <m/>
    <m/>
    <n v="136906"/>
    <n v="146175"/>
    <m/>
    <m/>
    <m/>
    <m/>
    <n v="0"/>
    <m/>
    <m/>
    <n v="0"/>
    <n v="136906"/>
    <n v="146175"/>
    <m/>
    <m/>
    <m/>
    <m/>
    <n v="0"/>
    <m/>
    <m/>
    <n v="0"/>
    <m/>
    <m/>
    <m/>
    <m/>
    <m/>
    <m/>
    <n v="136906"/>
    <n v="146175"/>
  </r>
  <r>
    <x v="9"/>
    <x v="44"/>
    <s v="Non-credit continuing education"/>
    <m/>
    <n v="199023"/>
    <x v="8"/>
    <m/>
    <m/>
    <n v="435361"/>
    <n v="490698"/>
    <m/>
    <m/>
    <n v="44917"/>
    <m/>
    <n v="44917"/>
    <n v="93222"/>
    <m/>
    <n v="93222"/>
    <n v="480278"/>
    <n v="583920"/>
    <m/>
    <m/>
    <m/>
    <m/>
    <n v="0"/>
    <m/>
    <m/>
    <n v="0"/>
    <m/>
    <m/>
    <m/>
    <m/>
    <m/>
    <m/>
    <n v="480278"/>
    <n v="583920"/>
  </r>
  <r>
    <x v="9"/>
    <x v="0"/>
    <s v="Pamlico Community College"/>
    <m/>
    <n v="199263"/>
    <x v="8"/>
    <n v="3640411"/>
    <n v="3566493"/>
    <m/>
    <m/>
    <n v="520000"/>
    <n v="519346"/>
    <n v="306073"/>
    <m/>
    <n v="306073"/>
    <n v="452202"/>
    <m/>
    <n v="452202"/>
    <n v="4466484"/>
    <n v="4538041"/>
    <m/>
    <m/>
    <m/>
    <m/>
    <n v="0"/>
    <m/>
    <m/>
    <n v="0"/>
    <m/>
    <m/>
    <m/>
    <m/>
    <m/>
    <m/>
    <n v="4466484"/>
    <n v="4538041"/>
  </r>
  <r>
    <x v="9"/>
    <x v="0"/>
    <s v="Nursing / allied health supplement"/>
    <m/>
    <n v="199263"/>
    <x v="8"/>
    <m/>
    <m/>
    <n v="34761"/>
    <n v="34430"/>
    <m/>
    <m/>
    <m/>
    <m/>
    <n v="0"/>
    <m/>
    <m/>
    <n v="0"/>
    <n v="34761"/>
    <n v="34430"/>
    <m/>
    <m/>
    <m/>
    <m/>
    <n v="0"/>
    <m/>
    <m/>
    <n v="0"/>
    <m/>
    <m/>
    <m/>
    <m/>
    <m/>
    <m/>
    <n v="34761"/>
    <n v="34430"/>
  </r>
  <r>
    <x v="9"/>
    <x v="3"/>
    <s v="Community or public service units"/>
    <m/>
    <n v="199263"/>
    <x v="8"/>
    <m/>
    <m/>
    <n v="83606"/>
    <n v="93061"/>
    <m/>
    <m/>
    <m/>
    <m/>
    <n v="0"/>
    <m/>
    <m/>
    <n v="0"/>
    <n v="83606"/>
    <n v="93061"/>
    <m/>
    <m/>
    <m/>
    <m/>
    <n v="0"/>
    <m/>
    <m/>
    <n v="0"/>
    <m/>
    <m/>
    <m/>
    <m/>
    <m/>
    <m/>
    <n v="83606"/>
    <n v="93061"/>
  </r>
  <r>
    <x v="9"/>
    <x v="44"/>
    <s v="Non-credit continuing education"/>
    <m/>
    <n v="199263"/>
    <x v="8"/>
    <m/>
    <m/>
    <n v="331174"/>
    <n v="227403"/>
    <m/>
    <m/>
    <n v="24588"/>
    <m/>
    <n v="24588"/>
    <n v="51219"/>
    <m/>
    <n v="51219"/>
    <n v="355762"/>
    <n v="278622"/>
    <m/>
    <m/>
    <m/>
    <m/>
    <n v="0"/>
    <m/>
    <m/>
    <n v="0"/>
    <m/>
    <m/>
    <m/>
    <m/>
    <m/>
    <m/>
    <n v="355762"/>
    <n v="278622"/>
  </r>
  <r>
    <x v="9"/>
    <x v="0"/>
    <s v="Roanoke-Chowan Community College"/>
    <m/>
    <n v="199467"/>
    <x v="8"/>
    <n v="4541675"/>
    <n v="4450066"/>
    <m/>
    <m/>
    <n v="840539"/>
    <n v="860839"/>
    <n v="633989"/>
    <m/>
    <n v="633989"/>
    <n v="933482"/>
    <m/>
    <n v="933482"/>
    <n v="6016203"/>
    <n v="6244387"/>
    <m/>
    <m/>
    <m/>
    <m/>
    <n v="0"/>
    <m/>
    <m/>
    <n v="0"/>
    <m/>
    <m/>
    <m/>
    <m/>
    <m/>
    <m/>
    <n v="6016203"/>
    <n v="6244387"/>
  </r>
  <r>
    <x v="9"/>
    <x v="0"/>
    <s v="Nursing / allied health supplement"/>
    <m/>
    <n v="199467"/>
    <x v="8"/>
    <m/>
    <m/>
    <n v="47135"/>
    <n v="41526"/>
    <m/>
    <m/>
    <m/>
    <m/>
    <n v="0"/>
    <m/>
    <m/>
    <n v="0"/>
    <n v="47135"/>
    <n v="41526"/>
    <m/>
    <m/>
    <m/>
    <m/>
    <n v="0"/>
    <m/>
    <m/>
    <n v="0"/>
    <m/>
    <m/>
    <m/>
    <m/>
    <m/>
    <m/>
    <n v="47135"/>
    <n v="41526"/>
  </r>
  <r>
    <x v="9"/>
    <x v="3"/>
    <s v="Community or public service units"/>
    <m/>
    <n v="199467"/>
    <x v="8"/>
    <m/>
    <m/>
    <n v="135106"/>
    <n v="140030"/>
    <m/>
    <m/>
    <m/>
    <m/>
    <n v="0"/>
    <m/>
    <m/>
    <n v="0"/>
    <n v="135106"/>
    <n v="140030"/>
    <m/>
    <m/>
    <m/>
    <m/>
    <n v="0"/>
    <m/>
    <m/>
    <n v="0"/>
    <m/>
    <m/>
    <m/>
    <m/>
    <m/>
    <m/>
    <n v="135106"/>
    <n v="140030"/>
  </r>
  <r>
    <x v="9"/>
    <x v="44"/>
    <s v="Non-credit continuing education"/>
    <m/>
    <n v="199467"/>
    <x v="8"/>
    <m/>
    <m/>
    <n v="448827"/>
    <n v="543932"/>
    <m/>
    <m/>
    <n v="40345"/>
    <m/>
    <n v="40345"/>
    <n v="114089"/>
    <m/>
    <n v="114089"/>
    <n v="489172"/>
    <n v="658021"/>
    <m/>
    <m/>
    <m/>
    <m/>
    <n v="0"/>
    <m/>
    <m/>
    <n v="0"/>
    <m/>
    <m/>
    <m/>
    <m/>
    <m/>
    <m/>
    <n v="489172"/>
    <n v="658021"/>
  </r>
  <r>
    <x v="9"/>
    <x v="0"/>
    <s v="Sampson Community College"/>
    <m/>
    <n v="199625"/>
    <x v="8"/>
    <n v="7513104"/>
    <n v="7564032"/>
    <m/>
    <m/>
    <n v="1116661"/>
    <n v="1124756"/>
    <n v="1253877"/>
    <m/>
    <n v="1253877"/>
    <n v="1644869"/>
    <m/>
    <n v="1644869"/>
    <n v="9883642"/>
    <n v="10333657"/>
    <m/>
    <m/>
    <m/>
    <m/>
    <n v="0"/>
    <m/>
    <m/>
    <n v="0"/>
    <m/>
    <m/>
    <m/>
    <m/>
    <m/>
    <m/>
    <n v="9883642"/>
    <n v="10333657"/>
  </r>
  <r>
    <x v="9"/>
    <x v="0"/>
    <s v="Nursing / allied health supplement"/>
    <m/>
    <n v="199625"/>
    <x v="8"/>
    <m/>
    <m/>
    <n v="65518"/>
    <n v="62262"/>
    <m/>
    <m/>
    <m/>
    <m/>
    <n v="0"/>
    <m/>
    <m/>
    <n v="0"/>
    <n v="65518"/>
    <n v="62262"/>
    <m/>
    <m/>
    <m/>
    <m/>
    <n v="0"/>
    <m/>
    <m/>
    <n v="0"/>
    <m/>
    <m/>
    <m/>
    <m/>
    <m/>
    <m/>
    <n v="65518"/>
    <n v="62262"/>
  </r>
  <r>
    <x v="9"/>
    <x v="3"/>
    <s v="Community or public service units"/>
    <m/>
    <n v="199625"/>
    <x v="8"/>
    <m/>
    <m/>
    <n v="133106"/>
    <n v="143368"/>
    <m/>
    <m/>
    <m/>
    <m/>
    <n v="0"/>
    <m/>
    <m/>
    <n v="0"/>
    <n v="133106"/>
    <n v="143368"/>
    <m/>
    <m/>
    <m/>
    <m/>
    <n v="0"/>
    <m/>
    <m/>
    <n v="0"/>
    <m/>
    <m/>
    <m/>
    <m/>
    <m/>
    <m/>
    <n v="133106"/>
    <n v="143368"/>
  </r>
  <r>
    <x v="9"/>
    <x v="44"/>
    <s v="Non-credit continuing education"/>
    <m/>
    <n v="199625"/>
    <x v="8"/>
    <m/>
    <m/>
    <n v="994266"/>
    <n v="737223"/>
    <m/>
    <m/>
    <n v="87842"/>
    <m/>
    <n v="87842"/>
    <n v="154959"/>
    <m/>
    <n v="154959"/>
    <n v="1082108"/>
    <n v="892182"/>
    <m/>
    <m/>
    <m/>
    <m/>
    <n v="0"/>
    <m/>
    <m/>
    <n v="0"/>
    <m/>
    <m/>
    <m/>
    <m/>
    <m/>
    <m/>
    <n v="1082108"/>
    <n v="892182"/>
  </r>
  <r>
    <x v="9"/>
    <x v="0"/>
    <s v="Tri-County Community College "/>
    <m/>
    <n v="199795"/>
    <x v="8"/>
    <n v="4995321"/>
    <n v="5155481"/>
    <m/>
    <m/>
    <n v="877569"/>
    <n v="905733"/>
    <n v="1100866"/>
    <m/>
    <n v="1100866"/>
    <n v="1519632"/>
    <m/>
    <n v="1519632"/>
    <n v="6973756"/>
    <n v="7580846"/>
    <m/>
    <m/>
    <m/>
    <m/>
    <n v="0"/>
    <m/>
    <m/>
    <n v="0"/>
    <m/>
    <m/>
    <m/>
    <m/>
    <m/>
    <m/>
    <n v="6973756"/>
    <n v="7580846"/>
  </r>
  <r>
    <x v="9"/>
    <x v="0"/>
    <s v="Nursing / allied health supplement"/>
    <m/>
    <n v="199795"/>
    <x v="8"/>
    <m/>
    <m/>
    <n v="44210"/>
    <n v="47266"/>
    <m/>
    <m/>
    <m/>
    <m/>
    <n v="0"/>
    <m/>
    <m/>
    <n v="0"/>
    <n v="44210"/>
    <n v="47266"/>
    <m/>
    <m/>
    <m/>
    <m/>
    <n v="0"/>
    <m/>
    <m/>
    <n v="0"/>
    <m/>
    <m/>
    <m/>
    <m/>
    <m/>
    <m/>
    <n v="44210"/>
    <n v="47266"/>
  </r>
  <r>
    <x v="9"/>
    <x v="3"/>
    <s v="Community or public service units"/>
    <m/>
    <n v="199795"/>
    <x v="8"/>
    <m/>
    <m/>
    <n v="142506"/>
    <n v="147920"/>
    <m/>
    <m/>
    <m/>
    <m/>
    <n v="0"/>
    <m/>
    <m/>
    <n v="0"/>
    <n v="142506"/>
    <n v="147920"/>
    <m/>
    <m/>
    <m/>
    <m/>
    <n v="0"/>
    <m/>
    <m/>
    <n v="0"/>
    <m/>
    <m/>
    <m/>
    <m/>
    <m/>
    <m/>
    <n v="142506"/>
    <n v="147920"/>
  </r>
  <r>
    <x v="9"/>
    <x v="44"/>
    <s v="Non-credit continuing education"/>
    <m/>
    <n v="199795"/>
    <x v="8"/>
    <m/>
    <m/>
    <n v="566580"/>
    <n v="457837"/>
    <m/>
    <m/>
    <n v="70826"/>
    <m/>
    <n v="70826"/>
    <n v="123119"/>
    <m/>
    <n v="123119"/>
    <n v="637406"/>
    <n v="580956"/>
    <m/>
    <m/>
    <m/>
    <m/>
    <n v="0"/>
    <m/>
    <m/>
    <n v="0"/>
    <m/>
    <m/>
    <m/>
    <m/>
    <m/>
    <m/>
    <n v="637406"/>
    <n v="580956"/>
  </r>
  <r>
    <x v="9"/>
    <x v="12"/>
    <s v="Educational special-purpose funds to statewide units"/>
    <m/>
    <m/>
    <x v="12"/>
    <m/>
    <m/>
    <m/>
    <m/>
    <m/>
    <m/>
    <m/>
    <m/>
    <n v="0"/>
    <m/>
    <m/>
    <n v="0"/>
    <n v="0"/>
    <n v="0"/>
    <m/>
    <m/>
    <m/>
    <m/>
    <n v="0"/>
    <m/>
    <m/>
    <n v="0"/>
    <m/>
    <m/>
    <m/>
    <m/>
    <m/>
    <m/>
    <n v="0"/>
    <n v="0"/>
  </r>
  <r>
    <x v="9"/>
    <x v="12"/>
    <s v="Prison Education"/>
    <m/>
    <m/>
    <x v="12"/>
    <m/>
    <m/>
    <n v="1138504"/>
    <n v="649378"/>
    <m/>
    <m/>
    <m/>
    <m/>
    <n v="0"/>
    <m/>
    <m/>
    <n v="0"/>
    <n v="1138504"/>
    <n v="649378"/>
    <m/>
    <m/>
    <m/>
    <m/>
    <n v="0"/>
    <m/>
    <m/>
    <n v="0"/>
    <m/>
    <m/>
    <m/>
    <m/>
    <m/>
    <m/>
    <n v="1138504"/>
    <n v="649378"/>
  </r>
  <r>
    <x v="9"/>
    <x v="12"/>
    <s v="New &amp; Expanding Industry"/>
    <m/>
    <m/>
    <x v="12"/>
    <m/>
    <m/>
    <n v="12638207"/>
    <n v="17229879"/>
    <m/>
    <m/>
    <m/>
    <m/>
    <n v="0"/>
    <m/>
    <m/>
    <n v="0"/>
    <n v="12638207"/>
    <n v="17229879"/>
    <m/>
    <m/>
    <m/>
    <m/>
    <n v="0"/>
    <m/>
    <m/>
    <n v="0"/>
    <m/>
    <m/>
    <m/>
    <m/>
    <m/>
    <m/>
    <n v="12638207"/>
    <n v="17229879"/>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5361508"/>
    <n v="24379094"/>
    <m/>
    <m/>
    <n v="0"/>
    <m/>
    <m/>
    <n v="0"/>
    <m/>
    <m/>
    <m/>
    <m/>
    <m/>
    <m/>
    <n v="25361508"/>
    <n v="24379094"/>
  </r>
  <r>
    <x v="10"/>
    <x v="0"/>
    <s v="Oklahoma State University Main Campus"/>
    <m/>
    <n v="207388"/>
    <x v="0"/>
    <n v="123808252"/>
    <n v="117169982"/>
    <m/>
    <m/>
    <m/>
    <m/>
    <n v="155070298"/>
    <m/>
    <n v="155070298"/>
    <n v="167966501"/>
    <m/>
    <n v="167966501"/>
    <n v="278878550"/>
    <n v="285136483"/>
    <m/>
    <m/>
    <m/>
    <m/>
    <n v="0"/>
    <m/>
    <m/>
    <n v="0"/>
    <m/>
    <m/>
    <m/>
    <m/>
    <m/>
    <m/>
    <n v="278878550"/>
    <n v="285136483"/>
  </r>
  <r>
    <x v="10"/>
    <x v="1"/>
    <s v="Veterinary School"/>
    <m/>
    <n v="207388"/>
    <x v="0"/>
    <m/>
    <m/>
    <m/>
    <m/>
    <m/>
    <m/>
    <m/>
    <m/>
    <n v="0"/>
    <m/>
    <m/>
    <n v="0"/>
    <n v="0"/>
    <n v="0"/>
    <m/>
    <m/>
    <m/>
    <m/>
    <n v="0"/>
    <m/>
    <m/>
    <n v="0"/>
    <n v="11120425"/>
    <n v="10561605"/>
    <n v="5991340"/>
    <m/>
    <n v="6717462"/>
    <m/>
    <n v="17111765"/>
    <n v="17279067"/>
  </r>
  <r>
    <x v="10"/>
    <x v="1"/>
    <s v="College of Osteopathic Medicine"/>
    <m/>
    <n v="207389"/>
    <x v="0"/>
    <m/>
    <m/>
    <m/>
    <m/>
    <m/>
    <m/>
    <m/>
    <m/>
    <n v="0"/>
    <m/>
    <m/>
    <n v="0"/>
    <n v="0"/>
    <n v="0"/>
    <m/>
    <m/>
    <m/>
    <m/>
    <n v="0"/>
    <m/>
    <m/>
    <n v="0"/>
    <n v="14448536"/>
    <n v="13721226"/>
    <n v="8032341"/>
    <m/>
    <n v="8360423"/>
    <m/>
    <n v="22480877"/>
    <n v="22081649"/>
  </r>
  <r>
    <x v="10"/>
    <x v="5"/>
    <s v="Agricultural cooperative extension"/>
    <m/>
    <n v="207388"/>
    <x v="0"/>
    <m/>
    <m/>
    <n v="29755007"/>
    <n v="28260752"/>
    <m/>
    <m/>
    <m/>
    <m/>
    <n v="0"/>
    <m/>
    <m/>
    <n v="0"/>
    <n v="29755007"/>
    <n v="28260752"/>
    <m/>
    <m/>
    <m/>
    <m/>
    <n v="0"/>
    <m/>
    <m/>
    <n v="0"/>
    <m/>
    <m/>
    <m/>
    <m/>
    <m/>
    <m/>
    <n v="29755007"/>
    <n v="28260752"/>
  </r>
  <r>
    <x v="10"/>
    <x v="6"/>
    <s v="Agricultural experiment stations"/>
    <m/>
    <n v="207388"/>
    <x v="0"/>
    <m/>
    <m/>
    <n v="27229189"/>
    <n v="25861086"/>
    <m/>
    <m/>
    <m/>
    <m/>
    <n v="0"/>
    <m/>
    <m/>
    <n v="0"/>
    <n v="27229189"/>
    <n v="25861086"/>
    <m/>
    <m/>
    <m/>
    <m/>
    <n v="0"/>
    <m/>
    <m/>
    <n v="0"/>
    <m/>
    <m/>
    <m/>
    <m/>
    <m/>
    <m/>
    <n v="27229189"/>
    <n v="25861086"/>
  </r>
  <r>
    <x v="10"/>
    <x v="0"/>
    <s v="Tulsa Branch"/>
    <m/>
    <n v="207388"/>
    <x v="0"/>
    <n v="11618196"/>
    <n v="11028277"/>
    <m/>
    <m/>
    <m/>
    <m/>
    <n v="8341761"/>
    <m/>
    <n v="8341761"/>
    <n v="9784999"/>
    <m/>
    <n v="9784999"/>
    <n v="19959957"/>
    <n v="20813276"/>
    <m/>
    <m/>
    <m/>
    <m/>
    <n v="0"/>
    <m/>
    <m/>
    <n v="0"/>
    <m/>
    <m/>
    <m/>
    <m/>
    <m/>
    <m/>
    <n v="19959957"/>
    <n v="20813276"/>
  </r>
  <r>
    <x v="10"/>
    <x v="0"/>
    <s v="University of Oklahoma Norman Campus"/>
    <m/>
    <n v="207500"/>
    <x v="0"/>
    <n v="146610846"/>
    <n v="132479112"/>
    <m/>
    <m/>
    <m/>
    <m/>
    <n v="189486266"/>
    <m/>
    <n v="189486266"/>
    <n v="204495829"/>
    <m/>
    <n v="204495829"/>
    <n v="336097112"/>
    <n v="336974941"/>
    <m/>
    <m/>
    <m/>
    <m/>
    <n v="0"/>
    <m/>
    <m/>
    <n v="0"/>
    <m/>
    <m/>
    <m/>
    <m/>
    <m/>
    <m/>
    <n v="336097112"/>
    <n v="336974941"/>
  </r>
  <r>
    <x v="10"/>
    <x v="1"/>
    <s v="Health Sciences Center"/>
    <m/>
    <n v="207500"/>
    <x v="0"/>
    <m/>
    <m/>
    <m/>
    <m/>
    <m/>
    <m/>
    <m/>
    <m/>
    <n v="0"/>
    <m/>
    <m/>
    <n v="0"/>
    <n v="0"/>
    <n v="0"/>
    <m/>
    <m/>
    <m/>
    <m/>
    <n v="0"/>
    <m/>
    <m/>
    <n v="0"/>
    <n v="94868845"/>
    <n v="90258317"/>
    <n v="48789528"/>
    <m/>
    <n v="51171986"/>
    <m/>
    <n v="143658373"/>
    <n v="141430303"/>
  </r>
  <r>
    <x v="10"/>
    <x v="0"/>
    <s v="Law Center"/>
    <m/>
    <n v="207500"/>
    <x v="0"/>
    <n v="6102390"/>
    <n v="5795474"/>
    <m/>
    <m/>
    <m/>
    <m/>
    <n v="8577300"/>
    <m/>
    <n v="8577300"/>
    <n v="9504300"/>
    <m/>
    <n v="9504300"/>
    <n v="14679690"/>
    <n v="15299774"/>
    <m/>
    <m/>
    <m/>
    <m/>
    <n v="0"/>
    <m/>
    <m/>
    <n v="0"/>
    <m/>
    <m/>
    <m/>
    <m/>
    <m/>
    <m/>
    <n v="14679690"/>
    <n v="15299774"/>
  </r>
  <r>
    <x v="10"/>
    <x v="0"/>
    <s v="University of Central Oklahoma"/>
    <m/>
    <n v="206941"/>
    <x v="2"/>
    <n v="54052605"/>
    <n v="51603513"/>
    <m/>
    <m/>
    <m/>
    <m/>
    <n v="58309012"/>
    <m/>
    <n v="58309012"/>
    <n v="66085204"/>
    <m/>
    <n v="66085204"/>
    <n v="112361617"/>
    <n v="117688717"/>
    <m/>
    <m/>
    <m/>
    <m/>
    <n v="0"/>
    <m/>
    <m/>
    <n v="0"/>
    <m/>
    <m/>
    <m/>
    <m/>
    <m/>
    <m/>
    <n v="112361617"/>
    <n v="117688717"/>
  </r>
  <r>
    <x v="10"/>
    <x v="0"/>
    <s v="Northeastern State University"/>
    <m/>
    <n v="207263"/>
    <x v="2"/>
    <n v="37501199"/>
    <n v="35973522"/>
    <m/>
    <m/>
    <m/>
    <m/>
    <n v="30064994"/>
    <m/>
    <n v="30064994"/>
    <n v="34996695"/>
    <m/>
    <n v="34996695"/>
    <n v="67566193"/>
    <n v="70970217"/>
    <m/>
    <m/>
    <m/>
    <m/>
    <n v="0"/>
    <m/>
    <m/>
    <n v="0"/>
    <m/>
    <m/>
    <m/>
    <m/>
    <m/>
    <m/>
    <n v="67566193"/>
    <n v="70970217"/>
  </r>
  <r>
    <x v="10"/>
    <x v="0"/>
    <s v="Cameron University "/>
    <m/>
    <n v="206914"/>
    <x v="4"/>
    <n v="22134416"/>
    <n v="21133212"/>
    <m/>
    <m/>
    <m/>
    <m/>
    <n v="19830000"/>
    <m/>
    <n v="19830000"/>
    <n v="22461155"/>
    <m/>
    <n v="22461155"/>
    <n v="41964416"/>
    <n v="43594367"/>
    <m/>
    <m/>
    <m/>
    <m/>
    <n v="0"/>
    <m/>
    <m/>
    <n v="0"/>
    <m/>
    <m/>
    <m/>
    <m/>
    <m/>
    <m/>
    <n v="41964416"/>
    <n v="43594367"/>
  </r>
  <r>
    <x v="10"/>
    <x v="0"/>
    <s v="East Central University "/>
    <m/>
    <n v="207041"/>
    <x v="4"/>
    <n v="17992303"/>
    <n v="17084643"/>
    <m/>
    <m/>
    <m/>
    <m/>
    <n v="15149384"/>
    <m/>
    <n v="15149384"/>
    <n v="16712316"/>
    <m/>
    <n v="16712316"/>
    <n v="33141687"/>
    <n v="33796959"/>
    <m/>
    <m/>
    <m/>
    <m/>
    <n v="0"/>
    <m/>
    <m/>
    <n v="0"/>
    <m/>
    <m/>
    <m/>
    <m/>
    <m/>
    <m/>
    <n v="33141687"/>
    <n v="33796959"/>
  </r>
  <r>
    <x v="10"/>
    <x v="0"/>
    <s v="Langston University"/>
    <m/>
    <n v="207209"/>
    <x v="4"/>
    <n v="21081939"/>
    <n v="20068838"/>
    <m/>
    <m/>
    <m/>
    <m/>
    <n v="11737498"/>
    <m/>
    <n v="11737498"/>
    <n v="12575334"/>
    <m/>
    <n v="12575334"/>
    <n v="32819437"/>
    <n v="32644172"/>
    <m/>
    <m/>
    <m/>
    <m/>
    <n v="0"/>
    <m/>
    <m/>
    <n v="0"/>
    <m/>
    <m/>
    <m/>
    <m/>
    <m/>
    <m/>
    <n v="32819437"/>
    <n v="32644172"/>
  </r>
  <r>
    <x v="10"/>
    <x v="0"/>
    <s v="Northwestern Oklahoma State University "/>
    <m/>
    <n v="207306"/>
    <x v="4"/>
    <n v="10416110"/>
    <n v="9890351"/>
    <m/>
    <m/>
    <m/>
    <m/>
    <n v="9332960"/>
    <m/>
    <n v="9332960"/>
    <n v="10553366"/>
    <m/>
    <n v="10553366"/>
    <n v="19749070"/>
    <n v="20443717"/>
    <m/>
    <m/>
    <m/>
    <m/>
    <n v="0"/>
    <m/>
    <m/>
    <n v="0"/>
    <m/>
    <m/>
    <m/>
    <m/>
    <m/>
    <m/>
    <n v="19749070"/>
    <n v="20443717"/>
  </r>
  <r>
    <x v="10"/>
    <x v="0"/>
    <s v="Southeastern Oklahoma State University "/>
    <s v="Met the criteria for Four-Year 4 in 2010-11."/>
    <n v="207847"/>
    <x v="4"/>
    <n v="19252364"/>
    <n v="18278177"/>
    <m/>
    <m/>
    <m/>
    <m/>
    <n v="19780330"/>
    <m/>
    <n v="19780330"/>
    <n v="22550874"/>
    <m/>
    <n v="22550874"/>
    <n v="39032694"/>
    <n v="40829051"/>
    <m/>
    <m/>
    <m/>
    <m/>
    <n v="0"/>
    <m/>
    <m/>
    <n v="0"/>
    <m/>
    <m/>
    <m/>
    <m/>
    <m/>
    <m/>
    <n v="39032694"/>
    <n v="40829051"/>
  </r>
  <r>
    <x v="10"/>
    <x v="0"/>
    <s v="Southwestern Oklahoma State University"/>
    <m/>
    <n v="207865"/>
    <x v="4"/>
    <n v="23297756"/>
    <n v="22121485"/>
    <m/>
    <m/>
    <m/>
    <m/>
    <n v="20469075"/>
    <m/>
    <n v="20469075"/>
    <n v="21926180"/>
    <m/>
    <n v="21926180"/>
    <n v="43766831"/>
    <n v="44047665"/>
    <m/>
    <m/>
    <m/>
    <m/>
    <n v="0"/>
    <m/>
    <m/>
    <n v="0"/>
    <m/>
    <m/>
    <m/>
    <m/>
    <m/>
    <m/>
    <n v="43766831"/>
    <n v="44047665"/>
  </r>
  <r>
    <x v="10"/>
    <x v="0"/>
    <s v="Oklahoma Panhandle State University "/>
    <m/>
    <n v="207351"/>
    <x v="5"/>
    <n v="7278860"/>
    <n v="7044168"/>
    <m/>
    <m/>
    <m/>
    <m/>
    <n v="7485294"/>
    <m/>
    <n v="7485294"/>
    <n v="8359222"/>
    <m/>
    <n v="8359222"/>
    <n v="14764154"/>
    <n v="15403390"/>
    <m/>
    <m/>
    <m/>
    <m/>
    <n v="0"/>
    <m/>
    <m/>
    <n v="0"/>
    <m/>
    <m/>
    <m/>
    <m/>
    <m/>
    <m/>
    <n v="14764154"/>
    <n v="15403390"/>
  </r>
  <r>
    <x v="10"/>
    <x v="0"/>
    <s v="Rogers State University"/>
    <m/>
    <n v="207661"/>
    <x v="5"/>
    <n v="14276551"/>
    <n v="13500702"/>
    <m/>
    <m/>
    <m/>
    <m/>
    <n v="12262529"/>
    <m/>
    <n v="12262529"/>
    <n v="13843327"/>
    <m/>
    <n v="13843327"/>
    <n v="26539080"/>
    <n v="27344029"/>
    <m/>
    <m/>
    <m/>
    <m/>
    <n v="0"/>
    <m/>
    <m/>
    <n v="0"/>
    <m/>
    <m/>
    <m/>
    <m/>
    <m/>
    <m/>
    <n v="26539080"/>
    <n v="27344029"/>
  </r>
  <r>
    <x v="10"/>
    <x v="0"/>
    <s v="University of Science and Arts of Oklahoma"/>
    <m/>
    <n v="207722"/>
    <x v="5"/>
    <n v="7171229"/>
    <n v="7250249"/>
    <m/>
    <m/>
    <m/>
    <m/>
    <n v="4183899"/>
    <m/>
    <n v="4183899"/>
    <n v="4336155"/>
    <m/>
    <n v="4336155"/>
    <n v="11355128"/>
    <n v="11586404"/>
    <m/>
    <m/>
    <m/>
    <m/>
    <n v="0"/>
    <m/>
    <m/>
    <n v="0"/>
    <m/>
    <m/>
    <m/>
    <m/>
    <m/>
    <m/>
    <n v="11355128"/>
    <n v="11586404"/>
  </r>
  <r>
    <x v="10"/>
    <x v="0"/>
    <s v="Oklahoma State University Technical Branch-Okmulgee "/>
    <m/>
    <n v="207564"/>
    <x v="13"/>
    <n v="14784510"/>
    <n v="14038755"/>
    <m/>
    <m/>
    <m/>
    <m/>
    <n v="9252731"/>
    <m/>
    <n v="9252731"/>
    <n v="10881606"/>
    <m/>
    <n v="10881606"/>
    <n v="24037241"/>
    <n v="24920361"/>
    <m/>
    <m/>
    <m/>
    <m/>
    <n v="0"/>
    <m/>
    <m/>
    <n v="0"/>
    <m/>
    <m/>
    <m/>
    <m/>
    <m/>
    <m/>
    <n v="24037241"/>
    <n v="24920361"/>
  </r>
  <r>
    <x v="10"/>
    <x v="0"/>
    <s v="Oklahoma City Community College "/>
    <m/>
    <n v="207449"/>
    <x v="6"/>
    <n v="25459475"/>
    <n v="24166772"/>
    <m/>
    <m/>
    <n v="5200000"/>
    <n v="5200000"/>
    <n v="19297286"/>
    <m/>
    <n v="19297286"/>
    <n v="23221238"/>
    <m/>
    <n v="23221238"/>
    <n v="49956761"/>
    <n v="52588010"/>
    <m/>
    <m/>
    <m/>
    <m/>
    <n v="0"/>
    <m/>
    <m/>
    <n v="0"/>
    <m/>
    <m/>
    <m/>
    <m/>
    <m/>
    <m/>
    <n v="49956761"/>
    <n v="52588010"/>
  </r>
  <r>
    <x v="10"/>
    <x v="0"/>
    <s v="Tulsa Community College "/>
    <m/>
    <n v="207935"/>
    <x v="6"/>
    <n v="36418422"/>
    <n v="35273086"/>
    <m/>
    <m/>
    <n v="34389536"/>
    <n v="34389536"/>
    <n v="30061645"/>
    <m/>
    <n v="30061645"/>
    <n v="35359373"/>
    <m/>
    <n v="35359373"/>
    <n v="100869603"/>
    <n v="105021995"/>
    <m/>
    <m/>
    <m/>
    <m/>
    <n v="0"/>
    <m/>
    <m/>
    <n v="0"/>
    <m/>
    <m/>
    <m/>
    <m/>
    <m/>
    <m/>
    <n v="100869603"/>
    <n v="105021995"/>
  </r>
  <r>
    <x v="10"/>
    <x v="0"/>
    <s v="Northern Oklahoma College "/>
    <m/>
    <n v="207281"/>
    <x v="7"/>
    <n v="10294639"/>
    <n v="9738698"/>
    <m/>
    <m/>
    <m/>
    <m/>
    <n v="11571940"/>
    <m/>
    <n v="11571940"/>
    <n v="12124913"/>
    <m/>
    <n v="12124913"/>
    <n v="21866579"/>
    <n v="21863611"/>
    <m/>
    <m/>
    <m/>
    <m/>
    <n v="0"/>
    <m/>
    <m/>
    <n v="0"/>
    <m/>
    <m/>
    <m/>
    <m/>
    <m/>
    <m/>
    <n v="21866579"/>
    <n v="21863611"/>
  </r>
  <r>
    <x v="10"/>
    <x v="0"/>
    <s v="Oklahoma State University-Oklahoma City "/>
    <s v="Met criteria for Two-Year with Bachelor's in 2009-10 and 2010-11."/>
    <n v="207397"/>
    <x v="7"/>
    <n v="11404027"/>
    <n v="10821529"/>
    <m/>
    <m/>
    <m/>
    <m/>
    <n v="11484772"/>
    <m/>
    <n v="11484772"/>
    <n v="14340477"/>
    <m/>
    <n v="14340477"/>
    <n v="22888799"/>
    <n v="25162006"/>
    <m/>
    <m/>
    <m/>
    <m/>
    <n v="0"/>
    <m/>
    <m/>
    <n v="0"/>
    <m/>
    <m/>
    <m/>
    <m/>
    <m/>
    <m/>
    <n v="22888799"/>
    <n v="25162006"/>
  </r>
  <r>
    <x v="10"/>
    <x v="0"/>
    <s v="Rose State College "/>
    <s v="Met the criteria for Two-Year 1 institution in 2009-10 and 2010-11."/>
    <n v="207670"/>
    <x v="7"/>
    <n v="21329814"/>
    <n v="20249901"/>
    <m/>
    <m/>
    <n v="1900000"/>
    <n v="1330000"/>
    <n v="13270335"/>
    <m/>
    <n v="13270335"/>
    <n v="13780335"/>
    <m/>
    <n v="13780335"/>
    <n v="36500149"/>
    <n v="35360236"/>
    <m/>
    <m/>
    <m/>
    <m/>
    <n v="0"/>
    <m/>
    <m/>
    <n v="0"/>
    <m/>
    <m/>
    <m/>
    <m/>
    <m/>
    <m/>
    <n v="36500149"/>
    <n v="35360236"/>
  </r>
  <r>
    <x v="10"/>
    <x v="0"/>
    <s v="Carl Albert State College"/>
    <s v="Met the criteria for Two-Year 2 institution in 2010-11."/>
    <n v="206923"/>
    <x v="8"/>
    <n v="6570181"/>
    <n v="6140570"/>
    <m/>
    <m/>
    <m/>
    <m/>
    <n v="4003179"/>
    <m/>
    <n v="4003179"/>
    <n v="4466015"/>
    <m/>
    <n v="4466015"/>
    <n v="10573360"/>
    <n v="10606585"/>
    <m/>
    <m/>
    <m/>
    <m/>
    <n v="0"/>
    <m/>
    <m/>
    <n v="0"/>
    <m/>
    <m/>
    <m/>
    <m/>
    <m/>
    <m/>
    <n v="10573360"/>
    <n v="10606585"/>
  </r>
  <r>
    <x v="10"/>
    <x v="0"/>
    <s v="Connors State College "/>
    <m/>
    <n v="206996"/>
    <x v="8"/>
    <n v="6966462"/>
    <n v="6613051"/>
    <m/>
    <m/>
    <m/>
    <m/>
    <n v="3604218"/>
    <m/>
    <n v="3604218"/>
    <n v="4356308"/>
    <m/>
    <n v="4356308"/>
    <n v="10570680"/>
    <n v="10969359"/>
    <m/>
    <m/>
    <m/>
    <m/>
    <n v="0"/>
    <m/>
    <m/>
    <n v="0"/>
    <m/>
    <m/>
    <m/>
    <m/>
    <m/>
    <m/>
    <n v="10570680"/>
    <n v="10969359"/>
  </r>
  <r>
    <x v="10"/>
    <x v="0"/>
    <s v="Eastern Oklahoma State College "/>
    <m/>
    <n v="207050"/>
    <x v="8"/>
    <n v="6662105"/>
    <n v="6325989"/>
    <m/>
    <m/>
    <m/>
    <m/>
    <n v="3134041"/>
    <m/>
    <n v="3134041"/>
    <n v="3693262"/>
    <m/>
    <n v="3693262"/>
    <n v="9796146"/>
    <n v="10019251"/>
    <m/>
    <m/>
    <m/>
    <m/>
    <n v="0"/>
    <m/>
    <m/>
    <n v="0"/>
    <m/>
    <m/>
    <m/>
    <m/>
    <m/>
    <m/>
    <n v="9796146"/>
    <n v="10019251"/>
  </r>
  <r>
    <x v="10"/>
    <x v="0"/>
    <s v="Murray State College "/>
    <s v="Met the criteria for Two-Year 2 institution in 2010-11."/>
    <n v="207236"/>
    <x v="8"/>
    <n v="5892808"/>
    <n v="5588404"/>
    <m/>
    <m/>
    <m/>
    <m/>
    <n v="4700109"/>
    <m/>
    <n v="4700109"/>
    <n v="4744617"/>
    <m/>
    <n v="4744617"/>
    <n v="10592917"/>
    <n v="10333021"/>
    <m/>
    <m/>
    <m/>
    <m/>
    <n v="0"/>
    <m/>
    <m/>
    <n v="0"/>
    <m/>
    <m/>
    <m/>
    <m/>
    <m/>
    <m/>
    <n v="10592917"/>
    <n v="10333021"/>
  </r>
  <r>
    <x v="10"/>
    <x v="0"/>
    <s v="Northeastern Oklahoma A &amp; M College "/>
    <m/>
    <n v="207290"/>
    <x v="8"/>
    <n v="9141095"/>
    <n v="8680214"/>
    <m/>
    <m/>
    <m/>
    <m/>
    <n v="4590050"/>
    <m/>
    <n v="4590050"/>
    <n v="5832961"/>
    <m/>
    <n v="5832961"/>
    <n v="13731145"/>
    <n v="14513175"/>
    <m/>
    <m/>
    <m/>
    <m/>
    <n v="0"/>
    <m/>
    <m/>
    <n v="0"/>
    <m/>
    <m/>
    <m/>
    <m/>
    <m/>
    <m/>
    <n v="13731145"/>
    <n v="14513175"/>
  </r>
  <r>
    <x v="10"/>
    <x v="0"/>
    <s v="Redlands Community College"/>
    <m/>
    <n v="207069"/>
    <x v="8"/>
    <n v="6099780"/>
    <n v="6280171"/>
    <m/>
    <m/>
    <m/>
    <m/>
    <n v="3399068"/>
    <m/>
    <n v="3399068"/>
    <n v="4265433"/>
    <m/>
    <n v="4265433"/>
    <n v="9498848"/>
    <n v="10545604"/>
    <m/>
    <m/>
    <m/>
    <m/>
    <n v="0"/>
    <m/>
    <m/>
    <n v="0"/>
    <m/>
    <m/>
    <m/>
    <m/>
    <m/>
    <m/>
    <n v="9498848"/>
    <n v="10545604"/>
  </r>
  <r>
    <x v="10"/>
    <x v="0"/>
    <s v="Seminole State College "/>
    <m/>
    <n v="207740"/>
    <x v="8"/>
    <n v="6122559"/>
    <n v="5812091"/>
    <m/>
    <m/>
    <m/>
    <m/>
    <n v="3844528"/>
    <m/>
    <n v="3844528"/>
    <n v="4363533"/>
    <m/>
    <n v="4363533"/>
    <n v="9967087"/>
    <n v="10175624"/>
    <m/>
    <m/>
    <m/>
    <m/>
    <n v="0"/>
    <m/>
    <m/>
    <n v="0"/>
    <m/>
    <m/>
    <m/>
    <m/>
    <m/>
    <m/>
    <n v="9967087"/>
    <n v="10175624"/>
  </r>
  <r>
    <x v="10"/>
    <x v="0"/>
    <s v="Western Oklahoma State College "/>
    <m/>
    <n v="208035"/>
    <x v="8"/>
    <n v="5556026"/>
    <n v="5592907"/>
    <m/>
    <m/>
    <m/>
    <m/>
    <n v="4210000"/>
    <m/>
    <n v="4210000"/>
    <n v="6065500"/>
    <m/>
    <n v="6065500"/>
    <n v="9766026"/>
    <n v="11658407"/>
    <m/>
    <m/>
    <m/>
    <m/>
    <n v="0"/>
    <m/>
    <m/>
    <n v="0"/>
    <m/>
    <m/>
    <m/>
    <m/>
    <m/>
    <m/>
    <n v="9766026"/>
    <n v="11658407"/>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100348"/>
    <n v="98570"/>
    <m/>
    <m/>
    <m/>
    <m/>
    <n v="0"/>
    <m/>
    <m/>
    <n v="0"/>
    <n v="100348"/>
    <n v="98570"/>
    <m/>
    <m/>
    <m/>
    <m/>
    <n v="0"/>
    <m/>
    <m/>
    <n v="0"/>
    <m/>
    <m/>
    <m/>
    <m/>
    <m/>
    <m/>
    <n v="100348"/>
    <n v="98570"/>
  </r>
  <r>
    <x v="10"/>
    <x v="13"/>
    <s v="Educational special-purpose funds — all other"/>
    <m/>
    <m/>
    <x v="12"/>
    <m/>
    <m/>
    <m/>
    <m/>
    <m/>
    <m/>
    <m/>
    <m/>
    <n v="0"/>
    <m/>
    <m/>
    <n v="0"/>
    <n v="0"/>
    <n v="0"/>
    <m/>
    <m/>
    <m/>
    <m/>
    <n v="0"/>
    <m/>
    <m/>
    <n v="0"/>
    <m/>
    <m/>
    <m/>
    <m/>
    <m/>
    <m/>
    <n v="0"/>
    <n v="0"/>
  </r>
  <r>
    <x v="10"/>
    <x v="13"/>
    <s v="Ardmore H.Ed. Program"/>
    <m/>
    <m/>
    <x v="12"/>
    <m/>
    <m/>
    <n v="723982"/>
    <n v="680063"/>
    <m/>
    <m/>
    <m/>
    <m/>
    <n v="0"/>
    <m/>
    <m/>
    <n v="0"/>
    <n v="723982"/>
    <n v="680063"/>
    <m/>
    <m/>
    <m/>
    <m/>
    <n v="0"/>
    <m/>
    <m/>
    <n v="0"/>
    <m/>
    <m/>
    <m/>
    <m/>
    <m/>
    <m/>
    <n v="723982"/>
    <n v="680063"/>
  </r>
  <r>
    <x v="10"/>
    <x v="13"/>
    <s v="Jane Brooks School-USAO"/>
    <m/>
    <m/>
    <x v="12"/>
    <m/>
    <m/>
    <n v="27038"/>
    <n v="26559"/>
    <m/>
    <m/>
    <m/>
    <m/>
    <n v="0"/>
    <m/>
    <m/>
    <n v="0"/>
    <n v="27038"/>
    <n v="26559"/>
    <m/>
    <m/>
    <m/>
    <m/>
    <n v="0"/>
    <m/>
    <m/>
    <n v="0"/>
    <m/>
    <m/>
    <m/>
    <m/>
    <m/>
    <m/>
    <n v="27038"/>
    <n v="26559"/>
  </r>
  <r>
    <x v="10"/>
    <x v="13"/>
    <s v="Fire Science Training"/>
    <m/>
    <m/>
    <x v="12"/>
    <m/>
    <m/>
    <n v="1666222"/>
    <n v="1652194"/>
    <m/>
    <m/>
    <m/>
    <m/>
    <n v="0"/>
    <m/>
    <m/>
    <n v="0"/>
    <n v="1666222"/>
    <n v="1652194"/>
    <m/>
    <m/>
    <m/>
    <m/>
    <n v="0"/>
    <m/>
    <m/>
    <n v="0"/>
    <m/>
    <m/>
    <m/>
    <m/>
    <m/>
    <m/>
    <n v="1666222"/>
    <n v="1652194"/>
  </r>
  <r>
    <x v="10"/>
    <x v="13"/>
    <s v="Scholar Leadership Program"/>
    <m/>
    <m/>
    <x v="12"/>
    <m/>
    <m/>
    <n v="305882"/>
    <n v="300463"/>
    <m/>
    <m/>
    <m/>
    <m/>
    <n v="0"/>
    <m/>
    <m/>
    <n v="0"/>
    <n v="305882"/>
    <n v="300463"/>
    <m/>
    <m/>
    <m/>
    <m/>
    <n v="0"/>
    <m/>
    <m/>
    <n v="0"/>
    <m/>
    <m/>
    <m/>
    <m/>
    <m/>
    <m/>
    <n v="305882"/>
    <n v="300463"/>
  </r>
  <r>
    <x v="10"/>
    <x v="13"/>
    <s v="Academic Scholar Program"/>
    <m/>
    <m/>
    <x v="12"/>
    <m/>
    <m/>
    <n v="8604500"/>
    <n v="8049149"/>
    <m/>
    <m/>
    <m/>
    <m/>
    <n v="0"/>
    <m/>
    <m/>
    <n v="0"/>
    <n v="8604500"/>
    <n v="8049149"/>
    <m/>
    <m/>
    <m/>
    <m/>
    <n v="0"/>
    <m/>
    <m/>
    <n v="0"/>
    <m/>
    <m/>
    <m/>
    <m/>
    <m/>
    <m/>
    <n v="8604500"/>
    <n v="8049149"/>
  </r>
  <r>
    <x v="10"/>
    <x v="13"/>
    <s v="Minority Teacher Recruitment Center"/>
    <m/>
    <m/>
    <x v="12"/>
    <m/>
    <m/>
    <n v="418372"/>
    <n v="410960"/>
    <m/>
    <m/>
    <m/>
    <m/>
    <n v="0"/>
    <m/>
    <m/>
    <n v="0"/>
    <n v="418372"/>
    <n v="410960"/>
    <m/>
    <m/>
    <m/>
    <m/>
    <n v="0"/>
    <m/>
    <m/>
    <n v="0"/>
    <m/>
    <m/>
    <m/>
    <m/>
    <m/>
    <m/>
    <n v="418372"/>
    <n v="410960"/>
  </r>
  <r>
    <x v="10"/>
    <x v="13"/>
    <s v="OneNet User Fee Charges"/>
    <m/>
    <m/>
    <x v="12"/>
    <m/>
    <m/>
    <n v="3145116"/>
    <n v="3089398"/>
    <m/>
    <m/>
    <m/>
    <m/>
    <n v="0"/>
    <m/>
    <m/>
    <n v="0"/>
    <n v="3145116"/>
    <n v="3089398"/>
    <m/>
    <m/>
    <m/>
    <m/>
    <n v="0"/>
    <m/>
    <m/>
    <n v="0"/>
    <m/>
    <m/>
    <m/>
    <m/>
    <m/>
    <m/>
    <n v="3145116"/>
    <n v="3089398"/>
  </r>
  <r>
    <x v="10"/>
    <x v="13"/>
    <s v="Student Preparation  Program"/>
    <m/>
    <m/>
    <x v="12"/>
    <m/>
    <m/>
    <n v="1174710"/>
    <n v="1153899"/>
    <m/>
    <m/>
    <m/>
    <m/>
    <n v="0"/>
    <m/>
    <m/>
    <n v="0"/>
    <n v="1174710"/>
    <n v="1153899"/>
    <m/>
    <m/>
    <m/>
    <m/>
    <n v="0"/>
    <m/>
    <m/>
    <n v="0"/>
    <m/>
    <m/>
    <m/>
    <m/>
    <m/>
    <m/>
    <n v="1174710"/>
    <n v="1153899"/>
  </r>
  <r>
    <x v="10"/>
    <x v="13"/>
    <s v="Statewide Literacy Program"/>
    <m/>
    <m/>
    <x v="12"/>
    <m/>
    <m/>
    <n v="73229"/>
    <n v="71932"/>
    <m/>
    <m/>
    <m/>
    <m/>
    <n v="0"/>
    <m/>
    <m/>
    <n v="0"/>
    <n v="73229"/>
    <n v="71932"/>
    <m/>
    <m/>
    <m/>
    <m/>
    <n v="0"/>
    <m/>
    <m/>
    <n v="0"/>
    <m/>
    <m/>
    <m/>
    <m/>
    <m/>
    <m/>
    <n v="73229"/>
    <n v="71932"/>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822435"/>
    <n v="10651587"/>
    <m/>
    <m/>
    <n v="0"/>
    <m/>
    <m/>
    <n v="0"/>
    <m/>
    <m/>
    <m/>
    <m/>
    <m/>
    <m/>
    <n v="10822435"/>
    <n v="10651587"/>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54000000"/>
    <n v="57000000"/>
    <m/>
    <m/>
    <n v="0"/>
    <m/>
    <m/>
    <n v="0"/>
    <m/>
    <m/>
    <m/>
    <m/>
    <m/>
    <m/>
    <n v="540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40000"/>
    <n v="39291"/>
    <m/>
    <m/>
    <n v="0"/>
    <m/>
    <m/>
    <n v="0"/>
    <m/>
    <m/>
    <m/>
    <m/>
    <m/>
    <m/>
    <n v="40000"/>
    <n v="39291"/>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100000"/>
    <n v="98228"/>
    <m/>
    <m/>
    <n v="0"/>
    <m/>
    <m/>
    <n v="0"/>
    <m/>
    <m/>
    <m/>
    <m/>
    <m/>
    <m/>
    <n v="100000"/>
    <n v="9822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800229"/>
    <n v="1035823"/>
    <m/>
    <m/>
    <n v="0"/>
    <m/>
    <m/>
    <n v="0"/>
    <m/>
    <m/>
    <m/>
    <m/>
    <m/>
    <m/>
    <n v="800229"/>
    <n v="1035823"/>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8927327"/>
    <n v="18927327"/>
    <m/>
    <m/>
    <n v="0"/>
    <m/>
    <m/>
    <n v="0"/>
    <m/>
    <m/>
    <m/>
    <m/>
    <m/>
    <m/>
    <n v="18927327"/>
    <n v="18927327"/>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828751"/>
    <n v="3578751"/>
    <m/>
    <m/>
    <n v="0"/>
    <m/>
    <m/>
    <n v="0"/>
    <m/>
    <m/>
    <m/>
    <m/>
    <m/>
    <m/>
    <n v="3828751"/>
    <n v="3578751"/>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893789"/>
    <n v="4907799"/>
    <m/>
    <m/>
    <m/>
    <m/>
    <n v="1015868"/>
    <m/>
    <n v="1015868"/>
    <n v="1032782"/>
    <m/>
    <n v="1032782"/>
    <n v="5909657"/>
    <n v="5940581"/>
    <m/>
    <m/>
    <m/>
    <m/>
    <n v="0"/>
    <m/>
    <m/>
    <n v="0"/>
    <m/>
    <m/>
    <m/>
    <m/>
    <m/>
    <m/>
    <n v="5909657"/>
    <n v="5940581"/>
  </r>
  <r>
    <x v="10"/>
    <x v="0"/>
    <s v="Francis Tuttle Technology Center                  "/>
    <m/>
    <n v="245999"/>
    <x v="9"/>
    <n v="5366038"/>
    <n v="4870830"/>
    <m/>
    <m/>
    <m/>
    <m/>
    <n v="2595223"/>
    <m/>
    <n v="2595223"/>
    <n v="2372508"/>
    <m/>
    <n v="2372508"/>
    <n v="7961261"/>
    <n v="7243338"/>
    <m/>
    <m/>
    <m/>
    <m/>
    <n v="0"/>
    <m/>
    <m/>
    <n v="0"/>
    <m/>
    <m/>
    <m/>
    <m/>
    <m/>
    <m/>
    <n v="7961261"/>
    <n v="7243338"/>
  </r>
  <r>
    <x v="10"/>
    <x v="0"/>
    <s v="Great Plains Technology Center                    "/>
    <s v="Met criteria for Technical Institute or College 2 in 2009-10 and 2010-11."/>
    <n v="364548"/>
    <x v="9"/>
    <n v="6709340"/>
    <n v="6776007"/>
    <m/>
    <m/>
    <m/>
    <m/>
    <n v="1915985"/>
    <m/>
    <n v="1915985"/>
    <n v="1933246"/>
    <m/>
    <n v="1933246"/>
    <n v="8625325"/>
    <n v="8709253"/>
    <m/>
    <m/>
    <m/>
    <m/>
    <n v="0"/>
    <m/>
    <m/>
    <n v="0"/>
    <m/>
    <m/>
    <m/>
    <m/>
    <m/>
    <m/>
    <n v="8625325"/>
    <n v="8709253"/>
  </r>
  <r>
    <x v="10"/>
    <x v="0"/>
    <s v="Metro Technology Centers                          "/>
    <m/>
    <n v="363165"/>
    <x v="9"/>
    <n v="5722012"/>
    <n v="5667435"/>
    <m/>
    <m/>
    <m/>
    <m/>
    <n v="2761721"/>
    <m/>
    <n v="2761721"/>
    <n v="2217610"/>
    <m/>
    <n v="2217610"/>
    <n v="8483733"/>
    <n v="7885045"/>
    <m/>
    <m/>
    <m/>
    <m/>
    <n v="0"/>
    <m/>
    <m/>
    <n v="0"/>
    <m/>
    <m/>
    <m/>
    <m/>
    <m/>
    <m/>
    <n v="8483733"/>
    <n v="7885045"/>
  </r>
  <r>
    <x v="10"/>
    <x v="0"/>
    <s v="Tulsa Technology Center-Broken Arrow Campus       "/>
    <s v="Met criteria for Technical Institute or College 2 in 2009-10 and 2010-11."/>
    <n v="261393"/>
    <x v="9"/>
    <m/>
    <m/>
    <m/>
    <m/>
    <m/>
    <m/>
    <m/>
    <m/>
    <n v="0"/>
    <m/>
    <m/>
    <n v="0"/>
    <n v="0"/>
    <n v="0"/>
    <m/>
    <m/>
    <m/>
    <m/>
    <n v="0"/>
    <m/>
    <m/>
    <n v="0"/>
    <m/>
    <m/>
    <m/>
    <m/>
    <m/>
    <m/>
    <n v="0"/>
    <n v="0"/>
  </r>
  <r>
    <x v="10"/>
    <x v="0"/>
    <s v="Autry Technology Center                           "/>
    <m/>
    <n v="365213"/>
    <x v="10"/>
    <n v="3803870"/>
    <n v="3871426"/>
    <m/>
    <m/>
    <m/>
    <m/>
    <n v="798627"/>
    <m/>
    <n v="798627"/>
    <n v="882458"/>
    <m/>
    <n v="882458"/>
    <n v="4602497"/>
    <n v="4753884"/>
    <m/>
    <m/>
    <m/>
    <m/>
    <n v="0"/>
    <m/>
    <m/>
    <n v="0"/>
    <m/>
    <m/>
    <m/>
    <m/>
    <m/>
    <m/>
    <n v="4602497"/>
    <n v="4753884"/>
  </r>
  <r>
    <x v="10"/>
    <x v="0"/>
    <s v="Caddo Kiowa Technology Center                     "/>
    <m/>
    <n v="364946"/>
    <x v="10"/>
    <n v="4366381"/>
    <n v="4568938"/>
    <m/>
    <m/>
    <m/>
    <m/>
    <n v="1132396"/>
    <m/>
    <n v="1132396"/>
    <n v="997222"/>
    <m/>
    <n v="997222"/>
    <n v="5498777"/>
    <n v="5566160"/>
    <m/>
    <m/>
    <m/>
    <m/>
    <n v="0"/>
    <m/>
    <m/>
    <n v="0"/>
    <m/>
    <m/>
    <m/>
    <m/>
    <m/>
    <m/>
    <n v="5498777"/>
    <n v="5566160"/>
  </r>
  <r>
    <x v="10"/>
    <x v="0"/>
    <s v="Central Technology Center                         "/>
    <m/>
    <n v="246017"/>
    <x v="10"/>
    <n v="6655450"/>
    <n v="6479570"/>
    <m/>
    <m/>
    <m/>
    <m/>
    <n v="1171884"/>
    <m/>
    <n v="1171884"/>
    <n v="1318434"/>
    <m/>
    <n v="1318434"/>
    <n v="7827334"/>
    <n v="7798004"/>
    <m/>
    <m/>
    <m/>
    <m/>
    <n v="0"/>
    <m/>
    <m/>
    <n v="0"/>
    <m/>
    <m/>
    <m/>
    <m/>
    <m/>
    <m/>
    <n v="7827334"/>
    <n v="7798004"/>
  </r>
  <r>
    <x v="10"/>
    <x v="0"/>
    <s v="Chisholm Trail Technology Center                  "/>
    <m/>
    <n v="375656"/>
    <x v="10"/>
    <n v="1044225"/>
    <n v="1225947"/>
    <m/>
    <m/>
    <m/>
    <m/>
    <n v="189654"/>
    <m/>
    <n v="189654"/>
    <n v="200312"/>
    <m/>
    <n v="200312"/>
    <n v="1233879"/>
    <n v="1426259"/>
    <m/>
    <m/>
    <m/>
    <m/>
    <n v="0"/>
    <m/>
    <m/>
    <n v="0"/>
    <m/>
    <m/>
    <m/>
    <m/>
    <m/>
    <m/>
    <n v="1233879"/>
    <n v="1426259"/>
  </r>
  <r>
    <x v="10"/>
    <x v="0"/>
    <s v="Eastern Oklahoma County Technology Center         "/>
    <m/>
    <n v="418348"/>
    <x v="10"/>
    <n v="2196093"/>
    <n v="2103639"/>
    <m/>
    <m/>
    <m/>
    <m/>
    <n v="443075"/>
    <m/>
    <n v="443075"/>
    <n v="314732"/>
    <m/>
    <n v="314732"/>
    <n v="2639168"/>
    <n v="2418371"/>
    <m/>
    <m/>
    <m/>
    <m/>
    <n v="0"/>
    <m/>
    <m/>
    <n v="0"/>
    <m/>
    <m/>
    <m/>
    <m/>
    <m/>
    <m/>
    <n v="2639168"/>
    <n v="2418371"/>
  </r>
  <r>
    <x v="10"/>
    <x v="0"/>
    <s v="Gordon Cooper Technology Center                   "/>
    <m/>
    <n v="375683"/>
    <x v="10"/>
    <n v="3648152"/>
    <n v="3686574"/>
    <m/>
    <m/>
    <m/>
    <m/>
    <n v="715959"/>
    <m/>
    <n v="715959"/>
    <n v="667938"/>
    <m/>
    <n v="667938"/>
    <n v="4364111"/>
    <n v="4354512"/>
    <m/>
    <m/>
    <m/>
    <m/>
    <n v="0"/>
    <m/>
    <m/>
    <n v="0"/>
    <m/>
    <m/>
    <m/>
    <m/>
    <m/>
    <m/>
    <n v="4364111"/>
    <n v="4354512"/>
  </r>
  <r>
    <x v="10"/>
    <x v="0"/>
    <s v="Green Country Technology Center                   "/>
    <m/>
    <n v="428019"/>
    <x v="10"/>
    <n v="1359991"/>
    <n v="1302399"/>
    <m/>
    <m/>
    <m/>
    <m/>
    <n v="287255"/>
    <m/>
    <n v="287255"/>
    <n v="317831"/>
    <m/>
    <n v="317831"/>
    <n v="1647246"/>
    <n v="1620230"/>
    <m/>
    <m/>
    <m/>
    <m/>
    <n v="0"/>
    <m/>
    <m/>
    <n v="0"/>
    <m/>
    <m/>
    <m/>
    <m/>
    <m/>
    <m/>
    <n v="1647246"/>
    <n v="1620230"/>
  </r>
  <r>
    <x v="10"/>
    <x v="0"/>
    <s v="High Plains Technology Center                     "/>
    <m/>
    <n v="208053"/>
    <x v="10"/>
    <n v="2158663"/>
    <n v="2430087"/>
    <m/>
    <m/>
    <m/>
    <m/>
    <n v="333760"/>
    <m/>
    <n v="333760"/>
    <n v="299272"/>
    <m/>
    <n v="299272"/>
    <n v="2492423"/>
    <n v="2729359"/>
    <m/>
    <m/>
    <m/>
    <m/>
    <n v="0"/>
    <m/>
    <m/>
    <n v="0"/>
    <m/>
    <m/>
    <m/>
    <m/>
    <m/>
    <m/>
    <n v="2492423"/>
    <n v="2729359"/>
  </r>
  <r>
    <x v="10"/>
    <x v="0"/>
    <s v="Indian Capital Technology Center-Muskogee         "/>
    <m/>
    <n v="418296"/>
    <x v="10"/>
    <m/>
    <m/>
    <m/>
    <m/>
    <m/>
    <m/>
    <n v="676512"/>
    <m/>
    <n v="676512"/>
    <m/>
    <m/>
    <n v="0"/>
    <n v="676512"/>
    <n v="0"/>
    <m/>
    <m/>
    <m/>
    <m/>
    <n v="0"/>
    <m/>
    <m/>
    <n v="0"/>
    <m/>
    <m/>
    <m/>
    <m/>
    <m/>
    <m/>
    <n v="676512"/>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n v="1949770"/>
    <m/>
    <n v="1949770"/>
    <m/>
    <m/>
    <n v="0"/>
    <n v="1949770"/>
    <n v="0"/>
    <m/>
    <m/>
    <m/>
    <m/>
    <n v="0"/>
    <m/>
    <m/>
    <n v="0"/>
    <m/>
    <m/>
    <m/>
    <m/>
    <m/>
    <m/>
    <n v="194977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309285"/>
    <n v="3427179"/>
    <m/>
    <m/>
    <m/>
    <m/>
    <n v="775887"/>
    <m/>
    <n v="775887"/>
    <n v="588574"/>
    <m/>
    <n v="588574"/>
    <n v="4085172"/>
    <n v="4015753"/>
    <m/>
    <m/>
    <m/>
    <m/>
    <n v="0"/>
    <m/>
    <m/>
    <n v="0"/>
    <m/>
    <m/>
    <m/>
    <m/>
    <m/>
    <m/>
    <n v="4085172"/>
    <n v="4015753"/>
  </r>
  <r>
    <x v="10"/>
    <x v="0"/>
    <s v="Mid-America Technology Center                     "/>
    <m/>
    <n v="418320"/>
    <x v="10"/>
    <n v="2911377"/>
    <n v="2976968"/>
    <m/>
    <m/>
    <m/>
    <m/>
    <n v="397857"/>
    <m/>
    <n v="397857"/>
    <n v="441678"/>
    <m/>
    <n v="441678"/>
    <n v="3309234"/>
    <n v="3418646"/>
    <m/>
    <m/>
    <m/>
    <m/>
    <n v="0"/>
    <m/>
    <m/>
    <n v="0"/>
    <m/>
    <m/>
    <m/>
    <m/>
    <m/>
    <m/>
    <n v="3309234"/>
    <n v="3418646"/>
  </r>
  <r>
    <x v="10"/>
    <x v="0"/>
    <s v="Mid-Del Technology Center                         "/>
    <m/>
    <n v="431017"/>
    <x v="10"/>
    <n v="2082236"/>
    <n v="1910296"/>
    <m/>
    <m/>
    <m/>
    <m/>
    <n v="20691"/>
    <m/>
    <n v="20691"/>
    <n v="26626"/>
    <m/>
    <n v="26626"/>
    <n v="2102927"/>
    <n v="1936922"/>
    <m/>
    <m/>
    <m/>
    <m/>
    <n v="0"/>
    <m/>
    <m/>
    <n v="0"/>
    <m/>
    <m/>
    <m/>
    <m/>
    <m/>
    <m/>
    <n v="2102927"/>
    <n v="1936922"/>
  </r>
  <r>
    <x v="10"/>
    <x v="0"/>
    <s v="Moore Norman Technology Center                    "/>
    <m/>
    <n v="248606"/>
    <x v="10"/>
    <n v="3950742"/>
    <n v="4021854"/>
    <m/>
    <m/>
    <m/>
    <m/>
    <n v="1799599"/>
    <m/>
    <n v="1799599"/>
    <n v="1823912"/>
    <m/>
    <n v="1823912"/>
    <n v="5750341"/>
    <n v="5845766"/>
    <m/>
    <m/>
    <m/>
    <m/>
    <n v="0"/>
    <m/>
    <m/>
    <n v="0"/>
    <m/>
    <m/>
    <m/>
    <m/>
    <m/>
    <m/>
    <n v="5750341"/>
    <n v="5845766"/>
  </r>
  <r>
    <x v="10"/>
    <x v="0"/>
    <s v="Northeast Technology Center-Afton                 "/>
    <m/>
    <n v="420459"/>
    <x v="10"/>
    <m/>
    <m/>
    <m/>
    <m/>
    <m/>
    <m/>
    <n v="665073"/>
    <m/>
    <n v="665073"/>
    <m/>
    <m/>
    <n v="0"/>
    <n v="665073"/>
    <n v="0"/>
    <m/>
    <m/>
    <m/>
    <m/>
    <n v="0"/>
    <m/>
    <m/>
    <n v="0"/>
    <m/>
    <m/>
    <m/>
    <m/>
    <m/>
    <m/>
    <n v="665073"/>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n v="232899"/>
    <m/>
    <n v="232899"/>
    <m/>
    <m/>
    <n v="0"/>
    <n v="232899"/>
    <n v="0"/>
    <m/>
    <m/>
    <m/>
    <m/>
    <n v="0"/>
    <m/>
    <m/>
    <n v="0"/>
    <m/>
    <m/>
    <m/>
    <m/>
    <m/>
    <m/>
    <n v="232899"/>
    <n v="0"/>
  </r>
  <r>
    <x v="10"/>
    <x v="0"/>
    <s v="Pioneer Technology Center                         "/>
    <m/>
    <n v="364627"/>
    <x v="10"/>
    <n v="2560301"/>
    <n v="2448029"/>
    <m/>
    <m/>
    <m/>
    <m/>
    <n v="408772"/>
    <m/>
    <n v="408772"/>
    <n v="455519"/>
    <m/>
    <n v="455519"/>
    <n v="2969073"/>
    <n v="2903548"/>
    <m/>
    <m/>
    <m/>
    <m/>
    <n v="0"/>
    <m/>
    <m/>
    <n v="0"/>
    <m/>
    <m/>
    <m/>
    <m/>
    <m/>
    <m/>
    <n v="2969073"/>
    <n v="2903548"/>
  </r>
  <r>
    <x v="10"/>
    <x v="0"/>
    <s v="Pontotoc Technology Center                        "/>
    <m/>
    <n v="206905"/>
    <x v="10"/>
    <n v="1650838"/>
    <n v="1644874"/>
    <m/>
    <m/>
    <m/>
    <m/>
    <n v="561969"/>
    <m/>
    <n v="561969"/>
    <n v="480578"/>
    <m/>
    <n v="480578"/>
    <n v="2212807"/>
    <n v="2125452"/>
    <m/>
    <m/>
    <m/>
    <m/>
    <n v="0"/>
    <m/>
    <m/>
    <n v="0"/>
    <m/>
    <m/>
    <m/>
    <m/>
    <m/>
    <m/>
    <n v="2212807"/>
    <n v="2125452"/>
  </r>
  <r>
    <x v="10"/>
    <x v="0"/>
    <s v="Red River Technology Center                       "/>
    <m/>
    <n v="250993"/>
    <x v="10"/>
    <n v="2367496"/>
    <n v="2467330"/>
    <m/>
    <m/>
    <m/>
    <m/>
    <n v="435282"/>
    <m/>
    <n v="435282"/>
    <n v="331430"/>
    <m/>
    <n v="331430"/>
    <n v="2802778"/>
    <n v="2798760"/>
    <m/>
    <m/>
    <m/>
    <m/>
    <n v="0"/>
    <m/>
    <m/>
    <n v="0"/>
    <m/>
    <m/>
    <m/>
    <m/>
    <m/>
    <m/>
    <n v="2802778"/>
    <n v="2798760"/>
  </r>
  <r>
    <x v="10"/>
    <x v="0"/>
    <s v="Southern Oklahoma Technology Center               "/>
    <m/>
    <n v="365198"/>
    <x v="10"/>
    <n v="2153151"/>
    <n v="2183669"/>
    <m/>
    <m/>
    <m/>
    <m/>
    <n v="418865"/>
    <m/>
    <n v="418865"/>
    <n v="445836"/>
    <m/>
    <n v="445836"/>
    <n v="2572016"/>
    <n v="2629505"/>
    <m/>
    <m/>
    <m/>
    <m/>
    <n v="0"/>
    <m/>
    <m/>
    <n v="0"/>
    <m/>
    <m/>
    <m/>
    <m/>
    <m/>
    <m/>
    <n v="2572016"/>
    <n v="2629505"/>
  </r>
  <r>
    <x v="10"/>
    <x v="0"/>
    <s v="Southwest Technology Center                       "/>
    <m/>
    <n v="368364"/>
    <x v="10"/>
    <n v="1783356"/>
    <n v="2027929"/>
    <m/>
    <m/>
    <m/>
    <m/>
    <n v="319434"/>
    <m/>
    <n v="319434"/>
    <n v="304822"/>
    <m/>
    <n v="304822"/>
    <n v="2102790"/>
    <n v="2332751"/>
    <m/>
    <m/>
    <m/>
    <m/>
    <n v="0"/>
    <m/>
    <m/>
    <n v="0"/>
    <m/>
    <m/>
    <m/>
    <m/>
    <m/>
    <m/>
    <n v="2102790"/>
    <n v="2332751"/>
  </r>
  <r>
    <x v="10"/>
    <x v="0"/>
    <s v="Tri County Technology Center                      "/>
    <m/>
    <n v="418287"/>
    <x v="10"/>
    <n v="2900506"/>
    <n v="2898676"/>
    <m/>
    <m/>
    <m/>
    <m/>
    <n v="641217"/>
    <m/>
    <n v="641217"/>
    <n v="711175"/>
    <m/>
    <n v="711175"/>
    <n v="3541723"/>
    <n v="3609851"/>
    <m/>
    <m/>
    <m/>
    <m/>
    <n v="0"/>
    <m/>
    <m/>
    <n v="0"/>
    <m/>
    <m/>
    <m/>
    <m/>
    <m/>
    <m/>
    <n v="3541723"/>
    <n v="3609851"/>
  </r>
  <r>
    <x v="10"/>
    <x v="0"/>
    <s v="Tulsa County Area Voc Tech School Dist 18-Peoria  "/>
    <m/>
    <n v="207607"/>
    <x v="10"/>
    <m/>
    <m/>
    <m/>
    <m/>
    <m/>
    <m/>
    <n v="3428993"/>
    <m/>
    <n v="3428993"/>
    <m/>
    <m/>
    <n v="0"/>
    <n v="3428993"/>
    <n v="0"/>
    <m/>
    <m/>
    <m/>
    <m/>
    <n v="0"/>
    <m/>
    <m/>
    <n v="0"/>
    <m/>
    <m/>
    <m/>
    <m/>
    <m/>
    <m/>
    <n v="3428993"/>
    <n v="0"/>
  </r>
  <r>
    <x v="10"/>
    <x v="0"/>
    <s v="Tulsa Technology Center-Lemley Campus             "/>
    <m/>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056274"/>
    <n v="2255319"/>
    <m/>
    <m/>
    <m/>
    <m/>
    <n v="250425"/>
    <m/>
    <n v="250425"/>
    <n v="161729"/>
    <m/>
    <n v="161729"/>
    <n v="2306699"/>
    <n v="2417048"/>
    <m/>
    <m/>
    <m/>
    <m/>
    <n v="0"/>
    <m/>
    <m/>
    <n v="0"/>
    <m/>
    <m/>
    <m/>
    <m/>
    <m/>
    <m/>
    <n v="2306699"/>
    <n v="2417048"/>
  </r>
  <r>
    <x v="10"/>
    <x v="0"/>
    <s v="Western Technology Center                         "/>
    <m/>
    <n v="418302"/>
    <x v="10"/>
    <n v="2790738"/>
    <n v="2909234"/>
    <m/>
    <m/>
    <m/>
    <m/>
    <n v="574569"/>
    <m/>
    <n v="574569"/>
    <n v="473356"/>
    <m/>
    <n v="473356"/>
    <n v="3365307"/>
    <n v="3382590"/>
    <m/>
    <m/>
    <m/>
    <m/>
    <n v="0"/>
    <m/>
    <m/>
    <n v="0"/>
    <m/>
    <m/>
    <m/>
    <m/>
    <m/>
    <m/>
    <n v="3365307"/>
    <n v="3382590"/>
  </r>
  <r>
    <x v="10"/>
    <x v="0"/>
    <s v="Northeast Technology Center-Claremore"/>
    <s v="New institution in start up phase. (Met the criteria for Technical Institute 2 but they'd like it in &quot;start up&quot; for one more year.)"/>
    <s v="456560"/>
    <x v="15"/>
    <m/>
    <m/>
    <m/>
    <m/>
    <m/>
    <m/>
    <m/>
    <m/>
    <n v="0"/>
    <m/>
    <m/>
    <n v="0"/>
    <n v="0"/>
    <n v="0"/>
    <m/>
    <m/>
    <m/>
    <m/>
    <n v="0"/>
    <m/>
    <m/>
    <n v="0"/>
    <m/>
    <m/>
    <m/>
    <m/>
    <m/>
    <m/>
    <n v="0"/>
    <n v="0"/>
  </r>
  <r>
    <x v="10"/>
    <x v="0"/>
    <s v="Indian Capital……..All Campuses"/>
    <m/>
    <m/>
    <x v="10"/>
    <n v="4433862"/>
    <n v="4787942"/>
    <m/>
    <m/>
    <m/>
    <m/>
    <m/>
    <m/>
    <n v="0"/>
    <n v="853824"/>
    <m/>
    <n v="853824"/>
    <n v="4433862"/>
    <n v="5641766"/>
    <m/>
    <m/>
    <m/>
    <m/>
    <n v="0"/>
    <m/>
    <m/>
    <n v="0"/>
    <m/>
    <m/>
    <m/>
    <m/>
    <m/>
    <m/>
    <n v="4433862"/>
    <n v="5641766"/>
  </r>
  <r>
    <x v="10"/>
    <x v="0"/>
    <s v="Kiamichi………All Campuses"/>
    <m/>
    <m/>
    <x v="10"/>
    <n v="8817660"/>
    <n v="8665664"/>
    <m/>
    <m/>
    <m/>
    <m/>
    <m/>
    <m/>
    <n v="0"/>
    <n v="1961352"/>
    <m/>
    <n v="1961352"/>
    <n v="8817660"/>
    <n v="10627016"/>
    <m/>
    <m/>
    <m/>
    <m/>
    <n v="0"/>
    <m/>
    <m/>
    <n v="0"/>
    <m/>
    <m/>
    <m/>
    <m/>
    <m/>
    <m/>
    <n v="8817660"/>
    <n v="10627016"/>
  </r>
  <r>
    <x v="10"/>
    <x v="0"/>
    <s v="Northeast………..All Campuses"/>
    <m/>
    <m/>
    <x v="10"/>
    <n v="3636194"/>
    <n v="3302688"/>
    <m/>
    <m/>
    <m/>
    <m/>
    <m/>
    <m/>
    <n v="0"/>
    <n v="766677"/>
    <m/>
    <n v="766677"/>
    <n v="3636194"/>
    <n v="4069365"/>
    <m/>
    <m/>
    <m/>
    <m/>
    <n v="0"/>
    <m/>
    <m/>
    <n v="0"/>
    <m/>
    <m/>
    <m/>
    <m/>
    <m/>
    <m/>
    <n v="3636194"/>
    <n v="4069365"/>
  </r>
  <r>
    <x v="10"/>
    <x v="0"/>
    <s v="Northwest………..All Campuses"/>
    <m/>
    <m/>
    <x v="10"/>
    <n v="1862580"/>
    <n v="1860349"/>
    <m/>
    <m/>
    <m/>
    <m/>
    <m/>
    <m/>
    <n v="0"/>
    <n v="208936"/>
    <m/>
    <n v="208936"/>
    <n v="1862580"/>
    <n v="2069285"/>
    <m/>
    <m/>
    <m/>
    <m/>
    <n v="0"/>
    <m/>
    <m/>
    <n v="0"/>
    <m/>
    <m/>
    <m/>
    <m/>
    <m/>
    <m/>
    <n v="1862580"/>
    <n v="2069285"/>
  </r>
  <r>
    <x v="10"/>
    <x v="0"/>
    <s v="Tulsa County Dist 18………..All Campuses"/>
    <m/>
    <m/>
    <x v="10"/>
    <n v="9573013"/>
    <n v="8176277"/>
    <m/>
    <m/>
    <m/>
    <m/>
    <m/>
    <m/>
    <n v="0"/>
    <n v="4052220"/>
    <m/>
    <n v="4052220"/>
    <n v="9573013"/>
    <n v="12228497"/>
    <m/>
    <m/>
    <m/>
    <m/>
    <n v="0"/>
    <m/>
    <m/>
    <n v="0"/>
    <m/>
    <m/>
    <m/>
    <m/>
    <m/>
    <m/>
    <n v="9573013"/>
    <n v="12228497"/>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68496310"/>
    <n v="54154702"/>
    <m/>
    <m/>
    <m/>
    <m/>
    <n v="272006777"/>
    <n v="21610043"/>
    <n v="293616820"/>
    <n v="293592965"/>
    <n v="22108389"/>
    <n v="315701354"/>
    <n v="340503087"/>
    <n v="347747667"/>
    <m/>
    <m/>
    <m/>
    <m/>
    <n v="0"/>
    <m/>
    <m/>
    <n v="0"/>
    <m/>
    <m/>
    <m/>
    <m/>
    <m/>
    <m/>
    <n v="340503087"/>
    <n v="347747667"/>
  </r>
  <r>
    <x v="11"/>
    <x v="0"/>
    <s v="Fringe Benefits"/>
    <m/>
    <n v="217882"/>
    <x v="0"/>
    <n v="10001822"/>
    <n v="8505147"/>
    <m/>
    <m/>
    <m/>
    <m/>
    <m/>
    <m/>
    <n v="0"/>
    <m/>
    <m/>
    <n v="0"/>
    <n v="10001822"/>
    <n v="8505147"/>
    <m/>
    <m/>
    <m/>
    <m/>
    <n v="0"/>
    <m/>
    <m/>
    <n v="0"/>
    <m/>
    <m/>
    <m/>
    <m/>
    <m/>
    <m/>
    <n v="10001822"/>
    <n v="8505147"/>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34864713"/>
    <n v="28214589"/>
    <m/>
    <m/>
    <m/>
    <m/>
    <n v="0"/>
    <m/>
    <m/>
    <n v="0"/>
    <n v="34864713"/>
    <n v="28214589"/>
    <m/>
    <m/>
    <m/>
    <m/>
    <n v="0"/>
    <m/>
    <m/>
    <n v="0"/>
    <m/>
    <m/>
    <m/>
    <m/>
    <m/>
    <m/>
    <n v="34864713"/>
    <n v="28214589"/>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Critical Needs Nursing Initiative"/>
    <m/>
    <n v="217882"/>
    <x v="0"/>
    <m/>
    <m/>
    <s v="moved to base"/>
    <n v="0"/>
    <m/>
    <m/>
    <m/>
    <m/>
    <n v="0"/>
    <m/>
    <m/>
    <n v="0"/>
    <n v="0"/>
    <n v="0"/>
    <m/>
    <m/>
    <m/>
    <m/>
    <n v="0"/>
    <m/>
    <m/>
    <n v="0"/>
    <m/>
    <m/>
    <m/>
    <m/>
    <m/>
    <m/>
    <n v="0"/>
    <n v="0"/>
  </r>
  <r>
    <x v="11"/>
    <x v="8"/>
    <s v="Critical Needs Nursing Initiative(NR)"/>
    <m/>
    <n v="217882"/>
    <x v="0"/>
    <m/>
    <m/>
    <n v="56400"/>
    <n v="0"/>
    <m/>
    <m/>
    <m/>
    <m/>
    <n v="0"/>
    <m/>
    <m/>
    <n v="0"/>
    <n v="56400"/>
    <n v="0"/>
    <m/>
    <m/>
    <m/>
    <m/>
    <n v="0"/>
    <m/>
    <m/>
    <n v="0"/>
    <m/>
    <m/>
    <m/>
    <m/>
    <m/>
    <m/>
    <n v="56400"/>
    <n v="0"/>
  </r>
  <r>
    <x v="11"/>
    <x v="8"/>
    <s v="Access &amp; Equity"/>
    <m/>
    <n v="217882"/>
    <x v="0"/>
    <m/>
    <m/>
    <n v="50447"/>
    <n v="0"/>
    <m/>
    <m/>
    <m/>
    <m/>
    <n v="0"/>
    <m/>
    <m/>
    <n v="0"/>
    <n v="50447"/>
    <n v="0"/>
    <m/>
    <m/>
    <m/>
    <m/>
    <n v="0"/>
    <m/>
    <m/>
    <n v="0"/>
    <m/>
    <m/>
    <m/>
    <m/>
    <m/>
    <m/>
    <n v="50447"/>
    <n v="0"/>
  </r>
  <r>
    <x v="11"/>
    <x v="8"/>
    <s v="Academic Endowment"/>
    <m/>
    <n v="217882"/>
    <x v="0"/>
    <m/>
    <m/>
    <n v="52584"/>
    <n v="27636"/>
    <m/>
    <m/>
    <m/>
    <m/>
    <n v="0"/>
    <m/>
    <m/>
    <n v="0"/>
    <n v="52584"/>
    <n v="27636"/>
    <m/>
    <m/>
    <m/>
    <m/>
    <n v="0"/>
    <m/>
    <m/>
    <n v="0"/>
    <m/>
    <m/>
    <m/>
    <m/>
    <m/>
    <m/>
    <n v="52584"/>
    <n v="27636"/>
  </r>
  <r>
    <x v="11"/>
    <x v="8"/>
    <s v="LightRail(NR)"/>
    <m/>
    <n v="217882"/>
    <x v="0"/>
    <m/>
    <m/>
    <m/>
    <m/>
    <m/>
    <m/>
    <m/>
    <m/>
    <n v="0"/>
    <m/>
    <m/>
    <n v="0"/>
    <n v="0"/>
    <n v="0"/>
    <m/>
    <m/>
    <m/>
    <m/>
    <n v="0"/>
    <m/>
    <m/>
    <n v="0"/>
    <m/>
    <m/>
    <m/>
    <m/>
    <m/>
    <m/>
    <n v="0"/>
    <n v="0"/>
  </r>
  <r>
    <x v="11"/>
    <x v="0"/>
    <s v="University of South Carolina-Columbia"/>
    <m/>
    <n v="218663"/>
    <x v="0"/>
    <n v="89739538"/>
    <n v="65986392"/>
    <m/>
    <m/>
    <m/>
    <m/>
    <n v="360703281"/>
    <n v="19374178"/>
    <n v="380077459"/>
    <n v="401909446"/>
    <n v="19864463"/>
    <n v="421773909"/>
    <n v="450442819"/>
    <n v="467895838"/>
    <m/>
    <m/>
    <m/>
    <m/>
    <n v="0"/>
    <m/>
    <m/>
    <n v="0"/>
    <m/>
    <m/>
    <m/>
    <m/>
    <m/>
    <m/>
    <n v="450442819"/>
    <n v="467895838"/>
  </r>
  <r>
    <x v="11"/>
    <x v="0"/>
    <s v="Fringe Benefits"/>
    <m/>
    <n v="218663"/>
    <x v="0"/>
    <n v="18918712"/>
    <n v="17839436"/>
    <m/>
    <m/>
    <m/>
    <m/>
    <m/>
    <m/>
    <n v="0"/>
    <m/>
    <m/>
    <n v="0"/>
    <n v="18918712"/>
    <n v="17839436"/>
    <m/>
    <m/>
    <m/>
    <m/>
    <n v="0"/>
    <m/>
    <m/>
    <n v="0"/>
    <m/>
    <m/>
    <m/>
    <m/>
    <m/>
    <m/>
    <n v="18918712"/>
    <n v="17839436"/>
  </r>
  <r>
    <x v="11"/>
    <x v="3"/>
    <s v="Community or public service units"/>
    <m/>
    <n v="218663"/>
    <x v="0"/>
    <m/>
    <m/>
    <m/>
    <m/>
    <m/>
    <m/>
    <m/>
    <m/>
    <n v="0"/>
    <m/>
    <m/>
    <n v="0"/>
    <n v="0"/>
    <n v="0"/>
    <m/>
    <m/>
    <m/>
    <m/>
    <n v="0"/>
    <m/>
    <m/>
    <n v="0"/>
    <m/>
    <m/>
    <m/>
    <m/>
    <m/>
    <m/>
    <n v="0"/>
    <n v="0"/>
  </r>
  <r>
    <x v="11"/>
    <x v="3"/>
    <s v=" USC Sm.Bus Dvlp Cent"/>
    <m/>
    <n v="218663"/>
    <x v="0"/>
    <m/>
    <m/>
    <n v="662179"/>
    <n v="0"/>
    <m/>
    <m/>
    <m/>
    <m/>
    <n v="0"/>
    <m/>
    <m/>
    <n v="0"/>
    <n v="662179"/>
    <n v="0"/>
    <m/>
    <m/>
    <m/>
    <m/>
    <n v="0"/>
    <m/>
    <m/>
    <n v="0"/>
    <m/>
    <m/>
    <m/>
    <m/>
    <m/>
    <m/>
    <n v="662179"/>
    <n v="0"/>
  </r>
  <r>
    <x v="11"/>
    <x v="3"/>
    <s v="Congaree Initiative"/>
    <m/>
    <n v="218663"/>
    <x v="0"/>
    <m/>
    <m/>
    <n v="273486"/>
    <n v="0"/>
    <m/>
    <m/>
    <m/>
    <m/>
    <n v="0"/>
    <m/>
    <m/>
    <n v="0"/>
    <n v="273486"/>
    <n v="0"/>
    <m/>
    <m/>
    <m/>
    <m/>
    <n v="0"/>
    <m/>
    <m/>
    <n v="0"/>
    <m/>
    <m/>
    <m/>
    <m/>
    <m/>
    <m/>
    <n v="273486"/>
    <n v="0"/>
  </r>
  <r>
    <x v="11"/>
    <x v="3"/>
    <s v="Palmetto Poison Center"/>
    <m/>
    <n v="218663"/>
    <x v="0"/>
    <m/>
    <m/>
    <n v="176763"/>
    <n v="176763"/>
    <m/>
    <m/>
    <m/>
    <m/>
    <n v="0"/>
    <m/>
    <m/>
    <n v="0"/>
    <n v="176763"/>
    <n v="176763"/>
    <m/>
    <m/>
    <m/>
    <m/>
    <n v="0"/>
    <m/>
    <m/>
    <n v="0"/>
    <m/>
    <m/>
    <m/>
    <m/>
    <m/>
    <m/>
    <n v="176763"/>
    <n v="176763"/>
  </r>
  <r>
    <x v="11"/>
    <x v="3"/>
    <s v="City of Columbia Incubator Program"/>
    <m/>
    <n v="218663"/>
    <x v="0"/>
    <m/>
    <m/>
    <n v="141410"/>
    <n v="0"/>
    <m/>
    <m/>
    <m/>
    <m/>
    <n v="0"/>
    <m/>
    <m/>
    <n v="0"/>
    <n v="141410"/>
    <n v="0"/>
    <m/>
    <m/>
    <m/>
    <m/>
    <n v="0"/>
    <m/>
    <m/>
    <n v="0"/>
    <m/>
    <m/>
    <m/>
    <m/>
    <m/>
    <m/>
    <n v="141410"/>
    <n v="0"/>
  </r>
  <r>
    <x v="11"/>
    <x v="7"/>
    <s v="Research centers/institutes"/>
    <m/>
    <n v="218663"/>
    <x v="0"/>
    <m/>
    <m/>
    <m/>
    <m/>
    <m/>
    <m/>
    <m/>
    <m/>
    <n v="0"/>
    <m/>
    <m/>
    <n v="0"/>
    <n v="0"/>
    <n v="0"/>
    <m/>
    <m/>
    <m/>
    <m/>
    <n v="0"/>
    <m/>
    <m/>
    <n v="0"/>
    <m/>
    <m/>
    <m/>
    <m/>
    <m/>
    <m/>
    <n v="0"/>
    <n v="0"/>
  </r>
  <r>
    <x v="11"/>
    <x v="7"/>
    <s v="USC: Nano - Technology"/>
    <m/>
    <n v="218663"/>
    <x v="0"/>
    <m/>
    <m/>
    <n v="707054"/>
    <n v="0"/>
    <m/>
    <m/>
    <m/>
    <m/>
    <n v="0"/>
    <m/>
    <m/>
    <n v="0"/>
    <n v="707054"/>
    <n v="0"/>
    <m/>
    <m/>
    <m/>
    <m/>
    <n v="0"/>
    <m/>
    <m/>
    <n v="0"/>
    <m/>
    <m/>
    <m/>
    <m/>
    <m/>
    <m/>
    <n v="707054"/>
    <n v="0"/>
  </r>
  <r>
    <x v="11"/>
    <x v="7"/>
    <s v="Hydrogen Research"/>
    <m/>
    <n v="218663"/>
    <x v="0"/>
    <m/>
    <m/>
    <n v="707054"/>
    <n v="0"/>
    <m/>
    <m/>
    <m/>
    <m/>
    <n v="0"/>
    <m/>
    <m/>
    <n v="0"/>
    <n v="707054"/>
    <n v="0"/>
    <m/>
    <m/>
    <m/>
    <m/>
    <n v="0"/>
    <m/>
    <m/>
    <n v="0"/>
    <m/>
    <m/>
    <m/>
    <m/>
    <m/>
    <m/>
    <n v="707054"/>
    <n v="0"/>
  </r>
  <r>
    <x v="11"/>
    <x v="8"/>
    <s v="Special Line items for education operations"/>
    <m/>
    <n v="218663"/>
    <x v="0"/>
    <m/>
    <m/>
    <m/>
    <m/>
    <m/>
    <m/>
    <m/>
    <m/>
    <n v="0"/>
    <m/>
    <m/>
    <n v="0"/>
    <n v="0"/>
    <n v="0"/>
    <m/>
    <m/>
    <m/>
    <m/>
    <n v="0"/>
    <m/>
    <m/>
    <n v="0"/>
    <m/>
    <m/>
    <m/>
    <m/>
    <m/>
    <m/>
    <n v="0"/>
    <n v="0"/>
  </r>
  <r>
    <x v="11"/>
    <x v="8"/>
    <s v="Critical Needs Nursing Initiative"/>
    <m/>
    <n v="218663"/>
    <x v="0"/>
    <m/>
    <m/>
    <s v="moved to base"/>
    <n v="0"/>
    <m/>
    <m/>
    <m/>
    <m/>
    <n v="0"/>
    <m/>
    <m/>
    <n v="0"/>
    <n v="0"/>
    <n v="0"/>
    <m/>
    <m/>
    <m/>
    <m/>
    <n v="0"/>
    <m/>
    <m/>
    <n v="0"/>
    <m/>
    <m/>
    <m/>
    <m/>
    <m/>
    <m/>
    <n v="0"/>
    <n v="0"/>
  </r>
  <r>
    <x v="11"/>
    <x v="8"/>
    <s v="Critical Needs Nursing Initiative(NR)"/>
    <m/>
    <n v="218663"/>
    <x v="0"/>
    <m/>
    <m/>
    <n v="131514"/>
    <n v="0"/>
    <m/>
    <m/>
    <m/>
    <m/>
    <n v="0"/>
    <m/>
    <m/>
    <n v="0"/>
    <n v="131514"/>
    <n v="0"/>
    <m/>
    <m/>
    <m/>
    <m/>
    <n v="0"/>
    <m/>
    <m/>
    <n v="0"/>
    <m/>
    <m/>
    <m/>
    <m/>
    <m/>
    <m/>
    <n v="131514"/>
    <n v="0"/>
  </r>
  <r>
    <x v="11"/>
    <x v="8"/>
    <s v="Access &amp; Equity"/>
    <m/>
    <n v="218663"/>
    <x v="0"/>
    <m/>
    <m/>
    <n v="59251"/>
    <n v="0"/>
    <m/>
    <m/>
    <m/>
    <m/>
    <n v="0"/>
    <m/>
    <m/>
    <n v="0"/>
    <n v="59251"/>
    <n v="0"/>
    <m/>
    <m/>
    <m/>
    <m/>
    <n v="0"/>
    <m/>
    <m/>
    <n v="0"/>
    <m/>
    <m/>
    <m/>
    <m/>
    <m/>
    <m/>
    <n v="59251"/>
    <n v="0"/>
  </r>
  <r>
    <x v="11"/>
    <x v="8"/>
    <s v="Academic Endowment"/>
    <m/>
    <n v="218663"/>
    <x v="0"/>
    <m/>
    <m/>
    <n v="66216"/>
    <n v="30679"/>
    <m/>
    <m/>
    <m/>
    <m/>
    <n v="0"/>
    <m/>
    <m/>
    <n v="0"/>
    <n v="66216"/>
    <n v="30679"/>
    <m/>
    <m/>
    <m/>
    <m/>
    <n v="0"/>
    <m/>
    <m/>
    <n v="0"/>
    <m/>
    <m/>
    <m/>
    <m/>
    <m/>
    <m/>
    <n v="66216"/>
    <n v="30679"/>
  </r>
  <r>
    <x v="11"/>
    <x v="8"/>
    <s v="National Hydrogen Association"/>
    <m/>
    <n v="218663"/>
    <x v="0"/>
    <m/>
    <m/>
    <m/>
    <m/>
    <m/>
    <m/>
    <m/>
    <m/>
    <n v="0"/>
    <m/>
    <m/>
    <n v="0"/>
    <n v="0"/>
    <n v="0"/>
    <m/>
    <m/>
    <m/>
    <m/>
    <n v="0"/>
    <m/>
    <m/>
    <n v="0"/>
    <m/>
    <m/>
    <m/>
    <m/>
    <m/>
    <m/>
    <n v="0"/>
    <n v="0"/>
  </r>
  <r>
    <x v="11"/>
    <x v="8"/>
    <s v="Law Library"/>
    <m/>
    <n v="218663"/>
    <x v="0"/>
    <m/>
    <m/>
    <n v="344074"/>
    <n v="344074"/>
    <m/>
    <m/>
    <m/>
    <m/>
    <n v="0"/>
    <m/>
    <m/>
    <n v="0"/>
    <n v="344074"/>
    <n v="344074"/>
    <m/>
    <m/>
    <m/>
    <m/>
    <n v="0"/>
    <m/>
    <m/>
    <n v="0"/>
    <m/>
    <m/>
    <m/>
    <m/>
    <m/>
    <m/>
    <n v="344074"/>
    <n v="344074"/>
  </r>
  <r>
    <x v="11"/>
    <x v="8"/>
    <s v="African-American Professor Program"/>
    <m/>
    <n v="218663"/>
    <x v="0"/>
    <m/>
    <m/>
    <n v="178805"/>
    <n v="0"/>
    <m/>
    <m/>
    <m/>
    <m/>
    <n v="0"/>
    <m/>
    <m/>
    <n v="0"/>
    <n v="178805"/>
    <n v="0"/>
    <m/>
    <m/>
    <m/>
    <m/>
    <n v="0"/>
    <m/>
    <m/>
    <n v="0"/>
    <m/>
    <m/>
    <m/>
    <m/>
    <m/>
    <m/>
    <n v="178805"/>
    <n v="0"/>
  </r>
  <r>
    <x v="11"/>
    <x v="8"/>
    <s v="LightRail l(NR)"/>
    <m/>
    <n v="218663"/>
    <x v="0"/>
    <m/>
    <m/>
    <m/>
    <m/>
    <m/>
    <m/>
    <m/>
    <m/>
    <n v="0"/>
    <m/>
    <m/>
    <n v="0"/>
    <n v="0"/>
    <n v="0"/>
    <m/>
    <m/>
    <m/>
    <m/>
    <n v="0"/>
    <m/>
    <m/>
    <n v="0"/>
    <m/>
    <m/>
    <m/>
    <m/>
    <m/>
    <m/>
    <n v="0"/>
    <n v="0"/>
  </r>
  <r>
    <x v="11"/>
    <x v="1"/>
    <s v="Health professions education"/>
    <m/>
    <n v="218663"/>
    <x v="0"/>
    <m/>
    <m/>
    <m/>
    <m/>
    <m/>
    <m/>
    <m/>
    <m/>
    <n v="0"/>
    <m/>
    <m/>
    <n v="0"/>
    <n v="0"/>
    <n v="0"/>
    <m/>
    <m/>
    <m/>
    <m/>
    <n v="0"/>
    <m/>
    <m/>
    <n v="0"/>
    <m/>
    <m/>
    <m/>
    <m/>
    <m/>
    <m/>
    <n v="0"/>
    <n v="0"/>
  </r>
  <r>
    <x v="11"/>
    <x v="1"/>
    <s v="Medical School-E&amp;G"/>
    <m/>
    <n v="218663"/>
    <x v="0"/>
    <m/>
    <m/>
    <m/>
    <m/>
    <m/>
    <m/>
    <m/>
    <m/>
    <n v="0"/>
    <m/>
    <m/>
    <n v="0"/>
    <n v="0"/>
    <n v="0"/>
    <m/>
    <m/>
    <m/>
    <m/>
    <n v="0"/>
    <m/>
    <m/>
    <n v="0"/>
    <n v="12750000"/>
    <n v="12750000"/>
    <n v="11990303"/>
    <n v="804771"/>
    <n v="12106904"/>
    <n v="774205"/>
    <n v="24740303"/>
    <n v="24856904"/>
  </r>
  <r>
    <x v="11"/>
    <x v="1"/>
    <s v="Medical School-Fringe Benefits"/>
    <m/>
    <n v="218663"/>
    <x v="0"/>
    <m/>
    <m/>
    <m/>
    <m/>
    <m/>
    <m/>
    <m/>
    <m/>
    <n v="0"/>
    <m/>
    <m/>
    <n v="0"/>
    <n v="0"/>
    <n v="0"/>
    <m/>
    <m/>
    <m/>
    <m/>
    <n v="0"/>
    <m/>
    <m/>
    <n v="0"/>
    <n v="3121729"/>
    <n v="3121729"/>
    <m/>
    <m/>
    <m/>
    <m/>
    <n v="3121729"/>
    <n v="3121729"/>
  </r>
  <r>
    <x v="11"/>
    <x v="1"/>
    <s v="Medical School-Child Abuse"/>
    <m/>
    <n v="218663"/>
    <x v="0"/>
    <m/>
    <m/>
    <m/>
    <m/>
    <m/>
    <m/>
    <m/>
    <m/>
    <n v="0"/>
    <m/>
    <m/>
    <n v="0"/>
    <n v="0"/>
    <n v="0"/>
    <m/>
    <m/>
    <m/>
    <m/>
    <n v="0"/>
    <m/>
    <m/>
    <n v="0"/>
    <n v="800000"/>
    <n v="800000"/>
    <m/>
    <m/>
    <m/>
    <m/>
    <n v="800000"/>
    <n v="800000"/>
  </r>
  <r>
    <x v="11"/>
    <x v="1"/>
    <s v="Medical School-Access &amp; Equity"/>
    <m/>
    <n v="218663"/>
    <x v="0"/>
    <m/>
    <m/>
    <m/>
    <m/>
    <m/>
    <m/>
    <m/>
    <m/>
    <n v="0"/>
    <m/>
    <m/>
    <n v="0"/>
    <n v="0"/>
    <n v="0"/>
    <m/>
    <m/>
    <m/>
    <m/>
    <n v="0"/>
    <m/>
    <m/>
    <n v="0"/>
    <n v="14008"/>
    <n v="0"/>
    <m/>
    <m/>
    <m/>
    <m/>
    <n v="14008"/>
    <n v="0"/>
  </r>
  <r>
    <x v="11"/>
    <x v="1"/>
    <s v="Medical School-Rural Health Clinics (NR)"/>
    <m/>
    <n v="218663"/>
    <x v="0"/>
    <m/>
    <m/>
    <m/>
    <m/>
    <m/>
    <m/>
    <m/>
    <m/>
    <n v="0"/>
    <m/>
    <m/>
    <n v="0"/>
    <n v="0"/>
    <n v="0"/>
    <m/>
    <m/>
    <m/>
    <m/>
    <n v="0"/>
    <m/>
    <m/>
    <n v="0"/>
    <n v="3000000"/>
    <n v="0"/>
    <m/>
    <m/>
    <m/>
    <m/>
    <n v="3000000"/>
    <n v="0"/>
  </r>
  <r>
    <x v="11"/>
    <x v="0"/>
    <s v="Winthrop University "/>
    <m/>
    <n v="218964"/>
    <x v="2"/>
    <n v="13384409"/>
    <n v="10693726"/>
    <m/>
    <m/>
    <m/>
    <m/>
    <n v="60247764"/>
    <n v="6859321"/>
    <n v="67107085"/>
    <n v="62751677"/>
    <n v="6685615"/>
    <n v="69437292"/>
    <n v="73632173"/>
    <n v="73445403"/>
    <m/>
    <m/>
    <m/>
    <m/>
    <n v="0"/>
    <m/>
    <m/>
    <n v="0"/>
    <m/>
    <m/>
    <m/>
    <m/>
    <m/>
    <m/>
    <n v="73632173"/>
    <n v="73445403"/>
  </r>
  <r>
    <x v="11"/>
    <x v="0"/>
    <s v="Fringe Benefits"/>
    <m/>
    <n v="218964"/>
    <x v="2"/>
    <n v="2878365"/>
    <n v="2318191"/>
    <m/>
    <m/>
    <m/>
    <m/>
    <m/>
    <m/>
    <n v="0"/>
    <m/>
    <m/>
    <n v="0"/>
    <n v="2878365"/>
    <n v="2318191"/>
    <m/>
    <m/>
    <m/>
    <m/>
    <n v="0"/>
    <m/>
    <m/>
    <n v="0"/>
    <m/>
    <m/>
    <m/>
    <m/>
    <m/>
    <m/>
    <n v="2878365"/>
    <n v="2318191"/>
  </r>
  <r>
    <x v="11"/>
    <x v="8"/>
    <s v="Special Line items for education operations"/>
    <m/>
    <n v="218964"/>
    <x v="2"/>
    <m/>
    <m/>
    <m/>
    <m/>
    <m/>
    <m/>
    <m/>
    <m/>
    <n v="0"/>
    <m/>
    <m/>
    <n v="0"/>
    <n v="0"/>
    <n v="0"/>
    <m/>
    <m/>
    <m/>
    <m/>
    <n v="0"/>
    <m/>
    <m/>
    <n v="0"/>
    <m/>
    <m/>
    <m/>
    <m/>
    <m/>
    <m/>
    <n v="0"/>
    <n v="0"/>
  </r>
  <r>
    <x v="11"/>
    <x v="8"/>
    <s v="Access &amp; Equity"/>
    <m/>
    <n v="218964"/>
    <x v="2"/>
    <m/>
    <m/>
    <n v="11202"/>
    <n v="0"/>
    <m/>
    <m/>
    <m/>
    <m/>
    <n v="0"/>
    <m/>
    <m/>
    <n v="0"/>
    <n v="11202"/>
    <n v="0"/>
    <m/>
    <m/>
    <m/>
    <m/>
    <n v="0"/>
    <m/>
    <m/>
    <n v="0"/>
    <m/>
    <m/>
    <m/>
    <m/>
    <m/>
    <m/>
    <n v="11202"/>
    <n v="0"/>
  </r>
  <r>
    <x v="11"/>
    <x v="8"/>
    <s v="Academic Endowment"/>
    <m/>
    <n v="218964"/>
    <x v="2"/>
    <m/>
    <m/>
    <n v="18390"/>
    <n v="8829"/>
    <m/>
    <m/>
    <m/>
    <m/>
    <n v="0"/>
    <m/>
    <m/>
    <n v="0"/>
    <n v="18390"/>
    <n v="8829"/>
    <m/>
    <m/>
    <m/>
    <m/>
    <n v="0"/>
    <m/>
    <m/>
    <n v="0"/>
    <m/>
    <m/>
    <m/>
    <m/>
    <m/>
    <m/>
    <n v="18390"/>
    <n v="8829"/>
  </r>
  <r>
    <x v="11"/>
    <x v="8"/>
    <s v="Lottery Technology (NR)"/>
    <m/>
    <n v="218964"/>
    <x v="2"/>
    <m/>
    <m/>
    <n v="695348"/>
    <n v="391159"/>
    <m/>
    <m/>
    <m/>
    <m/>
    <n v="0"/>
    <m/>
    <m/>
    <n v="0"/>
    <n v="695348"/>
    <n v="391159"/>
    <m/>
    <m/>
    <m/>
    <m/>
    <n v="0"/>
    <m/>
    <m/>
    <n v="0"/>
    <m/>
    <m/>
    <m/>
    <m/>
    <m/>
    <m/>
    <n v="695348"/>
    <n v="391159"/>
  </r>
  <r>
    <x v="11"/>
    <x v="0"/>
    <s v="College of Charleston"/>
    <m/>
    <n v="217819"/>
    <x v="2"/>
    <n v="19748698"/>
    <n v="15608636"/>
    <m/>
    <m/>
    <m/>
    <m/>
    <n v="126031161.65647319"/>
    <n v="5260742"/>
    <n v="131291903.65647319"/>
    <n v="137129721"/>
    <n v="5442283"/>
    <n v="142572004"/>
    <n v="145779859.65647319"/>
    <n v="152738357"/>
    <m/>
    <m/>
    <m/>
    <m/>
    <n v="0"/>
    <m/>
    <m/>
    <n v="0"/>
    <m/>
    <m/>
    <m/>
    <m/>
    <m/>
    <m/>
    <n v="145779859.65647319"/>
    <n v="152738357"/>
  </r>
  <r>
    <x v="11"/>
    <x v="0"/>
    <s v="Fringe Benefits"/>
    <m/>
    <n v="217819"/>
    <x v="2"/>
    <n v="4003809"/>
    <n v="3364108"/>
    <m/>
    <m/>
    <m/>
    <m/>
    <m/>
    <m/>
    <n v="0"/>
    <m/>
    <m/>
    <n v="0"/>
    <n v="4003809"/>
    <n v="3364108"/>
    <m/>
    <m/>
    <m/>
    <m/>
    <n v="0"/>
    <m/>
    <m/>
    <n v="0"/>
    <m/>
    <m/>
    <m/>
    <m/>
    <m/>
    <m/>
    <n v="4003809"/>
    <n v="3364108"/>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Access &amp; Equity"/>
    <m/>
    <n v="217819"/>
    <x v="2"/>
    <m/>
    <m/>
    <n v="14762"/>
    <n v="0"/>
    <m/>
    <m/>
    <m/>
    <m/>
    <n v="0"/>
    <m/>
    <m/>
    <n v="0"/>
    <n v="14762"/>
    <n v="0"/>
    <m/>
    <m/>
    <m/>
    <m/>
    <n v="0"/>
    <m/>
    <m/>
    <n v="0"/>
    <m/>
    <m/>
    <m/>
    <m/>
    <m/>
    <m/>
    <n v="14762"/>
    <n v="0"/>
  </r>
  <r>
    <x v="11"/>
    <x v="8"/>
    <s v="Academic Endowment"/>
    <m/>
    <n v="217819"/>
    <x v="2"/>
    <m/>
    <m/>
    <n v="18424"/>
    <n v="9554"/>
    <m/>
    <m/>
    <m/>
    <m/>
    <n v="0"/>
    <m/>
    <m/>
    <n v="0"/>
    <n v="18424"/>
    <n v="9554"/>
    <m/>
    <m/>
    <m/>
    <m/>
    <n v="0"/>
    <m/>
    <m/>
    <n v="0"/>
    <m/>
    <m/>
    <m/>
    <m/>
    <m/>
    <m/>
    <n v="18424"/>
    <n v="9554"/>
  </r>
  <r>
    <x v="11"/>
    <x v="8"/>
    <s v="Lottery Technology (NR)"/>
    <m/>
    <n v="217819"/>
    <x v="2"/>
    <m/>
    <m/>
    <n v="1108157"/>
    <n v="628272"/>
    <m/>
    <m/>
    <m/>
    <m/>
    <n v="0"/>
    <m/>
    <m/>
    <n v="0"/>
    <n v="1108157"/>
    <n v="628272"/>
    <m/>
    <m/>
    <m/>
    <m/>
    <n v="0"/>
    <m/>
    <m/>
    <n v="0"/>
    <m/>
    <m/>
    <m/>
    <m/>
    <m/>
    <m/>
    <n v="1108157"/>
    <n v="628272"/>
  </r>
  <r>
    <x v="11"/>
    <x v="0"/>
    <s v="The Citadel, the Military College of South Carolina "/>
    <m/>
    <n v="217864"/>
    <x v="3"/>
    <n v="9437317"/>
    <n v="7475357"/>
    <m/>
    <m/>
    <m/>
    <m/>
    <n v="37953448"/>
    <n v="681467"/>
    <n v="38634915"/>
    <n v="42355789"/>
    <n v="686640"/>
    <n v="43042429"/>
    <n v="47390765"/>
    <n v="49831146"/>
    <m/>
    <m/>
    <m/>
    <m/>
    <n v="0"/>
    <m/>
    <m/>
    <n v="0"/>
    <m/>
    <m/>
    <m/>
    <m/>
    <m/>
    <m/>
    <n v="47390765"/>
    <n v="49831146"/>
  </r>
  <r>
    <x v="11"/>
    <x v="0"/>
    <s v="Fringe Benefits"/>
    <m/>
    <n v="217864"/>
    <x v="3"/>
    <n v="1818907"/>
    <n v="1517044"/>
    <m/>
    <m/>
    <m/>
    <m/>
    <m/>
    <m/>
    <n v="0"/>
    <m/>
    <m/>
    <n v="0"/>
    <n v="1818907"/>
    <n v="1517044"/>
    <m/>
    <m/>
    <m/>
    <m/>
    <n v="0"/>
    <m/>
    <m/>
    <n v="0"/>
    <m/>
    <m/>
    <m/>
    <m/>
    <m/>
    <m/>
    <n v="1818907"/>
    <n v="1517044"/>
  </r>
  <r>
    <x v="11"/>
    <x v="8"/>
    <s v="Special Line items for education operations"/>
    <m/>
    <n v="217864"/>
    <x v="3"/>
    <m/>
    <m/>
    <m/>
    <m/>
    <m/>
    <m/>
    <m/>
    <m/>
    <n v="0"/>
    <m/>
    <m/>
    <n v="0"/>
    <n v="0"/>
    <n v="0"/>
    <m/>
    <m/>
    <m/>
    <m/>
    <n v="0"/>
    <m/>
    <m/>
    <n v="0"/>
    <m/>
    <m/>
    <m/>
    <m/>
    <m/>
    <m/>
    <n v="0"/>
    <n v="0"/>
  </r>
  <r>
    <x v="11"/>
    <x v="8"/>
    <s v="Access &amp; Equity"/>
    <m/>
    <n v="217864"/>
    <x v="3"/>
    <m/>
    <m/>
    <n v="6223"/>
    <n v="0"/>
    <m/>
    <m/>
    <m/>
    <m/>
    <n v="0"/>
    <m/>
    <m/>
    <n v="0"/>
    <n v="6223"/>
    <n v="0"/>
    <m/>
    <m/>
    <m/>
    <m/>
    <n v="0"/>
    <m/>
    <m/>
    <n v="0"/>
    <m/>
    <m/>
    <m/>
    <m/>
    <m/>
    <m/>
    <n v="6223"/>
    <n v="0"/>
  </r>
  <r>
    <x v="11"/>
    <x v="8"/>
    <s v="Academic Endowment"/>
    <m/>
    <n v="217864"/>
    <x v="3"/>
    <m/>
    <m/>
    <n v="16685"/>
    <n v="10020"/>
    <m/>
    <m/>
    <m/>
    <m/>
    <n v="0"/>
    <m/>
    <m/>
    <n v="0"/>
    <n v="16685"/>
    <n v="10020"/>
    <m/>
    <m/>
    <m/>
    <m/>
    <n v="0"/>
    <m/>
    <m/>
    <n v="0"/>
    <m/>
    <m/>
    <m/>
    <m/>
    <m/>
    <m/>
    <n v="16685"/>
    <n v="10020"/>
  </r>
  <r>
    <x v="11"/>
    <x v="8"/>
    <s v="Lottery Technology (NR)"/>
    <m/>
    <n v="217864"/>
    <x v="3"/>
    <m/>
    <m/>
    <n v="509070"/>
    <n v="288888"/>
    <m/>
    <m/>
    <m/>
    <m/>
    <n v="0"/>
    <m/>
    <m/>
    <n v="0"/>
    <n v="509070"/>
    <n v="288888"/>
    <m/>
    <m/>
    <m/>
    <m/>
    <n v="0"/>
    <m/>
    <m/>
    <n v="0"/>
    <m/>
    <m/>
    <m/>
    <m/>
    <m/>
    <m/>
    <n v="509070"/>
    <n v="288888"/>
  </r>
  <r>
    <x v="11"/>
    <x v="0"/>
    <s v="Coastal Carolina University"/>
    <m/>
    <n v="218724"/>
    <x v="4"/>
    <n v="9612649"/>
    <n v="7458788"/>
    <m/>
    <m/>
    <n v="209658"/>
    <n v="224737"/>
    <n v="93401968"/>
    <n v="7092913"/>
    <n v="100494881"/>
    <n v="104603689"/>
    <n v="7320182"/>
    <n v="111923871"/>
    <n v="103224275"/>
    <n v="112287214"/>
    <m/>
    <m/>
    <m/>
    <m/>
    <n v="0"/>
    <m/>
    <m/>
    <n v="0"/>
    <m/>
    <m/>
    <m/>
    <m/>
    <m/>
    <m/>
    <n v="103224275"/>
    <n v="112287214"/>
  </r>
  <r>
    <x v="11"/>
    <x v="0"/>
    <s v="Other Operating"/>
    <m/>
    <n v="218724"/>
    <x v="4"/>
    <m/>
    <m/>
    <m/>
    <m/>
    <m/>
    <m/>
    <m/>
    <m/>
    <n v="0"/>
    <m/>
    <m/>
    <n v="0"/>
    <n v="0"/>
    <n v="0"/>
    <m/>
    <m/>
    <m/>
    <m/>
    <n v="0"/>
    <m/>
    <m/>
    <n v="0"/>
    <m/>
    <m/>
    <m/>
    <m/>
    <m/>
    <m/>
    <n v="0"/>
    <n v="0"/>
  </r>
  <r>
    <x v="11"/>
    <x v="0"/>
    <s v="Fringe Benefits"/>
    <m/>
    <n v="218724"/>
    <x v="4"/>
    <n v="1942680"/>
    <n v="1757169"/>
    <m/>
    <m/>
    <m/>
    <m/>
    <m/>
    <m/>
    <n v="0"/>
    <m/>
    <m/>
    <n v="0"/>
    <n v="1942680"/>
    <n v="1757169"/>
    <m/>
    <m/>
    <m/>
    <m/>
    <n v="0"/>
    <m/>
    <m/>
    <n v="0"/>
    <m/>
    <m/>
    <m/>
    <m/>
    <m/>
    <m/>
    <n v="1942680"/>
    <n v="1757169"/>
  </r>
  <r>
    <x v="11"/>
    <x v="8"/>
    <s v="Special Line items for education operations"/>
    <m/>
    <n v="218724"/>
    <x v="4"/>
    <m/>
    <m/>
    <m/>
    <m/>
    <m/>
    <m/>
    <m/>
    <m/>
    <n v="0"/>
    <m/>
    <m/>
    <n v="0"/>
    <n v="0"/>
    <n v="0"/>
    <m/>
    <m/>
    <m/>
    <m/>
    <n v="0"/>
    <m/>
    <m/>
    <n v="0"/>
    <m/>
    <m/>
    <m/>
    <m/>
    <m/>
    <m/>
    <n v="0"/>
    <n v="0"/>
  </r>
  <r>
    <x v="11"/>
    <x v="8"/>
    <s v="Access &amp; Equity"/>
    <m/>
    <n v="218724"/>
    <x v="4"/>
    <m/>
    <m/>
    <n v="9580"/>
    <n v="0"/>
    <m/>
    <m/>
    <m/>
    <m/>
    <n v="0"/>
    <m/>
    <m/>
    <n v="0"/>
    <n v="9580"/>
    <n v="0"/>
    <m/>
    <m/>
    <m/>
    <m/>
    <n v="0"/>
    <m/>
    <m/>
    <n v="0"/>
    <m/>
    <m/>
    <m/>
    <m/>
    <m/>
    <m/>
    <n v="9580"/>
    <n v="0"/>
  </r>
  <r>
    <x v="11"/>
    <x v="8"/>
    <s v="Academic Endowment"/>
    <m/>
    <n v="218724"/>
    <x v="4"/>
    <m/>
    <m/>
    <n v="9841"/>
    <n v="5767"/>
    <m/>
    <m/>
    <m/>
    <m/>
    <n v="0"/>
    <m/>
    <m/>
    <n v="0"/>
    <n v="9841"/>
    <n v="5767"/>
    <m/>
    <m/>
    <m/>
    <m/>
    <n v="0"/>
    <m/>
    <m/>
    <n v="0"/>
    <m/>
    <m/>
    <m/>
    <m/>
    <m/>
    <m/>
    <n v="9841"/>
    <n v="5767"/>
  </r>
  <r>
    <x v="11"/>
    <x v="8"/>
    <s v="Lottery Technology (NR)"/>
    <m/>
    <n v="218724"/>
    <x v="4"/>
    <m/>
    <m/>
    <n v="861465"/>
    <n v="497499"/>
    <m/>
    <m/>
    <m/>
    <m/>
    <n v="0"/>
    <m/>
    <m/>
    <n v="0"/>
    <n v="861465"/>
    <n v="497499"/>
    <m/>
    <m/>
    <m/>
    <m/>
    <n v="0"/>
    <m/>
    <m/>
    <n v="0"/>
    <m/>
    <m/>
    <m/>
    <m/>
    <m/>
    <m/>
    <n v="861465"/>
    <n v="497499"/>
  </r>
  <r>
    <x v="11"/>
    <x v="0"/>
    <s v="Francis Marion University "/>
    <m/>
    <n v="218061"/>
    <x v="4"/>
    <n v="11074199"/>
    <n v="8795988"/>
    <m/>
    <m/>
    <m/>
    <m/>
    <n v="29907716"/>
    <n v="0"/>
    <n v="29907716"/>
    <n v="32631218"/>
    <m/>
    <n v="32631218"/>
    <n v="40981915"/>
    <n v="41427206"/>
    <m/>
    <m/>
    <m/>
    <m/>
    <n v="0"/>
    <m/>
    <m/>
    <n v="0"/>
    <m/>
    <m/>
    <m/>
    <m/>
    <m/>
    <m/>
    <n v="40981915"/>
    <n v="41427206"/>
  </r>
  <r>
    <x v="11"/>
    <x v="0"/>
    <s v="Fringe Benefits"/>
    <m/>
    <n v="218061"/>
    <x v="4"/>
    <n v="2313879"/>
    <n v="1907062"/>
    <m/>
    <m/>
    <m/>
    <m/>
    <m/>
    <m/>
    <n v="0"/>
    <m/>
    <m/>
    <n v="0"/>
    <n v="2313879"/>
    <n v="1907062"/>
    <m/>
    <m/>
    <m/>
    <m/>
    <n v="0"/>
    <m/>
    <m/>
    <n v="0"/>
    <m/>
    <m/>
    <m/>
    <m/>
    <m/>
    <m/>
    <n v="2313879"/>
    <n v="1907062"/>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Access &amp; Equity"/>
    <m/>
    <n v="218061"/>
    <x v="4"/>
    <m/>
    <m/>
    <n v="8281"/>
    <n v="0"/>
    <m/>
    <m/>
    <m/>
    <m/>
    <n v="0"/>
    <m/>
    <m/>
    <n v="0"/>
    <n v="8281"/>
    <n v="0"/>
    <m/>
    <m/>
    <m/>
    <m/>
    <n v="0"/>
    <m/>
    <m/>
    <n v="0"/>
    <m/>
    <m/>
    <m/>
    <m/>
    <m/>
    <m/>
    <n v="8281"/>
    <n v="0"/>
  </r>
  <r>
    <x v="11"/>
    <x v="8"/>
    <s v="EEDA Implementation"/>
    <m/>
    <n v="218061"/>
    <x v="4"/>
    <m/>
    <m/>
    <n v="0"/>
    <n v="0"/>
    <m/>
    <m/>
    <m/>
    <m/>
    <n v="0"/>
    <m/>
    <m/>
    <n v="0"/>
    <n v="0"/>
    <n v="0"/>
    <m/>
    <m/>
    <m/>
    <m/>
    <n v="0"/>
    <m/>
    <m/>
    <n v="0"/>
    <m/>
    <m/>
    <m/>
    <m/>
    <m/>
    <m/>
    <n v="0"/>
    <n v="0"/>
  </r>
  <r>
    <x v="11"/>
    <x v="8"/>
    <s v="Academic Endowment"/>
    <m/>
    <n v="218061"/>
    <x v="4"/>
    <m/>
    <m/>
    <n v="8809"/>
    <n v="4925"/>
    <m/>
    <m/>
    <m/>
    <m/>
    <n v="0"/>
    <m/>
    <m/>
    <n v="0"/>
    <n v="8809"/>
    <n v="4925"/>
    <m/>
    <m/>
    <m/>
    <m/>
    <n v="0"/>
    <m/>
    <m/>
    <n v="0"/>
    <m/>
    <m/>
    <m/>
    <m/>
    <m/>
    <m/>
    <n v="8809"/>
    <n v="4925"/>
  </r>
  <r>
    <x v="11"/>
    <x v="8"/>
    <s v="Critical Needs Nursing Initiative(NR)"/>
    <m/>
    <n v="218061"/>
    <x v="4"/>
    <m/>
    <m/>
    <s v="moved to base"/>
    <n v="0"/>
    <m/>
    <m/>
    <m/>
    <m/>
    <n v="0"/>
    <m/>
    <m/>
    <n v="0"/>
    <n v="0"/>
    <n v="0"/>
    <m/>
    <m/>
    <m/>
    <m/>
    <n v="0"/>
    <m/>
    <m/>
    <n v="0"/>
    <m/>
    <m/>
    <m/>
    <m/>
    <m/>
    <m/>
    <n v="0"/>
    <n v="0"/>
  </r>
  <r>
    <x v="11"/>
    <x v="8"/>
    <s v="Nursing Program"/>
    <m/>
    <n v="218061"/>
    <x v="4"/>
    <m/>
    <m/>
    <m/>
    <m/>
    <m/>
    <m/>
    <m/>
    <m/>
    <n v="0"/>
    <m/>
    <m/>
    <n v="0"/>
    <n v="0"/>
    <n v="0"/>
    <m/>
    <m/>
    <m/>
    <m/>
    <n v="0"/>
    <m/>
    <m/>
    <n v="0"/>
    <m/>
    <m/>
    <m/>
    <m/>
    <m/>
    <m/>
    <n v="0"/>
    <n v="0"/>
  </r>
  <r>
    <x v="11"/>
    <x v="8"/>
    <s v="Accreditation &amp; Program Enhancement"/>
    <m/>
    <n v="218061"/>
    <x v="4"/>
    <m/>
    <m/>
    <m/>
    <m/>
    <m/>
    <m/>
    <m/>
    <m/>
    <n v="0"/>
    <m/>
    <m/>
    <n v="0"/>
    <n v="0"/>
    <n v="0"/>
    <m/>
    <m/>
    <m/>
    <m/>
    <n v="0"/>
    <m/>
    <m/>
    <n v="0"/>
    <m/>
    <m/>
    <m/>
    <m/>
    <m/>
    <m/>
    <n v="0"/>
    <n v="0"/>
  </r>
  <r>
    <x v="11"/>
    <x v="8"/>
    <s v="Lottery Technology (NR)"/>
    <m/>
    <n v="218061"/>
    <x v="4"/>
    <m/>
    <m/>
    <n v="511667"/>
    <n v="290561"/>
    <m/>
    <m/>
    <m/>
    <m/>
    <n v="0"/>
    <m/>
    <m/>
    <n v="0"/>
    <n v="511667"/>
    <n v="290561"/>
    <m/>
    <m/>
    <m/>
    <m/>
    <n v="0"/>
    <m/>
    <m/>
    <n v="0"/>
    <m/>
    <m/>
    <m/>
    <m/>
    <m/>
    <m/>
    <n v="511667"/>
    <n v="290561"/>
  </r>
  <r>
    <x v="11"/>
    <x v="0"/>
    <s v="South Carolina State University "/>
    <m/>
    <n v="218733"/>
    <x v="4"/>
    <n v="11906384"/>
    <n v="9233541"/>
    <m/>
    <m/>
    <m/>
    <m/>
    <n v="42913637"/>
    <n v="1850000"/>
    <n v="44763637"/>
    <n v="40404360"/>
    <n v="2635221"/>
    <n v="43039581"/>
    <n v="54820021"/>
    <n v="49637901"/>
    <m/>
    <m/>
    <m/>
    <m/>
    <n v="0"/>
    <m/>
    <m/>
    <n v="0"/>
    <m/>
    <m/>
    <m/>
    <m/>
    <m/>
    <m/>
    <n v="54820021"/>
    <n v="49637901"/>
  </r>
  <r>
    <x v="11"/>
    <x v="0"/>
    <s v="Fringe Benefits"/>
    <m/>
    <n v="218733"/>
    <x v="4"/>
    <n v="3307432"/>
    <n v="2665167"/>
    <m/>
    <m/>
    <m/>
    <m/>
    <m/>
    <m/>
    <n v="0"/>
    <m/>
    <m/>
    <n v="0"/>
    <n v="3307432"/>
    <n v="2665167"/>
    <m/>
    <m/>
    <m/>
    <m/>
    <n v="0"/>
    <m/>
    <m/>
    <n v="0"/>
    <m/>
    <m/>
    <m/>
    <m/>
    <m/>
    <m/>
    <n v="3307432"/>
    <n v="2665167"/>
  </r>
  <r>
    <x v="11"/>
    <x v="3"/>
    <s v="Community or public service units"/>
    <m/>
    <n v="218733"/>
    <x v="4"/>
    <m/>
    <m/>
    <m/>
    <m/>
    <m/>
    <m/>
    <m/>
    <m/>
    <n v="0"/>
    <m/>
    <m/>
    <n v="0"/>
    <n v="0"/>
    <n v="0"/>
    <m/>
    <m/>
    <m/>
    <m/>
    <n v="0"/>
    <m/>
    <m/>
    <n v="0"/>
    <m/>
    <m/>
    <m/>
    <m/>
    <m/>
    <m/>
    <n v="0"/>
    <n v="0"/>
  </r>
  <r>
    <x v="11"/>
    <x v="5"/>
    <s v="Public Service Activities"/>
    <m/>
    <n v="218733"/>
    <x v="4"/>
    <m/>
    <m/>
    <n v="2559686"/>
    <n v="2071450"/>
    <m/>
    <m/>
    <m/>
    <m/>
    <n v="0"/>
    <m/>
    <m/>
    <n v="0"/>
    <n v="2559686"/>
    <n v="2071450"/>
    <m/>
    <m/>
    <m/>
    <m/>
    <n v="0"/>
    <m/>
    <m/>
    <n v="0"/>
    <m/>
    <m/>
    <m/>
    <m/>
    <m/>
    <m/>
    <n v="2559686"/>
    <n v="2071450"/>
  </r>
  <r>
    <x v="11"/>
    <x v="5"/>
    <s v="Public Service Supplement (NR)"/>
    <m/>
    <n v="218733"/>
    <x v="4"/>
    <m/>
    <m/>
    <m/>
    <m/>
    <m/>
    <m/>
    <m/>
    <m/>
    <n v="0"/>
    <m/>
    <m/>
    <n v="0"/>
    <n v="0"/>
    <n v="0"/>
    <m/>
    <m/>
    <m/>
    <m/>
    <n v="0"/>
    <m/>
    <m/>
    <n v="0"/>
    <m/>
    <m/>
    <m/>
    <m/>
    <m/>
    <m/>
    <n v="0"/>
    <n v="0"/>
  </r>
  <r>
    <x v="11"/>
    <x v="7"/>
    <s v="Research centers/institutes"/>
    <m/>
    <n v="218733"/>
    <x v="4"/>
    <m/>
    <m/>
    <m/>
    <m/>
    <m/>
    <m/>
    <m/>
    <m/>
    <n v="0"/>
    <m/>
    <m/>
    <n v="0"/>
    <n v="0"/>
    <n v="0"/>
    <m/>
    <m/>
    <m/>
    <m/>
    <n v="0"/>
    <m/>
    <m/>
    <n v="0"/>
    <m/>
    <m/>
    <m/>
    <m/>
    <m/>
    <m/>
    <n v="0"/>
    <n v="0"/>
  </r>
  <r>
    <x v="11"/>
    <x v="7"/>
    <s v="S.C.  State Univ. Transportation Center"/>
    <m/>
    <n v="218733"/>
    <x v="4"/>
    <m/>
    <m/>
    <n v="778683"/>
    <n v="0"/>
    <m/>
    <m/>
    <m/>
    <m/>
    <n v="0"/>
    <m/>
    <m/>
    <n v="0"/>
    <n v="778683"/>
    <n v="0"/>
    <m/>
    <m/>
    <m/>
    <m/>
    <n v="0"/>
    <m/>
    <m/>
    <n v="0"/>
    <m/>
    <m/>
    <m/>
    <m/>
    <m/>
    <m/>
    <n v="778683"/>
    <n v="0"/>
  </r>
  <r>
    <x v="11"/>
    <x v="8"/>
    <s v="Special Line items for education operations"/>
    <m/>
    <n v="218733"/>
    <x v="4"/>
    <m/>
    <m/>
    <m/>
    <m/>
    <m/>
    <m/>
    <m/>
    <m/>
    <n v="0"/>
    <m/>
    <m/>
    <n v="0"/>
    <n v="0"/>
    <n v="0"/>
    <m/>
    <m/>
    <m/>
    <m/>
    <n v="0"/>
    <m/>
    <m/>
    <n v="0"/>
    <m/>
    <m/>
    <m/>
    <m/>
    <m/>
    <m/>
    <n v="0"/>
    <n v="0"/>
  </r>
  <r>
    <x v="11"/>
    <x v="8"/>
    <s v="Access &amp; Equity"/>
    <m/>
    <n v="218733"/>
    <x v="4"/>
    <m/>
    <m/>
    <n v="99414"/>
    <n v="0"/>
    <m/>
    <m/>
    <m/>
    <m/>
    <n v="0"/>
    <m/>
    <m/>
    <n v="0"/>
    <n v="99414"/>
    <n v="0"/>
    <m/>
    <m/>
    <m/>
    <m/>
    <n v="0"/>
    <m/>
    <m/>
    <n v="0"/>
    <m/>
    <m/>
    <m/>
    <m/>
    <m/>
    <m/>
    <n v="99414"/>
    <n v="0"/>
  </r>
  <r>
    <x v="11"/>
    <x v="8"/>
    <s v="Academic Endowment"/>
    <m/>
    <n v="218733"/>
    <x v="4"/>
    <m/>
    <m/>
    <n v="4122"/>
    <n v="1952"/>
    <m/>
    <m/>
    <m/>
    <m/>
    <n v="0"/>
    <m/>
    <m/>
    <n v="0"/>
    <n v="4122"/>
    <n v="1952"/>
    <m/>
    <m/>
    <m/>
    <m/>
    <n v="0"/>
    <m/>
    <m/>
    <n v="0"/>
    <m/>
    <m/>
    <m/>
    <m/>
    <m/>
    <m/>
    <n v="4122"/>
    <n v="1952"/>
  </r>
  <r>
    <x v="11"/>
    <x v="8"/>
    <s v="Critical Needs Nursing Initiative"/>
    <m/>
    <n v="218733"/>
    <x v="4"/>
    <m/>
    <m/>
    <s v="moved to base"/>
    <m/>
    <m/>
    <m/>
    <m/>
    <m/>
    <n v="0"/>
    <m/>
    <m/>
    <n v="0"/>
    <n v="0"/>
    <n v="0"/>
    <m/>
    <m/>
    <m/>
    <m/>
    <n v="0"/>
    <m/>
    <m/>
    <n v="0"/>
    <m/>
    <m/>
    <m/>
    <m/>
    <m/>
    <m/>
    <n v="0"/>
    <n v="0"/>
  </r>
  <r>
    <x v="11"/>
    <x v="8"/>
    <s v="Critical Needs Nursing Initiative(NR)"/>
    <m/>
    <n v="218733"/>
    <x v="4"/>
    <m/>
    <m/>
    <n v="10489"/>
    <n v="0"/>
    <m/>
    <m/>
    <m/>
    <m/>
    <n v="0"/>
    <m/>
    <m/>
    <n v="0"/>
    <n v="10489"/>
    <n v="0"/>
    <m/>
    <m/>
    <m/>
    <m/>
    <n v="0"/>
    <m/>
    <m/>
    <n v="0"/>
    <m/>
    <m/>
    <m/>
    <m/>
    <m/>
    <m/>
    <n v="10489"/>
    <n v="0"/>
  </r>
  <r>
    <x v="11"/>
    <x v="8"/>
    <s v="Teacher Training &amp; Development"/>
    <m/>
    <n v="218733"/>
    <x v="4"/>
    <m/>
    <m/>
    <n v="478786"/>
    <n v="0"/>
    <m/>
    <m/>
    <m/>
    <m/>
    <n v="0"/>
    <m/>
    <m/>
    <n v="0"/>
    <n v="478786"/>
    <n v="0"/>
    <m/>
    <m/>
    <m/>
    <m/>
    <n v="0"/>
    <m/>
    <m/>
    <n v="0"/>
    <m/>
    <m/>
    <m/>
    <m/>
    <m/>
    <m/>
    <n v="478786"/>
    <n v="0"/>
  </r>
  <r>
    <x v="11"/>
    <x v="8"/>
    <s v="S.C. State Univ. Business School "/>
    <m/>
    <n v="218733"/>
    <x v="4"/>
    <m/>
    <m/>
    <n v="284893"/>
    <n v="240890"/>
    <m/>
    <m/>
    <m/>
    <m/>
    <n v="0"/>
    <m/>
    <m/>
    <n v="0"/>
    <n v="284893"/>
    <n v="240890"/>
    <m/>
    <m/>
    <m/>
    <m/>
    <n v="0"/>
    <m/>
    <m/>
    <n v="0"/>
    <m/>
    <m/>
    <m/>
    <m/>
    <m/>
    <m/>
    <n v="284893"/>
    <n v="240890"/>
  </r>
  <r>
    <x v="11"/>
    <x v="8"/>
    <s v="Transportation Center Match"/>
    <m/>
    <n v="218733"/>
    <x v="4"/>
    <m/>
    <m/>
    <n v="284893"/>
    <n v="240890"/>
    <m/>
    <m/>
    <m/>
    <m/>
    <n v="0"/>
    <m/>
    <m/>
    <n v="0"/>
    <n v="284893"/>
    <n v="240890"/>
    <m/>
    <m/>
    <m/>
    <m/>
    <n v="0"/>
    <m/>
    <m/>
    <n v="0"/>
    <m/>
    <m/>
    <m/>
    <m/>
    <m/>
    <m/>
    <n v="284893"/>
    <n v="240890"/>
  </r>
  <r>
    <x v="11"/>
    <x v="8"/>
    <s v="South Carolina Alliance for Minority Participation (SCAMP)"/>
    <m/>
    <n v="218733"/>
    <x v="4"/>
    <m/>
    <m/>
    <n v="226341"/>
    <n v="0"/>
    <m/>
    <m/>
    <m/>
    <m/>
    <n v="0"/>
    <m/>
    <m/>
    <n v="0"/>
    <n v="226341"/>
    <n v="0"/>
    <m/>
    <m/>
    <m/>
    <m/>
    <n v="0"/>
    <m/>
    <m/>
    <n v="0"/>
    <m/>
    <m/>
    <m/>
    <m/>
    <m/>
    <m/>
    <n v="226341"/>
    <n v="0"/>
  </r>
  <r>
    <x v="11"/>
    <x v="8"/>
    <s v="African American Loan Program"/>
    <m/>
    <n v="218733"/>
    <x v="4"/>
    <m/>
    <m/>
    <n v="107991"/>
    <n v="90912"/>
    <m/>
    <m/>
    <m/>
    <m/>
    <n v="0"/>
    <m/>
    <m/>
    <n v="0"/>
    <n v="107991"/>
    <n v="90912"/>
    <m/>
    <m/>
    <m/>
    <m/>
    <n v="0"/>
    <m/>
    <m/>
    <n v="0"/>
    <m/>
    <m/>
    <m/>
    <m/>
    <m/>
    <m/>
    <n v="107991"/>
    <n v="90912"/>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587500"/>
    <n v="375000"/>
    <m/>
    <m/>
    <m/>
    <m/>
    <n v="0"/>
    <m/>
    <m/>
    <n v="0"/>
    <n v="587500"/>
    <n v="375000"/>
    <m/>
    <m/>
    <m/>
    <m/>
    <n v="0"/>
    <m/>
    <m/>
    <n v="0"/>
    <m/>
    <m/>
    <m/>
    <m/>
    <m/>
    <m/>
    <n v="587500"/>
    <n v="375000"/>
  </r>
  <r>
    <x v="11"/>
    <x v="8"/>
    <s v="Lottery Technology (NR)"/>
    <m/>
    <n v="218733"/>
    <x v="4"/>
    <m/>
    <m/>
    <n v="625812"/>
    <n v="338774"/>
    <m/>
    <m/>
    <m/>
    <m/>
    <n v="0"/>
    <m/>
    <m/>
    <n v="0"/>
    <n v="625812"/>
    <n v="338774"/>
    <m/>
    <m/>
    <m/>
    <m/>
    <n v="0"/>
    <m/>
    <m/>
    <n v="0"/>
    <m/>
    <m/>
    <m/>
    <m/>
    <m/>
    <m/>
    <n v="625812"/>
    <n v="338774"/>
  </r>
  <r>
    <x v="11"/>
    <x v="8"/>
    <s v="SC State Bridge Program (NR)"/>
    <m/>
    <n v="218733"/>
    <x v="4"/>
    <m/>
    <m/>
    <m/>
    <m/>
    <m/>
    <m/>
    <m/>
    <m/>
    <n v="0"/>
    <m/>
    <m/>
    <n v="0"/>
    <n v="0"/>
    <n v="0"/>
    <m/>
    <m/>
    <m/>
    <m/>
    <n v="0"/>
    <m/>
    <m/>
    <n v="0"/>
    <m/>
    <m/>
    <m/>
    <m/>
    <m/>
    <m/>
    <n v="0"/>
    <n v="0"/>
  </r>
  <r>
    <x v="11"/>
    <x v="8"/>
    <s v="Supplement - CDC (NR)"/>
    <m/>
    <n v="218733"/>
    <x v="4"/>
    <m/>
    <m/>
    <m/>
    <m/>
    <m/>
    <m/>
    <m/>
    <m/>
    <n v="0"/>
    <m/>
    <m/>
    <n v="0"/>
    <n v="0"/>
    <n v="0"/>
    <m/>
    <m/>
    <m/>
    <m/>
    <n v="0"/>
    <m/>
    <m/>
    <n v="0"/>
    <m/>
    <m/>
    <m/>
    <m/>
    <m/>
    <m/>
    <n v="0"/>
    <n v="0"/>
  </r>
  <r>
    <x v="11"/>
    <x v="0"/>
    <s v="Lander University"/>
    <s v="Met the criteria for Four-Year 5 in 2010-11."/>
    <n v="218229"/>
    <x v="5"/>
    <n v="5987053"/>
    <n v="4797169"/>
    <m/>
    <m/>
    <m/>
    <m/>
    <n v="24580222"/>
    <n v="1615646"/>
    <n v="26195868"/>
    <n v="21072315"/>
    <n v="1627409"/>
    <n v="22699724"/>
    <n v="30567275"/>
    <n v="25869484"/>
    <m/>
    <m/>
    <m/>
    <m/>
    <n v="0"/>
    <m/>
    <m/>
    <n v="0"/>
    <m/>
    <m/>
    <m/>
    <m/>
    <m/>
    <m/>
    <n v="30567275"/>
    <n v="25869484"/>
  </r>
  <r>
    <x v="11"/>
    <x v="0"/>
    <s v="Fringe Benefits"/>
    <m/>
    <n v="218229"/>
    <x v="5"/>
    <n v="1587213"/>
    <n v="1269435"/>
    <m/>
    <m/>
    <m/>
    <m/>
    <m/>
    <m/>
    <n v="0"/>
    <m/>
    <m/>
    <n v="0"/>
    <n v="1587213"/>
    <n v="1269435"/>
    <m/>
    <m/>
    <m/>
    <m/>
    <n v="0"/>
    <m/>
    <m/>
    <n v="0"/>
    <m/>
    <m/>
    <m/>
    <m/>
    <m/>
    <m/>
    <n v="1587213"/>
    <n v="1269435"/>
  </r>
  <r>
    <x v="11"/>
    <x v="8"/>
    <s v="Special Line items for education operations"/>
    <m/>
    <n v="218229"/>
    <x v="5"/>
    <m/>
    <m/>
    <m/>
    <m/>
    <m/>
    <m/>
    <m/>
    <m/>
    <n v="0"/>
    <m/>
    <m/>
    <n v="0"/>
    <n v="0"/>
    <n v="0"/>
    <m/>
    <m/>
    <m/>
    <m/>
    <n v="0"/>
    <m/>
    <m/>
    <n v="0"/>
    <m/>
    <m/>
    <m/>
    <m/>
    <m/>
    <m/>
    <n v="0"/>
    <n v="0"/>
  </r>
  <r>
    <x v="11"/>
    <x v="8"/>
    <s v="Access &amp; Equity"/>
    <m/>
    <n v="218229"/>
    <x v="5"/>
    <m/>
    <m/>
    <n v="5852"/>
    <n v="0"/>
    <m/>
    <m/>
    <m/>
    <m/>
    <n v="0"/>
    <m/>
    <m/>
    <n v="0"/>
    <n v="5852"/>
    <n v="0"/>
    <m/>
    <m/>
    <m/>
    <m/>
    <n v="0"/>
    <m/>
    <m/>
    <n v="0"/>
    <m/>
    <m/>
    <m/>
    <m/>
    <m/>
    <m/>
    <n v="5852"/>
    <n v="0"/>
  </r>
  <r>
    <x v="11"/>
    <x v="8"/>
    <s v="Academic Endowment"/>
    <m/>
    <n v="218229"/>
    <x v="5"/>
    <m/>
    <m/>
    <n v="6717"/>
    <n v="4285"/>
    <m/>
    <m/>
    <m/>
    <m/>
    <n v="0"/>
    <m/>
    <m/>
    <n v="0"/>
    <n v="6717"/>
    <n v="4285"/>
    <m/>
    <m/>
    <m/>
    <m/>
    <n v="0"/>
    <m/>
    <m/>
    <n v="0"/>
    <m/>
    <m/>
    <m/>
    <m/>
    <m/>
    <m/>
    <n v="6717"/>
    <n v="4285"/>
  </r>
  <r>
    <x v="11"/>
    <x v="8"/>
    <s v="Critical Needs Nursing Initiative"/>
    <m/>
    <n v="218229"/>
    <x v="5"/>
    <m/>
    <m/>
    <n v="17972"/>
    <m/>
    <m/>
    <m/>
    <m/>
    <m/>
    <n v="0"/>
    <m/>
    <m/>
    <n v="0"/>
    <n v="17972"/>
    <n v="0"/>
    <m/>
    <m/>
    <m/>
    <m/>
    <n v="0"/>
    <m/>
    <m/>
    <n v="0"/>
    <m/>
    <m/>
    <m/>
    <m/>
    <m/>
    <m/>
    <n v="17972"/>
    <n v="0"/>
  </r>
  <r>
    <x v="11"/>
    <x v="8"/>
    <s v="Critical Needs Nursing Initiative(NR)"/>
    <m/>
    <n v="218229"/>
    <x v="5"/>
    <m/>
    <m/>
    <n v="19618"/>
    <n v="0"/>
    <m/>
    <m/>
    <m/>
    <m/>
    <n v="0"/>
    <m/>
    <m/>
    <n v="0"/>
    <n v="19618"/>
    <n v="0"/>
    <m/>
    <m/>
    <m/>
    <m/>
    <n v="0"/>
    <m/>
    <m/>
    <n v="0"/>
    <m/>
    <m/>
    <m/>
    <m/>
    <m/>
    <m/>
    <n v="19618"/>
    <n v="0"/>
  </r>
  <r>
    <x v="11"/>
    <x v="8"/>
    <s v="Lottery Technology (NR)"/>
    <m/>
    <n v="218229"/>
    <x v="5"/>
    <m/>
    <m/>
    <n v="421428"/>
    <n v="248130"/>
    <m/>
    <m/>
    <m/>
    <m/>
    <n v="0"/>
    <m/>
    <m/>
    <n v="0"/>
    <n v="421428"/>
    <n v="248130"/>
    <m/>
    <m/>
    <m/>
    <m/>
    <n v="0"/>
    <m/>
    <m/>
    <n v="0"/>
    <m/>
    <m/>
    <m/>
    <m/>
    <m/>
    <m/>
    <n v="421428"/>
    <n v="248130"/>
  </r>
  <r>
    <x v="11"/>
    <x v="0"/>
    <s v="University of South Carolina-Aiken"/>
    <m/>
    <n v="218645"/>
    <x v="5"/>
    <n v="6488107"/>
    <n v="5135000"/>
    <m/>
    <m/>
    <m/>
    <m/>
    <n v="23746894"/>
    <n v="1297186"/>
    <n v="25044080"/>
    <n v="25679732"/>
    <n v="1322675"/>
    <n v="27002407"/>
    <n v="30235001"/>
    <n v="30814732"/>
    <m/>
    <m/>
    <m/>
    <m/>
    <n v="0"/>
    <m/>
    <m/>
    <n v="0"/>
    <m/>
    <m/>
    <m/>
    <m/>
    <m/>
    <m/>
    <n v="30235001"/>
    <n v="30814732"/>
  </r>
  <r>
    <x v="11"/>
    <x v="0"/>
    <s v="Fringe Benefits"/>
    <m/>
    <n v="218645"/>
    <x v="5"/>
    <n v="1272409"/>
    <n v="1072411"/>
    <m/>
    <m/>
    <m/>
    <m/>
    <m/>
    <m/>
    <n v="0"/>
    <m/>
    <m/>
    <n v="0"/>
    <n v="1272409"/>
    <n v="1072411"/>
    <m/>
    <m/>
    <m/>
    <m/>
    <n v="0"/>
    <m/>
    <m/>
    <n v="0"/>
    <m/>
    <m/>
    <m/>
    <m/>
    <m/>
    <m/>
    <n v="1272409"/>
    <n v="1072411"/>
  </r>
  <r>
    <x v="11"/>
    <x v="8"/>
    <s v="Special Line items for education operations"/>
    <m/>
    <n v="218645"/>
    <x v="5"/>
    <m/>
    <m/>
    <m/>
    <m/>
    <m/>
    <m/>
    <m/>
    <m/>
    <n v="0"/>
    <m/>
    <m/>
    <n v="0"/>
    <n v="0"/>
    <n v="0"/>
    <m/>
    <m/>
    <m/>
    <m/>
    <n v="0"/>
    <m/>
    <m/>
    <n v="0"/>
    <m/>
    <m/>
    <m/>
    <m/>
    <m/>
    <m/>
    <n v="0"/>
    <n v="0"/>
  </r>
  <r>
    <x v="11"/>
    <x v="8"/>
    <s v="Access &amp; Equity"/>
    <m/>
    <n v="218645"/>
    <x v="5"/>
    <m/>
    <m/>
    <n v="6156"/>
    <n v="0"/>
    <m/>
    <m/>
    <m/>
    <m/>
    <n v="0"/>
    <m/>
    <m/>
    <n v="0"/>
    <n v="6156"/>
    <n v="0"/>
    <m/>
    <m/>
    <m/>
    <m/>
    <n v="0"/>
    <m/>
    <m/>
    <n v="0"/>
    <m/>
    <m/>
    <m/>
    <m/>
    <m/>
    <m/>
    <n v="6156"/>
    <n v="0"/>
  </r>
  <r>
    <x v="11"/>
    <x v="8"/>
    <s v="Academic Endowment"/>
    <m/>
    <n v="218645"/>
    <x v="5"/>
    <m/>
    <m/>
    <n v="8709"/>
    <n v="5144"/>
    <m/>
    <m/>
    <m/>
    <m/>
    <n v="0"/>
    <m/>
    <m/>
    <n v="0"/>
    <n v="8709"/>
    <n v="5144"/>
    <m/>
    <m/>
    <m/>
    <m/>
    <n v="0"/>
    <m/>
    <m/>
    <n v="0"/>
    <m/>
    <m/>
    <m/>
    <m/>
    <m/>
    <m/>
    <n v="8709"/>
    <n v="5144"/>
  </r>
  <r>
    <x v="11"/>
    <x v="8"/>
    <s v="Critical Needs Nursing Initiative"/>
    <m/>
    <n v="218645"/>
    <x v="5"/>
    <m/>
    <m/>
    <n v="11893"/>
    <m/>
    <m/>
    <m/>
    <m/>
    <m/>
    <n v="0"/>
    <m/>
    <m/>
    <n v="0"/>
    <n v="11893"/>
    <n v="0"/>
    <m/>
    <m/>
    <m/>
    <m/>
    <n v="0"/>
    <m/>
    <m/>
    <n v="0"/>
    <m/>
    <m/>
    <m/>
    <m/>
    <m/>
    <m/>
    <n v="11893"/>
    <n v="0"/>
  </r>
  <r>
    <x v="11"/>
    <x v="8"/>
    <s v="Critical Needs Nursing Initiative(NR)"/>
    <m/>
    <n v="218645"/>
    <x v="5"/>
    <m/>
    <m/>
    <n v="32953"/>
    <n v="0"/>
    <m/>
    <m/>
    <m/>
    <m/>
    <n v="0"/>
    <m/>
    <m/>
    <n v="0"/>
    <n v="32953"/>
    <n v="0"/>
    <m/>
    <m/>
    <m/>
    <m/>
    <n v="0"/>
    <m/>
    <m/>
    <n v="0"/>
    <m/>
    <m/>
    <m/>
    <m/>
    <m/>
    <m/>
    <n v="32953"/>
    <n v="0"/>
  </r>
  <r>
    <x v="11"/>
    <x v="8"/>
    <s v="Lottery Technology (NR)"/>
    <m/>
    <n v="218645"/>
    <x v="5"/>
    <m/>
    <m/>
    <n v="456823"/>
    <n v="257346"/>
    <m/>
    <m/>
    <m/>
    <m/>
    <n v="0"/>
    <m/>
    <m/>
    <n v="0"/>
    <n v="456823"/>
    <n v="257346"/>
    <m/>
    <m/>
    <m/>
    <m/>
    <n v="0"/>
    <m/>
    <m/>
    <n v="0"/>
    <m/>
    <m/>
    <m/>
    <m/>
    <m/>
    <m/>
    <n v="456823"/>
    <n v="257346"/>
  </r>
  <r>
    <x v="11"/>
    <x v="0"/>
    <s v="University of South Carolina-Beaufort"/>
    <m/>
    <n v="218654"/>
    <x v="5"/>
    <n v="1520000"/>
    <n v="1200500"/>
    <m/>
    <m/>
    <m/>
    <m/>
    <n v="12268381"/>
    <n v="306290"/>
    <n v="12574671"/>
    <n v="14053005"/>
    <n v="329805"/>
    <n v="14382810"/>
    <n v="13788381"/>
    <n v="15253505"/>
    <m/>
    <m/>
    <m/>
    <m/>
    <n v="0"/>
    <m/>
    <m/>
    <n v="0"/>
    <m/>
    <m/>
    <m/>
    <m/>
    <m/>
    <m/>
    <n v="13788381"/>
    <n v="15253505"/>
  </r>
  <r>
    <x v="11"/>
    <x v="0"/>
    <s v="Fringe Benefits"/>
    <m/>
    <n v="218654"/>
    <x v="5"/>
    <n v="314243"/>
    <n v="261146"/>
    <m/>
    <m/>
    <m/>
    <m/>
    <m/>
    <m/>
    <n v="0"/>
    <m/>
    <m/>
    <n v="0"/>
    <n v="314243"/>
    <n v="261146"/>
    <m/>
    <m/>
    <m/>
    <m/>
    <n v="0"/>
    <m/>
    <m/>
    <n v="0"/>
    <m/>
    <m/>
    <m/>
    <m/>
    <m/>
    <m/>
    <n v="314243"/>
    <n v="261146"/>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Access &amp; Equity"/>
    <m/>
    <n v="218654"/>
    <x v="5"/>
    <m/>
    <m/>
    <n v="4953"/>
    <n v="0"/>
    <m/>
    <m/>
    <m/>
    <m/>
    <n v="0"/>
    <m/>
    <m/>
    <n v="0"/>
    <n v="4953"/>
    <n v="0"/>
    <m/>
    <m/>
    <m/>
    <m/>
    <n v="0"/>
    <m/>
    <m/>
    <n v="0"/>
    <m/>
    <m/>
    <m/>
    <m/>
    <m/>
    <m/>
    <n v="4953"/>
    <n v="0"/>
  </r>
  <r>
    <x v="11"/>
    <x v="8"/>
    <s v="Academic Endowment"/>
    <m/>
    <n v="218654"/>
    <x v="5"/>
    <m/>
    <m/>
    <n v="3373"/>
    <n v="1527"/>
    <m/>
    <m/>
    <m/>
    <m/>
    <n v="0"/>
    <m/>
    <m/>
    <n v="0"/>
    <n v="3373"/>
    <n v="1527"/>
    <m/>
    <m/>
    <m/>
    <m/>
    <n v="0"/>
    <m/>
    <m/>
    <n v="0"/>
    <m/>
    <m/>
    <m/>
    <m/>
    <m/>
    <m/>
    <n v="3373"/>
    <n v="1527"/>
  </r>
  <r>
    <x v="11"/>
    <x v="8"/>
    <s v="Critical Needs Nursing Initiative(NR)"/>
    <m/>
    <n v="218654"/>
    <x v="5"/>
    <m/>
    <m/>
    <n v="990"/>
    <n v="0"/>
    <m/>
    <m/>
    <m/>
    <m/>
    <n v="0"/>
    <m/>
    <m/>
    <n v="0"/>
    <n v="990"/>
    <n v="0"/>
    <m/>
    <m/>
    <m/>
    <m/>
    <n v="0"/>
    <m/>
    <m/>
    <n v="0"/>
    <m/>
    <m/>
    <m/>
    <m/>
    <m/>
    <m/>
    <n v="990"/>
    <n v="0"/>
  </r>
  <r>
    <x v="11"/>
    <x v="8"/>
    <s v="Lottery Technology (NR)"/>
    <m/>
    <n v="218654"/>
    <x v="5"/>
    <m/>
    <m/>
    <n v="318058"/>
    <n v="189132"/>
    <m/>
    <m/>
    <m/>
    <m/>
    <n v="0"/>
    <m/>
    <m/>
    <n v="0"/>
    <n v="318058"/>
    <n v="189132"/>
    <m/>
    <m/>
    <m/>
    <m/>
    <n v="0"/>
    <m/>
    <m/>
    <n v="0"/>
    <m/>
    <m/>
    <m/>
    <m/>
    <m/>
    <m/>
    <n v="318058"/>
    <n v="189132"/>
  </r>
  <r>
    <x v="11"/>
    <x v="0"/>
    <s v="University of South Carolina-Upstate"/>
    <m/>
    <n v="218742"/>
    <x v="5"/>
    <n v="8466255"/>
    <n v="6715000"/>
    <m/>
    <m/>
    <m/>
    <m/>
    <n v="44245634"/>
    <n v="2620473"/>
    <n v="46866107"/>
    <n v="47569902"/>
    <n v="2688847"/>
    <n v="50258749"/>
    <n v="52711889"/>
    <n v="54284902"/>
    <m/>
    <m/>
    <m/>
    <m/>
    <n v="0"/>
    <m/>
    <m/>
    <n v="0"/>
    <m/>
    <m/>
    <m/>
    <m/>
    <m/>
    <m/>
    <n v="52711889"/>
    <n v="54284902"/>
  </r>
  <r>
    <x v="11"/>
    <x v="0"/>
    <s v="Fringe Benefits"/>
    <m/>
    <n v="218742"/>
    <x v="5"/>
    <n v="1638616"/>
    <n v="1378427"/>
    <m/>
    <m/>
    <m/>
    <m/>
    <m/>
    <m/>
    <n v="0"/>
    <m/>
    <m/>
    <n v="0"/>
    <n v="1638616"/>
    <n v="1378427"/>
    <m/>
    <m/>
    <m/>
    <m/>
    <n v="0"/>
    <m/>
    <m/>
    <n v="0"/>
    <m/>
    <m/>
    <m/>
    <m/>
    <m/>
    <m/>
    <n v="1638616"/>
    <n v="1378427"/>
  </r>
  <r>
    <x v="11"/>
    <x v="8"/>
    <s v="Special Line items for education operations"/>
    <m/>
    <n v="218742"/>
    <x v="5"/>
    <m/>
    <m/>
    <m/>
    <m/>
    <m/>
    <m/>
    <m/>
    <m/>
    <n v="0"/>
    <m/>
    <m/>
    <n v="0"/>
    <n v="0"/>
    <n v="0"/>
    <m/>
    <m/>
    <m/>
    <m/>
    <n v="0"/>
    <m/>
    <m/>
    <n v="0"/>
    <m/>
    <m/>
    <m/>
    <m/>
    <m/>
    <m/>
    <n v="0"/>
    <n v="0"/>
  </r>
  <r>
    <x v="11"/>
    <x v="8"/>
    <s v="Access &amp; Equity"/>
    <m/>
    <n v="218742"/>
    <x v="5"/>
    <m/>
    <m/>
    <n v="7430"/>
    <n v="0"/>
    <m/>
    <m/>
    <m/>
    <m/>
    <n v="0"/>
    <m/>
    <m/>
    <n v="0"/>
    <n v="7430"/>
    <n v="0"/>
    <m/>
    <m/>
    <m/>
    <m/>
    <n v="0"/>
    <m/>
    <m/>
    <n v="0"/>
    <m/>
    <m/>
    <m/>
    <m/>
    <m/>
    <m/>
    <n v="7430"/>
    <n v="0"/>
  </r>
  <r>
    <x v="11"/>
    <x v="8"/>
    <s v="Academic Endowment"/>
    <m/>
    <n v="218742"/>
    <x v="5"/>
    <m/>
    <m/>
    <n v="74"/>
    <n v="1259"/>
    <m/>
    <m/>
    <m/>
    <m/>
    <n v="0"/>
    <m/>
    <m/>
    <n v="0"/>
    <n v="74"/>
    <n v="1259"/>
    <m/>
    <m/>
    <m/>
    <m/>
    <n v="0"/>
    <m/>
    <m/>
    <n v="0"/>
    <m/>
    <m/>
    <m/>
    <m/>
    <m/>
    <m/>
    <n v="74"/>
    <n v="1259"/>
  </r>
  <r>
    <x v="11"/>
    <x v="8"/>
    <s v="Critical Needs Nursing Initiative"/>
    <m/>
    <n v="218742"/>
    <x v="5"/>
    <m/>
    <m/>
    <n v="33745"/>
    <m/>
    <m/>
    <m/>
    <m/>
    <m/>
    <n v="0"/>
    <m/>
    <m/>
    <n v="0"/>
    <n v="33745"/>
    <n v="0"/>
    <m/>
    <m/>
    <m/>
    <m/>
    <n v="0"/>
    <m/>
    <m/>
    <n v="0"/>
    <m/>
    <m/>
    <m/>
    <m/>
    <m/>
    <m/>
    <n v="33745"/>
    <n v="0"/>
  </r>
  <r>
    <x v="11"/>
    <x v="8"/>
    <s v="Critical Needs Nursing Initiative(NR)"/>
    <m/>
    <n v="218742"/>
    <x v="5"/>
    <m/>
    <m/>
    <n v="109742"/>
    <n v="0"/>
    <m/>
    <m/>
    <m/>
    <m/>
    <n v="0"/>
    <m/>
    <m/>
    <n v="0"/>
    <n v="109742"/>
    <n v="0"/>
    <m/>
    <m/>
    <m/>
    <m/>
    <n v="0"/>
    <m/>
    <m/>
    <n v="0"/>
    <m/>
    <m/>
    <m/>
    <m/>
    <m/>
    <m/>
    <n v="109742"/>
    <n v="0"/>
  </r>
  <r>
    <x v="11"/>
    <x v="8"/>
    <s v="Lottery Technology (NR)"/>
    <m/>
    <n v="218742"/>
    <x v="5"/>
    <m/>
    <m/>
    <n v="617172"/>
    <n v="355642"/>
    <m/>
    <m/>
    <m/>
    <m/>
    <n v="0"/>
    <m/>
    <m/>
    <n v="0"/>
    <n v="617172"/>
    <n v="355642"/>
    <m/>
    <m/>
    <m/>
    <m/>
    <n v="0"/>
    <m/>
    <m/>
    <n v="0"/>
    <m/>
    <m/>
    <m/>
    <m/>
    <m/>
    <m/>
    <n v="617172"/>
    <n v="355642"/>
  </r>
  <r>
    <x v="11"/>
    <x v="0"/>
    <s v="Greenville Technical College "/>
    <m/>
    <n v="218113"/>
    <x v="6"/>
    <n v="17109449"/>
    <n v="14678680"/>
    <m/>
    <m/>
    <n v="9942413"/>
    <n v="8900000"/>
    <n v="76290527"/>
    <n v="2703379"/>
    <n v="78993906"/>
    <n v="77163403"/>
    <n v="2652875"/>
    <n v="79816278"/>
    <n v="103342389"/>
    <n v="100742083"/>
    <m/>
    <m/>
    <m/>
    <m/>
    <n v="0"/>
    <m/>
    <m/>
    <n v="0"/>
    <m/>
    <m/>
    <m/>
    <m/>
    <m/>
    <m/>
    <n v="103342389"/>
    <n v="100742083"/>
  </r>
  <r>
    <x v="11"/>
    <x v="8"/>
    <s v="Special Line items for education operations"/>
    <m/>
    <n v="218113"/>
    <x v="6"/>
    <m/>
    <m/>
    <m/>
    <m/>
    <m/>
    <m/>
    <m/>
    <m/>
    <n v="0"/>
    <m/>
    <m/>
    <n v="0"/>
    <n v="0"/>
    <n v="0"/>
    <m/>
    <m/>
    <m/>
    <m/>
    <n v="0"/>
    <m/>
    <m/>
    <n v="0"/>
    <m/>
    <m/>
    <m/>
    <m/>
    <m/>
    <m/>
    <n v="0"/>
    <n v="0"/>
  </r>
  <r>
    <x v="11"/>
    <x v="8"/>
    <s v="SBTCE Priority Initiative"/>
    <m/>
    <n v="218113"/>
    <x v="6"/>
    <m/>
    <m/>
    <n v="34633"/>
    <m/>
    <m/>
    <m/>
    <m/>
    <m/>
    <n v="0"/>
    <m/>
    <m/>
    <n v="0"/>
    <n v="34633"/>
    <n v="0"/>
    <m/>
    <m/>
    <m/>
    <m/>
    <n v="0"/>
    <m/>
    <m/>
    <n v="0"/>
    <m/>
    <m/>
    <m/>
    <m/>
    <m/>
    <m/>
    <n v="34633"/>
    <n v="0"/>
  </r>
  <r>
    <x v="11"/>
    <x v="8"/>
    <s v="Economic Recovery Initiative"/>
    <m/>
    <n v="218113"/>
    <x v="6"/>
    <m/>
    <m/>
    <n v="72044"/>
    <m/>
    <m/>
    <m/>
    <m/>
    <m/>
    <n v="0"/>
    <m/>
    <m/>
    <n v="0"/>
    <n v="72044"/>
    <n v="0"/>
    <m/>
    <m/>
    <m/>
    <m/>
    <n v="0"/>
    <m/>
    <m/>
    <n v="0"/>
    <m/>
    <m/>
    <m/>
    <m/>
    <m/>
    <m/>
    <n v="72044"/>
    <n v="0"/>
  </r>
  <r>
    <x v="11"/>
    <x v="8"/>
    <s v="Missing &amp; Exploited Children   "/>
    <m/>
    <n v="218113"/>
    <x v="6"/>
    <m/>
    <m/>
    <m/>
    <m/>
    <m/>
    <m/>
    <m/>
    <m/>
    <n v="0"/>
    <m/>
    <m/>
    <n v="0"/>
    <n v="0"/>
    <n v="0"/>
    <m/>
    <m/>
    <m/>
    <m/>
    <n v="0"/>
    <m/>
    <m/>
    <n v="0"/>
    <m/>
    <m/>
    <m/>
    <m/>
    <m/>
    <m/>
    <n v="0"/>
    <n v="0"/>
  </r>
  <r>
    <x v="11"/>
    <x v="8"/>
    <s v="Pathways to Prosperity"/>
    <m/>
    <n v="218113"/>
    <x v="6"/>
    <m/>
    <m/>
    <n v="44452"/>
    <n v="37784"/>
    <m/>
    <m/>
    <m/>
    <m/>
    <n v="0"/>
    <m/>
    <m/>
    <n v="0"/>
    <n v="44452"/>
    <n v="37784"/>
    <m/>
    <m/>
    <m/>
    <m/>
    <n v="0"/>
    <m/>
    <m/>
    <n v="0"/>
    <m/>
    <m/>
    <m/>
    <m/>
    <m/>
    <m/>
    <n v="44452"/>
    <n v="37784"/>
  </r>
  <r>
    <x v="11"/>
    <x v="8"/>
    <s v="Access &amp; Equity"/>
    <m/>
    <n v="218113"/>
    <x v="6"/>
    <m/>
    <m/>
    <n v="13935"/>
    <n v="0"/>
    <m/>
    <m/>
    <m/>
    <m/>
    <n v="0"/>
    <m/>
    <m/>
    <n v="0"/>
    <n v="13935"/>
    <n v="0"/>
    <m/>
    <m/>
    <m/>
    <m/>
    <n v="0"/>
    <m/>
    <m/>
    <n v="0"/>
    <m/>
    <m/>
    <m/>
    <m/>
    <m/>
    <m/>
    <n v="13935"/>
    <n v="0"/>
  </r>
  <r>
    <x v="11"/>
    <x v="8"/>
    <s v="Academic Endowment"/>
    <m/>
    <n v="218113"/>
    <x v="6"/>
    <m/>
    <m/>
    <n v="4088"/>
    <n v="0"/>
    <m/>
    <m/>
    <m/>
    <m/>
    <n v="0"/>
    <m/>
    <m/>
    <n v="0"/>
    <n v="4088"/>
    <n v="0"/>
    <m/>
    <m/>
    <m/>
    <m/>
    <n v="0"/>
    <m/>
    <m/>
    <n v="0"/>
    <m/>
    <m/>
    <m/>
    <m/>
    <m/>
    <m/>
    <n v="4088"/>
    <n v="0"/>
  </r>
  <r>
    <x v="11"/>
    <x v="8"/>
    <s v="Critical Needs Nursing Initiative"/>
    <m/>
    <n v="218113"/>
    <x v="6"/>
    <m/>
    <m/>
    <n v="64217"/>
    <s v="moved to base"/>
    <m/>
    <m/>
    <m/>
    <m/>
    <n v="0"/>
    <m/>
    <m/>
    <n v="0"/>
    <n v="64217"/>
    <n v="0"/>
    <m/>
    <m/>
    <m/>
    <m/>
    <n v="0"/>
    <m/>
    <m/>
    <n v="0"/>
    <m/>
    <m/>
    <m/>
    <m/>
    <m/>
    <m/>
    <n v="64217"/>
    <n v="0"/>
  </r>
  <r>
    <x v="11"/>
    <x v="8"/>
    <s v="Simulation &amp; Technology (NR)"/>
    <m/>
    <n v="218113"/>
    <x v="6"/>
    <m/>
    <m/>
    <n v="77576"/>
    <n v="0"/>
    <m/>
    <m/>
    <m/>
    <m/>
    <n v="0"/>
    <m/>
    <m/>
    <n v="0"/>
    <n v="77576"/>
    <n v="0"/>
    <m/>
    <m/>
    <m/>
    <m/>
    <n v="0"/>
    <m/>
    <m/>
    <n v="0"/>
    <m/>
    <m/>
    <m/>
    <m/>
    <m/>
    <m/>
    <n v="77576"/>
    <n v="0"/>
  </r>
  <r>
    <x v="11"/>
    <x v="8"/>
    <s v="Allied Health Programs (NR)"/>
    <m/>
    <n v="218113"/>
    <x v="6"/>
    <m/>
    <m/>
    <n v="447466"/>
    <n v="0"/>
    <m/>
    <m/>
    <m/>
    <m/>
    <n v="0"/>
    <m/>
    <m/>
    <n v="0"/>
    <n v="447466"/>
    <n v="0"/>
    <m/>
    <m/>
    <m/>
    <m/>
    <n v="0"/>
    <m/>
    <m/>
    <n v="0"/>
    <m/>
    <m/>
    <m/>
    <m/>
    <m/>
    <m/>
    <n v="447466"/>
    <n v="0"/>
  </r>
  <r>
    <x v="11"/>
    <x v="8"/>
    <s v="Lottery Technology (NR)"/>
    <m/>
    <n v="218113"/>
    <x v="6"/>
    <m/>
    <m/>
    <n v="833110"/>
    <n v="476954"/>
    <m/>
    <m/>
    <m/>
    <m/>
    <n v="0"/>
    <m/>
    <m/>
    <n v="0"/>
    <n v="833110"/>
    <n v="476954"/>
    <m/>
    <m/>
    <m/>
    <m/>
    <n v="0"/>
    <m/>
    <m/>
    <n v="0"/>
    <m/>
    <m/>
    <m/>
    <m/>
    <m/>
    <m/>
    <n v="833110"/>
    <n v="476954"/>
  </r>
  <r>
    <x v="11"/>
    <x v="0"/>
    <s v="Midlands Technical College "/>
    <m/>
    <n v="218353"/>
    <x v="6"/>
    <n v="13892858"/>
    <n v="11803781"/>
    <m/>
    <m/>
    <n v="8007084"/>
    <n v="10392866"/>
    <n v="47134592"/>
    <n v="1347947"/>
    <n v="48482539"/>
    <n v="51689884"/>
    <n v="1850025"/>
    <n v="53539909"/>
    <n v="69034534"/>
    <n v="73886531"/>
    <m/>
    <m/>
    <m/>
    <m/>
    <n v="0"/>
    <m/>
    <m/>
    <n v="0"/>
    <m/>
    <m/>
    <m/>
    <m/>
    <m/>
    <m/>
    <n v="69034534"/>
    <n v="73886531"/>
  </r>
  <r>
    <x v="11"/>
    <x v="8"/>
    <s v="Special Line items for education operations"/>
    <m/>
    <n v="218353"/>
    <x v="6"/>
    <m/>
    <m/>
    <m/>
    <m/>
    <m/>
    <m/>
    <m/>
    <m/>
    <n v="0"/>
    <m/>
    <m/>
    <n v="0"/>
    <n v="0"/>
    <n v="0"/>
    <m/>
    <m/>
    <m/>
    <m/>
    <n v="0"/>
    <m/>
    <m/>
    <n v="0"/>
    <m/>
    <m/>
    <m/>
    <m/>
    <m/>
    <m/>
    <n v="0"/>
    <n v="0"/>
  </r>
  <r>
    <x v="11"/>
    <x v="8"/>
    <s v="SBTCE Priority Initiative"/>
    <m/>
    <n v="218353"/>
    <x v="6"/>
    <m/>
    <m/>
    <n v="28123"/>
    <n v="0"/>
    <m/>
    <m/>
    <m/>
    <m/>
    <n v="0"/>
    <m/>
    <m/>
    <n v="0"/>
    <n v="28123"/>
    <n v="0"/>
    <m/>
    <m/>
    <m/>
    <m/>
    <n v="0"/>
    <m/>
    <m/>
    <n v="0"/>
    <m/>
    <m/>
    <m/>
    <m/>
    <m/>
    <m/>
    <n v="28123"/>
    <n v="0"/>
  </r>
  <r>
    <x v="11"/>
    <x v="8"/>
    <s v="Economic Recovery Initiative"/>
    <m/>
    <n v="218353"/>
    <x v="6"/>
    <m/>
    <m/>
    <n v="58500"/>
    <n v="0"/>
    <m/>
    <m/>
    <m/>
    <m/>
    <n v="0"/>
    <m/>
    <m/>
    <n v="0"/>
    <n v="58500"/>
    <n v="0"/>
    <m/>
    <m/>
    <m/>
    <m/>
    <n v="0"/>
    <m/>
    <m/>
    <n v="0"/>
    <m/>
    <m/>
    <m/>
    <m/>
    <m/>
    <m/>
    <n v="58500"/>
    <n v="0"/>
  </r>
  <r>
    <x v="11"/>
    <x v="8"/>
    <s v="Nursing Program"/>
    <m/>
    <n v="218353"/>
    <x v="6"/>
    <m/>
    <m/>
    <n v="436403"/>
    <n v="370943"/>
    <m/>
    <m/>
    <m/>
    <m/>
    <n v="0"/>
    <m/>
    <m/>
    <n v="0"/>
    <n v="436403"/>
    <n v="370943"/>
    <m/>
    <m/>
    <m/>
    <m/>
    <n v="0"/>
    <m/>
    <m/>
    <n v="0"/>
    <m/>
    <m/>
    <m/>
    <m/>
    <m/>
    <m/>
    <n v="436403"/>
    <n v="370943"/>
  </r>
  <r>
    <x v="11"/>
    <x v="8"/>
    <s v="Pathways to Prosperity"/>
    <m/>
    <n v="218353"/>
    <x v="6"/>
    <m/>
    <m/>
    <n v="44452"/>
    <n v="37784"/>
    <m/>
    <m/>
    <m/>
    <m/>
    <n v="0"/>
    <m/>
    <m/>
    <n v="0"/>
    <n v="44452"/>
    <n v="37784"/>
    <m/>
    <m/>
    <m/>
    <m/>
    <n v="0"/>
    <m/>
    <m/>
    <n v="0"/>
    <m/>
    <m/>
    <m/>
    <m/>
    <m/>
    <m/>
    <n v="44452"/>
    <n v="37784"/>
  </r>
  <r>
    <x v="11"/>
    <x v="8"/>
    <s v="Access &amp; Equity"/>
    <m/>
    <n v="218353"/>
    <x v="6"/>
    <m/>
    <m/>
    <n v="11722"/>
    <n v="0"/>
    <m/>
    <m/>
    <m/>
    <m/>
    <n v="0"/>
    <m/>
    <m/>
    <n v="0"/>
    <n v="11722"/>
    <n v="0"/>
    <m/>
    <m/>
    <m/>
    <m/>
    <n v="0"/>
    <m/>
    <m/>
    <n v="0"/>
    <m/>
    <m/>
    <m/>
    <m/>
    <m/>
    <m/>
    <n v="11722"/>
    <n v="0"/>
  </r>
  <r>
    <x v="11"/>
    <x v="8"/>
    <s v="Academic Endowment"/>
    <m/>
    <n v="218353"/>
    <x v="6"/>
    <m/>
    <m/>
    <n v="1733"/>
    <n v="0"/>
    <m/>
    <m/>
    <m/>
    <m/>
    <n v="0"/>
    <m/>
    <m/>
    <n v="0"/>
    <n v="1733"/>
    <n v="0"/>
    <m/>
    <m/>
    <m/>
    <m/>
    <n v="0"/>
    <m/>
    <m/>
    <n v="0"/>
    <m/>
    <m/>
    <m/>
    <m/>
    <m/>
    <m/>
    <n v="1733"/>
    <n v="0"/>
  </r>
  <r>
    <x v="11"/>
    <x v="8"/>
    <s v="Critical Needs Nursing Initiative"/>
    <m/>
    <n v="218353"/>
    <x v="6"/>
    <m/>
    <m/>
    <n v="61114"/>
    <s v="moved to base"/>
    <m/>
    <m/>
    <m/>
    <m/>
    <n v="0"/>
    <m/>
    <m/>
    <n v="0"/>
    <n v="61114"/>
    <n v="0"/>
    <m/>
    <m/>
    <m/>
    <m/>
    <n v="0"/>
    <m/>
    <m/>
    <n v="0"/>
    <m/>
    <m/>
    <m/>
    <m/>
    <m/>
    <m/>
    <n v="61114"/>
    <n v="0"/>
  </r>
  <r>
    <x v="11"/>
    <x v="8"/>
    <s v="Simulation &amp; Technology (NR)"/>
    <m/>
    <n v="218353"/>
    <x v="6"/>
    <m/>
    <m/>
    <n v="75801"/>
    <n v="0"/>
    <m/>
    <m/>
    <m/>
    <m/>
    <n v="0"/>
    <m/>
    <m/>
    <n v="0"/>
    <n v="75801"/>
    <n v="0"/>
    <m/>
    <m/>
    <m/>
    <m/>
    <n v="0"/>
    <m/>
    <m/>
    <n v="0"/>
    <m/>
    <m/>
    <m/>
    <m/>
    <m/>
    <m/>
    <n v="75801"/>
    <n v="0"/>
  </r>
  <r>
    <x v="11"/>
    <x v="8"/>
    <s v="Allied Health Programs (NR)"/>
    <m/>
    <n v="218353"/>
    <x v="6"/>
    <m/>
    <m/>
    <n v="382206"/>
    <n v="0"/>
    <m/>
    <m/>
    <m/>
    <m/>
    <n v="0"/>
    <m/>
    <m/>
    <n v="0"/>
    <n v="382206"/>
    <n v="0"/>
    <m/>
    <m/>
    <m/>
    <m/>
    <n v="0"/>
    <m/>
    <m/>
    <n v="0"/>
    <m/>
    <m/>
    <m/>
    <m/>
    <m/>
    <m/>
    <n v="382206"/>
    <n v="0"/>
  </r>
  <r>
    <x v="11"/>
    <x v="8"/>
    <s v="Lottery Technology (NR)"/>
    <m/>
    <n v="218353"/>
    <x v="6"/>
    <m/>
    <m/>
    <n v="676485"/>
    <n v="383298"/>
    <m/>
    <m/>
    <m/>
    <m/>
    <n v="0"/>
    <m/>
    <m/>
    <n v="0"/>
    <n v="676485"/>
    <n v="383298"/>
    <m/>
    <m/>
    <m/>
    <m/>
    <n v="0"/>
    <m/>
    <m/>
    <n v="0"/>
    <m/>
    <m/>
    <m/>
    <m/>
    <m/>
    <m/>
    <n v="676485"/>
    <n v="383298"/>
  </r>
  <r>
    <x v="11"/>
    <x v="0"/>
    <s v="Trident Technical College "/>
    <m/>
    <n v="218894"/>
    <x v="6"/>
    <n v="14672429"/>
    <n v="12754401"/>
    <m/>
    <m/>
    <n v="9490822"/>
    <n v="9700259"/>
    <n v="47110015"/>
    <n v="6489905"/>
    <n v="53599920"/>
    <n v="39310549"/>
    <n v="5408367"/>
    <n v="44718916"/>
    <n v="71273266"/>
    <n v="61765209"/>
    <m/>
    <m/>
    <m/>
    <m/>
    <n v="0"/>
    <m/>
    <m/>
    <n v="0"/>
    <m/>
    <m/>
    <m/>
    <m/>
    <m/>
    <m/>
    <n v="71273266"/>
    <n v="61765209"/>
  </r>
  <r>
    <x v="11"/>
    <x v="8"/>
    <s v="Special Line items for education operations"/>
    <m/>
    <n v="218894"/>
    <x v="6"/>
    <m/>
    <m/>
    <m/>
    <m/>
    <m/>
    <m/>
    <m/>
    <m/>
    <n v="0"/>
    <m/>
    <m/>
    <n v="0"/>
    <n v="0"/>
    <n v="0"/>
    <m/>
    <m/>
    <m/>
    <m/>
    <n v="0"/>
    <m/>
    <m/>
    <n v="0"/>
    <m/>
    <m/>
    <m/>
    <m/>
    <m/>
    <m/>
    <n v="0"/>
    <n v="0"/>
  </r>
  <r>
    <x v="11"/>
    <x v="8"/>
    <s v="SBTCE Priority Initiative"/>
    <m/>
    <n v="218894"/>
    <x v="6"/>
    <m/>
    <m/>
    <n v="29701"/>
    <n v="0"/>
    <m/>
    <m/>
    <m/>
    <m/>
    <n v="0"/>
    <m/>
    <m/>
    <n v="0"/>
    <n v="29701"/>
    <n v="0"/>
    <m/>
    <m/>
    <m/>
    <m/>
    <n v="0"/>
    <m/>
    <m/>
    <n v="0"/>
    <m/>
    <m/>
    <m/>
    <m/>
    <m/>
    <m/>
    <n v="29701"/>
    <n v="0"/>
  </r>
  <r>
    <x v="11"/>
    <x v="8"/>
    <s v="Economic Recovery Initiative"/>
    <m/>
    <n v="218894"/>
    <x v="6"/>
    <m/>
    <m/>
    <n v="61782"/>
    <n v="0"/>
    <m/>
    <m/>
    <m/>
    <m/>
    <n v="0"/>
    <m/>
    <m/>
    <n v="0"/>
    <n v="61782"/>
    <n v="0"/>
    <m/>
    <m/>
    <m/>
    <m/>
    <n v="0"/>
    <m/>
    <m/>
    <n v="0"/>
    <m/>
    <m/>
    <m/>
    <m/>
    <m/>
    <m/>
    <n v="61782"/>
    <n v="0"/>
  </r>
  <r>
    <x v="11"/>
    <x v="8"/>
    <s v="Culinary Arts"/>
    <m/>
    <n v="218894"/>
    <x v="6"/>
    <m/>
    <m/>
    <n v="551202"/>
    <n v="468522"/>
    <m/>
    <m/>
    <m/>
    <m/>
    <n v="0"/>
    <m/>
    <m/>
    <n v="0"/>
    <n v="551202"/>
    <n v="468522"/>
    <m/>
    <m/>
    <m/>
    <m/>
    <n v="0"/>
    <m/>
    <m/>
    <n v="0"/>
    <m/>
    <m/>
    <m/>
    <m/>
    <m/>
    <m/>
    <n v="551202"/>
    <n v="468522"/>
  </r>
  <r>
    <x v="11"/>
    <x v="8"/>
    <s v="Pathways to Prosperity"/>
    <m/>
    <n v="218894"/>
    <x v="6"/>
    <m/>
    <m/>
    <n v="44452"/>
    <n v="37784"/>
    <m/>
    <m/>
    <m/>
    <m/>
    <n v="0"/>
    <m/>
    <m/>
    <n v="0"/>
    <n v="44452"/>
    <n v="37784"/>
    <m/>
    <m/>
    <m/>
    <m/>
    <n v="0"/>
    <m/>
    <m/>
    <n v="0"/>
    <m/>
    <m/>
    <m/>
    <m/>
    <m/>
    <m/>
    <n v="44452"/>
    <n v="37784"/>
  </r>
  <r>
    <x v="11"/>
    <x v="8"/>
    <s v="Access &amp; Equity"/>
    <m/>
    <n v="218894"/>
    <x v="6"/>
    <m/>
    <m/>
    <n v="12786"/>
    <n v="0"/>
    <m/>
    <m/>
    <m/>
    <m/>
    <n v="0"/>
    <m/>
    <m/>
    <n v="0"/>
    <n v="12786"/>
    <n v="0"/>
    <m/>
    <m/>
    <m/>
    <m/>
    <n v="0"/>
    <m/>
    <m/>
    <n v="0"/>
    <m/>
    <m/>
    <m/>
    <m/>
    <m/>
    <m/>
    <n v="12786"/>
    <n v="0"/>
  </r>
  <r>
    <x v="11"/>
    <x v="8"/>
    <s v="Academic Endowment"/>
    <m/>
    <n v="218894"/>
    <x v="6"/>
    <m/>
    <m/>
    <n v="1040"/>
    <n v="0"/>
    <m/>
    <m/>
    <m/>
    <m/>
    <n v="0"/>
    <m/>
    <m/>
    <n v="0"/>
    <n v="1040"/>
    <n v="0"/>
    <m/>
    <m/>
    <m/>
    <m/>
    <n v="0"/>
    <m/>
    <m/>
    <n v="0"/>
    <m/>
    <m/>
    <m/>
    <m/>
    <m/>
    <m/>
    <n v="1040"/>
    <n v="0"/>
  </r>
  <r>
    <x v="11"/>
    <x v="8"/>
    <s v="Critical Needs Nursing Initiative"/>
    <m/>
    <n v="218894"/>
    <x v="6"/>
    <m/>
    <m/>
    <n v="44286"/>
    <s v="moved to base"/>
    <m/>
    <m/>
    <m/>
    <m/>
    <n v="0"/>
    <m/>
    <m/>
    <n v="0"/>
    <n v="44286"/>
    <n v="0"/>
    <m/>
    <m/>
    <m/>
    <m/>
    <n v="0"/>
    <m/>
    <m/>
    <n v="0"/>
    <m/>
    <m/>
    <m/>
    <m/>
    <m/>
    <m/>
    <n v="44286"/>
    <n v="0"/>
  </r>
  <r>
    <x v="11"/>
    <x v="8"/>
    <s v="Simulation &amp; Technology (NR)"/>
    <m/>
    <n v="218894"/>
    <x v="6"/>
    <m/>
    <m/>
    <n v="65435"/>
    <n v="0"/>
    <m/>
    <m/>
    <m/>
    <m/>
    <n v="0"/>
    <m/>
    <m/>
    <n v="0"/>
    <n v="65435"/>
    <n v="0"/>
    <m/>
    <m/>
    <m/>
    <m/>
    <n v="0"/>
    <m/>
    <m/>
    <n v="0"/>
    <m/>
    <m/>
    <m/>
    <m/>
    <m/>
    <m/>
    <n v="65435"/>
    <n v="0"/>
  </r>
  <r>
    <x v="11"/>
    <x v="8"/>
    <s v="Allied Health Programs (NR)"/>
    <m/>
    <n v="218894"/>
    <x v="6"/>
    <m/>
    <m/>
    <n v="398502"/>
    <n v="0"/>
    <m/>
    <m/>
    <m/>
    <m/>
    <n v="0"/>
    <m/>
    <m/>
    <n v="0"/>
    <n v="398502"/>
    <n v="0"/>
    <m/>
    <m/>
    <m/>
    <m/>
    <n v="0"/>
    <m/>
    <m/>
    <n v="0"/>
    <m/>
    <m/>
    <m/>
    <m/>
    <m/>
    <m/>
    <n v="398502"/>
    <n v="0"/>
  </r>
  <r>
    <x v="11"/>
    <x v="8"/>
    <s v="Lottery Technology (NR)"/>
    <m/>
    <n v="218894"/>
    <x v="6"/>
    <m/>
    <m/>
    <n v="714445"/>
    <n v="414778"/>
    <m/>
    <m/>
    <m/>
    <m/>
    <n v="0"/>
    <m/>
    <m/>
    <n v="0"/>
    <n v="714445"/>
    <n v="414778"/>
    <m/>
    <m/>
    <m/>
    <m/>
    <n v="0"/>
    <m/>
    <m/>
    <n v="0"/>
    <m/>
    <m/>
    <m/>
    <m/>
    <m/>
    <m/>
    <n v="714445"/>
    <n v="414778"/>
  </r>
  <r>
    <x v="11"/>
    <x v="0"/>
    <s v="Aiken Technical College "/>
    <m/>
    <n v="217615"/>
    <x v="7"/>
    <n v="3964319"/>
    <n v="3468248"/>
    <m/>
    <m/>
    <n v="1651150"/>
    <n v="1696000"/>
    <n v="11833460"/>
    <n v="629143"/>
    <n v="12462603"/>
    <n v="11224918"/>
    <n v="585582"/>
    <n v="11810500"/>
    <n v="17448929"/>
    <n v="16389166"/>
    <m/>
    <m/>
    <m/>
    <m/>
    <n v="0"/>
    <m/>
    <m/>
    <n v="0"/>
    <m/>
    <m/>
    <m/>
    <m/>
    <m/>
    <m/>
    <n v="17448929"/>
    <n v="16389166"/>
  </r>
  <r>
    <x v="11"/>
    <x v="8"/>
    <s v="Special Line items for education operations"/>
    <m/>
    <n v="217615"/>
    <x v="7"/>
    <m/>
    <m/>
    <m/>
    <m/>
    <m/>
    <m/>
    <m/>
    <m/>
    <n v="0"/>
    <m/>
    <m/>
    <n v="0"/>
    <n v="0"/>
    <n v="0"/>
    <m/>
    <m/>
    <m/>
    <m/>
    <n v="0"/>
    <m/>
    <m/>
    <n v="0"/>
    <m/>
    <m/>
    <m/>
    <m/>
    <m/>
    <m/>
    <n v="0"/>
    <n v="0"/>
  </r>
  <r>
    <x v="11"/>
    <x v="8"/>
    <s v="SBTCE Priority Initiative"/>
    <m/>
    <n v="217615"/>
    <x v="7"/>
    <m/>
    <m/>
    <n v="8025"/>
    <n v="0"/>
    <m/>
    <m/>
    <m/>
    <m/>
    <n v="0"/>
    <m/>
    <m/>
    <n v="0"/>
    <n v="8025"/>
    <n v="0"/>
    <m/>
    <m/>
    <m/>
    <m/>
    <n v="0"/>
    <m/>
    <m/>
    <n v="0"/>
    <m/>
    <m/>
    <m/>
    <m/>
    <m/>
    <m/>
    <n v="8025"/>
    <n v="0"/>
  </r>
  <r>
    <x v="11"/>
    <x v="8"/>
    <s v="Economic Recovery Initiative"/>
    <m/>
    <n v="217615"/>
    <x v="7"/>
    <m/>
    <m/>
    <n v="16693"/>
    <n v="0"/>
    <m/>
    <m/>
    <m/>
    <m/>
    <n v="0"/>
    <m/>
    <m/>
    <n v="0"/>
    <n v="16693"/>
    <n v="0"/>
    <m/>
    <m/>
    <m/>
    <m/>
    <n v="0"/>
    <m/>
    <m/>
    <n v="0"/>
    <m/>
    <m/>
    <m/>
    <m/>
    <m/>
    <m/>
    <n v="16693"/>
    <n v="0"/>
  </r>
  <r>
    <x v="11"/>
    <x v="8"/>
    <s v="Pathways to Prosperity"/>
    <m/>
    <n v="217615"/>
    <x v="7"/>
    <m/>
    <m/>
    <n v="44451"/>
    <n v="37784"/>
    <m/>
    <m/>
    <m/>
    <m/>
    <n v="0"/>
    <m/>
    <m/>
    <n v="0"/>
    <n v="44451"/>
    <n v="37784"/>
    <m/>
    <m/>
    <m/>
    <m/>
    <n v="0"/>
    <m/>
    <m/>
    <n v="0"/>
    <m/>
    <m/>
    <m/>
    <m/>
    <m/>
    <m/>
    <n v="44451"/>
    <n v="37784"/>
  </r>
  <r>
    <x v="11"/>
    <x v="8"/>
    <s v="Access &amp; Equity"/>
    <m/>
    <n v="217615"/>
    <x v="7"/>
    <m/>
    <m/>
    <n v="5789"/>
    <n v="0"/>
    <m/>
    <m/>
    <m/>
    <m/>
    <n v="0"/>
    <m/>
    <m/>
    <n v="0"/>
    <n v="5789"/>
    <n v="0"/>
    <m/>
    <m/>
    <m/>
    <m/>
    <n v="0"/>
    <m/>
    <m/>
    <n v="0"/>
    <m/>
    <m/>
    <m/>
    <m/>
    <m/>
    <m/>
    <n v="5789"/>
    <n v="0"/>
  </r>
  <r>
    <x v="11"/>
    <x v="8"/>
    <s v="Academic Endowment"/>
    <m/>
    <n v="217615"/>
    <x v="7"/>
    <m/>
    <m/>
    <n v="1576"/>
    <n v="0"/>
    <m/>
    <m/>
    <m/>
    <m/>
    <n v="0"/>
    <m/>
    <m/>
    <n v="0"/>
    <n v="1576"/>
    <n v="0"/>
    <m/>
    <m/>
    <m/>
    <m/>
    <n v="0"/>
    <m/>
    <m/>
    <n v="0"/>
    <m/>
    <m/>
    <m/>
    <m/>
    <m/>
    <m/>
    <n v="1576"/>
    <n v="0"/>
  </r>
  <r>
    <x v="11"/>
    <x v="8"/>
    <s v="Critical Needs Nursing Initiative"/>
    <m/>
    <n v="217615"/>
    <x v="7"/>
    <m/>
    <m/>
    <n v="11317"/>
    <s v="moved to base"/>
    <m/>
    <m/>
    <m/>
    <m/>
    <n v="0"/>
    <m/>
    <m/>
    <n v="0"/>
    <n v="11317"/>
    <n v="0"/>
    <m/>
    <m/>
    <m/>
    <m/>
    <n v="0"/>
    <m/>
    <m/>
    <n v="0"/>
    <m/>
    <m/>
    <m/>
    <m/>
    <m/>
    <m/>
    <n v="11317"/>
    <n v="0"/>
  </r>
  <r>
    <x v="11"/>
    <x v="8"/>
    <s v="Simulation &amp; Technology (NR)"/>
    <m/>
    <n v="217615"/>
    <x v="7"/>
    <m/>
    <m/>
    <n v="15725"/>
    <n v="0"/>
    <m/>
    <m/>
    <m/>
    <m/>
    <n v="0"/>
    <m/>
    <m/>
    <n v="0"/>
    <n v="15725"/>
    <n v="0"/>
    <m/>
    <m/>
    <m/>
    <m/>
    <n v="0"/>
    <m/>
    <m/>
    <n v="0"/>
    <m/>
    <m/>
    <m/>
    <m/>
    <m/>
    <m/>
    <n v="15725"/>
    <n v="0"/>
  </r>
  <r>
    <x v="11"/>
    <x v="8"/>
    <s v="Allied Health Programs (NR)"/>
    <m/>
    <n v="217615"/>
    <x v="7"/>
    <m/>
    <m/>
    <n v="199952"/>
    <n v="0"/>
    <m/>
    <m/>
    <m/>
    <m/>
    <n v="0"/>
    <m/>
    <m/>
    <n v="0"/>
    <n v="199952"/>
    <n v="0"/>
    <m/>
    <m/>
    <m/>
    <m/>
    <n v="0"/>
    <m/>
    <m/>
    <n v="0"/>
    <m/>
    <m/>
    <m/>
    <m/>
    <m/>
    <m/>
    <n v="199952"/>
    <n v="0"/>
  </r>
  <r>
    <x v="11"/>
    <x v="8"/>
    <s v="Lottery Technology (NR)"/>
    <m/>
    <n v="217615"/>
    <x v="7"/>
    <m/>
    <m/>
    <n v="193035"/>
    <n v="112788"/>
    <m/>
    <m/>
    <m/>
    <m/>
    <n v="0"/>
    <m/>
    <m/>
    <n v="0"/>
    <n v="193035"/>
    <n v="112788"/>
    <m/>
    <m/>
    <m/>
    <m/>
    <n v="0"/>
    <m/>
    <m/>
    <n v="0"/>
    <m/>
    <m/>
    <m/>
    <m/>
    <m/>
    <m/>
    <n v="193035"/>
    <n v="112788"/>
  </r>
  <r>
    <x v="11"/>
    <x v="0"/>
    <s v="Central Carolina Technical College "/>
    <m/>
    <n v="218858"/>
    <x v="7"/>
    <n v="4294943"/>
    <n v="3740542"/>
    <m/>
    <m/>
    <n v="2048481"/>
    <n v="1223980"/>
    <n v="12525892"/>
    <n v="198055"/>
    <n v="12723947"/>
    <n v="10256855"/>
    <n v="238162"/>
    <n v="10495017"/>
    <n v="18869316"/>
    <n v="15221377"/>
    <m/>
    <m/>
    <m/>
    <m/>
    <n v="0"/>
    <m/>
    <m/>
    <n v="0"/>
    <m/>
    <m/>
    <m/>
    <m/>
    <m/>
    <m/>
    <n v="18869316"/>
    <n v="15221377"/>
  </r>
  <r>
    <x v="11"/>
    <x v="8"/>
    <s v="Special Line items for education operations"/>
    <m/>
    <n v="218858"/>
    <x v="7"/>
    <m/>
    <m/>
    <m/>
    <m/>
    <m/>
    <m/>
    <m/>
    <m/>
    <n v="0"/>
    <m/>
    <m/>
    <n v="0"/>
    <n v="0"/>
    <n v="0"/>
    <m/>
    <m/>
    <m/>
    <m/>
    <n v="0"/>
    <m/>
    <m/>
    <n v="0"/>
    <m/>
    <m/>
    <m/>
    <m/>
    <m/>
    <m/>
    <n v="0"/>
    <n v="0"/>
  </r>
  <r>
    <x v="11"/>
    <x v="8"/>
    <s v="SBTCE Priority Initiative"/>
    <m/>
    <n v="218858"/>
    <x v="6"/>
    <m/>
    <m/>
    <n v="8694"/>
    <n v="0"/>
    <m/>
    <m/>
    <m/>
    <m/>
    <n v="0"/>
    <m/>
    <m/>
    <n v="0"/>
    <n v="8694"/>
    <n v="0"/>
    <m/>
    <m/>
    <m/>
    <m/>
    <n v="0"/>
    <m/>
    <m/>
    <n v="0"/>
    <m/>
    <m/>
    <m/>
    <m/>
    <m/>
    <m/>
    <n v="8694"/>
    <n v="0"/>
  </r>
  <r>
    <x v="11"/>
    <x v="8"/>
    <s v="Economic Recovery Initiative"/>
    <m/>
    <n v="218858"/>
    <x v="6"/>
    <m/>
    <m/>
    <n v="18085"/>
    <n v="0"/>
    <m/>
    <m/>
    <m/>
    <m/>
    <n v="0"/>
    <m/>
    <m/>
    <n v="0"/>
    <n v="18085"/>
    <n v="0"/>
    <m/>
    <m/>
    <m/>
    <m/>
    <n v="0"/>
    <m/>
    <m/>
    <n v="0"/>
    <m/>
    <m/>
    <m/>
    <m/>
    <m/>
    <m/>
    <n v="18085"/>
    <n v="0"/>
  </r>
  <r>
    <x v="11"/>
    <x v="8"/>
    <s v="Pathways to Prosperity"/>
    <m/>
    <n v="218858"/>
    <x v="7"/>
    <m/>
    <m/>
    <n v="44451"/>
    <n v="37784"/>
    <m/>
    <m/>
    <m/>
    <m/>
    <n v="0"/>
    <m/>
    <m/>
    <n v="0"/>
    <n v="44451"/>
    <n v="37784"/>
    <m/>
    <m/>
    <m/>
    <m/>
    <n v="0"/>
    <m/>
    <m/>
    <n v="0"/>
    <m/>
    <m/>
    <m/>
    <m/>
    <m/>
    <m/>
    <n v="44451"/>
    <n v="37784"/>
  </r>
  <r>
    <x v="11"/>
    <x v="8"/>
    <s v="Access &amp; Equity"/>
    <m/>
    <n v="218858"/>
    <x v="7"/>
    <m/>
    <m/>
    <n v="6138"/>
    <n v="0"/>
    <m/>
    <m/>
    <m/>
    <m/>
    <n v="0"/>
    <m/>
    <m/>
    <n v="0"/>
    <n v="6138"/>
    <n v="0"/>
    <m/>
    <m/>
    <m/>
    <m/>
    <n v="0"/>
    <m/>
    <m/>
    <n v="0"/>
    <m/>
    <m/>
    <m/>
    <m/>
    <m/>
    <m/>
    <n v="6138"/>
    <n v="0"/>
  </r>
  <r>
    <x v="11"/>
    <x v="8"/>
    <s v="Academic Endowment"/>
    <m/>
    <n v="218858"/>
    <x v="7"/>
    <m/>
    <m/>
    <n v="75"/>
    <n v="0"/>
    <m/>
    <m/>
    <m/>
    <m/>
    <n v="0"/>
    <m/>
    <m/>
    <n v="0"/>
    <n v="75"/>
    <n v="0"/>
    <m/>
    <m/>
    <m/>
    <m/>
    <n v="0"/>
    <m/>
    <m/>
    <n v="0"/>
    <m/>
    <m/>
    <m/>
    <m/>
    <m/>
    <m/>
    <n v="75"/>
    <n v="0"/>
  </r>
  <r>
    <x v="11"/>
    <x v="8"/>
    <s v="Critical Needs Nursing Initiative"/>
    <m/>
    <n v="218858"/>
    <x v="7"/>
    <m/>
    <m/>
    <n v="22112"/>
    <s v="moved to base"/>
    <m/>
    <m/>
    <m/>
    <m/>
    <n v="0"/>
    <m/>
    <m/>
    <n v="0"/>
    <n v="22112"/>
    <n v="0"/>
    <m/>
    <m/>
    <m/>
    <m/>
    <n v="0"/>
    <m/>
    <m/>
    <n v="0"/>
    <m/>
    <m/>
    <m/>
    <m/>
    <m/>
    <m/>
    <n v="22112"/>
    <n v="0"/>
  </r>
  <r>
    <x v="11"/>
    <x v="8"/>
    <s v="Simulation &amp; Technology (NR)"/>
    <m/>
    <n v="218858"/>
    <x v="7"/>
    <m/>
    <m/>
    <n v="25527"/>
    <n v="0"/>
    <m/>
    <m/>
    <m/>
    <m/>
    <n v="0"/>
    <m/>
    <m/>
    <n v="0"/>
    <n v="25527"/>
    <n v="0"/>
    <m/>
    <m/>
    <m/>
    <m/>
    <n v="0"/>
    <m/>
    <m/>
    <n v="0"/>
    <m/>
    <m/>
    <m/>
    <m/>
    <m/>
    <m/>
    <n v="25527"/>
    <n v="0"/>
  </r>
  <r>
    <x v="11"/>
    <x v="8"/>
    <s v="Allied Health Programs (NR)"/>
    <m/>
    <n v="218858"/>
    <x v="7"/>
    <m/>
    <m/>
    <n v="204113"/>
    <n v="0"/>
    <m/>
    <m/>
    <m/>
    <m/>
    <n v="0"/>
    <m/>
    <m/>
    <n v="0"/>
    <n v="204113"/>
    <n v="0"/>
    <m/>
    <m/>
    <m/>
    <m/>
    <n v="0"/>
    <m/>
    <m/>
    <n v="0"/>
    <m/>
    <m/>
    <m/>
    <m/>
    <m/>
    <m/>
    <n v="204113"/>
    <n v="0"/>
  </r>
  <r>
    <x v="11"/>
    <x v="8"/>
    <s v="Lottery Technology (NR)"/>
    <m/>
    <n v="218858"/>
    <x v="7"/>
    <m/>
    <m/>
    <n v="209134"/>
    <n v="121395"/>
    <m/>
    <m/>
    <m/>
    <m/>
    <n v="0"/>
    <m/>
    <m/>
    <n v="0"/>
    <n v="209134"/>
    <n v="121395"/>
    <m/>
    <m/>
    <m/>
    <m/>
    <n v="0"/>
    <m/>
    <m/>
    <n v="0"/>
    <m/>
    <m/>
    <m/>
    <m/>
    <m/>
    <m/>
    <n v="209134"/>
    <n v="121395"/>
  </r>
  <r>
    <x v="11"/>
    <x v="0"/>
    <s v="Florence-Darlington Technical College "/>
    <s v="Met the criteria for Two-year 1 in 2010-11."/>
    <n v="218025"/>
    <x v="7"/>
    <n v="6325663"/>
    <n v="5444239"/>
    <m/>
    <m/>
    <n v="4935293"/>
    <n v="4200000"/>
    <n v="16650730"/>
    <n v="2798663"/>
    <n v="19449393"/>
    <n v="14026153"/>
    <n v="2371139"/>
    <n v="16397292"/>
    <n v="27911686"/>
    <n v="23670392"/>
    <m/>
    <m/>
    <m/>
    <m/>
    <n v="0"/>
    <m/>
    <m/>
    <n v="0"/>
    <m/>
    <m/>
    <m/>
    <m/>
    <m/>
    <m/>
    <n v="27911686"/>
    <n v="23670392"/>
  </r>
  <r>
    <x v="11"/>
    <x v="8"/>
    <s v="Special Line items for education operations"/>
    <m/>
    <n v="218025"/>
    <x v="7"/>
    <m/>
    <m/>
    <m/>
    <m/>
    <m/>
    <m/>
    <m/>
    <m/>
    <n v="0"/>
    <m/>
    <m/>
    <n v="0"/>
    <n v="0"/>
    <n v="0"/>
    <m/>
    <m/>
    <m/>
    <m/>
    <n v="0"/>
    <m/>
    <m/>
    <n v="0"/>
    <m/>
    <m/>
    <m/>
    <m/>
    <m/>
    <m/>
    <n v="0"/>
    <n v="0"/>
  </r>
  <r>
    <x v="11"/>
    <x v="8"/>
    <s v="SBTCE Priority Initiative"/>
    <m/>
    <n v="218025"/>
    <x v="7"/>
    <m/>
    <m/>
    <n v="12805"/>
    <n v="0"/>
    <m/>
    <m/>
    <m/>
    <m/>
    <n v="0"/>
    <m/>
    <m/>
    <n v="0"/>
    <n v="12805"/>
    <n v="0"/>
    <m/>
    <m/>
    <m/>
    <m/>
    <n v="0"/>
    <m/>
    <m/>
    <n v="0"/>
    <m/>
    <m/>
    <m/>
    <m/>
    <m/>
    <m/>
    <n v="12805"/>
    <n v="0"/>
  </r>
  <r>
    <x v="11"/>
    <x v="8"/>
    <s v="Economic Recovery Initiative"/>
    <m/>
    <n v="218025"/>
    <x v="7"/>
    <m/>
    <m/>
    <n v="26636"/>
    <n v="0"/>
    <m/>
    <m/>
    <m/>
    <m/>
    <n v="0"/>
    <m/>
    <m/>
    <n v="0"/>
    <n v="26636"/>
    <n v="0"/>
    <m/>
    <m/>
    <m/>
    <m/>
    <n v="0"/>
    <m/>
    <m/>
    <n v="0"/>
    <m/>
    <m/>
    <m/>
    <m/>
    <m/>
    <m/>
    <n v="26636"/>
    <n v="0"/>
  </r>
  <r>
    <x v="11"/>
    <x v="8"/>
    <s v="Entrepreneurial Operations Equipment"/>
    <m/>
    <n v="218025"/>
    <x v="7"/>
    <m/>
    <m/>
    <n v="355613"/>
    <n v="0"/>
    <m/>
    <m/>
    <m/>
    <m/>
    <n v="0"/>
    <m/>
    <m/>
    <n v="0"/>
    <n v="355613"/>
    <n v="0"/>
    <m/>
    <m/>
    <m/>
    <m/>
    <n v="0"/>
    <m/>
    <m/>
    <n v="0"/>
    <m/>
    <m/>
    <m/>
    <m/>
    <m/>
    <m/>
    <n v="355613"/>
    <n v="0"/>
  </r>
  <r>
    <x v="11"/>
    <x v="8"/>
    <s v="SIMT"/>
    <m/>
    <n v="218025"/>
    <x v="7"/>
    <m/>
    <m/>
    <n v="1066843"/>
    <n v="1209088"/>
    <m/>
    <m/>
    <m/>
    <m/>
    <n v="0"/>
    <m/>
    <m/>
    <n v="0"/>
    <n v="1066843"/>
    <n v="1209088"/>
    <m/>
    <m/>
    <m/>
    <m/>
    <n v="0"/>
    <m/>
    <m/>
    <n v="0"/>
    <m/>
    <m/>
    <m/>
    <m/>
    <m/>
    <m/>
    <n v="1066843"/>
    <n v="1209088"/>
  </r>
  <r>
    <x v="11"/>
    <x v="8"/>
    <s v="Pathways to Prosperity"/>
    <m/>
    <n v="218025"/>
    <x v="7"/>
    <m/>
    <m/>
    <n v="44452"/>
    <n v="37784"/>
    <m/>
    <m/>
    <m/>
    <m/>
    <n v="0"/>
    <m/>
    <m/>
    <n v="0"/>
    <n v="44452"/>
    <n v="37784"/>
    <m/>
    <m/>
    <m/>
    <m/>
    <n v="0"/>
    <m/>
    <m/>
    <n v="0"/>
    <m/>
    <m/>
    <m/>
    <m/>
    <m/>
    <m/>
    <n v="44452"/>
    <n v="37784"/>
  </r>
  <r>
    <x v="11"/>
    <x v="8"/>
    <s v="Access &amp; Equity"/>
    <m/>
    <n v="218025"/>
    <x v="7"/>
    <m/>
    <m/>
    <n v="7041"/>
    <n v="0"/>
    <m/>
    <m/>
    <m/>
    <m/>
    <n v="0"/>
    <m/>
    <m/>
    <n v="0"/>
    <n v="7041"/>
    <n v="0"/>
    <m/>
    <m/>
    <m/>
    <m/>
    <n v="0"/>
    <m/>
    <m/>
    <n v="0"/>
    <m/>
    <m/>
    <m/>
    <m/>
    <m/>
    <m/>
    <n v="7041"/>
    <n v="0"/>
  </r>
  <r>
    <x v="11"/>
    <x v="8"/>
    <s v="Academic Endowment"/>
    <m/>
    <n v="218025"/>
    <x v="7"/>
    <m/>
    <m/>
    <n v="4"/>
    <n v="0"/>
    <m/>
    <m/>
    <m/>
    <m/>
    <n v="0"/>
    <m/>
    <m/>
    <n v="0"/>
    <n v="4"/>
    <n v="0"/>
    <m/>
    <m/>
    <m/>
    <m/>
    <n v="0"/>
    <m/>
    <m/>
    <n v="0"/>
    <m/>
    <m/>
    <m/>
    <m/>
    <m/>
    <m/>
    <n v="4"/>
    <n v="0"/>
  </r>
  <r>
    <x v="11"/>
    <x v="8"/>
    <s v="Critical Needs Nursing Initiative"/>
    <m/>
    <n v="218025"/>
    <x v="7"/>
    <m/>
    <m/>
    <n v="26322"/>
    <s v="moved to base"/>
    <m/>
    <m/>
    <m/>
    <m/>
    <n v="0"/>
    <m/>
    <m/>
    <n v="0"/>
    <n v="26322"/>
    <n v="0"/>
    <m/>
    <m/>
    <m/>
    <m/>
    <n v="0"/>
    <m/>
    <m/>
    <n v="0"/>
    <m/>
    <m/>
    <m/>
    <m/>
    <m/>
    <m/>
    <n v="26322"/>
    <n v="0"/>
  </r>
  <r>
    <x v="11"/>
    <x v="8"/>
    <s v="Simulation &amp; Technology (NR)"/>
    <m/>
    <n v="218025"/>
    <x v="7"/>
    <m/>
    <m/>
    <n v="36204"/>
    <n v="0"/>
    <m/>
    <m/>
    <m/>
    <m/>
    <n v="0"/>
    <m/>
    <m/>
    <n v="0"/>
    <n v="36204"/>
    <n v="0"/>
    <m/>
    <m/>
    <m/>
    <m/>
    <n v="0"/>
    <m/>
    <m/>
    <n v="0"/>
    <m/>
    <m/>
    <m/>
    <m/>
    <m/>
    <m/>
    <n v="36204"/>
    <n v="0"/>
  </r>
  <r>
    <x v="11"/>
    <x v="8"/>
    <s v="Allied Health Programs (NR)"/>
    <m/>
    <n v="218025"/>
    <x v="7"/>
    <m/>
    <m/>
    <n v="240521"/>
    <n v="0"/>
    <m/>
    <m/>
    <m/>
    <m/>
    <n v="0"/>
    <m/>
    <m/>
    <n v="0"/>
    <n v="240521"/>
    <n v="0"/>
    <m/>
    <m/>
    <m/>
    <m/>
    <n v="0"/>
    <m/>
    <m/>
    <n v="0"/>
    <m/>
    <m/>
    <m/>
    <m/>
    <m/>
    <m/>
    <n v="240521"/>
    <n v="0"/>
  </r>
  <r>
    <x v="11"/>
    <x v="8"/>
    <s v="Lottery Technology (NR)"/>
    <m/>
    <n v="218025"/>
    <x v="7"/>
    <m/>
    <m/>
    <n v="308016"/>
    <n v="176843"/>
    <m/>
    <m/>
    <m/>
    <m/>
    <n v="0"/>
    <m/>
    <m/>
    <n v="0"/>
    <n v="308016"/>
    <n v="176843"/>
    <m/>
    <m/>
    <m/>
    <m/>
    <n v="0"/>
    <m/>
    <m/>
    <n v="0"/>
    <m/>
    <m/>
    <m/>
    <m/>
    <m/>
    <m/>
    <n v="308016"/>
    <n v="176843"/>
  </r>
  <r>
    <x v="11"/>
    <x v="0"/>
    <s v="Horry-Georgetown Technical College "/>
    <s v="Met the criteria for Two-year 1 in 2009-10 and 2010-11."/>
    <n v="218140"/>
    <x v="7"/>
    <n v="7403966"/>
    <n v="6449451"/>
    <m/>
    <m/>
    <n v="3464999"/>
    <n v="4096480"/>
    <n v="32234511"/>
    <n v="243219"/>
    <n v="32477730"/>
    <n v="27399160"/>
    <n v="223406"/>
    <n v="27622566"/>
    <n v="43103476"/>
    <n v="37945091"/>
    <m/>
    <m/>
    <m/>
    <m/>
    <n v="0"/>
    <m/>
    <m/>
    <n v="0"/>
    <m/>
    <m/>
    <m/>
    <m/>
    <m/>
    <m/>
    <n v="43103476"/>
    <n v="37945091"/>
  </r>
  <r>
    <x v="11"/>
    <x v="8"/>
    <s v="Special Line items for education operations"/>
    <m/>
    <n v="218140"/>
    <x v="7"/>
    <m/>
    <m/>
    <m/>
    <m/>
    <m/>
    <m/>
    <m/>
    <m/>
    <n v="0"/>
    <m/>
    <m/>
    <n v="0"/>
    <n v="0"/>
    <n v="0"/>
    <m/>
    <m/>
    <m/>
    <m/>
    <n v="0"/>
    <m/>
    <m/>
    <n v="0"/>
    <m/>
    <m/>
    <m/>
    <m/>
    <m/>
    <m/>
    <n v="0"/>
    <n v="0"/>
  </r>
  <r>
    <x v="11"/>
    <x v="8"/>
    <s v="SBTCE Priority Initiative"/>
    <m/>
    <n v="218140"/>
    <x v="7"/>
    <m/>
    <m/>
    <n v="14987"/>
    <n v="0"/>
    <m/>
    <m/>
    <m/>
    <m/>
    <n v="0"/>
    <m/>
    <m/>
    <n v="0"/>
    <n v="14987"/>
    <n v="0"/>
    <m/>
    <m/>
    <m/>
    <m/>
    <n v="0"/>
    <m/>
    <m/>
    <n v="0"/>
    <m/>
    <m/>
    <m/>
    <m/>
    <m/>
    <m/>
    <n v="14987"/>
    <n v="0"/>
  </r>
  <r>
    <x v="11"/>
    <x v="8"/>
    <s v="Economic Recovery Initiative"/>
    <m/>
    <n v="218140"/>
    <x v="7"/>
    <m/>
    <m/>
    <n v="31176"/>
    <n v="0"/>
    <m/>
    <m/>
    <m/>
    <m/>
    <n v="0"/>
    <m/>
    <m/>
    <n v="0"/>
    <n v="31176"/>
    <n v="0"/>
    <m/>
    <m/>
    <m/>
    <m/>
    <n v="0"/>
    <m/>
    <m/>
    <n v="0"/>
    <m/>
    <m/>
    <m/>
    <m/>
    <m/>
    <m/>
    <n v="31176"/>
    <n v="0"/>
  </r>
  <r>
    <x v="11"/>
    <x v="8"/>
    <s v="Pathways to Prosperity"/>
    <m/>
    <n v="218140"/>
    <x v="7"/>
    <m/>
    <m/>
    <n v="44452"/>
    <n v="37784"/>
    <m/>
    <m/>
    <m/>
    <m/>
    <n v="0"/>
    <m/>
    <m/>
    <n v="0"/>
    <n v="44452"/>
    <n v="37784"/>
    <m/>
    <m/>
    <m/>
    <m/>
    <n v="0"/>
    <m/>
    <m/>
    <n v="0"/>
    <m/>
    <m/>
    <m/>
    <m/>
    <m/>
    <m/>
    <n v="44452"/>
    <n v="37784"/>
  </r>
  <r>
    <x v="11"/>
    <x v="8"/>
    <s v="Access &amp; Equity"/>
    <m/>
    <n v="218140"/>
    <x v="7"/>
    <m/>
    <m/>
    <n v="8212"/>
    <n v="0"/>
    <m/>
    <m/>
    <m/>
    <m/>
    <n v="0"/>
    <m/>
    <m/>
    <n v="0"/>
    <n v="8212"/>
    <n v="0"/>
    <m/>
    <m/>
    <m/>
    <m/>
    <n v="0"/>
    <m/>
    <m/>
    <n v="0"/>
    <m/>
    <m/>
    <m/>
    <m/>
    <m/>
    <m/>
    <n v="8212"/>
    <n v="0"/>
  </r>
  <r>
    <x v="11"/>
    <x v="8"/>
    <s v="Academic Endowment"/>
    <m/>
    <n v="218140"/>
    <x v="7"/>
    <m/>
    <m/>
    <n v="256"/>
    <n v="0"/>
    <m/>
    <m/>
    <m/>
    <m/>
    <n v="0"/>
    <m/>
    <m/>
    <n v="0"/>
    <n v="256"/>
    <n v="0"/>
    <m/>
    <m/>
    <m/>
    <m/>
    <n v="0"/>
    <m/>
    <m/>
    <n v="0"/>
    <m/>
    <m/>
    <m/>
    <m/>
    <m/>
    <m/>
    <n v="256"/>
    <n v="0"/>
  </r>
  <r>
    <x v="11"/>
    <x v="8"/>
    <s v="Critical Needs Nursing Initiative"/>
    <m/>
    <n v="218140"/>
    <x v="7"/>
    <m/>
    <m/>
    <n v="20929"/>
    <s v="moved to base"/>
    <m/>
    <m/>
    <m/>
    <m/>
    <n v="0"/>
    <m/>
    <m/>
    <n v="0"/>
    <n v="20929"/>
    <n v="0"/>
    <m/>
    <m/>
    <m/>
    <m/>
    <n v="0"/>
    <m/>
    <m/>
    <n v="0"/>
    <m/>
    <m/>
    <m/>
    <m/>
    <m/>
    <m/>
    <n v="20929"/>
    <n v="0"/>
  </r>
  <r>
    <x v="11"/>
    <x v="8"/>
    <s v="Simulation &amp; Technology (NR)"/>
    <m/>
    <n v="218140"/>
    <x v="7"/>
    <m/>
    <m/>
    <n v="46749"/>
    <n v="0"/>
    <m/>
    <m/>
    <m/>
    <m/>
    <n v="0"/>
    <m/>
    <m/>
    <n v="0"/>
    <n v="46749"/>
    <n v="0"/>
    <m/>
    <m/>
    <m/>
    <m/>
    <n v="0"/>
    <m/>
    <m/>
    <n v="0"/>
    <m/>
    <m/>
    <m/>
    <m/>
    <m/>
    <m/>
    <n v="46749"/>
    <n v="0"/>
  </r>
  <r>
    <x v="11"/>
    <x v="8"/>
    <s v="Allied Health Programs (NR)"/>
    <m/>
    <n v="218140"/>
    <x v="7"/>
    <m/>
    <m/>
    <n v="263001"/>
    <n v="0"/>
    <m/>
    <m/>
    <m/>
    <m/>
    <n v="0"/>
    <m/>
    <m/>
    <n v="0"/>
    <n v="263001"/>
    <n v="0"/>
    <m/>
    <m/>
    <m/>
    <m/>
    <n v="0"/>
    <m/>
    <m/>
    <n v="0"/>
    <m/>
    <m/>
    <m/>
    <m/>
    <m/>
    <m/>
    <n v="263001"/>
    <n v="0"/>
  </r>
  <r>
    <x v="11"/>
    <x v="8"/>
    <s v="Lottery Technology (NR)"/>
    <m/>
    <n v="218140"/>
    <x v="7"/>
    <m/>
    <m/>
    <n v="360521"/>
    <n v="209789"/>
    <m/>
    <m/>
    <m/>
    <m/>
    <n v="0"/>
    <m/>
    <m/>
    <n v="0"/>
    <n v="360521"/>
    <n v="209789"/>
    <m/>
    <m/>
    <m/>
    <m/>
    <n v="0"/>
    <m/>
    <m/>
    <n v="0"/>
    <m/>
    <m/>
    <m/>
    <m/>
    <m/>
    <m/>
    <n v="360521"/>
    <n v="209789"/>
  </r>
  <r>
    <x v="11"/>
    <x v="0"/>
    <s v="Orangeburg-Calhoun Technical College "/>
    <m/>
    <n v="218487"/>
    <x v="7"/>
    <n v="4066428"/>
    <n v="3488537"/>
    <m/>
    <m/>
    <n v="1928892"/>
    <n v="1626558"/>
    <n v="10453978"/>
    <n v="0"/>
    <n v="10453978"/>
    <n v="10794816"/>
    <n v="0"/>
    <n v="10794816"/>
    <n v="16449298"/>
    <n v="15909911"/>
    <m/>
    <m/>
    <m/>
    <m/>
    <n v="0"/>
    <m/>
    <m/>
    <n v="0"/>
    <m/>
    <m/>
    <m/>
    <m/>
    <m/>
    <m/>
    <n v="16449298"/>
    <n v="15909911"/>
  </r>
  <r>
    <x v="11"/>
    <x v="8"/>
    <s v="Special Line items for education operations"/>
    <m/>
    <n v="218487"/>
    <x v="7"/>
    <m/>
    <m/>
    <m/>
    <m/>
    <m/>
    <m/>
    <m/>
    <m/>
    <n v="0"/>
    <m/>
    <m/>
    <n v="0"/>
    <n v="0"/>
    <n v="0"/>
    <m/>
    <m/>
    <m/>
    <m/>
    <n v="0"/>
    <m/>
    <m/>
    <n v="0"/>
    <m/>
    <m/>
    <m/>
    <m/>
    <m/>
    <m/>
    <n v="0"/>
    <n v="0"/>
  </r>
  <r>
    <x v="11"/>
    <x v="8"/>
    <s v="SBTCE Priority Initiative"/>
    <m/>
    <n v="218487"/>
    <x v="7"/>
    <m/>
    <m/>
    <n v="8231"/>
    <n v="0"/>
    <m/>
    <m/>
    <m/>
    <m/>
    <n v="0"/>
    <m/>
    <m/>
    <n v="0"/>
    <n v="8231"/>
    <n v="0"/>
    <m/>
    <m/>
    <m/>
    <m/>
    <n v="0"/>
    <m/>
    <m/>
    <n v="0"/>
    <m/>
    <m/>
    <m/>
    <m/>
    <m/>
    <m/>
    <n v="8231"/>
    <n v="0"/>
  </r>
  <r>
    <x v="11"/>
    <x v="8"/>
    <s v="Economic Recovery Initiative"/>
    <m/>
    <n v="218487"/>
    <x v="7"/>
    <m/>
    <m/>
    <n v="17123"/>
    <n v="0"/>
    <m/>
    <m/>
    <m/>
    <m/>
    <n v="0"/>
    <m/>
    <m/>
    <n v="0"/>
    <n v="17123"/>
    <n v="0"/>
    <m/>
    <m/>
    <m/>
    <m/>
    <n v="0"/>
    <m/>
    <m/>
    <n v="0"/>
    <m/>
    <m/>
    <m/>
    <m/>
    <m/>
    <m/>
    <n v="17123"/>
    <n v="0"/>
  </r>
  <r>
    <x v="11"/>
    <x v="8"/>
    <s v="Pathways to Prosperity"/>
    <m/>
    <n v="218487"/>
    <x v="7"/>
    <m/>
    <m/>
    <n v="44451"/>
    <n v="37784"/>
    <m/>
    <m/>
    <m/>
    <m/>
    <n v="0"/>
    <m/>
    <m/>
    <n v="0"/>
    <n v="44451"/>
    <n v="37784"/>
    <m/>
    <m/>
    <m/>
    <m/>
    <n v="0"/>
    <m/>
    <m/>
    <n v="0"/>
    <m/>
    <m/>
    <m/>
    <m/>
    <m/>
    <m/>
    <n v="44451"/>
    <n v="37784"/>
  </r>
  <r>
    <x v="11"/>
    <x v="8"/>
    <s v="Access &amp; Equity"/>
    <m/>
    <n v="218487"/>
    <x v="7"/>
    <m/>
    <m/>
    <n v="5812"/>
    <n v="0"/>
    <m/>
    <m/>
    <m/>
    <m/>
    <n v="0"/>
    <m/>
    <m/>
    <n v="0"/>
    <n v="5812"/>
    <n v="0"/>
    <m/>
    <m/>
    <m/>
    <m/>
    <n v="0"/>
    <m/>
    <m/>
    <n v="0"/>
    <m/>
    <m/>
    <m/>
    <m/>
    <m/>
    <m/>
    <n v="5812"/>
    <n v="0"/>
  </r>
  <r>
    <x v="11"/>
    <x v="8"/>
    <s v="Academic Endowment"/>
    <m/>
    <n v="218487"/>
    <x v="7"/>
    <m/>
    <m/>
    <n v="143"/>
    <n v="0"/>
    <m/>
    <m/>
    <m/>
    <m/>
    <n v="0"/>
    <m/>
    <m/>
    <n v="0"/>
    <n v="143"/>
    <n v="0"/>
    <m/>
    <m/>
    <m/>
    <m/>
    <n v="0"/>
    <m/>
    <m/>
    <n v="0"/>
    <m/>
    <m/>
    <m/>
    <m/>
    <m/>
    <m/>
    <n v="143"/>
    <n v="0"/>
  </r>
  <r>
    <x v="11"/>
    <x v="8"/>
    <s v="Critical Needs Nursing Initiative"/>
    <m/>
    <n v="218487"/>
    <x v="7"/>
    <m/>
    <m/>
    <n v="20791"/>
    <s v="moved to base"/>
    <m/>
    <m/>
    <m/>
    <m/>
    <n v="0"/>
    <m/>
    <m/>
    <n v="0"/>
    <n v="20791"/>
    <n v="0"/>
    <m/>
    <m/>
    <m/>
    <m/>
    <n v="0"/>
    <m/>
    <m/>
    <n v="0"/>
    <m/>
    <m/>
    <m/>
    <m/>
    <m/>
    <m/>
    <n v="20791"/>
    <n v="0"/>
  </r>
  <r>
    <x v="11"/>
    <x v="8"/>
    <s v="Simulation &amp; Technology (NR)"/>
    <m/>
    <n v="218487"/>
    <x v="7"/>
    <m/>
    <m/>
    <n v="22020"/>
    <n v="0"/>
    <m/>
    <m/>
    <m/>
    <m/>
    <n v="0"/>
    <m/>
    <m/>
    <n v="0"/>
    <n v="22020"/>
    <n v="0"/>
    <m/>
    <m/>
    <m/>
    <m/>
    <n v="0"/>
    <m/>
    <m/>
    <n v="0"/>
    <m/>
    <m/>
    <m/>
    <m/>
    <m/>
    <m/>
    <n v="22020"/>
    <n v="0"/>
  </r>
  <r>
    <x v="11"/>
    <x v="8"/>
    <s v="Allied Health Programs (NR)"/>
    <m/>
    <n v="218487"/>
    <x v="7"/>
    <m/>
    <m/>
    <n v="199711"/>
    <n v="0"/>
    <m/>
    <m/>
    <m/>
    <m/>
    <n v="0"/>
    <m/>
    <m/>
    <n v="0"/>
    <n v="199711"/>
    <n v="0"/>
    <m/>
    <m/>
    <m/>
    <m/>
    <n v="0"/>
    <m/>
    <m/>
    <n v="0"/>
    <m/>
    <m/>
    <m/>
    <m/>
    <m/>
    <m/>
    <n v="199711"/>
    <n v="0"/>
  </r>
  <r>
    <x v="11"/>
    <x v="8"/>
    <s v="Lottery Technology (NR)"/>
    <m/>
    <n v="218487"/>
    <x v="7"/>
    <m/>
    <m/>
    <n v="198007"/>
    <n v="113211"/>
    <m/>
    <m/>
    <m/>
    <m/>
    <n v="0"/>
    <m/>
    <m/>
    <n v="0"/>
    <n v="198007"/>
    <n v="113211"/>
    <m/>
    <m/>
    <m/>
    <m/>
    <n v="0"/>
    <m/>
    <m/>
    <n v="0"/>
    <m/>
    <m/>
    <m/>
    <m/>
    <m/>
    <m/>
    <n v="198007"/>
    <n v="113211"/>
  </r>
  <r>
    <x v="11"/>
    <x v="0"/>
    <s v="Piedmont Technical College "/>
    <s v="Met the criteria for Two-year 1 in 2010-11."/>
    <n v="218520"/>
    <x v="7"/>
    <n v="7043587"/>
    <n v="6080842"/>
    <m/>
    <m/>
    <n v="2307592"/>
    <n v="2769071"/>
    <n v="19107586"/>
    <n v="0"/>
    <n v="19107586"/>
    <n v="16728415"/>
    <n v="0"/>
    <n v="16728415"/>
    <n v="28458765"/>
    <n v="25578328"/>
    <m/>
    <m/>
    <m/>
    <m/>
    <n v="0"/>
    <m/>
    <m/>
    <n v="0"/>
    <m/>
    <m/>
    <m/>
    <m/>
    <m/>
    <m/>
    <n v="28458765"/>
    <n v="25578328"/>
  </r>
  <r>
    <x v="11"/>
    <x v="8"/>
    <s v="Special Line items for education operations"/>
    <m/>
    <n v="218520"/>
    <x v="7"/>
    <m/>
    <m/>
    <m/>
    <m/>
    <m/>
    <m/>
    <m/>
    <m/>
    <n v="0"/>
    <m/>
    <m/>
    <n v="0"/>
    <n v="0"/>
    <n v="0"/>
    <m/>
    <m/>
    <m/>
    <m/>
    <n v="0"/>
    <m/>
    <m/>
    <n v="0"/>
    <m/>
    <m/>
    <m/>
    <m/>
    <m/>
    <m/>
    <n v="0"/>
    <n v="0"/>
  </r>
  <r>
    <x v="11"/>
    <x v="8"/>
    <s v="SBTCE Priority Initiative"/>
    <m/>
    <n v="218520"/>
    <x v="7"/>
    <m/>
    <m/>
    <n v="14258"/>
    <n v="0"/>
    <m/>
    <m/>
    <m/>
    <m/>
    <n v="0"/>
    <m/>
    <m/>
    <n v="0"/>
    <n v="14258"/>
    <n v="0"/>
    <m/>
    <m/>
    <m/>
    <m/>
    <n v="0"/>
    <m/>
    <m/>
    <n v="0"/>
    <m/>
    <m/>
    <m/>
    <m/>
    <m/>
    <m/>
    <n v="14258"/>
    <n v="0"/>
  </r>
  <r>
    <x v="11"/>
    <x v="8"/>
    <s v="Economic Recovery Initiative"/>
    <m/>
    <n v="218520"/>
    <x v="7"/>
    <m/>
    <m/>
    <n v="29659"/>
    <n v="0"/>
    <m/>
    <m/>
    <m/>
    <m/>
    <n v="0"/>
    <m/>
    <m/>
    <n v="0"/>
    <n v="29659"/>
    <n v="0"/>
    <m/>
    <m/>
    <m/>
    <m/>
    <n v="0"/>
    <m/>
    <m/>
    <n v="0"/>
    <m/>
    <m/>
    <m/>
    <m/>
    <m/>
    <m/>
    <n v="29659"/>
    <n v="0"/>
  </r>
  <r>
    <x v="11"/>
    <x v="8"/>
    <s v="Pathways to Prosperity"/>
    <m/>
    <n v="218520"/>
    <x v="7"/>
    <m/>
    <m/>
    <n v="44452"/>
    <n v="37784"/>
    <m/>
    <m/>
    <m/>
    <m/>
    <n v="0"/>
    <m/>
    <m/>
    <n v="0"/>
    <n v="44452"/>
    <n v="37784"/>
    <m/>
    <m/>
    <m/>
    <m/>
    <n v="0"/>
    <m/>
    <m/>
    <n v="0"/>
    <m/>
    <m/>
    <m/>
    <m/>
    <m/>
    <m/>
    <n v="44452"/>
    <n v="37784"/>
  </r>
  <r>
    <x v="11"/>
    <x v="8"/>
    <s v="Access &amp; Equity"/>
    <m/>
    <n v="218520"/>
    <x v="7"/>
    <m/>
    <m/>
    <n v="7358"/>
    <n v="0"/>
    <m/>
    <m/>
    <m/>
    <m/>
    <n v="0"/>
    <m/>
    <m/>
    <n v="0"/>
    <n v="7358"/>
    <n v="0"/>
    <m/>
    <m/>
    <m/>
    <m/>
    <n v="0"/>
    <m/>
    <m/>
    <n v="0"/>
    <m/>
    <m/>
    <m/>
    <m/>
    <m/>
    <m/>
    <n v="7358"/>
    <n v="0"/>
  </r>
  <r>
    <x v="11"/>
    <x v="8"/>
    <s v="Academic Endowment"/>
    <m/>
    <n v="218520"/>
    <x v="7"/>
    <m/>
    <m/>
    <n v="456"/>
    <n v="0"/>
    <m/>
    <m/>
    <m/>
    <m/>
    <n v="0"/>
    <m/>
    <m/>
    <n v="0"/>
    <n v="456"/>
    <n v="0"/>
    <m/>
    <m/>
    <m/>
    <m/>
    <n v="0"/>
    <m/>
    <m/>
    <n v="0"/>
    <m/>
    <m/>
    <m/>
    <m/>
    <m/>
    <m/>
    <n v="456"/>
    <n v="0"/>
  </r>
  <r>
    <x v="11"/>
    <x v="8"/>
    <s v="Critical Needs Nursing Initiative"/>
    <m/>
    <n v="218520"/>
    <x v="7"/>
    <m/>
    <m/>
    <n v="46538"/>
    <s v="moved to base"/>
    <m/>
    <m/>
    <m/>
    <m/>
    <n v="0"/>
    <m/>
    <m/>
    <n v="0"/>
    <n v="46538"/>
    <n v="0"/>
    <m/>
    <m/>
    <m/>
    <m/>
    <n v="0"/>
    <m/>
    <m/>
    <n v="0"/>
    <m/>
    <m/>
    <m/>
    <m/>
    <m/>
    <m/>
    <n v="46538"/>
    <n v="0"/>
  </r>
  <r>
    <x v="11"/>
    <x v="8"/>
    <s v="Simulation &amp; Technology (NR)"/>
    <m/>
    <n v="218520"/>
    <x v="7"/>
    <m/>
    <m/>
    <n v="49597"/>
    <n v="0"/>
    <m/>
    <m/>
    <m/>
    <m/>
    <n v="0"/>
    <m/>
    <m/>
    <n v="0"/>
    <n v="49597"/>
    <n v="0"/>
    <m/>
    <m/>
    <m/>
    <m/>
    <n v="0"/>
    <m/>
    <m/>
    <n v="0"/>
    <m/>
    <m/>
    <m/>
    <m/>
    <m/>
    <m/>
    <n v="49597"/>
    <n v="0"/>
  </r>
  <r>
    <x v="11"/>
    <x v="8"/>
    <s v="Allied Health Programs (NR)"/>
    <m/>
    <n v="218520"/>
    <x v="7"/>
    <m/>
    <m/>
    <n v="256659"/>
    <n v="0"/>
    <m/>
    <m/>
    <m/>
    <m/>
    <n v="0"/>
    <m/>
    <m/>
    <n v="0"/>
    <n v="256659"/>
    <n v="0"/>
    <m/>
    <m/>
    <m/>
    <m/>
    <n v="0"/>
    <m/>
    <m/>
    <n v="0"/>
    <m/>
    <m/>
    <m/>
    <m/>
    <m/>
    <m/>
    <n v="256659"/>
    <n v="0"/>
  </r>
  <r>
    <x v="11"/>
    <x v="8"/>
    <s v="Lottery Technology (NR)"/>
    <m/>
    <n v="218520"/>
    <x v="7"/>
    <m/>
    <m/>
    <n v="342974"/>
    <n v="197048"/>
    <m/>
    <m/>
    <m/>
    <m/>
    <n v="0"/>
    <m/>
    <m/>
    <n v="0"/>
    <n v="342974"/>
    <n v="197048"/>
    <m/>
    <m/>
    <m/>
    <m/>
    <n v="0"/>
    <m/>
    <m/>
    <n v="0"/>
    <m/>
    <m/>
    <m/>
    <m/>
    <m/>
    <m/>
    <n v="342974"/>
    <n v="197048"/>
  </r>
  <r>
    <x v="11"/>
    <x v="0"/>
    <s v="Spartanburg Community College "/>
    <s v="Met the criteria for Two-year 1 in 2010-11."/>
    <n v="218830"/>
    <x v="7"/>
    <n v="6626707"/>
    <n v="5697812"/>
    <m/>
    <m/>
    <n v="4457870"/>
    <n v="5829451"/>
    <n v="24009940"/>
    <n v="1669724"/>
    <n v="25679664"/>
    <n v="22677797"/>
    <n v="1705351"/>
    <n v="24383148"/>
    <n v="35094517"/>
    <n v="34205060"/>
    <m/>
    <m/>
    <m/>
    <m/>
    <n v="0"/>
    <m/>
    <m/>
    <n v="0"/>
    <m/>
    <m/>
    <m/>
    <m/>
    <m/>
    <m/>
    <n v="35094517"/>
    <n v="34205060"/>
  </r>
  <r>
    <x v="11"/>
    <x v="8"/>
    <s v="Special Line items for education operations"/>
    <m/>
    <n v="218830"/>
    <x v="7"/>
    <m/>
    <m/>
    <m/>
    <m/>
    <m/>
    <m/>
    <m/>
    <m/>
    <n v="0"/>
    <m/>
    <m/>
    <n v="0"/>
    <n v="0"/>
    <n v="0"/>
    <m/>
    <m/>
    <m/>
    <m/>
    <n v="0"/>
    <m/>
    <m/>
    <n v="0"/>
    <m/>
    <m/>
    <m/>
    <m/>
    <m/>
    <m/>
    <n v="0"/>
    <n v="0"/>
  </r>
  <r>
    <x v="11"/>
    <x v="8"/>
    <s v="SBTCE Priority Initiative"/>
    <m/>
    <n v="218830"/>
    <x v="7"/>
    <m/>
    <m/>
    <n v="13414"/>
    <n v="0"/>
    <m/>
    <m/>
    <m/>
    <m/>
    <n v="0"/>
    <m/>
    <m/>
    <n v="0"/>
    <n v="13414"/>
    <n v="0"/>
    <m/>
    <m/>
    <m/>
    <m/>
    <n v="0"/>
    <m/>
    <m/>
    <n v="0"/>
    <m/>
    <m/>
    <m/>
    <m/>
    <m/>
    <m/>
    <n v="13414"/>
    <n v="0"/>
  </r>
  <r>
    <x v="11"/>
    <x v="8"/>
    <s v="Economic Recovery Initiative"/>
    <m/>
    <n v="218830"/>
    <x v="7"/>
    <m/>
    <m/>
    <n v="27904"/>
    <n v="0"/>
    <m/>
    <m/>
    <m/>
    <m/>
    <n v="0"/>
    <m/>
    <m/>
    <n v="0"/>
    <n v="27904"/>
    <n v="0"/>
    <m/>
    <m/>
    <m/>
    <m/>
    <n v="0"/>
    <m/>
    <m/>
    <n v="0"/>
    <m/>
    <m/>
    <m/>
    <m/>
    <m/>
    <m/>
    <n v="27904"/>
    <n v="0"/>
  </r>
  <r>
    <x v="11"/>
    <x v="8"/>
    <s v="Spartanburg-Cherokee Expansion"/>
    <m/>
    <n v="218830"/>
    <x v="7"/>
    <m/>
    <m/>
    <n v="1066842"/>
    <n v="906816"/>
    <m/>
    <m/>
    <m/>
    <m/>
    <n v="0"/>
    <m/>
    <m/>
    <n v="0"/>
    <n v="1066842"/>
    <n v="906816"/>
    <m/>
    <m/>
    <m/>
    <m/>
    <n v="0"/>
    <m/>
    <m/>
    <n v="0"/>
    <m/>
    <m/>
    <m/>
    <m/>
    <m/>
    <m/>
    <n v="1066842"/>
    <n v="906816"/>
  </r>
  <r>
    <x v="11"/>
    <x v="8"/>
    <s v="Pathways to Prosperity"/>
    <m/>
    <n v="218830"/>
    <x v="7"/>
    <m/>
    <m/>
    <n v="44452"/>
    <n v="37784"/>
    <m/>
    <m/>
    <m/>
    <m/>
    <n v="0"/>
    <m/>
    <m/>
    <n v="0"/>
    <n v="44452"/>
    <n v="37784"/>
    <m/>
    <m/>
    <m/>
    <m/>
    <n v="0"/>
    <m/>
    <m/>
    <n v="0"/>
    <m/>
    <m/>
    <m/>
    <m/>
    <m/>
    <m/>
    <n v="44452"/>
    <n v="37784"/>
  </r>
  <r>
    <x v="11"/>
    <x v="8"/>
    <s v="Access &amp; Equity"/>
    <m/>
    <n v="218830"/>
    <x v="7"/>
    <m/>
    <m/>
    <n v="7178"/>
    <n v="0"/>
    <m/>
    <m/>
    <m/>
    <m/>
    <n v="0"/>
    <m/>
    <m/>
    <n v="0"/>
    <n v="7178"/>
    <n v="0"/>
    <m/>
    <m/>
    <m/>
    <m/>
    <n v="0"/>
    <m/>
    <m/>
    <n v="0"/>
    <m/>
    <m/>
    <m/>
    <m/>
    <m/>
    <m/>
    <n v="7178"/>
    <n v="0"/>
  </r>
  <r>
    <x v="11"/>
    <x v="8"/>
    <s v="Academic Endowment"/>
    <m/>
    <n v="218830"/>
    <x v="7"/>
    <m/>
    <m/>
    <n v="718"/>
    <n v="0"/>
    <m/>
    <m/>
    <m/>
    <m/>
    <n v="0"/>
    <m/>
    <m/>
    <n v="0"/>
    <n v="718"/>
    <n v="0"/>
    <m/>
    <m/>
    <m/>
    <m/>
    <n v="0"/>
    <m/>
    <m/>
    <n v="0"/>
    <m/>
    <m/>
    <m/>
    <m/>
    <m/>
    <m/>
    <n v="718"/>
    <n v="0"/>
  </r>
  <r>
    <x v="11"/>
    <x v="8"/>
    <s v="Simulation &amp; Technology (NR)"/>
    <m/>
    <n v="218830"/>
    <x v="7"/>
    <m/>
    <m/>
    <n v="15350"/>
    <n v="0"/>
    <m/>
    <m/>
    <m/>
    <m/>
    <n v="0"/>
    <m/>
    <m/>
    <n v="0"/>
    <n v="15350"/>
    <n v="0"/>
    <m/>
    <m/>
    <m/>
    <m/>
    <n v="0"/>
    <m/>
    <m/>
    <n v="0"/>
    <m/>
    <m/>
    <m/>
    <m/>
    <m/>
    <m/>
    <n v="15350"/>
    <n v="0"/>
  </r>
  <r>
    <x v="11"/>
    <x v="8"/>
    <s v="Allied Health Programs (NR)"/>
    <m/>
    <n v="218830"/>
    <x v="7"/>
    <m/>
    <m/>
    <n v="247478"/>
    <n v="0"/>
    <m/>
    <m/>
    <m/>
    <m/>
    <n v="0"/>
    <m/>
    <m/>
    <n v="0"/>
    <n v="247478"/>
    <n v="0"/>
    <m/>
    <m/>
    <m/>
    <m/>
    <n v="0"/>
    <m/>
    <m/>
    <n v="0"/>
    <m/>
    <m/>
    <m/>
    <m/>
    <m/>
    <m/>
    <n v="247478"/>
    <n v="0"/>
  </r>
  <r>
    <x v="11"/>
    <x v="8"/>
    <s v="Lottery Technology (NR)"/>
    <m/>
    <n v="218830"/>
    <x v="7"/>
    <m/>
    <m/>
    <n v="322674"/>
    <n v="185841"/>
    <m/>
    <m/>
    <m/>
    <m/>
    <n v="0"/>
    <m/>
    <m/>
    <n v="0"/>
    <n v="322674"/>
    <n v="185841"/>
    <m/>
    <m/>
    <m/>
    <m/>
    <n v="0"/>
    <m/>
    <m/>
    <n v="0"/>
    <m/>
    <m/>
    <m/>
    <m/>
    <m/>
    <m/>
    <n v="322674"/>
    <n v="185841"/>
  </r>
  <r>
    <x v="11"/>
    <x v="0"/>
    <s v="Tri-County Technical College "/>
    <s v="Met the criteria for Two-year 1 in 2009-10 and 2010-11."/>
    <n v="218885"/>
    <x v="7"/>
    <n v="7173270"/>
    <n v="6380717"/>
    <m/>
    <m/>
    <n v="3530344"/>
    <n v="5263903"/>
    <n v="22403408"/>
    <n v="1024074"/>
    <n v="23427482"/>
    <n v="25555786"/>
    <n v="1265470"/>
    <n v="26821256"/>
    <n v="33107022"/>
    <n v="37200406"/>
    <m/>
    <m/>
    <m/>
    <m/>
    <n v="0"/>
    <m/>
    <m/>
    <n v="0"/>
    <m/>
    <m/>
    <m/>
    <m/>
    <m/>
    <m/>
    <n v="33107022"/>
    <n v="37200406"/>
  </r>
  <r>
    <x v="11"/>
    <x v="8"/>
    <s v="Special Line items for education operations"/>
    <m/>
    <n v="218885"/>
    <x v="7"/>
    <m/>
    <m/>
    <m/>
    <m/>
    <m/>
    <m/>
    <m/>
    <m/>
    <n v="0"/>
    <m/>
    <m/>
    <n v="0"/>
    <n v="0"/>
    <n v="0"/>
    <m/>
    <m/>
    <m/>
    <m/>
    <n v="0"/>
    <m/>
    <m/>
    <n v="0"/>
    <m/>
    <m/>
    <m/>
    <m/>
    <m/>
    <m/>
    <n v="0"/>
    <n v="0"/>
  </r>
  <r>
    <x v="11"/>
    <x v="8"/>
    <s v="SBTCE Priority Initiative"/>
    <m/>
    <n v="218885"/>
    <x v="7"/>
    <m/>
    <m/>
    <n v="14520"/>
    <n v="0"/>
    <m/>
    <m/>
    <m/>
    <m/>
    <n v="0"/>
    <m/>
    <m/>
    <n v="0"/>
    <n v="14520"/>
    <n v="0"/>
    <m/>
    <m/>
    <m/>
    <m/>
    <n v="0"/>
    <m/>
    <m/>
    <n v="0"/>
    <m/>
    <m/>
    <m/>
    <m/>
    <m/>
    <m/>
    <n v="14520"/>
    <n v="0"/>
  </r>
  <r>
    <x v="11"/>
    <x v="8"/>
    <s v="Economic Recovery Initiative"/>
    <m/>
    <n v="218885"/>
    <x v="7"/>
    <m/>
    <m/>
    <n v="30205"/>
    <n v="0"/>
    <m/>
    <m/>
    <m/>
    <m/>
    <n v="0"/>
    <m/>
    <m/>
    <n v="0"/>
    <n v="30205"/>
    <n v="0"/>
    <m/>
    <m/>
    <m/>
    <m/>
    <n v="0"/>
    <m/>
    <m/>
    <n v="0"/>
    <m/>
    <m/>
    <m/>
    <m/>
    <m/>
    <m/>
    <n v="30205"/>
    <n v="0"/>
  </r>
  <r>
    <x v="11"/>
    <x v="8"/>
    <s v="Pathways to Prosperity"/>
    <m/>
    <n v="218885"/>
    <x v="7"/>
    <m/>
    <m/>
    <n v="44452"/>
    <n v="37784"/>
    <m/>
    <m/>
    <m/>
    <m/>
    <n v="0"/>
    <m/>
    <m/>
    <n v="0"/>
    <n v="44452"/>
    <n v="37784"/>
    <m/>
    <m/>
    <m/>
    <m/>
    <n v="0"/>
    <m/>
    <m/>
    <n v="0"/>
    <m/>
    <m/>
    <m/>
    <m/>
    <m/>
    <m/>
    <n v="44452"/>
    <n v="37784"/>
  </r>
  <r>
    <x v="11"/>
    <x v="8"/>
    <s v="Access &amp; Equity"/>
    <m/>
    <n v="218885"/>
    <x v="7"/>
    <m/>
    <m/>
    <n v="7894"/>
    <n v="0"/>
    <m/>
    <m/>
    <m/>
    <m/>
    <n v="0"/>
    <m/>
    <m/>
    <n v="0"/>
    <n v="7894"/>
    <n v="0"/>
    <m/>
    <m/>
    <m/>
    <m/>
    <n v="0"/>
    <m/>
    <m/>
    <n v="0"/>
    <m/>
    <m/>
    <m/>
    <m/>
    <m/>
    <m/>
    <n v="7894"/>
    <n v="0"/>
  </r>
  <r>
    <x v="11"/>
    <x v="8"/>
    <s v="Academic Endowment"/>
    <m/>
    <n v="218885"/>
    <x v="7"/>
    <m/>
    <m/>
    <n v="3791"/>
    <n v="0"/>
    <m/>
    <m/>
    <m/>
    <m/>
    <n v="0"/>
    <m/>
    <m/>
    <n v="0"/>
    <n v="3791"/>
    <n v="0"/>
    <m/>
    <m/>
    <m/>
    <m/>
    <n v="0"/>
    <m/>
    <m/>
    <n v="0"/>
    <m/>
    <m/>
    <m/>
    <m/>
    <m/>
    <m/>
    <n v="3791"/>
    <n v="0"/>
  </r>
  <r>
    <x v="11"/>
    <x v="8"/>
    <s v="Critical Needs Nursing Initiative"/>
    <m/>
    <n v="218885"/>
    <x v="7"/>
    <m/>
    <m/>
    <n v="35180"/>
    <s v="moved to base"/>
    <m/>
    <m/>
    <m/>
    <m/>
    <n v="0"/>
    <m/>
    <m/>
    <n v="0"/>
    <n v="35180"/>
    <n v="0"/>
    <m/>
    <m/>
    <m/>
    <m/>
    <n v="0"/>
    <m/>
    <m/>
    <n v="0"/>
    <m/>
    <m/>
    <m/>
    <m/>
    <m/>
    <m/>
    <n v="35180"/>
    <n v="0"/>
  </r>
  <r>
    <x v="11"/>
    <x v="8"/>
    <s v="Simulation &amp; Technology (NR)"/>
    <m/>
    <n v="218885"/>
    <x v="7"/>
    <m/>
    <m/>
    <n v="41356"/>
    <n v="0"/>
    <m/>
    <m/>
    <m/>
    <m/>
    <n v="0"/>
    <m/>
    <m/>
    <n v="0"/>
    <n v="41356"/>
    <n v="0"/>
    <m/>
    <m/>
    <m/>
    <m/>
    <n v="0"/>
    <m/>
    <m/>
    <n v="0"/>
    <m/>
    <m/>
    <m/>
    <m/>
    <m/>
    <m/>
    <n v="41356"/>
    <n v="0"/>
  </r>
  <r>
    <x v="11"/>
    <x v="8"/>
    <s v="Allied Health Programs (NR)"/>
    <m/>
    <n v="218885"/>
    <x v="7"/>
    <m/>
    <m/>
    <n v="263516"/>
    <n v="0"/>
    <m/>
    <m/>
    <m/>
    <m/>
    <n v="0"/>
    <m/>
    <m/>
    <n v="0"/>
    <n v="263516"/>
    <n v="0"/>
    <m/>
    <m/>
    <m/>
    <m/>
    <n v="0"/>
    <m/>
    <m/>
    <n v="0"/>
    <m/>
    <m/>
    <m/>
    <m/>
    <m/>
    <m/>
    <n v="263516"/>
    <n v="0"/>
  </r>
  <r>
    <x v="11"/>
    <x v="8"/>
    <s v="Lottery Technology (NR)"/>
    <m/>
    <n v="218885"/>
    <x v="7"/>
    <m/>
    <m/>
    <n v="349288"/>
    <n v="207067"/>
    <m/>
    <m/>
    <m/>
    <m/>
    <n v="0"/>
    <m/>
    <m/>
    <n v="0"/>
    <n v="349288"/>
    <n v="207067"/>
    <m/>
    <m/>
    <m/>
    <m/>
    <n v="0"/>
    <m/>
    <m/>
    <n v="0"/>
    <m/>
    <m/>
    <m/>
    <m/>
    <m/>
    <m/>
    <n v="349288"/>
    <n v="207067"/>
  </r>
  <r>
    <x v="11"/>
    <x v="0"/>
    <s v="York Technical College "/>
    <s v="Met the criteria for Two-year 1 in 2010-11."/>
    <n v="218991"/>
    <x v="7"/>
    <n v="6286670"/>
    <n v="5539054"/>
    <m/>
    <m/>
    <n v="4176718"/>
    <n v="4234606"/>
    <n v="20500438"/>
    <n v="0"/>
    <n v="20500438"/>
    <n v="18428994"/>
    <n v="0"/>
    <n v="18428994"/>
    <n v="30963826"/>
    <n v="28202654"/>
    <m/>
    <m/>
    <m/>
    <m/>
    <n v="0"/>
    <m/>
    <m/>
    <n v="0"/>
    <m/>
    <m/>
    <m/>
    <m/>
    <m/>
    <m/>
    <n v="30963826"/>
    <n v="28202654"/>
  </r>
  <r>
    <x v="11"/>
    <x v="8"/>
    <s v="Special Line items for education operations"/>
    <m/>
    <n v="218991"/>
    <x v="7"/>
    <m/>
    <m/>
    <m/>
    <m/>
    <m/>
    <m/>
    <m/>
    <m/>
    <n v="0"/>
    <m/>
    <m/>
    <n v="0"/>
    <n v="0"/>
    <n v="0"/>
    <m/>
    <m/>
    <m/>
    <m/>
    <n v="0"/>
    <m/>
    <m/>
    <n v="0"/>
    <m/>
    <m/>
    <m/>
    <m/>
    <m/>
    <m/>
    <n v="0"/>
    <n v="0"/>
  </r>
  <r>
    <x v="11"/>
    <x v="8"/>
    <s v="SBTCE Priority Initiative"/>
    <m/>
    <n v="218991"/>
    <x v="7"/>
    <m/>
    <m/>
    <n v="12726"/>
    <n v="0"/>
    <m/>
    <m/>
    <m/>
    <m/>
    <n v="0"/>
    <m/>
    <m/>
    <n v="0"/>
    <n v="12726"/>
    <n v="0"/>
    <m/>
    <m/>
    <m/>
    <m/>
    <n v="0"/>
    <m/>
    <m/>
    <n v="0"/>
    <m/>
    <m/>
    <m/>
    <m/>
    <m/>
    <m/>
    <n v="12726"/>
    <n v="0"/>
  </r>
  <r>
    <x v="11"/>
    <x v="8"/>
    <s v="Economic Recovery Initiative"/>
    <m/>
    <n v="218991"/>
    <x v="7"/>
    <m/>
    <m/>
    <n v="26472"/>
    <n v="0"/>
    <m/>
    <m/>
    <m/>
    <m/>
    <n v="0"/>
    <m/>
    <m/>
    <n v="0"/>
    <n v="26472"/>
    <n v="0"/>
    <m/>
    <m/>
    <m/>
    <m/>
    <n v="0"/>
    <m/>
    <m/>
    <n v="0"/>
    <m/>
    <m/>
    <m/>
    <m/>
    <m/>
    <m/>
    <n v="26472"/>
    <n v="0"/>
  </r>
  <r>
    <x v="11"/>
    <x v="8"/>
    <s v="Pathways to Prosperity"/>
    <m/>
    <n v="218991"/>
    <x v="7"/>
    <m/>
    <m/>
    <n v="44452"/>
    <n v="37784"/>
    <m/>
    <m/>
    <m/>
    <m/>
    <n v="0"/>
    <m/>
    <m/>
    <n v="0"/>
    <n v="44452"/>
    <n v="37784"/>
    <m/>
    <m/>
    <m/>
    <m/>
    <n v="0"/>
    <m/>
    <m/>
    <n v="0"/>
    <m/>
    <m/>
    <m/>
    <m/>
    <m/>
    <m/>
    <n v="44452"/>
    <n v="37784"/>
  </r>
  <r>
    <x v="11"/>
    <x v="8"/>
    <s v="Access &amp; Equity"/>
    <m/>
    <n v="218991"/>
    <x v="7"/>
    <m/>
    <m/>
    <n v="7455"/>
    <n v="0"/>
    <m/>
    <m/>
    <m/>
    <m/>
    <n v="0"/>
    <m/>
    <m/>
    <n v="0"/>
    <n v="7455"/>
    <n v="0"/>
    <m/>
    <m/>
    <m/>
    <m/>
    <n v="0"/>
    <m/>
    <m/>
    <n v="0"/>
    <m/>
    <m/>
    <m/>
    <m/>
    <m/>
    <m/>
    <n v="7455"/>
    <n v="0"/>
  </r>
  <r>
    <x v="11"/>
    <x v="8"/>
    <s v="Academic Endowment"/>
    <m/>
    <n v="218991"/>
    <x v="7"/>
    <m/>
    <m/>
    <n v="47"/>
    <n v="0"/>
    <m/>
    <m/>
    <m/>
    <m/>
    <n v="0"/>
    <m/>
    <m/>
    <n v="0"/>
    <n v="47"/>
    <n v="0"/>
    <m/>
    <m/>
    <m/>
    <m/>
    <n v="0"/>
    <m/>
    <m/>
    <n v="0"/>
    <m/>
    <m/>
    <m/>
    <m/>
    <m/>
    <m/>
    <n v="47"/>
    <n v="0"/>
  </r>
  <r>
    <x v="11"/>
    <x v="8"/>
    <s v="Critical Needs Nursing Initiative"/>
    <m/>
    <n v="218991"/>
    <x v="7"/>
    <m/>
    <m/>
    <n v="8868"/>
    <s v="moved to base"/>
    <m/>
    <m/>
    <m/>
    <m/>
    <n v="0"/>
    <m/>
    <m/>
    <n v="0"/>
    <n v="8868"/>
    <n v="0"/>
    <m/>
    <m/>
    <m/>
    <m/>
    <n v="0"/>
    <m/>
    <m/>
    <n v="0"/>
    <m/>
    <m/>
    <m/>
    <m/>
    <m/>
    <m/>
    <n v="8868"/>
    <n v="0"/>
  </r>
  <r>
    <x v="11"/>
    <x v="8"/>
    <s v="Simulation &amp; Technology (NR)"/>
    <m/>
    <n v="218991"/>
    <x v="7"/>
    <m/>
    <m/>
    <n v="18617"/>
    <n v="0"/>
    <m/>
    <m/>
    <m/>
    <m/>
    <n v="0"/>
    <m/>
    <m/>
    <n v="0"/>
    <n v="18617"/>
    <n v="0"/>
    <m/>
    <m/>
    <m/>
    <m/>
    <n v="0"/>
    <m/>
    <m/>
    <n v="0"/>
    <m/>
    <m/>
    <m/>
    <m/>
    <m/>
    <m/>
    <n v="18617"/>
    <n v="0"/>
  </r>
  <r>
    <x v="11"/>
    <x v="8"/>
    <s v="Allied Health Programs (NR)"/>
    <m/>
    <n v="218991"/>
    <x v="7"/>
    <m/>
    <m/>
    <n v="245475"/>
    <n v="0"/>
    <m/>
    <m/>
    <m/>
    <m/>
    <n v="0"/>
    <m/>
    <m/>
    <n v="0"/>
    <n v="245475"/>
    <n v="0"/>
    <m/>
    <m/>
    <m/>
    <m/>
    <n v="0"/>
    <m/>
    <m/>
    <n v="0"/>
    <m/>
    <m/>
    <m/>
    <m/>
    <m/>
    <m/>
    <n v="245475"/>
    <n v="0"/>
  </r>
  <r>
    <x v="11"/>
    <x v="8"/>
    <s v="Lottery Technology (NR)"/>
    <m/>
    <n v="218991"/>
    <x v="7"/>
    <m/>
    <m/>
    <n v="306117"/>
    <n v="180416"/>
    <m/>
    <m/>
    <m/>
    <m/>
    <n v="0"/>
    <m/>
    <m/>
    <n v="0"/>
    <n v="306117"/>
    <n v="180416"/>
    <m/>
    <m/>
    <m/>
    <m/>
    <n v="0"/>
    <m/>
    <m/>
    <n v="0"/>
    <m/>
    <m/>
    <m/>
    <m/>
    <m/>
    <m/>
    <n v="306117"/>
    <n v="180416"/>
  </r>
  <r>
    <x v="11"/>
    <x v="0"/>
    <s v="Denmark Technical College "/>
    <m/>
    <n v="217989"/>
    <x v="8"/>
    <n v="2876896"/>
    <n v="2418290"/>
    <m/>
    <m/>
    <n v="6500"/>
    <n v="2500"/>
    <n v="2521606"/>
    <n v="0"/>
    <n v="2521606"/>
    <n v="2521606"/>
    <n v="0"/>
    <n v="2521606"/>
    <n v="5405002"/>
    <n v="4942396"/>
    <m/>
    <m/>
    <m/>
    <m/>
    <n v="0"/>
    <m/>
    <m/>
    <n v="0"/>
    <m/>
    <m/>
    <m/>
    <m/>
    <m/>
    <m/>
    <n v="5405002"/>
    <n v="4942396"/>
  </r>
  <r>
    <x v="11"/>
    <x v="8"/>
    <s v="Special Line items for education operations"/>
    <m/>
    <n v="217989"/>
    <x v="8"/>
    <m/>
    <m/>
    <m/>
    <m/>
    <m/>
    <m/>
    <m/>
    <m/>
    <n v="0"/>
    <m/>
    <m/>
    <n v="0"/>
    <n v="0"/>
    <n v="0"/>
    <m/>
    <m/>
    <m/>
    <m/>
    <n v="0"/>
    <m/>
    <m/>
    <n v="0"/>
    <m/>
    <m/>
    <m/>
    <m/>
    <m/>
    <m/>
    <n v="0"/>
    <n v="0"/>
  </r>
  <r>
    <x v="11"/>
    <x v="8"/>
    <s v="SBTCE Priority Initiative"/>
    <m/>
    <n v="217989"/>
    <x v="8"/>
    <m/>
    <m/>
    <n v="5824"/>
    <n v="0"/>
    <m/>
    <m/>
    <m/>
    <m/>
    <n v="0"/>
    <m/>
    <m/>
    <n v="0"/>
    <n v="5824"/>
    <n v="0"/>
    <m/>
    <m/>
    <m/>
    <m/>
    <n v="0"/>
    <m/>
    <m/>
    <n v="0"/>
    <m/>
    <m/>
    <m/>
    <m/>
    <m/>
    <m/>
    <n v="5824"/>
    <n v="0"/>
  </r>
  <r>
    <x v="11"/>
    <x v="8"/>
    <s v="Economic Recovery Initiative"/>
    <m/>
    <n v="217989"/>
    <x v="8"/>
    <m/>
    <m/>
    <n v="12114"/>
    <n v="0"/>
    <m/>
    <m/>
    <m/>
    <m/>
    <n v="0"/>
    <m/>
    <m/>
    <n v="0"/>
    <n v="12114"/>
    <n v="0"/>
    <m/>
    <m/>
    <m/>
    <m/>
    <n v="0"/>
    <m/>
    <m/>
    <n v="0"/>
    <m/>
    <m/>
    <m/>
    <m/>
    <m/>
    <m/>
    <n v="12114"/>
    <n v="0"/>
  </r>
  <r>
    <x v="11"/>
    <x v="8"/>
    <s v="Pathways to Prosperity"/>
    <m/>
    <n v="217989"/>
    <x v="8"/>
    <m/>
    <m/>
    <n v="44452"/>
    <n v="37784"/>
    <m/>
    <m/>
    <m/>
    <m/>
    <n v="0"/>
    <m/>
    <m/>
    <n v="0"/>
    <n v="44452"/>
    <n v="37784"/>
    <m/>
    <m/>
    <m/>
    <m/>
    <n v="0"/>
    <m/>
    <m/>
    <n v="0"/>
    <m/>
    <m/>
    <m/>
    <m/>
    <m/>
    <m/>
    <n v="44452"/>
    <n v="37784"/>
  </r>
  <r>
    <x v="11"/>
    <x v="8"/>
    <s v="Access &amp; Equity"/>
    <m/>
    <n v="217989"/>
    <x v="8"/>
    <m/>
    <m/>
    <n v="25568"/>
    <n v="0"/>
    <m/>
    <m/>
    <m/>
    <m/>
    <n v="0"/>
    <m/>
    <m/>
    <n v="0"/>
    <n v="25568"/>
    <n v="0"/>
    <m/>
    <m/>
    <m/>
    <m/>
    <n v="0"/>
    <m/>
    <m/>
    <n v="0"/>
    <m/>
    <m/>
    <m/>
    <m/>
    <m/>
    <m/>
    <n v="25568"/>
    <n v="0"/>
  </r>
  <r>
    <x v="11"/>
    <x v="8"/>
    <s v="Simulation &amp; Technology (NR)"/>
    <m/>
    <n v="217989"/>
    <x v="8"/>
    <m/>
    <m/>
    <n v="2221"/>
    <n v="0"/>
    <m/>
    <m/>
    <m/>
    <m/>
    <n v="0"/>
    <m/>
    <m/>
    <n v="0"/>
    <n v="2221"/>
    <n v="0"/>
    <m/>
    <m/>
    <m/>
    <m/>
    <n v="0"/>
    <m/>
    <m/>
    <n v="0"/>
    <m/>
    <m/>
    <m/>
    <m/>
    <m/>
    <m/>
    <n v="2221"/>
    <n v="0"/>
  </r>
  <r>
    <x v="11"/>
    <x v="8"/>
    <s v="Allied Health Programs (NR)"/>
    <m/>
    <n v="217989"/>
    <x v="8"/>
    <m/>
    <m/>
    <n v="167825"/>
    <n v="0"/>
    <m/>
    <m/>
    <m/>
    <m/>
    <n v="0"/>
    <m/>
    <m/>
    <n v="0"/>
    <n v="167825"/>
    <n v="0"/>
    <m/>
    <m/>
    <m/>
    <m/>
    <n v="0"/>
    <m/>
    <m/>
    <n v="0"/>
    <m/>
    <m/>
    <m/>
    <m/>
    <m/>
    <m/>
    <n v="167825"/>
    <n v="0"/>
  </r>
  <r>
    <x v="11"/>
    <x v="8"/>
    <s v="Lottery Technology (NR)"/>
    <m/>
    <n v="217989"/>
    <x v="8"/>
    <m/>
    <m/>
    <n v="141037"/>
    <n v="71026"/>
    <m/>
    <m/>
    <m/>
    <m/>
    <n v="0"/>
    <m/>
    <m/>
    <n v="0"/>
    <n v="141037"/>
    <n v="71026"/>
    <m/>
    <m/>
    <m/>
    <m/>
    <n v="0"/>
    <m/>
    <m/>
    <n v="0"/>
    <m/>
    <m/>
    <m/>
    <m/>
    <m/>
    <m/>
    <n v="141037"/>
    <n v="71026"/>
  </r>
  <r>
    <x v="11"/>
    <x v="0"/>
    <s v="Northeastern Technical College"/>
    <m/>
    <n v="217837"/>
    <x v="8"/>
    <n v="1832445"/>
    <n v="1519705"/>
    <m/>
    <m/>
    <n v="704493"/>
    <n v="675000"/>
    <n v="4047266"/>
    <n v="0"/>
    <n v="4047266"/>
    <n v="3528516"/>
    <n v="0"/>
    <n v="3528516"/>
    <n v="6584204"/>
    <n v="5723221"/>
    <m/>
    <m/>
    <m/>
    <m/>
    <n v="0"/>
    <m/>
    <m/>
    <n v="0"/>
    <m/>
    <m/>
    <m/>
    <m/>
    <m/>
    <m/>
    <n v="6584204"/>
    <n v="5723221"/>
  </r>
  <r>
    <x v="11"/>
    <x v="8"/>
    <s v="Special Line items for education operations"/>
    <m/>
    <n v="217837"/>
    <x v="8"/>
    <m/>
    <m/>
    <m/>
    <m/>
    <m/>
    <m/>
    <m/>
    <m/>
    <n v="0"/>
    <m/>
    <m/>
    <n v="0"/>
    <n v="0"/>
    <n v="0"/>
    <m/>
    <m/>
    <m/>
    <m/>
    <n v="0"/>
    <m/>
    <m/>
    <n v="0"/>
    <m/>
    <m/>
    <m/>
    <m/>
    <m/>
    <m/>
    <n v="0"/>
    <n v="0"/>
  </r>
  <r>
    <x v="11"/>
    <x v="8"/>
    <s v="SBTCE Priority Initiative"/>
    <m/>
    <n v="217837"/>
    <x v="8"/>
    <m/>
    <m/>
    <n v="3709"/>
    <n v="0"/>
    <m/>
    <m/>
    <m/>
    <m/>
    <n v="0"/>
    <m/>
    <m/>
    <n v="0"/>
    <n v="3709"/>
    <n v="0"/>
    <m/>
    <m/>
    <m/>
    <m/>
    <n v="0"/>
    <m/>
    <m/>
    <n v="0"/>
    <m/>
    <m/>
    <m/>
    <m/>
    <m/>
    <m/>
    <n v="3709"/>
    <n v="0"/>
  </r>
  <r>
    <x v="11"/>
    <x v="8"/>
    <s v="Economic Recovery Initiative"/>
    <m/>
    <n v="217837"/>
    <x v="8"/>
    <m/>
    <m/>
    <n v="7716"/>
    <n v="0"/>
    <m/>
    <m/>
    <m/>
    <m/>
    <n v="0"/>
    <m/>
    <m/>
    <n v="0"/>
    <n v="7716"/>
    <n v="0"/>
    <m/>
    <m/>
    <m/>
    <m/>
    <n v="0"/>
    <m/>
    <m/>
    <n v="0"/>
    <m/>
    <m/>
    <m/>
    <m/>
    <m/>
    <m/>
    <n v="7716"/>
    <n v="0"/>
  </r>
  <r>
    <x v="11"/>
    <x v="8"/>
    <s v="Pathways to Prosperity"/>
    <m/>
    <n v="217837"/>
    <x v="8"/>
    <m/>
    <m/>
    <n v="44452"/>
    <n v="37784"/>
    <m/>
    <m/>
    <m/>
    <m/>
    <n v="0"/>
    <m/>
    <m/>
    <n v="0"/>
    <n v="44452"/>
    <n v="37784"/>
    <m/>
    <m/>
    <m/>
    <m/>
    <n v="0"/>
    <m/>
    <m/>
    <n v="0"/>
    <m/>
    <m/>
    <m/>
    <m/>
    <m/>
    <m/>
    <n v="44452"/>
    <n v="37784"/>
  </r>
  <r>
    <x v="11"/>
    <x v="8"/>
    <s v="Access &amp; Equity"/>
    <m/>
    <n v="217837"/>
    <x v="8"/>
    <m/>
    <m/>
    <n v="4610"/>
    <n v="0"/>
    <m/>
    <m/>
    <m/>
    <m/>
    <n v="0"/>
    <m/>
    <m/>
    <n v="0"/>
    <n v="4610"/>
    <n v="0"/>
    <m/>
    <m/>
    <m/>
    <m/>
    <n v="0"/>
    <m/>
    <m/>
    <n v="0"/>
    <m/>
    <m/>
    <m/>
    <m/>
    <m/>
    <m/>
    <n v="4610"/>
    <n v="0"/>
  </r>
  <r>
    <x v="11"/>
    <x v="8"/>
    <s v="Academic Endowment"/>
    <m/>
    <n v="217837"/>
    <x v="8"/>
    <m/>
    <m/>
    <n v="44"/>
    <n v="0"/>
    <m/>
    <m/>
    <m/>
    <m/>
    <n v="0"/>
    <m/>
    <m/>
    <n v="0"/>
    <n v="44"/>
    <n v="0"/>
    <m/>
    <m/>
    <m/>
    <m/>
    <n v="0"/>
    <m/>
    <m/>
    <n v="0"/>
    <m/>
    <m/>
    <m/>
    <m/>
    <m/>
    <m/>
    <n v="44"/>
    <n v="0"/>
  </r>
  <r>
    <x v="11"/>
    <x v="8"/>
    <s v="Simulation &amp; Technology (NR)"/>
    <m/>
    <n v="217837"/>
    <x v="8"/>
    <m/>
    <m/>
    <n v="6767"/>
    <n v="0"/>
    <m/>
    <m/>
    <m/>
    <m/>
    <n v="0"/>
    <m/>
    <m/>
    <n v="0"/>
    <n v="6767"/>
    <n v="0"/>
    <m/>
    <m/>
    <m/>
    <m/>
    <n v="0"/>
    <m/>
    <m/>
    <n v="0"/>
    <m/>
    <m/>
    <m/>
    <m/>
    <m/>
    <m/>
    <n v="6767"/>
    <n v="0"/>
  </r>
  <r>
    <x v="11"/>
    <x v="8"/>
    <s v="Allied Health Programs (NR)"/>
    <m/>
    <n v="217837"/>
    <x v="8"/>
    <m/>
    <m/>
    <n v="157785"/>
    <n v="0"/>
    <m/>
    <m/>
    <m/>
    <m/>
    <n v="0"/>
    <m/>
    <m/>
    <n v="0"/>
    <n v="157785"/>
    <n v="0"/>
    <m/>
    <m/>
    <m/>
    <m/>
    <n v="0"/>
    <m/>
    <m/>
    <n v="0"/>
    <m/>
    <m/>
    <m/>
    <m/>
    <m/>
    <m/>
    <n v="157785"/>
    <n v="0"/>
  </r>
  <r>
    <x v="11"/>
    <x v="8"/>
    <s v="Lottery Technology (NR)"/>
    <m/>
    <n v="217837"/>
    <x v="8"/>
    <m/>
    <m/>
    <n v="141037"/>
    <n v="67858"/>
    <m/>
    <m/>
    <m/>
    <m/>
    <n v="0"/>
    <m/>
    <m/>
    <n v="0"/>
    <n v="141037"/>
    <n v="67858"/>
    <m/>
    <m/>
    <m/>
    <m/>
    <n v="0"/>
    <m/>
    <m/>
    <n v="0"/>
    <m/>
    <m/>
    <m/>
    <m/>
    <m/>
    <m/>
    <n v="141037"/>
    <n v="67858"/>
  </r>
  <r>
    <x v="11"/>
    <x v="0"/>
    <s v="Technical College of the Lowcountry"/>
    <m/>
    <n v="217712"/>
    <x v="8"/>
    <n v="3516519"/>
    <n v="2953853"/>
    <m/>
    <m/>
    <n v="2573150"/>
    <n v="2490000"/>
    <n v="8802994"/>
    <n v="105927"/>
    <n v="8908921"/>
    <n v="7020734"/>
    <n v="104537"/>
    <n v="7125271"/>
    <n v="14892663"/>
    <n v="12464587"/>
    <m/>
    <m/>
    <m/>
    <m/>
    <n v="0"/>
    <m/>
    <m/>
    <n v="0"/>
    <m/>
    <m/>
    <m/>
    <m/>
    <m/>
    <m/>
    <n v="14892663"/>
    <n v="12464587"/>
  </r>
  <r>
    <x v="11"/>
    <x v="8"/>
    <s v="Special Line items for education operations"/>
    <m/>
    <n v="217712"/>
    <x v="8"/>
    <m/>
    <m/>
    <m/>
    <m/>
    <m/>
    <m/>
    <m/>
    <m/>
    <n v="0"/>
    <m/>
    <m/>
    <n v="0"/>
    <n v="0"/>
    <n v="0"/>
    <m/>
    <m/>
    <m/>
    <m/>
    <n v="0"/>
    <m/>
    <m/>
    <n v="0"/>
    <m/>
    <m/>
    <m/>
    <m/>
    <m/>
    <m/>
    <n v="0"/>
    <n v="0"/>
  </r>
  <r>
    <x v="11"/>
    <x v="8"/>
    <s v="SBTCE Priority Initiative"/>
    <m/>
    <n v="217712"/>
    <x v="8"/>
    <m/>
    <m/>
    <n v="7118"/>
    <n v="0"/>
    <m/>
    <m/>
    <m/>
    <m/>
    <n v="0"/>
    <m/>
    <m/>
    <n v="0"/>
    <n v="7118"/>
    <n v="0"/>
    <m/>
    <m/>
    <m/>
    <m/>
    <n v="0"/>
    <m/>
    <m/>
    <n v="0"/>
    <m/>
    <m/>
    <m/>
    <m/>
    <m/>
    <m/>
    <n v="7118"/>
    <n v="0"/>
  </r>
  <r>
    <x v="11"/>
    <x v="8"/>
    <s v="Economic Recovery Initiative"/>
    <m/>
    <n v="217712"/>
    <x v="8"/>
    <m/>
    <m/>
    <n v="14807"/>
    <n v="0"/>
    <m/>
    <m/>
    <m/>
    <m/>
    <n v="0"/>
    <m/>
    <m/>
    <n v="0"/>
    <n v="14807"/>
    <n v="0"/>
    <m/>
    <m/>
    <m/>
    <m/>
    <n v="0"/>
    <m/>
    <m/>
    <n v="0"/>
    <m/>
    <m/>
    <m/>
    <m/>
    <m/>
    <m/>
    <n v="14807"/>
    <n v="0"/>
  </r>
  <r>
    <x v="11"/>
    <x v="8"/>
    <s v="Pathways to Prosperity"/>
    <m/>
    <n v="217712"/>
    <x v="8"/>
    <m/>
    <m/>
    <n v="44452"/>
    <n v="37784"/>
    <m/>
    <m/>
    <m/>
    <m/>
    <n v="0"/>
    <m/>
    <m/>
    <n v="0"/>
    <n v="44452"/>
    <n v="37784"/>
    <m/>
    <m/>
    <m/>
    <m/>
    <n v="0"/>
    <m/>
    <m/>
    <n v="0"/>
    <m/>
    <m/>
    <m/>
    <m/>
    <m/>
    <m/>
    <n v="44452"/>
    <n v="37784"/>
  </r>
  <r>
    <x v="11"/>
    <x v="8"/>
    <s v="Access &amp; Equity"/>
    <m/>
    <n v="217712"/>
    <x v="8"/>
    <m/>
    <m/>
    <n v="5372"/>
    <n v="0"/>
    <m/>
    <m/>
    <m/>
    <m/>
    <n v="0"/>
    <m/>
    <m/>
    <n v="0"/>
    <n v="5372"/>
    <n v="0"/>
    <m/>
    <m/>
    <m/>
    <m/>
    <n v="0"/>
    <m/>
    <m/>
    <n v="0"/>
    <m/>
    <m/>
    <m/>
    <m/>
    <m/>
    <m/>
    <n v="5372"/>
    <n v="0"/>
  </r>
  <r>
    <x v="11"/>
    <x v="8"/>
    <s v="Academic Endowment"/>
    <m/>
    <n v="217712"/>
    <x v="8"/>
    <m/>
    <m/>
    <n v="565"/>
    <n v="0"/>
    <m/>
    <m/>
    <m/>
    <m/>
    <n v="0"/>
    <m/>
    <m/>
    <n v="0"/>
    <n v="565"/>
    <n v="0"/>
    <m/>
    <m/>
    <m/>
    <m/>
    <n v="0"/>
    <m/>
    <m/>
    <n v="0"/>
    <m/>
    <m/>
    <m/>
    <m/>
    <m/>
    <m/>
    <n v="565"/>
    <n v="0"/>
  </r>
  <r>
    <x v="11"/>
    <x v="8"/>
    <s v="Critical Needs Nursing Initiative"/>
    <m/>
    <n v="217712"/>
    <x v="8"/>
    <m/>
    <m/>
    <n v="17752"/>
    <s v="moved to base"/>
    <m/>
    <m/>
    <m/>
    <m/>
    <n v="0"/>
    <m/>
    <m/>
    <n v="0"/>
    <n v="17752"/>
    <n v="0"/>
    <m/>
    <m/>
    <m/>
    <m/>
    <n v="0"/>
    <m/>
    <m/>
    <n v="0"/>
    <m/>
    <m/>
    <m/>
    <m/>
    <m/>
    <m/>
    <n v="17752"/>
    <n v="0"/>
  </r>
  <r>
    <x v="11"/>
    <x v="8"/>
    <s v="Simulation &amp; Technology (NR)"/>
    <m/>
    <n v="217712"/>
    <x v="8"/>
    <m/>
    <m/>
    <n v="20988"/>
    <n v="0"/>
    <m/>
    <m/>
    <m/>
    <m/>
    <n v="0"/>
    <m/>
    <m/>
    <n v="0"/>
    <n v="20988"/>
    <n v="0"/>
    <m/>
    <m/>
    <m/>
    <m/>
    <n v="0"/>
    <m/>
    <m/>
    <n v="0"/>
    <m/>
    <m/>
    <m/>
    <m/>
    <m/>
    <m/>
    <n v="20988"/>
    <n v="0"/>
  </r>
  <r>
    <x v="11"/>
    <x v="8"/>
    <s v="Allied Health Programs (NR)"/>
    <m/>
    <n v="217712"/>
    <x v="8"/>
    <m/>
    <m/>
    <n v="179133"/>
    <n v="0"/>
    <m/>
    <m/>
    <m/>
    <m/>
    <n v="0"/>
    <m/>
    <m/>
    <n v="0"/>
    <n v="179133"/>
    <n v="0"/>
    <m/>
    <m/>
    <m/>
    <m/>
    <n v="0"/>
    <m/>
    <m/>
    <n v="0"/>
    <m/>
    <m/>
    <m/>
    <m/>
    <m/>
    <m/>
    <n v="179133"/>
    <n v="0"/>
  </r>
  <r>
    <x v="11"/>
    <x v="8"/>
    <s v="Lottery Technology (NR)"/>
    <m/>
    <n v="217712"/>
    <x v="8"/>
    <m/>
    <m/>
    <n v="138083"/>
    <n v="82752"/>
    <m/>
    <m/>
    <m/>
    <m/>
    <n v="0"/>
    <m/>
    <m/>
    <n v="0"/>
    <n v="138083"/>
    <n v="82752"/>
    <m/>
    <m/>
    <m/>
    <m/>
    <n v="0"/>
    <m/>
    <m/>
    <n v="0"/>
    <m/>
    <m/>
    <m/>
    <m/>
    <m/>
    <m/>
    <n v="138083"/>
    <n v="82752"/>
  </r>
  <r>
    <x v="11"/>
    <x v="0"/>
    <s v="University of South Carolina-Lancaster"/>
    <m/>
    <n v="218672"/>
    <x v="8"/>
    <n v="1611857"/>
    <n v="1275000"/>
    <m/>
    <m/>
    <m/>
    <m/>
    <n v="6569170"/>
    <n v="47419"/>
    <n v="6616589"/>
    <n v="7117666"/>
    <n v="19823"/>
    <n v="7137489"/>
    <n v="8181027"/>
    <n v="8392666"/>
    <m/>
    <m/>
    <m/>
    <m/>
    <n v="0"/>
    <m/>
    <m/>
    <n v="0"/>
    <m/>
    <m/>
    <m/>
    <m/>
    <m/>
    <m/>
    <n v="8181027"/>
    <n v="8392666"/>
  </r>
  <r>
    <x v="11"/>
    <x v="0"/>
    <s v="Fringe Benefits"/>
    <m/>
    <n v="218672"/>
    <x v="8"/>
    <n v="320139"/>
    <n v="267935"/>
    <m/>
    <m/>
    <m/>
    <m/>
    <m/>
    <m/>
    <n v="0"/>
    <m/>
    <m/>
    <n v="0"/>
    <n v="320139"/>
    <n v="267935"/>
    <m/>
    <m/>
    <m/>
    <m/>
    <n v="0"/>
    <m/>
    <m/>
    <n v="0"/>
    <m/>
    <m/>
    <m/>
    <m/>
    <m/>
    <m/>
    <n v="320139"/>
    <n v="267935"/>
  </r>
  <r>
    <x v="11"/>
    <x v="8"/>
    <s v="Special Line items for education operations"/>
    <m/>
    <n v="218672"/>
    <x v="8"/>
    <m/>
    <m/>
    <m/>
    <m/>
    <m/>
    <m/>
    <m/>
    <m/>
    <n v="0"/>
    <m/>
    <m/>
    <n v="0"/>
    <n v="0"/>
    <n v="0"/>
    <m/>
    <m/>
    <m/>
    <m/>
    <n v="0"/>
    <m/>
    <m/>
    <n v="0"/>
    <m/>
    <m/>
    <m/>
    <m/>
    <m/>
    <m/>
    <n v="0"/>
    <n v="0"/>
  </r>
  <r>
    <x v="11"/>
    <x v="8"/>
    <s v="Supplmental (NR)"/>
    <m/>
    <n v="218672"/>
    <x v="8"/>
    <m/>
    <m/>
    <m/>
    <m/>
    <m/>
    <m/>
    <m/>
    <m/>
    <n v="0"/>
    <m/>
    <m/>
    <n v="0"/>
    <n v="0"/>
    <n v="0"/>
    <m/>
    <m/>
    <m/>
    <m/>
    <n v="0"/>
    <m/>
    <m/>
    <n v="0"/>
    <m/>
    <m/>
    <m/>
    <m/>
    <m/>
    <m/>
    <n v="0"/>
    <n v="0"/>
  </r>
  <r>
    <x v="11"/>
    <x v="8"/>
    <s v="Access &amp; Equity"/>
    <m/>
    <n v="218672"/>
    <x v="8"/>
    <m/>
    <m/>
    <n v="5067"/>
    <n v="0"/>
    <m/>
    <m/>
    <m/>
    <m/>
    <n v="0"/>
    <m/>
    <m/>
    <n v="0"/>
    <n v="5067"/>
    <n v="0"/>
    <m/>
    <m/>
    <m/>
    <m/>
    <n v="0"/>
    <m/>
    <m/>
    <n v="0"/>
    <m/>
    <m/>
    <m/>
    <m/>
    <m/>
    <m/>
    <n v="5067"/>
    <n v="0"/>
  </r>
  <r>
    <x v="11"/>
    <x v="8"/>
    <s v="Academic Endowment"/>
    <m/>
    <n v="218672"/>
    <x v="8"/>
    <m/>
    <m/>
    <n v="6949"/>
    <n v="3638"/>
    <m/>
    <m/>
    <m/>
    <m/>
    <n v="0"/>
    <m/>
    <m/>
    <n v="0"/>
    <n v="6949"/>
    <n v="3638"/>
    <m/>
    <m/>
    <m/>
    <m/>
    <n v="0"/>
    <m/>
    <m/>
    <n v="0"/>
    <m/>
    <m/>
    <m/>
    <m/>
    <m/>
    <m/>
    <n v="6949"/>
    <n v="3638"/>
  </r>
  <r>
    <x v="11"/>
    <x v="8"/>
    <s v="Critical Needs Nursing Initiative"/>
    <m/>
    <n v="218672"/>
    <x v="8"/>
    <m/>
    <m/>
    <n v="3143"/>
    <n v="0"/>
    <m/>
    <m/>
    <m/>
    <m/>
    <n v="0"/>
    <m/>
    <m/>
    <n v="0"/>
    <n v="3143"/>
    <n v="0"/>
    <m/>
    <m/>
    <m/>
    <m/>
    <n v="0"/>
    <m/>
    <m/>
    <n v="0"/>
    <m/>
    <m/>
    <m/>
    <m/>
    <m/>
    <m/>
    <n v="3143"/>
    <n v="0"/>
  </r>
  <r>
    <x v="11"/>
    <x v="8"/>
    <s v="Critical Needs Nursing Initiative(NR)"/>
    <m/>
    <n v="218672"/>
    <x v="8"/>
    <m/>
    <m/>
    <n v="8701"/>
    <n v="0"/>
    <m/>
    <m/>
    <m/>
    <m/>
    <n v="0"/>
    <m/>
    <m/>
    <n v="0"/>
    <n v="8701"/>
    <n v="0"/>
    <m/>
    <m/>
    <m/>
    <m/>
    <n v="0"/>
    <m/>
    <m/>
    <n v="0"/>
    <m/>
    <m/>
    <m/>
    <m/>
    <m/>
    <m/>
    <n v="8701"/>
    <n v="0"/>
  </r>
  <r>
    <x v="11"/>
    <x v="8"/>
    <s v="Lottery Technology (NR)"/>
    <m/>
    <n v="218672"/>
    <x v="8"/>
    <m/>
    <m/>
    <n v="125000"/>
    <n v="69419"/>
    <m/>
    <m/>
    <m/>
    <m/>
    <n v="0"/>
    <m/>
    <m/>
    <n v="0"/>
    <n v="125000"/>
    <n v="69419"/>
    <m/>
    <m/>
    <m/>
    <m/>
    <n v="0"/>
    <m/>
    <m/>
    <n v="0"/>
    <m/>
    <m/>
    <m/>
    <m/>
    <m/>
    <m/>
    <n v="125000"/>
    <n v="69419"/>
  </r>
  <r>
    <x v="11"/>
    <x v="0"/>
    <s v="University of South Carolina-Salkehatchie"/>
    <m/>
    <n v="218681"/>
    <x v="8"/>
    <n v="1285000"/>
    <n v="1010000"/>
    <m/>
    <m/>
    <m/>
    <m/>
    <n v="4595615"/>
    <n v="25756"/>
    <n v="4621371"/>
    <n v="5673914"/>
    <n v="31856"/>
    <n v="5705770"/>
    <n v="5880615"/>
    <n v="6683914"/>
    <m/>
    <m/>
    <m/>
    <m/>
    <n v="0"/>
    <m/>
    <m/>
    <n v="0"/>
    <m/>
    <m/>
    <m/>
    <m/>
    <m/>
    <m/>
    <n v="5880615"/>
    <n v="6683914"/>
  </r>
  <r>
    <x v="11"/>
    <x v="0"/>
    <s v="Fringe Benefits"/>
    <m/>
    <n v="218681"/>
    <x v="8"/>
    <n v="263754"/>
    <n v="204299"/>
    <m/>
    <m/>
    <m/>
    <m/>
    <m/>
    <m/>
    <n v="0"/>
    <m/>
    <m/>
    <n v="0"/>
    <n v="263754"/>
    <n v="204299"/>
    <m/>
    <m/>
    <m/>
    <m/>
    <n v="0"/>
    <m/>
    <m/>
    <n v="0"/>
    <m/>
    <m/>
    <m/>
    <m/>
    <m/>
    <m/>
    <n v="263754"/>
    <n v="204299"/>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Access &amp; Equity"/>
    <m/>
    <n v="218681"/>
    <x v="8"/>
    <m/>
    <m/>
    <n v="4579"/>
    <n v="0"/>
    <m/>
    <m/>
    <m/>
    <m/>
    <n v="0"/>
    <m/>
    <m/>
    <n v="0"/>
    <n v="4579"/>
    <n v="0"/>
    <m/>
    <m/>
    <m/>
    <m/>
    <n v="0"/>
    <m/>
    <m/>
    <n v="0"/>
    <m/>
    <m/>
    <m/>
    <m/>
    <m/>
    <m/>
    <n v="4579"/>
    <n v="0"/>
  </r>
  <r>
    <x v="11"/>
    <x v="8"/>
    <s v="Academic Endowment"/>
    <m/>
    <n v="218681"/>
    <x v="8"/>
    <m/>
    <m/>
    <n v="590"/>
    <n v="273"/>
    <m/>
    <m/>
    <m/>
    <m/>
    <n v="0"/>
    <m/>
    <m/>
    <n v="0"/>
    <n v="590"/>
    <n v="273"/>
    <m/>
    <m/>
    <m/>
    <m/>
    <n v="0"/>
    <m/>
    <m/>
    <n v="0"/>
    <m/>
    <m/>
    <m/>
    <m/>
    <m/>
    <m/>
    <n v="590"/>
    <n v="273"/>
  </r>
  <r>
    <x v="11"/>
    <x v="8"/>
    <s v="Critical Needs Nursing Initiative(NR)"/>
    <m/>
    <n v="218681"/>
    <x v="8"/>
    <m/>
    <m/>
    <n v="4366"/>
    <n v="0"/>
    <m/>
    <m/>
    <m/>
    <m/>
    <n v="0"/>
    <m/>
    <m/>
    <n v="0"/>
    <n v="4366"/>
    <n v="0"/>
    <m/>
    <m/>
    <m/>
    <m/>
    <n v="0"/>
    <m/>
    <m/>
    <n v="0"/>
    <m/>
    <m/>
    <m/>
    <m/>
    <m/>
    <m/>
    <n v="4366"/>
    <n v="0"/>
  </r>
  <r>
    <x v="11"/>
    <x v="8"/>
    <s v="Lottery Technology (NR)"/>
    <m/>
    <n v="218681"/>
    <x v="8"/>
    <m/>
    <m/>
    <n v="125000"/>
    <n v="69419"/>
    <m/>
    <m/>
    <m/>
    <m/>
    <n v="0"/>
    <m/>
    <m/>
    <n v="0"/>
    <n v="125000"/>
    <n v="69419"/>
    <m/>
    <m/>
    <m/>
    <m/>
    <n v="0"/>
    <m/>
    <m/>
    <n v="0"/>
    <m/>
    <m/>
    <m/>
    <m/>
    <m/>
    <m/>
    <n v="125000"/>
    <n v="69419"/>
  </r>
  <r>
    <x v="11"/>
    <x v="0"/>
    <s v="University of South Carolina-Sumter"/>
    <m/>
    <n v="218690"/>
    <x v="8"/>
    <n v="2537500"/>
    <n v="1830000"/>
    <m/>
    <m/>
    <m/>
    <m/>
    <n v="5161506"/>
    <n v="73595"/>
    <n v="5235101"/>
    <n v="5463094"/>
    <n v="73854"/>
    <n v="5536948"/>
    <n v="7699006"/>
    <n v="7293094"/>
    <m/>
    <m/>
    <m/>
    <m/>
    <n v="0"/>
    <m/>
    <m/>
    <n v="0"/>
    <m/>
    <m/>
    <m/>
    <m/>
    <m/>
    <m/>
    <n v="7699006"/>
    <n v="7293094"/>
  </r>
  <r>
    <x v="11"/>
    <x v="0"/>
    <s v="Fringe Benefits"/>
    <m/>
    <n v="218690"/>
    <x v="8"/>
    <n v="523816"/>
    <n v="433785"/>
    <m/>
    <m/>
    <m/>
    <m/>
    <m/>
    <m/>
    <n v="0"/>
    <m/>
    <m/>
    <n v="0"/>
    <n v="523816"/>
    <n v="433785"/>
    <m/>
    <m/>
    <m/>
    <m/>
    <n v="0"/>
    <m/>
    <m/>
    <n v="0"/>
    <m/>
    <m/>
    <m/>
    <m/>
    <m/>
    <m/>
    <n v="523816"/>
    <n v="433785"/>
  </r>
  <r>
    <x v="11"/>
    <x v="8"/>
    <s v="Special Line items for education operations"/>
    <m/>
    <n v="218690"/>
    <x v="8"/>
    <m/>
    <m/>
    <m/>
    <m/>
    <m/>
    <m/>
    <m/>
    <m/>
    <n v="0"/>
    <m/>
    <m/>
    <n v="0"/>
    <n v="0"/>
    <n v="0"/>
    <m/>
    <m/>
    <m/>
    <m/>
    <n v="0"/>
    <m/>
    <m/>
    <n v="0"/>
    <m/>
    <m/>
    <m/>
    <m/>
    <m/>
    <m/>
    <n v="0"/>
    <n v="0"/>
  </r>
  <r>
    <x v="11"/>
    <x v="8"/>
    <s v="Access &amp; Equity"/>
    <m/>
    <n v="218690"/>
    <x v="8"/>
    <m/>
    <m/>
    <n v="4767"/>
    <n v="0"/>
    <m/>
    <m/>
    <m/>
    <m/>
    <n v="0"/>
    <m/>
    <m/>
    <n v="0"/>
    <n v="4767"/>
    <n v="0"/>
    <m/>
    <m/>
    <m/>
    <m/>
    <n v="0"/>
    <m/>
    <m/>
    <n v="0"/>
    <m/>
    <m/>
    <m/>
    <m/>
    <m/>
    <m/>
    <n v="4767"/>
    <n v="0"/>
  </r>
  <r>
    <x v="11"/>
    <x v="8"/>
    <s v="Academic Endowment"/>
    <m/>
    <n v="218690"/>
    <x v="8"/>
    <m/>
    <m/>
    <n v="1375"/>
    <n v="833"/>
    <m/>
    <m/>
    <m/>
    <m/>
    <n v="0"/>
    <m/>
    <m/>
    <n v="0"/>
    <n v="1375"/>
    <n v="833"/>
    <m/>
    <m/>
    <m/>
    <m/>
    <n v="0"/>
    <m/>
    <m/>
    <n v="0"/>
    <m/>
    <m/>
    <m/>
    <m/>
    <m/>
    <m/>
    <n v="1375"/>
    <n v="833"/>
  </r>
  <r>
    <x v="11"/>
    <x v="8"/>
    <s v="Lottery Technology (NR)"/>
    <m/>
    <n v="218690"/>
    <x v="8"/>
    <m/>
    <m/>
    <n v="125000"/>
    <n v="69419"/>
    <m/>
    <m/>
    <m/>
    <m/>
    <n v="0"/>
    <m/>
    <m/>
    <n v="0"/>
    <n v="125000"/>
    <n v="69419"/>
    <m/>
    <m/>
    <m/>
    <m/>
    <n v="0"/>
    <m/>
    <m/>
    <n v="0"/>
    <m/>
    <m/>
    <m/>
    <m/>
    <m/>
    <m/>
    <n v="125000"/>
    <n v="69419"/>
  </r>
  <r>
    <x v="11"/>
    <x v="0"/>
    <s v="University of South Carolina-Union"/>
    <m/>
    <n v="218706"/>
    <x v="8"/>
    <n v="631000"/>
    <n v="501000"/>
    <m/>
    <m/>
    <m/>
    <m/>
    <n v="1965097"/>
    <n v="21979"/>
    <n v="1987076"/>
    <n v="2277668"/>
    <n v="23764"/>
    <n v="2301432"/>
    <n v="2596097"/>
    <n v="2778668"/>
    <m/>
    <m/>
    <m/>
    <m/>
    <n v="0"/>
    <m/>
    <m/>
    <n v="0"/>
    <m/>
    <m/>
    <m/>
    <m/>
    <m/>
    <m/>
    <n v="2596097"/>
    <n v="2778668"/>
  </r>
  <r>
    <x v="11"/>
    <x v="0"/>
    <s v="Fringe Benefits"/>
    <m/>
    <n v="218706"/>
    <x v="8"/>
    <n v="115001"/>
    <n v="95398"/>
    <m/>
    <m/>
    <m/>
    <m/>
    <m/>
    <m/>
    <n v="0"/>
    <m/>
    <m/>
    <n v="0"/>
    <n v="115001"/>
    <n v="95398"/>
    <m/>
    <m/>
    <m/>
    <m/>
    <n v="0"/>
    <m/>
    <m/>
    <n v="0"/>
    <m/>
    <m/>
    <m/>
    <m/>
    <m/>
    <m/>
    <n v="115001"/>
    <n v="95398"/>
  </r>
  <r>
    <x v="11"/>
    <x v="8"/>
    <s v="Special Line items for education operations"/>
    <m/>
    <n v="218706"/>
    <x v="8"/>
    <m/>
    <m/>
    <m/>
    <m/>
    <m/>
    <m/>
    <m/>
    <m/>
    <n v="0"/>
    <m/>
    <m/>
    <n v="0"/>
    <n v="0"/>
    <n v="0"/>
    <m/>
    <m/>
    <m/>
    <m/>
    <n v="0"/>
    <m/>
    <m/>
    <n v="0"/>
    <m/>
    <m/>
    <m/>
    <m/>
    <m/>
    <m/>
    <n v="0"/>
    <n v="0"/>
  </r>
  <r>
    <x v="11"/>
    <x v="8"/>
    <s v="Access &amp; Equity"/>
    <m/>
    <n v="218706"/>
    <x v="8"/>
    <m/>
    <m/>
    <n v="4164"/>
    <n v="0"/>
    <m/>
    <m/>
    <m/>
    <m/>
    <n v="0"/>
    <m/>
    <m/>
    <n v="0"/>
    <n v="4164"/>
    <n v="0"/>
    <m/>
    <m/>
    <m/>
    <m/>
    <n v="0"/>
    <m/>
    <m/>
    <n v="0"/>
    <m/>
    <m/>
    <m/>
    <m/>
    <m/>
    <m/>
    <n v="4164"/>
    <n v="0"/>
  </r>
  <r>
    <x v="11"/>
    <x v="8"/>
    <s v="Academic Endowment"/>
    <m/>
    <n v="218706"/>
    <x v="8"/>
    <m/>
    <m/>
    <n v="519"/>
    <n v="235"/>
    <m/>
    <m/>
    <m/>
    <m/>
    <n v="0"/>
    <m/>
    <m/>
    <n v="0"/>
    <n v="519"/>
    <n v="235"/>
    <m/>
    <m/>
    <m/>
    <m/>
    <n v="0"/>
    <m/>
    <m/>
    <n v="0"/>
    <m/>
    <m/>
    <m/>
    <m/>
    <m/>
    <m/>
    <n v="519"/>
    <n v="235"/>
  </r>
  <r>
    <x v="11"/>
    <x v="8"/>
    <s v="Lottery Technology (NR)"/>
    <m/>
    <n v="218706"/>
    <x v="8"/>
    <m/>
    <m/>
    <n v="125000"/>
    <n v="69419"/>
    <m/>
    <m/>
    <m/>
    <m/>
    <n v="0"/>
    <m/>
    <m/>
    <n v="0"/>
    <n v="125000"/>
    <n v="69419"/>
    <m/>
    <m/>
    <m/>
    <m/>
    <n v="0"/>
    <m/>
    <m/>
    <n v="0"/>
    <m/>
    <m/>
    <m/>
    <m/>
    <m/>
    <m/>
    <n v="125000"/>
    <n v="69419"/>
  </r>
  <r>
    <x v="11"/>
    <x v="0"/>
    <s v="Willamsburg Technical College "/>
    <m/>
    <n v="218955"/>
    <x v="8"/>
    <n v="1164758"/>
    <n v="1510899"/>
    <m/>
    <m/>
    <n v="506144"/>
    <n v="505643"/>
    <n v="1841531"/>
    <n v="0"/>
    <n v="1841531"/>
    <n v="1841531"/>
    <n v="0"/>
    <n v="1841531"/>
    <n v="3512433"/>
    <n v="3858073"/>
    <m/>
    <m/>
    <m/>
    <m/>
    <n v="0"/>
    <m/>
    <m/>
    <n v="0"/>
    <m/>
    <m/>
    <m/>
    <m/>
    <m/>
    <m/>
    <n v="3512433"/>
    <n v="3858073"/>
  </r>
  <r>
    <x v="11"/>
    <x v="8"/>
    <s v="Special Line items for education operations"/>
    <m/>
    <n v="218955"/>
    <x v="8"/>
    <m/>
    <m/>
    <m/>
    <m/>
    <m/>
    <m/>
    <m/>
    <m/>
    <n v="0"/>
    <m/>
    <m/>
    <n v="0"/>
    <n v="0"/>
    <n v="0"/>
    <m/>
    <m/>
    <m/>
    <m/>
    <n v="0"/>
    <m/>
    <m/>
    <n v="0"/>
    <m/>
    <m/>
    <m/>
    <m/>
    <m/>
    <m/>
    <n v="0"/>
    <n v="0"/>
  </r>
  <r>
    <x v="11"/>
    <x v="8"/>
    <s v="SBTCE Priority Initiative"/>
    <m/>
    <n v="218955"/>
    <x v="8"/>
    <m/>
    <m/>
    <n v="2358"/>
    <n v="0"/>
    <m/>
    <m/>
    <m/>
    <m/>
    <n v="0"/>
    <m/>
    <m/>
    <n v="0"/>
    <n v="2358"/>
    <n v="0"/>
    <m/>
    <m/>
    <m/>
    <m/>
    <n v="0"/>
    <m/>
    <m/>
    <n v="0"/>
    <m/>
    <m/>
    <m/>
    <m/>
    <m/>
    <m/>
    <n v="2358"/>
    <n v="0"/>
  </r>
  <r>
    <x v="11"/>
    <x v="8"/>
    <s v="Economic Recovery Initiative"/>
    <m/>
    <n v="218955"/>
    <x v="8"/>
    <m/>
    <m/>
    <n v="4905"/>
    <n v="0"/>
    <m/>
    <m/>
    <m/>
    <m/>
    <n v="0"/>
    <m/>
    <m/>
    <n v="0"/>
    <n v="4905"/>
    <n v="0"/>
    <m/>
    <m/>
    <m/>
    <m/>
    <n v="0"/>
    <m/>
    <m/>
    <n v="0"/>
    <m/>
    <m/>
    <m/>
    <m/>
    <m/>
    <m/>
    <n v="4905"/>
    <n v="0"/>
  </r>
  <r>
    <x v="11"/>
    <x v="8"/>
    <s v="Pathways to Prosperity"/>
    <m/>
    <n v="218955"/>
    <x v="8"/>
    <m/>
    <m/>
    <n v="44452"/>
    <n v="37784"/>
    <m/>
    <m/>
    <m/>
    <m/>
    <n v="0"/>
    <m/>
    <m/>
    <n v="0"/>
    <n v="44452"/>
    <n v="37784"/>
    <m/>
    <m/>
    <m/>
    <m/>
    <n v="0"/>
    <m/>
    <m/>
    <n v="0"/>
    <m/>
    <m/>
    <m/>
    <m/>
    <m/>
    <m/>
    <n v="44452"/>
    <n v="37784"/>
  </r>
  <r>
    <x v="11"/>
    <x v="8"/>
    <s v="Access &amp; Equity"/>
    <m/>
    <n v="218955"/>
    <x v="8"/>
    <m/>
    <m/>
    <n v="4354"/>
    <n v="0"/>
    <m/>
    <m/>
    <m/>
    <m/>
    <n v="0"/>
    <m/>
    <m/>
    <n v="0"/>
    <n v="4354"/>
    <n v="0"/>
    <m/>
    <m/>
    <m/>
    <m/>
    <n v="0"/>
    <m/>
    <m/>
    <n v="0"/>
    <m/>
    <m/>
    <m/>
    <m/>
    <m/>
    <m/>
    <n v="4354"/>
    <n v="0"/>
  </r>
  <r>
    <x v="11"/>
    <x v="8"/>
    <s v="Academic Endowment"/>
    <m/>
    <n v="218955"/>
    <x v="8"/>
    <m/>
    <m/>
    <n v="109"/>
    <n v="0"/>
    <m/>
    <m/>
    <m/>
    <m/>
    <n v="0"/>
    <m/>
    <m/>
    <n v="0"/>
    <n v="109"/>
    <n v="0"/>
    <m/>
    <m/>
    <m/>
    <m/>
    <n v="0"/>
    <m/>
    <m/>
    <n v="0"/>
    <m/>
    <m/>
    <m/>
    <m/>
    <m/>
    <m/>
    <n v="109"/>
    <n v="0"/>
  </r>
  <r>
    <x v="11"/>
    <x v="8"/>
    <s v="Simulation &amp; Technology (NR)"/>
    <m/>
    <n v="218955"/>
    <x v="8"/>
    <m/>
    <m/>
    <n v="2445"/>
    <n v="0"/>
    <m/>
    <m/>
    <m/>
    <m/>
    <n v="0"/>
    <m/>
    <m/>
    <n v="0"/>
    <n v="2445"/>
    <n v="0"/>
    <m/>
    <m/>
    <m/>
    <m/>
    <n v="0"/>
    <m/>
    <m/>
    <n v="0"/>
    <m/>
    <m/>
    <m/>
    <m/>
    <m/>
    <m/>
    <n v="2445"/>
    <n v="0"/>
  </r>
  <r>
    <x v="11"/>
    <x v="8"/>
    <s v="Allied Health Programs (NR)"/>
    <m/>
    <n v="218955"/>
    <x v="8"/>
    <m/>
    <m/>
    <n v="146657"/>
    <n v="0"/>
    <m/>
    <m/>
    <m/>
    <m/>
    <n v="0"/>
    <m/>
    <m/>
    <n v="0"/>
    <n v="146657"/>
    <n v="0"/>
    <m/>
    <m/>
    <m/>
    <m/>
    <n v="0"/>
    <m/>
    <m/>
    <n v="0"/>
    <m/>
    <m/>
    <m/>
    <m/>
    <m/>
    <m/>
    <n v="146657"/>
    <n v="0"/>
  </r>
  <r>
    <x v="11"/>
    <x v="8"/>
    <s v="Lottery Technology (NR)"/>
    <m/>
    <n v="218955"/>
    <x v="8"/>
    <m/>
    <m/>
    <n v="141037"/>
    <n v="67827"/>
    <m/>
    <m/>
    <m/>
    <m/>
    <n v="0"/>
    <m/>
    <m/>
    <n v="0"/>
    <n v="141037"/>
    <n v="67827"/>
    <m/>
    <m/>
    <m/>
    <m/>
    <n v="0"/>
    <m/>
    <m/>
    <n v="0"/>
    <m/>
    <m/>
    <m/>
    <m/>
    <m/>
    <m/>
    <n v="141037"/>
    <n v="67827"/>
  </r>
  <r>
    <x v="11"/>
    <x v="41"/>
    <s v="Medical University of South Carolina"/>
    <m/>
    <n v="218335"/>
    <x v="11"/>
    <m/>
    <m/>
    <m/>
    <m/>
    <m/>
    <m/>
    <m/>
    <m/>
    <n v="0"/>
    <m/>
    <m/>
    <n v="0"/>
    <n v="0"/>
    <n v="0"/>
    <m/>
    <m/>
    <m/>
    <m/>
    <n v="0"/>
    <m/>
    <m/>
    <n v="0"/>
    <n v="52352856"/>
    <n v="42729251"/>
    <n v="56151713"/>
    <n v="9203966"/>
    <n v="61971854"/>
    <n v="10656001"/>
    <n v="108504569"/>
    <n v="104701105"/>
  </r>
  <r>
    <x v="11"/>
    <x v="41"/>
    <s v="Fringe Benefits"/>
    <m/>
    <n v="218335"/>
    <x v="11"/>
    <m/>
    <m/>
    <m/>
    <m/>
    <m/>
    <m/>
    <m/>
    <m/>
    <n v="0"/>
    <m/>
    <m/>
    <n v="0"/>
    <n v="0"/>
    <n v="0"/>
    <m/>
    <m/>
    <m/>
    <m/>
    <n v="0"/>
    <m/>
    <m/>
    <n v="0"/>
    <n v="14126832"/>
    <n v="11073517"/>
    <m/>
    <m/>
    <m/>
    <m/>
    <n v="14126832"/>
    <n v="11073517"/>
  </r>
  <r>
    <x v="11"/>
    <x v="41"/>
    <s v="Access &amp; Equity"/>
    <m/>
    <n v="218335"/>
    <x v="11"/>
    <m/>
    <m/>
    <m/>
    <m/>
    <m/>
    <m/>
    <m/>
    <m/>
    <n v="0"/>
    <m/>
    <m/>
    <n v="0"/>
    <n v="0"/>
    <n v="0"/>
    <m/>
    <m/>
    <m/>
    <m/>
    <n v="0"/>
    <m/>
    <m/>
    <n v="0"/>
    <n v="33021"/>
    <n v="0"/>
    <m/>
    <m/>
    <m/>
    <m/>
    <n v="33021"/>
    <n v="0"/>
  </r>
  <r>
    <x v="11"/>
    <x v="41"/>
    <s v="Academic Endowment"/>
    <m/>
    <n v="218335"/>
    <x v="11"/>
    <m/>
    <m/>
    <m/>
    <m/>
    <m/>
    <m/>
    <m/>
    <m/>
    <n v="0"/>
    <m/>
    <m/>
    <n v="0"/>
    <n v="0"/>
    <n v="0"/>
    <m/>
    <m/>
    <m/>
    <m/>
    <n v="0"/>
    <m/>
    <m/>
    <n v="0"/>
    <n v="60033"/>
    <n v="41337"/>
    <m/>
    <m/>
    <m/>
    <m/>
    <n v="60033"/>
    <n v="41337"/>
  </r>
  <r>
    <x v="11"/>
    <x v="41"/>
    <s v="Critical Needs Nursing Initiative"/>
    <m/>
    <n v="218335"/>
    <x v="11"/>
    <m/>
    <m/>
    <m/>
    <m/>
    <m/>
    <m/>
    <m/>
    <m/>
    <n v="0"/>
    <m/>
    <m/>
    <n v="0"/>
    <n v="0"/>
    <n v="0"/>
    <m/>
    <m/>
    <m/>
    <m/>
    <n v="0"/>
    <m/>
    <m/>
    <n v="0"/>
    <n v="93197"/>
    <n v="0"/>
    <m/>
    <m/>
    <m/>
    <m/>
    <n v="93197"/>
    <n v="0"/>
  </r>
  <r>
    <x v="11"/>
    <x v="41"/>
    <s v="Critical Needs Nursing Initiative (NR)"/>
    <m/>
    <n v="218335"/>
    <x v="11"/>
    <m/>
    <m/>
    <m/>
    <m/>
    <m/>
    <m/>
    <m/>
    <m/>
    <n v="0"/>
    <m/>
    <m/>
    <n v="0"/>
    <n v="0"/>
    <n v="0"/>
    <m/>
    <m/>
    <m/>
    <m/>
    <n v="0"/>
    <m/>
    <m/>
    <n v="0"/>
    <n v="83989"/>
    <n v="0"/>
    <m/>
    <m/>
    <m/>
    <m/>
    <n v="83989"/>
    <n v="0"/>
  </r>
  <r>
    <x v="11"/>
    <x v="41"/>
    <s v="Hypertension Initiative"/>
    <m/>
    <n v="218335"/>
    <x v="11"/>
    <m/>
    <m/>
    <m/>
    <m/>
    <m/>
    <m/>
    <m/>
    <m/>
    <n v="0"/>
    <m/>
    <m/>
    <n v="0"/>
    <n v="0"/>
    <n v="0"/>
    <m/>
    <m/>
    <m/>
    <m/>
    <n v="0"/>
    <m/>
    <m/>
    <n v="0"/>
    <n v="512741"/>
    <n v="0"/>
    <m/>
    <m/>
    <m/>
    <m/>
    <n v="512741"/>
    <n v="0"/>
  </r>
  <r>
    <x v="11"/>
    <x v="41"/>
    <s v="Diabetic Center (MUSC)"/>
    <m/>
    <n v="218335"/>
    <x v="11"/>
    <m/>
    <m/>
    <m/>
    <m/>
    <m/>
    <m/>
    <m/>
    <m/>
    <n v="0"/>
    <m/>
    <m/>
    <n v="0"/>
    <n v="0"/>
    <n v="0"/>
    <m/>
    <m/>
    <m/>
    <m/>
    <n v="0"/>
    <m/>
    <m/>
    <n v="0"/>
    <n v="289088"/>
    <n v="0"/>
    <m/>
    <m/>
    <m/>
    <m/>
    <n v="289088"/>
    <n v="0"/>
  </r>
  <r>
    <x v="11"/>
    <x v="41"/>
    <s v="Rural Dentist Incentive(MUSC)"/>
    <m/>
    <n v="218335"/>
    <x v="11"/>
    <m/>
    <m/>
    <m/>
    <m/>
    <m/>
    <m/>
    <m/>
    <m/>
    <n v="0"/>
    <m/>
    <m/>
    <n v="0"/>
    <n v="0"/>
    <n v="0"/>
    <m/>
    <m/>
    <m/>
    <m/>
    <n v="0"/>
    <m/>
    <m/>
    <n v="0"/>
    <m/>
    <n v="250000"/>
    <m/>
    <m/>
    <m/>
    <m/>
    <n v="0"/>
    <n v="250000"/>
  </r>
  <r>
    <x v="11"/>
    <x v="41"/>
    <s v="Hollings Cancer Center (Supp)"/>
    <m/>
    <n v="218335"/>
    <x v="11"/>
    <m/>
    <m/>
    <m/>
    <m/>
    <m/>
    <m/>
    <m/>
    <m/>
    <n v="0"/>
    <m/>
    <m/>
    <n v="0"/>
    <n v="0"/>
    <n v="0"/>
    <m/>
    <m/>
    <m/>
    <m/>
    <n v="0"/>
    <m/>
    <m/>
    <n v="0"/>
    <m/>
    <n v="0"/>
    <m/>
    <m/>
    <m/>
    <m/>
    <n v="0"/>
    <n v="0"/>
  </r>
  <r>
    <x v="11"/>
    <x v="41"/>
    <s v="MUSC Maxillofacial Prosthodontics"/>
    <m/>
    <n v="218335"/>
    <x v="11"/>
    <m/>
    <m/>
    <m/>
    <m/>
    <m/>
    <m/>
    <m/>
    <m/>
    <n v="0"/>
    <m/>
    <m/>
    <n v="0"/>
    <n v="0"/>
    <n v="0"/>
    <m/>
    <m/>
    <m/>
    <m/>
    <n v="0"/>
    <m/>
    <m/>
    <n v="0"/>
    <n v="248649"/>
    <n v="0"/>
    <m/>
    <m/>
    <m/>
    <m/>
    <n v="248649"/>
    <n v="0"/>
  </r>
  <r>
    <x v="11"/>
    <x v="41"/>
    <s v="LightRail(NR)"/>
    <m/>
    <n v="218335"/>
    <x v="11"/>
    <m/>
    <m/>
    <m/>
    <m/>
    <m/>
    <m/>
    <m/>
    <m/>
    <n v="0"/>
    <m/>
    <m/>
    <n v="0"/>
    <n v="0"/>
    <n v="0"/>
    <m/>
    <m/>
    <m/>
    <m/>
    <n v="0"/>
    <m/>
    <m/>
    <n v="0"/>
    <m/>
    <m/>
    <m/>
    <m/>
    <m/>
    <m/>
    <n v="0"/>
    <n v="0"/>
  </r>
  <r>
    <x v="11"/>
    <x v="41"/>
    <s v="MUSC Disproportionate Share (Proviso 90.13) (NR)"/>
    <m/>
    <n v="218335"/>
    <x v="11"/>
    <m/>
    <m/>
    <m/>
    <m/>
    <m/>
    <m/>
    <m/>
    <m/>
    <n v="0"/>
    <m/>
    <m/>
    <n v="0"/>
    <n v="0"/>
    <n v="0"/>
    <m/>
    <m/>
    <m/>
    <m/>
    <n v="0"/>
    <m/>
    <m/>
    <n v="0"/>
    <n v="7500000"/>
    <n v="0"/>
    <m/>
    <m/>
    <m/>
    <m/>
    <n v="7500000"/>
    <n v="0"/>
  </r>
  <r>
    <x v="11"/>
    <x v="41"/>
    <s v="MUSC Transplant Services (Proviso 90.13) (NR)"/>
    <m/>
    <n v="218335"/>
    <x v="11"/>
    <m/>
    <m/>
    <m/>
    <m/>
    <m/>
    <m/>
    <m/>
    <m/>
    <n v="0"/>
    <m/>
    <m/>
    <n v="0"/>
    <n v="0"/>
    <n v="0"/>
    <m/>
    <m/>
    <m/>
    <m/>
    <n v="0"/>
    <m/>
    <m/>
    <n v="0"/>
    <n v="100000"/>
    <n v="0"/>
    <m/>
    <m/>
    <m/>
    <m/>
    <n v="100000"/>
    <n v="0"/>
  </r>
  <r>
    <x v="11"/>
    <x v="41"/>
    <s v="Area Health Education Consortium (AHEC)"/>
    <m/>
    <n v="218335"/>
    <x v="11"/>
    <m/>
    <m/>
    <m/>
    <m/>
    <m/>
    <m/>
    <m/>
    <m/>
    <n v="0"/>
    <m/>
    <m/>
    <n v="0"/>
    <n v="0"/>
    <n v="0"/>
    <m/>
    <m/>
    <m/>
    <m/>
    <n v="0"/>
    <m/>
    <m/>
    <n v="0"/>
    <m/>
    <m/>
    <m/>
    <m/>
    <m/>
    <m/>
    <n v="0"/>
    <n v="0"/>
  </r>
  <r>
    <x v="11"/>
    <x v="41"/>
    <s v="AHEC-Administration"/>
    <m/>
    <n v="218335"/>
    <x v="11"/>
    <m/>
    <m/>
    <m/>
    <m/>
    <m/>
    <m/>
    <m/>
    <m/>
    <n v="0"/>
    <m/>
    <m/>
    <n v="0"/>
    <n v="0"/>
    <n v="0"/>
    <m/>
    <m/>
    <m/>
    <m/>
    <n v="0"/>
    <m/>
    <m/>
    <n v="0"/>
    <n v="3065587"/>
    <n v="3059323"/>
    <m/>
    <m/>
    <m/>
    <m/>
    <n v="3065587"/>
    <n v="3059323"/>
  </r>
  <r>
    <x v="11"/>
    <x v="41"/>
    <s v="AHEC-Fringe Benefits"/>
    <m/>
    <n v="218335"/>
    <x v="11"/>
    <m/>
    <m/>
    <m/>
    <m/>
    <m/>
    <m/>
    <m/>
    <m/>
    <n v="0"/>
    <m/>
    <m/>
    <n v="0"/>
    <n v="0"/>
    <n v="0"/>
    <m/>
    <m/>
    <m/>
    <m/>
    <n v="0"/>
    <m/>
    <m/>
    <n v="0"/>
    <n v="906185"/>
    <n v="937087"/>
    <m/>
    <m/>
    <m/>
    <m/>
    <n v="906185"/>
    <n v="937087"/>
  </r>
  <r>
    <x v="11"/>
    <x v="41"/>
    <s v="AHEC-Operating Expenses"/>
    <m/>
    <n v="218335"/>
    <x v="11"/>
    <m/>
    <m/>
    <m/>
    <m/>
    <m/>
    <m/>
    <m/>
    <m/>
    <n v="0"/>
    <m/>
    <m/>
    <n v="0"/>
    <n v="0"/>
    <n v="0"/>
    <m/>
    <m/>
    <m/>
    <m/>
    <n v="0"/>
    <m/>
    <m/>
    <n v="0"/>
    <n v="6818186"/>
    <n v="4639801"/>
    <m/>
    <m/>
    <m/>
    <m/>
    <n v="6818186"/>
    <n v="4639801"/>
  </r>
  <r>
    <x v="11"/>
    <x v="41"/>
    <s v="AHEC-Rural Physicans Program"/>
    <m/>
    <n v="218335"/>
    <x v="11"/>
    <m/>
    <m/>
    <m/>
    <m/>
    <m/>
    <m/>
    <m/>
    <m/>
    <n v="0"/>
    <m/>
    <m/>
    <n v="0"/>
    <n v="0"/>
    <n v="0"/>
    <m/>
    <m/>
    <m/>
    <m/>
    <n v="0"/>
    <m/>
    <m/>
    <n v="0"/>
    <n v="459455"/>
    <n v="37211"/>
    <m/>
    <m/>
    <m/>
    <m/>
    <n v="459455"/>
    <n v="37211"/>
  </r>
  <r>
    <x v="11"/>
    <x v="41"/>
    <s v="AHEC-Rural Dentists Initiative"/>
    <m/>
    <n v="218335"/>
    <x v="11"/>
    <m/>
    <m/>
    <m/>
    <m/>
    <m/>
    <m/>
    <m/>
    <m/>
    <n v="0"/>
    <m/>
    <m/>
    <n v="0"/>
    <n v="0"/>
    <n v="0"/>
    <m/>
    <m/>
    <m/>
    <m/>
    <n v="0"/>
    <m/>
    <m/>
    <n v="0"/>
    <n v="250000"/>
    <n v="0"/>
    <m/>
    <m/>
    <m/>
    <m/>
    <n v="250000"/>
    <n v="0"/>
  </r>
  <r>
    <x v="11"/>
    <x v="41"/>
    <s v="AHEC-Rural Dentists Initiative (NR)"/>
    <m/>
    <n v="218335"/>
    <x v="11"/>
    <m/>
    <m/>
    <m/>
    <m/>
    <m/>
    <m/>
    <m/>
    <m/>
    <n v="0"/>
    <m/>
    <m/>
    <n v="0"/>
    <n v="0"/>
    <n v="0"/>
    <m/>
    <m/>
    <m/>
    <m/>
    <n v="0"/>
    <m/>
    <m/>
    <n v="0"/>
    <n v="250000"/>
    <n v="0"/>
    <m/>
    <m/>
    <m/>
    <m/>
    <n v="250000"/>
    <n v="0"/>
  </r>
  <r>
    <x v="11"/>
    <x v="41"/>
    <s v="AHEC-Nursing Recruitment"/>
    <m/>
    <n v="218335"/>
    <x v="11"/>
    <m/>
    <m/>
    <m/>
    <m/>
    <m/>
    <m/>
    <m/>
    <m/>
    <n v="0"/>
    <m/>
    <m/>
    <n v="0"/>
    <n v="0"/>
    <n v="0"/>
    <m/>
    <m/>
    <m/>
    <m/>
    <n v="0"/>
    <m/>
    <m/>
    <n v="0"/>
    <n v="37955"/>
    <n v="37955"/>
    <m/>
    <m/>
    <m/>
    <m/>
    <n v="37955"/>
    <n v="37955"/>
  </r>
  <r>
    <x v="11"/>
    <x v="41"/>
    <s v="AHEC-Infrastructure Development"/>
    <m/>
    <n v="218335"/>
    <x v="11"/>
    <m/>
    <m/>
    <m/>
    <m/>
    <m/>
    <m/>
    <m/>
    <m/>
    <n v="0"/>
    <m/>
    <m/>
    <n v="0"/>
    <n v="0"/>
    <n v="0"/>
    <m/>
    <m/>
    <m/>
    <m/>
    <n v="0"/>
    <m/>
    <m/>
    <n v="0"/>
    <n v="393974"/>
    <n v="0"/>
    <m/>
    <m/>
    <m/>
    <m/>
    <n v="393974"/>
    <n v="0"/>
  </r>
  <r>
    <x v="11"/>
    <x v="13"/>
    <s v="Educational special purpose funds — all other"/>
    <m/>
    <m/>
    <x v="12"/>
    <m/>
    <m/>
    <m/>
    <m/>
    <m/>
    <m/>
    <m/>
    <m/>
    <n v="0"/>
    <m/>
    <m/>
    <n v="0"/>
    <n v="0"/>
    <n v="0"/>
    <m/>
    <m/>
    <m/>
    <m/>
    <n v="0"/>
    <m/>
    <m/>
    <n v="0"/>
    <m/>
    <m/>
    <m/>
    <m/>
    <m/>
    <m/>
    <n v="0"/>
    <n v="0"/>
  </r>
  <r>
    <x v="11"/>
    <x v="13"/>
    <s v="University Center of Greenville"/>
    <m/>
    <m/>
    <x v="12"/>
    <m/>
    <m/>
    <m/>
    <m/>
    <m/>
    <m/>
    <m/>
    <m/>
    <n v="0"/>
    <m/>
    <m/>
    <n v="0"/>
    <n v="0"/>
    <n v="0"/>
    <m/>
    <m/>
    <m/>
    <m/>
    <n v="0"/>
    <m/>
    <m/>
    <n v="0"/>
    <m/>
    <m/>
    <m/>
    <m/>
    <m/>
    <m/>
    <n v="0"/>
    <n v="0"/>
  </r>
  <r>
    <x v="11"/>
    <x v="13"/>
    <s v="Greenville Tech-Univ Center"/>
    <m/>
    <m/>
    <x v="12"/>
    <m/>
    <m/>
    <n v="742426"/>
    <n v="614729"/>
    <m/>
    <m/>
    <m/>
    <m/>
    <n v="0"/>
    <m/>
    <m/>
    <n v="0"/>
    <n v="742426"/>
    <n v="614729"/>
    <m/>
    <m/>
    <m/>
    <m/>
    <n v="0"/>
    <m/>
    <m/>
    <n v="0"/>
    <m/>
    <m/>
    <m/>
    <m/>
    <m/>
    <m/>
    <n v="742426"/>
    <n v="614729"/>
  </r>
  <r>
    <x v="11"/>
    <x v="13"/>
    <s v="  Greenville H. Ed. Center"/>
    <m/>
    <m/>
    <x v="12"/>
    <m/>
    <m/>
    <n v="82086"/>
    <n v="0"/>
    <m/>
    <m/>
    <m/>
    <m/>
    <n v="0"/>
    <m/>
    <m/>
    <n v="0"/>
    <n v="82086"/>
    <n v="0"/>
    <m/>
    <m/>
    <m/>
    <m/>
    <n v="0"/>
    <m/>
    <m/>
    <n v="0"/>
    <m/>
    <m/>
    <m/>
    <m/>
    <m/>
    <m/>
    <n v="82086"/>
    <n v="0"/>
  </r>
  <r>
    <x v="11"/>
    <x v="13"/>
    <s v="Greenville Center Operating Cost"/>
    <m/>
    <m/>
    <x v="12"/>
    <m/>
    <m/>
    <n v="245902"/>
    <n v="1122021"/>
    <m/>
    <m/>
    <m/>
    <m/>
    <n v="0"/>
    <m/>
    <m/>
    <n v="0"/>
    <n v="245902"/>
    <n v="1122021"/>
    <m/>
    <m/>
    <m/>
    <m/>
    <n v="0"/>
    <m/>
    <m/>
    <n v="0"/>
    <m/>
    <m/>
    <m/>
    <m/>
    <m/>
    <m/>
    <n v="245902"/>
    <n v="1122021"/>
  </r>
  <r>
    <x v="11"/>
    <x v="13"/>
    <s v="Greenville Center Operating Cost(NR)"/>
    <m/>
    <m/>
    <x v="12"/>
    <m/>
    <m/>
    <n v="135560"/>
    <n v="0"/>
    <m/>
    <m/>
    <m/>
    <m/>
    <n v="0"/>
    <m/>
    <m/>
    <n v="0"/>
    <n v="135560"/>
    <n v="0"/>
    <m/>
    <m/>
    <m/>
    <m/>
    <n v="0"/>
    <m/>
    <m/>
    <n v="0"/>
    <m/>
    <m/>
    <m/>
    <m/>
    <m/>
    <m/>
    <n v="135560"/>
    <n v="0"/>
  </r>
  <r>
    <x v="11"/>
    <x v="13"/>
    <s v="Greenville Center Operating Cost-proviso 90.21(NR)"/>
    <m/>
    <m/>
    <x v="12"/>
    <m/>
    <m/>
    <n v="500000"/>
    <n v="0"/>
    <m/>
    <m/>
    <m/>
    <m/>
    <n v="0"/>
    <m/>
    <m/>
    <n v="0"/>
    <n v="500000"/>
    <n v="0"/>
    <m/>
    <m/>
    <m/>
    <m/>
    <n v="0"/>
    <m/>
    <m/>
    <n v="0"/>
    <m/>
    <m/>
    <m/>
    <m/>
    <m/>
    <m/>
    <n v="500000"/>
    <n v="0"/>
  </r>
  <r>
    <x v="11"/>
    <x v="13"/>
    <s v="Lowcountry Graduate Center"/>
    <m/>
    <m/>
    <x v="12"/>
    <m/>
    <m/>
    <n v="980632"/>
    <n v="811963"/>
    <m/>
    <m/>
    <m/>
    <m/>
    <n v="0"/>
    <m/>
    <m/>
    <n v="0"/>
    <n v="980632"/>
    <n v="811963"/>
    <m/>
    <m/>
    <m/>
    <m/>
    <n v="0"/>
    <m/>
    <m/>
    <n v="0"/>
    <m/>
    <m/>
    <m/>
    <m/>
    <m/>
    <m/>
    <n v="980632"/>
    <n v="811963"/>
  </r>
  <r>
    <x v="11"/>
    <x v="13"/>
    <s v="Think Tec/Fastrac Entrepreneurial "/>
    <m/>
    <m/>
    <x v="12"/>
    <m/>
    <m/>
    <n v="160390"/>
    <n v="0"/>
    <m/>
    <m/>
    <m/>
    <m/>
    <n v="0"/>
    <m/>
    <m/>
    <n v="0"/>
    <n v="160390"/>
    <n v="0"/>
    <m/>
    <m/>
    <m/>
    <m/>
    <n v="0"/>
    <m/>
    <m/>
    <n v="0"/>
    <m/>
    <m/>
    <m/>
    <m/>
    <m/>
    <m/>
    <n v="160390"/>
    <n v="0"/>
  </r>
  <r>
    <x v="11"/>
    <x v="13"/>
    <s v=" National Foundation of Teaching Entrepreneurship (NFTE)"/>
    <m/>
    <m/>
    <x v="12"/>
    <m/>
    <m/>
    <n v="186502"/>
    <n v="122345"/>
    <m/>
    <m/>
    <m/>
    <m/>
    <n v="0"/>
    <m/>
    <m/>
    <n v="0"/>
    <n v="186502"/>
    <n v="122345"/>
    <m/>
    <m/>
    <m/>
    <m/>
    <n v="0"/>
    <m/>
    <m/>
    <n v="0"/>
    <m/>
    <m/>
    <m/>
    <m/>
    <m/>
    <m/>
    <n v="186502"/>
    <n v="122345"/>
  </r>
  <r>
    <x v="11"/>
    <x v="13"/>
    <s v="South Carolina Manufacturing Extension Program (SCMEP)"/>
    <m/>
    <m/>
    <x v="12"/>
    <m/>
    <m/>
    <n v="851917"/>
    <n v="705387"/>
    <m/>
    <m/>
    <m/>
    <m/>
    <n v="0"/>
    <m/>
    <m/>
    <n v="0"/>
    <n v="851917"/>
    <n v="705387"/>
    <m/>
    <m/>
    <m/>
    <m/>
    <n v="0"/>
    <m/>
    <m/>
    <n v="0"/>
    <m/>
    <m/>
    <m/>
    <m/>
    <m/>
    <m/>
    <n v="851917"/>
    <n v="705387"/>
  </r>
  <r>
    <x v="11"/>
    <x v="13"/>
    <s v="GEARUP"/>
    <m/>
    <m/>
    <x v="12"/>
    <m/>
    <m/>
    <n v="133269"/>
    <n v="124517"/>
    <m/>
    <m/>
    <m/>
    <m/>
    <n v="0"/>
    <m/>
    <m/>
    <n v="0"/>
    <n v="133269"/>
    <n v="124517"/>
    <m/>
    <m/>
    <m/>
    <m/>
    <n v="0"/>
    <m/>
    <m/>
    <n v="0"/>
    <m/>
    <m/>
    <m/>
    <m/>
    <m/>
    <m/>
    <n v="133269"/>
    <n v="124517"/>
  </r>
  <r>
    <x v="11"/>
    <x v="13"/>
    <s v="Statewide Electronic Library Supplemental"/>
    <m/>
    <m/>
    <x v="12"/>
    <m/>
    <m/>
    <n v="150481"/>
    <n v="162773"/>
    <m/>
    <m/>
    <m/>
    <m/>
    <n v="0"/>
    <m/>
    <m/>
    <n v="0"/>
    <n v="150481"/>
    <n v="162773"/>
    <m/>
    <m/>
    <m/>
    <m/>
    <n v="0"/>
    <m/>
    <m/>
    <n v="0"/>
    <m/>
    <m/>
    <m/>
    <m/>
    <m/>
    <m/>
    <n v="150481"/>
    <n v="162773"/>
  </r>
  <r>
    <x v="11"/>
    <x v="13"/>
    <s v="Youth Leadership Program"/>
    <m/>
    <m/>
    <x v="12"/>
    <m/>
    <m/>
    <n v="18308"/>
    <n v="0"/>
    <m/>
    <m/>
    <m/>
    <m/>
    <n v="0"/>
    <m/>
    <m/>
    <n v="0"/>
    <n v="18308"/>
    <n v="0"/>
    <m/>
    <m/>
    <m/>
    <m/>
    <n v="0"/>
    <m/>
    <m/>
    <n v="0"/>
    <m/>
    <m/>
    <m/>
    <m/>
    <m/>
    <m/>
    <n v="18308"/>
    <n v="0"/>
  </r>
  <r>
    <x v="11"/>
    <x v="13"/>
    <s v="Experimental Program for the Stimulation of Competitive Research (EPSCOR) Constorium"/>
    <m/>
    <m/>
    <x v="12"/>
    <m/>
    <m/>
    <n v="1391437"/>
    <n v="208543"/>
    <m/>
    <m/>
    <m/>
    <m/>
    <n v="0"/>
    <m/>
    <m/>
    <n v="0"/>
    <n v="1391437"/>
    <n v="208543"/>
    <m/>
    <m/>
    <m/>
    <m/>
    <n v="0"/>
    <m/>
    <m/>
    <n v="0"/>
    <m/>
    <m/>
    <m/>
    <m/>
    <m/>
    <m/>
    <n v="1391437"/>
    <n v="208543"/>
  </r>
  <r>
    <x v="11"/>
    <x v="13"/>
    <s v="Charleston Transition Connection"/>
    <m/>
    <m/>
    <x v="12"/>
    <m/>
    <m/>
    <n v="223803"/>
    <n v="185309"/>
    <m/>
    <m/>
    <m/>
    <m/>
    <n v="0"/>
    <m/>
    <m/>
    <n v="0"/>
    <n v="223803"/>
    <n v="185309"/>
    <m/>
    <m/>
    <m/>
    <m/>
    <n v="0"/>
    <m/>
    <m/>
    <n v="0"/>
    <m/>
    <m/>
    <m/>
    <m/>
    <m/>
    <m/>
    <n v="223803"/>
    <n v="185309"/>
  </r>
  <r>
    <x v="11"/>
    <x v="13"/>
    <s v="African American Loan Program"/>
    <m/>
    <m/>
    <x v="12"/>
    <m/>
    <m/>
    <n v="38569"/>
    <n v="32470"/>
    <m/>
    <m/>
    <m/>
    <m/>
    <n v="0"/>
    <m/>
    <m/>
    <n v="0"/>
    <n v="38569"/>
    <n v="32470"/>
    <m/>
    <m/>
    <m/>
    <m/>
    <n v="0"/>
    <m/>
    <m/>
    <n v="0"/>
    <m/>
    <m/>
    <m/>
    <m/>
    <m/>
    <m/>
    <n v="38569"/>
    <n v="32470"/>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2250172"/>
    <n v="2086155"/>
    <m/>
    <m/>
    <n v="0"/>
    <m/>
    <m/>
    <n v="0"/>
    <m/>
    <m/>
    <m/>
    <m/>
    <m/>
    <m/>
    <n v="2250172"/>
    <n v="2086155"/>
  </r>
  <r>
    <x v="11"/>
    <x v="15"/>
    <s v="  Desegregation (Access &amp; Equity)"/>
    <m/>
    <m/>
    <x v="12"/>
    <m/>
    <m/>
    <m/>
    <m/>
    <m/>
    <m/>
    <m/>
    <m/>
    <n v="0"/>
    <m/>
    <m/>
    <n v="0"/>
    <n v="0"/>
    <n v="0"/>
    <n v="12440"/>
    <n v="0"/>
    <m/>
    <m/>
    <n v="0"/>
    <m/>
    <m/>
    <n v="0"/>
    <m/>
    <m/>
    <m/>
    <m/>
    <m/>
    <m/>
    <n v="12440"/>
    <n v="0"/>
  </r>
  <r>
    <x v="11"/>
    <x v="15"/>
    <s v="GEAR-UP"/>
    <m/>
    <m/>
    <x v="12"/>
    <m/>
    <m/>
    <m/>
    <m/>
    <m/>
    <m/>
    <m/>
    <m/>
    <n v="0"/>
    <m/>
    <m/>
    <n v="0"/>
    <n v="0"/>
    <n v="0"/>
    <n v="124517"/>
    <n v="124517"/>
    <m/>
    <m/>
    <n v="0"/>
    <m/>
    <m/>
    <n v="0"/>
    <m/>
    <m/>
    <m/>
    <m/>
    <m/>
    <m/>
    <n v="124517"/>
    <n v="124517"/>
  </r>
  <r>
    <x v="11"/>
    <x v="15"/>
    <s v="Education &amp; Economic Development Act"/>
    <m/>
    <m/>
    <x v="12"/>
    <m/>
    <m/>
    <m/>
    <m/>
    <m/>
    <m/>
    <m/>
    <m/>
    <n v="0"/>
    <m/>
    <m/>
    <n v="0"/>
    <n v="0"/>
    <n v="0"/>
    <n v="1213065"/>
    <n v="1213065"/>
    <m/>
    <m/>
    <n v="0"/>
    <m/>
    <m/>
    <n v="0"/>
    <m/>
    <m/>
    <m/>
    <m/>
    <m/>
    <m/>
    <n v="1213065"/>
    <n v="1213065"/>
  </r>
  <r>
    <x v="11"/>
    <x v="15"/>
    <s v="African American Loan Program"/>
    <m/>
    <m/>
    <x v="12"/>
    <m/>
    <m/>
    <m/>
    <m/>
    <m/>
    <m/>
    <m/>
    <m/>
    <n v="0"/>
    <m/>
    <m/>
    <n v="0"/>
    <n v="0"/>
    <n v="0"/>
    <m/>
    <m/>
    <m/>
    <m/>
    <n v="0"/>
    <m/>
    <m/>
    <n v="0"/>
    <m/>
    <m/>
    <m/>
    <m/>
    <m/>
    <m/>
    <n v="0"/>
    <n v="0"/>
  </r>
  <r>
    <x v="11"/>
    <x v="15"/>
    <s v="Statewide Electronic Library-Admin"/>
    <m/>
    <m/>
    <x v="12"/>
    <m/>
    <m/>
    <m/>
    <m/>
    <m/>
    <m/>
    <m/>
    <m/>
    <n v="0"/>
    <m/>
    <m/>
    <n v="0"/>
    <n v="0"/>
    <n v="0"/>
    <n v="19193"/>
    <n v="6901"/>
    <m/>
    <m/>
    <n v="0"/>
    <m/>
    <m/>
    <n v="0"/>
    <m/>
    <m/>
    <m/>
    <m/>
    <m/>
    <m/>
    <n v="19193"/>
    <n v="6901"/>
  </r>
  <r>
    <x v="11"/>
    <x v="15"/>
    <s v="Professor of the Year"/>
    <m/>
    <m/>
    <x v="12"/>
    <m/>
    <m/>
    <m/>
    <m/>
    <m/>
    <m/>
    <m/>
    <m/>
    <n v="0"/>
    <m/>
    <m/>
    <n v="0"/>
    <n v="0"/>
    <n v="0"/>
    <n v="380"/>
    <n v="0"/>
    <m/>
    <m/>
    <n v="0"/>
    <m/>
    <m/>
    <n v="0"/>
    <m/>
    <m/>
    <m/>
    <m/>
    <m/>
    <m/>
    <n v="380"/>
    <n v="0"/>
  </r>
  <r>
    <x v="11"/>
    <x v="15"/>
    <s v="National Guard Tuition"/>
    <m/>
    <m/>
    <x v="12"/>
    <m/>
    <m/>
    <m/>
    <m/>
    <m/>
    <m/>
    <m/>
    <m/>
    <n v="0"/>
    <m/>
    <m/>
    <n v="0"/>
    <n v="0"/>
    <n v="0"/>
    <n v="99495"/>
    <n v="91734"/>
    <m/>
    <m/>
    <n v="0"/>
    <m/>
    <m/>
    <n v="0"/>
    <m/>
    <m/>
    <m/>
    <m/>
    <m/>
    <m/>
    <n v="99495"/>
    <n v="91734"/>
  </r>
  <r>
    <x v="11"/>
    <x v="15"/>
    <s v="LIFE Scholarships Admin"/>
    <m/>
    <m/>
    <x v="12"/>
    <m/>
    <m/>
    <m/>
    <m/>
    <m/>
    <m/>
    <m/>
    <m/>
    <n v="0"/>
    <m/>
    <m/>
    <n v="0"/>
    <n v="0"/>
    <n v="0"/>
    <n v="260000"/>
    <n v="260000"/>
    <m/>
    <m/>
    <n v="0"/>
    <m/>
    <m/>
    <n v="0"/>
    <m/>
    <m/>
    <m/>
    <m/>
    <m/>
    <m/>
    <n v="260000"/>
    <n v="260000"/>
  </r>
  <r>
    <x v="11"/>
    <x v="16"/>
    <s v="Two-year system(s), if any"/>
    <m/>
    <m/>
    <x v="12"/>
    <m/>
    <m/>
    <m/>
    <m/>
    <m/>
    <m/>
    <m/>
    <m/>
    <n v="0"/>
    <m/>
    <m/>
    <n v="0"/>
    <n v="0"/>
    <n v="0"/>
    <m/>
    <m/>
    <m/>
    <m/>
    <n v="0"/>
    <m/>
    <m/>
    <n v="0"/>
    <m/>
    <m/>
    <m/>
    <m/>
    <m/>
    <m/>
    <n v="0"/>
    <n v="0"/>
  </r>
  <r>
    <x v="11"/>
    <x v="16"/>
    <s v="SC Tech College System"/>
    <m/>
    <m/>
    <x v="12"/>
    <m/>
    <m/>
    <m/>
    <m/>
    <m/>
    <m/>
    <m/>
    <m/>
    <n v="0"/>
    <m/>
    <m/>
    <n v="0"/>
    <n v="0"/>
    <n v="0"/>
    <n v="3167588"/>
    <n v="2817303"/>
    <m/>
    <m/>
    <n v="0"/>
    <m/>
    <m/>
    <n v="0"/>
    <m/>
    <m/>
    <m/>
    <m/>
    <m/>
    <m/>
    <n v="3167588"/>
    <n v="2817303"/>
  </r>
  <r>
    <x v="11"/>
    <x v="16"/>
    <s v="SC Tech College System-Fringe Benefits"/>
    <m/>
    <m/>
    <x v="12"/>
    <m/>
    <m/>
    <m/>
    <m/>
    <m/>
    <m/>
    <m/>
    <m/>
    <n v="0"/>
    <m/>
    <m/>
    <n v="0"/>
    <n v="0"/>
    <n v="0"/>
    <n v="723015"/>
    <n v="806432"/>
    <m/>
    <m/>
    <n v="0"/>
    <m/>
    <m/>
    <n v="0"/>
    <m/>
    <m/>
    <m/>
    <m/>
    <m/>
    <m/>
    <n v="723015"/>
    <n v="806432"/>
  </r>
  <r>
    <x v="11"/>
    <x v="16"/>
    <s v="SC Tech College System Data Processing Support"/>
    <m/>
    <m/>
    <x v="12"/>
    <m/>
    <m/>
    <m/>
    <m/>
    <m/>
    <m/>
    <m/>
    <m/>
    <n v="0"/>
    <m/>
    <m/>
    <n v="0"/>
    <n v="0"/>
    <n v="0"/>
    <n v="1181370"/>
    <n v="813646"/>
    <m/>
    <m/>
    <n v="0"/>
    <m/>
    <m/>
    <n v="0"/>
    <m/>
    <m/>
    <m/>
    <m/>
    <m/>
    <m/>
    <n v="1181370"/>
    <n v="813646"/>
  </r>
  <r>
    <x v="11"/>
    <x v="16"/>
    <s v="Innovative Technical Training"/>
    <m/>
    <m/>
    <x v="12"/>
    <m/>
    <m/>
    <m/>
    <m/>
    <m/>
    <m/>
    <m/>
    <m/>
    <n v="0"/>
    <m/>
    <m/>
    <n v="0"/>
    <n v="0"/>
    <n v="0"/>
    <n v="20571"/>
    <n v="20571"/>
    <m/>
    <m/>
    <n v="0"/>
    <m/>
    <m/>
    <n v="0"/>
    <m/>
    <m/>
    <m/>
    <m/>
    <m/>
    <m/>
    <n v="20571"/>
    <n v="20571"/>
  </r>
  <r>
    <x v="11"/>
    <x v="16"/>
    <s v="SBTCE Special Schools (Economic Development)"/>
    <m/>
    <m/>
    <x v="12"/>
    <m/>
    <m/>
    <m/>
    <m/>
    <m/>
    <m/>
    <m/>
    <m/>
    <n v="0"/>
    <m/>
    <m/>
    <n v="0"/>
    <n v="0"/>
    <n v="0"/>
    <n v="4086634"/>
    <n v="2354584"/>
    <m/>
    <m/>
    <n v="0"/>
    <m/>
    <m/>
    <n v="0"/>
    <m/>
    <m/>
    <m/>
    <m/>
    <m/>
    <m/>
    <n v="4086634"/>
    <n v="2354584"/>
  </r>
  <r>
    <x v="11"/>
    <x v="17"/>
    <s v="Other Direct Training Costs"/>
    <m/>
    <m/>
    <x v="12"/>
    <m/>
    <m/>
    <m/>
    <m/>
    <m/>
    <m/>
    <m/>
    <m/>
    <m/>
    <m/>
    <m/>
    <m/>
    <m/>
    <m/>
    <m/>
    <n v="1023916"/>
    <m/>
    <m/>
    <m/>
    <m/>
    <m/>
    <m/>
    <m/>
    <m/>
    <m/>
    <m/>
    <m/>
    <m/>
    <m/>
    <m/>
  </r>
  <r>
    <x v="11"/>
    <x v="16"/>
    <s v="SBTCE CATT (NR)"/>
    <m/>
    <m/>
    <x v="12"/>
    <m/>
    <m/>
    <m/>
    <m/>
    <m/>
    <m/>
    <m/>
    <m/>
    <n v="0"/>
    <m/>
    <m/>
    <n v="0"/>
    <n v="0"/>
    <n v="0"/>
    <n v="2000000"/>
    <n v="7000000"/>
    <m/>
    <m/>
    <n v="0"/>
    <m/>
    <m/>
    <n v="0"/>
    <m/>
    <m/>
    <m/>
    <m/>
    <m/>
    <m/>
    <n v="2000000"/>
    <n v="7000000"/>
  </r>
  <r>
    <x v="11"/>
    <x v="17"/>
    <s v="SBTCE CATT"/>
    <m/>
    <m/>
    <x v="12"/>
    <m/>
    <m/>
    <m/>
    <m/>
    <m/>
    <m/>
    <m/>
    <m/>
    <m/>
    <m/>
    <m/>
    <m/>
    <m/>
    <m/>
    <m/>
    <n v="1000000"/>
    <m/>
    <m/>
    <m/>
    <m/>
    <m/>
    <m/>
    <m/>
    <m/>
    <m/>
    <m/>
    <m/>
    <m/>
    <m/>
    <m/>
  </r>
  <r>
    <x v="11"/>
    <x v="16"/>
    <s v="SBTCE Lottery Technology - Technology Initiative (NR)"/>
    <m/>
    <m/>
    <x v="12"/>
    <m/>
    <m/>
    <m/>
    <m/>
    <m/>
    <m/>
    <m/>
    <m/>
    <n v="0"/>
    <m/>
    <m/>
    <n v="0"/>
    <n v="0"/>
    <n v="0"/>
    <m/>
    <n v="0"/>
    <m/>
    <m/>
    <n v="0"/>
    <m/>
    <m/>
    <n v="0"/>
    <m/>
    <m/>
    <m/>
    <m/>
    <m/>
    <m/>
    <n v="0"/>
    <n v="0"/>
  </r>
  <r>
    <x v="11"/>
    <x v="17"/>
    <s v="National or regional associations, compacts or consortia"/>
    <m/>
    <m/>
    <x v="12"/>
    <m/>
    <m/>
    <m/>
    <m/>
    <m/>
    <m/>
    <m/>
    <m/>
    <n v="0"/>
    <m/>
    <m/>
    <n v="0"/>
    <n v="0"/>
    <n v="0"/>
    <m/>
    <m/>
    <m/>
    <m/>
    <n v="0"/>
    <m/>
    <m/>
    <n v="0"/>
    <m/>
    <m/>
    <m/>
    <m/>
    <m/>
    <m/>
    <n v="0"/>
    <n v="0"/>
  </r>
  <r>
    <x v="11"/>
    <x v="17"/>
    <s v="SREB"/>
    <m/>
    <m/>
    <x v="12"/>
    <m/>
    <m/>
    <m/>
    <m/>
    <m/>
    <m/>
    <m/>
    <m/>
    <n v="0"/>
    <m/>
    <m/>
    <n v="0"/>
    <n v="0"/>
    <n v="0"/>
    <n v="193092"/>
    <n v="193550"/>
    <m/>
    <m/>
    <n v="0"/>
    <m/>
    <m/>
    <n v="0"/>
    <m/>
    <m/>
    <m/>
    <m/>
    <m/>
    <m/>
    <n v="193092"/>
    <n v="19355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4112500"/>
    <n v="3000000"/>
    <m/>
    <m/>
    <n v="0"/>
    <m/>
    <m/>
    <n v="0"/>
    <m/>
    <m/>
    <m/>
    <m/>
    <m/>
    <m/>
    <n v="4112500"/>
    <n v="3000000"/>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283135"/>
    <n v="355580"/>
    <m/>
    <m/>
    <n v="0"/>
    <m/>
    <m/>
    <n v="0"/>
    <m/>
    <m/>
    <m/>
    <m/>
    <m/>
    <m/>
    <n v="283135"/>
    <n v="355580"/>
  </r>
  <r>
    <x v="11"/>
    <x v="21"/>
    <s v="Southern College of Optometry"/>
    <m/>
    <m/>
    <x v="12"/>
    <m/>
    <m/>
    <m/>
    <m/>
    <m/>
    <m/>
    <m/>
    <m/>
    <n v="0"/>
    <m/>
    <m/>
    <n v="0"/>
    <n v="0"/>
    <n v="0"/>
    <n v="150116"/>
    <n v="81695"/>
    <m/>
    <m/>
    <n v="0"/>
    <m/>
    <m/>
    <n v="0"/>
    <m/>
    <m/>
    <m/>
    <m/>
    <m/>
    <m/>
    <n v="150116"/>
    <n v="81695"/>
  </r>
  <r>
    <x v="11"/>
    <x v="22"/>
    <s v="SREB contract program with public colleges"/>
    <m/>
    <m/>
    <x v="12"/>
    <m/>
    <m/>
    <m/>
    <m/>
    <m/>
    <m/>
    <m/>
    <m/>
    <n v="0"/>
    <m/>
    <m/>
    <n v="0"/>
    <n v="0"/>
    <n v="0"/>
    <m/>
    <m/>
    <m/>
    <m/>
    <n v="0"/>
    <m/>
    <m/>
    <n v="0"/>
    <m/>
    <m/>
    <m/>
    <m/>
    <m/>
    <m/>
    <n v="0"/>
    <n v="0"/>
  </r>
  <r>
    <x v="11"/>
    <x v="22"/>
    <s v="University of Alabama at Birmingham (Optometry)"/>
    <m/>
    <m/>
    <x v="12"/>
    <m/>
    <m/>
    <m/>
    <m/>
    <m/>
    <m/>
    <m/>
    <m/>
    <n v="0"/>
    <m/>
    <m/>
    <n v="0"/>
    <n v="0"/>
    <n v="0"/>
    <n v="87568"/>
    <n v="108927"/>
    <m/>
    <m/>
    <n v="0"/>
    <m/>
    <m/>
    <n v="0"/>
    <m/>
    <m/>
    <m/>
    <m/>
    <m/>
    <m/>
    <n v="87568"/>
    <n v="108927"/>
  </r>
  <r>
    <x v="11"/>
    <x v="22"/>
    <s v="University of Georgia (Veterinary Medicine)"/>
    <m/>
    <m/>
    <x v="12"/>
    <m/>
    <m/>
    <m/>
    <m/>
    <m/>
    <m/>
    <m/>
    <m/>
    <n v="0"/>
    <m/>
    <m/>
    <n v="0"/>
    <n v="0"/>
    <n v="0"/>
    <n v="1459233"/>
    <n v="1564553"/>
    <m/>
    <m/>
    <n v="0"/>
    <m/>
    <m/>
    <n v="0"/>
    <m/>
    <m/>
    <m/>
    <m/>
    <m/>
    <m/>
    <n v="1459233"/>
    <n v="1564553"/>
  </r>
  <r>
    <x v="11"/>
    <x v="22"/>
    <s v="Mississippi State University (Veterinary Medicine)"/>
    <m/>
    <m/>
    <x v="12"/>
    <m/>
    <m/>
    <m/>
    <m/>
    <m/>
    <m/>
    <m/>
    <m/>
    <n v="0"/>
    <m/>
    <m/>
    <n v="0"/>
    <n v="0"/>
    <n v="0"/>
    <n v="435592"/>
    <n v="474107"/>
    <m/>
    <m/>
    <n v="0"/>
    <m/>
    <m/>
    <n v="0"/>
    <m/>
    <m/>
    <m/>
    <m/>
    <m/>
    <m/>
    <n v="435592"/>
    <n v="474107"/>
  </r>
  <r>
    <x v="11"/>
    <x v="23"/>
    <s v="Other contract education programs"/>
    <m/>
    <m/>
    <x v="12"/>
    <m/>
    <m/>
    <m/>
    <m/>
    <m/>
    <m/>
    <m/>
    <m/>
    <n v="0"/>
    <m/>
    <m/>
    <n v="0"/>
    <n v="0"/>
    <n v="0"/>
    <m/>
    <m/>
    <m/>
    <m/>
    <n v="0"/>
    <m/>
    <m/>
    <n v="0"/>
    <m/>
    <m/>
    <m/>
    <m/>
    <m/>
    <m/>
    <n v="0"/>
    <n v="0"/>
  </r>
  <r>
    <x v="11"/>
    <x v="23"/>
    <s v="Doctoral Scholars Program"/>
    <m/>
    <m/>
    <x v="12"/>
    <m/>
    <m/>
    <m/>
    <m/>
    <m/>
    <m/>
    <m/>
    <m/>
    <n v="0"/>
    <m/>
    <m/>
    <n v="0"/>
    <n v="0"/>
    <n v="0"/>
    <n v="269995"/>
    <n v="293868"/>
    <m/>
    <m/>
    <n v="0"/>
    <m/>
    <m/>
    <n v="0"/>
    <m/>
    <m/>
    <m/>
    <m/>
    <m/>
    <m/>
    <n v="269995"/>
    <n v="293868"/>
  </r>
  <r>
    <x v="11"/>
    <x v="23"/>
    <s v="North Carolina School of the Arts"/>
    <m/>
    <m/>
    <x v="12"/>
    <m/>
    <m/>
    <m/>
    <m/>
    <m/>
    <m/>
    <m/>
    <m/>
    <n v="0"/>
    <m/>
    <m/>
    <n v="0"/>
    <n v="0"/>
    <n v="0"/>
    <n v="7422"/>
    <n v="7422"/>
    <m/>
    <m/>
    <n v="0"/>
    <m/>
    <m/>
    <n v="0"/>
    <m/>
    <m/>
    <m/>
    <m/>
    <m/>
    <m/>
    <n v="7422"/>
    <n v="7422"/>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27194081.42099641"/>
    <n v="141913982"/>
    <m/>
    <m/>
    <n v="0"/>
    <m/>
    <m/>
    <n v="0"/>
    <m/>
    <m/>
    <m/>
    <m/>
    <m/>
    <m/>
    <n v="127194081.42099641"/>
    <n v="141913982"/>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9094907.579003591"/>
    <n v="31222380"/>
    <m/>
    <m/>
    <n v="0"/>
    <m/>
    <m/>
    <n v="0"/>
    <m/>
    <m/>
    <m/>
    <m/>
    <m/>
    <m/>
    <n v="29094907.579003591"/>
    <n v="31222380"/>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6339352.646517538"/>
    <n v="46299886"/>
    <m/>
    <m/>
    <n v="0"/>
    <m/>
    <m/>
    <n v="0"/>
    <m/>
    <m/>
    <m/>
    <m/>
    <m/>
    <m/>
    <n v="46339352.646517538"/>
    <n v="4629988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660647.35348246421"/>
    <n v="700114"/>
    <m/>
    <m/>
    <n v="0"/>
    <m/>
    <m/>
    <n v="0"/>
    <m/>
    <m/>
    <m/>
    <m/>
    <m/>
    <m/>
    <n v="660647.35348246421"/>
    <n v="700114"/>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2156258.942205749"/>
    <n v="32244816"/>
    <m/>
    <m/>
    <n v="0"/>
    <m/>
    <m/>
    <n v="0"/>
    <m/>
    <m/>
    <m/>
    <m/>
    <m/>
    <m/>
    <n v="32156258.942205749"/>
    <n v="3224481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10120981.057794252"/>
    <n v="10032424"/>
    <m/>
    <m/>
    <n v="0"/>
    <m/>
    <m/>
    <n v="0"/>
    <m/>
    <m/>
    <m/>
    <m/>
    <m/>
    <m/>
    <n v="10120981.057794252"/>
    <n v="10032424"/>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5368733.4993156726"/>
    <n v="5985737"/>
    <m/>
    <m/>
    <n v="0"/>
    <m/>
    <m/>
    <n v="0"/>
    <m/>
    <m/>
    <m/>
    <m/>
    <m/>
    <m/>
    <n v="5368733.4993156726"/>
    <n v="5985737"/>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454740.5006843279"/>
    <n v="2269464"/>
    <m/>
    <m/>
    <n v="0"/>
    <m/>
    <m/>
    <n v="0"/>
    <m/>
    <m/>
    <m/>
    <m/>
    <m/>
    <m/>
    <n v="2454740.5006843279"/>
    <n v="2269464"/>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19862906.429579724"/>
    <n v="19187764"/>
    <m/>
    <m/>
    <n v="0"/>
    <m/>
    <m/>
    <n v="0"/>
    <m/>
    <m/>
    <m/>
    <m/>
    <m/>
    <m/>
    <n v="19862906.429579724"/>
    <n v="19187764"/>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5268659.5704202773"/>
    <n v="4443802"/>
    <m/>
    <m/>
    <n v="0"/>
    <m/>
    <m/>
    <n v="0"/>
    <m/>
    <m/>
    <m/>
    <m/>
    <m/>
    <m/>
    <n v="5268659.5704202773"/>
    <n v="4443802"/>
  </r>
  <r>
    <x v="11"/>
    <x v="33"/>
    <s v="Non need-based"/>
    <m/>
    <m/>
    <x v="12"/>
    <m/>
    <m/>
    <m/>
    <m/>
    <m/>
    <m/>
    <m/>
    <m/>
    <n v="0"/>
    <m/>
    <m/>
    <n v="0"/>
    <n v="0"/>
    <n v="0"/>
    <m/>
    <m/>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1700000"/>
    <m/>
    <m/>
    <n v="0"/>
    <m/>
    <m/>
    <n v="0"/>
    <m/>
    <m/>
    <m/>
    <m/>
    <m/>
    <m/>
    <n v="1700000"/>
    <n v="1700000"/>
  </r>
  <r>
    <x v="11"/>
    <x v="25"/>
    <s v="National Guard Tuition Repayment Program"/>
    <m/>
    <m/>
    <x v="12"/>
    <m/>
    <m/>
    <m/>
    <m/>
    <m/>
    <m/>
    <m/>
    <m/>
    <n v="0"/>
    <m/>
    <m/>
    <n v="0"/>
    <n v="0"/>
    <n v="0"/>
    <m/>
    <m/>
    <m/>
    <m/>
    <n v="0"/>
    <m/>
    <m/>
    <n v="0"/>
    <m/>
    <m/>
    <m/>
    <m/>
    <m/>
    <m/>
    <n v="0"/>
    <n v="0"/>
  </r>
  <r>
    <x v="11"/>
    <x v="25"/>
    <s v="National Guard Tuition Repayment  Prog. Lottery"/>
    <m/>
    <m/>
    <x v="12"/>
    <m/>
    <m/>
    <m/>
    <m/>
    <m/>
    <m/>
    <m/>
    <m/>
    <n v="0"/>
    <m/>
    <m/>
    <n v="0"/>
    <n v="0"/>
    <n v="0"/>
    <m/>
    <m/>
    <m/>
    <m/>
    <n v="0"/>
    <m/>
    <m/>
    <n v="0"/>
    <m/>
    <m/>
    <m/>
    <m/>
    <m/>
    <m/>
    <n v="0"/>
    <n v="0"/>
  </r>
  <r>
    <x v="11"/>
    <x v="25"/>
    <s v="National Guard Tuition Repayment  Prog. Lottery (NR)"/>
    <m/>
    <m/>
    <x v="12"/>
    <m/>
    <m/>
    <m/>
    <m/>
    <m/>
    <m/>
    <m/>
    <m/>
    <n v="0"/>
    <m/>
    <m/>
    <n v="0"/>
    <n v="0"/>
    <n v="0"/>
    <m/>
    <m/>
    <m/>
    <m/>
    <n v="0"/>
    <m/>
    <m/>
    <n v="0"/>
    <m/>
    <m/>
    <m/>
    <m/>
    <m/>
    <m/>
    <n v="0"/>
    <n v="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536855"/>
    <n v="29560426"/>
    <m/>
    <m/>
    <n v="0"/>
    <m/>
    <m/>
    <n v="0"/>
    <m/>
    <m/>
    <m/>
    <m/>
    <m/>
    <m/>
    <n v="29536855"/>
    <n v="29560426"/>
  </r>
  <r>
    <x v="11"/>
    <x v="39"/>
    <s v="Non need-based"/>
    <m/>
    <m/>
    <x v="12"/>
    <m/>
    <m/>
    <m/>
    <m/>
    <m/>
    <m/>
    <m/>
    <m/>
    <n v="0"/>
    <m/>
    <m/>
    <n v="0"/>
    <n v="0"/>
    <n v="0"/>
    <m/>
    <m/>
    <m/>
    <m/>
    <n v="0"/>
    <m/>
    <m/>
    <n v="0"/>
    <m/>
    <m/>
    <m/>
    <m/>
    <m/>
    <m/>
    <n v="0"/>
    <n v="0"/>
  </r>
  <r>
    <x v="12"/>
    <x v="0"/>
    <s v="University of Memphis"/>
    <m/>
    <n v="220862"/>
    <x v="0"/>
    <n v="111306144"/>
    <n v="128551859"/>
    <m/>
    <m/>
    <m/>
    <m/>
    <n v="121381948"/>
    <n v="3975100"/>
    <n v="125357048"/>
    <n v="133193148"/>
    <n v="4255136"/>
    <n v="137448284"/>
    <n v="232688092"/>
    <n v="261745007"/>
    <m/>
    <m/>
    <m/>
    <m/>
    <n v="0"/>
    <m/>
    <m/>
    <n v="0"/>
    <m/>
    <m/>
    <m/>
    <m/>
    <m/>
    <m/>
    <n v="232688092"/>
    <n v="261745007"/>
  </r>
  <r>
    <x v="12"/>
    <x v="0"/>
    <s v="University of Tennessee, Knoxville"/>
    <m/>
    <n v="221759"/>
    <x v="0"/>
    <n v="174104500"/>
    <n v="209275536.13881433"/>
    <m/>
    <m/>
    <m/>
    <m/>
    <n v="202582000"/>
    <n v="1100000"/>
    <n v="203682000"/>
    <n v="217544500"/>
    <n v="1100124"/>
    <n v="218644624"/>
    <n v="376686500"/>
    <n v="426820036.13881433"/>
    <m/>
    <m/>
    <m/>
    <m/>
    <n v="0"/>
    <m/>
    <m/>
    <n v="0"/>
    <m/>
    <m/>
    <m/>
    <m/>
    <m/>
    <m/>
    <n v="376686500"/>
    <n v="426820036.13881433"/>
  </r>
  <r>
    <x v="12"/>
    <x v="3"/>
    <s v="Community/Public Service Units"/>
    <m/>
    <n v="221759"/>
    <x v="0"/>
    <m/>
    <m/>
    <m/>
    <m/>
    <m/>
    <m/>
    <m/>
    <m/>
    <n v="0"/>
    <m/>
    <m/>
    <n v="0"/>
    <n v="0"/>
    <n v="0"/>
    <m/>
    <m/>
    <m/>
    <m/>
    <n v="0"/>
    <m/>
    <m/>
    <n v="0"/>
    <m/>
    <m/>
    <m/>
    <m/>
    <m/>
    <m/>
    <n v="0"/>
    <n v="0"/>
  </r>
  <r>
    <x v="12"/>
    <x v="3"/>
    <s v="Municipal Technology Advisory Service"/>
    <m/>
    <n v="221759"/>
    <x v="0"/>
    <m/>
    <m/>
    <n v="2645300"/>
    <n v="2791439"/>
    <m/>
    <m/>
    <m/>
    <m/>
    <n v="0"/>
    <m/>
    <m/>
    <n v="0"/>
    <n v="2645300"/>
    <n v="2791439"/>
    <m/>
    <m/>
    <m/>
    <m/>
    <n v="0"/>
    <m/>
    <m/>
    <n v="0"/>
    <m/>
    <m/>
    <m/>
    <m/>
    <m/>
    <m/>
    <n v="2645300"/>
    <n v="2791439"/>
  </r>
  <r>
    <x v="12"/>
    <x v="3"/>
    <s v="County Technology Advisory Service"/>
    <m/>
    <n v="221759"/>
    <x v="0"/>
    <m/>
    <m/>
    <n v="1548100"/>
    <n v="1656339"/>
    <m/>
    <m/>
    <m/>
    <m/>
    <n v="0"/>
    <m/>
    <m/>
    <n v="0"/>
    <n v="1548100"/>
    <n v="1656339"/>
    <m/>
    <m/>
    <m/>
    <m/>
    <n v="0"/>
    <m/>
    <m/>
    <n v="0"/>
    <m/>
    <m/>
    <m/>
    <m/>
    <m/>
    <m/>
    <n v="1548100"/>
    <n v="1656339"/>
  </r>
  <r>
    <x v="12"/>
    <x v="3"/>
    <s v="Institute for Public Service"/>
    <m/>
    <n v="221759"/>
    <x v="0"/>
    <m/>
    <m/>
    <n v="4796600"/>
    <n v="4798857"/>
    <m/>
    <m/>
    <m/>
    <m/>
    <n v="0"/>
    <m/>
    <m/>
    <n v="0"/>
    <n v="4796600"/>
    <n v="4798857"/>
    <m/>
    <m/>
    <m/>
    <m/>
    <n v="0"/>
    <m/>
    <m/>
    <n v="0"/>
    <m/>
    <m/>
    <m/>
    <m/>
    <m/>
    <m/>
    <n v="4796600"/>
    <n v="4798857"/>
  </r>
  <r>
    <x v="12"/>
    <x v="5"/>
    <s v="Agricultural cooperative extension"/>
    <m/>
    <n v="221759"/>
    <x v="0"/>
    <m/>
    <m/>
    <n v="29085000"/>
    <n v="30509976"/>
    <m/>
    <m/>
    <m/>
    <m/>
    <n v="0"/>
    <m/>
    <m/>
    <n v="0"/>
    <n v="29085000"/>
    <n v="30509976"/>
    <m/>
    <m/>
    <m/>
    <m/>
    <n v="0"/>
    <m/>
    <m/>
    <n v="0"/>
    <m/>
    <m/>
    <m/>
    <m/>
    <m/>
    <m/>
    <n v="29085000"/>
    <n v="30509976"/>
  </r>
  <r>
    <x v="12"/>
    <x v="6"/>
    <s v="Agricultural experiment stations"/>
    <m/>
    <n v="221759"/>
    <x v="0"/>
    <m/>
    <m/>
    <n v="24257200"/>
    <n v="25470415"/>
    <m/>
    <m/>
    <m/>
    <m/>
    <n v="0"/>
    <m/>
    <m/>
    <n v="0"/>
    <n v="24257200"/>
    <n v="25470415"/>
    <m/>
    <m/>
    <m/>
    <m/>
    <n v="0"/>
    <m/>
    <m/>
    <n v="0"/>
    <m/>
    <m/>
    <m/>
    <m/>
    <m/>
    <m/>
    <n v="24257200"/>
    <n v="25470415"/>
  </r>
  <r>
    <x v="12"/>
    <x v="0"/>
    <s v="East Tennessee State University "/>
    <m/>
    <n v="220075"/>
    <x v="2"/>
    <n v="54010592.770000003"/>
    <n v="64152640"/>
    <m/>
    <m/>
    <m/>
    <m/>
    <n v="75036540"/>
    <n v="2566000"/>
    <n v="77602540"/>
    <n v="83893100"/>
    <n v="2561000"/>
    <n v="86454100"/>
    <n v="129047132.77000001"/>
    <n v="148045740"/>
    <m/>
    <m/>
    <m/>
    <m/>
    <n v="0"/>
    <m/>
    <m/>
    <n v="0"/>
    <m/>
    <m/>
    <m/>
    <m/>
    <m/>
    <m/>
    <n v="129047132.77000001"/>
    <n v="148045740"/>
  </r>
  <r>
    <x v="12"/>
    <x v="1"/>
    <s v="Medical School"/>
    <m/>
    <n v="220075"/>
    <x v="2"/>
    <m/>
    <m/>
    <m/>
    <m/>
    <m/>
    <m/>
    <m/>
    <m/>
    <n v="0"/>
    <m/>
    <m/>
    <n v="0"/>
    <n v="0"/>
    <n v="0"/>
    <m/>
    <m/>
    <m/>
    <m/>
    <n v="0"/>
    <m/>
    <m/>
    <n v="0"/>
    <n v="32847900"/>
    <n v="35148900"/>
    <n v="6722300"/>
    <n v="123300"/>
    <n v="7530100"/>
    <n v="128400"/>
    <n v="39570200"/>
    <n v="42679000"/>
  </r>
  <r>
    <x v="12"/>
    <x v="0"/>
    <s v="Middle Tennessee State University "/>
    <m/>
    <n v="220978"/>
    <x v="2"/>
    <n v="85052853"/>
    <n v="101858466"/>
    <m/>
    <m/>
    <m/>
    <m/>
    <n v="127643918"/>
    <n v="8825000"/>
    <n v="136468918"/>
    <n v="141819541"/>
    <n v="9125000"/>
    <n v="150944541"/>
    <n v="212696771"/>
    <n v="243678007"/>
    <m/>
    <m/>
    <m/>
    <m/>
    <n v="0"/>
    <m/>
    <m/>
    <n v="0"/>
    <m/>
    <m/>
    <m/>
    <m/>
    <m/>
    <m/>
    <n v="212696771"/>
    <n v="243678007"/>
  </r>
  <r>
    <x v="12"/>
    <x v="0"/>
    <s v="Tennessee Technological University "/>
    <m/>
    <n v="221847"/>
    <x v="2"/>
    <n v="46023724.539999999"/>
    <n v="53245700"/>
    <m/>
    <m/>
    <m/>
    <m/>
    <n v="54640160"/>
    <n v="550900"/>
    <n v="55191060"/>
    <n v="59195900"/>
    <n v="564400"/>
    <n v="59760300"/>
    <n v="100663884.53999999"/>
    <n v="112441600"/>
    <m/>
    <m/>
    <m/>
    <m/>
    <n v="0"/>
    <m/>
    <m/>
    <n v="0"/>
    <m/>
    <m/>
    <m/>
    <m/>
    <m/>
    <m/>
    <n v="100663884.53999999"/>
    <n v="112441600"/>
  </r>
  <r>
    <x v="12"/>
    <x v="0"/>
    <s v="Tennessee State University "/>
    <s v="Met the criteria for Four-Year 2 in 2009-10 and 2010-11."/>
    <n v="221838"/>
    <x v="2"/>
    <n v="37112504"/>
    <n v="44986076"/>
    <m/>
    <m/>
    <m/>
    <m/>
    <n v="55227500"/>
    <n v="1350000"/>
    <n v="56577500"/>
    <n v="58755000"/>
    <n v="1549800"/>
    <n v="60304800"/>
    <n v="92340004"/>
    <n v="103741076"/>
    <m/>
    <m/>
    <m/>
    <m/>
    <n v="0"/>
    <m/>
    <m/>
    <n v="0"/>
    <m/>
    <m/>
    <m/>
    <m/>
    <m/>
    <m/>
    <n v="92340004"/>
    <n v="103741076"/>
  </r>
  <r>
    <x v="12"/>
    <x v="5"/>
    <s v="Agricultural experiment stations"/>
    <m/>
    <n v="221838"/>
    <x v="2"/>
    <m/>
    <m/>
    <m/>
    <m/>
    <m/>
    <m/>
    <m/>
    <m/>
    <n v="0"/>
    <m/>
    <m/>
    <n v="0"/>
    <n v="0"/>
    <n v="0"/>
    <m/>
    <m/>
    <m/>
    <m/>
    <n v="0"/>
    <m/>
    <m/>
    <n v="0"/>
    <m/>
    <m/>
    <m/>
    <m/>
    <m/>
    <m/>
    <n v="0"/>
    <n v="0"/>
  </r>
  <r>
    <x v="12"/>
    <x v="5"/>
    <s v="McMinnville Center Station"/>
    <m/>
    <n v="221838"/>
    <x v="2"/>
    <m/>
    <m/>
    <n v="521500"/>
    <n v="570600"/>
    <m/>
    <m/>
    <m/>
    <m/>
    <n v="0"/>
    <m/>
    <m/>
    <n v="0"/>
    <n v="521500"/>
    <n v="570600"/>
    <m/>
    <m/>
    <m/>
    <m/>
    <n v="0"/>
    <m/>
    <m/>
    <n v="0"/>
    <m/>
    <m/>
    <m/>
    <m/>
    <m/>
    <m/>
    <n v="521500"/>
    <n v="570600"/>
  </r>
  <r>
    <x v="12"/>
    <x v="5"/>
    <s v="TSU Institute of Agr and Environmental Research"/>
    <m/>
    <n v="221838"/>
    <x v="2"/>
    <m/>
    <m/>
    <n v="2179200"/>
    <n v="2324700"/>
    <m/>
    <m/>
    <m/>
    <m/>
    <n v="0"/>
    <m/>
    <m/>
    <n v="0"/>
    <n v="2179200"/>
    <n v="2324700"/>
    <m/>
    <m/>
    <m/>
    <m/>
    <n v="0"/>
    <m/>
    <m/>
    <n v="0"/>
    <m/>
    <m/>
    <m/>
    <m/>
    <m/>
    <m/>
    <n v="2179200"/>
    <n v="2324700"/>
  </r>
  <r>
    <x v="12"/>
    <x v="5"/>
    <s v="TSU Cooperative Education"/>
    <m/>
    <n v="221838"/>
    <x v="2"/>
    <m/>
    <m/>
    <n v="2433200"/>
    <n v="3067700"/>
    <m/>
    <m/>
    <m/>
    <m/>
    <n v="0"/>
    <m/>
    <m/>
    <n v="0"/>
    <n v="2433200"/>
    <n v="3067700"/>
    <m/>
    <m/>
    <m/>
    <m/>
    <n v="0"/>
    <m/>
    <m/>
    <n v="0"/>
    <m/>
    <m/>
    <m/>
    <m/>
    <m/>
    <m/>
    <n v="2433200"/>
    <n v="3067700"/>
  </r>
  <r>
    <x v="12"/>
    <x v="5"/>
    <s v="TSU McIntire-Stennis Forestry Research"/>
    <m/>
    <n v="221838"/>
    <x v="2"/>
    <m/>
    <m/>
    <n v="185400"/>
    <n v="171900"/>
    <m/>
    <m/>
    <m/>
    <m/>
    <n v="0"/>
    <m/>
    <m/>
    <n v="0"/>
    <n v="185400"/>
    <n v="171900"/>
    <m/>
    <m/>
    <m/>
    <m/>
    <n v="0"/>
    <m/>
    <m/>
    <n v="0"/>
    <m/>
    <m/>
    <m/>
    <m/>
    <m/>
    <m/>
    <n v="185400"/>
    <n v="171900"/>
  </r>
  <r>
    <x v="12"/>
    <x v="0"/>
    <s v="University of Tennessee at Chattanooga"/>
    <m/>
    <n v="221740"/>
    <x v="2"/>
    <n v="40994800"/>
    <n v="47625853.15269576"/>
    <m/>
    <m/>
    <m/>
    <m/>
    <n v="48953656"/>
    <n v="2500000"/>
    <n v="51453656"/>
    <n v="55022239"/>
    <n v="2500000"/>
    <n v="57522239"/>
    <n v="89948456"/>
    <n v="102648092.15269576"/>
    <m/>
    <m/>
    <m/>
    <m/>
    <n v="0"/>
    <m/>
    <m/>
    <n v="0"/>
    <m/>
    <m/>
    <m/>
    <m/>
    <m/>
    <m/>
    <n v="89948456"/>
    <n v="102648092.15269576"/>
  </r>
  <r>
    <x v="12"/>
    <x v="0"/>
    <s v="Austin Peay State University "/>
    <s v="Reclassified: met the criteria for Four-Year 3 in 2008-09, 2009-10 and 2010-11."/>
    <n v="219602"/>
    <x v="2"/>
    <n v="31202500"/>
    <n v="37118400"/>
    <m/>
    <m/>
    <m/>
    <m/>
    <n v="46568700"/>
    <n v="1630000"/>
    <n v="48198700"/>
    <n v="55211100"/>
    <n v="2147100"/>
    <n v="57358200"/>
    <n v="77771200"/>
    <n v="92329500"/>
    <m/>
    <m/>
    <m/>
    <m/>
    <n v="0"/>
    <m/>
    <m/>
    <n v="0"/>
    <m/>
    <m/>
    <m/>
    <m/>
    <m/>
    <m/>
    <n v="77771200"/>
    <n v="92329500"/>
  </r>
  <r>
    <x v="12"/>
    <x v="0"/>
    <s v="University of Tennessee at Martin"/>
    <m/>
    <n v="221768"/>
    <x v="4"/>
    <n v="29114100"/>
    <n v="34093355.342817701"/>
    <m/>
    <m/>
    <m/>
    <m/>
    <n v="39342000"/>
    <n v="1800000"/>
    <n v="41142000"/>
    <n v="43458000"/>
    <n v="2500000"/>
    <n v="45958000"/>
    <n v="68456100"/>
    <n v="77551355.342817694"/>
    <m/>
    <m/>
    <m/>
    <m/>
    <n v="0"/>
    <m/>
    <m/>
    <n v="0"/>
    <m/>
    <m/>
    <m/>
    <m/>
    <m/>
    <m/>
    <n v="68456100"/>
    <n v="77551355.342817694"/>
  </r>
  <r>
    <x v="12"/>
    <x v="0"/>
    <s v="Chattanooga State Technical Community College "/>
    <m/>
    <n v="219824"/>
    <x v="6"/>
    <n v="22475500"/>
    <n v="25688562"/>
    <m/>
    <m/>
    <m/>
    <m/>
    <n v="24905000"/>
    <m/>
    <n v="24905000"/>
    <n v="29000000"/>
    <m/>
    <n v="29000000"/>
    <n v="47380500"/>
    <n v="54688562"/>
    <m/>
    <m/>
    <m/>
    <m/>
    <n v="0"/>
    <m/>
    <m/>
    <n v="0"/>
    <m/>
    <m/>
    <m/>
    <m/>
    <m/>
    <m/>
    <n v="47380500"/>
    <n v="54688562"/>
  </r>
  <r>
    <x v="12"/>
    <x v="0"/>
    <s v="Pellissippi State Technical Community College"/>
    <m/>
    <n v="221643"/>
    <x v="6"/>
    <n v="19270324"/>
    <n v="22227320"/>
    <m/>
    <m/>
    <m/>
    <m/>
    <n v="25000000"/>
    <n v="275000"/>
    <n v="25275000"/>
    <n v="30350000"/>
    <n v="310000"/>
    <n v="30660000"/>
    <n v="44270324"/>
    <n v="52577320"/>
    <m/>
    <m/>
    <m/>
    <m/>
    <n v="0"/>
    <m/>
    <m/>
    <n v="0"/>
    <m/>
    <m/>
    <m/>
    <m/>
    <m/>
    <m/>
    <n v="44270324"/>
    <n v="52577320"/>
  </r>
  <r>
    <x v="12"/>
    <x v="0"/>
    <s v="Southwest Tennessee Community College"/>
    <m/>
    <n v="221485"/>
    <x v="6"/>
    <n v="36365700"/>
    <n v="40551000"/>
    <m/>
    <m/>
    <m/>
    <m/>
    <n v="32570500"/>
    <m/>
    <n v="32570500"/>
    <n v="34582600"/>
    <m/>
    <n v="34582600"/>
    <n v="68936200"/>
    <n v="75133600"/>
    <m/>
    <m/>
    <m/>
    <m/>
    <n v="0"/>
    <m/>
    <m/>
    <n v="0"/>
    <m/>
    <m/>
    <m/>
    <m/>
    <m/>
    <m/>
    <n v="68936200"/>
    <n v="75133600"/>
  </r>
  <r>
    <x v="12"/>
    <x v="0"/>
    <s v="Cleveland State Community College "/>
    <m/>
    <n v="219879"/>
    <x v="7"/>
    <n v="9942100"/>
    <n v="11129950"/>
    <m/>
    <m/>
    <m/>
    <m/>
    <n v="8478500"/>
    <m/>
    <n v="8478500"/>
    <n v="9794900"/>
    <m/>
    <n v="9794900"/>
    <n v="18420600"/>
    <n v="20924850"/>
    <m/>
    <m/>
    <m/>
    <m/>
    <n v="0"/>
    <m/>
    <m/>
    <n v="0"/>
    <m/>
    <m/>
    <m/>
    <m/>
    <m/>
    <m/>
    <n v="18420600"/>
    <n v="20924850"/>
  </r>
  <r>
    <x v="12"/>
    <x v="0"/>
    <s v="Columbia State Community College "/>
    <m/>
    <n v="219888"/>
    <x v="7"/>
    <n v="12775200"/>
    <n v="14354400"/>
    <m/>
    <m/>
    <m/>
    <m/>
    <n v="12401200"/>
    <m/>
    <n v="12401200"/>
    <n v="13576800"/>
    <m/>
    <n v="13576800"/>
    <n v="25176400"/>
    <n v="27931200"/>
    <m/>
    <m/>
    <m/>
    <m/>
    <n v="0"/>
    <m/>
    <m/>
    <n v="0"/>
    <m/>
    <m/>
    <m/>
    <m/>
    <m/>
    <m/>
    <n v="25176400"/>
    <n v="27931200"/>
  </r>
  <r>
    <x v="12"/>
    <x v="0"/>
    <s v="Jackson State Community College "/>
    <m/>
    <n v="220400"/>
    <x v="7"/>
    <n v="11805600"/>
    <n v="13352900"/>
    <m/>
    <m/>
    <m/>
    <m/>
    <n v="13116100"/>
    <m/>
    <n v="13116100"/>
    <n v="14102900"/>
    <m/>
    <n v="14102900"/>
    <n v="24921700"/>
    <n v="27455800"/>
    <m/>
    <m/>
    <m/>
    <m/>
    <n v="0"/>
    <m/>
    <m/>
    <n v="0"/>
    <m/>
    <m/>
    <m/>
    <m/>
    <m/>
    <m/>
    <n v="24921700"/>
    <n v="27455800"/>
  </r>
  <r>
    <x v="12"/>
    <x v="0"/>
    <s v="Motlow State Community College "/>
    <m/>
    <n v="221096"/>
    <x v="7"/>
    <n v="9771300"/>
    <n v="11170300"/>
    <m/>
    <m/>
    <m/>
    <m/>
    <n v="11411000"/>
    <m/>
    <n v="11411000"/>
    <n v="12645000"/>
    <m/>
    <n v="12645000"/>
    <n v="21182300"/>
    <n v="23815300"/>
    <m/>
    <m/>
    <m/>
    <m/>
    <n v="0"/>
    <m/>
    <m/>
    <n v="0"/>
    <m/>
    <m/>
    <m/>
    <m/>
    <m/>
    <m/>
    <n v="21182300"/>
    <n v="23815300"/>
  </r>
  <r>
    <x v="12"/>
    <x v="0"/>
    <s v="Nashville State Technical Community College"/>
    <s v="Met the criteria for Two-year 1 in 2009-10 and 2010-11."/>
    <n v="221184"/>
    <x v="7"/>
    <n v="14244100"/>
    <n v="16587600"/>
    <m/>
    <m/>
    <m/>
    <m/>
    <n v="18845100"/>
    <m/>
    <n v="18845100"/>
    <n v="23753570"/>
    <m/>
    <n v="23753570"/>
    <n v="33089200"/>
    <n v="40341170"/>
    <m/>
    <m/>
    <m/>
    <m/>
    <n v="0"/>
    <m/>
    <m/>
    <n v="0"/>
    <m/>
    <m/>
    <m/>
    <m/>
    <m/>
    <m/>
    <n v="33089200"/>
    <n v="40341170"/>
  </r>
  <r>
    <x v="12"/>
    <x v="0"/>
    <s v="Northeast State Technical Community College"/>
    <m/>
    <n v="221908"/>
    <x v="7"/>
    <n v="11717500"/>
    <n v="13415700"/>
    <m/>
    <m/>
    <m/>
    <m/>
    <n v="13405400"/>
    <m/>
    <n v="13405400"/>
    <n v="16952800"/>
    <m/>
    <n v="16952800"/>
    <n v="25122900"/>
    <n v="30368500"/>
    <m/>
    <m/>
    <m/>
    <m/>
    <n v="0"/>
    <m/>
    <m/>
    <n v="0"/>
    <m/>
    <m/>
    <m/>
    <m/>
    <m/>
    <m/>
    <n v="25122900"/>
    <n v="30368500"/>
  </r>
  <r>
    <x v="12"/>
    <x v="0"/>
    <s v="Roane State Community College "/>
    <m/>
    <n v="221397"/>
    <x v="7"/>
    <n v="17293492.600000001"/>
    <n v="19435643"/>
    <m/>
    <m/>
    <m/>
    <m/>
    <n v="15490100"/>
    <m/>
    <n v="15490100"/>
    <n v="17478900"/>
    <m/>
    <n v="17478900"/>
    <n v="32783592.600000001"/>
    <n v="36914543"/>
    <m/>
    <m/>
    <m/>
    <m/>
    <n v="0"/>
    <m/>
    <m/>
    <n v="0"/>
    <m/>
    <m/>
    <m/>
    <m/>
    <m/>
    <m/>
    <n v="32783592.600000001"/>
    <n v="36914543"/>
  </r>
  <r>
    <x v="12"/>
    <x v="0"/>
    <s v="Volunteer State Community College "/>
    <s v="Met the criteria for Two-Year 1 in 2009-10 and 2010-11."/>
    <n v="222053"/>
    <x v="7"/>
    <n v="17308715"/>
    <n v="19642140"/>
    <m/>
    <m/>
    <m/>
    <m/>
    <n v="18356675"/>
    <m/>
    <n v="18356675"/>
    <n v="21120350"/>
    <m/>
    <n v="21120350"/>
    <n v="35665390"/>
    <n v="40762490"/>
    <m/>
    <m/>
    <m/>
    <m/>
    <n v="0"/>
    <m/>
    <m/>
    <n v="0"/>
    <m/>
    <m/>
    <m/>
    <m/>
    <m/>
    <m/>
    <n v="35665390"/>
    <n v="40762490"/>
  </r>
  <r>
    <x v="12"/>
    <x v="0"/>
    <s v="Walters State Community College "/>
    <m/>
    <n v="222062"/>
    <x v="7"/>
    <n v="17504000"/>
    <n v="19803416"/>
    <m/>
    <m/>
    <m/>
    <m/>
    <n v="17778800"/>
    <m/>
    <n v="17778800"/>
    <n v="19678700"/>
    <m/>
    <n v="19678700"/>
    <n v="35282800"/>
    <n v="39482116"/>
    <m/>
    <m/>
    <m/>
    <m/>
    <n v="0"/>
    <m/>
    <m/>
    <n v="0"/>
    <m/>
    <m/>
    <m/>
    <m/>
    <m/>
    <m/>
    <n v="35282800"/>
    <n v="39482116"/>
  </r>
  <r>
    <x v="12"/>
    <x v="0"/>
    <s v="Dyersburg State Community College "/>
    <s v="Met the criteria for Two-Year 2 in 2009-10 and 2010-11."/>
    <n v="220057"/>
    <x v="8"/>
    <n v="6977000"/>
    <n v="7857000"/>
    <m/>
    <m/>
    <m/>
    <m/>
    <n v="7223700"/>
    <m/>
    <n v="7223700"/>
    <n v="8993400"/>
    <m/>
    <n v="8993400"/>
    <n v="14200700"/>
    <n v="16850400"/>
    <m/>
    <m/>
    <m/>
    <m/>
    <n v="0"/>
    <m/>
    <m/>
    <n v="0"/>
    <m/>
    <m/>
    <m/>
    <m/>
    <m/>
    <m/>
    <n v="14200700"/>
    <n v="16850400"/>
  </r>
  <r>
    <x v="12"/>
    <x v="0"/>
    <s v="Tennessee Technology Center at Athens"/>
    <m/>
    <n v="219596"/>
    <x v="10"/>
    <n v="1271000"/>
    <n v="1393700"/>
    <m/>
    <m/>
    <m/>
    <m/>
    <n v="470730.40492085787"/>
    <m/>
    <n v="470730.40492085787"/>
    <n v="518000"/>
    <m/>
    <n v="518000"/>
    <n v="1741730.4049208579"/>
    <n v="1911700"/>
    <m/>
    <m/>
    <m/>
    <m/>
    <n v="0"/>
    <m/>
    <m/>
    <n v="0"/>
    <m/>
    <m/>
    <m/>
    <m/>
    <m/>
    <m/>
    <n v="1741730.4049208579"/>
    <n v="1911700"/>
  </r>
  <r>
    <x v="12"/>
    <x v="0"/>
    <s v="Tennessee Technology Center at Chattanooga"/>
    <s v="Met the criteria for Technical Institute or College 1 in 2010-11."/>
    <s v="219824B"/>
    <x v="10"/>
    <n v="2921600"/>
    <n v="3203800"/>
    <m/>
    <m/>
    <m/>
    <m/>
    <n v="1649931.3183630707"/>
    <m/>
    <n v="1649931.3183630707"/>
    <n v="2000000"/>
    <m/>
    <n v="2000000"/>
    <n v="4571531.3183630705"/>
    <n v="5203800"/>
    <m/>
    <m/>
    <m/>
    <m/>
    <n v="0"/>
    <m/>
    <m/>
    <n v="0"/>
    <m/>
    <m/>
    <m/>
    <m/>
    <m/>
    <m/>
    <n v="4571531.3183630705"/>
    <n v="5203800"/>
  </r>
  <r>
    <x v="12"/>
    <x v="0"/>
    <s v="Tennessee Technology Center at Covington"/>
    <m/>
    <n v="219921"/>
    <x v="10"/>
    <n v="1065800"/>
    <n v="1168700"/>
    <m/>
    <m/>
    <m/>
    <m/>
    <n v="287488.03274508048"/>
    <m/>
    <n v="287488.03274508048"/>
    <n v="408000"/>
    <m/>
    <n v="408000"/>
    <n v="1353288.0327450805"/>
    <n v="1576700"/>
    <m/>
    <m/>
    <m/>
    <m/>
    <n v="0"/>
    <m/>
    <m/>
    <n v="0"/>
    <m/>
    <m/>
    <m/>
    <m/>
    <m/>
    <m/>
    <n v="1353288.0327450805"/>
    <n v="1576700"/>
  </r>
  <r>
    <x v="12"/>
    <x v="0"/>
    <s v="Tennessee Technology Center at Crossville"/>
    <m/>
    <n v="221591"/>
    <x v="10"/>
    <n v="2132000"/>
    <n v="2337900"/>
    <m/>
    <m/>
    <m/>
    <m/>
    <n v="737469.3013895544"/>
    <m/>
    <n v="737469.3013895544"/>
    <n v="865000"/>
    <m/>
    <n v="865000"/>
    <n v="2869469.3013895545"/>
    <n v="3202900"/>
    <m/>
    <m/>
    <m/>
    <m/>
    <n v="0"/>
    <m/>
    <m/>
    <n v="0"/>
    <m/>
    <m/>
    <m/>
    <m/>
    <m/>
    <m/>
    <n v="2869469.3013895545"/>
    <n v="3202900"/>
  </r>
  <r>
    <x v="12"/>
    <x v="0"/>
    <s v="Tennessee Technology Center at Crump"/>
    <m/>
    <n v="221430"/>
    <x v="10"/>
    <n v="1467600"/>
    <n v="1609300"/>
    <m/>
    <m/>
    <m/>
    <m/>
    <n v="480604.99387166713"/>
    <m/>
    <n v="480604.99387166713"/>
    <n v="646000"/>
    <m/>
    <n v="646000"/>
    <n v="1948204.9938716672"/>
    <n v="2255300"/>
    <m/>
    <m/>
    <m/>
    <m/>
    <n v="0"/>
    <m/>
    <m/>
    <n v="0"/>
    <m/>
    <m/>
    <m/>
    <m/>
    <m/>
    <m/>
    <n v="1948204.9938716672"/>
    <n v="2255300"/>
  </r>
  <r>
    <x v="12"/>
    <x v="0"/>
    <s v="Tennessee Technology Center at Dickson"/>
    <m/>
    <n v="219994"/>
    <x v="10"/>
    <n v="2172400"/>
    <n v="2382200"/>
    <m/>
    <m/>
    <m/>
    <m/>
    <n v="927461.39259499882"/>
    <m/>
    <n v="927461.39259499882"/>
    <n v="1252000"/>
    <m/>
    <n v="1252000"/>
    <n v="3099861.3925949987"/>
    <n v="3634200"/>
    <m/>
    <m/>
    <m/>
    <m/>
    <n v="0"/>
    <m/>
    <m/>
    <n v="0"/>
    <m/>
    <m/>
    <m/>
    <m/>
    <m/>
    <m/>
    <n v="3099861.3925949987"/>
    <n v="3634200"/>
  </r>
  <r>
    <x v="12"/>
    <x v="0"/>
    <s v="Tennessee Technology Center at Elizabethton"/>
    <m/>
    <n v="220127"/>
    <x v="10"/>
    <n v="1405400"/>
    <n v="1541100"/>
    <m/>
    <m/>
    <m/>
    <m/>
    <n v="989833.79622099665"/>
    <m/>
    <n v="989833.79622099665"/>
    <n v="1052600"/>
    <m/>
    <n v="1052600"/>
    <n v="2395233.7962209964"/>
    <n v="2593700"/>
    <m/>
    <m/>
    <m/>
    <m/>
    <n v="0"/>
    <m/>
    <m/>
    <n v="0"/>
    <m/>
    <m/>
    <m/>
    <m/>
    <m/>
    <m/>
    <n v="2395233.7962209964"/>
    <n v="2593700"/>
  </r>
  <r>
    <x v="12"/>
    <x v="0"/>
    <s v="Tennessee Technology Center at Harriman"/>
    <m/>
    <n v="220251"/>
    <x v="10"/>
    <n v="1311700"/>
    <n v="1438400"/>
    <m/>
    <m/>
    <m/>
    <m/>
    <n v="457105.97206467798"/>
    <m/>
    <n v="457105.97206467798"/>
    <n v="524500"/>
    <m/>
    <n v="524500"/>
    <n v="1768805.9720646781"/>
    <n v="1962900"/>
    <m/>
    <m/>
    <m/>
    <m/>
    <n v="0"/>
    <m/>
    <m/>
    <n v="0"/>
    <m/>
    <m/>
    <m/>
    <m/>
    <m/>
    <m/>
    <n v="1768805.9720646781"/>
    <n v="1962900"/>
  </r>
  <r>
    <x v="12"/>
    <x v="0"/>
    <s v="Tennessee Technology Center at Hartsville"/>
    <m/>
    <n v="220279"/>
    <x v="10"/>
    <n v="1043400"/>
    <n v="1144200"/>
    <m/>
    <m/>
    <m/>
    <m/>
    <n v="468105.51418709848"/>
    <m/>
    <n v="468105.51418709848"/>
    <n v="908200"/>
    <m/>
    <n v="908200"/>
    <n v="1511505.5141870985"/>
    <n v="2052400"/>
    <m/>
    <m/>
    <m/>
    <m/>
    <n v="0"/>
    <m/>
    <m/>
    <n v="0"/>
    <m/>
    <m/>
    <m/>
    <m/>
    <m/>
    <m/>
    <n v="1511505.5141870985"/>
    <n v="2052400"/>
  </r>
  <r>
    <x v="12"/>
    <x v="0"/>
    <s v="Tennessee Technology Center at Hohenwald"/>
    <m/>
    <n v="220321"/>
    <x v="10"/>
    <n v="1427300"/>
    <n v="1565100"/>
    <m/>
    <m/>
    <m/>
    <m/>
    <n v="902462.43322586152"/>
    <m/>
    <n v="902462.43322586152"/>
    <n v="1020000"/>
    <m/>
    <n v="1020000"/>
    <n v="2329762.4332258618"/>
    <n v="2585100"/>
    <m/>
    <m/>
    <m/>
    <m/>
    <n v="0"/>
    <m/>
    <m/>
    <n v="0"/>
    <m/>
    <m/>
    <m/>
    <m/>
    <m/>
    <m/>
    <n v="2329762.4332258618"/>
    <n v="2585100"/>
  </r>
  <r>
    <x v="12"/>
    <x v="0"/>
    <s v="Tennessee Technology Center at Jacksboro"/>
    <m/>
    <n v="220394"/>
    <x v="10"/>
    <n v="1224000"/>
    <n v="1342200"/>
    <m/>
    <m/>
    <m/>
    <m/>
    <n v="324986.47179878666"/>
    <m/>
    <n v="324986.47179878666"/>
    <n v="356400"/>
    <m/>
    <n v="356400"/>
    <n v="1548986.4717987867"/>
    <n v="1698600"/>
    <m/>
    <m/>
    <m/>
    <m/>
    <n v="0"/>
    <m/>
    <m/>
    <n v="0"/>
    <m/>
    <m/>
    <m/>
    <m/>
    <m/>
    <m/>
    <n v="1548986.4717987867"/>
    <n v="1698600"/>
  </r>
  <r>
    <x v="12"/>
    <x v="0"/>
    <s v="Tennessee Technology Center at Jackson"/>
    <m/>
    <n v="221616"/>
    <x v="10"/>
    <n v="2820400"/>
    <n v="3092700"/>
    <m/>
    <m/>
    <m/>
    <m/>
    <n v="1066205.6170937116"/>
    <m/>
    <n v="1066205.6170937116"/>
    <n v="1242000"/>
    <m/>
    <n v="1242000"/>
    <n v="3886605.6170937116"/>
    <n v="4334700"/>
    <m/>
    <m/>
    <m/>
    <m/>
    <n v="0"/>
    <m/>
    <m/>
    <n v="0"/>
    <m/>
    <m/>
    <m/>
    <m/>
    <m/>
    <m/>
    <n v="3886605.6170937116"/>
    <n v="4334700"/>
  </r>
  <r>
    <x v="12"/>
    <x v="0"/>
    <s v="Tennessee Technology Center at Knoxville"/>
    <m/>
    <n v="221625"/>
    <x v="10"/>
    <n v="2953100"/>
    <n v="3238300"/>
    <m/>
    <m/>
    <m/>
    <m/>
    <n v="1256197.7082991563"/>
    <m/>
    <n v="1256197.7082991563"/>
    <n v="1499000"/>
    <m/>
    <n v="1499000"/>
    <n v="4209297.7082991563"/>
    <n v="4737300"/>
    <m/>
    <m/>
    <m/>
    <m/>
    <n v="0"/>
    <m/>
    <m/>
    <n v="0"/>
    <m/>
    <m/>
    <m/>
    <m/>
    <m/>
    <m/>
    <n v="4209297.7082991563"/>
    <n v="4737300"/>
  </r>
  <r>
    <x v="12"/>
    <x v="0"/>
    <s v="Tennessee Technology Center at Livingston"/>
    <m/>
    <n v="220640"/>
    <x v="10"/>
    <n v="1964700"/>
    <n v="2154400"/>
    <m/>
    <m/>
    <m/>
    <m/>
    <n v="876213.52588826709"/>
    <m/>
    <n v="876213.52588826709"/>
    <n v="882000"/>
    <m/>
    <n v="882000"/>
    <n v="2840913.525888267"/>
    <n v="3036400"/>
    <m/>
    <m/>
    <m/>
    <m/>
    <n v="0"/>
    <m/>
    <m/>
    <n v="0"/>
    <m/>
    <m/>
    <m/>
    <m/>
    <m/>
    <m/>
    <n v="2840913.525888267"/>
    <n v="3036400"/>
  </r>
  <r>
    <x v="12"/>
    <x v="0"/>
    <s v="Tennessee Technology Center at McKenzie"/>
    <m/>
    <n v="220756"/>
    <x v="10"/>
    <n v="1177000"/>
    <n v="1290700"/>
    <m/>
    <m/>
    <m/>
    <m/>
    <n v="505228.96885026753"/>
    <m/>
    <n v="505228.96885026753"/>
    <n v="544900"/>
    <m/>
    <n v="544900"/>
    <n v="1682228.9688502676"/>
    <n v="1835600"/>
    <m/>
    <m/>
    <m/>
    <m/>
    <n v="0"/>
    <m/>
    <m/>
    <n v="0"/>
    <m/>
    <m/>
    <m/>
    <m/>
    <m/>
    <m/>
    <n v="1682228.9688502676"/>
    <n v="1835600"/>
  </r>
  <r>
    <x v="12"/>
    <x v="0"/>
    <s v="Tennessee Technology Center at McMinnville"/>
    <m/>
    <n v="221607"/>
    <x v="10"/>
    <n v="1290000"/>
    <n v="1414600"/>
    <m/>
    <m/>
    <m/>
    <m/>
    <n v="554351.92401062255"/>
    <m/>
    <n v="554351.92401062255"/>
    <n v="511800"/>
    <m/>
    <n v="511800"/>
    <n v="1844351.9240106225"/>
    <n v="1926400"/>
    <m/>
    <m/>
    <m/>
    <m/>
    <n v="0"/>
    <m/>
    <m/>
    <n v="0"/>
    <m/>
    <m/>
    <m/>
    <m/>
    <m/>
    <m/>
    <n v="1844351.9240106225"/>
    <n v="1926400"/>
  </r>
  <r>
    <x v="12"/>
    <x v="0"/>
    <s v="Tennessee Technology Center at Memphis"/>
    <m/>
    <n v="220853"/>
    <x v="10"/>
    <n v="3905100"/>
    <n v="4282200"/>
    <m/>
    <m/>
    <m/>
    <m/>
    <n v="1974417.8109744748"/>
    <m/>
    <n v="1974417.8109744748"/>
    <n v="1705900"/>
    <m/>
    <n v="1705900"/>
    <n v="5879517.810974475"/>
    <n v="5988100"/>
    <m/>
    <m/>
    <m/>
    <m/>
    <n v="0"/>
    <m/>
    <m/>
    <n v="0"/>
    <m/>
    <m/>
    <m/>
    <m/>
    <m/>
    <m/>
    <n v="5879517.810974475"/>
    <n v="5988100"/>
  </r>
  <r>
    <x v="12"/>
    <x v="0"/>
    <s v="Tennessee Technology Center at Morristown"/>
    <m/>
    <n v="221050"/>
    <x v="10"/>
    <n v="3606400"/>
    <n v="3954700"/>
    <m/>
    <m/>
    <m/>
    <m/>
    <n v="1312445.3668797154"/>
    <m/>
    <n v="1312445.3668797154"/>
    <n v="1466000"/>
    <m/>
    <n v="1466000"/>
    <n v="4918845.3668797156"/>
    <n v="5420700"/>
    <m/>
    <m/>
    <m/>
    <m/>
    <n v="0"/>
    <m/>
    <m/>
    <n v="0"/>
    <m/>
    <m/>
    <m/>
    <m/>
    <m/>
    <m/>
    <n v="4918845.3668797156"/>
    <n v="5420700"/>
  </r>
  <r>
    <x v="12"/>
    <x v="0"/>
    <s v="Tennessee Technology Center at Murfreesboro"/>
    <m/>
    <n v="221102"/>
    <x v="10"/>
    <n v="1597200"/>
    <n v="1751400"/>
    <m/>
    <m/>
    <m/>
    <m/>
    <n v="800716.6685934721"/>
    <m/>
    <n v="800716.6685934721"/>
    <n v="920000"/>
    <m/>
    <n v="920000"/>
    <n v="2397916.6685934719"/>
    <n v="2671400"/>
    <m/>
    <m/>
    <m/>
    <m/>
    <n v="0"/>
    <m/>
    <m/>
    <n v="0"/>
    <m/>
    <m/>
    <m/>
    <m/>
    <m/>
    <m/>
    <n v="2397916.6685934719"/>
    <n v="2671400"/>
  </r>
  <r>
    <x v="12"/>
    <x v="0"/>
    <s v="Tennessee Technology Center at Nashville"/>
    <m/>
    <n v="248925"/>
    <x v="10"/>
    <n v="3380900"/>
    <n v="3707400"/>
    <m/>
    <m/>
    <m/>
    <m/>
    <n v="1728678.0403758537"/>
    <m/>
    <n v="1728678.0403758537"/>
    <n v="1890000"/>
    <m/>
    <n v="1890000"/>
    <n v="5109578.0403758539"/>
    <n v="5597400"/>
    <m/>
    <m/>
    <m/>
    <m/>
    <n v="0"/>
    <m/>
    <m/>
    <n v="0"/>
    <m/>
    <m/>
    <m/>
    <m/>
    <m/>
    <m/>
    <n v="5109578.0403758539"/>
    <n v="5597400"/>
  </r>
  <r>
    <x v="12"/>
    <x v="0"/>
    <s v="Tennessee Technology Center at Newbern"/>
    <m/>
    <n v="221236"/>
    <x v="10"/>
    <n v="1280700"/>
    <n v="1404400"/>
    <m/>
    <m/>
    <m/>
    <m/>
    <n v="458105.93043944344"/>
    <m/>
    <n v="458105.93043944344"/>
    <n v="547000"/>
    <m/>
    <n v="547000"/>
    <n v="1738805.9304394433"/>
    <n v="1951400"/>
    <m/>
    <m/>
    <m/>
    <m/>
    <n v="0"/>
    <m/>
    <m/>
    <n v="0"/>
    <m/>
    <m/>
    <m/>
    <m/>
    <m/>
    <m/>
    <n v="1738805.9304394433"/>
    <n v="1951400"/>
  </r>
  <r>
    <x v="12"/>
    <x v="0"/>
    <s v="Tennessee Technology Center at Oneida"/>
    <m/>
    <n v="221582"/>
    <x v="10"/>
    <n v="1224100"/>
    <n v="1342300"/>
    <m/>
    <m/>
    <m/>
    <m/>
    <n v="534102.76692162128"/>
    <m/>
    <n v="534102.76692162128"/>
    <n v="646700"/>
    <m/>
    <n v="646700"/>
    <n v="1758202.7669216213"/>
    <n v="1989000"/>
    <m/>
    <m/>
    <m/>
    <m/>
    <n v="0"/>
    <m/>
    <m/>
    <n v="0"/>
    <m/>
    <m/>
    <m/>
    <m/>
    <m/>
    <m/>
    <n v="1758202.7669216213"/>
    <n v="1989000"/>
  </r>
  <r>
    <x v="12"/>
    <x v="0"/>
    <s v="Tennessee Technology Center at Paris"/>
    <m/>
    <n v="221281"/>
    <x v="10"/>
    <n v="1638700"/>
    <n v="1797000"/>
    <m/>
    <m/>
    <m/>
    <m/>
    <n v="872338.68718605093"/>
    <m/>
    <n v="872338.68718605093"/>
    <n v="880400"/>
    <m/>
    <n v="880400"/>
    <n v="2511038.6871860512"/>
    <n v="2677400"/>
    <m/>
    <m/>
    <m/>
    <m/>
    <n v="0"/>
    <m/>
    <m/>
    <n v="0"/>
    <m/>
    <m/>
    <m/>
    <m/>
    <m/>
    <m/>
    <n v="2511038.6871860512"/>
    <n v="2677400"/>
  </r>
  <r>
    <x v="12"/>
    <x v="0"/>
    <s v="Tennessee Technology Center at Pulaski"/>
    <m/>
    <n v="221333"/>
    <x v="10"/>
    <n v="1300100"/>
    <n v="1425700"/>
    <m/>
    <m/>
    <m/>
    <m/>
    <n v="578725.90939553163"/>
    <m/>
    <n v="578725.90939553163"/>
    <n v="787000"/>
    <m/>
    <n v="787000"/>
    <n v="1878825.9093955318"/>
    <n v="2212700"/>
    <m/>
    <m/>
    <m/>
    <m/>
    <n v="0"/>
    <m/>
    <m/>
    <n v="0"/>
    <m/>
    <m/>
    <m/>
    <m/>
    <m/>
    <m/>
    <n v="1878825.9093955318"/>
    <n v="2212700"/>
  </r>
  <r>
    <x v="12"/>
    <x v="0"/>
    <s v="Tennessee Technology Center at Ripley"/>
    <m/>
    <n v="221388"/>
    <x v="10"/>
    <n v="1042700"/>
    <n v="1143400"/>
    <m/>
    <m/>
    <m/>
    <m/>
    <n v="293612.77779051923"/>
    <m/>
    <n v="293612.77779051923"/>
    <n v="356700"/>
    <m/>
    <n v="356700"/>
    <n v="1336312.7777905192"/>
    <n v="1500100"/>
    <m/>
    <m/>
    <m/>
    <m/>
    <n v="0"/>
    <m/>
    <m/>
    <n v="0"/>
    <m/>
    <m/>
    <m/>
    <m/>
    <m/>
    <m/>
    <n v="1336312.7777905192"/>
    <n v="1500100"/>
  </r>
  <r>
    <x v="12"/>
    <x v="0"/>
    <s v="Tennessee Technology Center at Shelbyville"/>
    <m/>
    <n v="221494"/>
    <x v="10"/>
    <n v="1835500"/>
    <n v="2012800"/>
    <m/>
    <m/>
    <m/>
    <m/>
    <n v="1247448.0725199578"/>
    <m/>
    <n v="1247448.0725199578"/>
    <n v="1282900"/>
    <m/>
    <n v="1282900"/>
    <n v="3082948.072519958"/>
    <n v="3295700"/>
    <m/>
    <m/>
    <m/>
    <m/>
    <n v="0"/>
    <m/>
    <m/>
    <n v="0"/>
    <m/>
    <m/>
    <m/>
    <m/>
    <m/>
    <m/>
    <n v="3082948.072519958"/>
    <n v="3295700"/>
  </r>
  <r>
    <x v="12"/>
    <x v="0"/>
    <s v="Tennessee Technology Center at Whiteville"/>
    <m/>
    <n v="221634"/>
    <x v="10"/>
    <n v="1198500"/>
    <n v="1314200"/>
    <m/>
    <m/>
    <m/>
    <m/>
    <n v="379609.19802035193"/>
    <m/>
    <n v="379609.19802035193"/>
    <n v="399000"/>
    <m/>
    <n v="399000"/>
    <n v="1578109.1980203521"/>
    <n v="1713200"/>
    <m/>
    <m/>
    <m/>
    <m/>
    <n v="0"/>
    <m/>
    <m/>
    <n v="0"/>
    <m/>
    <m/>
    <m/>
    <m/>
    <m/>
    <m/>
    <n v="1578109.1980203521"/>
    <n v="17132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n v="124200"/>
    <n v="124200"/>
    <m/>
    <n v="126105"/>
    <n v="126105"/>
    <n v="69847100"/>
    <n v="76282891.704501882"/>
    <n v="34348600"/>
    <m/>
    <n v="36265400"/>
    <m/>
    <n v="104195700"/>
    <n v="112548291.70450188"/>
  </r>
  <r>
    <x v="12"/>
    <x v="41"/>
    <s v="Medical School"/>
    <m/>
    <n v="221704"/>
    <x v="11"/>
    <m/>
    <m/>
    <m/>
    <m/>
    <m/>
    <m/>
    <m/>
    <m/>
    <n v="0"/>
    <m/>
    <m/>
    <n v="0"/>
    <n v="0"/>
    <n v="0"/>
    <m/>
    <m/>
    <m/>
    <m/>
    <n v="0"/>
    <m/>
    <m/>
    <n v="0"/>
    <n v="55484200"/>
    <n v="59650900"/>
    <n v="14501930"/>
    <m/>
    <n v="17721100"/>
    <m/>
    <n v="69986130"/>
    <n v="77372000"/>
  </r>
  <r>
    <x v="12"/>
    <x v="41"/>
    <s v="Veterinary School"/>
    <m/>
    <n v="221704"/>
    <x v="11"/>
    <m/>
    <m/>
    <m/>
    <m/>
    <m/>
    <m/>
    <m/>
    <m/>
    <n v="0"/>
    <m/>
    <m/>
    <n v="0"/>
    <n v="0"/>
    <n v="0"/>
    <m/>
    <m/>
    <m/>
    <m/>
    <n v="0"/>
    <m/>
    <m/>
    <n v="0"/>
    <n v="16146800"/>
    <n v="17693689"/>
    <n v="8292665"/>
    <m/>
    <n v="9353554"/>
    <m/>
    <n v="24439465"/>
    <n v="27047243"/>
  </r>
  <r>
    <x v="12"/>
    <x v="9"/>
    <s v="University of Tennessee Space Institute"/>
    <m/>
    <n v="221704"/>
    <x v="11"/>
    <m/>
    <m/>
    <m/>
    <m/>
    <m/>
    <m/>
    <m/>
    <m/>
    <n v="0"/>
    <m/>
    <m/>
    <n v="0"/>
    <n v="0"/>
    <n v="0"/>
    <n v="8832100"/>
    <n v="9382381.3677429259"/>
    <n v="1618000"/>
    <m/>
    <n v="1618000"/>
    <n v="1499381"/>
    <m/>
    <n v="1499381"/>
    <m/>
    <m/>
    <m/>
    <m/>
    <m/>
    <m/>
    <n v="10450100"/>
    <n v="10881762.367742926"/>
  </r>
  <r>
    <x v="12"/>
    <x v="13"/>
    <s v="Educational special purpose funds — all other"/>
    <m/>
    <m/>
    <x v="12"/>
    <m/>
    <m/>
    <m/>
    <m/>
    <m/>
    <m/>
    <m/>
    <m/>
    <n v="0"/>
    <m/>
    <m/>
    <n v="0"/>
    <n v="0"/>
    <n v="0"/>
    <m/>
    <m/>
    <m/>
    <m/>
    <n v="0"/>
    <m/>
    <m/>
    <n v="0"/>
    <m/>
    <m/>
    <m/>
    <m/>
    <m/>
    <m/>
    <n v="0"/>
    <n v="0"/>
  </r>
  <r>
    <x v="12"/>
    <x v="13"/>
    <s v="Foreign Language Institute"/>
    <m/>
    <m/>
    <x v="12"/>
    <m/>
    <m/>
    <n v="370700"/>
    <n v="356100"/>
    <m/>
    <m/>
    <m/>
    <m/>
    <n v="0"/>
    <m/>
    <m/>
    <n v="0"/>
    <n v="370700"/>
    <n v="356100"/>
    <m/>
    <m/>
    <m/>
    <m/>
    <n v="0"/>
    <m/>
    <m/>
    <n v="0"/>
    <m/>
    <m/>
    <m/>
    <m/>
    <m/>
    <m/>
    <n v="370700"/>
    <n v="3561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2186500"/>
    <n v="1960300"/>
    <m/>
    <m/>
    <n v="0"/>
    <m/>
    <m/>
    <n v="0"/>
    <m/>
    <m/>
    <m/>
    <m/>
    <m/>
    <m/>
    <n v="2186500"/>
    <n v="1960300"/>
  </r>
  <r>
    <x v="12"/>
    <x v="15"/>
    <s v="Univ TN System Adm &amp; TN Board of Regents"/>
    <m/>
    <m/>
    <x v="12"/>
    <m/>
    <m/>
    <m/>
    <m/>
    <m/>
    <m/>
    <m/>
    <m/>
    <n v="0"/>
    <m/>
    <m/>
    <n v="0"/>
    <n v="0"/>
    <n v="0"/>
    <n v="8874600"/>
    <n v="8802483"/>
    <m/>
    <m/>
    <n v="0"/>
    <m/>
    <m/>
    <n v="0"/>
    <m/>
    <m/>
    <m/>
    <m/>
    <m/>
    <m/>
    <n v="8874600"/>
    <n v="8802483"/>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36000"/>
    <n v="1213600"/>
    <m/>
    <m/>
    <n v="0"/>
    <m/>
    <m/>
    <n v="0"/>
    <m/>
    <m/>
    <m/>
    <m/>
    <m/>
    <m/>
    <n v="1236000"/>
    <n v="12136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2289700"/>
    <n v="2005000"/>
    <m/>
    <m/>
    <n v="0"/>
    <m/>
    <m/>
    <n v="0"/>
    <m/>
    <m/>
    <m/>
    <m/>
    <m/>
    <m/>
    <n v="2289700"/>
    <n v="20050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98861027"/>
    <n v="109647988"/>
    <m/>
    <m/>
    <n v="0"/>
    <m/>
    <m/>
    <n v="0"/>
    <m/>
    <m/>
    <m/>
    <m/>
    <m/>
    <m/>
    <n v="98861027"/>
    <n v="109647988"/>
  </r>
  <r>
    <x v="12"/>
    <x v="30"/>
    <s v="Non need-based"/>
    <m/>
    <m/>
    <x v="12"/>
    <m/>
    <m/>
    <m/>
    <m/>
    <m/>
    <m/>
    <m/>
    <m/>
    <n v="0"/>
    <m/>
    <m/>
    <n v="0"/>
    <n v="0"/>
    <n v="0"/>
    <n v="162616383"/>
    <n v="163467430"/>
    <m/>
    <m/>
    <n v="0"/>
    <m/>
    <m/>
    <n v="0"/>
    <m/>
    <m/>
    <m/>
    <m/>
    <m/>
    <m/>
    <n v="162616383"/>
    <n v="163467430"/>
  </r>
  <r>
    <x v="12"/>
    <x v="31"/>
    <s v="Amount to private sector students"/>
    <m/>
    <m/>
    <x v="12"/>
    <m/>
    <m/>
    <m/>
    <m/>
    <m/>
    <m/>
    <m/>
    <m/>
    <n v="0"/>
    <m/>
    <m/>
    <n v="0"/>
    <n v="0"/>
    <n v="0"/>
    <m/>
    <m/>
    <m/>
    <m/>
    <n v="0"/>
    <m/>
    <m/>
    <n v="0"/>
    <m/>
    <m/>
    <m/>
    <m/>
    <m/>
    <m/>
    <n v="0"/>
    <n v="0"/>
  </r>
  <r>
    <x v="12"/>
    <x v="32"/>
    <s v="Need-based"/>
    <m/>
    <m/>
    <x v="12"/>
    <m/>
    <m/>
    <m/>
    <m/>
    <m/>
    <m/>
    <m/>
    <m/>
    <n v="0"/>
    <m/>
    <m/>
    <n v="0"/>
    <n v="0"/>
    <n v="0"/>
    <n v="41142203"/>
    <n v="43977224"/>
    <m/>
    <m/>
    <n v="0"/>
    <m/>
    <m/>
    <n v="0"/>
    <m/>
    <m/>
    <m/>
    <m/>
    <m/>
    <m/>
    <n v="41142203"/>
    <n v="43977224"/>
  </r>
  <r>
    <x v="12"/>
    <x v="33"/>
    <s v="Non need-based"/>
    <m/>
    <m/>
    <x v="12"/>
    <m/>
    <m/>
    <m/>
    <m/>
    <m/>
    <m/>
    <m/>
    <m/>
    <n v="0"/>
    <m/>
    <m/>
    <n v="0"/>
    <n v="0"/>
    <n v="0"/>
    <n v="37920321"/>
    <n v="38830369"/>
    <m/>
    <m/>
    <n v="0"/>
    <m/>
    <m/>
    <n v="0"/>
    <m/>
    <m/>
    <m/>
    <m/>
    <m/>
    <m/>
    <n v="37920321"/>
    <n v="38830369"/>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87530493"/>
    <n v="370453321"/>
    <n v="2460400"/>
    <n v="2422177"/>
    <m/>
    <m/>
    <n v="409664900"/>
    <m/>
    <n v="409664900"/>
    <n v="441567100"/>
    <m/>
    <n v="441567100"/>
    <n v="799655793"/>
    <n v="814442598"/>
    <m/>
    <m/>
    <m/>
    <m/>
    <n v="0"/>
    <m/>
    <m/>
    <n v="0"/>
    <m/>
    <m/>
    <m/>
    <m/>
    <m/>
    <m/>
    <n v="799655793"/>
    <n v="814442598"/>
  </r>
  <r>
    <x v="13"/>
    <x v="1"/>
    <s v="Health professions education"/>
    <m/>
    <n v="228723"/>
    <x v="0"/>
    <m/>
    <m/>
    <m/>
    <m/>
    <m/>
    <m/>
    <m/>
    <m/>
    <n v="0"/>
    <m/>
    <m/>
    <n v="0"/>
    <n v="0"/>
    <n v="0"/>
    <m/>
    <m/>
    <m/>
    <m/>
    <n v="0"/>
    <m/>
    <m/>
    <n v="0"/>
    <m/>
    <m/>
    <m/>
    <m/>
    <m/>
    <m/>
    <n v="0"/>
    <n v="0"/>
  </r>
  <r>
    <x v="13"/>
    <x v="1"/>
    <s v="Veterinary Medicine School"/>
    <m/>
    <n v="228723"/>
    <x v="0"/>
    <m/>
    <m/>
    <m/>
    <m/>
    <m/>
    <m/>
    <m/>
    <m/>
    <n v="0"/>
    <m/>
    <m/>
    <n v="0"/>
    <n v="0"/>
    <n v="0"/>
    <m/>
    <m/>
    <m/>
    <m/>
    <n v="0"/>
    <m/>
    <m/>
    <n v="0"/>
    <n v="26503246"/>
    <n v="26503246"/>
    <n v="8773012"/>
    <m/>
    <n v="7819584"/>
    <m/>
    <n v="35276258"/>
    <n v="34322830"/>
  </r>
  <r>
    <x v="13"/>
    <x v="5"/>
    <s v="Agricultural cooperative extension"/>
    <m/>
    <n v="228723"/>
    <x v="0"/>
    <m/>
    <m/>
    <n v="67658198"/>
    <n v="69847285"/>
    <m/>
    <m/>
    <m/>
    <m/>
    <n v="0"/>
    <m/>
    <m/>
    <n v="0"/>
    <n v="67658198"/>
    <n v="69847285"/>
    <m/>
    <m/>
    <m/>
    <m/>
    <n v="0"/>
    <m/>
    <m/>
    <n v="0"/>
    <m/>
    <m/>
    <m/>
    <m/>
    <m/>
    <m/>
    <n v="67658198"/>
    <n v="69847285"/>
  </r>
  <r>
    <x v="13"/>
    <x v="6"/>
    <s v="Agricultural experiment stations"/>
    <m/>
    <n v="228723"/>
    <x v="0"/>
    <m/>
    <m/>
    <n v="73526709"/>
    <n v="63839027"/>
    <m/>
    <m/>
    <m/>
    <m/>
    <n v="0"/>
    <m/>
    <m/>
    <n v="0"/>
    <n v="73526709"/>
    <n v="63839027"/>
    <m/>
    <m/>
    <m/>
    <m/>
    <n v="0"/>
    <m/>
    <m/>
    <n v="0"/>
    <m/>
    <m/>
    <m/>
    <m/>
    <m/>
    <m/>
    <n v="73526709"/>
    <n v="63839027"/>
  </r>
  <r>
    <x v="13"/>
    <x v="43"/>
    <s v="Engineering experiment stations"/>
    <m/>
    <n v="228723"/>
    <x v="0"/>
    <m/>
    <m/>
    <n v="19013304"/>
    <n v="18080809"/>
    <m/>
    <m/>
    <m/>
    <m/>
    <n v="0"/>
    <m/>
    <m/>
    <n v="0"/>
    <n v="19013304"/>
    <n v="18080809"/>
    <m/>
    <m/>
    <m/>
    <m/>
    <n v="0"/>
    <m/>
    <m/>
    <n v="0"/>
    <m/>
    <m/>
    <m/>
    <m/>
    <m/>
    <m/>
    <n v="19013304"/>
    <n v="18080809"/>
  </r>
  <r>
    <x v="13"/>
    <x v="45"/>
    <s v="TX Engineering extension service"/>
    <m/>
    <n v="228723"/>
    <x v="0"/>
    <m/>
    <m/>
    <n v="8992263"/>
    <n v="8513258"/>
    <m/>
    <m/>
    <m/>
    <m/>
    <n v="0"/>
    <m/>
    <m/>
    <n v="0"/>
    <n v="8992263"/>
    <n v="8513258"/>
    <m/>
    <m/>
    <m/>
    <m/>
    <n v="0"/>
    <m/>
    <m/>
    <n v="0"/>
    <m/>
    <m/>
    <m/>
    <m/>
    <m/>
    <m/>
    <n v="8992263"/>
    <n v="8513258"/>
  </r>
  <r>
    <x v="13"/>
    <x v="3"/>
    <s v="Community or public service units"/>
    <m/>
    <n v="228723"/>
    <x v="0"/>
    <m/>
    <m/>
    <m/>
    <m/>
    <m/>
    <m/>
    <m/>
    <m/>
    <n v="0"/>
    <m/>
    <m/>
    <n v="0"/>
    <n v="0"/>
    <n v="0"/>
    <m/>
    <m/>
    <m/>
    <m/>
    <n v="0"/>
    <m/>
    <m/>
    <n v="0"/>
    <m/>
    <m/>
    <m/>
    <m/>
    <m/>
    <m/>
    <n v="0"/>
    <n v="0"/>
  </r>
  <r>
    <x v="13"/>
    <x v="3"/>
    <s v="TX Forest Service"/>
    <m/>
    <n v="228723"/>
    <x v="0"/>
    <m/>
    <m/>
    <n v="24067843"/>
    <n v="23045799"/>
    <m/>
    <m/>
    <m/>
    <m/>
    <n v="0"/>
    <m/>
    <m/>
    <n v="0"/>
    <n v="24067843"/>
    <n v="23045799"/>
    <m/>
    <m/>
    <m/>
    <m/>
    <n v="0"/>
    <m/>
    <m/>
    <n v="0"/>
    <m/>
    <m/>
    <m/>
    <m/>
    <m/>
    <m/>
    <n v="24067843"/>
    <n v="23045799"/>
  </r>
  <r>
    <x v="13"/>
    <x v="3"/>
    <s v="TX Transportation Institute"/>
    <m/>
    <n v="228723"/>
    <x v="0"/>
    <m/>
    <m/>
    <n v="1880917"/>
    <n v="1892120"/>
    <m/>
    <m/>
    <m/>
    <m/>
    <n v="0"/>
    <m/>
    <m/>
    <n v="0"/>
    <n v="1880917"/>
    <n v="1892120"/>
    <m/>
    <m/>
    <m/>
    <m/>
    <n v="0"/>
    <m/>
    <m/>
    <n v="0"/>
    <m/>
    <m/>
    <m/>
    <m/>
    <m/>
    <m/>
    <n v="1880917"/>
    <n v="1892120"/>
  </r>
  <r>
    <x v="13"/>
    <x v="3"/>
    <s v="TX Vet Med Diagnostic Lab"/>
    <m/>
    <n v="228723"/>
    <x v="0"/>
    <m/>
    <m/>
    <n v="7386413"/>
    <n v="6814344"/>
    <m/>
    <m/>
    <m/>
    <m/>
    <n v="0"/>
    <m/>
    <m/>
    <n v="0"/>
    <n v="7386413"/>
    <n v="6814344"/>
    <m/>
    <m/>
    <m/>
    <m/>
    <n v="0"/>
    <m/>
    <m/>
    <n v="0"/>
    <m/>
    <m/>
    <m/>
    <m/>
    <m/>
    <m/>
    <n v="7386413"/>
    <n v="6814344"/>
  </r>
  <r>
    <x v="13"/>
    <x v="0"/>
    <s v="Texas Tech University "/>
    <m/>
    <n v="229115"/>
    <x v="0"/>
    <n v="178908142"/>
    <n v="169313242"/>
    <n v="12949223"/>
    <n v="11252552"/>
    <m/>
    <m/>
    <n v="228790852"/>
    <m/>
    <n v="228790852"/>
    <n v="267581890"/>
    <m/>
    <n v="267581890"/>
    <n v="420648217"/>
    <n v="448147684"/>
    <m/>
    <m/>
    <m/>
    <m/>
    <n v="0"/>
    <m/>
    <m/>
    <n v="0"/>
    <m/>
    <m/>
    <m/>
    <m/>
    <m/>
    <m/>
    <n v="420648217"/>
    <n v="448147684"/>
  </r>
  <r>
    <x v="13"/>
    <x v="0"/>
    <s v="University of Houston"/>
    <m/>
    <n v="225511"/>
    <x v="0"/>
    <n v="212951050"/>
    <n v="200216680"/>
    <n v="4324875"/>
    <n v="3950482"/>
    <m/>
    <m/>
    <n v="287564256"/>
    <m/>
    <n v="287564256"/>
    <n v="314595308"/>
    <m/>
    <n v="314595308"/>
    <n v="504840181"/>
    <n v="518762470"/>
    <m/>
    <m/>
    <m/>
    <m/>
    <n v="0"/>
    <m/>
    <m/>
    <n v="0"/>
    <m/>
    <m/>
    <m/>
    <m/>
    <m/>
    <m/>
    <n v="504840181"/>
    <n v="518762470"/>
  </r>
  <r>
    <x v="13"/>
    <x v="0"/>
    <s v="University of North Texas"/>
    <m/>
    <n v="227216"/>
    <x v="0"/>
    <n v="148543816"/>
    <n v="143796142"/>
    <n v="4285189"/>
    <n v="4733855"/>
    <m/>
    <m/>
    <n v="237147016"/>
    <n v="422295"/>
    <n v="237569311"/>
    <n v="267529685"/>
    <n v="422295"/>
    <n v="267951980"/>
    <n v="389976021"/>
    <n v="416059682"/>
    <m/>
    <m/>
    <m/>
    <m/>
    <n v="0"/>
    <m/>
    <m/>
    <n v="0"/>
    <m/>
    <m/>
    <m/>
    <m/>
    <m/>
    <m/>
    <n v="389976021"/>
    <n v="416059682"/>
  </r>
  <r>
    <x v="13"/>
    <x v="0"/>
    <s v="University of Texas at Arlington"/>
    <m/>
    <n v="228769"/>
    <x v="0"/>
    <n v="110887857"/>
    <n v="101975964"/>
    <n v="2324783"/>
    <n v="2011979"/>
    <m/>
    <m/>
    <n v="179693659"/>
    <m/>
    <n v="179693659"/>
    <n v="212220593"/>
    <m/>
    <n v="212220593"/>
    <n v="292906299"/>
    <n v="316208536"/>
    <m/>
    <m/>
    <m/>
    <m/>
    <n v="0"/>
    <m/>
    <m/>
    <n v="0"/>
    <m/>
    <m/>
    <m/>
    <m/>
    <m/>
    <m/>
    <n v="292906299"/>
    <n v="316208536"/>
  </r>
  <r>
    <x v="13"/>
    <x v="0"/>
    <s v="University of Texas at Austin"/>
    <m/>
    <n v="228778"/>
    <x v="0"/>
    <n v="512537523"/>
    <n v="563661405"/>
    <n v="2304419"/>
    <n v="2191771"/>
    <m/>
    <m/>
    <n v="536666128"/>
    <m/>
    <n v="536666128"/>
    <n v="573259925"/>
    <m/>
    <n v="573259925"/>
    <n v="1051508070"/>
    <n v="1139113101"/>
    <m/>
    <m/>
    <m/>
    <m/>
    <n v="0"/>
    <m/>
    <m/>
    <n v="0"/>
    <m/>
    <m/>
    <m/>
    <m/>
    <m/>
    <m/>
    <n v="1051508070"/>
    <n v="1139113101"/>
  </r>
  <r>
    <x v="13"/>
    <x v="0"/>
    <s v="University of Texas at Dallas"/>
    <m/>
    <n v="228787"/>
    <x v="0"/>
    <n v="91773557"/>
    <n v="83708253"/>
    <n v="8938728"/>
    <n v="8017416"/>
    <m/>
    <m/>
    <n v="142647015"/>
    <m/>
    <n v="142647015"/>
    <n v="164147213"/>
    <m/>
    <n v="164147213"/>
    <n v="243359300"/>
    <n v="255872882"/>
    <m/>
    <m/>
    <m/>
    <m/>
    <n v="0"/>
    <m/>
    <m/>
    <n v="0"/>
    <m/>
    <m/>
    <m/>
    <m/>
    <m/>
    <m/>
    <n v="243359300"/>
    <n v="255872882"/>
  </r>
  <r>
    <x v="13"/>
    <x v="0"/>
    <s v="Texas Woman's University"/>
    <s v="Met the criteria for Four-Year 1 in 2010-11."/>
    <n v="229179"/>
    <x v="1"/>
    <n v="68405494"/>
    <n v="65129142"/>
    <n v="1861300"/>
    <n v="1832038"/>
    <m/>
    <m/>
    <n v="67698995"/>
    <m/>
    <n v="67698995"/>
    <n v="72277741"/>
    <m/>
    <n v="72277741"/>
    <n v="137965789"/>
    <n v="139238921"/>
    <m/>
    <m/>
    <m/>
    <m/>
    <n v="0"/>
    <m/>
    <m/>
    <n v="0"/>
    <m/>
    <m/>
    <m/>
    <m/>
    <m/>
    <m/>
    <n v="137965789"/>
    <n v="139238921"/>
  </r>
  <r>
    <x v="13"/>
    <x v="0"/>
    <s v="University of Texas at El Paso"/>
    <m/>
    <n v="228796"/>
    <x v="1"/>
    <n v="92379510"/>
    <n v="84849722"/>
    <n v="4133543"/>
    <n v="4115797"/>
    <m/>
    <m/>
    <n v="111702317"/>
    <m/>
    <n v="111702317"/>
    <n v="120139826"/>
    <m/>
    <n v="120139826"/>
    <n v="208215370"/>
    <n v="209105345"/>
    <m/>
    <m/>
    <m/>
    <m/>
    <n v="0"/>
    <m/>
    <m/>
    <n v="0"/>
    <m/>
    <m/>
    <m/>
    <m/>
    <m/>
    <m/>
    <n v="208215370"/>
    <n v="209105345"/>
  </r>
  <r>
    <x v="13"/>
    <x v="0"/>
    <s v="University of Texas at San Antonio"/>
    <m/>
    <n v="229027"/>
    <x v="1"/>
    <n v="113715236"/>
    <n v="104243343"/>
    <n v="3299764"/>
    <n v="2691799"/>
    <m/>
    <m/>
    <n v="183377452"/>
    <m/>
    <n v="183377452"/>
    <n v="198751993"/>
    <m/>
    <n v="198751993"/>
    <n v="300392452"/>
    <n v="305687135"/>
    <m/>
    <m/>
    <m/>
    <m/>
    <n v="0"/>
    <m/>
    <m/>
    <n v="0"/>
    <m/>
    <m/>
    <m/>
    <m/>
    <m/>
    <m/>
    <n v="300392452"/>
    <n v="305687135"/>
  </r>
  <r>
    <x v="13"/>
    <x v="0"/>
    <s v="Angelo State University"/>
    <m/>
    <n v="222831"/>
    <x v="2"/>
    <n v="31414247"/>
    <n v="29777928"/>
    <n v="217057"/>
    <n v="294437"/>
    <m/>
    <m/>
    <n v="28861723"/>
    <m/>
    <n v="28861723"/>
    <n v="34312909"/>
    <m/>
    <n v="34312909"/>
    <n v="60493027"/>
    <n v="64385274"/>
    <m/>
    <m/>
    <m/>
    <m/>
    <n v="0"/>
    <m/>
    <m/>
    <n v="0"/>
    <m/>
    <m/>
    <m/>
    <m/>
    <m/>
    <m/>
    <n v="60493027"/>
    <n v="64385274"/>
  </r>
  <r>
    <x v="13"/>
    <x v="0"/>
    <s v="Lamar University"/>
    <m/>
    <n v="226091"/>
    <x v="2"/>
    <n v="58374200"/>
    <n v="53819963"/>
    <n v="507043"/>
    <n v="1649287"/>
    <m/>
    <m/>
    <n v="68402117"/>
    <n v="145360"/>
    <n v="68547477"/>
    <n v="78517766"/>
    <n v="0"/>
    <n v="78517766"/>
    <n v="127283360"/>
    <n v="133987016"/>
    <m/>
    <m/>
    <m/>
    <m/>
    <n v="0"/>
    <m/>
    <m/>
    <n v="0"/>
    <m/>
    <m/>
    <m/>
    <m/>
    <m/>
    <m/>
    <n v="127283360"/>
    <n v="133987016"/>
  </r>
  <r>
    <x v="13"/>
    <x v="0"/>
    <s v="Midwestern State University  "/>
    <m/>
    <n v="226833"/>
    <x v="2"/>
    <n v="25073078"/>
    <n v="23774342"/>
    <n v="326566"/>
    <n v="505138"/>
    <m/>
    <m/>
    <n v="37882921"/>
    <m/>
    <n v="37882921"/>
    <n v="40548466"/>
    <m/>
    <n v="40548466"/>
    <n v="63282565"/>
    <n v="64827946"/>
    <m/>
    <m/>
    <m/>
    <m/>
    <n v="0"/>
    <m/>
    <m/>
    <n v="0"/>
    <m/>
    <m/>
    <m/>
    <m/>
    <m/>
    <m/>
    <n v="63282565"/>
    <n v="64827946"/>
  </r>
  <r>
    <x v="13"/>
    <x v="0"/>
    <s v="Prairie View A&amp;M University"/>
    <m/>
    <n v="227526"/>
    <x v="2"/>
    <n v="71894457"/>
    <n v="68705296"/>
    <n v="381203"/>
    <n v="296140"/>
    <m/>
    <m/>
    <n v="46083486"/>
    <m/>
    <n v="46083486"/>
    <n v="53574912"/>
    <m/>
    <n v="53574912"/>
    <n v="118359146"/>
    <n v="122576348"/>
    <m/>
    <m/>
    <m/>
    <m/>
    <n v="0"/>
    <m/>
    <m/>
    <n v="0"/>
    <m/>
    <m/>
    <m/>
    <m/>
    <m/>
    <m/>
    <n v="118359146"/>
    <n v="122576348"/>
  </r>
  <r>
    <x v="13"/>
    <x v="0"/>
    <s v="Sam Houston State University "/>
    <m/>
    <n v="227881"/>
    <x v="2"/>
    <n v="63631487"/>
    <n v="60751084"/>
    <n v="1742371"/>
    <n v="2024190"/>
    <m/>
    <m/>
    <n v="87595826"/>
    <m/>
    <n v="87595826"/>
    <n v="95144750"/>
    <m/>
    <n v="95144750"/>
    <n v="152969684"/>
    <n v="157920024"/>
    <m/>
    <m/>
    <m/>
    <m/>
    <n v="0"/>
    <m/>
    <m/>
    <n v="0"/>
    <m/>
    <m/>
    <m/>
    <m/>
    <m/>
    <m/>
    <n v="152969684"/>
    <n v="157920024"/>
  </r>
  <r>
    <x v="13"/>
    <x v="0"/>
    <s v="Stephen F. Austin State University"/>
    <m/>
    <n v="228431"/>
    <x v="2"/>
    <n v="57929196"/>
    <n v="53757040"/>
    <n v="559134"/>
    <n v="628772"/>
    <m/>
    <m/>
    <n v="69984978"/>
    <m/>
    <n v="69984978"/>
    <n v="77295783"/>
    <m/>
    <n v="77295783"/>
    <n v="128473308"/>
    <n v="131681595"/>
    <m/>
    <m/>
    <m/>
    <m/>
    <n v="0"/>
    <m/>
    <m/>
    <n v="0"/>
    <m/>
    <m/>
    <m/>
    <m/>
    <m/>
    <m/>
    <n v="128473308"/>
    <n v="131681595"/>
  </r>
  <r>
    <x v="13"/>
    <x v="0"/>
    <s v="Sul Ross State University "/>
    <m/>
    <n v="228501"/>
    <x v="2"/>
    <n v="17306511"/>
    <n v="16460813"/>
    <n v="107346"/>
    <n v="228958"/>
    <m/>
    <m/>
    <n v="10706951"/>
    <m/>
    <n v="10706951"/>
    <n v="11966411"/>
    <m/>
    <n v="11966411"/>
    <n v="28120808"/>
    <n v="28656182"/>
    <m/>
    <m/>
    <m/>
    <m/>
    <n v="0"/>
    <m/>
    <m/>
    <n v="0"/>
    <m/>
    <m/>
    <m/>
    <m/>
    <m/>
    <m/>
    <n v="28120808"/>
    <n v="28656182"/>
  </r>
  <r>
    <x v="13"/>
    <x v="0"/>
    <s v="Tarleton State University  "/>
    <m/>
    <n v="228529"/>
    <x v="2"/>
    <n v="51203537"/>
    <n v="46259964"/>
    <n v="963167"/>
    <n v="1113020"/>
    <m/>
    <m/>
    <n v="43363308"/>
    <m/>
    <n v="43363308"/>
    <n v="40256205"/>
    <m/>
    <n v="40256205"/>
    <n v="95530012"/>
    <n v="87629189"/>
    <m/>
    <m/>
    <m/>
    <m/>
    <n v="0"/>
    <m/>
    <m/>
    <n v="0"/>
    <m/>
    <m/>
    <m/>
    <m/>
    <m/>
    <m/>
    <n v="95530012"/>
    <n v="87629189"/>
  </r>
  <r>
    <x v="13"/>
    <x v="0"/>
    <s v="Texas A&amp;M International University"/>
    <m/>
    <n v="226152"/>
    <x v="2"/>
    <n v="31058857"/>
    <n v="30273739"/>
    <n v="595138"/>
    <n v="423845"/>
    <m/>
    <m/>
    <n v="21058372"/>
    <m/>
    <n v="21058372"/>
    <n v="26525888"/>
    <m/>
    <n v="26525888"/>
    <n v="52712367"/>
    <n v="57223472"/>
    <m/>
    <m/>
    <m/>
    <m/>
    <n v="0"/>
    <m/>
    <m/>
    <n v="0"/>
    <m/>
    <m/>
    <m/>
    <m/>
    <m/>
    <m/>
    <n v="52712367"/>
    <n v="57223472"/>
  </r>
  <r>
    <x v="13"/>
    <x v="0"/>
    <s v="Texas A&amp;M University-Commerce"/>
    <m/>
    <n v="224554"/>
    <x v="2"/>
    <n v="45578797"/>
    <n v="43338300"/>
    <n v="809280"/>
    <n v="588663"/>
    <m/>
    <m/>
    <n v="37226102"/>
    <m/>
    <n v="37226102"/>
    <n v="44135966"/>
    <m/>
    <n v="44135966"/>
    <n v="83614179"/>
    <n v="88062929"/>
    <m/>
    <m/>
    <m/>
    <m/>
    <n v="0"/>
    <m/>
    <m/>
    <n v="0"/>
    <m/>
    <m/>
    <m/>
    <m/>
    <m/>
    <m/>
    <n v="83614179"/>
    <n v="88062929"/>
  </r>
  <r>
    <x v="13"/>
    <x v="0"/>
    <s v="Texas A&amp;M University-Corpus Christi "/>
    <m/>
    <n v="224147"/>
    <x v="2"/>
    <n v="54938021"/>
    <n v="51339423"/>
    <n v="1005595"/>
    <n v="1049347"/>
    <m/>
    <m/>
    <n v="40493570"/>
    <m/>
    <n v="40493570"/>
    <n v="46644718"/>
    <m/>
    <n v="46644718"/>
    <n v="96437186"/>
    <n v="99033488"/>
    <m/>
    <m/>
    <m/>
    <m/>
    <n v="0"/>
    <m/>
    <m/>
    <n v="0"/>
    <m/>
    <m/>
    <m/>
    <m/>
    <m/>
    <m/>
    <n v="96437186"/>
    <n v="99033488"/>
  </r>
  <r>
    <x v="13"/>
    <x v="0"/>
    <s v="Texas A&amp;M University-Kingsville"/>
    <m/>
    <n v="228705"/>
    <x v="2"/>
    <n v="52977711"/>
    <n v="51415685"/>
    <n v="580620"/>
    <n v="399334"/>
    <m/>
    <m/>
    <n v="33487207"/>
    <m/>
    <n v="33487207"/>
    <n v="52149397"/>
    <m/>
    <n v="52149397"/>
    <n v="87045538"/>
    <n v="103964416"/>
    <m/>
    <m/>
    <m/>
    <m/>
    <n v="0"/>
    <m/>
    <m/>
    <n v="0"/>
    <m/>
    <m/>
    <m/>
    <m/>
    <m/>
    <m/>
    <n v="87045538"/>
    <n v="103964416"/>
  </r>
  <r>
    <x v="13"/>
    <x v="0"/>
    <s v="Texas Southern University "/>
    <m/>
    <n v="229063"/>
    <x v="2"/>
    <n v="67828500"/>
    <n v="63929576"/>
    <n v="1175925"/>
    <n v="843304"/>
    <m/>
    <m/>
    <n v="64535524"/>
    <m/>
    <n v="64535524"/>
    <n v="73661614"/>
    <m/>
    <n v="73661614"/>
    <n v="133539949"/>
    <n v="138434494"/>
    <m/>
    <m/>
    <m/>
    <m/>
    <n v="0"/>
    <m/>
    <m/>
    <n v="0"/>
    <m/>
    <m/>
    <m/>
    <m/>
    <m/>
    <m/>
    <n v="133539949"/>
    <n v="138434494"/>
  </r>
  <r>
    <x v="13"/>
    <x v="0"/>
    <s v="Texas State University - San Marcos"/>
    <m/>
    <n v="228459"/>
    <x v="2"/>
    <n v="114041367"/>
    <n v="109283094"/>
    <n v="2476454"/>
    <n v="2728141"/>
    <m/>
    <m/>
    <n v="163330466"/>
    <n v="299190"/>
    <n v="163629656"/>
    <n v="182363624"/>
    <n v="299190"/>
    <n v="182662814"/>
    <n v="279848287"/>
    <n v="294374859"/>
    <m/>
    <m/>
    <m/>
    <m/>
    <n v="0"/>
    <m/>
    <m/>
    <n v="0"/>
    <m/>
    <m/>
    <m/>
    <m/>
    <m/>
    <m/>
    <n v="279848287"/>
    <n v="294374859"/>
  </r>
  <r>
    <x v="13"/>
    <x v="0"/>
    <s v="University of Houston-Clear Lake "/>
    <m/>
    <n v="225414"/>
    <x v="2"/>
    <n v="39333899"/>
    <n v="37161192"/>
    <n v="404321"/>
    <n v="547832"/>
    <m/>
    <m/>
    <n v="38371993"/>
    <m/>
    <n v="38371993"/>
    <n v="42075131"/>
    <m/>
    <n v="42075131"/>
    <n v="78110213"/>
    <n v="79784155"/>
    <m/>
    <m/>
    <m/>
    <m/>
    <n v="0"/>
    <m/>
    <m/>
    <n v="0"/>
    <m/>
    <m/>
    <m/>
    <m/>
    <m/>
    <m/>
    <n v="78110213"/>
    <n v="79784155"/>
  </r>
  <r>
    <x v="13"/>
    <x v="0"/>
    <s v="University of Texas at Tyler"/>
    <m/>
    <n v="228802"/>
    <x v="2"/>
    <n v="31488495"/>
    <n v="28809185"/>
    <n v="826810"/>
    <n v="890966"/>
    <m/>
    <m/>
    <n v="30610996"/>
    <m/>
    <n v="30610996"/>
    <n v="32613169"/>
    <m/>
    <n v="32613169"/>
    <n v="62926301"/>
    <n v="62313320"/>
    <m/>
    <m/>
    <m/>
    <m/>
    <n v="0"/>
    <m/>
    <m/>
    <n v="0"/>
    <m/>
    <m/>
    <m/>
    <m/>
    <m/>
    <m/>
    <n v="62926301"/>
    <n v="62313320"/>
  </r>
  <r>
    <x v="13"/>
    <x v="0"/>
    <s v="University of Texas-Pan American"/>
    <m/>
    <n v="227368"/>
    <x v="2"/>
    <n v="79233453"/>
    <n v="73223342"/>
    <n v="1773867"/>
    <n v="1671181"/>
    <m/>
    <m/>
    <n v="73399894"/>
    <m/>
    <n v="73399894"/>
    <n v="87439247"/>
    <m/>
    <n v="87439247"/>
    <n v="154407214"/>
    <n v="162333770"/>
    <m/>
    <m/>
    <m/>
    <m/>
    <n v="0"/>
    <m/>
    <m/>
    <n v="0"/>
    <m/>
    <m/>
    <m/>
    <m/>
    <m/>
    <m/>
    <n v="154407214"/>
    <n v="162333770"/>
  </r>
  <r>
    <x v="13"/>
    <x v="0"/>
    <s v="West Texas A&amp;M University"/>
    <m/>
    <n v="229814"/>
    <x v="2"/>
    <n v="37273518"/>
    <n v="34941157"/>
    <n v="920811"/>
    <n v="761074"/>
    <m/>
    <m/>
    <n v="32482878"/>
    <m/>
    <n v="32482878"/>
    <n v="37180558"/>
    <m/>
    <n v="37180558"/>
    <n v="70677207"/>
    <n v="72882789"/>
    <m/>
    <m/>
    <m/>
    <m/>
    <n v="0"/>
    <m/>
    <m/>
    <n v="0"/>
    <m/>
    <m/>
    <m/>
    <m/>
    <m/>
    <m/>
    <n v="70677207"/>
    <n v="72882789"/>
  </r>
  <r>
    <x v="13"/>
    <x v="0"/>
    <s v="Texas A&amp;M -Texarkana"/>
    <m/>
    <n v="224545"/>
    <x v="3"/>
    <n v="11891247"/>
    <n v="11343351"/>
    <n v="212493"/>
    <n v="260837"/>
    <m/>
    <m/>
    <n v="4605734"/>
    <m/>
    <n v="4605734"/>
    <n v="5698814"/>
    <m/>
    <n v="5698814"/>
    <n v="16709474"/>
    <n v="17303002"/>
    <m/>
    <m/>
    <m/>
    <m/>
    <n v="0"/>
    <m/>
    <m/>
    <n v="0"/>
    <m/>
    <m/>
    <m/>
    <m/>
    <m/>
    <m/>
    <n v="16709474"/>
    <n v="17303002"/>
  </r>
  <r>
    <x v="13"/>
    <x v="0"/>
    <s v="University of Houston-Victoria"/>
    <m/>
    <n v="225502"/>
    <x v="3"/>
    <n v="17314304"/>
    <n v="16465763"/>
    <n v="170051"/>
    <n v="407155"/>
    <m/>
    <m/>
    <n v="13397940"/>
    <m/>
    <n v="13397940"/>
    <n v="16187977"/>
    <m/>
    <n v="16187977"/>
    <n v="30882295"/>
    <n v="33060895"/>
    <m/>
    <m/>
    <m/>
    <m/>
    <n v="0"/>
    <m/>
    <m/>
    <n v="0"/>
    <m/>
    <m/>
    <m/>
    <m/>
    <m/>
    <m/>
    <n v="30882295"/>
    <n v="33060895"/>
  </r>
  <r>
    <x v="13"/>
    <x v="0"/>
    <s v="University of Texas at Brownsville"/>
    <s v="Reclassified: Met the criteria for Four-Year 3 in 2008-09, 2009-10 and 2010-11."/>
    <n v="227377"/>
    <x v="2"/>
    <n v="30450186"/>
    <n v="28295250"/>
    <n v="866078"/>
    <n v="562047"/>
    <m/>
    <m/>
    <n v="20407980"/>
    <m/>
    <n v="20407980"/>
    <n v="22481915"/>
    <m/>
    <n v="22481915"/>
    <n v="51724244"/>
    <n v="51339212"/>
    <m/>
    <m/>
    <m/>
    <m/>
    <n v="0"/>
    <m/>
    <m/>
    <n v="0"/>
    <m/>
    <m/>
    <m/>
    <m/>
    <m/>
    <m/>
    <n v="51724244"/>
    <n v="51339212"/>
  </r>
  <r>
    <x v="13"/>
    <x v="0"/>
    <s v="University of Texas of the Permian Basin"/>
    <s v="Met the criteria for Four-Year 3 in 2009-10 and 2010-11."/>
    <n v="229018"/>
    <x v="3"/>
    <n v="22407107"/>
    <n v="20345203"/>
    <n v="263861"/>
    <n v="280400"/>
    <m/>
    <m/>
    <n v="13238007"/>
    <m/>
    <n v="13238007"/>
    <n v="17551317"/>
    <m/>
    <n v="17551317"/>
    <n v="35908975"/>
    <n v="38176920"/>
    <m/>
    <m/>
    <m/>
    <m/>
    <n v="0"/>
    <m/>
    <m/>
    <n v="0"/>
    <m/>
    <m/>
    <m/>
    <m/>
    <m/>
    <m/>
    <n v="35908975"/>
    <n v="38176920"/>
  </r>
  <r>
    <x v="13"/>
    <x v="0"/>
    <s v="Sul Ross State University-Rio Grande College"/>
    <m/>
    <n v="227924"/>
    <x v="4"/>
    <n v="6733972"/>
    <n v="6328062"/>
    <n v="41048"/>
    <n v="53977"/>
    <m/>
    <m/>
    <m/>
    <m/>
    <n v="0"/>
    <m/>
    <m/>
    <n v="0"/>
    <n v="6775020"/>
    <n v="6382039"/>
    <m/>
    <m/>
    <m/>
    <m/>
    <n v="0"/>
    <m/>
    <m/>
    <n v="0"/>
    <m/>
    <m/>
    <m/>
    <m/>
    <m/>
    <m/>
    <n v="6775020"/>
    <n v="6382039"/>
  </r>
  <r>
    <x v="13"/>
    <x v="0"/>
    <s v="University of Houston-Downtown"/>
    <m/>
    <n v="225432"/>
    <x v="4"/>
    <n v="35594620"/>
    <n v="34179660"/>
    <n v="1132831"/>
    <n v="1023600"/>
    <m/>
    <m/>
    <n v="47686639"/>
    <m/>
    <n v="47686639"/>
    <n v="51382247"/>
    <m/>
    <n v="51382247"/>
    <n v="84414090"/>
    <n v="86585507"/>
    <m/>
    <m/>
    <m/>
    <m/>
    <n v="0"/>
    <m/>
    <m/>
    <n v="0"/>
    <m/>
    <m/>
    <m/>
    <m/>
    <m/>
    <m/>
    <n v="84414090"/>
    <n v="86585507"/>
  </r>
  <r>
    <x v="13"/>
    <x v="0"/>
    <s v="Texas A&amp;M University at Galveston"/>
    <m/>
    <n v="228714"/>
    <x v="5"/>
    <n v="15517097"/>
    <n v="14369320"/>
    <n v="58706"/>
    <n v="48489"/>
    <m/>
    <m/>
    <n v="13250272"/>
    <m/>
    <n v="13250272"/>
    <n v="15032688"/>
    <m/>
    <n v="15032688"/>
    <n v="28826075"/>
    <n v="29450497"/>
    <m/>
    <m/>
    <m/>
    <m/>
    <n v="0"/>
    <m/>
    <m/>
    <n v="0"/>
    <m/>
    <m/>
    <m/>
    <m/>
    <m/>
    <m/>
    <n v="28826075"/>
    <n v="29450497"/>
  </r>
  <r>
    <x v="13"/>
    <x v="0"/>
    <s v="Brazosport College "/>
    <m/>
    <n v="223506"/>
    <x v="13"/>
    <n v="8028080"/>
    <n v="7827773"/>
    <m/>
    <m/>
    <n v="11175407"/>
    <n v="11317472"/>
    <n v="6052276"/>
    <m/>
    <n v="6052276"/>
    <n v="6582505"/>
    <m/>
    <n v="6582505"/>
    <n v="25255763"/>
    <n v="25727750"/>
    <m/>
    <m/>
    <m/>
    <m/>
    <n v="0"/>
    <m/>
    <m/>
    <n v="0"/>
    <m/>
    <m/>
    <m/>
    <m/>
    <m/>
    <m/>
    <n v="25255763"/>
    <n v="25727750"/>
  </r>
  <r>
    <x v="13"/>
    <x v="0"/>
    <s v="Midland College "/>
    <m/>
    <n v="226806"/>
    <x v="13"/>
    <n v="13577895"/>
    <n v="12965622"/>
    <m/>
    <m/>
    <n v="17955690"/>
    <n v="18935649"/>
    <n v="10963639"/>
    <m/>
    <n v="10963639"/>
    <n v="12565804"/>
    <m/>
    <n v="12565804"/>
    <n v="42497224"/>
    <n v="44467075"/>
    <m/>
    <m/>
    <m/>
    <m/>
    <n v="0"/>
    <m/>
    <m/>
    <n v="0"/>
    <m/>
    <m/>
    <m/>
    <m/>
    <m/>
    <m/>
    <n v="42497224"/>
    <n v="44467075"/>
  </r>
  <r>
    <x v="13"/>
    <x v="0"/>
    <s v="South Texas College"/>
    <m/>
    <n v="409315"/>
    <x v="13"/>
    <n v="38396484"/>
    <n v="35803630"/>
    <m/>
    <m/>
    <n v="45283358"/>
    <n v="46512487"/>
    <n v="45184551"/>
    <m/>
    <n v="45184551"/>
    <n v="60878678"/>
    <m/>
    <n v="60878678"/>
    <n v="128864393"/>
    <n v="143194795"/>
    <m/>
    <m/>
    <m/>
    <m/>
    <n v="0"/>
    <m/>
    <m/>
    <n v="0"/>
    <m/>
    <m/>
    <m/>
    <m/>
    <m/>
    <m/>
    <n v="128864393"/>
    <n v="143194795"/>
  </r>
  <r>
    <x v="13"/>
    <x v="0"/>
    <s v="Amarillo College "/>
    <m/>
    <n v="222576"/>
    <x v="6"/>
    <n v="22943747"/>
    <n v="22172511"/>
    <m/>
    <m/>
    <n v="17636549"/>
    <n v="18159438"/>
    <n v="15995240"/>
    <m/>
    <n v="15995240"/>
    <n v="17902392"/>
    <m/>
    <n v="17902392"/>
    <n v="56575536"/>
    <n v="58234341"/>
    <m/>
    <m/>
    <m/>
    <m/>
    <n v="0"/>
    <m/>
    <m/>
    <n v="0"/>
    <m/>
    <m/>
    <m/>
    <m/>
    <m/>
    <m/>
    <n v="56575536"/>
    <n v="58234341"/>
  </r>
  <r>
    <x v="13"/>
    <x v="0"/>
    <s v="Austin Community College "/>
    <m/>
    <n v="222992"/>
    <x v="6"/>
    <n v="61470331"/>
    <n v="57550164"/>
    <m/>
    <m/>
    <n v="88638807"/>
    <n v="104503979"/>
    <n v="61043953"/>
    <m/>
    <n v="61043953"/>
    <n v="71163481"/>
    <m/>
    <n v="71163481"/>
    <n v="211153091"/>
    <n v="233217624"/>
    <m/>
    <m/>
    <m/>
    <m/>
    <n v="0"/>
    <m/>
    <m/>
    <n v="0"/>
    <m/>
    <m/>
    <m/>
    <m/>
    <m/>
    <m/>
    <n v="211153091"/>
    <n v="233217624"/>
  </r>
  <r>
    <x v="13"/>
    <x v="0"/>
    <s v="Blinn College "/>
    <m/>
    <n v="223427"/>
    <x v="6"/>
    <n v="28889034"/>
    <n v="27206892"/>
    <m/>
    <m/>
    <n v="1366917"/>
    <n v="1401292"/>
    <n v="34766039"/>
    <m/>
    <n v="34766039"/>
    <n v="38195511"/>
    <m/>
    <n v="38195511"/>
    <n v="65021990"/>
    <n v="66803695"/>
    <m/>
    <m/>
    <m/>
    <m/>
    <n v="0"/>
    <m/>
    <m/>
    <n v="0"/>
    <m/>
    <m/>
    <m/>
    <m/>
    <m/>
    <m/>
    <n v="65021990"/>
    <n v="66803695"/>
  </r>
  <r>
    <x v="13"/>
    <x v="0"/>
    <s v="Brookhaven College  (DCCCD)"/>
    <m/>
    <n v="223524"/>
    <x v="6"/>
    <m/>
    <m/>
    <m/>
    <m/>
    <m/>
    <m/>
    <m/>
    <m/>
    <n v="0"/>
    <m/>
    <m/>
    <n v="0"/>
    <n v="0"/>
    <n v="0"/>
    <m/>
    <m/>
    <m/>
    <m/>
    <n v="0"/>
    <m/>
    <m/>
    <n v="0"/>
    <m/>
    <m/>
    <m/>
    <m/>
    <m/>
    <m/>
    <n v="0"/>
    <n v="0"/>
  </r>
  <r>
    <x v="13"/>
    <x v="0"/>
    <s v="Central Texas College "/>
    <m/>
    <n v="223816"/>
    <x v="6"/>
    <n v="27956564"/>
    <n v="24382635"/>
    <m/>
    <m/>
    <n v="10616386"/>
    <n v="10848729"/>
    <n v="53234556"/>
    <m/>
    <n v="53234556"/>
    <n v="62632752"/>
    <m/>
    <n v="62632752"/>
    <n v="91807506"/>
    <n v="97864116"/>
    <m/>
    <m/>
    <m/>
    <m/>
    <n v="0"/>
    <m/>
    <m/>
    <n v="0"/>
    <m/>
    <m/>
    <m/>
    <m/>
    <m/>
    <m/>
    <n v="91807506"/>
    <n v="97864116"/>
  </r>
  <r>
    <x v="13"/>
    <x v="0"/>
    <s v="Collin County Community College District"/>
    <m/>
    <n v="247834"/>
    <x v="6"/>
    <n v="38652482"/>
    <n v="36435822"/>
    <m/>
    <m/>
    <n v="64146767"/>
    <n v="62548821"/>
    <n v="25164305"/>
    <m/>
    <n v="25164305"/>
    <n v="28681780"/>
    <m/>
    <n v="28681780"/>
    <n v="127963554"/>
    <n v="127666423"/>
    <m/>
    <m/>
    <m/>
    <m/>
    <n v="0"/>
    <m/>
    <m/>
    <n v="0"/>
    <m/>
    <m/>
    <m/>
    <m/>
    <m/>
    <m/>
    <n v="127963554"/>
    <n v="127666423"/>
  </r>
  <r>
    <x v="13"/>
    <x v="0"/>
    <s v="Del Mar College "/>
    <m/>
    <n v="224350"/>
    <x v="6"/>
    <n v="25580091"/>
    <n v="24802510"/>
    <m/>
    <m/>
    <n v="41161197"/>
    <n v="44089913"/>
    <n v="21486490"/>
    <m/>
    <n v="21486490"/>
    <n v="22649845"/>
    <m/>
    <n v="22649845"/>
    <n v="88227778"/>
    <n v="91542268"/>
    <m/>
    <m/>
    <m/>
    <m/>
    <n v="0"/>
    <m/>
    <m/>
    <n v="0"/>
    <m/>
    <m/>
    <m/>
    <m/>
    <m/>
    <m/>
    <n v="88227778"/>
    <n v="91542268"/>
  </r>
  <r>
    <x v="13"/>
    <x v="0"/>
    <s v="Eastfield College  (DCCCD)"/>
    <m/>
    <n v="224572"/>
    <x v="6"/>
    <m/>
    <m/>
    <m/>
    <m/>
    <m/>
    <m/>
    <m/>
    <m/>
    <n v="0"/>
    <m/>
    <m/>
    <n v="0"/>
    <n v="0"/>
    <n v="0"/>
    <m/>
    <m/>
    <m/>
    <m/>
    <n v="0"/>
    <m/>
    <m/>
    <n v="0"/>
    <m/>
    <m/>
    <m/>
    <m/>
    <m/>
    <m/>
    <n v="0"/>
    <n v="0"/>
  </r>
  <r>
    <x v="13"/>
    <x v="0"/>
    <s v="El Paso County Community College District"/>
    <m/>
    <n v="224642"/>
    <x v="6"/>
    <n v="44310860"/>
    <n v="41801834"/>
    <m/>
    <m/>
    <n v="36182641"/>
    <n v="36967294"/>
    <n v="37204501"/>
    <m/>
    <n v="37204501"/>
    <n v="45841912"/>
    <m/>
    <n v="45841912"/>
    <n v="117698002"/>
    <n v="124611040"/>
    <m/>
    <m/>
    <m/>
    <m/>
    <n v="0"/>
    <m/>
    <m/>
    <n v="0"/>
    <m/>
    <m/>
    <m/>
    <m/>
    <m/>
    <m/>
    <n v="117698002"/>
    <n v="124611040"/>
  </r>
  <r>
    <x v="13"/>
    <x v="0"/>
    <s v="Houston Community College"/>
    <m/>
    <n v="225423"/>
    <x v="6"/>
    <n v="88774805"/>
    <n v="83252960"/>
    <m/>
    <m/>
    <n v="108893384"/>
    <n v="119273809"/>
    <n v="93173791"/>
    <m/>
    <n v="93173791"/>
    <n v="105610032"/>
    <m/>
    <n v="105610032"/>
    <n v="290841980"/>
    <n v="308136801"/>
    <m/>
    <m/>
    <m/>
    <m/>
    <n v="0"/>
    <m/>
    <m/>
    <n v="0"/>
    <m/>
    <m/>
    <m/>
    <m/>
    <m/>
    <m/>
    <n v="290841980"/>
    <n v="308136801"/>
  </r>
  <r>
    <x v="13"/>
    <x v="0"/>
    <s v="Laredo Community College "/>
    <m/>
    <n v="226134"/>
    <x v="6"/>
    <n v="17824490"/>
    <n v="17509230"/>
    <m/>
    <m/>
    <n v="23835144"/>
    <n v="25138309"/>
    <n v="13300868"/>
    <m/>
    <n v="13300868"/>
    <n v="15310717"/>
    <m/>
    <n v="15310717"/>
    <n v="54960502"/>
    <n v="57958256"/>
    <m/>
    <m/>
    <m/>
    <m/>
    <n v="0"/>
    <m/>
    <m/>
    <n v="0"/>
    <m/>
    <m/>
    <m/>
    <m/>
    <m/>
    <m/>
    <n v="54960502"/>
    <n v="57958256"/>
  </r>
  <r>
    <x v="13"/>
    <x v="0"/>
    <s v="McLennan Community College "/>
    <m/>
    <n v="226578"/>
    <x v="6"/>
    <n v="18283311"/>
    <n v="17703539"/>
    <m/>
    <m/>
    <n v="16221832"/>
    <n v="17224631"/>
    <n v="15381150"/>
    <m/>
    <n v="15381150"/>
    <n v="19866254"/>
    <m/>
    <n v="19866254"/>
    <n v="49886293"/>
    <n v="54794424"/>
    <m/>
    <m/>
    <m/>
    <m/>
    <n v="0"/>
    <m/>
    <m/>
    <n v="0"/>
    <m/>
    <m/>
    <m/>
    <m/>
    <m/>
    <m/>
    <n v="49886293"/>
    <n v="54794424"/>
  </r>
  <r>
    <x v="13"/>
    <x v="0"/>
    <s v="Navarro College "/>
    <m/>
    <n v="227146"/>
    <x v="6"/>
    <n v="17522260"/>
    <n v="16201779"/>
    <m/>
    <m/>
    <n v="2888595"/>
    <n v="2988424"/>
    <n v="15022963"/>
    <m/>
    <n v="15022963"/>
    <n v="18067553"/>
    <m/>
    <n v="18067553"/>
    <n v="35433818"/>
    <n v="37257756"/>
    <m/>
    <m/>
    <m/>
    <m/>
    <n v="0"/>
    <m/>
    <m/>
    <n v="0"/>
    <m/>
    <m/>
    <m/>
    <m/>
    <m/>
    <m/>
    <n v="35433818"/>
    <n v="37257756"/>
  </r>
  <r>
    <x v="13"/>
    <x v="0"/>
    <s v="Lone Star College System District"/>
    <m/>
    <n v="227182"/>
    <x v="6"/>
    <n v="77904728"/>
    <n v="72265539"/>
    <m/>
    <m/>
    <n v="126252787"/>
    <n v="128831580"/>
    <n v="56110631"/>
    <m/>
    <n v="56110631"/>
    <n v="70961007"/>
    <m/>
    <n v="70961007"/>
    <n v="260268146"/>
    <n v="272058126"/>
    <m/>
    <m/>
    <m/>
    <m/>
    <n v="0"/>
    <m/>
    <m/>
    <n v="0"/>
    <m/>
    <m/>
    <m/>
    <m/>
    <m/>
    <m/>
    <n v="260268146"/>
    <n v="272058126"/>
  </r>
  <r>
    <x v="13"/>
    <x v="0"/>
    <s v="North Lake College  (DCCCD)"/>
    <m/>
    <n v="227191"/>
    <x v="6"/>
    <m/>
    <m/>
    <m/>
    <m/>
    <m/>
    <m/>
    <m/>
    <m/>
    <n v="0"/>
    <m/>
    <m/>
    <n v="0"/>
    <n v="0"/>
    <n v="0"/>
    <m/>
    <m/>
    <m/>
    <m/>
    <n v="0"/>
    <m/>
    <m/>
    <n v="0"/>
    <m/>
    <m/>
    <m/>
    <m/>
    <m/>
    <m/>
    <n v="0"/>
    <n v="0"/>
  </r>
  <r>
    <x v="13"/>
    <x v="0"/>
    <s v="Northwest Vista College (ACCD)"/>
    <m/>
    <n v="420398"/>
    <x v="6"/>
    <m/>
    <m/>
    <m/>
    <m/>
    <m/>
    <m/>
    <m/>
    <m/>
    <n v="0"/>
    <m/>
    <m/>
    <n v="0"/>
    <n v="0"/>
    <n v="0"/>
    <m/>
    <m/>
    <m/>
    <m/>
    <n v="0"/>
    <m/>
    <m/>
    <n v="0"/>
    <m/>
    <m/>
    <m/>
    <m/>
    <m/>
    <m/>
    <n v="0"/>
    <n v="0"/>
  </r>
  <r>
    <x v="13"/>
    <x v="0"/>
    <s v="Palo Alto College  (ACCD)"/>
    <m/>
    <n v="246354"/>
    <x v="6"/>
    <m/>
    <m/>
    <m/>
    <m/>
    <m/>
    <m/>
    <m/>
    <m/>
    <n v="0"/>
    <m/>
    <m/>
    <n v="0"/>
    <n v="0"/>
    <n v="0"/>
    <m/>
    <m/>
    <m/>
    <m/>
    <n v="0"/>
    <m/>
    <m/>
    <n v="0"/>
    <m/>
    <m/>
    <m/>
    <m/>
    <m/>
    <m/>
    <n v="0"/>
    <n v="0"/>
  </r>
  <r>
    <x v="13"/>
    <x v="0"/>
    <s v="Richland College  (DCCCD)"/>
    <m/>
    <n v="227766"/>
    <x v="6"/>
    <m/>
    <m/>
    <m/>
    <m/>
    <m/>
    <m/>
    <m/>
    <m/>
    <n v="0"/>
    <m/>
    <m/>
    <n v="0"/>
    <n v="0"/>
    <n v="0"/>
    <m/>
    <m/>
    <m/>
    <m/>
    <n v="0"/>
    <m/>
    <m/>
    <n v="0"/>
    <m/>
    <m/>
    <m/>
    <m/>
    <m/>
    <m/>
    <n v="0"/>
    <n v="0"/>
  </r>
  <r>
    <x v="13"/>
    <x v="0"/>
    <s v="San Antonio College (ACCD)"/>
    <m/>
    <n v="227924"/>
    <x v="6"/>
    <m/>
    <m/>
    <m/>
    <m/>
    <m/>
    <m/>
    <m/>
    <m/>
    <n v="0"/>
    <m/>
    <m/>
    <n v="0"/>
    <n v="0"/>
    <n v="0"/>
    <m/>
    <m/>
    <m/>
    <m/>
    <n v="0"/>
    <m/>
    <m/>
    <n v="0"/>
    <m/>
    <m/>
    <m/>
    <m/>
    <m/>
    <m/>
    <n v="0"/>
    <n v="0"/>
  </r>
  <r>
    <x v="13"/>
    <x v="0"/>
    <s v="San Jacinto College (SJCDS)"/>
    <m/>
    <n v="227979"/>
    <x v="6"/>
    <n v="50186812"/>
    <n v="47813960"/>
    <m/>
    <m/>
    <n v="64659498"/>
    <n v="67377088"/>
    <n v="39715965"/>
    <m/>
    <n v="39715965"/>
    <n v="43807352"/>
    <m/>
    <n v="43807352"/>
    <n v="154562275"/>
    <n v="158998400"/>
    <m/>
    <m/>
    <m/>
    <m/>
    <n v="0"/>
    <m/>
    <m/>
    <n v="0"/>
    <m/>
    <m/>
    <m/>
    <m/>
    <m/>
    <m/>
    <n v="154562275"/>
    <n v="158998400"/>
  </r>
  <r>
    <x v="13"/>
    <x v="0"/>
    <s v="South Plains College "/>
    <m/>
    <n v="228158"/>
    <x v="6"/>
    <n v="19946251"/>
    <n v="19977546"/>
    <m/>
    <m/>
    <n v="9543114"/>
    <n v="9551046"/>
    <n v="19464218"/>
    <m/>
    <n v="19464218"/>
    <n v="21715610"/>
    <m/>
    <n v="21715610"/>
    <n v="48953583"/>
    <n v="51244202"/>
    <m/>
    <m/>
    <m/>
    <m/>
    <n v="0"/>
    <m/>
    <m/>
    <n v="0"/>
    <m/>
    <m/>
    <m/>
    <m/>
    <m/>
    <m/>
    <n v="48953583"/>
    <n v="51244202"/>
  </r>
  <r>
    <x v="13"/>
    <x v="0"/>
    <s v="St. Philip's College  (ACCD)"/>
    <m/>
    <n v="227854"/>
    <x v="6"/>
    <m/>
    <m/>
    <m/>
    <m/>
    <m/>
    <m/>
    <m/>
    <m/>
    <n v="0"/>
    <m/>
    <m/>
    <n v="0"/>
    <n v="0"/>
    <n v="0"/>
    <m/>
    <m/>
    <m/>
    <m/>
    <n v="0"/>
    <m/>
    <m/>
    <n v="0"/>
    <m/>
    <m/>
    <m/>
    <m/>
    <m/>
    <m/>
    <n v="0"/>
    <n v="0"/>
  </r>
  <r>
    <x v="13"/>
    <x v="0"/>
    <s v="Tarrant County College (TCJCD)"/>
    <m/>
    <n v="228547"/>
    <x v="6"/>
    <n v="68640372"/>
    <n v="65038575"/>
    <m/>
    <m/>
    <n v="171684364"/>
    <n v="170989124"/>
    <n v="48397051"/>
    <m/>
    <n v="48397051"/>
    <n v="56566509"/>
    <m/>
    <n v="56566509"/>
    <n v="288721787"/>
    <n v="292594208"/>
    <m/>
    <m/>
    <m/>
    <m/>
    <n v="0"/>
    <m/>
    <m/>
    <n v="0"/>
    <m/>
    <m/>
    <m/>
    <m/>
    <m/>
    <m/>
    <n v="288721787"/>
    <n v="292594208"/>
  </r>
  <r>
    <x v="13"/>
    <x v="0"/>
    <s v="Texas Southmost College "/>
    <m/>
    <n v="229072"/>
    <x v="6"/>
    <n v="16521555"/>
    <n v="12245590"/>
    <m/>
    <m/>
    <n v="16480318"/>
    <n v="16480318"/>
    <n v="31654709"/>
    <m/>
    <n v="31654709"/>
    <n v="31654709"/>
    <m/>
    <n v="31654709"/>
    <n v="64656582"/>
    <n v="60380617"/>
    <m/>
    <m/>
    <m/>
    <m/>
    <n v="0"/>
    <m/>
    <m/>
    <n v="0"/>
    <m/>
    <m/>
    <m/>
    <m/>
    <m/>
    <m/>
    <n v="64656582"/>
    <n v="60380617"/>
  </r>
  <r>
    <x v="13"/>
    <x v="0"/>
    <s v="Tyler Junior College "/>
    <m/>
    <n v="229355"/>
    <x v="6"/>
    <n v="22230335"/>
    <n v="20717557"/>
    <m/>
    <m/>
    <n v="13062824"/>
    <n v="14638019"/>
    <n v="21577170"/>
    <m/>
    <n v="21577170"/>
    <n v="27201988"/>
    <m/>
    <n v="27201988"/>
    <n v="56870329"/>
    <n v="62557564"/>
    <m/>
    <m/>
    <m/>
    <m/>
    <n v="0"/>
    <m/>
    <m/>
    <n v="0"/>
    <m/>
    <m/>
    <m/>
    <m/>
    <m/>
    <m/>
    <n v="56870329"/>
    <n v="62557564"/>
  </r>
  <r>
    <x v="13"/>
    <x v="0"/>
    <s v="Alvin Community College "/>
    <m/>
    <n v="222567"/>
    <x v="7"/>
    <n v="10971147"/>
    <n v="10477794"/>
    <m/>
    <m/>
    <n v="11830389"/>
    <n v="11880866"/>
    <n v="7719060"/>
    <m/>
    <n v="7719060"/>
    <n v="9325016"/>
    <m/>
    <n v="9325016"/>
    <n v="30520596"/>
    <n v="31683676"/>
    <m/>
    <m/>
    <m/>
    <m/>
    <n v="0"/>
    <m/>
    <m/>
    <n v="0"/>
    <m/>
    <m/>
    <m/>
    <m/>
    <m/>
    <m/>
    <n v="30520596"/>
    <n v="31683676"/>
  </r>
  <r>
    <x v="13"/>
    <x v="0"/>
    <s v="Angelina College "/>
    <m/>
    <n v="222822"/>
    <x v="7"/>
    <n v="10405405"/>
    <n v="10016886"/>
    <m/>
    <m/>
    <n v="4722495"/>
    <n v="5483542"/>
    <n v="5824008"/>
    <m/>
    <n v="5824008"/>
    <n v="7077360"/>
    <m/>
    <n v="7077360"/>
    <n v="20951908"/>
    <n v="22577788"/>
    <m/>
    <m/>
    <m/>
    <m/>
    <n v="0"/>
    <m/>
    <m/>
    <n v="0"/>
    <m/>
    <m/>
    <m/>
    <m/>
    <m/>
    <m/>
    <n v="20951908"/>
    <n v="22577788"/>
  </r>
  <r>
    <x v="13"/>
    <x v="0"/>
    <s v="Cedar Valley College  (DCCCD)"/>
    <m/>
    <n v="223773"/>
    <x v="7"/>
    <m/>
    <m/>
    <m/>
    <m/>
    <m/>
    <m/>
    <m/>
    <m/>
    <n v="0"/>
    <m/>
    <m/>
    <n v="0"/>
    <n v="0"/>
    <n v="0"/>
    <m/>
    <m/>
    <m/>
    <m/>
    <n v="0"/>
    <m/>
    <m/>
    <n v="0"/>
    <m/>
    <m/>
    <m/>
    <m/>
    <m/>
    <m/>
    <n v="0"/>
    <n v="0"/>
  </r>
  <r>
    <x v="13"/>
    <x v="0"/>
    <s v="Cisco Junior College "/>
    <m/>
    <n v="223898"/>
    <x v="7"/>
    <n v="6990994"/>
    <n v="6750046"/>
    <m/>
    <m/>
    <n v="369165"/>
    <n v="482140"/>
    <n v="6976223"/>
    <m/>
    <n v="6976223"/>
    <n v="8747704"/>
    <m/>
    <n v="8747704"/>
    <n v="14336382"/>
    <n v="15979890"/>
    <m/>
    <m/>
    <m/>
    <m/>
    <n v="0"/>
    <m/>
    <m/>
    <n v="0"/>
    <m/>
    <m/>
    <m/>
    <m/>
    <m/>
    <m/>
    <n v="14336382"/>
    <n v="15979890"/>
  </r>
  <r>
    <x v="13"/>
    <x v="0"/>
    <s v="Coastal Bend College"/>
    <m/>
    <n v="223320"/>
    <x v="7"/>
    <n v="8819297"/>
    <n v="8480579"/>
    <m/>
    <m/>
    <n v="1779106"/>
    <n v="1914136"/>
    <n v="7971229"/>
    <m/>
    <n v="7971229"/>
    <n v="9373839"/>
    <m/>
    <n v="9373839"/>
    <n v="18569632"/>
    <n v="19768554"/>
    <m/>
    <m/>
    <m/>
    <m/>
    <n v="0"/>
    <m/>
    <m/>
    <n v="0"/>
    <m/>
    <m/>
    <m/>
    <m/>
    <m/>
    <m/>
    <n v="18569632"/>
    <n v="19768554"/>
  </r>
  <r>
    <x v="13"/>
    <x v="0"/>
    <s v="College of the Mainland"/>
    <m/>
    <n v="226408"/>
    <x v="7"/>
    <n v="10414902"/>
    <n v="10252658"/>
    <m/>
    <m/>
    <n v="21195558"/>
    <n v="18897807"/>
    <n v="5722346"/>
    <m/>
    <n v="5722346"/>
    <n v="6108096"/>
    <m/>
    <n v="6108096"/>
    <n v="37332806"/>
    <n v="35258561"/>
    <m/>
    <m/>
    <m/>
    <m/>
    <n v="0"/>
    <m/>
    <m/>
    <n v="0"/>
    <m/>
    <m/>
    <m/>
    <m/>
    <m/>
    <m/>
    <n v="37332806"/>
    <n v="35258561"/>
  </r>
  <r>
    <x v="13"/>
    <x v="0"/>
    <s v="El Centro College  (DCCCD)"/>
    <s v="Reclassified: Met criteria for Two-Year 1 in 2008-09, 2009-10 and 2010-11."/>
    <n v="224615"/>
    <x v="6"/>
    <m/>
    <m/>
    <m/>
    <m/>
    <m/>
    <m/>
    <m/>
    <m/>
    <n v="0"/>
    <m/>
    <m/>
    <n v="0"/>
    <n v="0"/>
    <n v="0"/>
    <m/>
    <m/>
    <m/>
    <m/>
    <n v="0"/>
    <m/>
    <m/>
    <n v="0"/>
    <m/>
    <m/>
    <m/>
    <m/>
    <m/>
    <m/>
    <n v="0"/>
    <n v="0"/>
  </r>
  <r>
    <x v="13"/>
    <x v="0"/>
    <s v="Grayson County College "/>
    <m/>
    <n v="225070"/>
    <x v="7"/>
    <n v="9558195"/>
    <n v="9415861"/>
    <m/>
    <m/>
    <n v="11532357"/>
    <n v="12231489"/>
    <n v="6193465"/>
    <m/>
    <n v="6193465"/>
    <n v="7302760"/>
    <m/>
    <n v="7302760"/>
    <n v="27284017"/>
    <n v="28950110"/>
    <m/>
    <m/>
    <m/>
    <m/>
    <n v="0"/>
    <m/>
    <m/>
    <n v="0"/>
    <m/>
    <m/>
    <m/>
    <m/>
    <m/>
    <m/>
    <n v="27284017"/>
    <n v="28950110"/>
  </r>
  <r>
    <x v="13"/>
    <x v="0"/>
    <s v="Hill College"/>
    <m/>
    <n v="225371"/>
    <x v="7"/>
    <n v="8709325"/>
    <n v="8208659"/>
    <m/>
    <m/>
    <n v="997836"/>
    <n v="3598004"/>
    <n v="4578307"/>
    <m/>
    <n v="4578307"/>
    <n v="5811835"/>
    <m/>
    <n v="5811835"/>
    <n v="14285468"/>
    <n v="17618498"/>
    <m/>
    <m/>
    <m/>
    <m/>
    <n v="0"/>
    <m/>
    <m/>
    <n v="0"/>
    <m/>
    <m/>
    <m/>
    <m/>
    <m/>
    <m/>
    <n v="14285468"/>
    <n v="17618498"/>
  </r>
  <r>
    <x v="13"/>
    <x v="0"/>
    <s v="Howard College (HCJCD)"/>
    <m/>
    <n v="225520"/>
    <x v="7"/>
    <m/>
    <m/>
    <m/>
    <m/>
    <m/>
    <m/>
    <m/>
    <m/>
    <n v="0"/>
    <m/>
    <m/>
    <n v="0"/>
    <n v="0"/>
    <n v="0"/>
    <m/>
    <m/>
    <m/>
    <m/>
    <n v="0"/>
    <m/>
    <m/>
    <n v="0"/>
    <m/>
    <m/>
    <m/>
    <m/>
    <m/>
    <m/>
    <n v="0"/>
    <n v="0"/>
  </r>
  <r>
    <x v="13"/>
    <x v="0"/>
    <s v="Kilgore College "/>
    <s v="Met criteria for Two-Year 1 in 2009-10 and 2010-11."/>
    <n v="226019"/>
    <x v="7"/>
    <n v="15687388"/>
    <n v="15510980"/>
    <m/>
    <m/>
    <n v="5940586"/>
    <n v="5937296"/>
    <n v="11537607"/>
    <m/>
    <n v="11537607"/>
    <n v="13763075"/>
    <m/>
    <n v="13763075"/>
    <n v="33165581"/>
    <n v="35211351"/>
    <m/>
    <m/>
    <m/>
    <m/>
    <n v="0"/>
    <m/>
    <m/>
    <n v="0"/>
    <m/>
    <m/>
    <m/>
    <m/>
    <m/>
    <m/>
    <n v="33165581"/>
    <n v="35211351"/>
  </r>
  <r>
    <x v="13"/>
    <x v="0"/>
    <s v="Lamar Institute of Technology"/>
    <m/>
    <n v="441760"/>
    <x v="7"/>
    <n v="11455405"/>
    <n v="10821082"/>
    <m/>
    <m/>
    <m/>
    <m/>
    <n v="9927871"/>
    <n v="27000"/>
    <n v="9954871"/>
    <n v="9908858"/>
    <n v="0"/>
    <n v="9908858"/>
    <n v="21383276"/>
    <n v="20729940"/>
    <m/>
    <m/>
    <m/>
    <m/>
    <n v="0"/>
    <m/>
    <m/>
    <n v="0"/>
    <m/>
    <m/>
    <m/>
    <m/>
    <m/>
    <m/>
    <n v="21383276"/>
    <n v="20729940"/>
  </r>
  <r>
    <x v="13"/>
    <x v="0"/>
    <s v="Lee College "/>
    <m/>
    <n v="226204"/>
    <x v="7"/>
    <n v="13429578"/>
    <n v="13224587"/>
    <m/>
    <m/>
    <n v="19267545"/>
    <n v="18964200"/>
    <n v="8231086"/>
    <m/>
    <n v="8231086"/>
    <n v="9866845"/>
    <m/>
    <n v="9866845"/>
    <n v="40928209"/>
    <n v="42055632"/>
    <m/>
    <m/>
    <m/>
    <m/>
    <n v="0"/>
    <m/>
    <m/>
    <n v="0"/>
    <m/>
    <m/>
    <m/>
    <m/>
    <m/>
    <m/>
    <n v="40928209"/>
    <n v="42055632"/>
  </r>
  <r>
    <x v="13"/>
    <x v="0"/>
    <s v="Mountain View College  (DCCCD)"/>
    <s v="Met the criteria for Two-Year 1 in 2010-11."/>
    <n v="226930"/>
    <x v="7"/>
    <m/>
    <m/>
    <m/>
    <m/>
    <m/>
    <m/>
    <m/>
    <m/>
    <n v="0"/>
    <m/>
    <m/>
    <n v="0"/>
    <n v="0"/>
    <n v="0"/>
    <m/>
    <m/>
    <m/>
    <m/>
    <n v="0"/>
    <m/>
    <m/>
    <n v="0"/>
    <m/>
    <m/>
    <m/>
    <m/>
    <m/>
    <m/>
    <n v="0"/>
    <n v="0"/>
  </r>
  <r>
    <x v="13"/>
    <x v="0"/>
    <s v="North Central Texas Community College"/>
    <s v="Reclassified: Met criteria for Two-Year 1 in 2008-09, 2009-10 and 2010-11."/>
    <n v="224110"/>
    <x v="6"/>
    <n v="12791976"/>
    <n v="12170907"/>
    <m/>
    <m/>
    <n v="1968273"/>
    <n v="2153148"/>
    <n v="13111097"/>
    <m/>
    <n v="13111097"/>
    <n v="14668529"/>
    <m/>
    <n v="14668529"/>
    <n v="27871346"/>
    <n v="28992584"/>
    <m/>
    <m/>
    <m/>
    <m/>
    <n v="0"/>
    <m/>
    <m/>
    <n v="0"/>
    <m/>
    <m/>
    <m/>
    <m/>
    <m/>
    <m/>
    <n v="27871346"/>
    <n v="28992584"/>
  </r>
  <r>
    <x v="13"/>
    <x v="0"/>
    <s v="Odessa College "/>
    <m/>
    <n v="227304"/>
    <x v="7"/>
    <n v="11519840"/>
    <n v="11251787"/>
    <m/>
    <m/>
    <n v="15133923"/>
    <n v="15152908"/>
    <n v="6767239"/>
    <m/>
    <n v="6767239"/>
    <n v="8485369"/>
    <m/>
    <n v="8485369"/>
    <n v="33421002"/>
    <n v="34890064"/>
    <m/>
    <m/>
    <m/>
    <m/>
    <n v="0"/>
    <m/>
    <m/>
    <n v="0"/>
    <m/>
    <m/>
    <m/>
    <m/>
    <m/>
    <m/>
    <n v="33421002"/>
    <n v="34890064"/>
  </r>
  <r>
    <x v="13"/>
    <x v="0"/>
    <s v="Paris Junior College"/>
    <m/>
    <n v="227401"/>
    <x v="7"/>
    <n v="11247133"/>
    <n v="10826726"/>
    <m/>
    <m/>
    <n v="2889522"/>
    <n v="2897212"/>
    <n v="8579169"/>
    <m/>
    <n v="8579169"/>
    <n v="10778000"/>
    <m/>
    <n v="10778000"/>
    <n v="22715824"/>
    <n v="24501938"/>
    <m/>
    <m/>
    <m/>
    <m/>
    <n v="0"/>
    <m/>
    <m/>
    <n v="0"/>
    <m/>
    <m/>
    <m/>
    <m/>
    <m/>
    <m/>
    <n v="22715824"/>
    <n v="24501938"/>
  </r>
  <r>
    <x v="13"/>
    <x v="0"/>
    <s v="Southwest Texas Junior College "/>
    <m/>
    <n v="228316"/>
    <x v="7"/>
    <n v="10228823"/>
    <n v="9530217"/>
    <m/>
    <m/>
    <n v="2007762"/>
    <n v="2375217"/>
    <n v="10657592"/>
    <m/>
    <n v="10657592"/>
    <n v="12475571"/>
    <m/>
    <n v="12475571"/>
    <n v="22894177"/>
    <n v="24381005"/>
    <m/>
    <m/>
    <m/>
    <m/>
    <n v="0"/>
    <m/>
    <m/>
    <n v="0"/>
    <m/>
    <m/>
    <m/>
    <m/>
    <m/>
    <m/>
    <n v="22894177"/>
    <n v="24381005"/>
  </r>
  <r>
    <x v="13"/>
    <x v="0"/>
    <s v="Temple College "/>
    <m/>
    <n v="228608"/>
    <x v="7"/>
    <n v="10433329"/>
    <n v="10107026"/>
    <m/>
    <m/>
    <n v="6837636"/>
    <n v="7082194"/>
    <n v="12129229"/>
    <m/>
    <n v="12129229"/>
    <n v="15014499"/>
    <m/>
    <n v="15014499"/>
    <n v="29400194"/>
    <n v="32203719"/>
    <m/>
    <m/>
    <m/>
    <m/>
    <n v="0"/>
    <m/>
    <m/>
    <n v="0"/>
    <m/>
    <m/>
    <m/>
    <m/>
    <m/>
    <m/>
    <n v="29400194"/>
    <n v="32203719"/>
  </r>
  <r>
    <x v="13"/>
    <x v="0"/>
    <s v="Texarkana College "/>
    <m/>
    <n v="228699"/>
    <x v="7"/>
    <n v="11443437"/>
    <n v="11471780"/>
    <m/>
    <m/>
    <n v="1169480"/>
    <n v="1261791"/>
    <n v="6697710"/>
    <m/>
    <n v="6697710"/>
    <n v="8325977"/>
    <m/>
    <n v="8325977"/>
    <n v="19310627"/>
    <n v="21059548"/>
    <m/>
    <m/>
    <m/>
    <m/>
    <n v="0"/>
    <m/>
    <m/>
    <n v="0"/>
    <m/>
    <m/>
    <m/>
    <m/>
    <m/>
    <m/>
    <n v="19310627"/>
    <n v="21059548"/>
  </r>
  <r>
    <x v="13"/>
    <x v="0"/>
    <s v="Texas State Technical College-Harlingen "/>
    <m/>
    <n v="229319"/>
    <x v="7"/>
    <n v="24243952"/>
    <n v="22781716"/>
    <m/>
    <m/>
    <m/>
    <m/>
    <n v="8103884"/>
    <m/>
    <n v="8103884"/>
    <n v="13555214"/>
    <m/>
    <n v="13555214"/>
    <n v="32347836"/>
    <n v="36336930"/>
    <m/>
    <m/>
    <m/>
    <m/>
    <n v="0"/>
    <m/>
    <m/>
    <n v="0"/>
    <m/>
    <m/>
    <m/>
    <m/>
    <m/>
    <m/>
    <n v="32347836"/>
    <n v="36336930"/>
  </r>
  <r>
    <x v="13"/>
    <x v="0"/>
    <s v="Texas State Technical College-Waco"/>
    <s v="Met criteria for Two-Year 1 in 2009-10 and 2010-11."/>
    <n v="228680"/>
    <x v="7"/>
    <n v="31780793"/>
    <n v="29685916"/>
    <m/>
    <m/>
    <m/>
    <m/>
    <n v="9876246"/>
    <m/>
    <n v="9876246"/>
    <n v="18226740"/>
    <m/>
    <n v="18226740"/>
    <n v="41657039"/>
    <n v="47912656"/>
    <m/>
    <m/>
    <m/>
    <m/>
    <n v="0"/>
    <m/>
    <m/>
    <n v="0"/>
    <m/>
    <m/>
    <m/>
    <m/>
    <m/>
    <m/>
    <n v="41657039"/>
    <n v="47912656"/>
  </r>
  <r>
    <x v="13"/>
    <x v="0"/>
    <s v="Trinity Valley Community College"/>
    <s v="Met criteria for Two-Year 1 in 2009-10 and 2010-11."/>
    <n v="225308"/>
    <x v="7"/>
    <n v="14516834"/>
    <n v="13334592"/>
    <m/>
    <m/>
    <n v="6620212"/>
    <n v="7296294"/>
    <n v="6954114"/>
    <m/>
    <n v="6954114"/>
    <n v="8588929"/>
    <m/>
    <n v="8588929"/>
    <n v="28091160"/>
    <n v="29219815"/>
    <m/>
    <m/>
    <m/>
    <m/>
    <n v="0"/>
    <m/>
    <m/>
    <n v="0"/>
    <m/>
    <m/>
    <m/>
    <m/>
    <m/>
    <m/>
    <n v="28091160"/>
    <n v="29219815"/>
  </r>
  <r>
    <x v="13"/>
    <x v="0"/>
    <s v="Vernon College "/>
    <m/>
    <n v="229504"/>
    <x v="7"/>
    <n v="7428821"/>
    <n v="7232905"/>
    <m/>
    <m/>
    <n v="2020065"/>
    <n v="2023749"/>
    <n v="6924739"/>
    <m/>
    <n v="6924739"/>
    <n v="8693040"/>
    <m/>
    <n v="8693040"/>
    <n v="16373625"/>
    <n v="17949694"/>
    <m/>
    <m/>
    <m/>
    <m/>
    <n v="0"/>
    <m/>
    <m/>
    <n v="0"/>
    <m/>
    <m/>
    <m/>
    <m/>
    <m/>
    <m/>
    <n v="16373625"/>
    <n v="17949694"/>
  </r>
  <r>
    <x v="13"/>
    <x v="0"/>
    <s v="Victoria College "/>
    <m/>
    <n v="229540"/>
    <x v="7"/>
    <n v="9341063"/>
    <n v="8898977"/>
    <m/>
    <m/>
    <n v="7207006"/>
    <n v="7620356"/>
    <n v="7340080"/>
    <m/>
    <n v="7340080"/>
    <n v="10826394"/>
    <m/>
    <n v="10826394"/>
    <n v="23888149"/>
    <n v="27345727"/>
    <m/>
    <m/>
    <m/>
    <m/>
    <n v="0"/>
    <m/>
    <m/>
    <n v="0"/>
    <m/>
    <m/>
    <m/>
    <m/>
    <m/>
    <m/>
    <n v="23888149"/>
    <n v="27345727"/>
  </r>
  <r>
    <x v="13"/>
    <x v="0"/>
    <s v="Weatherford College "/>
    <m/>
    <n v="229799"/>
    <x v="7"/>
    <n v="10396643"/>
    <n v="10012003"/>
    <m/>
    <m/>
    <n v="9700078"/>
    <n v="9856299"/>
    <n v="8761406"/>
    <m/>
    <n v="8761406"/>
    <n v="10145660"/>
    <m/>
    <n v="10145660"/>
    <n v="28858127"/>
    <n v="30013962"/>
    <m/>
    <m/>
    <m/>
    <m/>
    <n v="0"/>
    <m/>
    <m/>
    <n v="0"/>
    <m/>
    <m/>
    <m/>
    <m/>
    <m/>
    <m/>
    <n v="28858127"/>
    <n v="30013962"/>
  </r>
  <r>
    <x v="13"/>
    <x v="0"/>
    <s v="Wharton County Junior College "/>
    <m/>
    <n v="229841"/>
    <x v="7"/>
    <n v="11041910"/>
    <n v="10989373"/>
    <m/>
    <m/>
    <n v="4730172"/>
    <n v="5145546"/>
    <n v="13421248"/>
    <m/>
    <n v="13421248"/>
    <n v="16722943"/>
    <m/>
    <n v="16722943"/>
    <n v="29193330"/>
    <n v="32857862"/>
    <m/>
    <m/>
    <m/>
    <m/>
    <n v="0"/>
    <m/>
    <m/>
    <n v="0"/>
    <m/>
    <m/>
    <m/>
    <m/>
    <m/>
    <m/>
    <n v="29193330"/>
    <n v="32857862"/>
  </r>
  <r>
    <x v="13"/>
    <x v="0"/>
    <s v="Clarendon College "/>
    <m/>
    <n v="223922"/>
    <x v="8"/>
    <n v="3385972"/>
    <n v="3225594"/>
    <m/>
    <m/>
    <n v="406819"/>
    <n v="408794"/>
    <n v="2887752"/>
    <m/>
    <n v="2887752"/>
    <n v="3474441"/>
    <m/>
    <n v="3474441"/>
    <n v="6680543"/>
    <n v="7108829"/>
    <m/>
    <m/>
    <m/>
    <m/>
    <n v="0"/>
    <m/>
    <m/>
    <n v="0"/>
    <m/>
    <m/>
    <m/>
    <m/>
    <m/>
    <m/>
    <n v="6680543"/>
    <n v="7108829"/>
  </r>
  <r>
    <x v="13"/>
    <x v="0"/>
    <s v="Frank Phillips College "/>
    <m/>
    <n v="224891"/>
    <x v="8"/>
    <n v="3760138"/>
    <n v="3645168"/>
    <m/>
    <m/>
    <n v="1328560"/>
    <n v="1370015"/>
    <n v="2969342"/>
    <m/>
    <n v="2969342"/>
    <n v="3053546"/>
    <m/>
    <n v="3053546"/>
    <n v="8058040"/>
    <n v="8068729"/>
    <m/>
    <m/>
    <m/>
    <m/>
    <n v="0"/>
    <m/>
    <m/>
    <n v="0"/>
    <m/>
    <m/>
    <m/>
    <m/>
    <m/>
    <m/>
    <n v="8058040"/>
    <n v="8068729"/>
  </r>
  <r>
    <x v="13"/>
    <x v="0"/>
    <s v="Galveston College "/>
    <m/>
    <n v="224961"/>
    <x v="8"/>
    <n v="6185543"/>
    <n v="5900724"/>
    <m/>
    <m/>
    <n v="8724683"/>
    <n v="8159628"/>
    <n v="2385033"/>
    <m/>
    <n v="2385033"/>
    <n v="2887535"/>
    <m/>
    <n v="2887535"/>
    <n v="17295259"/>
    <n v="16947887"/>
    <m/>
    <m/>
    <m/>
    <m/>
    <n v="0"/>
    <m/>
    <m/>
    <n v="0"/>
    <m/>
    <m/>
    <m/>
    <m/>
    <m/>
    <m/>
    <n v="17295259"/>
    <n v="16947887"/>
  </r>
  <r>
    <x v="13"/>
    <x v="0"/>
    <s v="Lamar State College-Orange"/>
    <m/>
    <n v="226107"/>
    <x v="8"/>
    <n v="8659358"/>
    <n v="8197575"/>
    <m/>
    <m/>
    <m/>
    <m/>
    <n v="7830559"/>
    <n v="24300"/>
    <n v="7854859"/>
    <n v="9071193"/>
    <n v="0"/>
    <n v="9071193"/>
    <n v="16489917"/>
    <n v="17268768"/>
    <m/>
    <m/>
    <m/>
    <m/>
    <n v="0"/>
    <m/>
    <m/>
    <n v="0"/>
    <m/>
    <m/>
    <m/>
    <m/>
    <m/>
    <m/>
    <n v="16489917"/>
    <n v="17268768"/>
  </r>
  <r>
    <x v="13"/>
    <x v="0"/>
    <s v="Lamar State College-Port Arthur"/>
    <s v="Met the criteria for Two-Year 2 in 2010-11."/>
    <n v="226116"/>
    <x v="8"/>
    <n v="11419061"/>
    <n v="11151015"/>
    <m/>
    <m/>
    <m/>
    <m/>
    <n v="6404696"/>
    <n v="28000"/>
    <n v="6432696"/>
    <n v="6117704"/>
    <n v="0"/>
    <n v="6117704"/>
    <n v="17823757"/>
    <n v="17268719"/>
    <m/>
    <m/>
    <m/>
    <m/>
    <n v="0"/>
    <m/>
    <m/>
    <n v="0"/>
    <m/>
    <m/>
    <m/>
    <m/>
    <m/>
    <m/>
    <n v="17823757"/>
    <n v="17268719"/>
  </r>
  <r>
    <x v="13"/>
    <x v="0"/>
    <s v="Northeast Lakeview College (ACCD)"/>
    <m/>
    <s v="222992"/>
    <x v="8"/>
    <m/>
    <m/>
    <m/>
    <m/>
    <m/>
    <m/>
    <m/>
    <m/>
    <n v="0"/>
    <m/>
    <m/>
    <n v="0"/>
    <n v="0"/>
    <n v="0"/>
    <m/>
    <m/>
    <m/>
    <m/>
    <n v="0"/>
    <m/>
    <m/>
    <n v="0"/>
    <m/>
    <m/>
    <m/>
    <m/>
    <m/>
    <m/>
    <n v="0"/>
    <n v="0"/>
  </r>
  <r>
    <x v="13"/>
    <x v="0"/>
    <s v="Northeast Texas Community College "/>
    <s v="Met criteria for Two-Year 2 in 2009-10 and 2010-11."/>
    <n v="227225"/>
    <x v="8"/>
    <n v="5539312"/>
    <n v="5282681"/>
    <m/>
    <m/>
    <n v="4348514"/>
    <n v="4748097"/>
    <n v="4711823"/>
    <m/>
    <n v="4711823"/>
    <n v="6010530"/>
    <m/>
    <n v="6010530"/>
    <n v="14599649"/>
    <n v="16041308"/>
    <m/>
    <m/>
    <m/>
    <m/>
    <n v="0"/>
    <m/>
    <m/>
    <n v="0"/>
    <m/>
    <m/>
    <m/>
    <m/>
    <m/>
    <m/>
    <n v="14599649"/>
    <n v="16041308"/>
  </r>
  <r>
    <x v="13"/>
    <x v="0"/>
    <s v="Panola College"/>
    <m/>
    <n v="227386"/>
    <x v="8"/>
    <n v="4931902"/>
    <n v="4516826"/>
    <m/>
    <m/>
    <n v="5157869"/>
    <n v="5307917"/>
    <n v="4103009"/>
    <m/>
    <n v="4103009"/>
    <n v="4601717"/>
    <m/>
    <n v="4601717"/>
    <n v="14192780"/>
    <n v="14426460"/>
    <m/>
    <m/>
    <m/>
    <m/>
    <n v="0"/>
    <m/>
    <m/>
    <n v="0"/>
    <m/>
    <m/>
    <m/>
    <m/>
    <m/>
    <m/>
    <n v="14192780"/>
    <n v="14426460"/>
  </r>
  <r>
    <x v="13"/>
    <x v="0"/>
    <s v="Ranger College "/>
    <m/>
    <n v="227687"/>
    <x v="8"/>
    <n v="2587497"/>
    <n v="2578665"/>
    <m/>
    <m/>
    <n v="190144"/>
    <n v="190400"/>
    <n v="1403516"/>
    <m/>
    <n v="1403516"/>
    <n v="1403516"/>
    <m/>
    <n v="1403516"/>
    <n v="4181157"/>
    <n v="4172581"/>
    <m/>
    <m/>
    <m/>
    <m/>
    <n v="0"/>
    <m/>
    <m/>
    <n v="0"/>
    <m/>
    <m/>
    <m/>
    <m/>
    <m/>
    <m/>
    <n v="4181157"/>
    <n v="4172581"/>
  </r>
  <r>
    <x v="13"/>
    <x v="0"/>
    <s v="Southwest Collegiate Institute for the Deaf (HCJCD)"/>
    <m/>
    <n v="382911"/>
    <x v="8"/>
    <m/>
    <m/>
    <m/>
    <m/>
    <m/>
    <m/>
    <m/>
    <m/>
    <n v="0"/>
    <m/>
    <m/>
    <n v="0"/>
    <n v="0"/>
    <n v="0"/>
    <m/>
    <m/>
    <m/>
    <m/>
    <n v="0"/>
    <m/>
    <m/>
    <n v="0"/>
    <m/>
    <m/>
    <m/>
    <m/>
    <m/>
    <m/>
    <n v="0"/>
    <n v="0"/>
  </r>
  <r>
    <x v="13"/>
    <x v="0"/>
    <s v="Texas State Technical College-Marshall"/>
    <m/>
    <n v="408394"/>
    <x v="8"/>
    <n v="5579889"/>
    <n v="5196802"/>
    <m/>
    <m/>
    <m/>
    <m/>
    <n v="1904497"/>
    <m/>
    <n v="1904497"/>
    <n v="3032090"/>
    <m/>
    <n v="3032090"/>
    <n v="7484386"/>
    <n v="8228892"/>
    <m/>
    <m/>
    <m/>
    <m/>
    <n v="0"/>
    <m/>
    <m/>
    <n v="0"/>
    <m/>
    <m/>
    <m/>
    <m/>
    <m/>
    <m/>
    <n v="7484386"/>
    <n v="8228892"/>
  </r>
  <r>
    <x v="13"/>
    <x v="0"/>
    <s v="Texas State Technical College-West Texas"/>
    <m/>
    <n v="229328"/>
    <x v="8"/>
    <n v="17488487"/>
    <n v="16524597"/>
    <m/>
    <m/>
    <m/>
    <m/>
    <n v="3179088"/>
    <m/>
    <n v="3179088"/>
    <n v="4488309"/>
    <m/>
    <n v="4488309"/>
    <n v="20667575"/>
    <n v="21012906"/>
    <m/>
    <m/>
    <m/>
    <m/>
    <n v="0"/>
    <m/>
    <m/>
    <n v="0"/>
    <m/>
    <m/>
    <m/>
    <m/>
    <m/>
    <m/>
    <n v="20667575"/>
    <n v="21012906"/>
  </r>
  <r>
    <x v="13"/>
    <x v="0"/>
    <s v="Western Texas College "/>
    <m/>
    <n v="229832"/>
    <x v="8"/>
    <n v="5129817"/>
    <n v="5084433"/>
    <m/>
    <m/>
    <n v="3515940"/>
    <n v="3792196"/>
    <n v="3649346"/>
    <m/>
    <n v="3649346"/>
    <n v="4196088"/>
    <m/>
    <n v="4196088"/>
    <n v="12295103"/>
    <n v="13072717"/>
    <m/>
    <m/>
    <m/>
    <m/>
    <n v="0"/>
    <m/>
    <m/>
    <n v="0"/>
    <m/>
    <m/>
    <m/>
    <m/>
    <m/>
    <m/>
    <n v="12295103"/>
    <n v="13072717"/>
  </r>
  <r>
    <x v="13"/>
    <x v="0"/>
    <s v="Howard County Junior College District (HCJCD)"/>
    <m/>
    <m/>
    <x v="16"/>
    <n v="14289661"/>
    <n v="13884561"/>
    <m/>
    <m/>
    <n v="6519684"/>
    <n v="6305272"/>
    <n v="4852097"/>
    <m/>
    <m/>
    <n v="5621510"/>
    <m/>
    <m/>
    <m/>
    <m/>
    <m/>
    <m/>
    <m/>
    <m/>
    <m/>
    <m/>
    <m/>
    <m/>
    <m/>
    <m/>
    <m/>
    <m/>
    <m/>
    <m/>
    <m/>
    <m/>
  </r>
  <r>
    <x v="13"/>
    <x v="0"/>
    <s v="Alamo Community College District (ACCD)"/>
    <m/>
    <m/>
    <x v="16"/>
    <n v="92849516"/>
    <n v="86441061"/>
    <m/>
    <m/>
    <n v="131521067"/>
    <n v="133599379"/>
    <n v="94828876"/>
    <m/>
    <n v="94828876"/>
    <n v="116635860"/>
    <m/>
    <n v="116635860"/>
    <n v="319199459"/>
    <n v="336676300"/>
    <m/>
    <m/>
    <m/>
    <m/>
    <n v="0"/>
    <m/>
    <m/>
    <n v="0"/>
    <m/>
    <m/>
    <m/>
    <m/>
    <m/>
    <m/>
    <n v="319199459"/>
    <n v="336676300"/>
  </r>
  <r>
    <x v="13"/>
    <x v="0"/>
    <s v="Dallas County Community College District (DCCD)"/>
    <m/>
    <m/>
    <x v="16"/>
    <n v="126549421"/>
    <n v="117702123"/>
    <m/>
    <m/>
    <n v="157703232"/>
    <n v="159137404"/>
    <n v="85436777"/>
    <m/>
    <n v="85436777"/>
    <n v="93958384"/>
    <m/>
    <n v="93958384"/>
    <n v="369689430"/>
    <n v="370797911"/>
    <m/>
    <m/>
    <m/>
    <m/>
    <n v="0"/>
    <m/>
    <m/>
    <n v="0"/>
    <m/>
    <m/>
    <m/>
    <m/>
    <m/>
    <m/>
    <n v="369689430"/>
    <n v="370797911"/>
  </r>
  <r>
    <x v="13"/>
    <x v="0"/>
    <s v="TEXAS A&amp;M UNIV-CENTRAL TEXAS"/>
    <s v="New fall 2009. Met the criteria for Four-Year 4 in 2010-11."/>
    <m/>
    <x v="14"/>
    <m/>
    <m/>
    <m/>
    <m/>
    <m/>
    <m/>
    <m/>
    <m/>
    <n v="0"/>
    <m/>
    <m/>
    <n v="0"/>
    <n v="0"/>
    <n v="0"/>
    <m/>
    <m/>
    <m/>
    <m/>
    <n v="0"/>
    <m/>
    <m/>
    <n v="0"/>
    <m/>
    <m/>
    <m/>
    <m/>
    <m/>
    <m/>
    <n v="0"/>
    <n v="0"/>
  </r>
  <r>
    <x v="13"/>
    <x v="0"/>
    <s v="TEXAS A&amp;M UNIV-SAN ANTONIO"/>
    <s v="New fall 2009. Met the criteria for Four-Year 5 in 2010-11."/>
    <s v="870501"/>
    <x v="14"/>
    <m/>
    <m/>
    <m/>
    <m/>
    <m/>
    <m/>
    <m/>
    <m/>
    <n v="0"/>
    <m/>
    <m/>
    <n v="0"/>
    <n v="0"/>
    <n v="0"/>
    <m/>
    <m/>
    <m/>
    <m/>
    <n v="0"/>
    <m/>
    <m/>
    <n v="0"/>
    <m/>
    <m/>
    <m/>
    <m/>
    <m/>
    <m/>
    <n v="0"/>
    <n v="0"/>
  </r>
  <r>
    <x v="13"/>
    <x v="0"/>
    <s v="UNIV. OF NORTH TEXAS AT DALLAS"/>
    <s v="New fall 2009. No degrees yet granted."/>
    <m/>
    <x v="14"/>
    <m/>
    <m/>
    <m/>
    <m/>
    <m/>
    <m/>
    <m/>
    <m/>
    <n v="0"/>
    <m/>
    <m/>
    <n v="0"/>
    <n v="0"/>
    <n v="0"/>
    <m/>
    <m/>
    <m/>
    <m/>
    <n v="0"/>
    <m/>
    <m/>
    <n v="0"/>
    <m/>
    <m/>
    <m/>
    <m/>
    <m/>
    <m/>
    <n v="0"/>
    <n v="0"/>
  </r>
  <r>
    <x v="13"/>
    <x v="1"/>
    <s v="Texas A&amp;M Health Science Center"/>
    <m/>
    <n v="223214"/>
    <x v="11"/>
    <m/>
    <m/>
    <m/>
    <m/>
    <m/>
    <m/>
    <m/>
    <m/>
    <n v="0"/>
    <m/>
    <m/>
    <n v="0"/>
    <n v="0"/>
    <n v="0"/>
    <m/>
    <m/>
    <m/>
    <m/>
    <n v="0"/>
    <m/>
    <m/>
    <n v="0"/>
    <n v="119923944"/>
    <n v="104909005"/>
    <n v="20762452"/>
    <m/>
    <n v="23075105"/>
    <m/>
    <n v="140686396"/>
    <n v="127984110"/>
  </r>
  <r>
    <x v="13"/>
    <x v="1"/>
    <s v="Texas Tech University Health Sciences Center"/>
    <m/>
    <n v="229337"/>
    <x v="11"/>
    <m/>
    <m/>
    <m/>
    <m/>
    <m/>
    <m/>
    <m/>
    <m/>
    <n v="0"/>
    <m/>
    <m/>
    <n v="0"/>
    <n v="0"/>
    <n v="0"/>
    <m/>
    <m/>
    <m/>
    <m/>
    <n v="0"/>
    <m/>
    <m/>
    <n v="0"/>
    <n v="195898591"/>
    <n v="187462107"/>
    <n v="29144182"/>
    <m/>
    <n v="36407670"/>
    <m/>
    <n v="225042773"/>
    <n v="223869777"/>
  </r>
  <r>
    <x v="13"/>
    <x v="1"/>
    <s v="University of North Texas Health Science Center at Fort Worth"/>
    <m/>
    <n v="228909"/>
    <x v="11"/>
    <m/>
    <m/>
    <m/>
    <m/>
    <m/>
    <m/>
    <m/>
    <m/>
    <n v="0"/>
    <m/>
    <m/>
    <n v="0"/>
    <n v="0"/>
    <n v="0"/>
    <m/>
    <m/>
    <m/>
    <m/>
    <n v="0"/>
    <m/>
    <m/>
    <n v="0"/>
    <n v="71007921"/>
    <n v="70421275"/>
    <n v="13009666"/>
    <m/>
    <n v="14794547"/>
    <m/>
    <n v="84017587"/>
    <n v="85215822"/>
  </r>
  <r>
    <x v="13"/>
    <x v="1"/>
    <s v="University of Texas Health Science Center at Houston"/>
    <m/>
    <n v="229300"/>
    <x v="11"/>
    <m/>
    <m/>
    <m/>
    <m/>
    <m/>
    <m/>
    <m/>
    <m/>
    <n v="0"/>
    <m/>
    <m/>
    <n v="0"/>
    <n v="0"/>
    <n v="0"/>
    <m/>
    <m/>
    <m/>
    <m/>
    <n v="0"/>
    <m/>
    <m/>
    <n v="0"/>
    <n v="173139501"/>
    <n v="157391711"/>
    <n v="29491148"/>
    <m/>
    <n v="31713029"/>
    <m/>
    <n v="202630649"/>
    <n v="189104740"/>
  </r>
  <r>
    <x v="13"/>
    <x v="1"/>
    <s v="University of Texas Health Science Center at San Antonio"/>
    <m/>
    <n v="228644"/>
    <x v="11"/>
    <m/>
    <m/>
    <m/>
    <m/>
    <m/>
    <m/>
    <m/>
    <m/>
    <n v="0"/>
    <m/>
    <m/>
    <n v="0"/>
    <n v="0"/>
    <n v="0"/>
    <m/>
    <m/>
    <m/>
    <m/>
    <n v="0"/>
    <m/>
    <m/>
    <n v="0"/>
    <n v="186607034"/>
    <n v="170752474"/>
    <n v="29944314"/>
    <m/>
    <n v="32270114"/>
    <m/>
    <n v="216551348"/>
    <n v="203022588"/>
  </r>
  <r>
    <x v="13"/>
    <x v="1"/>
    <s v="University of Texas M.D. Anderson Cancer Center"/>
    <m/>
    <n v="416801"/>
    <x v="11"/>
    <m/>
    <m/>
    <m/>
    <m/>
    <m/>
    <m/>
    <m/>
    <m/>
    <n v="0"/>
    <m/>
    <m/>
    <n v="0"/>
    <n v="0"/>
    <n v="0"/>
    <m/>
    <m/>
    <m/>
    <m/>
    <n v="0"/>
    <m/>
    <m/>
    <n v="0"/>
    <n v="226943802"/>
    <n v="211240514"/>
    <n v="1174642"/>
    <m/>
    <n v="974447"/>
    <m/>
    <n v="228118444"/>
    <n v="212214961"/>
  </r>
  <r>
    <x v="13"/>
    <x v="1"/>
    <s v="University of Texas Medical Branch at Galveston"/>
    <m/>
    <n v="228653"/>
    <x v="11"/>
    <m/>
    <m/>
    <m/>
    <m/>
    <m/>
    <m/>
    <m/>
    <m/>
    <n v="0"/>
    <m/>
    <m/>
    <n v="0"/>
    <n v="0"/>
    <n v="0"/>
    <m/>
    <m/>
    <m/>
    <m/>
    <n v="0"/>
    <m/>
    <m/>
    <n v="0"/>
    <n v="393538266"/>
    <n v="266817313"/>
    <n v="22272398"/>
    <m/>
    <n v="25427003"/>
    <m/>
    <n v="415810664"/>
    <n v="292244316"/>
  </r>
  <r>
    <x v="13"/>
    <x v="1"/>
    <s v="University of Texas Southwestern Medical Center at Dallas"/>
    <m/>
    <n v="228635"/>
    <x v="11"/>
    <m/>
    <m/>
    <m/>
    <m/>
    <m/>
    <m/>
    <m/>
    <m/>
    <n v="0"/>
    <m/>
    <m/>
    <n v="0"/>
    <n v="0"/>
    <n v="0"/>
    <m/>
    <m/>
    <m/>
    <m/>
    <n v="0"/>
    <m/>
    <m/>
    <n v="0"/>
    <n v="175221444"/>
    <n v="159840798"/>
    <n v="21209859"/>
    <m/>
    <n v="22291474"/>
    <m/>
    <n v="196431303"/>
    <n v="182132272"/>
  </r>
  <r>
    <x v="13"/>
    <x v="10"/>
    <s v="Statewide Special-Purpose Units"/>
    <m/>
    <m/>
    <x v="12"/>
    <m/>
    <m/>
    <m/>
    <m/>
    <m/>
    <m/>
    <m/>
    <m/>
    <n v="0"/>
    <m/>
    <m/>
    <n v="0"/>
    <n v="0"/>
    <n v="0"/>
    <m/>
    <m/>
    <m/>
    <m/>
    <n v="0"/>
    <m/>
    <m/>
    <n v="0"/>
    <m/>
    <m/>
    <m/>
    <m/>
    <m/>
    <m/>
    <n v="0"/>
    <n v="0"/>
  </r>
  <r>
    <x v="13"/>
    <x v="42"/>
    <s v="UNIV TX Health Center at Tyler"/>
    <m/>
    <m/>
    <x v="12"/>
    <m/>
    <m/>
    <m/>
    <m/>
    <m/>
    <m/>
    <m/>
    <m/>
    <n v="0"/>
    <m/>
    <m/>
    <n v="0"/>
    <n v="0"/>
    <n v="0"/>
    <m/>
    <m/>
    <m/>
    <m/>
    <n v="0"/>
    <m/>
    <m/>
    <n v="0"/>
    <n v="43039144"/>
    <n v="39078314"/>
    <m/>
    <m/>
    <m/>
    <m/>
    <n v="43039144"/>
    <n v="39078314"/>
  </r>
  <r>
    <x v="13"/>
    <x v="11"/>
    <s v="Research centers/institutes"/>
    <m/>
    <m/>
    <x v="12"/>
    <m/>
    <m/>
    <m/>
    <m/>
    <m/>
    <m/>
    <m/>
    <m/>
    <n v="0"/>
    <m/>
    <m/>
    <n v="0"/>
    <n v="0"/>
    <n v="0"/>
    <m/>
    <m/>
    <m/>
    <m/>
    <n v="0"/>
    <m/>
    <m/>
    <n v="0"/>
    <m/>
    <m/>
    <m/>
    <m/>
    <m/>
    <m/>
    <n v="0"/>
    <n v="0"/>
  </r>
  <r>
    <x v="13"/>
    <x v="12"/>
    <s v="Health professions education"/>
    <m/>
    <m/>
    <x v="12"/>
    <m/>
    <m/>
    <m/>
    <m/>
    <m/>
    <m/>
    <m/>
    <m/>
    <n v="0"/>
    <m/>
    <m/>
    <n v="0"/>
    <n v="0"/>
    <n v="0"/>
    <m/>
    <m/>
    <m/>
    <m/>
    <n v="0"/>
    <m/>
    <m/>
    <n v="0"/>
    <m/>
    <m/>
    <m/>
    <m/>
    <m/>
    <m/>
    <n v="0"/>
    <n v="0"/>
  </r>
  <r>
    <x v="13"/>
    <x v="12"/>
    <s v="Family practice residency "/>
    <m/>
    <m/>
    <x v="12"/>
    <m/>
    <m/>
    <m/>
    <m/>
    <m/>
    <m/>
    <m/>
    <m/>
    <n v="0"/>
    <m/>
    <m/>
    <n v="0"/>
    <n v="0"/>
    <n v="0"/>
    <m/>
    <m/>
    <m/>
    <m/>
    <n v="0"/>
    <m/>
    <m/>
    <n v="0"/>
    <n v="10607155"/>
    <n v="10607155"/>
    <m/>
    <m/>
    <m/>
    <m/>
    <n v="10607155"/>
    <n v="10607155"/>
  </r>
  <r>
    <x v="13"/>
    <x v="12"/>
    <s v="Other Health Related- Tobacco Settle-Nursing, Allied Health, etc."/>
    <m/>
    <m/>
    <x v="12"/>
    <m/>
    <m/>
    <m/>
    <m/>
    <m/>
    <m/>
    <m/>
    <m/>
    <n v="0"/>
    <m/>
    <m/>
    <n v="0"/>
    <n v="0"/>
    <n v="0"/>
    <m/>
    <m/>
    <m/>
    <m/>
    <n v="0"/>
    <m/>
    <m/>
    <n v="0"/>
    <n v="2025000"/>
    <n v="2025000"/>
    <m/>
    <m/>
    <m/>
    <m/>
    <n v="2025000"/>
    <n v="2025000"/>
  </r>
  <r>
    <x v="13"/>
    <x v="12"/>
    <s v="Other Health Related- Tobacco Settle-Minority Health Res. &amp; Ed."/>
    <m/>
    <m/>
    <x v="12"/>
    <m/>
    <m/>
    <m/>
    <m/>
    <m/>
    <m/>
    <m/>
    <m/>
    <n v="0"/>
    <m/>
    <m/>
    <n v="0"/>
    <n v="0"/>
    <n v="0"/>
    <m/>
    <m/>
    <m/>
    <m/>
    <n v="0"/>
    <m/>
    <m/>
    <n v="0"/>
    <n v="1125000"/>
    <n v="1125000"/>
    <m/>
    <m/>
    <m/>
    <m/>
    <n v="1125000"/>
    <n v="1125000"/>
  </r>
  <r>
    <x v="13"/>
    <x v="12"/>
    <s v="Preceptorships &amp; Primary Care"/>
    <m/>
    <m/>
    <x v="12"/>
    <m/>
    <m/>
    <m/>
    <m/>
    <m/>
    <m/>
    <m/>
    <m/>
    <n v="0"/>
    <m/>
    <m/>
    <n v="0"/>
    <n v="0"/>
    <n v="0"/>
    <m/>
    <m/>
    <m/>
    <m/>
    <n v="0"/>
    <m/>
    <m/>
    <n v="0"/>
    <n v="452145"/>
    <n v="452145"/>
    <m/>
    <m/>
    <m/>
    <m/>
    <n v="452145"/>
    <n v="452145"/>
  </r>
  <r>
    <x v="13"/>
    <x v="12"/>
    <s v="Primary Care Residency"/>
    <m/>
    <m/>
    <x v="12"/>
    <m/>
    <m/>
    <m/>
    <m/>
    <m/>
    <m/>
    <m/>
    <m/>
    <n v="0"/>
    <m/>
    <m/>
    <n v="0"/>
    <n v="0"/>
    <n v="0"/>
    <m/>
    <m/>
    <m/>
    <m/>
    <n v="0"/>
    <m/>
    <m/>
    <n v="0"/>
    <n v="2495220"/>
    <n v="2495220"/>
    <m/>
    <m/>
    <m/>
    <m/>
    <n v="2495220"/>
    <n v="2495220"/>
  </r>
  <r>
    <x v="13"/>
    <x v="12"/>
    <s v="Graduate Medical Education"/>
    <m/>
    <m/>
    <x v="12"/>
    <m/>
    <m/>
    <m/>
    <m/>
    <m/>
    <m/>
    <m/>
    <m/>
    <n v="0"/>
    <m/>
    <m/>
    <n v="0"/>
    <n v="0"/>
    <n v="0"/>
    <m/>
    <m/>
    <m/>
    <m/>
    <n v="0"/>
    <m/>
    <m/>
    <n v="0"/>
    <n v="300000"/>
    <n v="300000"/>
    <m/>
    <m/>
    <m/>
    <m/>
    <n v="300000"/>
    <n v="300000"/>
  </r>
  <r>
    <x v="13"/>
    <x v="12"/>
    <s v="Nursing Shortage Reduction Program"/>
    <m/>
    <m/>
    <x v="12"/>
    <m/>
    <m/>
    <m/>
    <m/>
    <m/>
    <m/>
    <m/>
    <m/>
    <n v="0"/>
    <m/>
    <m/>
    <n v="0"/>
    <n v="0"/>
    <n v="0"/>
    <m/>
    <m/>
    <m/>
    <m/>
    <n v="0"/>
    <m/>
    <m/>
    <n v="0"/>
    <n v="27350000"/>
    <n v="22350000"/>
    <m/>
    <m/>
    <m/>
    <m/>
    <n v="27350000"/>
    <n v="22350000"/>
  </r>
  <r>
    <x v="13"/>
    <x v="13"/>
    <s v="Educational special purpose funds — all other"/>
    <m/>
    <m/>
    <x v="12"/>
    <m/>
    <m/>
    <m/>
    <m/>
    <m/>
    <m/>
    <m/>
    <m/>
    <n v="0"/>
    <m/>
    <m/>
    <n v="0"/>
    <n v="0"/>
    <n v="0"/>
    <m/>
    <m/>
    <m/>
    <m/>
    <n v="0"/>
    <m/>
    <m/>
    <n v="0"/>
    <m/>
    <m/>
    <m/>
    <m/>
    <m/>
    <m/>
    <n v="0"/>
    <n v="0"/>
  </r>
  <r>
    <x v="13"/>
    <x v="13"/>
    <s v="Incentive funding trust fund"/>
    <m/>
    <m/>
    <x v="12"/>
    <m/>
    <m/>
    <m/>
    <m/>
    <m/>
    <m/>
    <m/>
    <m/>
    <n v="0"/>
    <m/>
    <m/>
    <n v="0"/>
    <n v="0"/>
    <n v="0"/>
    <m/>
    <m/>
    <m/>
    <m/>
    <n v="0"/>
    <m/>
    <m/>
    <n v="0"/>
    <m/>
    <m/>
    <m/>
    <m/>
    <m/>
    <m/>
    <n v="0"/>
    <n v="0"/>
  </r>
  <r>
    <x v="13"/>
    <x v="13"/>
    <s v="Community College Enrollment Growth"/>
    <m/>
    <m/>
    <x v="12"/>
    <m/>
    <m/>
    <n v="1759393"/>
    <n v="1759393"/>
    <m/>
    <m/>
    <m/>
    <m/>
    <n v="0"/>
    <m/>
    <m/>
    <n v="0"/>
    <n v="1759393"/>
    <n v="1759393"/>
    <m/>
    <m/>
    <m/>
    <m/>
    <n v="0"/>
    <m/>
    <m/>
    <n v="0"/>
    <m/>
    <m/>
    <m/>
    <m/>
    <m/>
    <m/>
    <n v="1759393"/>
    <n v="1759393"/>
  </r>
  <r>
    <x v="13"/>
    <x v="13"/>
    <s v="African American Museum"/>
    <m/>
    <m/>
    <x v="12"/>
    <m/>
    <m/>
    <n v="93636"/>
    <n v="93636"/>
    <m/>
    <m/>
    <m/>
    <m/>
    <n v="0"/>
    <m/>
    <m/>
    <n v="0"/>
    <n v="93636"/>
    <n v="93636"/>
    <m/>
    <m/>
    <m/>
    <m/>
    <n v="0"/>
    <m/>
    <m/>
    <n v="0"/>
    <m/>
    <m/>
    <m/>
    <m/>
    <m/>
    <m/>
    <n v="93636"/>
    <n v="93636"/>
  </r>
  <r>
    <x v="13"/>
    <x v="14"/>
    <s v="Statewide System Operations"/>
    <m/>
    <m/>
    <x v="12"/>
    <m/>
    <m/>
    <m/>
    <m/>
    <m/>
    <m/>
    <m/>
    <m/>
    <n v="0"/>
    <m/>
    <m/>
    <n v="0"/>
    <n v="0"/>
    <n v="0"/>
    <m/>
    <m/>
    <m/>
    <m/>
    <n v="0"/>
    <m/>
    <m/>
    <n v="0"/>
    <m/>
    <m/>
    <m/>
    <m/>
    <m/>
    <m/>
    <n v="0"/>
    <n v="0"/>
  </r>
  <r>
    <x v="13"/>
    <x v="15"/>
    <s v="Colleges and universities"/>
    <m/>
    <m/>
    <x v="12"/>
    <m/>
    <m/>
    <m/>
    <m/>
    <m/>
    <m/>
    <m/>
    <m/>
    <n v="0"/>
    <m/>
    <m/>
    <n v="0"/>
    <n v="0"/>
    <n v="0"/>
    <n v="29928152"/>
    <n v="32542176"/>
    <m/>
    <m/>
    <n v="0"/>
    <m/>
    <m/>
    <n v="0"/>
    <m/>
    <m/>
    <m/>
    <m/>
    <m/>
    <m/>
    <n v="29928152"/>
    <n v="32542176"/>
  </r>
  <r>
    <x v="13"/>
    <x v="15"/>
    <s v="H. Ed. Coordinating Board"/>
    <m/>
    <m/>
    <x v="12"/>
    <m/>
    <m/>
    <m/>
    <m/>
    <m/>
    <m/>
    <m/>
    <m/>
    <n v="0"/>
    <m/>
    <m/>
    <n v="0"/>
    <n v="0"/>
    <n v="0"/>
    <n v="39651676"/>
    <n v="34445042"/>
    <m/>
    <m/>
    <n v="0"/>
    <m/>
    <m/>
    <n v="0"/>
    <m/>
    <m/>
    <m/>
    <m/>
    <m/>
    <m/>
    <n v="39651676"/>
    <n v="34445042"/>
  </r>
  <r>
    <x v="13"/>
    <x v="16"/>
    <s v="Two-year system(s), if any"/>
    <m/>
    <m/>
    <x v="12"/>
    <m/>
    <m/>
    <m/>
    <m/>
    <m/>
    <m/>
    <m/>
    <m/>
    <n v="0"/>
    <m/>
    <m/>
    <n v="0"/>
    <n v="0"/>
    <n v="0"/>
    <m/>
    <m/>
    <m/>
    <m/>
    <n v="0"/>
    <m/>
    <m/>
    <n v="0"/>
    <m/>
    <m/>
    <m/>
    <m/>
    <m/>
    <m/>
    <n v="0"/>
    <n v="0"/>
  </r>
  <r>
    <x v="13"/>
    <x v="16"/>
    <s v="Texas State Technical College System Office"/>
    <m/>
    <m/>
    <x v="12"/>
    <m/>
    <m/>
    <m/>
    <m/>
    <m/>
    <m/>
    <m/>
    <m/>
    <n v="0"/>
    <m/>
    <m/>
    <n v="0"/>
    <n v="0"/>
    <n v="0"/>
    <n v="6842310"/>
    <n v="6744916"/>
    <m/>
    <m/>
    <n v="0"/>
    <m/>
    <m/>
    <n v="0"/>
    <m/>
    <m/>
    <m/>
    <m/>
    <m/>
    <m/>
    <n v="6842310"/>
    <n v="6744916"/>
  </r>
  <r>
    <x v="13"/>
    <x v="17"/>
    <s v="National or regional associations, compacts or consortia"/>
    <m/>
    <m/>
    <x v="12"/>
    <m/>
    <m/>
    <m/>
    <m/>
    <m/>
    <m/>
    <m/>
    <m/>
    <n v="0"/>
    <m/>
    <m/>
    <n v="0"/>
    <n v="0"/>
    <n v="0"/>
    <m/>
    <m/>
    <m/>
    <m/>
    <n v="0"/>
    <m/>
    <m/>
    <n v="0"/>
    <m/>
    <m/>
    <m/>
    <m/>
    <m/>
    <m/>
    <n v="0"/>
    <n v="0"/>
  </r>
  <r>
    <x v="13"/>
    <x v="17"/>
    <s v="SREB"/>
    <m/>
    <m/>
    <x v="12"/>
    <m/>
    <m/>
    <m/>
    <m/>
    <m/>
    <m/>
    <m/>
    <m/>
    <n v="0"/>
    <m/>
    <m/>
    <n v="0"/>
    <n v="0"/>
    <n v="0"/>
    <m/>
    <m/>
    <m/>
    <m/>
    <n v="0"/>
    <m/>
    <m/>
    <n v="0"/>
    <m/>
    <m/>
    <m/>
    <m/>
    <m/>
    <m/>
    <n v="0"/>
    <n v="0"/>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m/>
    <m/>
    <x v="12"/>
    <m/>
    <m/>
    <m/>
    <m/>
    <m/>
    <m/>
    <m/>
    <m/>
    <n v="0"/>
    <m/>
    <m/>
    <n v="0"/>
    <n v="0"/>
    <n v="0"/>
    <n v="50886268"/>
    <n v="53776547"/>
    <m/>
    <m/>
    <n v="0"/>
    <m/>
    <m/>
    <n v="0"/>
    <m/>
    <m/>
    <m/>
    <m/>
    <m/>
    <m/>
    <n v="50886268"/>
    <n v="53776547"/>
  </r>
  <r>
    <x v="13"/>
    <x v="19"/>
    <s v="Centers for Teacher Education"/>
    <m/>
    <m/>
    <x v="12"/>
    <m/>
    <m/>
    <m/>
    <m/>
    <m/>
    <m/>
    <m/>
    <m/>
    <n v="0"/>
    <m/>
    <m/>
    <n v="0"/>
    <n v="0"/>
    <n v="0"/>
    <n v="3200742"/>
    <n v="3200742"/>
    <m/>
    <m/>
    <n v="0"/>
    <m/>
    <m/>
    <n v="0"/>
    <m/>
    <m/>
    <m/>
    <m/>
    <m/>
    <m/>
    <n v="3200742"/>
    <n v="3200742"/>
  </r>
  <r>
    <x v="13"/>
    <x v="20"/>
    <s v="Contract Education Programs"/>
    <m/>
    <m/>
    <x v="12"/>
    <m/>
    <m/>
    <m/>
    <m/>
    <m/>
    <m/>
    <m/>
    <m/>
    <n v="0"/>
    <m/>
    <m/>
    <n v="0"/>
    <n v="0"/>
    <n v="0"/>
    <m/>
    <m/>
    <m/>
    <m/>
    <n v="0"/>
    <m/>
    <m/>
    <n v="0"/>
    <m/>
    <m/>
    <m/>
    <m/>
    <m/>
    <m/>
    <n v="0"/>
    <n v="0"/>
  </r>
  <r>
    <x v="13"/>
    <x v="21"/>
    <s v="SREB contract program with private colleges"/>
    <m/>
    <m/>
    <x v="12"/>
    <m/>
    <m/>
    <m/>
    <m/>
    <m/>
    <m/>
    <m/>
    <m/>
    <n v="0"/>
    <m/>
    <m/>
    <n v="0"/>
    <n v="0"/>
    <n v="0"/>
    <m/>
    <m/>
    <m/>
    <m/>
    <n v="0"/>
    <m/>
    <m/>
    <n v="0"/>
    <m/>
    <m/>
    <m/>
    <m/>
    <m/>
    <m/>
    <n v="0"/>
    <n v="0"/>
  </r>
  <r>
    <x v="13"/>
    <x v="22"/>
    <s v="SREB contract program with public colleges"/>
    <m/>
    <m/>
    <x v="12"/>
    <m/>
    <m/>
    <m/>
    <m/>
    <m/>
    <m/>
    <m/>
    <m/>
    <n v="0"/>
    <m/>
    <m/>
    <n v="0"/>
    <n v="0"/>
    <n v="0"/>
    <m/>
    <m/>
    <m/>
    <m/>
    <n v="0"/>
    <m/>
    <m/>
    <n v="0"/>
    <m/>
    <m/>
    <m/>
    <m/>
    <m/>
    <m/>
    <n v="0"/>
    <n v="0"/>
  </r>
  <r>
    <x v="13"/>
    <x v="23"/>
    <s v="Other contract education programs"/>
    <m/>
    <m/>
    <x v="12"/>
    <m/>
    <m/>
    <m/>
    <m/>
    <m/>
    <m/>
    <m/>
    <m/>
    <n v="0"/>
    <m/>
    <m/>
    <n v="0"/>
    <n v="0"/>
    <n v="0"/>
    <m/>
    <m/>
    <m/>
    <m/>
    <n v="0"/>
    <m/>
    <m/>
    <n v="0"/>
    <m/>
    <m/>
    <m/>
    <m/>
    <m/>
    <m/>
    <n v="0"/>
    <n v="0"/>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68230043"/>
    <n v="456332768"/>
    <m/>
    <m/>
    <n v="0"/>
    <m/>
    <m/>
    <n v="0"/>
    <m/>
    <m/>
    <m/>
    <m/>
    <m/>
    <m/>
    <n v="468230043"/>
    <n v="456332768"/>
  </r>
  <r>
    <x v="13"/>
    <x v="26"/>
    <s v="Need-based"/>
    <m/>
    <m/>
    <x v="12"/>
    <m/>
    <m/>
    <m/>
    <m/>
    <m/>
    <m/>
    <m/>
    <m/>
    <n v="0"/>
    <m/>
    <m/>
    <n v="0"/>
    <n v="0"/>
    <n v="0"/>
    <m/>
    <m/>
    <m/>
    <m/>
    <n v="0"/>
    <m/>
    <m/>
    <n v="0"/>
    <m/>
    <m/>
    <m/>
    <m/>
    <m/>
    <m/>
    <n v="0"/>
    <n v="0"/>
  </r>
  <r>
    <x v="13"/>
    <x v="27"/>
    <s v="Non need-based"/>
    <m/>
    <m/>
    <x v="12"/>
    <m/>
    <m/>
    <m/>
    <m/>
    <m/>
    <m/>
    <m/>
    <m/>
    <n v="0"/>
    <m/>
    <m/>
    <n v="0"/>
    <n v="0"/>
    <n v="0"/>
    <n v="25000000"/>
    <n v="29000000"/>
    <m/>
    <m/>
    <n v="0"/>
    <m/>
    <m/>
    <n v="0"/>
    <m/>
    <m/>
    <m/>
    <m/>
    <m/>
    <m/>
    <n v="25000000"/>
    <n v="2900000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Teach for TX Conditional Grants"/>
    <m/>
    <m/>
    <x v="12"/>
    <m/>
    <m/>
    <m/>
    <m/>
    <m/>
    <m/>
    <m/>
    <m/>
    <n v="0"/>
    <m/>
    <m/>
    <n v="0"/>
    <n v="0"/>
    <n v="0"/>
    <n v="5771443"/>
    <n v="5771443"/>
    <m/>
    <m/>
    <n v="0"/>
    <m/>
    <m/>
    <n v="0"/>
    <m/>
    <m/>
    <m/>
    <m/>
    <m/>
    <m/>
    <n v="5771443"/>
    <n v="5771443"/>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Joint Admission Medical Program"/>
    <m/>
    <m/>
    <x v="12"/>
    <m/>
    <m/>
    <m/>
    <m/>
    <m/>
    <m/>
    <m/>
    <m/>
    <n v="0"/>
    <m/>
    <m/>
    <n v="0"/>
    <n v="0"/>
    <n v="0"/>
    <n v="10616355"/>
    <n v="0"/>
    <m/>
    <m/>
    <n v="0"/>
    <m/>
    <m/>
    <n v="0"/>
    <m/>
    <m/>
    <m/>
    <m/>
    <m/>
    <m/>
    <n v="10616355"/>
    <n v="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Physician's Loan Repayment Program"/>
    <m/>
    <m/>
    <x v="12"/>
    <m/>
    <m/>
    <m/>
    <m/>
    <m/>
    <m/>
    <m/>
    <m/>
    <n v="0"/>
    <m/>
    <m/>
    <n v="0"/>
    <n v="0"/>
    <n v="0"/>
    <n v="197047"/>
    <n v="197047"/>
    <m/>
    <m/>
    <n v="0"/>
    <m/>
    <m/>
    <n v="0"/>
    <m/>
    <m/>
    <m/>
    <m/>
    <m/>
    <m/>
    <n v="197047"/>
    <n v="197047"/>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Dentist Education Loan Repayment Program"/>
    <m/>
    <m/>
    <x v="12"/>
    <m/>
    <m/>
    <m/>
    <m/>
    <m/>
    <m/>
    <m/>
    <m/>
    <n v="0"/>
    <m/>
    <m/>
    <n v="0"/>
    <n v="0"/>
    <n v="0"/>
    <n v="216477"/>
    <n v="216477"/>
    <m/>
    <m/>
    <n v="0"/>
    <m/>
    <m/>
    <n v="0"/>
    <m/>
    <m/>
    <m/>
    <m/>
    <m/>
    <m/>
    <n v="216477"/>
    <n v="216477"/>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Financial Aid - Prof Nursing"/>
    <m/>
    <m/>
    <x v="12"/>
    <m/>
    <m/>
    <m/>
    <m/>
    <m/>
    <m/>
    <m/>
    <m/>
    <n v="0"/>
    <m/>
    <m/>
    <n v="0"/>
    <n v="0"/>
    <n v="0"/>
    <n v="918565"/>
    <n v="918565"/>
    <m/>
    <m/>
    <n v="0"/>
    <m/>
    <m/>
    <n v="0"/>
    <m/>
    <m/>
    <m/>
    <m/>
    <m/>
    <m/>
    <n v="918565"/>
    <n v="918565"/>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Financial Aid - LV Nursing"/>
    <m/>
    <m/>
    <x v="12"/>
    <m/>
    <m/>
    <m/>
    <m/>
    <m/>
    <m/>
    <m/>
    <m/>
    <n v="0"/>
    <m/>
    <m/>
    <n v="0"/>
    <n v="0"/>
    <n v="0"/>
    <n v="45633"/>
    <n v="45633"/>
    <m/>
    <m/>
    <n v="0"/>
    <m/>
    <m/>
    <n v="0"/>
    <m/>
    <m/>
    <m/>
    <m/>
    <m/>
    <m/>
    <n v="45633"/>
    <n v="45633"/>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Border Faculty Loan Repayment Program"/>
    <m/>
    <m/>
    <x v="12"/>
    <m/>
    <m/>
    <m/>
    <m/>
    <m/>
    <m/>
    <m/>
    <m/>
    <n v="0"/>
    <m/>
    <m/>
    <n v="0"/>
    <n v="0"/>
    <n v="0"/>
    <n v="197813"/>
    <n v="197813"/>
    <m/>
    <m/>
    <n v="0"/>
    <m/>
    <m/>
    <n v="0"/>
    <m/>
    <m/>
    <m/>
    <m/>
    <m/>
    <m/>
    <n v="197813"/>
    <n v="197813"/>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37"/>
    <s v="Limited to private college students"/>
    <m/>
    <m/>
    <x v="12"/>
    <m/>
    <m/>
    <m/>
    <m/>
    <m/>
    <m/>
    <m/>
    <m/>
    <n v="0"/>
    <m/>
    <m/>
    <n v="0"/>
    <n v="0"/>
    <n v="0"/>
    <m/>
    <m/>
    <m/>
    <m/>
    <n v="0"/>
    <m/>
    <m/>
    <n v="0"/>
    <m/>
    <m/>
    <m/>
    <m/>
    <m/>
    <m/>
    <n v="0"/>
    <n v="0"/>
  </r>
  <r>
    <x v="13"/>
    <x v="38"/>
    <s v="Need-based"/>
    <m/>
    <m/>
    <x v="12"/>
    <m/>
    <m/>
    <m/>
    <m/>
    <m/>
    <m/>
    <m/>
    <m/>
    <n v="0"/>
    <m/>
    <m/>
    <n v="0"/>
    <n v="0"/>
    <n v="0"/>
    <m/>
    <m/>
    <m/>
    <m/>
    <n v="0"/>
    <m/>
    <m/>
    <n v="0"/>
    <m/>
    <m/>
    <m/>
    <m/>
    <m/>
    <m/>
    <n v="0"/>
    <n v="0"/>
  </r>
  <r>
    <x v="13"/>
    <x v="39"/>
    <s v="Non need-based"/>
    <m/>
    <m/>
    <x v="12"/>
    <m/>
    <m/>
    <m/>
    <m/>
    <m/>
    <m/>
    <m/>
    <m/>
    <n v="0"/>
    <m/>
    <m/>
    <n v="0"/>
    <n v="0"/>
    <n v="0"/>
    <m/>
    <m/>
    <m/>
    <m/>
    <n v="0"/>
    <m/>
    <m/>
    <n v="0"/>
    <m/>
    <m/>
    <m/>
    <m/>
    <m/>
    <m/>
    <n v="0"/>
    <n v="0"/>
  </r>
  <r>
    <x v="13"/>
    <x v="34"/>
    <s v="Limited to public sector students"/>
    <m/>
    <m/>
    <x v="12"/>
    <m/>
    <m/>
    <m/>
    <m/>
    <m/>
    <m/>
    <m/>
    <m/>
    <n v="0"/>
    <m/>
    <m/>
    <n v="0"/>
    <n v="0"/>
    <n v="0"/>
    <m/>
    <m/>
    <m/>
    <m/>
    <n v="0"/>
    <m/>
    <m/>
    <n v="0"/>
    <m/>
    <m/>
    <m/>
    <m/>
    <m/>
    <m/>
    <n v="0"/>
    <n v="0"/>
  </r>
  <r>
    <x v="13"/>
    <x v="25"/>
    <s v="Doctoral Incentive Program"/>
    <m/>
    <m/>
    <x v="12"/>
    <m/>
    <m/>
    <m/>
    <m/>
    <m/>
    <m/>
    <m/>
    <m/>
    <n v="0"/>
    <m/>
    <m/>
    <n v="0"/>
    <n v="0"/>
    <n v="0"/>
    <n v="657000"/>
    <n v="650000"/>
    <m/>
    <m/>
    <n v="0"/>
    <m/>
    <m/>
    <n v="0"/>
    <m/>
    <m/>
    <m/>
    <m/>
    <m/>
    <m/>
    <n v="657000"/>
    <n v="650000"/>
  </r>
  <r>
    <x v="13"/>
    <x v="35"/>
    <s v="Need-based"/>
    <m/>
    <m/>
    <x v="12"/>
    <m/>
    <m/>
    <m/>
    <m/>
    <m/>
    <m/>
    <m/>
    <m/>
    <n v="0"/>
    <m/>
    <m/>
    <n v="0"/>
    <n v="0"/>
    <n v="0"/>
    <m/>
    <m/>
    <m/>
    <m/>
    <n v="0"/>
    <m/>
    <m/>
    <n v="0"/>
    <m/>
    <m/>
    <m/>
    <m/>
    <m/>
    <m/>
    <n v="0"/>
    <n v="0"/>
  </r>
  <r>
    <x v="13"/>
    <x v="36"/>
    <s v="Non need-based"/>
    <m/>
    <m/>
    <x v="12"/>
    <m/>
    <m/>
    <m/>
    <m/>
    <m/>
    <m/>
    <m/>
    <m/>
    <n v="0"/>
    <m/>
    <m/>
    <n v="0"/>
    <n v="0"/>
    <n v="0"/>
    <m/>
    <m/>
    <m/>
    <m/>
    <n v="0"/>
    <m/>
    <m/>
    <n v="0"/>
    <m/>
    <m/>
    <m/>
    <m/>
    <m/>
    <m/>
    <n v="0"/>
    <n v="0"/>
  </r>
  <r>
    <x v="14"/>
    <x v="0"/>
    <s v="George Mason University "/>
    <m/>
    <n v="232186"/>
    <x v="0"/>
    <n v="114484737"/>
    <n v="111733347"/>
    <n v="1125000"/>
    <n v="956250"/>
    <m/>
    <m/>
    <n v="202948819"/>
    <n v="1124340"/>
    <n v="204073159"/>
    <n v="233733248"/>
    <n v="1734228"/>
    <n v="235467476"/>
    <n v="318558556"/>
    <n v="346422845"/>
    <m/>
    <m/>
    <m/>
    <m/>
    <n v="0"/>
    <m/>
    <m/>
    <n v="0"/>
    <m/>
    <m/>
    <m/>
    <m/>
    <m/>
    <m/>
    <n v="318558556"/>
    <n v="346422845"/>
  </r>
  <r>
    <x v="14"/>
    <x v="0"/>
    <s v="Old Dominion University "/>
    <m/>
    <n v="232982"/>
    <x v="0"/>
    <n v="91558743"/>
    <n v="89771848"/>
    <n v="2099838"/>
    <n v="2099838"/>
    <m/>
    <m/>
    <n v="100632572"/>
    <n v="565155"/>
    <n v="101197727"/>
    <n v="110824362"/>
    <n v="832590"/>
    <n v="111656952"/>
    <n v="194291153"/>
    <n v="202696048"/>
    <m/>
    <m/>
    <m/>
    <m/>
    <n v="0"/>
    <m/>
    <m/>
    <n v="0"/>
    <m/>
    <m/>
    <m/>
    <m/>
    <m/>
    <m/>
    <n v="194291153"/>
    <n v="202696048"/>
  </r>
  <r>
    <x v="14"/>
    <x v="0"/>
    <s v="University of Virginia"/>
    <m/>
    <n v="234076"/>
    <x v="0"/>
    <n v="104846156"/>
    <n v="106478460"/>
    <n v="3146875"/>
    <n v="5821112"/>
    <m/>
    <m/>
    <n v="290543604"/>
    <n v="2830205"/>
    <n v="293373809"/>
    <n v="311840675"/>
    <n v="4266442"/>
    <n v="316107117"/>
    <n v="398536635"/>
    <n v="424140247"/>
    <m/>
    <m/>
    <m/>
    <m/>
    <n v="0"/>
    <m/>
    <m/>
    <n v="0"/>
    <m/>
    <m/>
    <m/>
    <m/>
    <m/>
    <m/>
    <n v="398536635"/>
    <n v="424140247"/>
  </r>
  <r>
    <x v="14"/>
    <x v="1"/>
    <s v="Medical School"/>
    <m/>
    <n v="234076"/>
    <x v="0"/>
    <m/>
    <m/>
    <m/>
    <m/>
    <m/>
    <m/>
    <m/>
    <m/>
    <n v="0"/>
    <m/>
    <m/>
    <n v="0"/>
    <n v="0"/>
    <n v="0"/>
    <m/>
    <m/>
    <m/>
    <m/>
    <n v="0"/>
    <m/>
    <m/>
    <n v="0"/>
    <n v="17013450"/>
    <n v="14473603"/>
    <n v="36723439"/>
    <m/>
    <n v="40618069"/>
    <m/>
    <n v="53736889"/>
    <n v="55091672"/>
  </r>
  <r>
    <x v="14"/>
    <x v="0"/>
    <s v="Virginia Tech "/>
    <m/>
    <n v="233921"/>
    <x v="0"/>
    <n v="133533695"/>
    <n v="135863271"/>
    <n v="3121875"/>
    <n v="2388544"/>
    <m/>
    <m/>
    <n v="297448892"/>
    <n v="2600180"/>
    <n v="300049072"/>
    <n v="317438451"/>
    <n v="4084515"/>
    <n v="321522966"/>
    <n v="434104462"/>
    <n v="455690266"/>
    <m/>
    <m/>
    <m/>
    <m/>
    <n v="0"/>
    <m/>
    <m/>
    <n v="0"/>
    <m/>
    <m/>
    <m/>
    <m/>
    <m/>
    <m/>
    <n v="434104462"/>
    <n v="455690266"/>
  </r>
  <r>
    <x v="14"/>
    <x v="1"/>
    <s v="Veterinary School"/>
    <m/>
    <n v="233921"/>
    <x v="0"/>
    <m/>
    <m/>
    <m/>
    <m/>
    <m/>
    <m/>
    <m/>
    <m/>
    <n v="0"/>
    <m/>
    <m/>
    <n v="0"/>
    <n v="0"/>
    <n v="0"/>
    <m/>
    <m/>
    <m/>
    <m/>
    <n v="0"/>
    <m/>
    <m/>
    <n v="0"/>
    <n v="12952964"/>
    <n v="10261050"/>
    <n v="10468284"/>
    <m/>
    <n v="10962398"/>
    <m/>
    <n v="23421248"/>
    <n v="21223448"/>
  </r>
  <r>
    <x v="14"/>
    <x v="5"/>
    <s v="Agricultural &amp; Foresty Research"/>
    <m/>
    <n v="233921"/>
    <x v="0"/>
    <m/>
    <m/>
    <n v="29623718"/>
    <n v="31168169"/>
    <m/>
    <m/>
    <m/>
    <m/>
    <n v="0"/>
    <m/>
    <m/>
    <n v="0"/>
    <n v="29623718"/>
    <n v="31168169"/>
    <m/>
    <m/>
    <m/>
    <m/>
    <n v="0"/>
    <m/>
    <m/>
    <n v="0"/>
    <m/>
    <m/>
    <m/>
    <m/>
    <m/>
    <m/>
    <n v="29623718"/>
    <n v="31168169"/>
  </r>
  <r>
    <x v="14"/>
    <x v="6"/>
    <s v="Cooperative Extension"/>
    <m/>
    <n v="233921"/>
    <x v="0"/>
    <m/>
    <m/>
    <n v="31037747"/>
    <n v="31329300"/>
    <m/>
    <m/>
    <m/>
    <m/>
    <n v="0"/>
    <m/>
    <m/>
    <n v="0"/>
    <n v="31037747"/>
    <n v="31329300"/>
    <m/>
    <m/>
    <m/>
    <m/>
    <n v="0"/>
    <m/>
    <m/>
    <n v="0"/>
    <m/>
    <m/>
    <m/>
    <m/>
    <m/>
    <m/>
    <n v="31037747"/>
    <n v="31329300"/>
  </r>
  <r>
    <x v="14"/>
    <x v="0"/>
    <s v="College of William &amp; Mary"/>
    <m/>
    <n v="231624"/>
    <x v="1"/>
    <n v="39681727"/>
    <n v="39291864"/>
    <n v="75000"/>
    <n v="75000"/>
    <m/>
    <m/>
    <n v="88892776"/>
    <n v="769745"/>
    <n v="89662521"/>
    <n v="95018763"/>
    <n v="1213882"/>
    <n v="96232645"/>
    <n v="128649503"/>
    <n v="134385627"/>
    <m/>
    <m/>
    <m/>
    <m/>
    <n v="0"/>
    <m/>
    <m/>
    <n v="0"/>
    <m/>
    <m/>
    <m/>
    <m/>
    <m/>
    <m/>
    <n v="128649503"/>
    <n v="134385627"/>
  </r>
  <r>
    <x v="14"/>
    <x v="7"/>
    <s v="Research centers/institutes"/>
    <m/>
    <n v="231624"/>
    <x v="1"/>
    <m/>
    <m/>
    <m/>
    <m/>
    <m/>
    <m/>
    <m/>
    <m/>
    <n v="0"/>
    <m/>
    <m/>
    <n v="0"/>
    <n v="0"/>
    <n v="0"/>
    <m/>
    <m/>
    <m/>
    <m/>
    <n v="0"/>
    <m/>
    <m/>
    <n v="0"/>
    <m/>
    <m/>
    <m/>
    <m/>
    <m/>
    <m/>
    <n v="0"/>
    <n v="0"/>
  </r>
  <r>
    <x v="14"/>
    <x v="7"/>
    <s v="Va Inst of Marine Science"/>
    <m/>
    <n v="231624"/>
    <x v="1"/>
    <m/>
    <m/>
    <n v="18085580"/>
    <n v="17950965"/>
    <m/>
    <m/>
    <m/>
    <m/>
    <n v="0"/>
    <m/>
    <m/>
    <n v="0"/>
    <n v="18085580"/>
    <n v="17950965"/>
    <m/>
    <m/>
    <m/>
    <m/>
    <n v="0"/>
    <m/>
    <m/>
    <n v="0"/>
    <m/>
    <m/>
    <m/>
    <m/>
    <m/>
    <m/>
    <n v="18085580"/>
    <n v="17950965"/>
  </r>
  <r>
    <x v="14"/>
    <x v="0"/>
    <s v="Virginia Commonwealth University"/>
    <m/>
    <n v="234030"/>
    <x v="1"/>
    <n v="134764309"/>
    <n v="131370106"/>
    <n v="2162500"/>
    <n v="3162500"/>
    <m/>
    <m/>
    <n v="199485524"/>
    <n v="1237060"/>
    <n v="200722584"/>
    <n v="225870617"/>
    <n v="1854360"/>
    <n v="227724977"/>
    <n v="336412333"/>
    <n v="360403223"/>
    <m/>
    <m/>
    <m/>
    <m/>
    <n v="0"/>
    <m/>
    <m/>
    <n v="0"/>
    <m/>
    <m/>
    <m/>
    <m/>
    <m/>
    <m/>
    <n v="336412333"/>
    <n v="360403223"/>
  </r>
  <r>
    <x v="14"/>
    <x v="1"/>
    <s v="Medical School"/>
    <m/>
    <n v="234030"/>
    <x v="1"/>
    <m/>
    <m/>
    <m/>
    <m/>
    <m/>
    <m/>
    <m/>
    <m/>
    <n v="0"/>
    <m/>
    <m/>
    <n v="0"/>
    <n v="0"/>
    <n v="0"/>
    <m/>
    <m/>
    <m/>
    <m/>
    <n v="0"/>
    <m/>
    <m/>
    <n v="0"/>
    <n v="26966867"/>
    <n v="28281751"/>
    <n v="34688941"/>
    <m/>
    <n v="36739080"/>
    <m/>
    <n v="61655808"/>
    <n v="65020831"/>
  </r>
  <r>
    <x v="14"/>
    <x v="0"/>
    <s v="James Madison University  "/>
    <m/>
    <n v="232423"/>
    <x v="2"/>
    <n v="65091186"/>
    <n v="63577853"/>
    <m/>
    <m/>
    <m/>
    <m/>
    <n v="142174528"/>
    <n v="1569990"/>
    <n v="143744518"/>
    <n v="156573962"/>
    <n v="2430855"/>
    <n v="159004817"/>
    <n v="207265714"/>
    <n v="220151815"/>
    <m/>
    <m/>
    <m/>
    <m/>
    <n v="0"/>
    <m/>
    <m/>
    <n v="0"/>
    <m/>
    <m/>
    <m/>
    <m/>
    <m/>
    <m/>
    <n v="207265714"/>
    <n v="220151815"/>
  </r>
  <r>
    <x v="14"/>
    <x v="0"/>
    <s v="Norfolk State University "/>
    <m/>
    <n v="232937"/>
    <x v="2"/>
    <n v="39798642"/>
    <n v="39807466"/>
    <m/>
    <m/>
    <m/>
    <m/>
    <n v="29232671"/>
    <n v="286560"/>
    <n v="29519231"/>
    <n v="32852936"/>
    <n v="433605"/>
    <n v="33286541"/>
    <n v="69031313"/>
    <n v="72660402"/>
    <m/>
    <m/>
    <m/>
    <m/>
    <n v="0"/>
    <m/>
    <m/>
    <n v="0"/>
    <m/>
    <m/>
    <m/>
    <m/>
    <m/>
    <m/>
    <n v="69031313"/>
    <n v="72660402"/>
  </r>
  <r>
    <x v="14"/>
    <x v="0"/>
    <s v="Radford University"/>
    <m/>
    <n v="233277"/>
    <x v="3"/>
    <n v="43060697"/>
    <n v="42386924"/>
    <m/>
    <m/>
    <m/>
    <m/>
    <n v="46173593"/>
    <n v="205840"/>
    <n v="46379433"/>
    <n v="51024321"/>
    <n v="304470"/>
    <n v="51328791"/>
    <n v="89234290"/>
    <n v="93411245"/>
    <m/>
    <m/>
    <m/>
    <m/>
    <n v="0"/>
    <m/>
    <m/>
    <n v="0"/>
    <m/>
    <m/>
    <m/>
    <m/>
    <m/>
    <m/>
    <n v="89234290"/>
    <n v="93411245"/>
  </r>
  <r>
    <x v="14"/>
    <x v="0"/>
    <s v="Christopher Newport University"/>
    <m/>
    <n v="231712"/>
    <x v="4"/>
    <n v="23781712"/>
    <n v="23381851"/>
    <n v="362500"/>
    <n v="26875"/>
    <m/>
    <m/>
    <n v="23541362"/>
    <n v="57130"/>
    <n v="23598492"/>
    <n v="26344035"/>
    <n v="101790"/>
    <n v="26445825"/>
    <n v="47685574"/>
    <n v="49752761"/>
    <m/>
    <m/>
    <m/>
    <m/>
    <n v="0"/>
    <m/>
    <m/>
    <n v="0"/>
    <m/>
    <m/>
    <m/>
    <m/>
    <m/>
    <m/>
    <n v="47685574"/>
    <n v="49752761"/>
  </r>
  <r>
    <x v="14"/>
    <x v="0"/>
    <s v="Virginia State University "/>
    <m/>
    <n v="234155"/>
    <x v="3"/>
    <n v="30133409"/>
    <n v="30129353"/>
    <m/>
    <m/>
    <m/>
    <m/>
    <n v="31407781"/>
    <n v="405790"/>
    <n v="31813571"/>
    <n v="33741620"/>
    <n v="749985"/>
    <n v="34491605"/>
    <n v="61541190"/>
    <n v="63870973"/>
    <m/>
    <m/>
    <m/>
    <m/>
    <n v="0"/>
    <m/>
    <m/>
    <n v="0"/>
    <m/>
    <m/>
    <m/>
    <m/>
    <m/>
    <m/>
    <n v="61541190"/>
    <n v="63870973"/>
  </r>
  <r>
    <x v="14"/>
    <x v="5"/>
    <s v="Agricultural cooperative extension"/>
    <m/>
    <n v="234155"/>
    <x v="3"/>
    <m/>
    <m/>
    <n v="4693168"/>
    <n v="5104160"/>
    <m/>
    <m/>
    <m/>
    <m/>
    <n v="0"/>
    <m/>
    <m/>
    <n v="0"/>
    <n v="4693168"/>
    <n v="5104160"/>
    <m/>
    <m/>
    <m/>
    <m/>
    <n v="0"/>
    <m/>
    <m/>
    <n v="0"/>
    <m/>
    <m/>
    <m/>
    <m/>
    <m/>
    <m/>
    <n v="4693168"/>
    <n v="5104160"/>
  </r>
  <r>
    <x v="14"/>
    <x v="0"/>
    <s v="Longwood University "/>
    <s v="Reclassified: met criteria for SREB Four-Year 4 in 2008-09, 2009-10 and 2010-11."/>
    <n v="232566"/>
    <x v="4"/>
    <n v="24146592"/>
    <n v="23855610"/>
    <m/>
    <m/>
    <m/>
    <m/>
    <n v="23569333"/>
    <n v="76210"/>
    <n v="23645543"/>
    <n v="26735943"/>
    <n v="118410"/>
    <n v="26854353"/>
    <n v="47715925"/>
    <n v="50591553"/>
    <m/>
    <m/>
    <m/>
    <m/>
    <n v="0"/>
    <m/>
    <m/>
    <n v="0"/>
    <m/>
    <m/>
    <m/>
    <m/>
    <m/>
    <m/>
    <n v="47715925"/>
    <n v="50591553"/>
  </r>
  <r>
    <x v="14"/>
    <x v="0"/>
    <s v="University of Mary Washington"/>
    <m/>
    <n v="232681"/>
    <x v="4"/>
    <n v="19153410"/>
    <n v="18987067"/>
    <m/>
    <m/>
    <m/>
    <m/>
    <n v="34808236"/>
    <n v="292450"/>
    <n v="35100686"/>
    <n v="36893236"/>
    <n v="422985"/>
    <n v="37316221"/>
    <n v="53961646"/>
    <n v="55880303"/>
    <m/>
    <m/>
    <m/>
    <m/>
    <n v="0"/>
    <m/>
    <m/>
    <n v="0"/>
    <m/>
    <m/>
    <m/>
    <m/>
    <m/>
    <m/>
    <n v="53961646"/>
    <n v="55880303"/>
  </r>
  <r>
    <x v="14"/>
    <x v="0"/>
    <s v="University of Virginia's College at Wise "/>
    <m/>
    <n v="233897"/>
    <x v="5"/>
    <n v="12373725"/>
    <n v="11829222"/>
    <m/>
    <m/>
    <m/>
    <m/>
    <n v="6082463"/>
    <n v="26960"/>
    <n v="6109423"/>
    <n v="6727326"/>
    <n v="35108"/>
    <n v="6762434"/>
    <n v="18456188"/>
    <n v="18556548"/>
    <m/>
    <m/>
    <m/>
    <m/>
    <n v="0"/>
    <m/>
    <m/>
    <n v="0"/>
    <m/>
    <m/>
    <m/>
    <m/>
    <m/>
    <m/>
    <n v="18456188"/>
    <n v="18556548"/>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m/>
    <n v="232450"/>
    <x v="7"/>
    <m/>
    <m/>
    <m/>
    <m/>
    <m/>
    <m/>
    <m/>
    <m/>
    <n v="0"/>
    <m/>
    <m/>
    <n v="0"/>
    <n v="0"/>
    <n v="0"/>
    <m/>
    <m/>
    <m/>
    <m/>
    <n v="0"/>
    <m/>
    <m/>
    <n v="0"/>
    <m/>
    <m/>
    <m/>
    <m/>
    <m/>
    <m/>
    <n v="0"/>
    <n v="0"/>
  </r>
  <r>
    <x v="14"/>
    <x v="0"/>
    <s v="Lord Fairfax Community College  "/>
    <m/>
    <n v="232575"/>
    <x v="7"/>
    <m/>
    <m/>
    <m/>
    <m/>
    <m/>
    <m/>
    <m/>
    <m/>
    <n v="0"/>
    <m/>
    <m/>
    <n v="0"/>
    <n v="0"/>
    <n v="0"/>
    <m/>
    <m/>
    <m/>
    <m/>
    <n v="0"/>
    <m/>
    <m/>
    <n v="0"/>
    <m/>
    <m/>
    <m/>
    <m/>
    <m/>
    <m/>
    <n v="0"/>
    <n v="0"/>
  </r>
  <r>
    <x v="14"/>
    <x v="0"/>
    <s v="New River Community College "/>
    <m/>
    <n v="232867"/>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m/>
    <n v="233648"/>
    <x v="7"/>
    <m/>
    <m/>
    <m/>
    <m/>
    <m/>
    <m/>
    <m/>
    <m/>
    <n v="0"/>
    <m/>
    <m/>
    <n v="0"/>
    <n v="0"/>
    <n v="0"/>
    <m/>
    <m/>
    <m/>
    <m/>
    <n v="0"/>
    <m/>
    <m/>
    <n v="0"/>
    <m/>
    <m/>
    <m/>
    <m/>
    <m/>
    <m/>
    <n v="0"/>
    <n v="0"/>
  </r>
  <r>
    <x v="14"/>
    <x v="0"/>
    <s v="Virginia Western Community College "/>
    <s v="Met the criteria for Two-Year 1 in 2010-11."/>
    <n v="233949"/>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Mountain Empire Community College"/>
    <s v="Met the criteria for Two-Year 2 in 2010-11."/>
    <n v="232788"/>
    <x v="8"/>
    <m/>
    <m/>
    <m/>
    <m/>
    <m/>
    <m/>
    <m/>
    <m/>
    <n v="0"/>
    <m/>
    <m/>
    <n v="0"/>
    <n v="0"/>
    <n v="0"/>
    <m/>
    <m/>
    <m/>
    <m/>
    <n v="0"/>
    <m/>
    <m/>
    <n v="0"/>
    <m/>
    <m/>
    <m/>
    <m/>
    <m/>
    <m/>
    <n v="0"/>
    <n v="0"/>
  </r>
  <r>
    <x v="14"/>
    <x v="0"/>
    <s v="Paul D. Camp Community College  "/>
    <m/>
    <n v="233037"/>
    <x v="8"/>
    <m/>
    <m/>
    <m/>
    <m/>
    <m/>
    <m/>
    <m/>
    <m/>
    <n v="0"/>
    <m/>
    <m/>
    <n v="0"/>
    <n v="0"/>
    <n v="0"/>
    <m/>
    <m/>
    <m/>
    <m/>
    <n v="0"/>
    <m/>
    <m/>
    <n v="0"/>
    <m/>
    <m/>
    <m/>
    <m/>
    <m/>
    <m/>
    <n v="0"/>
    <n v="0"/>
  </r>
  <r>
    <x v="14"/>
    <x v="0"/>
    <s v="Patrick Henry Community College "/>
    <s v="Met the criteria for Two-Year 2 in 2009-10 and 2010-11."/>
    <n v="233019"/>
    <x v="8"/>
    <m/>
    <m/>
    <m/>
    <m/>
    <m/>
    <m/>
    <m/>
    <m/>
    <n v="0"/>
    <m/>
    <m/>
    <n v="0"/>
    <n v="0"/>
    <n v="0"/>
    <m/>
    <m/>
    <m/>
    <m/>
    <n v="0"/>
    <m/>
    <m/>
    <n v="0"/>
    <m/>
    <m/>
    <m/>
    <m/>
    <m/>
    <m/>
    <n v="0"/>
    <n v="0"/>
  </r>
  <r>
    <x v="14"/>
    <x v="0"/>
    <s v="Rappahannock Community College  "/>
    <m/>
    <n v="233310"/>
    <x v="8"/>
    <m/>
    <m/>
    <m/>
    <m/>
    <m/>
    <m/>
    <m/>
    <m/>
    <n v="0"/>
    <m/>
    <m/>
    <n v="0"/>
    <n v="0"/>
    <n v="0"/>
    <m/>
    <m/>
    <m/>
    <m/>
    <n v="0"/>
    <m/>
    <m/>
    <n v="0"/>
    <m/>
    <m/>
    <m/>
    <m/>
    <m/>
    <m/>
    <n v="0"/>
    <n v="0"/>
  </r>
  <r>
    <x v="14"/>
    <x v="0"/>
    <s v="Richard Bland College "/>
    <m/>
    <n v="233338"/>
    <x v="8"/>
    <n v="5304163"/>
    <n v="5234621"/>
    <m/>
    <m/>
    <m/>
    <m/>
    <n v="3347500"/>
    <n v="3440"/>
    <n v="3350940"/>
    <n v="4356500"/>
    <n v="5730"/>
    <n v="4362230"/>
    <n v="8651663"/>
    <n v="9591121"/>
    <m/>
    <m/>
    <m/>
    <m/>
    <n v="0"/>
    <m/>
    <m/>
    <n v="0"/>
    <m/>
    <m/>
    <m/>
    <m/>
    <m/>
    <m/>
    <n v="8651663"/>
    <n v="9591121"/>
  </r>
  <r>
    <x v="14"/>
    <x v="0"/>
    <s v="Virginia Highlands Community College "/>
    <m/>
    <n v="233903"/>
    <x v="8"/>
    <m/>
    <m/>
    <m/>
    <m/>
    <m/>
    <m/>
    <m/>
    <m/>
    <n v="0"/>
    <m/>
    <m/>
    <n v="0"/>
    <n v="0"/>
    <n v="0"/>
    <m/>
    <m/>
    <m/>
    <m/>
    <n v="0"/>
    <m/>
    <m/>
    <n v="0"/>
    <m/>
    <m/>
    <m/>
    <m/>
    <m/>
    <m/>
    <n v="0"/>
    <n v="0"/>
  </r>
  <r>
    <x v="14"/>
    <x v="0"/>
    <s v="Wytheville Community College "/>
    <s v="Met the criteria for Two-Year 2 in 2009-10 and 2010-11."/>
    <n v="234377"/>
    <x v="8"/>
    <m/>
    <m/>
    <m/>
    <m/>
    <m/>
    <m/>
    <m/>
    <m/>
    <n v="0"/>
    <m/>
    <m/>
    <n v="0"/>
    <n v="0"/>
    <n v="0"/>
    <m/>
    <m/>
    <m/>
    <m/>
    <n v="0"/>
    <m/>
    <m/>
    <n v="0"/>
    <m/>
    <m/>
    <m/>
    <m/>
    <m/>
    <m/>
    <n v="0"/>
    <n v="0"/>
  </r>
  <r>
    <x v="14"/>
    <x v="0"/>
    <s v="All Community Colleges except R.Bland"/>
    <m/>
    <m/>
    <x v="16"/>
    <n v="331304087"/>
    <n v="326922487"/>
    <m/>
    <m/>
    <n v="15452590"/>
    <n v="7592748"/>
    <n v="346660249"/>
    <n v="1753660"/>
    <n v="348413909"/>
    <n v="463162634"/>
    <n v="2336220"/>
    <n v="465498854"/>
    <n v="693416926"/>
    <n v="797677869"/>
    <m/>
    <m/>
    <m/>
    <m/>
    <n v="0"/>
    <m/>
    <m/>
    <n v="0"/>
    <m/>
    <m/>
    <m/>
    <m/>
    <m/>
    <m/>
    <n v="693416926"/>
    <n v="797677869"/>
  </r>
  <r>
    <x v="14"/>
    <x v="9"/>
    <s v="Virginia Military Institute"/>
    <m/>
    <n v="234085"/>
    <x v="11"/>
    <m/>
    <m/>
    <m/>
    <m/>
    <m/>
    <m/>
    <m/>
    <m/>
    <n v="0"/>
    <m/>
    <m/>
    <n v="0"/>
    <n v="0"/>
    <n v="0"/>
    <n v="11624418"/>
    <n v="11446268"/>
    <n v="19764717"/>
    <n v="191055"/>
    <n v="19955772"/>
    <n v="22459717"/>
    <n v="292118"/>
    <n v="22751835"/>
    <m/>
    <m/>
    <m/>
    <m/>
    <m/>
    <m/>
    <n v="31389135"/>
    <n v="33905985"/>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111460"/>
    <n v="4473512"/>
    <m/>
    <m/>
    <m/>
    <m/>
    <n v="0"/>
    <m/>
    <m/>
    <n v="0"/>
    <n v="4111460"/>
    <n v="4473512"/>
    <m/>
    <m/>
    <m/>
    <m/>
    <n v="0"/>
    <m/>
    <m/>
    <n v="0"/>
    <m/>
    <m/>
    <m/>
    <m/>
    <m/>
    <m/>
    <n v="4111460"/>
    <n v="4473512"/>
  </r>
  <r>
    <x v="14"/>
    <x v="11"/>
    <s v="Jefferson Science Associates"/>
    <m/>
    <m/>
    <x v="12"/>
    <m/>
    <m/>
    <n v="1213774"/>
    <n v="1149891"/>
    <m/>
    <m/>
    <m/>
    <m/>
    <n v="0"/>
    <m/>
    <m/>
    <n v="0"/>
    <n v="1213774"/>
    <n v="1149891"/>
    <m/>
    <m/>
    <m/>
    <m/>
    <n v="0"/>
    <m/>
    <m/>
    <n v="0"/>
    <m/>
    <m/>
    <m/>
    <m/>
    <m/>
    <m/>
    <n v="1213774"/>
    <n v="1149891"/>
  </r>
  <r>
    <x v="14"/>
    <x v="11"/>
    <s v="Higher Education Research Initiatives"/>
    <m/>
    <m/>
    <x v="12"/>
    <m/>
    <m/>
    <n v="6600000"/>
    <n v="3510000"/>
    <m/>
    <m/>
    <m/>
    <m/>
    <n v="0"/>
    <m/>
    <m/>
    <n v="0"/>
    <n v="6600000"/>
    <n v="3510000"/>
    <m/>
    <m/>
    <m/>
    <m/>
    <n v="0"/>
    <m/>
    <m/>
    <n v="0"/>
    <m/>
    <m/>
    <m/>
    <m/>
    <m/>
    <m/>
    <n v="6600000"/>
    <n v="3510000"/>
  </r>
  <r>
    <x v="14"/>
    <x v="12"/>
    <s v="Special Line items for education operations"/>
    <m/>
    <m/>
    <x v="12"/>
    <m/>
    <m/>
    <m/>
    <m/>
    <m/>
    <m/>
    <m/>
    <m/>
    <n v="0"/>
    <m/>
    <m/>
    <n v="0"/>
    <n v="0"/>
    <n v="0"/>
    <m/>
    <m/>
    <m/>
    <m/>
    <n v="0"/>
    <m/>
    <m/>
    <n v="0"/>
    <m/>
    <m/>
    <m/>
    <m/>
    <m/>
    <m/>
    <n v="0"/>
    <n v="0"/>
  </r>
  <r>
    <x v="14"/>
    <x v="12"/>
    <s v="New College Institute"/>
    <m/>
    <m/>
    <x v="12"/>
    <m/>
    <m/>
    <n v="1472238"/>
    <n v="1464107"/>
    <m/>
    <m/>
    <m/>
    <m/>
    <n v="0"/>
    <m/>
    <m/>
    <n v="0"/>
    <n v="1472238"/>
    <n v="1464107"/>
    <m/>
    <m/>
    <m/>
    <m/>
    <n v="0"/>
    <m/>
    <m/>
    <n v="0"/>
    <m/>
    <m/>
    <m/>
    <m/>
    <m/>
    <m/>
    <n v="1472238"/>
    <n v="1464107"/>
  </r>
  <r>
    <x v="14"/>
    <x v="13"/>
    <s v="Educational special purpose funds — all other"/>
    <m/>
    <m/>
    <x v="12"/>
    <m/>
    <m/>
    <m/>
    <m/>
    <m/>
    <m/>
    <m/>
    <m/>
    <n v="0"/>
    <m/>
    <m/>
    <n v="0"/>
    <n v="0"/>
    <n v="0"/>
    <m/>
    <m/>
    <m/>
    <m/>
    <n v="0"/>
    <m/>
    <m/>
    <n v="0"/>
    <m/>
    <m/>
    <m/>
    <m/>
    <m/>
    <m/>
    <n v="0"/>
    <n v="0"/>
  </r>
  <r>
    <x v="14"/>
    <x v="13"/>
    <s v="Eminent Scholars"/>
    <m/>
    <m/>
    <x v="12"/>
    <m/>
    <m/>
    <n v="3414998"/>
    <n v="1707499"/>
    <m/>
    <m/>
    <m/>
    <m/>
    <n v="0"/>
    <m/>
    <m/>
    <n v="0"/>
    <n v="3414998"/>
    <n v="1707499"/>
    <m/>
    <m/>
    <m/>
    <m/>
    <n v="0"/>
    <m/>
    <m/>
    <n v="0"/>
    <m/>
    <m/>
    <m/>
    <m/>
    <m/>
    <m/>
    <n v="3414998"/>
    <n v="1707499"/>
  </r>
  <r>
    <x v="14"/>
    <x v="13"/>
    <s v="Library Sharing"/>
    <m/>
    <m/>
    <x v="12"/>
    <m/>
    <m/>
    <n v="6003177"/>
    <n v="6003177"/>
    <m/>
    <m/>
    <m/>
    <m/>
    <n v="0"/>
    <m/>
    <m/>
    <n v="0"/>
    <n v="6003177"/>
    <n v="6003177"/>
    <m/>
    <m/>
    <m/>
    <m/>
    <n v="0"/>
    <m/>
    <m/>
    <n v="0"/>
    <m/>
    <m/>
    <m/>
    <m/>
    <m/>
    <m/>
    <n v="6003177"/>
    <n v="6003177"/>
  </r>
  <r>
    <x v="14"/>
    <x v="13"/>
    <s v="VMI/MBC Contract"/>
    <m/>
    <m/>
    <x v="12"/>
    <m/>
    <m/>
    <n v="307899"/>
    <n v="307899"/>
    <m/>
    <m/>
    <m/>
    <m/>
    <n v="0"/>
    <m/>
    <m/>
    <n v="0"/>
    <n v="307899"/>
    <n v="307899"/>
    <m/>
    <m/>
    <m/>
    <m/>
    <n v="0"/>
    <m/>
    <m/>
    <n v="0"/>
    <m/>
    <m/>
    <m/>
    <m/>
    <m/>
    <m/>
    <n v="307899"/>
    <n v="307899"/>
  </r>
  <r>
    <x v="14"/>
    <x v="13"/>
    <s v="Space Grant"/>
    <m/>
    <m/>
    <x v="12"/>
    <m/>
    <m/>
    <n v="245000"/>
    <n v="245000"/>
    <m/>
    <m/>
    <m/>
    <m/>
    <n v="0"/>
    <m/>
    <m/>
    <n v="0"/>
    <n v="245000"/>
    <n v="245000"/>
    <m/>
    <m/>
    <m/>
    <m/>
    <n v="0"/>
    <m/>
    <m/>
    <n v="0"/>
    <m/>
    <m/>
    <m/>
    <m/>
    <m/>
    <m/>
    <n v="245000"/>
    <n v="245000"/>
  </r>
  <r>
    <x v="14"/>
    <x v="13"/>
    <s v="Melcher's-Monroe Memorials"/>
    <m/>
    <m/>
    <x v="12"/>
    <m/>
    <m/>
    <n v="665344"/>
    <n v="664969"/>
    <m/>
    <m/>
    <m/>
    <m/>
    <n v="0"/>
    <m/>
    <m/>
    <n v="0"/>
    <n v="665344"/>
    <n v="664969"/>
    <m/>
    <m/>
    <m/>
    <m/>
    <n v="0"/>
    <m/>
    <m/>
    <n v="0"/>
    <m/>
    <m/>
    <m/>
    <m/>
    <m/>
    <m/>
    <n v="665344"/>
    <n v="664969"/>
  </r>
  <r>
    <x v="14"/>
    <x v="13"/>
    <s v="Medical College Hampton Rds./Eastern VA Medical Auth."/>
    <m/>
    <m/>
    <x v="12"/>
    <m/>
    <m/>
    <m/>
    <m/>
    <m/>
    <m/>
    <m/>
    <m/>
    <n v="0"/>
    <m/>
    <m/>
    <n v="0"/>
    <n v="0"/>
    <n v="0"/>
    <m/>
    <m/>
    <m/>
    <m/>
    <n v="0"/>
    <m/>
    <m/>
    <n v="0"/>
    <n v="16108599"/>
    <n v="16484299"/>
    <m/>
    <m/>
    <m/>
    <m/>
    <n v="16108599"/>
    <n v="16484299"/>
  </r>
  <r>
    <x v="14"/>
    <x v="13"/>
    <s v="VCBA-Eq Trust Fund"/>
    <m/>
    <m/>
    <x v="12"/>
    <m/>
    <m/>
    <n v="62698478"/>
    <n v="50042693"/>
    <m/>
    <m/>
    <m/>
    <m/>
    <n v="0"/>
    <m/>
    <m/>
    <n v="0"/>
    <n v="62698478"/>
    <n v="50042693"/>
    <m/>
    <m/>
    <m/>
    <m/>
    <n v="0"/>
    <m/>
    <m/>
    <n v="0"/>
    <m/>
    <m/>
    <m/>
    <m/>
    <m/>
    <m/>
    <n v="62698478"/>
    <n v="50042693"/>
  </r>
  <r>
    <x v="14"/>
    <x v="13"/>
    <s v="Southern Virginia Higher Education Center"/>
    <m/>
    <m/>
    <x v="12"/>
    <m/>
    <m/>
    <n v="1930990"/>
    <n v="1930643"/>
    <m/>
    <m/>
    <m/>
    <m/>
    <n v="0"/>
    <m/>
    <m/>
    <n v="0"/>
    <n v="1930990"/>
    <n v="1930643"/>
    <m/>
    <m/>
    <m/>
    <m/>
    <n v="0"/>
    <m/>
    <m/>
    <n v="0"/>
    <m/>
    <m/>
    <m/>
    <m/>
    <m/>
    <m/>
    <n v="1930990"/>
    <n v="1930643"/>
  </r>
  <r>
    <x v="14"/>
    <x v="13"/>
    <s v="SW Va Higher Education Center"/>
    <m/>
    <m/>
    <x v="12"/>
    <m/>
    <m/>
    <n v="1815533"/>
    <n v="1804919"/>
    <m/>
    <m/>
    <m/>
    <m/>
    <n v="0"/>
    <m/>
    <m/>
    <n v="0"/>
    <n v="1815533"/>
    <n v="1804919"/>
    <m/>
    <m/>
    <m/>
    <m/>
    <n v="0"/>
    <m/>
    <m/>
    <n v="0"/>
    <m/>
    <m/>
    <m/>
    <m/>
    <m/>
    <m/>
    <n v="1815533"/>
    <n v="1804919"/>
  </r>
  <r>
    <x v="14"/>
    <x v="13"/>
    <s v="Roanoke H. Ed. Authority"/>
    <m/>
    <m/>
    <x v="12"/>
    <m/>
    <m/>
    <n v="1121896"/>
    <n v="1121896"/>
    <m/>
    <m/>
    <m/>
    <m/>
    <n v="0"/>
    <m/>
    <m/>
    <n v="0"/>
    <n v="1121896"/>
    <n v="1121896"/>
    <m/>
    <m/>
    <m/>
    <m/>
    <n v="0"/>
    <m/>
    <m/>
    <n v="0"/>
    <m/>
    <m/>
    <m/>
    <m/>
    <m/>
    <m/>
    <n v="1121896"/>
    <n v="1121896"/>
  </r>
  <r>
    <x v="14"/>
    <x v="13"/>
    <s v="Institute of Advanced Learning and Research"/>
    <m/>
    <m/>
    <x v="12"/>
    <m/>
    <m/>
    <n v="5837590"/>
    <n v="5525061"/>
    <m/>
    <m/>
    <m/>
    <m/>
    <n v="0"/>
    <m/>
    <m/>
    <n v="0"/>
    <n v="5837590"/>
    <n v="5525061"/>
    <m/>
    <m/>
    <m/>
    <m/>
    <n v="0"/>
    <m/>
    <m/>
    <n v="0"/>
    <m/>
    <m/>
    <m/>
    <m/>
    <m/>
    <m/>
    <n v="5837590"/>
    <n v="5525061"/>
  </r>
  <r>
    <x v="14"/>
    <x v="14"/>
    <s v="Statewide System Operations"/>
    <m/>
    <m/>
    <x v="12"/>
    <m/>
    <m/>
    <m/>
    <m/>
    <m/>
    <m/>
    <m/>
    <m/>
    <n v="0"/>
    <m/>
    <m/>
    <n v="0"/>
    <n v="0"/>
    <n v="0"/>
    <m/>
    <m/>
    <m/>
    <m/>
    <n v="0"/>
    <m/>
    <m/>
    <n v="0"/>
    <m/>
    <m/>
    <m/>
    <m/>
    <m/>
    <m/>
    <n v="0"/>
    <n v="0"/>
  </r>
  <r>
    <x v="14"/>
    <x v="15"/>
    <s v="Colleges and universities"/>
    <m/>
    <m/>
    <x v="12"/>
    <m/>
    <m/>
    <m/>
    <m/>
    <m/>
    <m/>
    <m/>
    <m/>
    <n v="0"/>
    <m/>
    <m/>
    <n v="0"/>
    <n v="0"/>
    <n v="0"/>
    <n v="3827803"/>
    <n v="3700416"/>
    <m/>
    <m/>
    <n v="0"/>
    <m/>
    <m/>
    <n v="0"/>
    <m/>
    <m/>
    <m/>
    <m/>
    <m/>
    <m/>
    <n v="3827803"/>
    <n v="3700416"/>
  </r>
  <r>
    <x v="14"/>
    <x v="16"/>
    <s v="Two-year system(s), if any"/>
    <m/>
    <m/>
    <x v="12"/>
    <m/>
    <m/>
    <m/>
    <m/>
    <m/>
    <m/>
    <m/>
    <m/>
    <n v="0"/>
    <m/>
    <m/>
    <n v="0"/>
    <n v="0"/>
    <n v="0"/>
    <n v="15967600"/>
    <n v="15937227"/>
    <m/>
    <m/>
    <n v="0"/>
    <m/>
    <m/>
    <n v="0"/>
    <m/>
    <m/>
    <m/>
    <m/>
    <m/>
    <m/>
    <n v="15967600"/>
    <n v="15937227"/>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32000"/>
    <n v="10000"/>
    <m/>
    <m/>
    <n v="0"/>
    <m/>
    <m/>
    <n v="0"/>
    <m/>
    <m/>
    <m/>
    <m/>
    <m/>
    <m/>
    <n v="32000"/>
    <n v="1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000000"/>
    <n v="1000000"/>
    <m/>
    <m/>
    <n v="0"/>
    <m/>
    <m/>
    <n v="0"/>
    <m/>
    <m/>
    <m/>
    <m/>
    <m/>
    <m/>
    <n v="1000000"/>
    <n v="100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33218040"/>
    <n v="133368040"/>
    <m/>
    <m/>
    <n v="0"/>
    <m/>
    <m/>
    <n v="0"/>
    <m/>
    <m/>
    <m/>
    <m/>
    <m/>
    <m/>
    <n v="133218040"/>
    <n v="133368040"/>
  </r>
  <r>
    <x v="14"/>
    <x v="36"/>
    <s v="Non need-based"/>
    <m/>
    <m/>
    <x v="12"/>
    <m/>
    <m/>
    <m/>
    <m/>
    <m/>
    <m/>
    <m/>
    <m/>
    <n v="0"/>
    <m/>
    <m/>
    <n v="0"/>
    <n v="0"/>
    <n v="0"/>
    <n v="12359822"/>
    <n v="12359822"/>
    <m/>
    <m/>
    <n v="0"/>
    <m/>
    <m/>
    <n v="0"/>
    <m/>
    <m/>
    <m/>
    <m/>
    <m/>
    <m/>
    <n v="12359822"/>
    <n v="12359822"/>
  </r>
  <r>
    <x v="14"/>
    <x v="34"/>
    <s v="Transfer grant"/>
    <m/>
    <m/>
    <x v="12"/>
    <m/>
    <m/>
    <m/>
    <m/>
    <m/>
    <m/>
    <m/>
    <m/>
    <n v="0"/>
    <m/>
    <m/>
    <n v="0"/>
    <n v="0"/>
    <n v="0"/>
    <n v="18000000"/>
    <n v="750000"/>
    <m/>
    <m/>
    <n v="0"/>
    <m/>
    <m/>
    <n v="0"/>
    <m/>
    <m/>
    <m/>
    <m/>
    <m/>
    <m/>
    <n v="18000000"/>
    <n v="7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58831933"/>
    <n v="53456233"/>
    <m/>
    <m/>
    <n v="0"/>
    <m/>
    <m/>
    <n v="0"/>
    <m/>
    <m/>
    <m/>
    <m/>
    <m/>
    <m/>
    <n v="58831933"/>
    <n v="53456233"/>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4728681"/>
    <n v="3139170"/>
    <m/>
    <m/>
    <n v="0"/>
    <m/>
    <m/>
    <n v="0"/>
    <m/>
    <m/>
    <m/>
    <m/>
    <m/>
    <m/>
    <n v="4728681"/>
    <n v="3139170"/>
  </r>
  <r>
    <x v="15"/>
    <x v="0"/>
    <s v="West Virginia University"/>
    <m/>
    <n v="238032"/>
    <x v="0"/>
    <n v="70868714"/>
    <n v="68791992"/>
    <m/>
    <m/>
    <m/>
    <m/>
    <n v="259411338"/>
    <n v="10000398"/>
    <n v="269411736"/>
    <n v="265351961"/>
    <n v="10008963"/>
    <n v="275360924"/>
    <n v="330280052"/>
    <n v="334143953"/>
    <m/>
    <m/>
    <m/>
    <m/>
    <n v="0"/>
    <m/>
    <m/>
    <n v="0"/>
    <m/>
    <m/>
    <m/>
    <m/>
    <m/>
    <m/>
    <n v="330280052"/>
    <n v="334143953"/>
  </r>
  <r>
    <x v="15"/>
    <x v="1"/>
    <s v="Health professions education"/>
    <m/>
    <n v="238032"/>
    <x v="0"/>
    <m/>
    <m/>
    <m/>
    <m/>
    <m/>
    <m/>
    <m/>
    <m/>
    <n v="0"/>
    <m/>
    <m/>
    <n v="0"/>
    <n v="0"/>
    <n v="0"/>
    <m/>
    <m/>
    <m/>
    <m/>
    <n v="0"/>
    <m/>
    <m/>
    <n v="0"/>
    <m/>
    <m/>
    <m/>
    <m/>
    <m/>
    <m/>
    <n v="0"/>
    <n v="0"/>
  </r>
  <r>
    <x v="15"/>
    <x v="1"/>
    <s v="School of Health Sciences"/>
    <m/>
    <n v="238032"/>
    <x v="0"/>
    <m/>
    <m/>
    <m/>
    <m/>
    <m/>
    <m/>
    <m/>
    <m/>
    <n v="0"/>
    <m/>
    <m/>
    <n v="0"/>
    <n v="0"/>
    <n v="0"/>
    <m/>
    <m/>
    <m/>
    <m/>
    <n v="0"/>
    <m/>
    <m/>
    <n v="0"/>
    <n v="65907598"/>
    <n v="65771516"/>
    <n v="40441809"/>
    <m/>
    <n v="40441809"/>
    <m/>
    <n v="106349407"/>
    <n v="106213325"/>
  </r>
  <r>
    <x v="15"/>
    <x v="1"/>
    <s v="BRIM insurance subsidy"/>
    <m/>
    <n v="238032"/>
    <x v="0"/>
    <m/>
    <m/>
    <m/>
    <m/>
    <m/>
    <m/>
    <m/>
    <m/>
    <n v="0"/>
    <m/>
    <m/>
    <n v="0"/>
    <n v="0"/>
    <n v="0"/>
    <m/>
    <m/>
    <m/>
    <m/>
    <n v="0"/>
    <m/>
    <m/>
    <n v="0"/>
    <n v="1307955"/>
    <n v="1285775"/>
    <s v=" "/>
    <m/>
    <s v=" "/>
    <m/>
    <n v="1307955"/>
    <n v="1285775"/>
  </r>
  <r>
    <x v="15"/>
    <x v="13"/>
    <s v="HSTA Program"/>
    <m/>
    <n v="238032"/>
    <x v="0"/>
    <m/>
    <m/>
    <n v="1343803"/>
    <n v="1278883"/>
    <m/>
    <m/>
    <m/>
    <m/>
    <n v="0"/>
    <m/>
    <m/>
    <n v="0"/>
    <n v="1343803"/>
    <n v="1278883"/>
    <m/>
    <m/>
    <m/>
    <m/>
    <n v="0"/>
    <m/>
    <m/>
    <n v="0"/>
    <m/>
    <m/>
    <m/>
    <m/>
    <m/>
    <m/>
    <n v="1343803"/>
    <n v="1278883"/>
  </r>
  <r>
    <x v="15"/>
    <x v="13"/>
    <s v="Health Sciences Career Opportunities"/>
    <m/>
    <n v="238032"/>
    <x v="0"/>
    <m/>
    <m/>
    <n v="363675"/>
    <n v="347335"/>
    <m/>
    <m/>
    <m/>
    <m/>
    <n v="0"/>
    <m/>
    <m/>
    <n v="0"/>
    <n v="363675"/>
    <n v="347335"/>
    <m/>
    <m/>
    <m/>
    <m/>
    <n v="0"/>
    <m/>
    <m/>
    <n v="0"/>
    <m/>
    <m/>
    <m/>
    <m/>
    <m/>
    <m/>
    <n v="363675"/>
    <n v="347335"/>
  </r>
  <r>
    <x v="15"/>
    <x v="1"/>
    <s v="Community or public service units"/>
    <m/>
    <n v="238032"/>
    <x v="0"/>
    <m/>
    <m/>
    <n v="2756291"/>
    <n v="1861930"/>
    <m/>
    <m/>
    <m/>
    <m/>
    <n v="0"/>
    <m/>
    <m/>
    <n v="0"/>
    <n v="2756291"/>
    <n v="1861930"/>
    <m/>
    <m/>
    <m/>
    <m/>
    <n v="0"/>
    <m/>
    <m/>
    <n v="0"/>
    <m/>
    <m/>
    <m/>
    <m/>
    <m/>
    <m/>
    <n v="2756291"/>
    <n v="1861930"/>
  </r>
  <r>
    <x v="15"/>
    <x v="1"/>
    <s v="WVU HSC - Blanchette Rockefeller Neuroligical Institute"/>
    <m/>
    <n v="238032"/>
    <x v="0"/>
    <m/>
    <m/>
    <m/>
    <m/>
    <m/>
    <m/>
    <m/>
    <m/>
    <n v="0"/>
    <m/>
    <m/>
    <n v="0"/>
    <n v="0"/>
    <n v="0"/>
    <m/>
    <m/>
    <m/>
    <m/>
    <n v="0"/>
    <m/>
    <m/>
    <n v="0"/>
    <n v="800000"/>
    <n v="800000"/>
    <m/>
    <m/>
    <m/>
    <m/>
    <n v="800000"/>
    <n v="800000"/>
  </r>
  <r>
    <x v="15"/>
    <x v="13"/>
    <s v="Public Health Program &amp; Health Science Technology"/>
    <m/>
    <n v="238032"/>
    <x v="0"/>
    <m/>
    <m/>
    <n v="60030"/>
    <n v="57475"/>
    <m/>
    <m/>
    <m/>
    <m/>
    <n v="0"/>
    <m/>
    <m/>
    <n v="0"/>
    <n v="60030"/>
    <n v="57475"/>
    <m/>
    <m/>
    <m/>
    <m/>
    <n v="0"/>
    <m/>
    <m/>
    <n v="0"/>
    <m/>
    <m/>
    <m/>
    <m/>
    <m/>
    <m/>
    <n v="60030"/>
    <n v="57475"/>
  </r>
  <r>
    <x v="15"/>
    <x v="1"/>
    <s v="WVUHSC - Graduate Medical Education"/>
    <m/>
    <n v="238032"/>
    <x v="0"/>
    <m/>
    <m/>
    <m/>
    <m/>
    <m/>
    <m/>
    <m/>
    <m/>
    <n v="0"/>
    <m/>
    <m/>
    <n v="0"/>
    <n v="0"/>
    <n v="0"/>
    <m/>
    <m/>
    <m/>
    <m/>
    <n v="0"/>
    <m/>
    <m/>
    <n v="0"/>
    <n v="943080"/>
    <n v="943080"/>
    <m/>
    <m/>
    <m/>
    <m/>
    <n v="943080"/>
    <n v="943080"/>
  </r>
  <r>
    <x v="15"/>
    <x v="5"/>
    <s v="Agricultural cooperative extension"/>
    <m/>
    <n v="238032"/>
    <x v="0"/>
    <m/>
    <m/>
    <n v="16244913"/>
    <n v="15680913"/>
    <m/>
    <m/>
    <m/>
    <m/>
    <n v="0"/>
    <m/>
    <m/>
    <n v="0"/>
    <n v="16244913"/>
    <n v="15680913"/>
    <m/>
    <m/>
    <m/>
    <m/>
    <n v="0"/>
    <m/>
    <m/>
    <n v="0"/>
    <m/>
    <m/>
    <m/>
    <m/>
    <m/>
    <m/>
    <n v="16244913"/>
    <n v="15680913"/>
  </r>
  <r>
    <x v="15"/>
    <x v="6"/>
    <s v="Agricultural experiment stations"/>
    <m/>
    <n v="238032"/>
    <x v="0"/>
    <m/>
    <m/>
    <n v="6423345"/>
    <n v="7101325"/>
    <m/>
    <m/>
    <m/>
    <m/>
    <n v="0"/>
    <m/>
    <m/>
    <n v="0"/>
    <n v="6423345"/>
    <n v="7101325"/>
    <m/>
    <m/>
    <m/>
    <m/>
    <n v="0"/>
    <m/>
    <m/>
    <n v="0"/>
    <m/>
    <m/>
    <m/>
    <m/>
    <m/>
    <m/>
    <n v="6423345"/>
    <n v="7101325"/>
  </r>
  <r>
    <x v="15"/>
    <x v="43"/>
    <s v="Engineering experiment stations"/>
    <m/>
    <n v="238032"/>
    <x v="0"/>
    <m/>
    <m/>
    <n v="2834610"/>
    <n v="2746090"/>
    <m/>
    <m/>
    <m/>
    <m/>
    <n v="0"/>
    <m/>
    <m/>
    <n v="0"/>
    <n v="2834610"/>
    <n v="2746090"/>
    <m/>
    <m/>
    <m/>
    <m/>
    <n v="0"/>
    <m/>
    <m/>
    <n v="0"/>
    <m/>
    <m/>
    <m/>
    <m/>
    <m/>
    <m/>
    <n v="2834610"/>
    <n v="2746090"/>
  </r>
  <r>
    <x v="15"/>
    <x v="7"/>
    <s v="Research centers/institutes"/>
    <m/>
    <n v="238032"/>
    <x v="0"/>
    <m/>
    <m/>
    <n v="2655756"/>
    <n v="2622810"/>
    <m/>
    <m/>
    <m/>
    <m/>
    <n v="0"/>
    <m/>
    <m/>
    <n v="0"/>
    <n v="2655756"/>
    <n v="2622810"/>
    <m/>
    <m/>
    <m/>
    <m/>
    <n v="0"/>
    <m/>
    <m/>
    <n v="0"/>
    <m/>
    <m/>
    <m/>
    <m/>
    <m/>
    <m/>
    <n v="2655756"/>
    <n v="2622810"/>
  </r>
  <r>
    <x v="15"/>
    <x v="7"/>
    <s v="WVU - PRT"/>
    <m/>
    <n v="238032"/>
    <x v="0"/>
    <m/>
    <m/>
    <n v="2056393"/>
    <n v="2001682"/>
    <m/>
    <m/>
    <m/>
    <m/>
    <n v="0"/>
    <m/>
    <m/>
    <n v="0"/>
    <n v="2056393"/>
    <n v="2001682"/>
    <m/>
    <m/>
    <m/>
    <m/>
    <n v="0"/>
    <m/>
    <m/>
    <n v="0"/>
    <m/>
    <m/>
    <m/>
    <m/>
    <m/>
    <m/>
    <n v="2056393"/>
    <n v="2001682"/>
  </r>
  <r>
    <x v="15"/>
    <x v="8"/>
    <s v="Special Line items for education operations"/>
    <m/>
    <n v="238032"/>
    <x v="0"/>
    <m/>
    <m/>
    <n v="3030860"/>
    <n v="4252766"/>
    <m/>
    <m/>
    <m/>
    <m/>
    <n v="0"/>
    <m/>
    <m/>
    <n v="0"/>
    <n v="3030860"/>
    <n v="4252766"/>
    <m/>
    <m/>
    <m/>
    <m/>
    <n v="0"/>
    <m/>
    <m/>
    <n v="0"/>
    <m/>
    <m/>
    <m/>
    <m/>
    <m/>
    <m/>
    <n v="3030860"/>
    <n v="4252766"/>
  </r>
  <r>
    <x v="15"/>
    <x v="8"/>
    <s v="Center for Excellence in Disabilities"/>
    <m/>
    <n v="238032"/>
    <x v="0"/>
    <m/>
    <m/>
    <n v="277458"/>
    <n v="265127"/>
    <m/>
    <m/>
    <m/>
    <m/>
    <n v="0"/>
    <m/>
    <m/>
    <n v="0"/>
    <n v="277458"/>
    <n v="265127"/>
    <m/>
    <m/>
    <m/>
    <m/>
    <n v="0"/>
    <m/>
    <m/>
    <n v="0"/>
    <m/>
    <m/>
    <m/>
    <m/>
    <m/>
    <m/>
    <n v="277458"/>
    <n v="265127"/>
  </r>
  <r>
    <x v="15"/>
    <x v="0"/>
    <s v="Marshall University "/>
    <m/>
    <n v="237525"/>
    <x v="2"/>
    <n v="44147691"/>
    <n v="45897948"/>
    <m/>
    <m/>
    <m/>
    <m/>
    <n v="63660698"/>
    <n v="4308327"/>
    <n v="67969025"/>
    <n v="64363645"/>
    <n v="4310796"/>
    <n v="68674441"/>
    <n v="107808389"/>
    <n v="110261593"/>
    <m/>
    <m/>
    <m/>
    <m/>
    <n v="0"/>
    <m/>
    <m/>
    <n v="0"/>
    <m/>
    <m/>
    <m/>
    <m/>
    <m/>
    <m/>
    <n v="107808389"/>
    <n v="110261593"/>
  </r>
  <r>
    <x v="15"/>
    <x v="7"/>
    <s v="Research centers/institutes"/>
    <m/>
    <n v="237525"/>
    <x v="2"/>
    <m/>
    <m/>
    <m/>
    <m/>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2012918"/>
    <n v="1915060"/>
    <m/>
    <m/>
    <m/>
    <m/>
    <n v="0"/>
    <m/>
    <m/>
    <n v="0"/>
    <n v="2012918"/>
    <n v="1915060"/>
    <m/>
    <m/>
    <m/>
    <m/>
    <n v="0"/>
    <m/>
    <m/>
    <n v="0"/>
    <m/>
    <m/>
    <m/>
    <m/>
    <m/>
    <m/>
    <n v="2012918"/>
    <n v="1915060"/>
  </r>
  <r>
    <x v="15"/>
    <x v="8"/>
    <s v="Special Line items for education operations"/>
    <m/>
    <n v="237525"/>
    <x v="2"/>
    <m/>
    <m/>
    <n v="778555"/>
    <n v="767105"/>
    <m/>
    <m/>
    <m/>
    <m/>
    <n v="0"/>
    <m/>
    <m/>
    <n v="0"/>
    <n v="778555"/>
    <n v="767105"/>
    <m/>
    <m/>
    <m/>
    <m/>
    <n v="0"/>
    <m/>
    <m/>
    <n v="0"/>
    <m/>
    <m/>
    <m/>
    <m/>
    <m/>
    <m/>
    <n v="778555"/>
    <n v="767105"/>
  </r>
  <r>
    <x v="15"/>
    <x v="1"/>
    <s v="Medical School"/>
    <m/>
    <n v="237525"/>
    <x v="2"/>
    <m/>
    <m/>
    <m/>
    <m/>
    <m/>
    <m/>
    <m/>
    <m/>
    <n v="0"/>
    <m/>
    <m/>
    <n v="0"/>
    <n v="0"/>
    <n v="0"/>
    <m/>
    <m/>
    <m/>
    <m/>
    <n v="0"/>
    <m/>
    <m/>
    <n v="0"/>
    <n v="17949799"/>
    <n v="17788946"/>
    <n v="7075181"/>
    <s v=" "/>
    <n v="7075181"/>
    <m/>
    <n v="25024980"/>
    <n v="24864127"/>
  </r>
  <r>
    <x v="15"/>
    <x v="1"/>
    <s v="MU SOM- Graduate Medical Education"/>
    <m/>
    <n v="237525"/>
    <x v="2"/>
    <m/>
    <m/>
    <m/>
    <m/>
    <m/>
    <m/>
    <m/>
    <m/>
    <n v="0"/>
    <m/>
    <m/>
    <n v="0"/>
    <n v="0"/>
    <n v="0"/>
    <m/>
    <m/>
    <m/>
    <m/>
    <n v="0"/>
    <m/>
    <m/>
    <n v="0"/>
    <n v="295477"/>
    <n v="295477"/>
    <m/>
    <m/>
    <m/>
    <m/>
    <n v="295477"/>
    <n v="295477"/>
  </r>
  <r>
    <x v="15"/>
    <x v="1"/>
    <s v="MUSOM - Center for Rural Health"/>
    <m/>
    <n v="237525"/>
    <x v="2"/>
    <m/>
    <m/>
    <m/>
    <m/>
    <m/>
    <m/>
    <m/>
    <m/>
    <n v="0"/>
    <m/>
    <m/>
    <n v="0"/>
    <n v="0"/>
    <n v="0"/>
    <m/>
    <m/>
    <m/>
    <m/>
    <n v="0"/>
    <m/>
    <m/>
    <n v="0"/>
    <n v="175061"/>
    <n v="275061"/>
    <m/>
    <m/>
    <m/>
    <m/>
    <n v="1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948674"/>
    <n v="932587"/>
    <m/>
    <m/>
    <m/>
    <m/>
    <n v="948674"/>
    <n v="932587"/>
  </r>
  <r>
    <x v="15"/>
    <x v="0"/>
    <s v="Fairmont State University"/>
    <m/>
    <n v="237367"/>
    <x v="4"/>
    <n v="13293378"/>
    <n v="15611661"/>
    <m/>
    <m/>
    <m/>
    <m/>
    <n v="20293934"/>
    <n v="1019071"/>
    <n v="21313005"/>
    <n v="19076411"/>
    <n v="2236594"/>
    <n v="21313005"/>
    <n v="33587312"/>
    <n v="34688072"/>
    <m/>
    <m/>
    <m/>
    <m/>
    <n v="0"/>
    <m/>
    <m/>
    <n v="0"/>
    <m/>
    <m/>
    <m/>
    <m/>
    <m/>
    <m/>
    <n v="33587312"/>
    <n v="34688072"/>
  </r>
  <r>
    <x v="15"/>
    <x v="0"/>
    <s v="Bluefield State College "/>
    <m/>
    <n v="237215"/>
    <x v="5"/>
    <n v="5960892"/>
    <n v="5882611"/>
    <m/>
    <m/>
    <m/>
    <m/>
    <n v="9981541"/>
    <n v="26242"/>
    <n v="10007783"/>
    <n v="9981839"/>
    <n v="25944"/>
    <n v="10007783"/>
    <n v="15942433"/>
    <n v="15864450"/>
    <m/>
    <m/>
    <m/>
    <m/>
    <n v="0"/>
    <m/>
    <m/>
    <n v="0"/>
    <m/>
    <m/>
    <m/>
    <m/>
    <m/>
    <m/>
    <n v="15942433"/>
    <n v="15864450"/>
  </r>
  <r>
    <x v="15"/>
    <x v="0"/>
    <s v="Concord University "/>
    <m/>
    <n v="237330"/>
    <x v="5"/>
    <n v="9201500"/>
    <n v="9075771"/>
    <m/>
    <m/>
    <m/>
    <m/>
    <n v="13922667"/>
    <n v="333925"/>
    <n v="14256592"/>
    <n v="13926432"/>
    <n v="330160"/>
    <n v="14256592"/>
    <n v="23124167"/>
    <n v="23002203"/>
    <m/>
    <m/>
    <m/>
    <m/>
    <n v="0"/>
    <m/>
    <m/>
    <n v="0"/>
    <m/>
    <m/>
    <m/>
    <m/>
    <m/>
    <m/>
    <n v="23124167"/>
    <n v="23002203"/>
  </r>
  <r>
    <x v="15"/>
    <x v="8"/>
    <s v="Special Line items for education operations"/>
    <m/>
    <n v="237330"/>
    <x v="5"/>
    <m/>
    <m/>
    <n v="100000"/>
    <n v="100000"/>
    <m/>
    <m/>
    <m/>
    <m/>
    <n v="0"/>
    <m/>
    <m/>
    <n v="0"/>
    <n v="100000"/>
    <n v="100000"/>
    <m/>
    <m/>
    <m/>
    <m/>
    <n v="0"/>
    <m/>
    <m/>
    <n v="0"/>
    <m/>
    <m/>
    <m/>
    <m/>
    <m/>
    <m/>
    <n v="100000"/>
    <n v="100000"/>
  </r>
  <r>
    <x v="15"/>
    <x v="0"/>
    <s v="Glenville State College "/>
    <m/>
    <n v="237385"/>
    <x v="5"/>
    <n v="5851935"/>
    <n v="5774510"/>
    <m/>
    <m/>
    <m/>
    <m/>
    <n v="6547964"/>
    <n v="260429"/>
    <n v="6808393"/>
    <n v="6293921"/>
    <n v="514472"/>
    <n v="6808393"/>
    <n v="12399899"/>
    <n v="12068431"/>
    <m/>
    <m/>
    <m/>
    <m/>
    <n v="0"/>
    <m/>
    <m/>
    <n v="0"/>
    <m/>
    <m/>
    <m/>
    <m/>
    <m/>
    <m/>
    <n v="12399899"/>
    <n v="12068431"/>
  </r>
  <r>
    <x v="15"/>
    <x v="8"/>
    <s v="Special Line items for education operations"/>
    <m/>
    <n v="237385"/>
    <x v="5"/>
    <m/>
    <m/>
    <n v="200000"/>
    <n v="400000"/>
    <m/>
    <m/>
    <m/>
    <m/>
    <n v="0"/>
    <m/>
    <m/>
    <n v="0"/>
    <n v="200000"/>
    <n v="400000"/>
    <m/>
    <m/>
    <m/>
    <m/>
    <n v="0"/>
    <m/>
    <m/>
    <n v="0"/>
    <m/>
    <m/>
    <m/>
    <m/>
    <m/>
    <m/>
    <n v="200000"/>
    <n v="400000"/>
  </r>
  <r>
    <x v="15"/>
    <x v="0"/>
    <s v="Shepherd University "/>
    <s v="Reclassified: met the criteria for Four-Year 5 in 2008-09, 2009-10 and 2010-11."/>
    <n v="237792"/>
    <x v="4"/>
    <n v="10196444"/>
    <n v="10053214"/>
    <m/>
    <m/>
    <m/>
    <m/>
    <n v="24729378"/>
    <n v="553626"/>
    <n v="25283004"/>
    <n v="24098468"/>
    <n v="1184536"/>
    <n v="25283004"/>
    <n v="34925822"/>
    <n v="34151682"/>
    <m/>
    <m/>
    <m/>
    <m/>
    <n v="0"/>
    <m/>
    <m/>
    <n v="0"/>
    <m/>
    <m/>
    <m/>
    <m/>
    <m/>
    <m/>
    <n v="34925822"/>
    <n v="34151682"/>
  </r>
  <r>
    <x v="15"/>
    <x v="8"/>
    <s v="Special Line items for education operations"/>
    <m/>
    <n v="237792"/>
    <x v="4"/>
    <m/>
    <m/>
    <n v="100000"/>
    <n v="100000"/>
    <m/>
    <m/>
    <m/>
    <m/>
    <n v="0"/>
    <m/>
    <m/>
    <n v="0"/>
    <n v="100000"/>
    <n v="100000"/>
    <m/>
    <m/>
    <m/>
    <m/>
    <n v="0"/>
    <m/>
    <m/>
    <n v="0"/>
    <m/>
    <m/>
    <m/>
    <m/>
    <m/>
    <m/>
    <n v="100000"/>
    <n v="100000"/>
  </r>
  <r>
    <x v="15"/>
    <x v="0"/>
    <s v="West Liberty University"/>
    <m/>
    <n v="237932"/>
    <x v="5"/>
    <n v="8547749"/>
    <n v="8440109"/>
    <m/>
    <m/>
    <m/>
    <m/>
    <n v="13619326"/>
    <n v="682336"/>
    <n v="14301662"/>
    <n v="13326225"/>
    <n v="975437"/>
    <n v="14301662"/>
    <n v="22167075"/>
    <n v="21766334"/>
    <m/>
    <m/>
    <m/>
    <m/>
    <n v="0"/>
    <m/>
    <m/>
    <n v="0"/>
    <m/>
    <m/>
    <m/>
    <m/>
    <m/>
    <m/>
    <n v="22167075"/>
    <n v="21766334"/>
  </r>
  <r>
    <x v="15"/>
    <x v="0"/>
    <s v="West Virginia State University "/>
    <m/>
    <n v="237899"/>
    <x v="5"/>
    <n v="11814795"/>
    <n v="11630159"/>
    <m/>
    <m/>
    <m/>
    <m/>
    <n v="15441153"/>
    <n v="279018"/>
    <n v="15720171"/>
    <n v="15444298"/>
    <n v="275873"/>
    <n v="15720171"/>
    <n v="27255948"/>
    <n v="27074457"/>
    <m/>
    <m/>
    <m/>
    <m/>
    <n v="0"/>
    <m/>
    <m/>
    <n v="0"/>
    <m/>
    <m/>
    <m/>
    <m/>
    <m/>
    <m/>
    <n v="27255948"/>
    <n v="27074457"/>
  </r>
  <r>
    <x v="15"/>
    <x v="0"/>
    <s v="West Virginia University Institute of Technology"/>
    <m/>
    <n v="237950"/>
    <x v="5"/>
    <n v="7961871"/>
    <n v="7836746"/>
    <m/>
    <m/>
    <m/>
    <m/>
    <n v="6911845"/>
    <n v="186140"/>
    <n v="7097985"/>
    <n v="6913943"/>
    <n v="184042"/>
    <n v="7097985"/>
    <n v="14873716"/>
    <n v="14750689"/>
    <m/>
    <m/>
    <m/>
    <m/>
    <n v="0"/>
    <m/>
    <m/>
    <n v="0"/>
    <m/>
    <m/>
    <m/>
    <m/>
    <m/>
    <m/>
    <n v="14873716"/>
    <n v="14750689"/>
  </r>
  <r>
    <x v="15"/>
    <x v="8"/>
    <s v="Accreditation supplement"/>
    <m/>
    <n v="237950"/>
    <x v="5"/>
    <m/>
    <m/>
    <m/>
    <m/>
    <m/>
    <m/>
    <m/>
    <m/>
    <n v="0"/>
    <m/>
    <m/>
    <n v="0"/>
    <n v="0"/>
    <n v="0"/>
    <m/>
    <m/>
    <m/>
    <m/>
    <n v="0"/>
    <m/>
    <m/>
    <n v="0"/>
    <m/>
    <m/>
    <m/>
    <m/>
    <m/>
    <m/>
    <n v="0"/>
    <n v="0"/>
  </r>
  <r>
    <x v="15"/>
    <x v="0"/>
    <s v="Potomac State College of West Virginia University"/>
    <m/>
    <n v="237701"/>
    <x v="13"/>
    <n v="4076858"/>
    <n v="4004206"/>
    <m/>
    <m/>
    <m/>
    <m/>
    <n v="5284522"/>
    <n v="84730"/>
    <n v="5369252"/>
    <n v="5284442"/>
    <n v="84810"/>
    <n v="5369252"/>
    <n v="9361380"/>
    <n v="9288648"/>
    <m/>
    <m/>
    <m/>
    <m/>
    <n v="0"/>
    <m/>
    <m/>
    <n v="0"/>
    <m/>
    <m/>
    <m/>
    <m/>
    <m/>
    <m/>
    <n v="9361380"/>
    <n v="9288648"/>
  </r>
  <r>
    <x v="15"/>
    <x v="8"/>
    <s v="Special Line items for education operations"/>
    <m/>
    <n v="237701"/>
    <x v="13"/>
    <m/>
    <m/>
    <n v="207500"/>
    <n v="207500"/>
    <m/>
    <m/>
    <m/>
    <m/>
    <n v="0"/>
    <m/>
    <m/>
    <n v="0"/>
    <n v="207500"/>
    <n v="207500"/>
    <m/>
    <m/>
    <m/>
    <m/>
    <n v="0"/>
    <m/>
    <m/>
    <n v="0"/>
    <m/>
    <m/>
    <m/>
    <m/>
    <m/>
    <m/>
    <n v="207500"/>
    <n v="207500"/>
  </r>
  <r>
    <x v="15"/>
    <x v="0"/>
    <s v="West Virginia University at Parkersburg"/>
    <m/>
    <n v="237686"/>
    <x v="13"/>
    <n v="9059602"/>
    <n v="8942043"/>
    <m/>
    <m/>
    <m/>
    <m/>
    <n v="9080905"/>
    <n v="127095"/>
    <n v="9208000"/>
    <n v="9080785"/>
    <n v="127215"/>
    <n v="9208000"/>
    <n v="18140507"/>
    <n v="18022828"/>
    <m/>
    <m/>
    <m/>
    <m/>
    <n v="0"/>
    <m/>
    <m/>
    <n v="0"/>
    <m/>
    <m/>
    <m/>
    <m/>
    <m/>
    <m/>
    <n v="18140507"/>
    <n v="18022828"/>
  </r>
  <r>
    <x v="15"/>
    <x v="8"/>
    <s v="Special Line items for education operations"/>
    <m/>
    <n v="237686"/>
    <x v="13"/>
    <m/>
    <m/>
    <m/>
    <m/>
    <m/>
    <m/>
    <m/>
    <m/>
    <n v="0"/>
    <m/>
    <m/>
    <n v="0"/>
    <n v="0"/>
    <n v="0"/>
    <m/>
    <m/>
    <m/>
    <m/>
    <n v="0"/>
    <m/>
    <m/>
    <n v="0"/>
    <m/>
    <m/>
    <m/>
    <m/>
    <m/>
    <m/>
    <n v="0"/>
    <n v="0"/>
  </r>
  <r>
    <x v="15"/>
    <x v="0"/>
    <s v="Bridgemont Community &amp; Technical College"/>
    <m/>
    <n v="445674"/>
    <x v="8"/>
    <n v="3644960"/>
    <n v="3607883"/>
    <m/>
    <m/>
    <m/>
    <m/>
    <n v="2033326"/>
    <n v="73635"/>
    <n v="2106961"/>
    <n v="1926701"/>
    <n v="72805"/>
    <n v="1999506"/>
    <n v="5678286"/>
    <n v="5534584"/>
    <m/>
    <m/>
    <m/>
    <m/>
    <n v="0"/>
    <m/>
    <m/>
    <n v="0"/>
    <m/>
    <m/>
    <m/>
    <m/>
    <m/>
    <m/>
    <n v="5678286"/>
    <n v="5534584"/>
  </r>
  <r>
    <x v="15"/>
    <x v="8"/>
    <s v="Special Line items for education operations"/>
    <m/>
    <n v="445674"/>
    <x v="8"/>
    <m/>
    <m/>
    <m/>
    <m/>
    <m/>
    <m/>
    <m/>
    <m/>
    <n v="0"/>
    <m/>
    <m/>
    <n v="0"/>
    <n v="0"/>
    <n v="0"/>
    <m/>
    <m/>
    <m/>
    <m/>
    <n v="0"/>
    <m/>
    <m/>
    <n v="0"/>
    <m/>
    <m/>
    <m/>
    <m/>
    <m/>
    <m/>
    <n v="0"/>
    <n v="0"/>
  </r>
  <r>
    <x v="15"/>
    <x v="8"/>
    <s v="WV Advanced Workforce Development &amp; Technical  Programs"/>
    <m/>
    <n v="445674"/>
    <x v="8"/>
    <m/>
    <m/>
    <m/>
    <m/>
    <m/>
    <m/>
    <m/>
    <m/>
    <n v="0"/>
    <m/>
    <m/>
    <n v="0"/>
    <n v="0"/>
    <n v="0"/>
    <m/>
    <m/>
    <m/>
    <m/>
    <n v="0"/>
    <m/>
    <m/>
    <n v="0"/>
    <m/>
    <m/>
    <m/>
    <m/>
    <m/>
    <m/>
    <n v="0"/>
    <n v="0"/>
  </r>
  <r>
    <x v="15"/>
    <x v="0"/>
    <s v="Blue Ridge Community &amp; Technical College"/>
    <m/>
    <n v="446774"/>
    <x v="8"/>
    <n v="2761141"/>
    <n v="2737641"/>
    <m/>
    <m/>
    <m/>
    <m/>
    <n v="5137649"/>
    <n v="122434"/>
    <n v="5260083"/>
    <n v="5139029"/>
    <n v="121054"/>
    <n v="5260083"/>
    <n v="7898790"/>
    <n v="7876670"/>
    <m/>
    <m/>
    <m/>
    <m/>
    <n v="0"/>
    <m/>
    <m/>
    <n v="0"/>
    <m/>
    <m/>
    <m/>
    <m/>
    <m/>
    <m/>
    <n v="7898790"/>
    <n v="7876670"/>
  </r>
  <r>
    <x v="15"/>
    <x v="8"/>
    <s v="Special Line items for education operations"/>
    <m/>
    <n v="446774"/>
    <x v="8"/>
    <m/>
    <m/>
    <m/>
    <m/>
    <m/>
    <m/>
    <m/>
    <m/>
    <n v="0"/>
    <m/>
    <m/>
    <n v="0"/>
    <n v="0"/>
    <n v="0"/>
    <m/>
    <m/>
    <m/>
    <m/>
    <n v="0"/>
    <m/>
    <m/>
    <n v="0"/>
    <m/>
    <m/>
    <m/>
    <m/>
    <m/>
    <m/>
    <n v="0"/>
    <n v="0"/>
  </r>
  <r>
    <x v="15"/>
    <x v="8"/>
    <s v="WV Advanced Workforce Development &amp; Technical  Programs"/>
    <m/>
    <n v="446774"/>
    <x v="8"/>
    <m/>
    <m/>
    <m/>
    <m/>
    <m/>
    <m/>
    <m/>
    <m/>
    <n v="0"/>
    <m/>
    <m/>
    <n v="0"/>
    <n v="0"/>
    <n v="0"/>
    <m/>
    <m/>
    <m/>
    <m/>
    <n v="0"/>
    <m/>
    <m/>
    <n v="0"/>
    <m/>
    <m/>
    <m/>
    <m/>
    <m/>
    <m/>
    <n v="0"/>
    <n v="0"/>
  </r>
  <r>
    <x v="15"/>
    <x v="0"/>
    <s v="Eastern West Virginia Community &amp; Technical College"/>
    <m/>
    <n v="438708"/>
    <x v="8"/>
    <n v="1925638"/>
    <n v="1906570"/>
    <m/>
    <m/>
    <m/>
    <m/>
    <n v="534228"/>
    <m/>
    <n v="534228"/>
    <n v="534228"/>
    <m/>
    <n v="534228"/>
    <n v="2459866"/>
    <n v="2440798"/>
    <m/>
    <m/>
    <m/>
    <m/>
    <n v="0"/>
    <m/>
    <m/>
    <n v="0"/>
    <m/>
    <m/>
    <m/>
    <m/>
    <m/>
    <m/>
    <n v="2459866"/>
    <n v="2440798"/>
  </r>
  <r>
    <x v="15"/>
    <x v="8"/>
    <s v="Special Line items for education operations"/>
    <m/>
    <n v="438708"/>
    <x v="8"/>
    <m/>
    <m/>
    <m/>
    <m/>
    <m/>
    <m/>
    <m/>
    <m/>
    <n v="0"/>
    <m/>
    <m/>
    <n v="0"/>
    <n v="0"/>
    <n v="0"/>
    <m/>
    <m/>
    <m/>
    <m/>
    <n v="0"/>
    <m/>
    <m/>
    <n v="0"/>
    <m/>
    <m/>
    <m/>
    <m/>
    <m/>
    <m/>
    <n v="0"/>
    <n v="0"/>
  </r>
  <r>
    <x v="15"/>
    <x v="0"/>
    <s v="Mountwest Community &amp; Technical College"/>
    <s v="Formerly Marshall Community &amp; Technical College"/>
    <n v="444954"/>
    <x v="8"/>
    <n v="5515026"/>
    <n v="5464151"/>
    <m/>
    <m/>
    <m/>
    <m/>
    <n v="6922460"/>
    <n v="434791"/>
    <n v="7357251"/>
    <n v="6922395"/>
    <n v="434856"/>
    <n v="7357251"/>
    <n v="12437486"/>
    <n v="12386546"/>
    <m/>
    <m/>
    <m/>
    <m/>
    <n v="0"/>
    <m/>
    <m/>
    <n v="0"/>
    <m/>
    <m/>
    <m/>
    <m/>
    <m/>
    <m/>
    <n v="12437486"/>
    <n v="12386546"/>
  </r>
  <r>
    <x v="15"/>
    <x v="8"/>
    <s v="Special Line items for education operations"/>
    <m/>
    <n v="444954"/>
    <x v="8"/>
    <m/>
    <m/>
    <m/>
    <m/>
    <m/>
    <m/>
    <m/>
    <m/>
    <n v="0"/>
    <m/>
    <m/>
    <n v="0"/>
    <n v="0"/>
    <n v="0"/>
    <m/>
    <m/>
    <m/>
    <m/>
    <n v="0"/>
    <m/>
    <m/>
    <n v="0"/>
    <m/>
    <m/>
    <m/>
    <m/>
    <m/>
    <m/>
    <n v="0"/>
    <n v="0"/>
  </r>
  <r>
    <x v="15"/>
    <x v="0"/>
    <s v="New River Community &amp; Technical College"/>
    <s v="Met criteria for Two-Year 2 in 2010-11."/>
    <n v="447582"/>
    <x v="8"/>
    <n v="5297821"/>
    <n v="5248676"/>
    <m/>
    <m/>
    <m/>
    <m/>
    <n v="7388903"/>
    <n v="22697"/>
    <n v="7411600"/>
    <n v="7389158"/>
    <n v="22442"/>
    <n v="7411600"/>
    <n v="12686724"/>
    <n v="12637834"/>
    <m/>
    <m/>
    <m/>
    <m/>
    <n v="0"/>
    <m/>
    <m/>
    <n v="0"/>
    <m/>
    <m/>
    <m/>
    <m/>
    <m/>
    <m/>
    <n v="12686724"/>
    <n v="12637834"/>
  </r>
  <r>
    <x v="15"/>
    <x v="8"/>
    <s v="Special Line items for education operations"/>
    <m/>
    <n v="447582"/>
    <x v="8"/>
    <m/>
    <m/>
    <m/>
    <m/>
    <m/>
    <m/>
    <m/>
    <m/>
    <n v="0"/>
    <m/>
    <m/>
    <n v="0"/>
    <n v="0"/>
    <n v="0"/>
    <m/>
    <m/>
    <m/>
    <m/>
    <n v="0"/>
    <m/>
    <m/>
    <n v="0"/>
    <m/>
    <m/>
    <m/>
    <m/>
    <m/>
    <m/>
    <n v="0"/>
    <n v="0"/>
  </r>
  <r>
    <x v="15"/>
    <x v="0"/>
    <s v="Pierpont Community &amp; Technical College"/>
    <s v="Met criteria for Two-Year 2 in 2010-11."/>
    <n v="443492"/>
    <x v="8"/>
    <n v="7769519"/>
    <n v="7683748"/>
    <m/>
    <m/>
    <m/>
    <m/>
    <n v="8016696"/>
    <m/>
    <n v="8016696"/>
    <n v="8016696"/>
    <m/>
    <n v="8016696"/>
    <n v="15786215"/>
    <n v="15700444"/>
    <m/>
    <m/>
    <m/>
    <m/>
    <n v="0"/>
    <m/>
    <m/>
    <n v="0"/>
    <m/>
    <m/>
    <m/>
    <m/>
    <m/>
    <m/>
    <n v="15786215"/>
    <n v="15700444"/>
  </r>
  <r>
    <x v="15"/>
    <x v="8"/>
    <s v="Special Line items for education operations"/>
    <m/>
    <n v="443492"/>
    <x v="8"/>
    <m/>
    <m/>
    <m/>
    <m/>
    <m/>
    <m/>
    <m/>
    <m/>
    <n v="0"/>
    <m/>
    <m/>
    <n v="0"/>
    <n v="0"/>
    <n v="0"/>
    <m/>
    <m/>
    <m/>
    <m/>
    <n v="0"/>
    <m/>
    <m/>
    <n v="0"/>
    <m/>
    <m/>
    <m/>
    <m/>
    <m/>
    <m/>
    <n v="0"/>
    <n v="0"/>
  </r>
  <r>
    <x v="15"/>
    <x v="0"/>
    <s v="Southern West Virginia Community &amp; Technical College "/>
    <m/>
    <n v="237817"/>
    <x v="8"/>
    <n v="8064346"/>
    <n v="7985386"/>
    <m/>
    <m/>
    <m/>
    <m/>
    <n v="5044352"/>
    <m/>
    <n v="5044352"/>
    <n v="5044352"/>
    <m/>
    <n v="5044352"/>
    <n v="13108698"/>
    <n v="13029738"/>
    <m/>
    <m/>
    <m/>
    <m/>
    <n v="0"/>
    <m/>
    <m/>
    <n v="0"/>
    <m/>
    <m/>
    <m/>
    <m/>
    <m/>
    <m/>
    <n v="13108698"/>
    <n v="13029738"/>
  </r>
  <r>
    <x v="15"/>
    <x v="8"/>
    <s v="Special Line items for education operations"/>
    <m/>
    <n v="237817"/>
    <x v="8"/>
    <m/>
    <m/>
    <m/>
    <n v="400000"/>
    <m/>
    <m/>
    <m/>
    <m/>
    <n v="0"/>
    <m/>
    <m/>
    <n v="0"/>
    <n v="0"/>
    <n v="400000"/>
    <m/>
    <m/>
    <m/>
    <m/>
    <n v="0"/>
    <m/>
    <m/>
    <n v="0"/>
    <m/>
    <m/>
    <m/>
    <m/>
    <m/>
    <m/>
    <n v="0"/>
    <n v="400000"/>
  </r>
  <r>
    <x v="15"/>
    <x v="0"/>
    <s v="West Virginia Northern Community College"/>
    <s v="Met the critieria for Two-Year 2 in 2009-10 and 2010-11."/>
    <n v="238014"/>
    <x v="8"/>
    <n v="7185176"/>
    <n v="7120613"/>
    <m/>
    <m/>
    <m/>
    <m/>
    <n v="6553444"/>
    <n v="33044"/>
    <n v="6586488"/>
    <n v="6553817"/>
    <n v="32671"/>
    <n v="6586488"/>
    <n v="13738620"/>
    <n v="13674430"/>
    <m/>
    <m/>
    <m/>
    <m/>
    <n v="0"/>
    <m/>
    <m/>
    <n v="0"/>
    <m/>
    <m/>
    <m/>
    <m/>
    <m/>
    <m/>
    <n v="13738620"/>
    <n v="13674430"/>
  </r>
  <r>
    <x v="15"/>
    <x v="8"/>
    <s v="Special Line items for education operations"/>
    <m/>
    <n v="238014"/>
    <x v="8"/>
    <m/>
    <s v=" "/>
    <m/>
    <m/>
    <m/>
    <m/>
    <m/>
    <m/>
    <n v="0"/>
    <m/>
    <m/>
    <n v="0"/>
    <n v="0"/>
    <n v="0"/>
    <m/>
    <m/>
    <m/>
    <m/>
    <n v="0"/>
    <m/>
    <m/>
    <n v="0"/>
    <m/>
    <m/>
    <m/>
    <m/>
    <m/>
    <m/>
    <n v="0"/>
    <n v="0"/>
  </r>
  <r>
    <x v="15"/>
    <x v="0"/>
    <s v="Kanawha Valley Community &amp; Technical College"/>
    <m/>
    <n v="237899"/>
    <x v="8"/>
    <n v="3776404"/>
    <n v="3737641"/>
    <m/>
    <m/>
    <m/>
    <m/>
    <n v="3427262"/>
    <n v="122333"/>
    <n v="3549595"/>
    <n v="3428641"/>
    <n v="120954"/>
    <n v="3549595"/>
    <n v="7203666"/>
    <n v="7166282"/>
    <m/>
    <m/>
    <m/>
    <m/>
    <n v="0"/>
    <m/>
    <m/>
    <n v="0"/>
    <m/>
    <m/>
    <m/>
    <m/>
    <m/>
    <m/>
    <n v="7203666"/>
    <n v="7166282"/>
  </r>
  <r>
    <x v="15"/>
    <x v="8"/>
    <s v="Special Line items for education operations"/>
    <m/>
    <n v="237899"/>
    <x v="8"/>
    <m/>
    <m/>
    <m/>
    <m/>
    <m/>
    <m/>
    <m/>
    <m/>
    <n v="0"/>
    <m/>
    <m/>
    <n v="0"/>
    <n v="0"/>
    <n v="0"/>
    <m/>
    <m/>
    <m/>
    <m/>
    <n v="0"/>
    <m/>
    <m/>
    <n v="0"/>
    <m/>
    <m/>
    <m/>
    <m/>
    <m/>
    <m/>
    <n v="0"/>
    <n v="0"/>
  </r>
  <r>
    <x v="15"/>
    <x v="41"/>
    <s v="West Virginia School of Osteopathic Medicine"/>
    <m/>
    <n v="237880"/>
    <x v="11"/>
    <m/>
    <s v=" "/>
    <m/>
    <m/>
    <m/>
    <m/>
    <m/>
    <m/>
    <n v="0"/>
    <m/>
    <m/>
    <n v="0"/>
    <n v="0"/>
    <n v="0"/>
    <m/>
    <m/>
    <m/>
    <m/>
    <n v="0"/>
    <m/>
    <m/>
    <n v="0"/>
    <n v="7049430"/>
    <n v="6901010"/>
    <n v="31963161"/>
    <s v=" "/>
    <n v="31963161"/>
    <m/>
    <n v="39012591"/>
    <n v="38864171"/>
  </r>
  <r>
    <x v="15"/>
    <x v="8"/>
    <s v="Special Line items for education operations"/>
    <m/>
    <n v="237880"/>
    <x v="11"/>
    <m/>
    <m/>
    <m/>
    <m/>
    <m/>
    <m/>
    <m/>
    <m/>
    <n v="0"/>
    <m/>
    <m/>
    <n v="0"/>
    <n v="0"/>
    <n v="0"/>
    <m/>
    <m/>
    <m/>
    <m/>
    <n v="0"/>
    <m/>
    <m/>
    <n v="0"/>
    <s v=" "/>
    <m/>
    <m/>
    <m/>
    <m/>
    <m/>
    <n v="0"/>
    <n v="0"/>
  </r>
  <r>
    <x v="15"/>
    <x v="8"/>
    <s v="BRIM insurance subsidy"/>
    <m/>
    <n v="237880"/>
    <x v="11"/>
    <m/>
    <m/>
    <m/>
    <m/>
    <m/>
    <m/>
    <m/>
    <m/>
    <n v="0"/>
    <m/>
    <m/>
    <n v="0"/>
    <n v="0"/>
    <n v="0"/>
    <m/>
    <m/>
    <m/>
    <m/>
    <n v="0"/>
    <m/>
    <m/>
    <n v="0"/>
    <n v="168841"/>
    <n v="160236"/>
    <m/>
    <m/>
    <m/>
    <m/>
    <n v="168841"/>
    <n v="160236"/>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826131"/>
    <n v="2612899"/>
    <m/>
    <m/>
    <n v="0"/>
    <m/>
    <m/>
    <n v="0"/>
    <m/>
    <m/>
    <m/>
    <m/>
    <m/>
    <m/>
    <n v="2826131"/>
    <n v="2612899"/>
  </r>
  <r>
    <x v="15"/>
    <x v="42"/>
    <s v="RHI Program and Site Support - Gradutate Medical Education Fiscal Oversight"/>
    <m/>
    <m/>
    <x v="12"/>
    <m/>
    <m/>
    <m/>
    <m/>
    <m/>
    <m/>
    <m/>
    <m/>
    <n v="0"/>
    <m/>
    <m/>
    <n v="0"/>
    <n v="0"/>
    <n v="0"/>
    <n v="101727"/>
    <n v="96939"/>
    <m/>
    <m/>
    <n v="0"/>
    <m/>
    <m/>
    <n v="0"/>
    <m/>
    <m/>
    <m/>
    <m/>
    <m/>
    <m/>
    <n v="101727"/>
    <n v="96939"/>
  </r>
  <r>
    <x v="15"/>
    <x v="42"/>
    <s v="RHI Program and Site Support - District Consortia"/>
    <m/>
    <m/>
    <x v="12"/>
    <m/>
    <m/>
    <m/>
    <m/>
    <m/>
    <m/>
    <m/>
    <m/>
    <n v="0"/>
    <m/>
    <m/>
    <n v="0"/>
    <n v="0"/>
    <n v="0"/>
    <n v="2332340"/>
    <n v="2383200"/>
    <m/>
    <m/>
    <n v="0"/>
    <m/>
    <m/>
    <n v="0"/>
    <m/>
    <m/>
    <m/>
    <m/>
    <m/>
    <m/>
    <n v="2332340"/>
    <n v="2383200"/>
  </r>
  <r>
    <x v="15"/>
    <x v="44"/>
    <s v="Vice Chancellor for Health Sciences/Rural Health Program Support"/>
    <m/>
    <m/>
    <x v="12"/>
    <m/>
    <m/>
    <m/>
    <m/>
    <m/>
    <m/>
    <m/>
    <m/>
    <n v="0"/>
    <m/>
    <m/>
    <n v="0"/>
    <n v="0"/>
    <n v="0"/>
    <n v="262713"/>
    <n v="249632"/>
    <m/>
    <m/>
    <n v="0"/>
    <m/>
    <m/>
    <n v="0"/>
    <m/>
    <m/>
    <m/>
    <m/>
    <m/>
    <m/>
    <n v="262713"/>
    <n v="249632"/>
  </r>
  <r>
    <x v="15"/>
    <x v="13"/>
    <s v="Educational special purpose funds — all other"/>
    <m/>
    <m/>
    <x v="12"/>
    <m/>
    <m/>
    <m/>
    <m/>
    <m/>
    <m/>
    <m/>
    <m/>
    <n v="0"/>
    <m/>
    <m/>
    <n v="0"/>
    <n v="0"/>
    <n v="0"/>
    <m/>
    <m/>
    <m/>
    <m/>
    <n v="0"/>
    <m/>
    <m/>
    <n v="0"/>
    <m/>
    <m/>
    <m/>
    <m/>
    <m/>
    <m/>
    <n v="0"/>
    <n v="0"/>
  </r>
  <r>
    <x v="15"/>
    <x v="13"/>
    <s v="College Transition Program"/>
    <m/>
    <m/>
    <x v="12"/>
    <m/>
    <m/>
    <n v="333500"/>
    <n v="323500"/>
    <m/>
    <m/>
    <m/>
    <m/>
    <n v="0"/>
    <m/>
    <m/>
    <n v="0"/>
    <n v="333500"/>
    <n v="323500"/>
    <m/>
    <m/>
    <m/>
    <m/>
    <n v="0"/>
    <m/>
    <m/>
    <n v="0"/>
    <m/>
    <m/>
    <m/>
    <m/>
    <m/>
    <m/>
    <n v="333500"/>
    <n v="323500"/>
  </r>
  <r>
    <x v="15"/>
    <x v="13"/>
    <s v="WV Advanced Workforce Development &amp; Technical  Programs"/>
    <m/>
    <m/>
    <x v="12"/>
    <m/>
    <m/>
    <m/>
    <m/>
    <m/>
    <m/>
    <m/>
    <m/>
    <n v="0"/>
    <m/>
    <m/>
    <n v="0"/>
    <n v="0"/>
    <n v="0"/>
    <n v="7220207"/>
    <n v="6823120"/>
    <m/>
    <m/>
    <n v="0"/>
    <m/>
    <m/>
    <n v="0"/>
    <m/>
    <m/>
    <m/>
    <m/>
    <m/>
    <m/>
    <n v="7220207"/>
    <n v="682312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2127053"/>
    <n v="2194509"/>
    <m/>
    <m/>
    <n v="0"/>
    <m/>
    <m/>
    <n v="0"/>
    <m/>
    <m/>
    <m/>
    <m/>
    <m/>
    <m/>
    <n v="2127053"/>
    <n v="2194509"/>
  </r>
  <r>
    <x v="15"/>
    <x v="15"/>
    <s v="WV Network for Education Telecommunications Computer Center"/>
    <m/>
    <m/>
    <x v="12"/>
    <m/>
    <m/>
    <m/>
    <m/>
    <m/>
    <m/>
    <m/>
    <m/>
    <n v="0"/>
    <m/>
    <m/>
    <n v="0"/>
    <n v="0"/>
    <n v="0"/>
    <n v="1943208"/>
    <n v="1914713"/>
    <m/>
    <m/>
    <n v="0"/>
    <m/>
    <m/>
    <n v="0"/>
    <m/>
    <m/>
    <m/>
    <m/>
    <m/>
    <m/>
    <n v="1943208"/>
    <n v="1914713"/>
  </r>
  <r>
    <x v="15"/>
    <x v="16"/>
    <s v="Two-year system(s), if any"/>
    <m/>
    <m/>
    <x v="12"/>
    <m/>
    <m/>
    <m/>
    <m/>
    <m/>
    <m/>
    <m/>
    <m/>
    <n v="0"/>
    <m/>
    <m/>
    <n v="0"/>
    <n v="0"/>
    <n v="0"/>
    <m/>
    <m/>
    <m/>
    <m/>
    <n v="0"/>
    <m/>
    <m/>
    <n v="0"/>
    <m/>
    <m/>
    <m/>
    <m/>
    <m/>
    <m/>
    <n v="0"/>
    <n v="0"/>
  </r>
  <r>
    <x v="15"/>
    <x v="16"/>
    <s v="WV Council for Community &amp; Technical Education"/>
    <m/>
    <m/>
    <x v="12"/>
    <m/>
    <m/>
    <m/>
    <m/>
    <m/>
    <m/>
    <m/>
    <m/>
    <n v="0"/>
    <m/>
    <m/>
    <n v="0"/>
    <n v="0"/>
    <n v="0"/>
    <n v="844629"/>
    <n v="853273"/>
    <m/>
    <m/>
    <n v="0"/>
    <m/>
    <m/>
    <n v="0"/>
    <m/>
    <m/>
    <m/>
    <m/>
    <m/>
    <m/>
    <n v="844629"/>
    <n v="853273"/>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022813"/>
    <n v="1208402"/>
    <m/>
    <m/>
    <n v="0"/>
    <m/>
    <m/>
    <n v="0"/>
    <m/>
    <m/>
    <m/>
    <m/>
    <m/>
    <m/>
    <n v="1022813"/>
    <n v="1208402"/>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17385"/>
    <n v="7655"/>
    <m/>
    <m/>
    <n v="0"/>
    <m/>
    <m/>
    <n v="0"/>
    <m/>
    <m/>
    <m/>
    <m/>
    <m/>
    <m/>
    <n v="17385"/>
    <n v="7655"/>
  </r>
  <r>
    <x v="15"/>
    <x v="21"/>
    <s v="Tuskegee University (Veterinary Medicine)"/>
    <m/>
    <m/>
    <x v="12"/>
    <m/>
    <m/>
    <m/>
    <m/>
    <m/>
    <m/>
    <m/>
    <m/>
    <n v="0"/>
    <m/>
    <m/>
    <n v="0"/>
    <n v="0"/>
    <n v="0"/>
    <n v="91440"/>
    <n v="40272"/>
    <m/>
    <m/>
    <n v="0"/>
    <m/>
    <m/>
    <n v="0"/>
    <m/>
    <m/>
    <m/>
    <m/>
    <m/>
    <m/>
    <n v="91440"/>
    <n v="40272"/>
  </r>
  <r>
    <x v="15"/>
    <x v="21"/>
    <s v="Southern College of Optometry"/>
    <m/>
    <m/>
    <x v="12"/>
    <m/>
    <m/>
    <m/>
    <m/>
    <m/>
    <m/>
    <m/>
    <m/>
    <n v="0"/>
    <m/>
    <m/>
    <n v="0"/>
    <n v="0"/>
    <n v="0"/>
    <n v="91922"/>
    <n v="69394"/>
    <m/>
    <m/>
    <n v="0"/>
    <m/>
    <m/>
    <n v="0"/>
    <m/>
    <m/>
    <m/>
    <m/>
    <m/>
    <m/>
    <n v="91922"/>
    <n v="69394"/>
  </r>
  <r>
    <x v="15"/>
    <x v="22"/>
    <s v="SREB contract program with public colleges"/>
    <m/>
    <m/>
    <x v="12"/>
    <m/>
    <m/>
    <m/>
    <m/>
    <m/>
    <m/>
    <m/>
    <m/>
    <n v="0"/>
    <m/>
    <m/>
    <n v="0"/>
    <n v="0"/>
    <n v="0"/>
    <m/>
    <m/>
    <m/>
    <m/>
    <n v="0"/>
    <m/>
    <m/>
    <n v="0"/>
    <m/>
    <m/>
    <m/>
    <m/>
    <m/>
    <m/>
    <n v="0"/>
    <n v="0"/>
  </r>
  <r>
    <x v="15"/>
    <x v="22"/>
    <s v="University of Georgia (Veterinary Medicine)"/>
    <m/>
    <m/>
    <x v="12"/>
    <m/>
    <m/>
    <m/>
    <m/>
    <m/>
    <m/>
    <m/>
    <m/>
    <n v="0"/>
    <m/>
    <m/>
    <n v="0"/>
    <n v="0"/>
    <n v="0"/>
    <n v="480092"/>
    <n v="483259"/>
    <m/>
    <m/>
    <n v="0"/>
    <m/>
    <m/>
    <n v="0"/>
    <m/>
    <m/>
    <m/>
    <m/>
    <m/>
    <m/>
    <n v="480092"/>
    <n v="483259"/>
  </r>
  <r>
    <x v="15"/>
    <x v="22"/>
    <s v="Auburn University"/>
    <m/>
    <m/>
    <x v="12"/>
    <m/>
    <m/>
    <m/>
    <m/>
    <m/>
    <m/>
    <m/>
    <m/>
    <n v="0"/>
    <m/>
    <m/>
    <n v="0"/>
    <n v="0"/>
    <n v="0"/>
    <n v="44809"/>
    <n v="80543"/>
    <m/>
    <m/>
    <n v="0"/>
    <m/>
    <m/>
    <n v="0"/>
    <m/>
    <m/>
    <m/>
    <m/>
    <m/>
    <m/>
    <n v="44809"/>
    <n v="80543"/>
  </r>
  <r>
    <x v="15"/>
    <x v="22"/>
    <s v="Mississippi State University"/>
    <m/>
    <m/>
    <x v="12"/>
    <m/>
    <m/>
    <m/>
    <m/>
    <m/>
    <m/>
    <m/>
    <m/>
    <n v="0"/>
    <m/>
    <m/>
    <n v="0"/>
    <n v="0"/>
    <n v="0"/>
    <n v="115222"/>
    <n v="201358"/>
    <m/>
    <m/>
    <n v="0"/>
    <m/>
    <m/>
    <n v="0"/>
    <m/>
    <m/>
    <m/>
    <m/>
    <m/>
    <m/>
    <n v="115222"/>
    <n v="201358"/>
  </r>
  <r>
    <x v="15"/>
    <x v="23"/>
    <s v="Other contract education programs"/>
    <m/>
    <m/>
    <x v="12"/>
    <m/>
    <m/>
    <m/>
    <m/>
    <m/>
    <m/>
    <m/>
    <m/>
    <n v="0"/>
    <m/>
    <m/>
    <n v="0"/>
    <n v="0"/>
    <n v="0"/>
    <n v="179964"/>
    <n v="138371"/>
    <m/>
    <m/>
    <n v="0"/>
    <m/>
    <m/>
    <n v="0"/>
    <m/>
    <m/>
    <m/>
    <m/>
    <m/>
    <m/>
    <n v="179964"/>
    <n v="138371"/>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0100411"/>
    <n v="28372023"/>
    <m/>
    <m/>
    <n v="0"/>
    <m/>
    <m/>
    <n v="0"/>
    <m/>
    <m/>
    <m/>
    <m/>
    <m/>
    <m/>
    <n v="30100411"/>
    <n v="2837202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3840731"/>
    <n v="5483775"/>
    <m/>
    <m/>
    <n v="0"/>
    <m/>
    <m/>
    <n v="0"/>
    <m/>
    <m/>
    <m/>
    <m/>
    <m/>
    <m/>
    <n v="3840731"/>
    <n v="5483775"/>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0260791"/>
    <n v="42895472"/>
    <m/>
    <m/>
    <n v="0"/>
    <m/>
    <m/>
    <n v="0"/>
    <m/>
    <m/>
    <m/>
    <m/>
    <m/>
    <m/>
    <n v="40260791"/>
    <n v="4289547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386256"/>
    <n v="5198736"/>
    <m/>
    <m/>
    <n v="0"/>
    <m/>
    <m/>
    <n v="0"/>
    <m/>
    <m/>
    <m/>
    <m/>
    <m/>
    <m/>
    <n v="4386256"/>
    <n v="5198736"/>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50000"/>
    <m/>
    <m/>
    <n v="0"/>
    <m/>
    <m/>
    <n v="0"/>
    <m/>
    <m/>
    <m/>
    <m/>
    <m/>
    <m/>
    <n v="150000"/>
    <n v="150000"/>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15736"/>
    <n v="127772"/>
    <m/>
    <m/>
    <n v="0"/>
    <m/>
    <m/>
    <n v="0"/>
    <m/>
    <m/>
    <m/>
    <m/>
    <m/>
    <m/>
    <n v="115736"/>
    <n v="12777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25406"/>
    <n v="13370"/>
    <m/>
    <m/>
    <n v="0"/>
    <m/>
    <m/>
    <n v="0"/>
    <m/>
    <m/>
    <m/>
    <m/>
    <m/>
    <m/>
    <n v="25406"/>
    <n v="13370"/>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61064"/>
    <n v="445341"/>
    <m/>
    <m/>
    <n v="0"/>
    <m/>
    <m/>
    <n v="0"/>
    <m/>
    <m/>
    <m/>
    <m/>
    <m/>
    <m/>
    <n v="461064"/>
    <n v="44534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9409"/>
    <n v="25132"/>
    <m/>
    <m/>
    <n v="0"/>
    <m/>
    <m/>
    <n v="0"/>
    <m/>
    <m/>
    <m/>
    <m/>
    <m/>
    <m/>
    <n v="9409"/>
    <n v="25132"/>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240900"/>
    <n v="198290"/>
    <m/>
    <m/>
    <n v="0"/>
    <m/>
    <m/>
    <n v="0"/>
    <m/>
    <m/>
    <m/>
    <m/>
    <m/>
    <m/>
    <n v="240900"/>
    <n v="19829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10000"/>
    <n v="52710"/>
    <m/>
    <m/>
    <n v="0"/>
    <m/>
    <m/>
    <n v="0"/>
    <m/>
    <m/>
    <m/>
    <m/>
    <m/>
    <m/>
    <n v="10000"/>
    <n v="5271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4340390"/>
    <n v="3874262"/>
    <m/>
    <m/>
    <n v="0"/>
    <m/>
    <m/>
    <n v="0"/>
    <m/>
    <m/>
    <m/>
    <m/>
    <m/>
    <m/>
    <n v="4340390"/>
    <n v="3874262"/>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385835"/>
    <n v="991465"/>
    <m/>
    <m/>
    <n v="0"/>
    <m/>
    <m/>
    <n v="0"/>
    <m/>
    <m/>
    <m/>
    <m/>
    <m/>
    <m/>
    <n v="385835"/>
    <n v="991465"/>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pivotCacheRecords>
</file>

<file path=xl/pivotCache/pivotCacheRecords2.xml><?xml version="1.0" encoding="utf-8"?>
<pivotCacheRecords xmlns="http://schemas.openxmlformats.org/spreadsheetml/2006/main" xmlns:r="http://schemas.openxmlformats.org/officeDocument/2006/relationships" count="1">
  <r>
    <x v="0"/>
    <s v="1A"/>
    <s v="Auburn University  "/>
    <m/>
    <n v="100858"/>
    <x v="0"/>
    <n v="135082198"/>
    <n v="134303391"/>
    <m/>
    <m/>
    <m/>
    <m/>
    <n v="270904514"/>
    <n v="19900077"/>
    <n v="290804591"/>
    <n v="265473499"/>
    <n v="21067835"/>
    <n v="286541334"/>
    <n v="405986712"/>
    <n v="399776890"/>
    <m/>
    <m/>
    <m/>
    <m/>
    <n v="0"/>
    <m/>
    <m/>
    <n v="0"/>
    <m/>
    <m/>
    <m/>
    <m/>
    <m/>
    <m/>
    <n v="405986712"/>
    <n v="39977689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33" dataOnRows="1" applyNumberFormats="0" applyBorderFormats="0" applyFontFormats="0" applyPatternFormats="0" applyAlignmentFormats="0" applyWidthHeightFormats="1" dataCaption="Data" updatedVersion="3"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items count="17">
        <item x="0"/>
        <item x="1"/>
        <item x="2"/>
        <item x="3"/>
        <item x="4"/>
        <item x="5"/>
        <item x="6"/>
        <item x="7"/>
        <item x="8"/>
        <item x="9"/>
        <item x="10"/>
        <item x="11"/>
        <item x="12"/>
        <item x="13"/>
        <item x="14"/>
        <item x="15"/>
        <item t="default"/>
      </items>
    </pivotField>
    <pivotField axis="axisRow" compact="0" outline="0" subtotalTop="0" showAll="0" includeNewItemsInFilter="1">
      <items count="48">
        <item n="1A" x="0"/>
        <item x="2"/>
        <item n="1B1" x="3"/>
        <item n="1B2" x="4"/>
        <item n="1B3" x="5"/>
        <item n="1B4" x="6"/>
        <item n="1B5" x="43"/>
        <item n="1B6" x="7"/>
        <item n="1B7" x="8"/>
        <item n="1C" x="10"/>
        <item n="1C1" x="42"/>
        <item n="1C2" x="44"/>
        <item n="1C3" x="40"/>
        <item m="1" x="46"/>
        <item n="1C5" x="45"/>
        <item n="1C6" x="11"/>
        <item n="1C7" x="12"/>
        <item n="1G" x="13"/>
        <item n="1D" x="1"/>
        <item n="1E" x="41"/>
        <item n="1F" x="9"/>
        <item n="2A" x="14"/>
        <item n="2A1" x="15"/>
        <item n="2A2" x="16"/>
        <item n="2A3" x="17"/>
        <item n="2A4" x="18"/>
        <item n="2B" x="19"/>
        <item n="2C" x="20"/>
        <item n="2C1" x="21"/>
        <item n="2C2" x="22"/>
        <item n="2C3" x="23"/>
        <item n="2D" x="24"/>
        <item n="2D1" x="25"/>
        <item n="2D1a" x="26"/>
        <item n="2D1b" x="27"/>
        <item n="2D1c" x="28"/>
        <item n="2D1c1" x="29"/>
        <item n="2D1c2" x="30"/>
        <item n="2D1d" x="31"/>
        <item n="2D1d1" x="32"/>
        <item n="2D1d2" x="33"/>
        <item n="2D2" x="34"/>
        <item n="2D2a" x="35"/>
        <item n="2D2b" x="36"/>
        <item n="2D3" x="37"/>
        <item n="2D3a" x="38"/>
        <item n="2D3b" x="39"/>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3"/>
        <item x="6"/>
        <item x="7"/>
        <item x="8"/>
        <item x="16"/>
        <item x="9"/>
        <item x="10"/>
        <item m="1" x="17"/>
        <item x="15"/>
        <item x="11"/>
        <item x="12"/>
        <item x="14"/>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x v="46"/>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472">
    <format dxfId="1722">
      <pivotArea type="origin" dataOnly="0" labelOnly="1" outline="0" fieldPosition="0"/>
    </format>
    <format dxfId="1721">
      <pivotArea type="all" dataOnly="0" labelOnly="1" outline="0" fieldPosition="0"/>
    </format>
    <format dxfId="1720">
      <pivotArea dataOnly="0" labelOnly="1" outline="0" offset="IV1" fieldPosition="0">
        <references count="1">
          <reference field="1" count="1">
            <x v="35"/>
          </reference>
        </references>
      </pivotArea>
    </format>
    <format dxfId="1719">
      <pivotArea dataOnly="0" labelOnly="1" outline="0" fieldPosition="0">
        <references count="1">
          <reference field="1" count="3">
            <x v="35"/>
            <x v="36"/>
            <x v="37"/>
          </reference>
        </references>
      </pivotArea>
    </format>
    <format dxfId="1718">
      <pivotArea dataOnly="0" labelOnly="1" outline="0" fieldPosition="0">
        <references count="1">
          <reference field="1" count="3">
            <x v="41"/>
            <x v="42"/>
            <x v="43"/>
          </reference>
        </references>
      </pivotArea>
    </format>
    <format dxfId="1717">
      <pivotArea dataOnly="0" labelOnly="1" outline="0" fieldPosition="0">
        <references count="1">
          <reference field="0" count="0"/>
        </references>
      </pivotArea>
    </format>
    <format dxfId="1716">
      <pivotArea dataOnly="0" labelOnly="1" grandCol="1" outline="0" fieldPosition="0"/>
    </format>
    <format dxfId="1715">
      <pivotArea outline="0" fieldPosition="0">
        <references count="1">
          <reference field="0" count="1" selected="0">
            <x v="6"/>
          </reference>
        </references>
      </pivotArea>
    </format>
    <format dxfId="1714">
      <pivotArea type="topRight" dataOnly="0" labelOnly="1" outline="0" offset="F1" fieldPosition="0"/>
    </format>
    <format dxfId="1713">
      <pivotArea dataOnly="0" labelOnly="1" outline="0" fieldPosition="0">
        <references count="1">
          <reference field="0" count="1">
            <x v="6"/>
          </reference>
        </references>
      </pivotArea>
    </format>
    <format dxfId="1712">
      <pivotArea outline="0" fieldPosition="0">
        <references count="1">
          <reference field="0" count="1" selected="0">
            <x v="3"/>
          </reference>
        </references>
      </pivotArea>
    </format>
    <format dxfId="1711">
      <pivotArea type="topRight" dataOnly="0" labelOnly="1" outline="0" offset="C1" fieldPosition="0"/>
    </format>
    <format dxfId="1710">
      <pivotArea dataOnly="0" labelOnly="1" outline="0" fieldPosition="0">
        <references count="1">
          <reference field="0" count="1">
            <x v="3"/>
          </reference>
        </references>
      </pivotArea>
    </format>
    <format dxfId="1709">
      <pivotArea outline="0" fieldPosition="0">
        <references count="1">
          <reference field="0" count="1" selected="0">
            <x v="3"/>
          </reference>
        </references>
      </pivotArea>
    </format>
    <format dxfId="1708">
      <pivotArea type="topRight" dataOnly="0" labelOnly="1" outline="0" offset="C1" fieldPosition="0"/>
    </format>
    <format dxfId="1707">
      <pivotArea dataOnly="0" labelOnly="1" outline="0" fieldPosition="0">
        <references count="1">
          <reference field="0" count="1">
            <x v="3"/>
          </reference>
        </references>
      </pivotArea>
    </format>
    <format dxfId="1706">
      <pivotArea outline="0" fieldPosition="0">
        <references count="1">
          <reference field="0" count="1" selected="0">
            <x v="6"/>
          </reference>
        </references>
      </pivotArea>
    </format>
    <format dxfId="1705">
      <pivotArea type="topRight" dataOnly="0" labelOnly="1" outline="0" offset="F1" fieldPosition="0"/>
    </format>
    <format dxfId="1704">
      <pivotArea dataOnly="0" labelOnly="1" outline="0" fieldPosition="0">
        <references count="1">
          <reference field="0" count="1">
            <x v="6"/>
          </reference>
        </references>
      </pivotArea>
    </format>
    <format dxfId="1703">
      <pivotArea type="all" dataOnly="0" outline="0" fieldPosition="0"/>
    </format>
    <format dxfId="1702">
      <pivotArea outline="0" fieldPosition="0">
        <references count="1">
          <reference field="1" count="9" selected="0">
            <x v="35"/>
            <x v="36"/>
            <x v="37"/>
            <x v="38"/>
            <x v="39"/>
            <x v="40"/>
            <x v="41"/>
            <x v="42"/>
            <x v="43"/>
          </reference>
        </references>
      </pivotArea>
    </format>
    <format dxfId="1701">
      <pivotArea outline="0" fieldPosition="0">
        <references count="2">
          <reference field="4294967294" count="1" selected="0">
            <x v="0"/>
          </reference>
          <reference field="1" count="1" selected="0">
            <x v="44"/>
          </reference>
        </references>
      </pivotArea>
    </format>
    <format dxfId="1700">
      <pivotArea dataOnly="0" labelOnly="1" outline="0" fieldPosition="0">
        <references count="1">
          <reference field="1" count="9">
            <x v="35"/>
            <x v="36"/>
            <x v="37"/>
            <x v="38"/>
            <x v="39"/>
            <x v="40"/>
            <x v="41"/>
            <x v="42"/>
            <x v="43"/>
          </reference>
        </references>
      </pivotArea>
    </format>
    <format dxfId="1699">
      <pivotArea dataOnly="0" labelOnly="1" outline="0" offset="IV1" fieldPosition="0">
        <references count="1">
          <reference field="1" count="1">
            <x v="44"/>
          </reference>
        </references>
      </pivotArea>
    </format>
    <format dxfId="1698">
      <pivotArea dataOnly="0" labelOnly="1" outline="0" fieldPosition="0">
        <references count="2">
          <reference field="4294967294" count="0"/>
          <reference field="1" count="1" selected="0">
            <x v="35"/>
          </reference>
        </references>
      </pivotArea>
    </format>
    <format dxfId="1697">
      <pivotArea dataOnly="0" labelOnly="1" outline="0" fieldPosition="0">
        <references count="2">
          <reference field="4294967294" count="0"/>
          <reference field="1" count="1" selected="0">
            <x v="36"/>
          </reference>
        </references>
      </pivotArea>
    </format>
    <format dxfId="1696">
      <pivotArea dataOnly="0" labelOnly="1" outline="0" fieldPosition="0">
        <references count="2">
          <reference field="4294967294" count="0"/>
          <reference field="1" count="1" selected="0">
            <x v="37"/>
          </reference>
        </references>
      </pivotArea>
    </format>
    <format dxfId="1695">
      <pivotArea dataOnly="0" labelOnly="1" outline="0" fieldPosition="0">
        <references count="2">
          <reference field="4294967294" count="0"/>
          <reference field="1" count="1" selected="0">
            <x v="38"/>
          </reference>
        </references>
      </pivotArea>
    </format>
    <format dxfId="1694">
      <pivotArea dataOnly="0" labelOnly="1" outline="0" fieldPosition="0">
        <references count="2">
          <reference field="4294967294" count="0"/>
          <reference field="1" count="1" selected="0">
            <x v="39"/>
          </reference>
        </references>
      </pivotArea>
    </format>
    <format dxfId="1693">
      <pivotArea dataOnly="0" labelOnly="1" outline="0" fieldPosition="0">
        <references count="2">
          <reference field="4294967294" count="0"/>
          <reference field="1" count="1" selected="0">
            <x v="40"/>
          </reference>
        </references>
      </pivotArea>
    </format>
    <format dxfId="1692">
      <pivotArea dataOnly="0" labelOnly="1" outline="0" fieldPosition="0">
        <references count="2">
          <reference field="4294967294" count="0"/>
          <reference field="1" count="1" selected="0">
            <x v="41"/>
          </reference>
        </references>
      </pivotArea>
    </format>
    <format dxfId="1691">
      <pivotArea dataOnly="0" labelOnly="1" outline="0" fieldPosition="0">
        <references count="2">
          <reference field="4294967294" count="0"/>
          <reference field="1" count="1" selected="0">
            <x v="42"/>
          </reference>
        </references>
      </pivotArea>
    </format>
    <format dxfId="1690">
      <pivotArea dataOnly="0" labelOnly="1" outline="0" fieldPosition="0">
        <references count="2">
          <reference field="4294967294" count="0"/>
          <reference field="1" count="1" selected="0">
            <x v="43"/>
          </reference>
        </references>
      </pivotArea>
    </format>
    <format dxfId="1689">
      <pivotArea dataOnly="0" labelOnly="1" outline="0" fieldPosition="0">
        <references count="2">
          <reference field="4294967294" count="1">
            <x v="0"/>
          </reference>
          <reference field="1" count="1" selected="0">
            <x v="44"/>
          </reference>
        </references>
      </pivotArea>
    </format>
    <format dxfId="1688">
      <pivotArea dataOnly="0" labelOnly="1" outline="0" fieldPosition="0">
        <references count="2">
          <reference field="4294967294" count="2">
            <x v="0"/>
            <x v="1"/>
          </reference>
          <reference field="1" count="1" selected="0">
            <x v="0"/>
          </reference>
        </references>
      </pivotArea>
    </format>
    <format dxfId="1687">
      <pivotArea type="all" dataOnly="0" outline="0" fieldPosition="0"/>
    </format>
    <format dxfId="1686">
      <pivotArea field="1" grandRow="1" outline="0" axis="axisRow" fieldPosition="0">
        <references count="1">
          <reference field="4294967294" count="0" selected="0"/>
        </references>
      </pivotArea>
    </format>
    <format dxfId="1685">
      <pivotArea field="1" dataOnly="0" labelOnly="1" grandRow="1" outline="0" axis="axisRow" fieldPosition="0">
        <references count="1">
          <reference field="4294967294" count="1" selected="0">
            <x v="0"/>
          </reference>
        </references>
      </pivotArea>
    </format>
    <format dxfId="1684">
      <pivotArea field="1" dataOnly="0" labelOnly="1" grandRow="1" outline="0" axis="axisRow" fieldPosition="0">
        <references count="1">
          <reference field="4294967294" count="1" selected="0">
            <x v="1"/>
          </reference>
        </references>
      </pivotArea>
    </format>
    <format dxfId="1683">
      <pivotArea field="1" dataOnly="0" labelOnly="1" grandRow="1" outline="0" axis="axisRow" fieldPosition="0">
        <references count="1">
          <reference field="4294967294" count="1" selected="0">
            <x v="0"/>
          </reference>
        </references>
      </pivotArea>
    </format>
    <format dxfId="1682">
      <pivotArea field="1" dataOnly="0" labelOnly="1" grandRow="1" outline="0" axis="axisRow" fieldPosition="0">
        <references count="1">
          <reference field="4294967294" count="1" selected="0">
            <x v="1"/>
          </reference>
        </references>
      </pivotArea>
    </format>
    <format dxfId="1681">
      <pivotArea grandRow="1" grandCol="1" outline="0" fieldPosition="0">
        <references count="1">
          <reference field="4294967294" count="0" selected="0"/>
        </references>
      </pivotArea>
    </format>
    <format dxfId="1680">
      <pivotArea outline="0" fieldPosition="0">
        <references count="2">
          <reference field="0" count="1" selected="0">
            <x v="4"/>
          </reference>
          <reference field="1" count="1" selected="0">
            <x v="2"/>
          </reference>
        </references>
      </pivotArea>
    </format>
    <format dxfId="1679">
      <pivotArea outline="0" fieldPosition="0">
        <references count="2">
          <reference field="0" count="1" selected="0">
            <x v="2"/>
          </reference>
          <reference field="1" count="1" selected="0">
            <x v="4"/>
          </reference>
        </references>
      </pivotArea>
    </format>
    <format dxfId="1678">
      <pivotArea outline="0" fieldPosition="0">
        <references count="2">
          <reference field="0" count="1" selected="0">
            <x v="7"/>
          </reference>
          <reference field="1" count="1" selected="0">
            <x v="7"/>
          </reference>
        </references>
      </pivotArea>
    </format>
    <format dxfId="1677">
      <pivotArea outline="0" fieldPosition="0">
        <references count="2">
          <reference field="0" count="1" selected="0">
            <x v="3"/>
          </reference>
          <reference field="1" count="1" selected="0">
            <x v="8"/>
          </reference>
        </references>
      </pivotArea>
    </format>
    <format dxfId="1676">
      <pivotArea outline="0" fieldPosition="0">
        <references count="2">
          <reference field="0" count="1" selected="0">
            <x v="1"/>
          </reference>
          <reference field="1" count="1" selected="0">
            <x v="15"/>
          </reference>
        </references>
      </pivotArea>
    </format>
    <format dxfId="1675">
      <pivotArea outline="0" fieldPosition="0">
        <references count="2">
          <reference field="0" count="1" selected="0">
            <x v="3"/>
          </reference>
          <reference field="1" count="1" selected="0">
            <x v="15"/>
          </reference>
        </references>
      </pivotArea>
    </format>
    <format dxfId="1674">
      <pivotArea outline="0" fieldPosition="0">
        <references count="2">
          <reference field="0" count="1" selected="0">
            <x v="3"/>
          </reference>
          <reference field="1" count="1" selected="0">
            <x v="16"/>
          </reference>
        </references>
      </pivotArea>
    </format>
    <format dxfId="1673">
      <pivotArea outline="0" fieldPosition="0">
        <references count="2">
          <reference field="0" count="1" selected="0">
            <x v="3"/>
          </reference>
          <reference field="1" count="1" selected="0">
            <x v="17"/>
          </reference>
        </references>
      </pivotArea>
    </format>
    <format dxfId="1672">
      <pivotArea outline="0" fieldPosition="0">
        <references count="2">
          <reference field="0" count="1" selected="0">
            <x v="6"/>
          </reference>
          <reference field="1" count="1" selected="0">
            <x v="17"/>
          </reference>
        </references>
      </pivotArea>
    </format>
    <format dxfId="1671">
      <pivotArea outline="0" fieldPosition="0">
        <references count="2">
          <reference field="0" count="1" selected="0">
            <x v="7"/>
          </reference>
          <reference field="1" count="1" selected="0">
            <x v="17"/>
          </reference>
        </references>
      </pivotArea>
    </format>
    <format dxfId="1670">
      <pivotArea outline="0" fieldPosition="0">
        <references count="2">
          <reference field="0" count="1" selected="0">
            <x v="4"/>
          </reference>
          <reference field="1" count="1" selected="0">
            <x v="15"/>
          </reference>
        </references>
      </pivotArea>
    </format>
    <format dxfId="1669">
      <pivotArea outline="0" fieldPosition="0">
        <references count="2">
          <reference field="0" count="1" selected="0">
            <x v="6"/>
          </reference>
          <reference field="1" count="1" selected="0">
            <x v="15"/>
          </reference>
        </references>
      </pivotArea>
    </format>
    <format dxfId="1668">
      <pivotArea outline="0" fieldPosition="0">
        <references count="2">
          <reference field="0" count="1" selected="0">
            <x v="4"/>
          </reference>
          <reference field="1" count="1" selected="0">
            <x v="19"/>
          </reference>
        </references>
      </pivotArea>
    </format>
    <format dxfId="1667">
      <pivotArea outline="0" fieldPosition="0">
        <references count="2">
          <reference field="0" count="1" selected="0">
            <x v="3"/>
          </reference>
          <reference field="1" count="1" selected="0">
            <x v="22"/>
          </reference>
        </references>
      </pivotArea>
    </format>
    <format dxfId="1666">
      <pivotArea outline="0" fieldPosition="0">
        <references count="2">
          <reference field="0" count="1" selected="0">
            <x v="2"/>
          </reference>
          <reference field="1" count="1" selected="0">
            <x v="22"/>
          </reference>
        </references>
      </pivotArea>
    </format>
    <format dxfId="1665">
      <pivotArea outline="0" fieldPosition="0">
        <references count="2">
          <reference field="0" count="1" selected="0">
            <x v="2"/>
          </reference>
          <reference field="1" count="1" selected="0">
            <x v="23"/>
          </reference>
        </references>
      </pivotArea>
    </format>
    <format dxfId="1664">
      <pivotArea outline="0" fieldPosition="0">
        <references count="2">
          <reference field="4294967294" count="1" selected="0">
            <x v="1"/>
          </reference>
          <reference field="1" count="1" selected="0">
            <x v="24"/>
          </reference>
        </references>
      </pivotArea>
    </format>
    <format dxfId="1663">
      <pivotArea outline="0" fieldPosition="0">
        <references count="2">
          <reference field="0" count="1" selected="0">
            <x v="3"/>
          </reference>
          <reference field="1" count="1" selected="0">
            <x v="24"/>
          </reference>
        </references>
      </pivotArea>
    </format>
    <format dxfId="1662">
      <pivotArea outline="0" fieldPosition="0">
        <references count="2">
          <reference field="0" count="1" selected="0">
            <x v="4"/>
          </reference>
          <reference field="1" count="1" selected="0">
            <x v="25"/>
          </reference>
        </references>
      </pivotArea>
    </format>
    <format dxfId="1661">
      <pivotArea outline="0" fieldPosition="0">
        <references count="2">
          <reference field="0" count="1" selected="0">
            <x v="3"/>
          </reference>
          <reference field="1" count="1" selected="0">
            <x v="26"/>
          </reference>
        </references>
      </pivotArea>
    </format>
    <format dxfId="1660">
      <pivotArea outline="0" fieldPosition="0">
        <references count="2">
          <reference field="0" count="1" selected="0">
            <x v="4"/>
          </reference>
          <reference field="1" count="1" selected="0">
            <x v="26"/>
          </reference>
        </references>
      </pivotArea>
    </format>
    <format dxfId="1659">
      <pivotArea outline="0" fieldPosition="0">
        <references count="2">
          <reference field="0" count="1" selected="0">
            <x v="6"/>
          </reference>
          <reference field="1" count="1" selected="0">
            <x v="26"/>
          </reference>
        </references>
      </pivotArea>
    </format>
    <format dxfId="1658">
      <pivotArea outline="0" fieldPosition="0">
        <references count="2">
          <reference field="0" count="1" selected="0">
            <x v="5"/>
          </reference>
          <reference field="1" count="1" selected="0">
            <x v="28"/>
          </reference>
        </references>
      </pivotArea>
    </format>
    <format dxfId="1657">
      <pivotArea outline="0" fieldPosition="0">
        <references count="2">
          <reference field="0" count="1" selected="0">
            <x v="3"/>
          </reference>
          <reference field="1" count="1" selected="0">
            <x v="30"/>
          </reference>
        </references>
      </pivotArea>
    </format>
    <format dxfId="1656">
      <pivotArea outline="0" fieldPosition="0">
        <references count="2">
          <reference field="0" count="1" selected="0">
            <x v="5"/>
          </reference>
          <reference field="1" count="1" selected="0">
            <x v="30"/>
          </reference>
        </references>
      </pivotArea>
    </format>
    <format dxfId="1655">
      <pivotArea outline="0" fieldPosition="0">
        <references count="2">
          <reference field="0" count="1" selected="0">
            <x v="2"/>
          </reference>
          <reference field="1" count="1" selected="0">
            <x v="32"/>
          </reference>
        </references>
      </pivotArea>
    </format>
    <format dxfId="1654">
      <pivotArea outline="0" fieldPosition="0">
        <references count="2">
          <reference field="0" count="1" selected="0">
            <x v="3"/>
          </reference>
          <reference field="1" count="1" selected="0">
            <x v="33"/>
          </reference>
        </references>
      </pivotArea>
    </format>
    <format dxfId="1653">
      <pivotArea outline="0" fieldPosition="0">
        <references count="2">
          <reference field="0" count="1" selected="0">
            <x v="3"/>
          </reference>
          <reference field="1" count="1" selected="0">
            <x v="34"/>
          </reference>
        </references>
      </pivotArea>
    </format>
    <format dxfId="1652">
      <pivotArea outline="0" fieldPosition="0">
        <references count="2">
          <reference field="0" count="1" selected="0">
            <x v="4"/>
          </reference>
          <reference field="1" count="1" selected="0">
            <x v="32"/>
          </reference>
        </references>
      </pivotArea>
    </format>
    <format dxfId="1651">
      <pivotArea outline="0" fieldPosition="0">
        <references count="2">
          <reference field="0" count="1" selected="0">
            <x v="4"/>
          </reference>
          <reference field="1" count="1" selected="0">
            <x v="36"/>
          </reference>
        </references>
      </pivotArea>
    </format>
    <format dxfId="1650">
      <pivotArea outline="0" fieldPosition="0">
        <references count="2">
          <reference field="0" count="1" selected="0">
            <x v="4"/>
          </reference>
          <reference field="1" count="1" selected="0">
            <x v="37"/>
          </reference>
        </references>
      </pivotArea>
    </format>
    <format dxfId="1649">
      <pivotArea outline="0" fieldPosition="0">
        <references count="2">
          <reference field="0" count="1" selected="0">
            <x v="3"/>
          </reference>
          <reference field="1" count="1" selected="0">
            <x v="37"/>
          </reference>
        </references>
      </pivotArea>
    </format>
    <format dxfId="1648">
      <pivotArea outline="0" fieldPosition="0">
        <references count="2">
          <reference field="0" count="1" selected="0">
            <x v="7"/>
          </reference>
          <reference field="1" count="1" selected="0">
            <x v="36"/>
          </reference>
        </references>
      </pivotArea>
    </format>
    <format dxfId="1647">
      <pivotArea outline="0" fieldPosition="0">
        <references count="2">
          <reference field="0" count="1" selected="0">
            <x v="6"/>
          </reference>
          <reference field="1" count="1" selected="0">
            <x v="36"/>
          </reference>
        </references>
      </pivotArea>
    </format>
    <format dxfId="1646">
      <pivotArea outline="0" fieldPosition="0">
        <references count="2">
          <reference field="0" count="1" selected="0">
            <x v="4"/>
          </reference>
          <reference field="1" count="1" selected="0">
            <x v="39"/>
          </reference>
        </references>
      </pivotArea>
    </format>
    <format dxfId="1645">
      <pivotArea outline="0" fieldPosition="0">
        <references count="2">
          <reference field="0" count="1" selected="0">
            <x v="1"/>
          </reference>
          <reference field="1" count="1" selected="0">
            <x v="39"/>
          </reference>
        </references>
      </pivotArea>
    </format>
    <format dxfId="1644">
      <pivotArea outline="0" fieldPosition="0">
        <references count="2">
          <reference field="0" count="1" selected="0">
            <x v="6"/>
          </reference>
          <reference field="1" count="1" selected="0">
            <x v="39"/>
          </reference>
        </references>
      </pivotArea>
    </format>
    <format dxfId="1643">
      <pivotArea outline="0" fieldPosition="0">
        <references count="2">
          <reference field="0" count="1" selected="0">
            <x v="7"/>
          </reference>
          <reference field="1" count="1" selected="0">
            <x v="39"/>
          </reference>
        </references>
      </pivotArea>
    </format>
    <format dxfId="1642">
      <pivotArea outline="0" fieldPosition="0">
        <references count="2">
          <reference field="0" count="1" selected="0">
            <x v="4"/>
          </reference>
          <reference field="1" count="1" selected="0">
            <x v="40"/>
          </reference>
        </references>
      </pivotArea>
    </format>
    <format dxfId="1641">
      <pivotArea outline="0" fieldPosition="0">
        <references count="2">
          <reference field="0" count="1" selected="0">
            <x v="6"/>
          </reference>
          <reference field="1" count="1" selected="0">
            <x v="40"/>
          </reference>
        </references>
      </pivotArea>
    </format>
    <format dxfId="1640">
      <pivotArea outline="0" fieldPosition="0">
        <references count="2">
          <reference field="0" count="1" selected="0">
            <x v="7"/>
          </reference>
          <reference field="1" count="1" selected="0">
            <x v="40"/>
          </reference>
        </references>
      </pivotArea>
    </format>
    <format dxfId="1639">
      <pivotArea outline="0" fieldPosition="0">
        <references count="2">
          <reference field="0" count="1" selected="0">
            <x v="1"/>
          </reference>
          <reference field="1" count="1" selected="0">
            <x v="40"/>
          </reference>
        </references>
      </pivotArea>
    </format>
    <format dxfId="1638">
      <pivotArea outline="0" fieldPosition="0">
        <references count="2">
          <reference field="0" count="1" selected="0">
            <x v="3"/>
          </reference>
          <reference field="1" count="1" selected="0">
            <x v="43"/>
          </reference>
        </references>
      </pivotArea>
    </format>
    <format dxfId="1637">
      <pivotArea outline="0" fieldPosition="0">
        <references count="2">
          <reference field="0" count="1" selected="0">
            <x v="3"/>
          </reference>
          <reference field="1" count="1" selected="0">
            <x v="45"/>
          </reference>
        </references>
      </pivotArea>
    </format>
    <format dxfId="1636">
      <pivotArea outline="0" fieldPosition="0">
        <references count="2">
          <reference field="0" count="1" selected="0">
            <x v="3"/>
          </reference>
          <reference field="1" count="1" selected="0">
            <x v="46"/>
          </reference>
        </references>
      </pivotArea>
    </format>
    <format dxfId="1635">
      <pivotArea outline="0" fieldPosition="0">
        <references count="2">
          <reference field="0" count="1" selected="0">
            <x v="5"/>
          </reference>
          <reference field="1" count="1" selected="0">
            <x v="46"/>
          </reference>
        </references>
      </pivotArea>
    </format>
    <format dxfId="1634">
      <pivotArea outline="0" fieldPosition="0">
        <references count="2">
          <reference field="0" count="1" selected="0">
            <x v="11"/>
          </reference>
          <reference field="1" count="1" selected="0">
            <x v="2"/>
          </reference>
        </references>
      </pivotArea>
    </format>
    <format dxfId="1633">
      <pivotArea outline="0" fieldPosition="0">
        <references count="2">
          <reference field="0" count="1" selected="0">
            <x v="10"/>
          </reference>
          <reference field="1" count="1" selected="0">
            <x v="4"/>
          </reference>
        </references>
      </pivotArea>
    </format>
    <format dxfId="1632">
      <pivotArea outline="0" fieldPosition="0">
        <references count="2">
          <reference field="0" count="1" selected="0">
            <x v="10"/>
          </reference>
          <reference field="1" count="1" selected="0">
            <x v="5"/>
          </reference>
        </references>
      </pivotArea>
    </format>
    <format dxfId="1631">
      <pivotArea outline="0" fieldPosition="0">
        <references count="2">
          <reference field="0" count="1" selected="0">
            <x v="8"/>
          </reference>
          <reference field="1" count="1" selected="0">
            <x v="10"/>
          </reference>
        </references>
      </pivotArea>
    </format>
    <format dxfId="1630">
      <pivotArea outline="0" fieldPosition="0">
        <references count="2">
          <reference field="0" count="1" selected="0">
            <x v="13"/>
          </reference>
          <reference field="1" count="1" selected="0">
            <x v="15"/>
          </reference>
        </references>
      </pivotArea>
    </format>
    <format dxfId="1629">
      <pivotArea outline="0" fieldPosition="0">
        <references count="2">
          <reference field="0" count="1" selected="0">
            <x v="13"/>
          </reference>
          <reference field="1" count="1" selected="0">
            <x v="16"/>
          </reference>
        </references>
      </pivotArea>
    </format>
    <format dxfId="1628">
      <pivotArea outline="0" fieldPosition="0">
        <references count="2">
          <reference field="0" count="1" selected="0">
            <x v="13"/>
          </reference>
          <reference field="1" count="1" selected="0">
            <x v="17"/>
          </reference>
        </references>
      </pivotArea>
    </format>
    <format dxfId="1627">
      <pivotArea outline="0" fieldPosition="0">
        <references count="2">
          <reference field="0" count="1" selected="0">
            <x v="9"/>
          </reference>
          <reference field="1" count="1" selected="0">
            <x v="17"/>
          </reference>
        </references>
      </pivotArea>
    </format>
    <format dxfId="1626">
      <pivotArea outline="0" fieldPosition="0">
        <references count="2">
          <reference field="0" count="1" selected="0">
            <x v="10"/>
          </reference>
          <reference field="1" count="1" selected="0">
            <x v="17"/>
          </reference>
        </references>
      </pivotArea>
    </format>
    <format dxfId="1625">
      <pivotArea outline="0" fieldPosition="0">
        <references count="2">
          <reference field="0" count="1" selected="0">
            <x v="10"/>
          </reference>
          <reference field="1" count="1" selected="0">
            <x v="18"/>
          </reference>
        </references>
      </pivotArea>
    </format>
    <format dxfId="1624">
      <pivotArea outline="0" fieldPosition="0">
        <references count="2">
          <reference field="0" count="1" selected="0">
            <x v="8"/>
          </reference>
          <reference field="1" count="1" selected="0">
            <x v="19"/>
          </reference>
        </references>
      </pivotArea>
    </format>
    <format dxfId="1623">
      <pivotArea outline="0" fieldPosition="0">
        <references count="2">
          <reference field="0" count="1" selected="0">
            <x v="12"/>
          </reference>
          <reference field="1" count="1" selected="0">
            <x v="20"/>
          </reference>
        </references>
      </pivotArea>
    </format>
    <format dxfId="1622">
      <pivotArea outline="0" fieldPosition="0">
        <references count="2">
          <reference field="0" count="1" selected="0">
            <x v="8"/>
          </reference>
          <reference field="1" count="1" selected="0">
            <x v="22"/>
          </reference>
        </references>
      </pivotArea>
    </format>
    <format dxfId="1621">
      <pivotArea outline="0" fieldPosition="0">
        <references count="2">
          <reference field="0" count="1" selected="0">
            <x v="8"/>
          </reference>
          <reference field="1" count="1" selected="0">
            <x v="23"/>
          </reference>
        </references>
      </pivotArea>
    </format>
    <format dxfId="1620">
      <pivotArea outline="0" fieldPosition="0">
        <references count="2">
          <reference field="0" count="1" selected="0">
            <x v="8"/>
          </reference>
          <reference field="1" count="1" selected="0">
            <x v="25"/>
          </reference>
        </references>
      </pivotArea>
    </format>
    <format dxfId="1619">
      <pivotArea outline="0" fieldPosition="0">
        <references count="2">
          <reference field="0" count="1" selected="0">
            <x v="11"/>
          </reference>
          <reference field="1" count="1" selected="0">
            <x v="24"/>
          </reference>
        </references>
      </pivotArea>
    </format>
    <format dxfId="1618">
      <pivotArea outline="0" fieldPosition="0">
        <references count="2">
          <reference field="0" count="1" selected="0">
            <x v="8"/>
          </reference>
          <reference field="1" count="1" selected="0">
            <x v="28"/>
          </reference>
        </references>
      </pivotArea>
    </format>
    <format dxfId="1617">
      <pivotArea outline="0" fieldPosition="0">
        <references count="2">
          <reference field="0" count="1" selected="0">
            <x v="13"/>
          </reference>
          <reference field="1" count="1" selected="0">
            <x v="32"/>
          </reference>
        </references>
      </pivotArea>
    </format>
    <format dxfId="1616">
      <pivotArea outline="0" fieldPosition="0">
        <references count="2">
          <reference field="0" count="1" selected="0">
            <x v="12"/>
          </reference>
          <reference field="1" count="1" selected="0">
            <x v="36"/>
          </reference>
        </references>
      </pivotArea>
    </format>
    <format dxfId="1615">
      <pivotArea outline="0" fieldPosition="0">
        <references count="2">
          <reference field="0" count="1" selected="0">
            <x v="12"/>
          </reference>
          <reference field="1" count="1" selected="0">
            <x v="37"/>
          </reference>
        </references>
      </pivotArea>
    </format>
    <format dxfId="1614">
      <pivotArea outline="0" fieldPosition="0">
        <references count="2">
          <reference field="0" count="1" selected="0">
            <x v="8"/>
          </reference>
          <reference field="1" count="1" selected="0">
            <x v="37"/>
          </reference>
        </references>
      </pivotArea>
    </format>
    <format dxfId="1613">
      <pivotArea outline="0" fieldPosition="0">
        <references count="2">
          <reference field="0" count="1" selected="0">
            <x v="11"/>
          </reference>
          <reference field="1" count="1" selected="0">
            <x v="39"/>
          </reference>
        </references>
      </pivotArea>
    </format>
    <format dxfId="1612">
      <pivotArea outline="0" fieldPosition="0">
        <references count="2">
          <reference field="0" count="1" selected="0">
            <x v="12"/>
          </reference>
          <reference field="1" count="1" selected="0">
            <x v="39"/>
          </reference>
        </references>
      </pivotArea>
    </format>
    <format dxfId="1611">
      <pivotArea outline="0" fieldPosition="0">
        <references count="2">
          <reference field="0" count="1" selected="0">
            <x v="12"/>
          </reference>
          <reference field="1" count="1" selected="0">
            <x v="40"/>
          </reference>
        </references>
      </pivotArea>
    </format>
    <format dxfId="1610">
      <pivotArea outline="0" fieldPosition="0">
        <references count="2">
          <reference field="0" count="1" selected="0">
            <x v="8"/>
          </reference>
          <reference field="1" count="1" selected="0">
            <x v="40"/>
          </reference>
        </references>
      </pivotArea>
    </format>
    <format dxfId="1609">
      <pivotArea outline="0" fieldPosition="0">
        <references count="2">
          <reference field="0" count="1" selected="0">
            <x v="13"/>
          </reference>
          <reference field="1" count="1" selected="0">
            <x v="41"/>
          </reference>
        </references>
      </pivotArea>
    </format>
    <format dxfId="1608">
      <pivotArea outline="0" fieldPosition="0">
        <references count="1">
          <reference field="1" count="41" selected="0">
            <x v="2"/>
            <x v="3"/>
            <x v="4"/>
            <x v="5"/>
            <x v="6"/>
            <x v="7"/>
            <x v="8"/>
            <x v="9"/>
            <x v="10"/>
            <x v="15"/>
            <x v="16"/>
            <x v="17"/>
            <x v="18"/>
            <x v="19"/>
            <x v="20"/>
            <x v="21"/>
            <x v="22"/>
            <x v="23"/>
            <x v="24"/>
            <x v="25"/>
            <x v="26"/>
            <x v="27"/>
            <x v="28"/>
            <x v="29"/>
            <x v="30"/>
            <x v="31"/>
            <x v="32"/>
            <x v="33"/>
            <x v="34"/>
            <x v="35"/>
            <x v="36"/>
            <x v="37"/>
            <x v="38"/>
            <x v="39"/>
            <x v="40"/>
            <x v="41"/>
            <x v="42"/>
            <x v="43"/>
            <x v="44"/>
            <x v="45"/>
            <x v="46"/>
          </reference>
        </references>
      </pivotArea>
    </format>
    <format dxfId="1607">
      <pivotArea field="1" grandRow="1" outline="0" axis="axisRow" fieldPosition="0">
        <references count="1">
          <reference field="4294967294" count="0" selected="0"/>
        </references>
      </pivotArea>
    </format>
    <format dxfId="1606">
      <pivotArea dataOnly="0" labelOnly="1" outline="0" fieldPosition="0">
        <references count="1">
          <reference field="1" count="41">
            <x v="2"/>
            <x v="3"/>
            <x v="4"/>
            <x v="5"/>
            <x v="6"/>
            <x v="7"/>
            <x v="8"/>
            <x v="9"/>
            <x v="10"/>
            <x v="15"/>
            <x v="16"/>
            <x v="17"/>
            <x v="18"/>
            <x v="19"/>
            <x v="20"/>
            <x v="21"/>
            <x v="22"/>
            <x v="23"/>
            <x v="24"/>
            <x v="25"/>
            <x v="26"/>
            <x v="27"/>
            <x v="28"/>
            <x v="29"/>
            <x v="30"/>
            <x v="31"/>
            <x v="32"/>
            <x v="33"/>
            <x v="34"/>
            <x v="35"/>
            <x v="36"/>
            <x v="37"/>
            <x v="38"/>
            <x v="39"/>
            <x v="40"/>
            <x v="41"/>
            <x v="42"/>
            <x v="43"/>
            <x v="44"/>
            <x v="45"/>
            <x v="46"/>
          </reference>
        </references>
      </pivotArea>
    </format>
    <format dxfId="1605">
      <pivotArea field="1" dataOnly="0" labelOnly="1" grandRow="1" outline="0" axis="axisRow" fieldPosition="0">
        <references count="1">
          <reference field="4294967294" count="1" selected="0">
            <x v="0"/>
          </reference>
        </references>
      </pivotArea>
    </format>
    <format dxfId="1604">
      <pivotArea field="1" dataOnly="0" labelOnly="1" grandRow="1" outline="0" axis="axisRow" fieldPosition="0">
        <references count="1">
          <reference field="4294967294" count="1" selected="0">
            <x v="1"/>
          </reference>
        </references>
      </pivotArea>
    </format>
    <format dxfId="1603">
      <pivotArea dataOnly="0" labelOnly="1" outline="0" fieldPosition="0">
        <references count="2">
          <reference field="4294967294" count="0"/>
          <reference field="1" count="1" selected="0">
            <x v="2"/>
          </reference>
        </references>
      </pivotArea>
    </format>
    <format dxfId="1602">
      <pivotArea dataOnly="0" labelOnly="1" outline="0" fieldPosition="0">
        <references count="2">
          <reference field="4294967294" count="0"/>
          <reference field="1" count="1" selected="0">
            <x v="3"/>
          </reference>
        </references>
      </pivotArea>
    </format>
    <format dxfId="1601">
      <pivotArea dataOnly="0" labelOnly="1" outline="0" fieldPosition="0">
        <references count="2">
          <reference field="4294967294" count="0"/>
          <reference field="1" count="1" selected="0">
            <x v="4"/>
          </reference>
        </references>
      </pivotArea>
    </format>
    <format dxfId="1600">
      <pivotArea dataOnly="0" labelOnly="1" outline="0" fieldPosition="0">
        <references count="2">
          <reference field="4294967294" count="0"/>
          <reference field="1" count="1" selected="0">
            <x v="5"/>
          </reference>
        </references>
      </pivotArea>
    </format>
    <format dxfId="1599">
      <pivotArea dataOnly="0" labelOnly="1" outline="0" fieldPosition="0">
        <references count="2">
          <reference field="4294967294" count="0"/>
          <reference field="1" count="1" selected="0">
            <x v="6"/>
          </reference>
        </references>
      </pivotArea>
    </format>
    <format dxfId="1598">
      <pivotArea dataOnly="0" labelOnly="1" outline="0" fieldPosition="0">
        <references count="2">
          <reference field="4294967294" count="0"/>
          <reference field="1" count="1" selected="0">
            <x v="7"/>
          </reference>
        </references>
      </pivotArea>
    </format>
    <format dxfId="1597">
      <pivotArea dataOnly="0" labelOnly="1" outline="0" fieldPosition="0">
        <references count="2">
          <reference field="4294967294" count="0"/>
          <reference field="1" count="1" selected="0">
            <x v="8"/>
          </reference>
        </references>
      </pivotArea>
    </format>
    <format dxfId="1596">
      <pivotArea dataOnly="0" labelOnly="1" outline="0" fieldPosition="0">
        <references count="2">
          <reference field="4294967294" count="0"/>
          <reference field="1" count="1" selected="0">
            <x v="9"/>
          </reference>
        </references>
      </pivotArea>
    </format>
    <format dxfId="1595">
      <pivotArea dataOnly="0" labelOnly="1" outline="0" fieldPosition="0">
        <references count="2">
          <reference field="4294967294" count="0"/>
          <reference field="1" count="1" selected="0">
            <x v="10"/>
          </reference>
        </references>
      </pivotArea>
    </format>
    <format dxfId="1594">
      <pivotArea dataOnly="0" labelOnly="1" outline="0" fieldPosition="0">
        <references count="2">
          <reference field="4294967294" count="0"/>
          <reference field="1" count="1" selected="0">
            <x v="15"/>
          </reference>
        </references>
      </pivotArea>
    </format>
    <format dxfId="1593">
      <pivotArea dataOnly="0" labelOnly="1" outline="0" fieldPosition="0">
        <references count="2">
          <reference field="4294967294" count="0"/>
          <reference field="1" count="1" selected="0">
            <x v="16"/>
          </reference>
        </references>
      </pivotArea>
    </format>
    <format dxfId="1592">
      <pivotArea dataOnly="0" labelOnly="1" outline="0" fieldPosition="0">
        <references count="2">
          <reference field="4294967294" count="0"/>
          <reference field="1" count="1" selected="0">
            <x v="17"/>
          </reference>
        </references>
      </pivotArea>
    </format>
    <format dxfId="1591">
      <pivotArea dataOnly="0" labelOnly="1" outline="0" fieldPosition="0">
        <references count="2">
          <reference field="4294967294" count="0"/>
          <reference field="1" count="1" selected="0">
            <x v="18"/>
          </reference>
        </references>
      </pivotArea>
    </format>
    <format dxfId="1590">
      <pivotArea dataOnly="0" labelOnly="1" outline="0" fieldPosition="0">
        <references count="2">
          <reference field="4294967294" count="0"/>
          <reference field="1" count="1" selected="0">
            <x v="19"/>
          </reference>
        </references>
      </pivotArea>
    </format>
    <format dxfId="1589">
      <pivotArea dataOnly="0" labelOnly="1" outline="0" fieldPosition="0">
        <references count="2">
          <reference field="4294967294" count="0"/>
          <reference field="1" count="1" selected="0">
            <x v="20"/>
          </reference>
        </references>
      </pivotArea>
    </format>
    <format dxfId="1588">
      <pivotArea dataOnly="0" labelOnly="1" outline="0" fieldPosition="0">
        <references count="2">
          <reference field="4294967294" count="0"/>
          <reference field="1" count="1" selected="0">
            <x v="21"/>
          </reference>
        </references>
      </pivotArea>
    </format>
    <format dxfId="1587">
      <pivotArea dataOnly="0" labelOnly="1" outline="0" fieldPosition="0">
        <references count="2">
          <reference field="4294967294" count="0"/>
          <reference field="1" count="1" selected="0">
            <x v="22"/>
          </reference>
        </references>
      </pivotArea>
    </format>
    <format dxfId="1586">
      <pivotArea dataOnly="0" labelOnly="1" outline="0" fieldPosition="0">
        <references count="2">
          <reference field="4294967294" count="0"/>
          <reference field="1" count="1" selected="0">
            <x v="23"/>
          </reference>
        </references>
      </pivotArea>
    </format>
    <format dxfId="1585">
      <pivotArea dataOnly="0" labelOnly="1" outline="0" fieldPosition="0">
        <references count="2">
          <reference field="4294967294" count="0"/>
          <reference field="1" count="1" selected="0">
            <x v="24"/>
          </reference>
        </references>
      </pivotArea>
    </format>
    <format dxfId="1584">
      <pivotArea dataOnly="0" labelOnly="1" outline="0" fieldPosition="0">
        <references count="2">
          <reference field="4294967294" count="0"/>
          <reference field="1" count="1" selected="0">
            <x v="25"/>
          </reference>
        </references>
      </pivotArea>
    </format>
    <format dxfId="1583">
      <pivotArea dataOnly="0" labelOnly="1" outline="0" fieldPosition="0">
        <references count="2">
          <reference field="4294967294" count="0"/>
          <reference field="1" count="1" selected="0">
            <x v="26"/>
          </reference>
        </references>
      </pivotArea>
    </format>
    <format dxfId="1582">
      <pivotArea dataOnly="0" labelOnly="1" outline="0" fieldPosition="0">
        <references count="2">
          <reference field="4294967294" count="0"/>
          <reference field="1" count="1" selected="0">
            <x v="27"/>
          </reference>
        </references>
      </pivotArea>
    </format>
    <format dxfId="1581">
      <pivotArea dataOnly="0" labelOnly="1" outline="0" fieldPosition="0">
        <references count="2">
          <reference field="4294967294" count="0"/>
          <reference field="1" count="1" selected="0">
            <x v="28"/>
          </reference>
        </references>
      </pivotArea>
    </format>
    <format dxfId="1580">
      <pivotArea dataOnly="0" labelOnly="1" outline="0" fieldPosition="0">
        <references count="2">
          <reference field="4294967294" count="0"/>
          <reference field="1" count="1" selected="0">
            <x v="29"/>
          </reference>
        </references>
      </pivotArea>
    </format>
    <format dxfId="1579">
      <pivotArea dataOnly="0" labelOnly="1" outline="0" fieldPosition="0">
        <references count="2">
          <reference field="4294967294" count="0"/>
          <reference field="1" count="1" selected="0">
            <x v="30"/>
          </reference>
        </references>
      </pivotArea>
    </format>
    <format dxfId="1578">
      <pivotArea dataOnly="0" labelOnly="1" outline="0" fieldPosition="0">
        <references count="2">
          <reference field="4294967294" count="0"/>
          <reference field="1" count="1" selected="0">
            <x v="31"/>
          </reference>
        </references>
      </pivotArea>
    </format>
    <format dxfId="1577">
      <pivotArea dataOnly="0" labelOnly="1" outline="0" fieldPosition="0">
        <references count="2">
          <reference field="4294967294" count="0"/>
          <reference field="1" count="1" selected="0">
            <x v="32"/>
          </reference>
        </references>
      </pivotArea>
    </format>
    <format dxfId="1576">
      <pivotArea dataOnly="0" labelOnly="1" outline="0" fieldPosition="0">
        <references count="2">
          <reference field="4294967294" count="0"/>
          <reference field="1" count="1" selected="0">
            <x v="33"/>
          </reference>
        </references>
      </pivotArea>
    </format>
    <format dxfId="1575">
      <pivotArea dataOnly="0" labelOnly="1" outline="0" fieldPosition="0">
        <references count="2">
          <reference field="4294967294" count="0"/>
          <reference field="1" count="1" selected="0">
            <x v="34"/>
          </reference>
        </references>
      </pivotArea>
    </format>
    <format dxfId="1574">
      <pivotArea dataOnly="0" labelOnly="1" outline="0" fieldPosition="0">
        <references count="2">
          <reference field="4294967294" count="0"/>
          <reference field="1" count="1" selected="0">
            <x v="35"/>
          </reference>
        </references>
      </pivotArea>
    </format>
    <format dxfId="1573">
      <pivotArea dataOnly="0" labelOnly="1" outline="0" fieldPosition="0">
        <references count="2">
          <reference field="4294967294" count="0"/>
          <reference field="1" count="1" selected="0">
            <x v="36"/>
          </reference>
        </references>
      </pivotArea>
    </format>
    <format dxfId="1572">
      <pivotArea dataOnly="0" labelOnly="1" outline="0" fieldPosition="0">
        <references count="2">
          <reference field="4294967294" count="0"/>
          <reference field="1" count="1" selected="0">
            <x v="37"/>
          </reference>
        </references>
      </pivotArea>
    </format>
    <format dxfId="1571">
      <pivotArea dataOnly="0" labelOnly="1" outline="0" fieldPosition="0">
        <references count="2">
          <reference field="4294967294" count="0"/>
          <reference field="1" count="1" selected="0">
            <x v="38"/>
          </reference>
        </references>
      </pivotArea>
    </format>
    <format dxfId="1570">
      <pivotArea dataOnly="0" labelOnly="1" outline="0" fieldPosition="0">
        <references count="2">
          <reference field="4294967294" count="0"/>
          <reference field="1" count="1" selected="0">
            <x v="39"/>
          </reference>
        </references>
      </pivotArea>
    </format>
    <format dxfId="1569">
      <pivotArea dataOnly="0" labelOnly="1" outline="0" fieldPosition="0">
        <references count="2">
          <reference field="4294967294" count="0"/>
          <reference field="1" count="1" selected="0">
            <x v="40"/>
          </reference>
        </references>
      </pivotArea>
    </format>
    <format dxfId="1568">
      <pivotArea dataOnly="0" labelOnly="1" outline="0" fieldPosition="0">
        <references count="2">
          <reference field="4294967294" count="0"/>
          <reference field="1" count="1" selected="0">
            <x v="41"/>
          </reference>
        </references>
      </pivotArea>
    </format>
    <format dxfId="1567">
      <pivotArea dataOnly="0" labelOnly="1" outline="0" fieldPosition="0">
        <references count="2">
          <reference field="4294967294" count="0"/>
          <reference field="1" count="1" selected="0">
            <x v="42"/>
          </reference>
        </references>
      </pivotArea>
    </format>
    <format dxfId="1566">
      <pivotArea dataOnly="0" labelOnly="1" outline="0" fieldPosition="0">
        <references count="2">
          <reference field="4294967294" count="0"/>
          <reference field="1" count="1" selected="0">
            <x v="43"/>
          </reference>
        </references>
      </pivotArea>
    </format>
    <format dxfId="1565">
      <pivotArea dataOnly="0" labelOnly="1" outline="0" fieldPosition="0">
        <references count="2">
          <reference field="4294967294" count="0"/>
          <reference field="1" count="1" selected="0">
            <x v="44"/>
          </reference>
        </references>
      </pivotArea>
    </format>
    <format dxfId="1564">
      <pivotArea dataOnly="0" labelOnly="1" outline="0" fieldPosition="0">
        <references count="2">
          <reference field="4294967294" count="0"/>
          <reference field="1" count="1" selected="0">
            <x v="45"/>
          </reference>
        </references>
      </pivotArea>
    </format>
    <format dxfId="1563">
      <pivotArea dataOnly="0" labelOnly="1" outline="0" fieldPosition="0">
        <references count="2">
          <reference field="4294967294" count="0"/>
          <reference field="1" count="1" selected="0">
            <x v="46"/>
          </reference>
        </references>
      </pivotArea>
    </format>
    <format dxfId="1562">
      <pivotArea grandRow="1" grandCol="1" outline="0" fieldPosition="0">
        <references count="1">
          <reference field="4294967294" count="0" selected="0"/>
        </references>
      </pivotArea>
    </format>
    <format dxfId="1561">
      <pivotArea field="1" grandCol="1" outline="0" axis="axisRow" fieldPosition="0">
        <references count="1">
          <reference field="1" count="1" selected="0">
            <x v="14"/>
          </reference>
        </references>
      </pivotArea>
    </format>
    <format dxfId="1560">
      <pivotArea dataOnly="0" labelOnly="1" outline="0" fieldPosition="0">
        <references count="1">
          <reference field="1" count="1">
            <x v="0"/>
          </reference>
        </references>
      </pivotArea>
    </format>
    <format dxfId="1559">
      <pivotArea outline="0" fieldPosition="0">
        <references count="2">
          <reference field="4294967294" count="1" selected="0">
            <x v="0"/>
          </reference>
          <reference field="1" count="1" selected="0">
            <x v="0"/>
          </reference>
        </references>
      </pivotArea>
    </format>
    <format dxfId="1558">
      <pivotArea dataOnly="0" labelOnly="1" outline="0" fieldPosition="0">
        <references count="2">
          <reference field="4294967294" count="1">
            <x v="0"/>
          </reference>
          <reference field="1" count="1" selected="0">
            <x v="0"/>
          </reference>
        </references>
      </pivotArea>
    </format>
    <format dxfId="1557">
      <pivotArea outline="0" fieldPosition="0">
        <references count="2">
          <reference field="4294967294" count="1" selected="0">
            <x v="0"/>
          </reference>
          <reference field="1" count="1" selected="0">
            <x v="2"/>
          </reference>
        </references>
      </pivotArea>
    </format>
    <format dxfId="1556">
      <pivotArea outline="0" fieldPosition="0">
        <references count="2">
          <reference field="4294967294" count="1" selected="0">
            <x v="0"/>
          </reference>
          <reference field="1" count="1" selected="0">
            <x v="3"/>
          </reference>
        </references>
      </pivotArea>
    </format>
    <format dxfId="1555">
      <pivotArea outline="0" fieldPosition="0">
        <references count="2">
          <reference field="4294967294" count="1" selected="0">
            <x v="0"/>
          </reference>
          <reference field="1" count="1" selected="0">
            <x v="4"/>
          </reference>
        </references>
      </pivotArea>
    </format>
    <format dxfId="1554">
      <pivotArea outline="0" fieldPosition="0">
        <references count="2">
          <reference field="4294967294" count="1" selected="0">
            <x v="0"/>
          </reference>
          <reference field="1" count="1" selected="0">
            <x v="5"/>
          </reference>
        </references>
      </pivotArea>
    </format>
    <format dxfId="1553">
      <pivotArea outline="0" fieldPosition="0">
        <references count="2">
          <reference field="4294967294" count="1" selected="0">
            <x v="0"/>
          </reference>
          <reference field="1" count="1" selected="0">
            <x v="6"/>
          </reference>
        </references>
      </pivotArea>
    </format>
    <format dxfId="1552">
      <pivotArea outline="0" fieldPosition="0">
        <references count="2">
          <reference field="4294967294" count="1" selected="0">
            <x v="0"/>
          </reference>
          <reference field="1" count="1" selected="0">
            <x v="7"/>
          </reference>
        </references>
      </pivotArea>
    </format>
    <format dxfId="1551">
      <pivotArea outline="0" fieldPosition="0">
        <references count="2">
          <reference field="4294967294" count="1" selected="0">
            <x v="0"/>
          </reference>
          <reference field="1" count="1" selected="0">
            <x v="8"/>
          </reference>
        </references>
      </pivotArea>
    </format>
    <format dxfId="1550">
      <pivotArea outline="0" fieldPosition="0">
        <references count="2">
          <reference field="4294967294" count="1" selected="0">
            <x v="0"/>
          </reference>
          <reference field="1" count="1" selected="0">
            <x v="9"/>
          </reference>
        </references>
      </pivotArea>
    </format>
    <format dxfId="1549">
      <pivotArea outline="0" fieldPosition="0">
        <references count="2">
          <reference field="4294967294" count="1" selected="0">
            <x v="0"/>
          </reference>
          <reference field="1" count="1" selected="0">
            <x v="10"/>
          </reference>
        </references>
      </pivotArea>
    </format>
    <format dxfId="1548">
      <pivotArea outline="0" fieldPosition="0">
        <references count="2">
          <reference field="4294967294" count="1" selected="0">
            <x v="0"/>
          </reference>
          <reference field="1" count="1" selected="0">
            <x v="15"/>
          </reference>
        </references>
      </pivotArea>
    </format>
    <format dxfId="1547">
      <pivotArea outline="0" fieldPosition="0">
        <references count="2">
          <reference field="4294967294" count="1" selected="0">
            <x v="0"/>
          </reference>
          <reference field="1" count="1" selected="0">
            <x v="16"/>
          </reference>
        </references>
      </pivotArea>
    </format>
    <format dxfId="1546">
      <pivotArea outline="0" fieldPosition="0">
        <references count="2">
          <reference field="4294967294" count="1" selected="0">
            <x v="0"/>
          </reference>
          <reference field="1" count="1" selected="0">
            <x v="17"/>
          </reference>
        </references>
      </pivotArea>
    </format>
    <format dxfId="1545">
      <pivotArea outline="0" fieldPosition="0">
        <references count="2">
          <reference field="4294967294" count="1" selected="0">
            <x v="0"/>
          </reference>
          <reference field="1" count="1" selected="0">
            <x v="18"/>
          </reference>
        </references>
      </pivotArea>
    </format>
    <format dxfId="1544">
      <pivotArea outline="0" fieldPosition="0">
        <references count="2">
          <reference field="4294967294" count="1" selected="0">
            <x v="0"/>
          </reference>
          <reference field="1" count="1" selected="0">
            <x v="19"/>
          </reference>
        </references>
      </pivotArea>
    </format>
    <format dxfId="1543">
      <pivotArea outline="0" fieldPosition="0">
        <references count="2">
          <reference field="4294967294" count="1" selected="0">
            <x v="0"/>
          </reference>
          <reference field="1" count="1" selected="0">
            <x v="20"/>
          </reference>
        </references>
      </pivotArea>
    </format>
    <format dxfId="1542">
      <pivotArea outline="0" fieldPosition="0">
        <references count="2">
          <reference field="4294967294" count="1" selected="0">
            <x v="0"/>
          </reference>
          <reference field="1" count="1" selected="0">
            <x v="21"/>
          </reference>
        </references>
      </pivotArea>
    </format>
    <format dxfId="1541">
      <pivotArea outline="0" fieldPosition="0">
        <references count="2">
          <reference field="4294967294" count="1" selected="0">
            <x v="0"/>
          </reference>
          <reference field="1" count="1" selected="0">
            <x v="22"/>
          </reference>
        </references>
      </pivotArea>
    </format>
    <format dxfId="1540">
      <pivotArea outline="0" fieldPosition="0">
        <references count="2">
          <reference field="4294967294" count="1" selected="0">
            <x v="0"/>
          </reference>
          <reference field="1" count="1" selected="0">
            <x v="23"/>
          </reference>
        </references>
      </pivotArea>
    </format>
    <format dxfId="1539">
      <pivotArea outline="0" fieldPosition="0">
        <references count="2">
          <reference field="4294967294" count="1" selected="0">
            <x v="0"/>
          </reference>
          <reference field="1" count="1" selected="0">
            <x v="24"/>
          </reference>
        </references>
      </pivotArea>
    </format>
    <format dxfId="1538">
      <pivotArea outline="0" fieldPosition="0">
        <references count="2">
          <reference field="4294967294" count="1" selected="0">
            <x v="0"/>
          </reference>
          <reference field="1" count="1" selected="0">
            <x v="25"/>
          </reference>
        </references>
      </pivotArea>
    </format>
    <format dxfId="1537">
      <pivotArea outline="0" fieldPosition="0">
        <references count="2">
          <reference field="4294967294" count="1" selected="0">
            <x v="0"/>
          </reference>
          <reference field="1" count="1" selected="0">
            <x v="26"/>
          </reference>
        </references>
      </pivotArea>
    </format>
    <format dxfId="1536">
      <pivotArea outline="0" fieldPosition="0">
        <references count="2">
          <reference field="4294967294" count="1" selected="0">
            <x v="0"/>
          </reference>
          <reference field="1" count="1" selected="0">
            <x v="27"/>
          </reference>
        </references>
      </pivotArea>
    </format>
    <format dxfId="1535">
      <pivotArea outline="0" fieldPosition="0">
        <references count="2">
          <reference field="4294967294" count="1" selected="0">
            <x v="0"/>
          </reference>
          <reference field="1" count="1" selected="0">
            <x v="28"/>
          </reference>
        </references>
      </pivotArea>
    </format>
    <format dxfId="1534">
      <pivotArea outline="0" fieldPosition="0">
        <references count="2">
          <reference field="4294967294" count="1" selected="0">
            <x v="0"/>
          </reference>
          <reference field="1" count="1" selected="0">
            <x v="29"/>
          </reference>
        </references>
      </pivotArea>
    </format>
    <format dxfId="1533">
      <pivotArea outline="0" fieldPosition="0">
        <references count="2">
          <reference field="4294967294" count="1" selected="0">
            <x v="0"/>
          </reference>
          <reference field="1" count="1" selected="0">
            <x v="30"/>
          </reference>
        </references>
      </pivotArea>
    </format>
    <format dxfId="1532">
      <pivotArea outline="0" fieldPosition="0">
        <references count="2">
          <reference field="4294967294" count="1" selected="0">
            <x v="0"/>
          </reference>
          <reference field="1" count="1" selected="0">
            <x v="31"/>
          </reference>
        </references>
      </pivotArea>
    </format>
    <format dxfId="1531">
      <pivotArea outline="0" fieldPosition="0">
        <references count="2">
          <reference field="4294967294" count="1" selected="0">
            <x v="0"/>
          </reference>
          <reference field="1" count="1" selected="0">
            <x v="32"/>
          </reference>
        </references>
      </pivotArea>
    </format>
    <format dxfId="1530">
      <pivotArea outline="0" fieldPosition="0">
        <references count="2">
          <reference field="4294967294" count="1" selected="0">
            <x v="0"/>
          </reference>
          <reference field="1" count="1" selected="0">
            <x v="33"/>
          </reference>
        </references>
      </pivotArea>
    </format>
    <format dxfId="1529">
      <pivotArea outline="0" fieldPosition="0">
        <references count="2">
          <reference field="4294967294" count="1" selected="0">
            <x v="0"/>
          </reference>
          <reference field="1" count="1" selected="0">
            <x v="34"/>
          </reference>
        </references>
      </pivotArea>
    </format>
    <format dxfId="1528">
      <pivotArea outline="0" fieldPosition="0">
        <references count="2">
          <reference field="4294967294" count="1" selected="0">
            <x v="0"/>
          </reference>
          <reference field="1" count="1" selected="0">
            <x v="35"/>
          </reference>
        </references>
      </pivotArea>
    </format>
    <format dxfId="1527">
      <pivotArea outline="0" fieldPosition="0">
        <references count="2">
          <reference field="4294967294" count="1" selected="0">
            <x v="0"/>
          </reference>
          <reference field="1" count="1" selected="0">
            <x v="36"/>
          </reference>
        </references>
      </pivotArea>
    </format>
    <format dxfId="1526">
      <pivotArea outline="0" fieldPosition="0">
        <references count="2">
          <reference field="4294967294" count="1" selected="0">
            <x v="0"/>
          </reference>
          <reference field="1" count="1" selected="0">
            <x v="37"/>
          </reference>
        </references>
      </pivotArea>
    </format>
    <format dxfId="1525">
      <pivotArea outline="0" fieldPosition="0">
        <references count="2">
          <reference field="4294967294" count="1" selected="0">
            <x v="0"/>
          </reference>
          <reference field="1" count="1" selected="0">
            <x v="38"/>
          </reference>
        </references>
      </pivotArea>
    </format>
    <format dxfId="1524">
      <pivotArea outline="0" fieldPosition="0">
        <references count="2">
          <reference field="4294967294" count="1" selected="0">
            <x v="0"/>
          </reference>
          <reference field="1" count="1" selected="0">
            <x v="39"/>
          </reference>
        </references>
      </pivotArea>
    </format>
    <format dxfId="1523">
      <pivotArea outline="0" fieldPosition="0">
        <references count="2">
          <reference field="4294967294" count="1" selected="0">
            <x v="0"/>
          </reference>
          <reference field="1" count="1" selected="0">
            <x v="40"/>
          </reference>
        </references>
      </pivotArea>
    </format>
    <format dxfId="1522">
      <pivotArea outline="0" fieldPosition="0">
        <references count="2">
          <reference field="4294967294" count="1" selected="0">
            <x v="0"/>
          </reference>
          <reference field="1" count="1" selected="0">
            <x v="41"/>
          </reference>
        </references>
      </pivotArea>
    </format>
    <format dxfId="1521">
      <pivotArea outline="0" fieldPosition="0">
        <references count="2">
          <reference field="4294967294" count="1" selected="0">
            <x v="0"/>
          </reference>
          <reference field="1" count="1" selected="0">
            <x v="42"/>
          </reference>
        </references>
      </pivotArea>
    </format>
    <format dxfId="1520">
      <pivotArea outline="0" fieldPosition="0">
        <references count="2">
          <reference field="4294967294" count="1" selected="0">
            <x v="0"/>
          </reference>
          <reference field="1" count="1" selected="0">
            <x v="43"/>
          </reference>
        </references>
      </pivotArea>
    </format>
    <format dxfId="1519">
      <pivotArea outline="0" fieldPosition="0">
        <references count="2">
          <reference field="4294967294" count="1" selected="0">
            <x v="0"/>
          </reference>
          <reference field="1" count="1" selected="0">
            <x v="44"/>
          </reference>
        </references>
      </pivotArea>
    </format>
    <format dxfId="1518">
      <pivotArea outline="0" fieldPosition="0">
        <references count="2">
          <reference field="4294967294" count="1" selected="0">
            <x v="0"/>
          </reference>
          <reference field="1" count="1" selected="0">
            <x v="45"/>
          </reference>
        </references>
      </pivotArea>
    </format>
    <format dxfId="1517">
      <pivotArea outline="0" fieldPosition="0">
        <references count="2">
          <reference field="4294967294" count="1" selected="0">
            <x v="0"/>
          </reference>
          <reference field="1" count="1" selected="0">
            <x v="46"/>
          </reference>
        </references>
      </pivotArea>
    </format>
    <format dxfId="1516">
      <pivotArea outline="0" fieldPosition="0">
        <references count="2">
          <reference field="4294967294" count="1" selected="0">
            <x v="0"/>
          </reference>
          <reference field="1" count="1" selected="0">
            <x v="12"/>
          </reference>
        </references>
      </pivotArea>
    </format>
    <format dxfId="1515">
      <pivotArea outline="0" fieldPosition="0">
        <references count="2">
          <reference field="4294967294" count="1" selected="0">
            <x v="0"/>
          </reference>
          <reference field="1" count="1" selected="0">
            <x v="11"/>
          </reference>
        </references>
      </pivotArea>
    </format>
    <format dxfId="1514">
      <pivotArea outline="0" fieldPosition="0">
        <references count="2">
          <reference field="4294967294" count="1" selected="0">
            <x v="0"/>
          </reference>
          <reference field="1" count="1" selected="0">
            <x v="14"/>
          </reference>
        </references>
      </pivotArea>
    </format>
    <format dxfId="1513">
      <pivotArea outline="0" fieldPosition="0">
        <references count="3">
          <reference field="4294967294" count="1" selected="0">
            <x v="0"/>
          </reference>
          <reference field="0" count="1" selected="0">
            <x v="8"/>
          </reference>
          <reference field="1" count="1" selected="0">
            <x v="2"/>
          </reference>
        </references>
      </pivotArea>
    </format>
    <format dxfId="1512">
      <pivotArea outline="0" fieldPosition="0">
        <references count="3">
          <reference field="4294967294" count="1" selected="0">
            <x v="0"/>
          </reference>
          <reference field="0" count="1" selected="0">
            <x v="8"/>
          </reference>
          <reference field="1" count="1" selected="0">
            <x v="3"/>
          </reference>
        </references>
      </pivotArea>
    </format>
    <format dxfId="1511">
      <pivotArea outline="0" fieldPosition="0">
        <references count="1">
          <reference field="1" count="1" selected="0">
            <x v="0"/>
          </reference>
        </references>
      </pivotArea>
    </format>
    <format dxfId="1510">
      <pivotArea dataOnly="0" labelOnly="1" outline="0" fieldPosition="0">
        <references count="2">
          <reference field="4294967294" count="0"/>
          <reference field="1" count="1" selected="0">
            <x v="0"/>
          </reference>
        </references>
      </pivotArea>
    </format>
    <format dxfId="1509">
      <pivotArea dataOnly="0" labelOnly="1" outline="0" fieldPosition="0">
        <references count="2">
          <reference field="4294967294" count="1">
            <x v="0"/>
          </reference>
          <reference field="1" count="1" selected="0">
            <x v="2"/>
          </reference>
        </references>
      </pivotArea>
    </format>
    <format dxfId="1508">
      <pivotArea dataOnly="0" labelOnly="1" outline="0" fieldPosition="0">
        <references count="2">
          <reference field="4294967294" count="1">
            <x v="0"/>
          </reference>
          <reference field="1" count="1" selected="0">
            <x v="3"/>
          </reference>
        </references>
      </pivotArea>
    </format>
    <format dxfId="1507">
      <pivotArea dataOnly="0" labelOnly="1" outline="0" fieldPosition="0">
        <references count="2">
          <reference field="4294967294" count="1">
            <x v="0"/>
          </reference>
          <reference field="1" count="1" selected="0">
            <x v="4"/>
          </reference>
        </references>
      </pivotArea>
    </format>
    <format dxfId="1506">
      <pivotArea dataOnly="0" labelOnly="1" outline="0" fieldPosition="0">
        <references count="2">
          <reference field="4294967294" count="1">
            <x v="0"/>
          </reference>
          <reference field="1" count="1" selected="0">
            <x v="5"/>
          </reference>
        </references>
      </pivotArea>
    </format>
    <format dxfId="1505">
      <pivotArea dataOnly="0" labelOnly="1" outline="0" fieldPosition="0">
        <references count="2">
          <reference field="4294967294" count="1">
            <x v="0"/>
          </reference>
          <reference field="1" count="1" selected="0">
            <x v="6"/>
          </reference>
        </references>
      </pivotArea>
    </format>
    <format dxfId="1504">
      <pivotArea dataOnly="0" labelOnly="1" outline="0" fieldPosition="0">
        <references count="2">
          <reference field="4294967294" count="1">
            <x v="0"/>
          </reference>
          <reference field="1" count="1" selected="0">
            <x v="7"/>
          </reference>
        </references>
      </pivotArea>
    </format>
    <format dxfId="1503">
      <pivotArea dataOnly="0" labelOnly="1" outline="0" fieldPosition="0">
        <references count="2">
          <reference field="4294967294" count="1">
            <x v="0"/>
          </reference>
          <reference field="1" count="1" selected="0">
            <x v="8"/>
          </reference>
        </references>
      </pivotArea>
    </format>
    <format dxfId="1502">
      <pivotArea dataOnly="0" labelOnly="1" outline="0" fieldPosition="0">
        <references count="2">
          <reference field="4294967294" count="1">
            <x v="0"/>
          </reference>
          <reference field="1" count="1" selected="0">
            <x v="9"/>
          </reference>
        </references>
      </pivotArea>
    </format>
    <format dxfId="1501">
      <pivotArea dataOnly="0" labelOnly="1" outline="0" fieldPosition="0">
        <references count="2">
          <reference field="4294967294" count="1">
            <x v="0"/>
          </reference>
          <reference field="1" count="1" selected="0">
            <x v="10"/>
          </reference>
        </references>
      </pivotArea>
    </format>
    <format dxfId="1500">
      <pivotArea dataOnly="0" labelOnly="1" outline="0" fieldPosition="0">
        <references count="2">
          <reference field="4294967294" count="1">
            <x v="0"/>
          </reference>
          <reference field="1" count="1" selected="0">
            <x v="11"/>
          </reference>
        </references>
      </pivotArea>
    </format>
    <format dxfId="1499">
      <pivotArea dataOnly="0" labelOnly="1" outline="0" fieldPosition="0">
        <references count="2">
          <reference field="4294967294" count="1">
            <x v="0"/>
          </reference>
          <reference field="1" count="1" selected="0">
            <x v="12"/>
          </reference>
        </references>
      </pivotArea>
    </format>
    <format dxfId="1498">
      <pivotArea dataOnly="0" labelOnly="1" outline="0" fieldPosition="0">
        <references count="2">
          <reference field="4294967294" count="1">
            <x v="0"/>
          </reference>
          <reference field="1" count="1" selected="0">
            <x v="14"/>
          </reference>
        </references>
      </pivotArea>
    </format>
    <format dxfId="1497">
      <pivotArea dataOnly="0" labelOnly="1" outline="0" fieldPosition="0">
        <references count="2">
          <reference field="4294967294" count="1">
            <x v="0"/>
          </reference>
          <reference field="1" count="1" selected="0">
            <x v="15"/>
          </reference>
        </references>
      </pivotArea>
    </format>
    <format dxfId="1496">
      <pivotArea dataOnly="0" labelOnly="1" outline="0" fieldPosition="0">
        <references count="2">
          <reference field="4294967294" count="1">
            <x v="0"/>
          </reference>
          <reference field="1" count="1" selected="0">
            <x v="16"/>
          </reference>
        </references>
      </pivotArea>
    </format>
    <format dxfId="1495">
      <pivotArea dataOnly="0" labelOnly="1" outline="0" fieldPosition="0">
        <references count="2">
          <reference field="4294967294" count="1">
            <x v="0"/>
          </reference>
          <reference field="1" count="1" selected="0">
            <x v="17"/>
          </reference>
        </references>
      </pivotArea>
    </format>
    <format dxfId="1494">
      <pivotArea dataOnly="0" labelOnly="1" outline="0" fieldPosition="0">
        <references count="2">
          <reference field="4294967294" count="1">
            <x v="0"/>
          </reference>
          <reference field="1" count="1" selected="0">
            <x v="18"/>
          </reference>
        </references>
      </pivotArea>
    </format>
    <format dxfId="1493">
      <pivotArea dataOnly="0" labelOnly="1" outline="0" fieldPosition="0">
        <references count="2">
          <reference field="4294967294" count="1">
            <x v="0"/>
          </reference>
          <reference field="1" count="1" selected="0">
            <x v="19"/>
          </reference>
        </references>
      </pivotArea>
    </format>
    <format dxfId="1492">
      <pivotArea dataOnly="0" labelOnly="1" outline="0" fieldPosition="0">
        <references count="2">
          <reference field="4294967294" count="1">
            <x v="0"/>
          </reference>
          <reference field="1" count="1" selected="0">
            <x v="20"/>
          </reference>
        </references>
      </pivotArea>
    </format>
    <format dxfId="1491">
      <pivotArea dataOnly="0" labelOnly="1" outline="0" fieldPosition="0">
        <references count="2">
          <reference field="4294967294" count="1">
            <x v="0"/>
          </reference>
          <reference field="1" count="1" selected="0">
            <x v="21"/>
          </reference>
        </references>
      </pivotArea>
    </format>
    <format dxfId="1490">
      <pivotArea dataOnly="0" labelOnly="1" outline="0" fieldPosition="0">
        <references count="2">
          <reference field="4294967294" count="1">
            <x v="0"/>
          </reference>
          <reference field="1" count="1" selected="0">
            <x v="22"/>
          </reference>
        </references>
      </pivotArea>
    </format>
    <format dxfId="1489">
      <pivotArea dataOnly="0" labelOnly="1" outline="0" fieldPosition="0">
        <references count="2">
          <reference field="4294967294" count="1">
            <x v="0"/>
          </reference>
          <reference field="1" count="1" selected="0">
            <x v="23"/>
          </reference>
        </references>
      </pivotArea>
    </format>
    <format dxfId="1488">
      <pivotArea dataOnly="0" labelOnly="1" outline="0" fieldPosition="0">
        <references count="2">
          <reference field="4294967294" count="1">
            <x v="0"/>
          </reference>
          <reference field="1" count="1" selected="0">
            <x v="24"/>
          </reference>
        </references>
      </pivotArea>
    </format>
    <format dxfId="1487">
      <pivotArea dataOnly="0" labelOnly="1" outline="0" fieldPosition="0">
        <references count="2">
          <reference field="4294967294" count="1">
            <x v="0"/>
          </reference>
          <reference field="1" count="1" selected="0">
            <x v="25"/>
          </reference>
        </references>
      </pivotArea>
    </format>
    <format dxfId="1486">
      <pivotArea dataOnly="0" labelOnly="1" outline="0" fieldPosition="0">
        <references count="2">
          <reference field="4294967294" count="1">
            <x v="0"/>
          </reference>
          <reference field="1" count="1" selected="0">
            <x v="26"/>
          </reference>
        </references>
      </pivotArea>
    </format>
    <format dxfId="1485">
      <pivotArea dataOnly="0" labelOnly="1" outline="0" fieldPosition="0">
        <references count="2">
          <reference field="4294967294" count="1">
            <x v="0"/>
          </reference>
          <reference field="1" count="1" selected="0">
            <x v="27"/>
          </reference>
        </references>
      </pivotArea>
    </format>
    <format dxfId="1484">
      <pivotArea dataOnly="0" labelOnly="1" outline="0" fieldPosition="0">
        <references count="2">
          <reference field="4294967294" count="1">
            <x v="0"/>
          </reference>
          <reference field="1" count="1" selected="0">
            <x v="28"/>
          </reference>
        </references>
      </pivotArea>
    </format>
    <format dxfId="1483">
      <pivotArea dataOnly="0" labelOnly="1" outline="0" fieldPosition="0">
        <references count="2">
          <reference field="4294967294" count="1">
            <x v="0"/>
          </reference>
          <reference field="1" count="1" selected="0">
            <x v="29"/>
          </reference>
        </references>
      </pivotArea>
    </format>
    <format dxfId="1482">
      <pivotArea dataOnly="0" labelOnly="1" outline="0" fieldPosition="0">
        <references count="2">
          <reference field="4294967294" count="1">
            <x v="0"/>
          </reference>
          <reference field="1" count="1" selected="0">
            <x v="30"/>
          </reference>
        </references>
      </pivotArea>
    </format>
    <format dxfId="1481">
      <pivotArea dataOnly="0" labelOnly="1" outline="0" fieldPosition="0">
        <references count="2">
          <reference field="4294967294" count="1">
            <x v="0"/>
          </reference>
          <reference field="1" count="1" selected="0">
            <x v="31"/>
          </reference>
        </references>
      </pivotArea>
    </format>
    <format dxfId="1480">
      <pivotArea dataOnly="0" labelOnly="1" outline="0" fieldPosition="0">
        <references count="2">
          <reference field="4294967294" count="1">
            <x v="0"/>
          </reference>
          <reference field="1" count="1" selected="0">
            <x v="32"/>
          </reference>
        </references>
      </pivotArea>
    </format>
    <format dxfId="1479">
      <pivotArea dataOnly="0" labelOnly="1" outline="0" fieldPosition="0">
        <references count="2">
          <reference field="4294967294" count="1">
            <x v="0"/>
          </reference>
          <reference field="1" count="1" selected="0">
            <x v="33"/>
          </reference>
        </references>
      </pivotArea>
    </format>
    <format dxfId="1478">
      <pivotArea dataOnly="0" labelOnly="1" outline="0" fieldPosition="0">
        <references count="2">
          <reference field="4294967294" count="1">
            <x v="0"/>
          </reference>
          <reference field="1" count="1" selected="0">
            <x v="34"/>
          </reference>
        </references>
      </pivotArea>
    </format>
    <format dxfId="1477">
      <pivotArea dataOnly="0" labelOnly="1" outline="0" fieldPosition="0">
        <references count="2">
          <reference field="4294967294" count="1">
            <x v="0"/>
          </reference>
          <reference field="1" count="1" selected="0">
            <x v="35"/>
          </reference>
        </references>
      </pivotArea>
    </format>
    <format dxfId="1476">
      <pivotArea dataOnly="0" labelOnly="1" outline="0" fieldPosition="0">
        <references count="2">
          <reference field="4294967294" count="1">
            <x v="0"/>
          </reference>
          <reference field="1" count="1" selected="0">
            <x v="36"/>
          </reference>
        </references>
      </pivotArea>
    </format>
    <format dxfId="1475">
      <pivotArea dataOnly="0" labelOnly="1" outline="0" fieldPosition="0">
        <references count="2">
          <reference field="4294967294" count="1">
            <x v="0"/>
          </reference>
          <reference field="1" count="1" selected="0">
            <x v="37"/>
          </reference>
        </references>
      </pivotArea>
    </format>
    <format dxfId="1474">
      <pivotArea dataOnly="0" labelOnly="1" outline="0" fieldPosition="0">
        <references count="2">
          <reference field="4294967294" count="1">
            <x v="0"/>
          </reference>
          <reference field="1" count="1" selected="0">
            <x v="38"/>
          </reference>
        </references>
      </pivotArea>
    </format>
    <format dxfId="1473">
      <pivotArea dataOnly="0" labelOnly="1" outline="0" fieldPosition="0">
        <references count="2">
          <reference field="4294967294" count="1">
            <x v="0"/>
          </reference>
          <reference field="1" count="1" selected="0">
            <x v="39"/>
          </reference>
        </references>
      </pivotArea>
    </format>
    <format dxfId="1472">
      <pivotArea dataOnly="0" labelOnly="1" outline="0" fieldPosition="0">
        <references count="2">
          <reference field="4294967294" count="1">
            <x v="0"/>
          </reference>
          <reference field="1" count="1" selected="0">
            <x v="40"/>
          </reference>
        </references>
      </pivotArea>
    </format>
    <format dxfId="1471">
      <pivotArea dataOnly="0" labelOnly="1" outline="0" fieldPosition="0">
        <references count="2">
          <reference field="4294967294" count="1">
            <x v="0"/>
          </reference>
          <reference field="1" count="1" selected="0">
            <x v="41"/>
          </reference>
        </references>
      </pivotArea>
    </format>
    <format dxfId="1470">
      <pivotArea dataOnly="0" labelOnly="1" outline="0" fieldPosition="0">
        <references count="2">
          <reference field="4294967294" count="1">
            <x v="0"/>
          </reference>
          <reference field="1" count="1" selected="0">
            <x v="42"/>
          </reference>
        </references>
      </pivotArea>
    </format>
    <format dxfId="1469">
      <pivotArea dataOnly="0" labelOnly="1" outline="0" fieldPosition="0">
        <references count="2">
          <reference field="4294967294" count="1">
            <x v="0"/>
          </reference>
          <reference field="1" count="1" selected="0">
            <x v="43"/>
          </reference>
        </references>
      </pivotArea>
    </format>
    <format dxfId="1468">
      <pivotArea dataOnly="0" labelOnly="1" outline="0" fieldPosition="0">
        <references count="2">
          <reference field="4294967294" count="1">
            <x v="0"/>
          </reference>
          <reference field="1" count="1" selected="0">
            <x v="44"/>
          </reference>
        </references>
      </pivotArea>
    </format>
    <format dxfId="1467">
      <pivotArea dataOnly="0" labelOnly="1" outline="0" fieldPosition="0">
        <references count="2">
          <reference field="4294967294" count="1">
            <x v="0"/>
          </reference>
          <reference field="1" count="1" selected="0">
            <x v="45"/>
          </reference>
        </references>
      </pivotArea>
    </format>
    <format dxfId="1466">
      <pivotArea dataOnly="0" labelOnly="1" outline="0" fieldPosition="0">
        <references count="2">
          <reference field="4294967294" count="1">
            <x v="0"/>
          </reference>
          <reference field="1" count="1" selected="0">
            <x v="46"/>
          </reference>
        </references>
      </pivotArea>
    </format>
    <format dxfId="1465">
      <pivotArea grandCol="1" outline="0" fieldPosition="0"/>
    </format>
    <format dxfId="1464">
      <pivotArea type="topRight" dataOnly="0" labelOnly="1" outline="0" offset="P1" fieldPosition="0"/>
    </format>
    <format dxfId="1463">
      <pivotArea dataOnly="0" labelOnly="1" grandCol="1" outline="0" fieldPosition="0"/>
    </format>
    <format dxfId="1462">
      <pivotArea outline="0" fieldPosition="0">
        <references count="1">
          <reference field="0" count="1" selected="0">
            <x v="0"/>
          </reference>
        </references>
      </pivotArea>
    </format>
    <format dxfId="1461">
      <pivotArea outline="0" fieldPosition="0">
        <references count="3">
          <reference field="4294967294" count="1" selected="0">
            <x v="0"/>
          </reference>
          <reference field="0" count="1" selected="0">
            <x v="1"/>
          </reference>
          <reference field="1" count="1" selected="0">
            <x v="0"/>
          </reference>
        </references>
      </pivotArea>
    </format>
    <format dxfId="1460">
      <pivotArea outline="0" fieldPosition="0">
        <references count="3">
          <reference field="4294967294" count="1" selected="0">
            <x v="0"/>
          </reference>
          <reference field="0" count="1" selected="0">
            <x v="2"/>
          </reference>
          <reference field="1" count="1" selected="0">
            <x v="0"/>
          </reference>
        </references>
      </pivotArea>
    </format>
    <format dxfId="1459">
      <pivotArea outline="0" fieldPosition="0">
        <references count="3">
          <reference field="4294967294" count="1" selected="0">
            <x v="0"/>
          </reference>
          <reference field="0" count="1" selected="0">
            <x v="3"/>
          </reference>
          <reference field="1" count="1" selected="0">
            <x v="0"/>
          </reference>
        </references>
      </pivotArea>
    </format>
    <format dxfId="1458">
      <pivotArea outline="0" fieldPosition="0">
        <references count="3">
          <reference field="4294967294" count="1" selected="0">
            <x v="0"/>
          </reference>
          <reference field="0" count="1" selected="0">
            <x v="4"/>
          </reference>
          <reference field="1" count="1" selected="0">
            <x v="0"/>
          </reference>
        </references>
      </pivotArea>
    </format>
    <format dxfId="1457">
      <pivotArea outline="0" fieldPosition="0">
        <references count="3">
          <reference field="4294967294" count="1" selected="0">
            <x v="0"/>
          </reference>
          <reference field="0" count="1" selected="0">
            <x v="5"/>
          </reference>
          <reference field="1" count="1" selected="0">
            <x v="0"/>
          </reference>
        </references>
      </pivotArea>
    </format>
    <format dxfId="1456">
      <pivotArea outline="0" fieldPosition="0">
        <references count="3">
          <reference field="4294967294" count="1" selected="0">
            <x v="0"/>
          </reference>
          <reference field="0" count="1" selected="0">
            <x v="6"/>
          </reference>
          <reference field="1" count="1" selected="0">
            <x v="0"/>
          </reference>
        </references>
      </pivotArea>
    </format>
    <format dxfId="1455">
      <pivotArea outline="0" fieldPosition="0">
        <references count="3">
          <reference field="4294967294" count="1" selected="0">
            <x v="0"/>
          </reference>
          <reference field="0" count="1" selected="0">
            <x v="7"/>
          </reference>
          <reference field="1" count="1" selected="0">
            <x v="0"/>
          </reference>
        </references>
      </pivotArea>
    </format>
    <format dxfId="1454">
      <pivotArea outline="0" fieldPosition="0">
        <references count="3">
          <reference field="4294967294" count="1" selected="0">
            <x v="0"/>
          </reference>
          <reference field="0" count="1" selected="0">
            <x v="8"/>
          </reference>
          <reference field="1" count="1" selected="0">
            <x v="0"/>
          </reference>
        </references>
      </pivotArea>
    </format>
    <format dxfId="1453">
      <pivotArea outline="0" fieldPosition="0">
        <references count="3">
          <reference field="4294967294" count="1" selected="0">
            <x v="0"/>
          </reference>
          <reference field="0" count="1" selected="0">
            <x v="9"/>
          </reference>
          <reference field="1" count="1" selected="0">
            <x v="0"/>
          </reference>
        </references>
      </pivotArea>
    </format>
    <format dxfId="1452">
      <pivotArea outline="0" fieldPosition="0">
        <references count="3">
          <reference field="4294967294" count="1" selected="0">
            <x v="0"/>
          </reference>
          <reference field="0" count="1" selected="0">
            <x v="10"/>
          </reference>
          <reference field="1" count="1" selected="0">
            <x v="0"/>
          </reference>
        </references>
      </pivotArea>
    </format>
    <format dxfId="1451">
      <pivotArea outline="0" fieldPosition="0">
        <references count="3">
          <reference field="4294967294" count="1" selected="0">
            <x v="0"/>
          </reference>
          <reference field="0" count="1" selected="0">
            <x v="11"/>
          </reference>
          <reference field="1" count="1" selected="0">
            <x v="0"/>
          </reference>
        </references>
      </pivotArea>
    </format>
    <format dxfId="1450">
      <pivotArea outline="0" fieldPosition="0">
        <references count="3">
          <reference field="4294967294" count="1" selected="0">
            <x v="0"/>
          </reference>
          <reference field="0" count="1" selected="0">
            <x v="12"/>
          </reference>
          <reference field="1" count="1" selected="0">
            <x v="0"/>
          </reference>
        </references>
      </pivotArea>
    </format>
    <format dxfId="1449">
      <pivotArea outline="0" fieldPosition="0">
        <references count="3">
          <reference field="4294967294" count="1" selected="0">
            <x v="0"/>
          </reference>
          <reference field="0" count="1" selected="0">
            <x v="13"/>
          </reference>
          <reference field="1" count="1" selected="0">
            <x v="0"/>
          </reference>
        </references>
      </pivotArea>
    </format>
    <format dxfId="1448">
      <pivotArea field="1" grandCol="1" outline="0" axis="axisRow" fieldPosition="0">
        <references count="2">
          <reference field="4294967294" count="1" selected="0">
            <x v="0"/>
          </reference>
          <reference field="1" count="1" selected="0">
            <x v="0"/>
          </reference>
        </references>
      </pivotArea>
    </format>
    <format dxfId="1447">
      <pivotArea outline="0" fieldPosition="0">
        <references count="2">
          <reference field="0" count="1" selected="0">
            <x v="0"/>
          </reference>
          <reference field="1" count="10" selected="0">
            <x v="21"/>
            <x v="22"/>
            <x v="23"/>
            <x v="24"/>
            <x v="25"/>
            <x v="26"/>
            <x v="27"/>
            <x v="28"/>
            <x v="29"/>
            <x v="30"/>
          </reference>
        </references>
      </pivotArea>
    </format>
    <format dxfId="1446">
      <pivotArea dataOnly="0" labelOnly="1" outline="0" fieldPosition="0">
        <references count="1">
          <reference field="1" count="10">
            <x v="21"/>
            <x v="22"/>
            <x v="23"/>
            <x v="24"/>
            <x v="25"/>
            <x v="26"/>
            <x v="27"/>
            <x v="28"/>
            <x v="29"/>
            <x v="30"/>
          </reference>
        </references>
      </pivotArea>
    </format>
    <format dxfId="1445">
      <pivotArea dataOnly="0" labelOnly="1" outline="0" fieldPosition="0">
        <references count="2">
          <reference field="4294967294" count="0"/>
          <reference field="1" count="1" selected="0">
            <x v="21"/>
          </reference>
        </references>
      </pivotArea>
    </format>
    <format dxfId="1444">
      <pivotArea dataOnly="0" labelOnly="1" outline="0" fieldPosition="0">
        <references count="2">
          <reference field="4294967294" count="0"/>
          <reference field="1" count="1" selected="0">
            <x v="22"/>
          </reference>
        </references>
      </pivotArea>
    </format>
    <format dxfId="1443">
      <pivotArea dataOnly="0" labelOnly="1" outline="0" fieldPosition="0">
        <references count="2">
          <reference field="4294967294" count="0"/>
          <reference field="1" count="1" selected="0">
            <x v="23"/>
          </reference>
        </references>
      </pivotArea>
    </format>
    <format dxfId="1442">
      <pivotArea dataOnly="0" labelOnly="1" outline="0" fieldPosition="0">
        <references count="2">
          <reference field="4294967294" count="0"/>
          <reference field="1" count="1" selected="0">
            <x v="24"/>
          </reference>
        </references>
      </pivotArea>
    </format>
    <format dxfId="1441">
      <pivotArea dataOnly="0" labelOnly="1" outline="0" fieldPosition="0">
        <references count="2">
          <reference field="4294967294" count="0"/>
          <reference field="1" count="1" selected="0">
            <x v="25"/>
          </reference>
        </references>
      </pivotArea>
    </format>
    <format dxfId="1440">
      <pivotArea dataOnly="0" labelOnly="1" outline="0" fieldPosition="0">
        <references count="2">
          <reference field="4294967294" count="0"/>
          <reference field="1" count="1" selected="0">
            <x v="26"/>
          </reference>
        </references>
      </pivotArea>
    </format>
    <format dxfId="1439">
      <pivotArea dataOnly="0" labelOnly="1" outline="0" fieldPosition="0">
        <references count="2">
          <reference field="4294967294" count="0"/>
          <reference field="1" count="1" selected="0">
            <x v="27"/>
          </reference>
        </references>
      </pivotArea>
    </format>
    <format dxfId="1438">
      <pivotArea dataOnly="0" labelOnly="1" outline="0" fieldPosition="0">
        <references count="2">
          <reference field="4294967294" count="0"/>
          <reference field="1" count="1" selected="0">
            <x v="28"/>
          </reference>
        </references>
      </pivotArea>
    </format>
    <format dxfId="1437">
      <pivotArea dataOnly="0" labelOnly="1" outline="0" fieldPosition="0">
        <references count="2">
          <reference field="4294967294" count="0"/>
          <reference field="1" count="1" selected="0">
            <x v="29"/>
          </reference>
        </references>
      </pivotArea>
    </format>
    <format dxfId="1436">
      <pivotArea dataOnly="0" labelOnly="1" outline="0" fieldPosition="0">
        <references count="2">
          <reference field="4294967294" count="0"/>
          <reference field="1" count="1" selected="0">
            <x v="30"/>
          </reference>
        </references>
      </pivotArea>
    </format>
    <format dxfId="1435">
      <pivotArea outline="0" fieldPosition="0">
        <references count="2">
          <reference field="0" count="1" selected="0">
            <x v="0"/>
          </reference>
          <reference field="1" count="16" selected="0">
            <x v="0"/>
            <x v="2"/>
            <x v="3"/>
            <x v="4"/>
            <x v="5"/>
            <x v="6"/>
            <x v="7"/>
            <x v="8"/>
            <x v="9"/>
            <x v="10"/>
            <x v="11"/>
            <x v="12"/>
            <x v="14"/>
            <x v="15"/>
            <x v="16"/>
            <x v="17"/>
          </reference>
        </references>
      </pivotArea>
    </format>
    <format dxfId="1434">
      <pivotArea dataOnly="0" labelOnly="1" outline="0" fieldPosition="0">
        <references count="1">
          <reference field="1" count="16">
            <x v="0"/>
            <x v="2"/>
            <x v="3"/>
            <x v="4"/>
            <x v="5"/>
            <x v="6"/>
            <x v="7"/>
            <x v="8"/>
            <x v="9"/>
            <x v="10"/>
            <x v="11"/>
            <x v="12"/>
            <x v="14"/>
            <x v="15"/>
            <x v="16"/>
            <x v="17"/>
          </reference>
        </references>
      </pivotArea>
    </format>
    <format dxfId="1433">
      <pivotArea dataOnly="0" labelOnly="1" outline="0" fieldPosition="0">
        <references count="2">
          <reference field="4294967294" count="0"/>
          <reference field="1" count="1" selected="0">
            <x v="0"/>
          </reference>
        </references>
      </pivotArea>
    </format>
    <format dxfId="1432">
      <pivotArea dataOnly="0" labelOnly="1" outline="0" fieldPosition="0">
        <references count="2">
          <reference field="4294967294" count="0"/>
          <reference field="1" count="1" selected="0">
            <x v="2"/>
          </reference>
        </references>
      </pivotArea>
    </format>
    <format dxfId="1431">
      <pivotArea dataOnly="0" labelOnly="1" outline="0" fieldPosition="0">
        <references count="2">
          <reference field="4294967294" count="0"/>
          <reference field="1" count="1" selected="0">
            <x v="3"/>
          </reference>
        </references>
      </pivotArea>
    </format>
    <format dxfId="1430">
      <pivotArea dataOnly="0" labelOnly="1" outline="0" fieldPosition="0">
        <references count="2">
          <reference field="4294967294" count="0"/>
          <reference field="1" count="1" selected="0">
            <x v="4"/>
          </reference>
        </references>
      </pivotArea>
    </format>
    <format dxfId="1429">
      <pivotArea dataOnly="0" labelOnly="1" outline="0" fieldPosition="0">
        <references count="2">
          <reference field="4294967294" count="0"/>
          <reference field="1" count="1" selected="0">
            <x v="5"/>
          </reference>
        </references>
      </pivotArea>
    </format>
    <format dxfId="1428">
      <pivotArea dataOnly="0" labelOnly="1" outline="0" fieldPosition="0">
        <references count="2">
          <reference field="4294967294" count="0"/>
          <reference field="1" count="1" selected="0">
            <x v="6"/>
          </reference>
        </references>
      </pivotArea>
    </format>
    <format dxfId="1427">
      <pivotArea dataOnly="0" labelOnly="1" outline="0" fieldPosition="0">
        <references count="2">
          <reference field="4294967294" count="0"/>
          <reference field="1" count="1" selected="0">
            <x v="7"/>
          </reference>
        </references>
      </pivotArea>
    </format>
    <format dxfId="1426">
      <pivotArea dataOnly="0" labelOnly="1" outline="0" fieldPosition="0">
        <references count="2">
          <reference field="4294967294" count="0"/>
          <reference field="1" count="1" selected="0">
            <x v="8"/>
          </reference>
        </references>
      </pivotArea>
    </format>
    <format dxfId="1425">
      <pivotArea dataOnly="0" labelOnly="1" outline="0" fieldPosition="0">
        <references count="2">
          <reference field="4294967294" count="0"/>
          <reference field="1" count="1" selected="0">
            <x v="9"/>
          </reference>
        </references>
      </pivotArea>
    </format>
    <format dxfId="1424">
      <pivotArea dataOnly="0" labelOnly="1" outline="0" fieldPosition="0">
        <references count="2">
          <reference field="4294967294" count="0"/>
          <reference field="1" count="1" selected="0">
            <x v="10"/>
          </reference>
        </references>
      </pivotArea>
    </format>
    <format dxfId="1423">
      <pivotArea dataOnly="0" labelOnly="1" outline="0" fieldPosition="0">
        <references count="2">
          <reference field="4294967294" count="0"/>
          <reference field="1" count="1" selected="0">
            <x v="11"/>
          </reference>
        </references>
      </pivotArea>
    </format>
    <format dxfId="1422">
      <pivotArea dataOnly="0" labelOnly="1" outline="0" fieldPosition="0">
        <references count="2">
          <reference field="4294967294" count="0"/>
          <reference field="1" count="1" selected="0">
            <x v="12"/>
          </reference>
        </references>
      </pivotArea>
    </format>
    <format dxfId="1421">
      <pivotArea dataOnly="0" labelOnly="1" outline="0" fieldPosition="0">
        <references count="2">
          <reference field="4294967294" count="0"/>
          <reference field="1" count="1" selected="0">
            <x v="14"/>
          </reference>
        </references>
      </pivotArea>
    </format>
    <format dxfId="1420">
      <pivotArea dataOnly="0" labelOnly="1" outline="0" fieldPosition="0">
        <references count="2">
          <reference field="4294967294" count="0"/>
          <reference field="1" count="1" selected="0">
            <x v="15"/>
          </reference>
        </references>
      </pivotArea>
    </format>
    <format dxfId="1419">
      <pivotArea dataOnly="0" labelOnly="1" outline="0" fieldPosition="0">
        <references count="2">
          <reference field="4294967294" count="0"/>
          <reference field="1" count="1" selected="0">
            <x v="16"/>
          </reference>
        </references>
      </pivotArea>
    </format>
    <format dxfId="1418">
      <pivotArea dataOnly="0" labelOnly="1" outline="0" fieldPosition="0">
        <references count="2">
          <reference field="4294967294" count="0"/>
          <reference field="1" count="1" selected="0">
            <x v="17"/>
          </reference>
        </references>
      </pivotArea>
    </format>
    <format dxfId="1417">
      <pivotArea outline="0" fieldPosition="0">
        <references count="2">
          <reference field="0" count="2" selected="0">
            <x v="0"/>
            <x v="1"/>
          </reference>
          <reference field="1" count="3" selected="0">
            <x v="18"/>
            <x v="19"/>
            <x v="20"/>
          </reference>
        </references>
      </pivotArea>
    </format>
    <format dxfId="1416">
      <pivotArea dataOnly="0" labelOnly="1" outline="0" fieldPosition="0">
        <references count="1">
          <reference field="1" count="3">
            <x v="18"/>
            <x v="19"/>
            <x v="20"/>
          </reference>
        </references>
      </pivotArea>
    </format>
    <format dxfId="1415">
      <pivotArea dataOnly="0" labelOnly="1" outline="0" fieldPosition="0">
        <references count="2">
          <reference field="4294967294" count="0"/>
          <reference field="1" count="1" selected="0">
            <x v="18"/>
          </reference>
        </references>
      </pivotArea>
    </format>
    <format dxfId="1414">
      <pivotArea dataOnly="0" labelOnly="1" outline="0" fieldPosition="0">
        <references count="2">
          <reference field="4294967294" count="0"/>
          <reference field="1" count="1" selected="0">
            <x v="19"/>
          </reference>
        </references>
      </pivotArea>
    </format>
    <format dxfId="1413">
      <pivotArea dataOnly="0" labelOnly="1" outline="0" fieldPosition="0">
        <references count="2">
          <reference field="4294967294" count="0"/>
          <reference field="1" count="1" selected="0">
            <x v="20"/>
          </reference>
        </references>
      </pivotArea>
    </format>
    <format dxfId="1412">
      <pivotArea outline="0" fieldPosition="0">
        <references count="2">
          <reference field="0" count="1" selected="0">
            <x v="0"/>
          </reference>
          <reference field="1" count="16" selected="0">
            <x v="31"/>
            <x v="32"/>
            <x v="33"/>
            <x v="34"/>
            <x v="35"/>
            <x v="36"/>
            <x v="37"/>
            <x v="38"/>
            <x v="39"/>
            <x v="40"/>
            <x v="41"/>
            <x v="42"/>
            <x v="43"/>
            <x v="44"/>
            <x v="45"/>
            <x v="46"/>
          </reference>
        </references>
      </pivotArea>
    </format>
    <format dxfId="1411">
      <pivotArea dataOnly="0" labelOnly="1" outline="0" fieldPosition="0">
        <references count="1">
          <reference field="1" count="16">
            <x v="31"/>
            <x v="32"/>
            <x v="33"/>
            <x v="34"/>
            <x v="35"/>
            <x v="36"/>
            <x v="37"/>
            <x v="38"/>
            <x v="39"/>
            <x v="40"/>
            <x v="41"/>
            <x v="42"/>
            <x v="43"/>
            <x v="44"/>
            <x v="45"/>
            <x v="46"/>
          </reference>
        </references>
      </pivotArea>
    </format>
    <format dxfId="1410">
      <pivotArea dataOnly="0" labelOnly="1" outline="0" fieldPosition="0">
        <references count="2">
          <reference field="4294967294" count="0"/>
          <reference field="1" count="1" selected="0">
            <x v="31"/>
          </reference>
        </references>
      </pivotArea>
    </format>
    <format dxfId="1409">
      <pivotArea dataOnly="0" labelOnly="1" outline="0" fieldPosition="0">
        <references count="2">
          <reference field="4294967294" count="0"/>
          <reference field="1" count="1" selected="0">
            <x v="32"/>
          </reference>
        </references>
      </pivotArea>
    </format>
    <format dxfId="1408">
      <pivotArea dataOnly="0" labelOnly="1" outline="0" fieldPosition="0">
        <references count="2">
          <reference field="4294967294" count="0"/>
          <reference field="1" count="1" selected="0">
            <x v="33"/>
          </reference>
        </references>
      </pivotArea>
    </format>
    <format dxfId="1407">
      <pivotArea dataOnly="0" labelOnly="1" outline="0" fieldPosition="0">
        <references count="2">
          <reference field="4294967294" count="0"/>
          <reference field="1" count="1" selected="0">
            <x v="34"/>
          </reference>
        </references>
      </pivotArea>
    </format>
    <format dxfId="1406">
      <pivotArea dataOnly="0" labelOnly="1" outline="0" fieldPosition="0">
        <references count="2">
          <reference field="4294967294" count="0"/>
          <reference field="1" count="1" selected="0">
            <x v="35"/>
          </reference>
        </references>
      </pivotArea>
    </format>
    <format dxfId="1405">
      <pivotArea dataOnly="0" labelOnly="1" outline="0" fieldPosition="0">
        <references count="2">
          <reference field="4294967294" count="0"/>
          <reference field="1" count="1" selected="0">
            <x v="36"/>
          </reference>
        </references>
      </pivotArea>
    </format>
    <format dxfId="1404">
      <pivotArea dataOnly="0" labelOnly="1" outline="0" fieldPosition="0">
        <references count="2">
          <reference field="4294967294" count="0"/>
          <reference field="1" count="1" selected="0">
            <x v="37"/>
          </reference>
        </references>
      </pivotArea>
    </format>
    <format dxfId="1403">
      <pivotArea dataOnly="0" labelOnly="1" outline="0" fieldPosition="0">
        <references count="2">
          <reference field="4294967294" count="0"/>
          <reference field="1" count="1" selected="0">
            <x v="38"/>
          </reference>
        </references>
      </pivotArea>
    </format>
    <format dxfId="1402">
      <pivotArea dataOnly="0" labelOnly="1" outline="0" fieldPosition="0">
        <references count="2">
          <reference field="4294967294" count="0"/>
          <reference field="1" count="1" selected="0">
            <x v="39"/>
          </reference>
        </references>
      </pivotArea>
    </format>
    <format dxfId="1401">
      <pivotArea dataOnly="0" labelOnly="1" outline="0" fieldPosition="0">
        <references count="2">
          <reference field="4294967294" count="0"/>
          <reference field="1" count="1" selected="0">
            <x v="40"/>
          </reference>
        </references>
      </pivotArea>
    </format>
    <format dxfId="1400">
      <pivotArea dataOnly="0" labelOnly="1" outline="0" fieldPosition="0">
        <references count="2">
          <reference field="4294967294" count="0"/>
          <reference field="1" count="1" selected="0">
            <x v="41"/>
          </reference>
        </references>
      </pivotArea>
    </format>
    <format dxfId="1399">
      <pivotArea dataOnly="0" labelOnly="1" outline="0" fieldPosition="0">
        <references count="2">
          <reference field="4294967294" count="0"/>
          <reference field="1" count="1" selected="0">
            <x v="42"/>
          </reference>
        </references>
      </pivotArea>
    </format>
    <format dxfId="1398">
      <pivotArea dataOnly="0" labelOnly="1" outline="0" fieldPosition="0">
        <references count="2">
          <reference field="4294967294" count="0"/>
          <reference field="1" count="1" selected="0">
            <x v="43"/>
          </reference>
        </references>
      </pivotArea>
    </format>
    <format dxfId="1397">
      <pivotArea dataOnly="0" labelOnly="1" outline="0" fieldPosition="0">
        <references count="2">
          <reference field="4294967294" count="0"/>
          <reference field="1" count="1" selected="0">
            <x v="44"/>
          </reference>
        </references>
      </pivotArea>
    </format>
    <format dxfId="1396">
      <pivotArea dataOnly="0" labelOnly="1" outline="0" fieldPosition="0">
        <references count="2">
          <reference field="4294967294" count="0"/>
          <reference field="1" count="1" selected="0">
            <x v="45"/>
          </reference>
        </references>
      </pivotArea>
    </format>
    <format dxfId="1395">
      <pivotArea dataOnly="0" labelOnly="1" outline="0" fieldPosition="0">
        <references count="2">
          <reference field="4294967294" count="0"/>
          <reference field="1" count="1" selected="0">
            <x v="46"/>
          </reference>
        </references>
      </pivotArea>
    </format>
    <format dxfId="1394">
      <pivotArea outline="0" fieldPosition="0">
        <references count="3">
          <reference field="4294967294" count="1" selected="0">
            <x v="1"/>
          </reference>
          <reference field="0" count="1" selected="0">
            <x v="0"/>
          </reference>
          <reference field="1" count="1" selected="0">
            <x v="32"/>
          </reference>
        </references>
      </pivotArea>
    </format>
    <format dxfId="1393">
      <pivotArea outline="0" fieldPosition="0">
        <references count="3">
          <reference field="4294967294" count="1" selected="0">
            <x v="1"/>
          </reference>
          <reference field="0" count="1" selected="0">
            <x v="0"/>
          </reference>
          <reference field="1" count="1" selected="0">
            <x v="34"/>
          </reference>
        </references>
      </pivotArea>
    </format>
    <format dxfId="1392">
      <pivotArea outline="0" fieldPosition="0">
        <references count="3">
          <reference field="4294967294" count="1" selected="0">
            <x v="1"/>
          </reference>
          <reference field="0" count="1" selected="0">
            <x v="0"/>
          </reference>
          <reference field="1" count="1" selected="0">
            <x v="33"/>
          </reference>
        </references>
      </pivotArea>
    </format>
    <format dxfId="1391">
      <pivotArea outline="0" fieldPosition="0">
        <references count="3">
          <reference field="4294967294" count="1" selected="0">
            <x v="1"/>
          </reference>
          <reference field="0" count="1" selected="0">
            <x v="0"/>
          </reference>
          <reference field="1" count="1" selected="0">
            <x v="36"/>
          </reference>
        </references>
      </pivotArea>
    </format>
    <format dxfId="1390">
      <pivotArea outline="0" fieldPosition="0">
        <references count="3">
          <reference field="4294967294" count="1" selected="0">
            <x v="1"/>
          </reference>
          <reference field="0" count="1" selected="0">
            <x v="0"/>
          </reference>
          <reference field="1" count="1" selected="0">
            <x v="37"/>
          </reference>
        </references>
      </pivotArea>
    </format>
    <format dxfId="1389">
      <pivotArea outline="0" fieldPosition="0">
        <references count="3">
          <reference field="4294967294" count="1" selected="0">
            <x v="1"/>
          </reference>
          <reference field="0" count="1" selected="0">
            <x v="0"/>
          </reference>
          <reference field="1" count="1" selected="0">
            <x v="39"/>
          </reference>
        </references>
      </pivotArea>
    </format>
    <format dxfId="1388">
      <pivotArea outline="0" fieldPosition="0">
        <references count="3">
          <reference field="4294967294" count="1" selected="0">
            <x v="1"/>
          </reference>
          <reference field="0" count="1" selected="0">
            <x v="0"/>
          </reference>
          <reference field="1" count="1" selected="0">
            <x v="40"/>
          </reference>
        </references>
      </pivotArea>
    </format>
    <format dxfId="1387">
      <pivotArea outline="0" fieldPosition="0">
        <references count="3">
          <reference field="4294967294" count="1" selected="0">
            <x v="1"/>
          </reference>
          <reference field="0" count="1" selected="0">
            <x v="1"/>
          </reference>
          <reference field="1" count="1" selected="0">
            <x v="34"/>
          </reference>
        </references>
      </pivotArea>
    </format>
    <format dxfId="1386">
      <pivotArea outline="0" fieldPosition="0">
        <references count="3">
          <reference field="4294967294" count="1" selected="0">
            <x v="1"/>
          </reference>
          <reference field="0" count="1" selected="0">
            <x v="1"/>
          </reference>
          <reference field="1" count="1" selected="0">
            <x v="36"/>
          </reference>
        </references>
      </pivotArea>
    </format>
    <format dxfId="1385">
      <pivotArea outline="0" fieldPosition="0">
        <references count="3">
          <reference field="4294967294" count="1" selected="0">
            <x v="1"/>
          </reference>
          <reference field="0" count="1" selected="0">
            <x v="1"/>
          </reference>
          <reference field="1" count="1" selected="0">
            <x v="39"/>
          </reference>
        </references>
      </pivotArea>
    </format>
    <format dxfId="1384">
      <pivotArea outline="0" fieldPosition="0">
        <references count="3">
          <reference field="4294967294" count="1" selected="0">
            <x v="1"/>
          </reference>
          <reference field="0" count="1" selected="0">
            <x v="1"/>
          </reference>
          <reference field="1" count="1" selected="0">
            <x v="43"/>
          </reference>
        </references>
      </pivotArea>
    </format>
    <format dxfId="1383">
      <pivotArea outline="0" fieldPosition="0">
        <references count="3">
          <reference field="4294967294" count="1" selected="0">
            <x v="1"/>
          </reference>
          <reference field="0" count="1" selected="0">
            <x v="2"/>
          </reference>
          <reference field="1" count="1" selected="0">
            <x v="32"/>
          </reference>
        </references>
      </pivotArea>
    </format>
    <format dxfId="1382">
      <pivotArea outline="0" fieldPosition="0">
        <references count="3">
          <reference field="4294967294" count="1" selected="0">
            <x v="1"/>
          </reference>
          <reference field="0" count="1" selected="0">
            <x v="2"/>
          </reference>
          <reference field="1" count="1" selected="0">
            <x v="36"/>
          </reference>
        </references>
      </pivotArea>
    </format>
    <format dxfId="1381">
      <pivotArea outline="0" fieldPosition="0">
        <references count="3">
          <reference field="4294967294" count="1" selected="0">
            <x v="1"/>
          </reference>
          <reference field="0" count="1" selected="0">
            <x v="2"/>
          </reference>
          <reference field="1" count="1" selected="0">
            <x v="37"/>
          </reference>
        </references>
      </pivotArea>
    </format>
    <format dxfId="1380">
      <pivotArea outline="0" fieldPosition="0">
        <references count="3">
          <reference field="4294967294" count="1" selected="0">
            <x v="1"/>
          </reference>
          <reference field="0" count="1" selected="0">
            <x v="2"/>
          </reference>
          <reference field="1" count="1" selected="0">
            <x v="39"/>
          </reference>
        </references>
      </pivotArea>
    </format>
    <format dxfId="1379">
      <pivotArea outline="0" fieldPosition="0">
        <references count="3">
          <reference field="4294967294" count="1" selected="0">
            <x v="1"/>
          </reference>
          <reference field="0" count="1" selected="0">
            <x v="2"/>
          </reference>
          <reference field="1" count="1" selected="0">
            <x v="40"/>
          </reference>
        </references>
      </pivotArea>
    </format>
    <format dxfId="1378">
      <pivotArea outline="0" fieldPosition="0">
        <references count="3">
          <reference field="4294967294" count="1" selected="0">
            <x v="1"/>
          </reference>
          <reference field="0" count="1" selected="0">
            <x v="3"/>
          </reference>
          <reference field="1" count="1" selected="0">
            <x v="32"/>
          </reference>
        </references>
      </pivotArea>
    </format>
    <format dxfId="1377">
      <pivotArea outline="0" fieldPosition="0">
        <references count="3">
          <reference field="4294967294" count="1" selected="0">
            <x v="1"/>
          </reference>
          <reference field="0" count="1" selected="0">
            <x v="3"/>
          </reference>
          <reference field="1" count="1" selected="0">
            <x v="33"/>
          </reference>
        </references>
      </pivotArea>
    </format>
    <format dxfId="1376">
      <pivotArea outline="0" fieldPosition="0">
        <references count="3">
          <reference field="4294967294" count="1" selected="0">
            <x v="1"/>
          </reference>
          <reference field="0" count="1" selected="0">
            <x v="3"/>
          </reference>
          <reference field="1" count="1" selected="0">
            <x v="34"/>
          </reference>
        </references>
      </pivotArea>
    </format>
    <format dxfId="1375">
      <pivotArea outline="0" fieldPosition="0">
        <references count="3">
          <reference field="4294967294" count="1" selected="0">
            <x v="1"/>
          </reference>
          <reference field="0" count="1" selected="0">
            <x v="3"/>
          </reference>
          <reference field="1" count="1" selected="0">
            <x v="42"/>
          </reference>
        </references>
      </pivotArea>
    </format>
    <format dxfId="1374">
      <pivotArea outline="0" fieldPosition="0">
        <references count="3">
          <reference field="4294967294" count="1" selected="0">
            <x v="1"/>
          </reference>
          <reference field="0" count="1" selected="0">
            <x v="3"/>
          </reference>
          <reference field="1" count="1" selected="0">
            <x v="43"/>
          </reference>
        </references>
      </pivotArea>
    </format>
    <format dxfId="1373">
      <pivotArea outline="0" fieldPosition="0">
        <references count="3">
          <reference field="4294967294" count="1" selected="0">
            <x v="1"/>
          </reference>
          <reference field="0" count="1" selected="0">
            <x v="3"/>
          </reference>
          <reference field="1" count="1" selected="0">
            <x v="45"/>
          </reference>
        </references>
      </pivotArea>
    </format>
    <format dxfId="1372">
      <pivotArea outline="0" fieldPosition="0">
        <references count="3">
          <reference field="4294967294" count="1" selected="0">
            <x v="1"/>
          </reference>
          <reference field="0" count="1" selected="0">
            <x v="3"/>
          </reference>
          <reference field="1" count="1" selected="0">
            <x v="46"/>
          </reference>
        </references>
      </pivotArea>
    </format>
    <format dxfId="1371">
      <pivotArea outline="0" fieldPosition="0">
        <references count="3">
          <reference field="4294967294" count="1" selected="0">
            <x v="1"/>
          </reference>
          <reference field="0" count="1" selected="0">
            <x v="4"/>
          </reference>
          <reference field="1" count="1" selected="0">
            <x v="32"/>
          </reference>
        </references>
      </pivotArea>
    </format>
    <format dxfId="1370">
      <pivotArea outline="0" fieldPosition="0">
        <references count="3">
          <reference field="4294967294" count="1" selected="0">
            <x v="1"/>
          </reference>
          <reference field="0" count="1" selected="0">
            <x v="4"/>
          </reference>
          <reference field="1" count="1" selected="0">
            <x v="37"/>
          </reference>
        </references>
      </pivotArea>
    </format>
    <format dxfId="1369">
      <pivotArea outline="0" fieldPosition="0">
        <references count="3">
          <reference field="4294967294" count="1" selected="0">
            <x v="1"/>
          </reference>
          <reference field="0" count="1" selected="0">
            <x v="4"/>
          </reference>
          <reference field="1" count="1" selected="0">
            <x v="40"/>
          </reference>
        </references>
      </pivotArea>
    </format>
    <format dxfId="1368">
      <pivotArea outline="0" fieldPosition="0">
        <references count="3">
          <reference field="4294967294" count="1" selected="0">
            <x v="1"/>
          </reference>
          <reference field="0" count="1" selected="0">
            <x v="4"/>
          </reference>
          <reference field="1" count="1" selected="0">
            <x v="43"/>
          </reference>
        </references>
      </pivotArea>
    </format>
    <format dxfId="1367">
      <pivotArea outline="0" fieldPosition="0">
        <references count="3">
          <reference field="4294967294" count="1" selected="0">
            <x v="1"/>
          </reference>
          <reference field="0" count="1" selected="0">
            <x v="4"/>
          </reference>
          <reference field="1" count="1" selected="0">
            <x v="46"/>
          </reference>
        </references>
      </pivotArea>
    </format>
    <format dxfId="1366">
      <pivotArea outline="0" fieldPosition="0">
        <references count="3">
          <reference field="4294967294" count="1" selected="0">
            <x v="1"/>
          </reference>
          <reference field="0" count="1" selected="0">
            <x v="5"/>
          </reference>
          <reference field="1" count="1" selected="0">
            <x v="36"/>
          </reference>
        </references>
      </pivotArea>
    </format>
    <format dxfId="1365">
      <pivotArea outline="0" fieldPosition="0">
        <references count="3">
          <reference field="4294967294" count="1" selected="0">
            <x v="1"/>
          </reference>
          <reference field="0" count="1" selected="0">
            <x v="5"/>
          </reference>
          <reference field="1" count="1" selected="0">
            <x v="37"/>
          </reference>
        </references>
      </pivotArea>
    </format>
    <format dxfId="1364">
      <pivotArea outline="0" fieldPosition="0">
        <references count="3">
          <reference field="4294967294" count="1" selected="0">
            <x v="1"/>
          </reference>
          <reference field="0" count="1" selected="0">
            <x v="5"/>
          </reference>
          <reference field="1" count="1" selected="0">
            <x v="39"/>
          </reference>
        </references>
      </pivotArea>
    </format>
    <format dxfId="1363">
      <pivotArea outline="0" fieldPosition="0">
        <references count="3">
          <reference field="4294967294" count="1" selected="0">
            <x v="1"/>
          </reference>
          <reference field="0" count="1" selected="0">
            <x v="5"/>
          </reference>
          <reference field="1" count="1" selected="0">
            <x v="40"/>
          </reference>
        </references>
      </pivotArea>
    </format>
    <format dxfId="1362">
      <pivotArea outline="0" fieldPosition="0">
        <references count="3">
          <reference field="4294967294" count="1" selected="0">
            <x v="1"/>
          </reference>
          <reference field="0" count="1" selected="0">
            <x v="5"/>
          </reference>
          <reference field="1" count="1" selected="0">
            <x v="41"/>
          </reference>
        </references>
      </pivotArea>
    </format>
    <format dxfId="1361">
      <pivotArea outline="0" fieldPosition="0">
        <references count="3">
          <reference field="4294967294" count="1" selected="0">
            <x v="1"/>
          </reference>
          <reference field="0" count="1" selected="0">
            <x v="5"/>
          </reference>
          <reference field="1" count="1" selected="0">
            <x v="45"/>
          </reference>
        </references>
      </pivotArea>
    </format>
    <format dxfId="1360">
      <pivotArea outline="0" fieldPosition="0">
        <references count="3">
          <reference field="4294967294" count="1" selected="0">
            <x v="1"/>
          </reference>
          <reference field="0" count="1" selected="0">
            <x v="5"/>
          </reference>
          <reference field="1" count="1" selected="0">
            <x v="46"/>
          </reference>
        </references>
      </pivotArea>
    </format>
    <format dxfId="1359">
      <pivotArea outline="0" fieldPosition="0">
        <references count="3">
          <reference field="4294967294" count="1" selected="0">
            <x v="1"/>
          </reference>
          <reference field="0" count="1" selected="0">
            <x v="6"/>
          </reference>
          <reference field="1" count="1" selected="0">
            <x v="36"/>
          </reference>
        </references>
      </pivotArea>
    </format>
    <format dxfId="1358">
      <pivotArea outline="0" fieldPosition="0">
        <references count="3">
          <reference field="4294967294" count="1" selected="0">
            <x v="1"/>
          </reference>
          <reference field="0" count="1" selected="0">
            <x v="6"/>
          </reference>
          <reference field="1" count="1" selected="0">
            <x v="37"/>
          </reference>
        </references>
      </pivotArea>
    </format>
    <format dxfId="1357">
      <pivotArea outline="0" fieldPosition="0">
        <references count="3">
          <reference field="4294967294" count="1" selected="0">
            <x v="1"/>
          </reference>
          <reference field="0" count="1" selected="0">
            <x v="6"/>
          </reference>
          <reference field="1" count="1" selected="0">
            <x v="39"/>
          </reference>
        </references>
      </pivotArea>
    </format>
    <format dxfId="1356">
      <pivotArea outline="0" fieldPosition="0">
        <references count="3">
          <reference field="4294967294" count="1" selected="0">
            <x v="1"/>
          </reference>
          <reference field="0" count="1" selected="0">
            <x v="6"/>
          </reference>
          <reference field="1" count="1" selected="0">
            <x v="40"/>
          </reference>
        </references>
      </pivotArea>
    </format>
    <format dxfId="1355">
      <pivotArea outline="0" fieldPosition="0">
        <references count="3">
          <reference field="4294967294" count="1" selected="0">
            <x v="1"/>
          </reference>
          <reference field="0" count="1" selected="0">
            <x v="6"/>
          </reference>
          <reference field="1" count="1" selected="0">
            <x v="43"/>
          </reference>
        </references>
      </pivotArea>
    </format>
    <format dxfId="1354">
      <pivotArea outline="0" fieldPosition="0">
        <references count="3">
          <reference field="4294967294" count="1" selected="0">
            <x v="1"/>
          </reference>
          <reference field="0" count="1" selected="0">
            <x v="7"/>
          </reference>
          <reference field="1" count="1" selected="0">
            <x v="33"/>
          </reference>
        </references>
      </pivotArea>
    </format>
    <format dxfId="1353">
      <pivotArea outline="0" fieldPosition="0">
        <references count="3">
          <reference field="4294967294" count="1" selected="0">
            <x v="1"/>
          </reference>
          <reference field="0" count="1" selected="0">
            <x v="7"/>
          </reference>
          <reference field="1" count="1" selected="0">
            <x v="36"/>
          </reference>
        </references>
      </pivotArea>
    </format>
    <format dxfId="1352">
      <pivotArea outline="0" fieldPosition="0">
        <references count="3">
          <reference field="4294967294" count="1" selected="0">
            <x v="1"/>
          </reference>
          <reference field="0" count="1" selected="0">
            <x v="7"/>
          </reference>
          <reference field="1" count="1" selected="0">
            <x v="37"/>
          </reference>
        </references>
      </pivotArea>
    </format>
    <format dxfId="1351">
      <pivotArea outline="0" fieldPosition="0">
        <references count="3">
          <reference field="4294967294" count="1" selected="0">
            <x v="1"/>
          </reference>
          <reference field="0" count="1" selected="0">
            <x v="7"/>
          </reference>
          <reference field="1" count="1" selected="0">
            <x v="39"/>
          </reference>
        </references>
      </pivotArea>
    </format>
    <format dxfId="1350">
      <pivotArea outline="0" fieldPosition="0">
        <references count="3">
          <reference field="4294967294" count="1" selected="0">
            <x v="1"/>
          </reference>
          <reference field="0" count="1" selected="0">
            <x v="7"/>
          </reference>
          <reference field="1" count="1" selected="0">
            <x v="40"/>
          </reference>
        </references>
      </pivotArea>
    </format>
    <format dxfId="1349">
      <pivotArea outline="0" fieldPosition="0">
        <references count="3">
          <reference field="4294967294" count="1" selected="0">
            <x v="1"/>
          </reference>
          <reference field="0" count="1" selected="0">
            <x v="8"/>
          </reference>
          <reference field="1" count="1" selected="0">
            <x v="35"/>
          </reference>
        </references>
      </pivotArea>
    </format>
    <format dxfId="1348">
      <pivotArea outline="0" fieldPosition="0">
        <references count="3">
          <reference field="4294967294" count="1" selected="0">
            <x v="1"/>
          </reference>
          <reference field="0" count="1" selected="0">
            <x v="8"/>
          </reference>
          <reference field="1" count="1" selected="0">
            <x v="36"/>
          </reference>
        </references>
      </pivotArea>
    </format>
    <format dxfId="1347">
      <pivotArea outline="0" fieldPosition="0">
        <references count="3">
          <reference field="4294967294" count="1" selected="0">
            <x v="1"/>
          </reference>
          <reference field="0" count="1" selected="0">
            <x v="8"/>
          </reference>
          <reference field="1" count="1" selected="0">
            <x v="37"/>
          </reference>
        </references>
      </pivotArea>
    </format>
    <format dxfId="1346">
      <pivotArea outline="0" fieldPosition="0">
        <references count="3">
          <reference field="4294967294" count="1" selected="0">
            <x v="1"/>
          </reference>
          <reference field="0" count="1" selected="0">
            <x v="8"/>
          </reference>
          <reference field="1" count="1" selected="0">
            <x v="39"/>
          </reference>
        </references>
      </pivotArea>
    </format>
    <format dxfId="1345">
      <pivotArea outline="0" fieldPosition="0">
        <references count="3">
          <reference field="4294967294" count="1" selected="0">
            <x v="1"/>
          </reference>
          <reference field="0" count="1" selected="0">
            <x v="8"/>
          </reference>
          <reference field="1" count="1" selected="0">
            <x v="40"/>
          </reference>
        </references>
      </pivotArea>
    </format>
    <format dxfId="1344">
      <pivotArea outline="0" fieldPosition="0">
        <references count="3">
          <reference field="4294967294" count="1" selected="0">
            <x v="1"/>
          </reference>
          <reference field="0" count="1" selected="0">
            <x v="8"/>
          </reference>
          <reference field="1" count="1" selected="0">
            <x v="41"/>
          </reference>
        </references>
      </pivotArea>
    </format>
    <format dxfId="1343">
      <pivotArea outline="0" fieldPosition="0">
        <references count="3">
          <reference field="4294967294" count="1" selected="0">
            <x v="1"/>
          </reference>
          <reference field="0" count="1" selected="0">
            <x v="8"/>
          </reference>
          <reference field="1" count="1" selected="0">
            <x v="43"/>
          </reference>
        </references>
      </pivotArea>
    </format>
    <format dxfId="1342">
      <pivotArea outline="0" fieldPosition="0">
        <references count="3">
          <reference field="4294967294" count="1" selected="0">
            <x v="1"/>
          </reference>
          <reference field="0" count="1" selected="0">
            <x v="9"/>
          </reference>
          <reference field="1" count="1" selected="0">
            <x v="33"/>
          </reference>
        </references>
      </pivotArea>
    </format>
    <format dxfId="1341">
      <pivotArea outline="0" fieldPosition="0">
        <references count="3">
          <reference field="4294967294" count="1" selected="0">
            <x v="1"/>
          </reference>
          <reference field="0" count="1" selected="0">
            <x v="9"/>
          </reference>
          <reference field="1" count="1" selected="0">
            <x v="34"/>
          </reference>
        </references>
      </pivotArea>
    </format>
    <format dxfId="1340">
      <pivotArea outline="0" fieldPosition="0">
        <references count="3">
          <reference field="4294967294" count="1" selected="0">
            <x v="1"/>
          </reference>
          <reference field="0" count="1" selected="0">
            <x v="9"/>
          </reference>
          <reference field="1" count="1" selected="0">
            <x v="42"/>
          </reference>
        </references>
      </pivotArea>
    </format>
    <format dxfId="1339">
      <pivotArea outline="0" fieldPosition="0">
        <references count="3">
          <reference field="4294967294" count="1" selected="0">
            <x v="1"/>
          </reference>
          <reference field="0" count="1" selected="0">
            <x v="9"/>
          </reference>
          <reference field="1" count="1" selected="0">
            <x v="43"/>
          </reference>
        </references>
      </pivotArea>
    </format>
    <format dxfId="1338">
      <pivotArea outline="0" fieldPosition="0">
        <references count="3">
          <reference field="4294967294" count="1" selected="0">
            <x v="1"/>
          </reference>
          <reference field="0" count="1" selected="0">
            <x v="9"/>
          </reference>
          <reference field="1" count="1" selected="0">
            <x v="45"/>
          </reference>
        </references>
      </pivotArea>
    </format>
    <format dxfId="1337">
      <pivotArea outline="0" fieldPosition="0">
        <references count="3">
          <reference field="4294967294" count="1" selected="0">
            <x v="1"/>
          </reference>
          <reference field="0" count="1" selected="0">
            <x v="9"/>
          </reference>
          <reference field="1" count="1" selected="0">
            <x v="46"/>
          </reference>
        </references>
      </pivotArea>
    </format>
    <format dxfId="1336">
      <pivotArea outline="0" fieldPosition="0">
        <references count="3">
          <reference field="4294967294" count="1" selected="0">
            <x v="1"/>
          </reference>
          <reference field="0" count="1" selected="0">
            <x v="10"/>
          </reference>
          <reference field="1" count="1" selected="0">
            <x v="32"/>
          </reference>
        </references>
      </pivotArea>
    </format>
    <format dxfId="1335">
      <pivotArea outline="0" fieldPosition="0">
        <references count="3">
          <reference field="4294967294" count="1" selected="0">
            <x v="1"/>
          </reference>
          <reference field="0" count="1" selected="0">
            <x v="10"/>
          </reference>
          <reference field="1" count="1" selected="0">
            <x v="44"/>
          </reference>
        </references>
      </pivotArea>
    </format>
    <format dxfId="1334">
      <pivotArea outline="0" fieldPosition="0">
        <references count="3">
          <reference field="4294967294" count="1" selected="0">
            <x v="1"/>
          </reference>
          <reference field="0" count="1" selected="0">
            <x v="11"/>
          </reference>
          <reference field="1" count="1" selected="0">
            <x v="32"/>
          </reference>
        </references>
      </pivotArea>
    </format>
    <format dxfId="1333">
      <pivotArea outline="0" fieldPosition="0">
        <references count="3">
          <reference field="4294967294" count="1" selected="0">
            <x v="1"/>
          </reference>
          <reference field="0" count="1" selected="0">
            <x v="11"/>
          </reference>
          <reference field="1" count="1" selected="0">
            <x v="35"/>
          </reference>
        </references>
      </pivotArea>
    </format>
    <format dxfId="1332">
      <pivotArea outline="0" fieldPosition="0">
        <references count="3">
          <reference field="4294967294" count="1" selected="0">
            <x v="1"/>
          </reference>
          <reference field="0" count="1" selected="0">
            <x v="11"/>
          </reference>
          <reference field="1" count="1" selected="0">
            <x v="36"/>
          </reference>
        </references>
      </pivotArea>
    </format>
    <format dxfId="1331">
      <pivotArea outline="0" fieldPosition="0">
        <references count="3">
          <reference field="4294967294" count="1" selected="0">
            <x v="1"/>
          </reference>
          <reference field="0" count="1" selected="0">
            <x v="11"/>
          </reference>
          <reference field="1" count="1" selected="0">
            <x v="38"/>
          </reference>
        </references>
      </pivotArea>
    </format>
    <format dxfId="1330">
      <pivotArea outline="0" fieldPosition="0">
        <references count="3">
          <reference field="4294967294" count="1" selected="0">
            <x v="1"/>
          </reference>
          <reference field="0" count="1" selected="0">
            <x v="11"/>
          </reference>
          <reference field="1" count="1" selected="0">
            <x v="39"/>
          </reference>
        </references>
      </pivotArea>
    </format>
    <format dxfId="1329">
      <pivotArea outline="0" fieldPosition="0">
        <references count="3">
          <reference field="4294967294" count="1" selected="0">
            <x v="1"/>
          </reference>
          <reference field="0" count="1" selected="0">
            <x v="11"/>
          </reference>
          <reference field="1" count="1" selected="0">
            <x v="41"/>
          </reference>
        </references>
      </pivotArea>
    </format>
    <format dxfId="1328">
      <pivotArea outline="0" fieldPosition="0">
        <references count="3">
          <reference field="4294967294" count="1" selected="0">
            <x v="1"/>
          </reference>
          <reference field="0" count="1" selected="0">
            <x v="11"/>
          </reference>
          <reference field="1" count="1" selected="0">
            <x v="44"/>
          </reference>
        </references>
      </pivotArea>
    </format>
    <format dxfId="1327">
      <pivotArea outline="0" fieldPosition="0">
        <references count="3">
          <reference field="4294967294" count="1" selected="0">
            <x v="1"/>
          </reference>
          <reference field="0" count="1" selected="0">
            <x v="12"/>
          </reference>
          <reference field="1" count="1" selected="0">
            <x v="36"/>
          </reference>
        </references>
      </pivotArea>
    </format>
    <format dxfId="1326">
      <pivotArea outline="0" fieldPosition="0">
        <references count="3">
          <reference field="4294967294" count="1" selected="0">
            <x v="1"/>
          </reference>
          <reference field="0" count="1" selected="0">
            <x v="12"/>
          </reference>
          <reference field="1" count="1" selected="0">
            <x v="37"/>
          </reference>
        </references>
      </pivotArea>
    </format>
    <format dxfId="1325">
      <pivotArea outline="0" fieldPosition="0">
        <references count="3">
          <reference field="4294967294" count="1" selected="0">
            <x v="1"/>
          </reference>
          <reference field="0" count="1" selected="0">
            <x v="12"/>
          </reference>
          <reference field="1" count="1" selected="0">
            <x v="39"/>
          </reference>
        </references>
      </pivotArea>
    </format>
    <format dxfId="1324">
      <pivotArea outline="0" fieldPosition="0">
        <references count="3">
          <reference field="4294967294" count="1" selected="0">
            <x v="1"/>
          </reference>
          <reference field="0" count="1" selected="0">
            <x v="12"/>
          </reference>
          <reference field="1" count="1" selected="0">
            <x v="40"/>
          </reference>
        </references>
      </pivotArea>
    </format>
    <format dxfId="1323">
      <pivotArea outline="0" fieldPosition="0">
        <references count="3">
          <reference field="4294967294" count="1" selected="0">
            <x v="1"/>
          </reference>
          <reference field="0" count="1" selected="0">
            <x v="13"/>
          </reference>
          <reference field="1" count="1" selected="0">
            <x v="32"/>
          </reference>
        </references>
      </pivotArea>
    </format>
    <format dxfId="1322">
      <pivotArea field="1" grandCol="1" outline="0" axis="axisRow" fieldPosition="0">
        <references count="2">
          <reference field="4294967294" count="1" selected="0">
            <x v="1"/>
          </reference>
          <reference field="1" count="1" selected="0">
            <x v="32"/>
          </reference>
        </references>
      </pivotArea>
    </format>
    <format dxfId="1321">
      <pivotArea field="1" grandCol="1" outline="0" axis="axisRow" fieldPosition="0">
        <references count="2">
          <reference field="4294967294" count="1" selected="0">
            <x v="1"/>
          </reference>
          <reference field="1" count="1" selected="0">
            <x v="33"/>
          </reference>
        </references>
      </pivotArea>
    </format>
    <format dxfId="1320">
      <pivotArea field="1" grandCol="1" outline="0" axis="axisRow" fieldPosition="0">
        <references count="2">
          <reference field="4294967294" count="1" selected="0">
            <x v="1"/>
          </reference>
          <reference field="1" count="1" selected="0">
            <x v="34"/>
          </reference>
        </references>
      </pivotArea>
    </format>
    <format dxfId="1319">
      <pivotArea field="1" grandCol="1" outline="0" axis="axisRow" fieldPosition="0">
        <references count="2">
          <reference field="4294967294" count="1" selected="0">
            <x v="1"/>
          </reference>
          <reference field="1" count="1" selected="0">
            <x v="35"/>
          </reference>
        </references>
      </pivotArea>
    </format>
    <format dxfId="1318">
      <pivotArea field="1" grandCol="1" outline="0" axis="axisRow" fieldPosition="0">
        <references count="2">
          <reference field="4294967294" count="1" selected="0">
            <x v="1"/>
          </reference>
          <reference field="1" count="1" selected="0">
            <x v="36"/>
          </reference>
        </references>
      </pivotArea>
    </format>
    <format dxfId="1317">
      <pivotArea field="1" grandCol="1" outline="0" axis="axisRow" fieldPosition="0">
        <references count="2">
          <reference field="4294967294" count="1" selected="0">
            <x v="1"/>
          </reference>
          <reference field="1" count="1" selected="0">
            <x v="37"/>
          </reference>
        </references>
      </pivotArea>
    </format>
    <format dxfId="1316">
      <pivotArea field="1" grandCol="1" outline="0" axis="axisRow" fieldPosition="0">
        <references count="2">
          <reference field="4294967294" count="1" selected="0">
            <x v="1"/>
          </reference>
          <reference field="1" count="1" selected="0">
            <x v="38"/>
          </reference>
        </references>
      </pivotArea>
    </format>
    <format dxfId="1315">
      <pivotArea field="1" grandCol="1" outline="0" axis="axisRow" fieldPosition="0">
        <references count="2">
          <reference field="4294967294" count="1" selected="0">
            <x v="1"/>
          </reference>
          <reference field="1" count="1" selected="0">
            <x v="39"/>
          </reference>
        </references>
      </pivotArea>
    </format>
    <format dxfId="1314">
      <pivotArea field="1" grandCol="1" outline="0" axis="axisRow" fieldPosition="0">
        <references count="2">
          <reference field="4294967294" count="1" selected="0">
            <x v="1"/>
          </reference>
          <reference field="1" count="1" selected="0">
            <x v="40"/>
          </reference>
        </references>
      </pivotArea>
    </format>
    <format dxfId="1313">
      <pivotArea field="1" grandCol="1" outline="0" axis="axisRow" fieldPosition="0">
        <references count="2">
          <reference field="4294967294" count="1" selected="0">
            <x v="1"/>
          </reference>
          <reference field="1" count="1" selected="0">
            <x v="42"/>
          </reference>
        </references>
      </pivotArea>
    </format>
    <format dxfId="1312">
      <pivotArea field="1" grandCol="1" outline="0" axis="axisRow" fieldPosition="0">
        <references count="2">
          <reference field="4294967294" count="2" selected="0">
            <x v="0"/>
            <x v="1"/>
          </reference>
          <reference field="1" count="1" selected="0">
            <x v="43"/>
          </reference>
        </references>
      </pivotArea>
    </format>
    <format dxfId="1311">
      <pivotArea field="1" grandCol="1" outline="0" axis="axisRow" fieldPosition="0">
        <references count="2">
          <reference field="4294967294" count="1" selected="0">
            <x v="1"/>
          </reference>
          <reference field="1" count="1" selected="0">
            <x v="46"/>
          </reference>
        </references>
      </pivotArea>
    </format>
    <format dxfId="1310">
      <pivotArea type="all" dataOnly="0" outline="0" fieldPosition="0"/>
    </format>
    <format dxfId="1309">
      <pivotArea outline="0" collapsedLevelsAreSubtotals="1" fieldPosition="0">
        <references count="3">
          <reference field="4294967294" count="1" selected="0">
            <x v="0"/>
          </reference>
          <reference field="0" count="1" selected="0">
            <x v="0"/>
          </reference>
          <reference field="1" count="1" selected="0">
            <x v="2"/>
          </reference>
        </references>
      </pivotArea>
    </format>
    <format dxfId="1308">
      <pivotArea outline="0" collapsedLevelsAreSubtotals="1" fieldPosition="0">
        <references count="3">
          <reference field="4294967294" count="1" selected="0">
            <x v="0"/>
          </reference>
          <reference field="0" count="1" selected="0">
            <x v="0"/>
          </reference>
          <reference field="1" count="1" selected="0">
            <x v="3"/>
          </reference>
        </references>
      </pivotArea>
    </format>
    <format dxfId="1307">
      <pivotArea outline="0" collapsedLevelsAreSubtotals="1" fieldPosition="0">
        <references count="3">
          <reference field="4294967294" count="1" selected="0">
            <x v="0"/>
          </reference>
          <reference field="0" count="1" selected="0">
            <x v="0"/>
          </reference>
          <reference field="1" count="1" selected="0">
            <x v="4"/>
          </reference>
        </references>
      </pivotArea>
    </format>
    <format dxfId="1306">
      <pivotArea outline="0" collapsedLevelsAreSubtotals="1" fieldPosition="0">
        <references count="3">
          <reference field="4294967294" count="1" selected="0">
            <x v="0"/>
          </reference>
          <reference field="0" count="1" selected="0">
            <x v="0"/>
          </reference>
          <reference field="1" count="1" selected="0">
            <x v="5"/>
          </reference>
        </references>
      </pivotArea>
    </format>
    <format dxfId="1305">
      <pivotArea outline="0" collapsedLevelsAreSubtotals="1" fieldPosition="0">
        <references count="3">
          <reference field="4294967294" count="1" selected="0">
            <x v="0"/>
          </reference>
          <reference field="0" count="1" selected="0">
            <x v="0"/>
          </reference>
          <reference field="1" count="1" selected="0">
            <x v="6"/>
          </reference>
        </references>
      </pivotArea>
    </format>
    <format dxfId="1304">
      <pivotArea outline="0" collapsedLevelsAreSubtotals="1" fieldPosition="0">
        <references count="3">
          <reference field="4294967294" count="1" selected="0">
            <x v="1"/>
          </reference>
          <reference field="0" count="1" selected="0">
            <x v="0"/>
          </reference>
          <reference field="1" count="1" selected="0">
            <x v="7"/>
          </reference>
        </references>
      </pivotArea>
    </format>
    <format dxfId="1303">
      <pivotArea outline="0" collapsedLevelsAreSubtotals="1" fieldPosition="0">
        <references count="3">
          <reference field="4294967294" count="1" selected="0">
            <x v="0"/>
          </reference>
          <reference field="0" count="1" selected="0">
            <x v="0"/>
          </reference>
          <reference field="1" count="1" selected="0">
            <x v="7"/>
          </reference>
        </references>
      </pivotArea>
    </format>
    <format dxfId="1302">
      <pivotArea outline="0" collapsedLevelsAreSubtotals="1" fieldPosition="0">
        <references count="3">
          <reference field="4294967294" count="1" selected="0">
            <x v="0"/>
          </reference>
          <reference field="0" count="1" selected="0">
            <x v="0"/>
          </reference>
          <reference field="1" count="1" selected="0">
            <x v="8"/>
          </reference>
        </references>
      </pivotArea>
    </format>
    <format dxfId="1301">
      <pivotArea outline="0" collapsedLevelsAreSubtotals="1" fieldPosition="0">
        <references count="3">
          <reference field="4294967294" count="1" selected="0">
            <x v="0"/>
          </reference>
          <reference field="0" count="1" selected="0">
            <x v="0"/>
          </reference>
          <reference field="1" count="1" selected="0">
            <x v="9"/>
          </reference>
        </references>
      </pivotArea>
    </format>
    <format dxfId="1300">
      <pivotArea outline="0" collapsedLevelsAreSubtotals="1" fieldPosition="0">
        <references count="3">
          <reference field="4294967294" count="1" selected="0">
            <x v="0"/>
          </reference>
          <reference field="0" count="1" selected="0">
            <x v="0"/>
          </reference>
          <reference field="1" count="1" selected="0">
            <x v="10"/>
          </reference>
        </references>
      </pivotArea>
    </format>
    <format dxfId="1299">
      <pivotArea outline="0" collapsedLevelsAreSubtotals="1" fieldPosition="0">
        <references count="3">
          <reference field="4294967294" count="1" selected="0">
            <x v="0"/>
          </reference>
          <reference field="0" count="1" selected="0">
            <x v="0"/>
          </reference>
          <reference field="1" count="1" selected="0">
            <x v="11"/>
          </reference>
        </references>
      </pivotArea>
    </format>
    <format dxfId="1298">
      <pivotArea outline="0" collapsedLevelsAreSubtotals="1" fieldPosition="0">
        <references count="3">
          <reference field="4294967294" count="1" selected="0">
            <x v="0"/>
          </reference>
          <reference field="0" count="1" selected="0">
            <x v="0"/>
          </reference>
          <reference field="1" count="1" selected="0">
            <x v="12"/>
          </reference>
        </references>
      </pivotArea>
    </format>
    <format dxfId="1297">
      <pivotArea outline="0" collapsedLevelsAreSubtotals="1" fieldPosition="0">
        <references count="3">
          <reference field="4294967294" count="1" selected="0">
            <x v="0"/>
          </reference>
          <reference field="0" count="1" selected="0">
            <x v="0"/>
          </reference>
          <reference field="1" count="1" selected="0">
            <x v="13"/>
          </reference>
        </references>
      </pivotArea>
    </format>
    <format dxfId="1296">
      <pivotArea outline="0" collapsedLevelsAreSubtotals="1" fieldPosition="0">
        <references count="3">
          <reference field="4294967294" count="1" selected="0">
            <x v="0"/>
          </reference>
          <reference field="0" count="1" selected="0">
            <x v="0"/>
          </reference>
          <reference field="1" count="1" selected="0">
            <x v="14"/>
          </reference>
        </references>
      </pivotArea>
    </format>
    <format dxfId="1295">
      <pivotArea outline="0" collapsedLevelsAreSubtotals="1" fieldPosition="0">
        <references count="3">
          <reference field="4294967294" count="1" selected="0">
            <x v="0"/>
          </reference>
          <reference field="0" count="1" selected="0">
            <x v="0"/>
          </reference>
          <reference field="1" count="1" selected="0">
            <x v="15"/>
          </reference>
        </references>
      </pivotArea>
    </format>
    <format dxfId="1294">
      <pivotArea outline="0" collapsedLevelsAreSubtotals="1" fieldPosition="0">
        <references count="3">
          <reference field="4294967294" count="1" selected="0">
            <x v="0"/>
          </reference>
          <reference field="0" count="1" selected="0">
            <x v="0"/>
          </reference>
          <reference field="1" count="1" selected="0">
            <x v="16"/>
          </reference>
        </references>
      </pivotArea>
    </format>
    <format dxfId="1293">
      <pivotArea outline="0" collapsedLevelsAreSubtotals="1" fieldPosition="0">
        <references count="3">
          <reference field="4294967294" count="1" selected="0">
            <x v="0"/>
          </reference>
          <reference field="0" count="1" selected="0">
            <x v="0"/>
          </reference>
          <reference field="1" count="1" selected="0">
            <x v="17"/>
          </reference>
        </references>
      </pivotArea>
    </format>
    <format dxfId="1292">
      <pivotArea outline="0" collapsedLevelsAreSubtotals="1" fieldPosition="0">
        <references count="3">
          <reference field="4294967294" count="1" selected="0">
            <x v="0"/>
          </reference>
          <reference field="0" count="1" selected="0">
            <x v="0"/>
          </reference>
          <reference field="1" count="1" selected="0">
            <x v="18"/>
          </reference>
        </references>
      </pivotArea>
    </format>
    <format dxfId="1291">
      <pivotArea outline="0" collapsedLevelsAreSubtotals="1" fieldPosition="0">
        <references count="3">
          <reference field="4294967294" count="1" selected="0">
            <x v="0"/>
          </reference>
          <reference field="0" count="1" selected="0">
            <x v="0"/>
          </reference>
          <reference field="1" count="1" selected="0">
            <x v="19"/>
          </reference>
        </references>
      </pivotArea>
    </format>
    <format dxfId="1290">
      <pivotArea outline="0" collapsedLevelsAreSubtotals="1" fieldPosition="0">
        <references count="3">
          <reference field="4294967294" count="1" selected="0">
            <x v="0"/>
          </reference>
          <reference field="0" count="1" selected="0">
            <x v="0"/>
          </reference>
          <reference field="1" count="1" selected="0">
            <x v="20"/>
          </reference>
        </references>
      </pivotArea>
    </format>
    <format dxfId="1289">
      <pivotArea outline="0" collapsedLevelsAreSubtotals="1" fieldPosition="0">
        <references count="3">
          <reference field="4294967294" count="1" selected="0">
            <x v="0"/>
          </reference>
          <reference field="0" count="1" selected="0">
            <x v="0"/>
          </reference>
          <reference field="1" count="1" selected="0">
            <x v="21"/>
          </reference>
        </references>
      </pivotArea>
    </format>
    <format dxfId="1288">
      <pivotArea outline="0" collapsedLevelsAreSubtotals="1" fieldPosition="0">
        <references count="3">
          <reference field="4294967294" count="1" selected="0">
            <x v="0"/>
          </reference>
          <reference field="0" count="1" selected="0">
            <x v="0"/>
          </reference>
          <reference field="1" count="1" selected="0">
            <x v="22"/>
          </reference>
        </references>
      </pivotArea>
    </format>
    <format dxfId="1287">
      <pivotArea outline="0" collapsedLevelsAreSubtotals="1" fieldPosition="0">
        <references count="3">
          <reference field="4294967294" count="1" selected="0">
            <x v="0"/>
          </reference>
          <reference field="0" count="1" selected="0">
            <x v="0"/>
          </reference>
          <reference field="1" count="1" selected="0">
            <x v="23"/>
          </reference>
        </references>
      </pivotArea>
    </format>
    <format dxfId="1286">
      <pivotArea outline="0" collapsedLevelsAreSubtotals="1" fieldPosition="0">
        <references count="3">
          <reference field="4294967294" count="1" selected="0">
            <x v="0"/>
          </reference>
          <reference field="0" count="1" selected="0">
            <x v="0"/>
          </reference>
          <reference field="1" count="1" selected="0">
            <x v="24"/>
          </reference>
        </references>
      </pivotArea>
    </format>
    <format dxfId="1285">
      <pivotArea outline="0" collapsedLevelsAreSubtotals="1" fieldPosition="0">
        <references count="3">
          <reference field="4294967294" count="1" selected="0">
            <x v="0"/>
          </reference>
          <reference field="0" count="1" selected="0">
            <x v="0"/>
          </reference>
          <reference field="1" count="1" selected="0">
            <x v="25"/>
          </reference>
        </references>
      </pivotArea>
    </format>
    <format dxfId="1284">
      <pivotArea outline="0" collapsedLevelsAreSubtotals="1" fieldPosition="0">
        <references count="3">
          <reference field="4294967294" count="1" selected="0">
            <x v="0"/>
          </reference>
          <reference field="0" count="1" selected="0">
            <x v="0"/>
          </reference>
          <reference field="1" count="1" selected="0">
            <x v="26"/>
          </reference>
        </references>
      </pivotArea>
    </format>
    <format dxfId="1283">
      <pivotArea outline="0" collapsedLevelsAreSubtotals="1" fieldPosition="0">
        <references count="3">
          <reference field="4294967294" count="1" selected="0">
            <x v="0"/>
          </reference>
          <reference field="0" count="1" selected="0">
            <x v="0"/>
          </reference>
          <reference field="1" count="1" selected="0">
            <x v="27"/>
          </reference>
        </references>
      </pivotArea>
    </format>
    <format dxfId="1282">
      <pivotArea outline="0" collapsedLevelsAreSubtotals="1" fieldPosition="0">
        <references count="3">
          <reference field="4294967294" count="1" selected="0">
            <x v="0"/>
          </reference>
          <reference field="0" count="1" selected="0">
            <x v="0"/>
          </reference>
          <reference field="1" count="1" selected="0">
            <x v="28"/>
          </reference>
        </references>
      </pivotArea>
    </format>
    <format dxfId="1281">
      <pivotArea outline="0" collapsedLevelsAreSubtotals="1" fieldPosition="0">
        <references count="3">
          <reference field="4294967294" count="1" selected="0">
            <x v="0"/>
          </reference>
          <reference field="0" count="1" selected="0">
            <x v="0"/>
          </reference>
          <reference field="1" count="1" selected="0">
            <x v="29"/>
          </reference>
        </references>
      </pivotArea>
    </format>
    <format dxfId="1280">
      <pivotArea outline="0" collapsedLevelsAreSubtotals="1" fieldPosition="0">
        <references count="3">
          <reference field="4294967294" count="1" selected="0">
            <x v="0"/>
          </reference>
          <reference field="0" count="1" selected="0">
            <x v="0"/>
          </reference>
          <reference field="1" count="1" selected="0">
            <x v="30"/>
          </reference>
        </references>
      </pivotArea>
    </format>
    <format dxfId="1279">
      <pivotArea outline="0" collapsedLevelsAreSubtotals="1" fieldPosition="0">
        <references count="3">
          <reference field="4294967294" count="1" selected="0">
            <x v="0"/>
          </reference>
          <reference field="0" count="1" selected="0">
            <x v="0"/>
          </reference>
          <reference field="1" count="1" selected="0">
            <x v="31"/>
          </reference>
        </references>
      </pivotArea>
    </format>
    <format dxfId="1278">
      <pivotArea outline="0" collapsedLevelsAreSubtotals="1" fieldPosition="0">
        <references count="3">
          <reference field="4294967294" count="1" selected="0">
            <x v="0"/>
          </reference>
          <reference field="0" count="1" selected="0">
            <x v="0"/>
          </reference>
          <reference field="1" count="1" selected="0">
            <x v="32"/>
          </reference>
        </references>
      </pivotArea>
    </format>
    <format dxfId="1277">
      <pivotArea outline="0" collapsedLevelsAreSubtotals="1" fieldPosition="0">
        <references count="3">
          <reference field="4294967294" count="1" selected="0">
            <x v="0"/>
          </reference>
          <reference field="0" count="1" selected="0">
            <x v="0"/>
          </reference>
          <reference field="1" count="1" selected="0">
            <x v="33"/>
          </reference>
        </references>
      </pivotArea>
    </format>
    <format dxfId="1276">
      <pivotArea outline="0" collapsedLevelsAreSubtotals="1" fieldPosition="0">
        <references count="3">
          <reference field="4294967294" count="1" selected="0">
            <x v="0"/>
          </reference>
          <reference field="0" count="1" selected="0">
            <x v="0"/>
          </reference>
          <reference field="1" count="1" selected="0">
            <x v="34"/>
          </reference>
        </references>
      </pivotArea>
    </format>
    <format dxfId="1275">
      <pivotArea outline="0" collapsedLevelsAreSubtotals="1" fieldPosition="0">
        <references count="3">
          <reference field="4294967294" count="1" selected="0">
            <x v="0"/>
          </reference>
          <reference field="0" count="1" selected="0">
            <x v="0"/>
          </reference>
          <reference field="1" count="1" selected="0">
            <x v="35"/>
          </reference>
        </references>
      </pivotArea>
    </format>
    <format dxfId="1274">
      <pivotArea outline="0" collapsedLevelsAreSubtotals="1" fieldPosition="0">
        <references count="3">
          <reference field="4294967294" count="1" selected="0">
            <x v="0"/>
          </reference>
          <reference field="0" count="1" selected="0">
            <x v="0"/>
          </reference>
          <reference field="1" count="1" selected="0">
            <x v="36"/>
          </reference>
        </references>
      </pivotArea>
    </format>
    <format dxfId="1273">
      <pivotArea outline="0" collapsedLevelsAreSubtotals="1" fieldPosition="0">
        <references count="3">
          <reference field="4294967294" count="1" selected="0">
            <x v="0"/>
          </reference>
          <reference field="0" count="1" selected="0">
            <x v="0"/>
          </reference>
          <reference field="1" count="1" selected="0">
            <x v="37"/>
          </reference>
        </references>
      </pivotArea>
    </format>
    <format dxfId="1272">
      <pivotArea outline="0" collapsedLevelsAreSubtotals="1" fieldPosition="0">
        <references count="3">
          <reference field="4294967294" count="1" selected="0">
            <x v="0"/>
          </reference>
          <reference field="0" count="1" selected="0">
            <x v="0"/>
          </reference>
          <reference field="1" count="1" selected="0">
            <x v="38"/>
          </reference>
        </references>
      </pivotArea>
    </format>
    <format dxfId="1271">
      <pivotArea outline="0" collapsedLevelsAreSubtotals="1" fieldPosition="0">
        <references count="3">
          <reference field="4294967294" count="1" selected="0">
            <x v="0"/>
          </reference>
          <reference field="0" count="1" selected="0">
            <x v="0"/>
          </reference>
          <reference field="1" count="1" selected="0">
            <x v="39"/>
          </reference>
        </references>
      </pivotArea>
    </format>
    <format dxfId="1270">
      <pivotArea outline="0" collapsedLevelsAreSubtotals="1" fieldPosition="0">
        <references count="3">
          <reference field="4294967294" count="1" selected="0">
            <x v="0"/>
          </reference>
          <reference field="0" count="1" selected="0">
            <x v="0"/>
          </reference>
          <reference field="1" count="1" selected="0">
            <x v="40"/>
          </reference>
        </references>
      </pivotArea>
    </format>
    <format dxfId="1269">
      <pivotArea outline="0" collapsedLevelsAreSubtotals="1" fieldPosition="0">
        <references count="3">
          <reference field="4294967294" count="1" selected="0">
            <x v="0"/>
          </reference>
          <reference field="0" count="1" selected="0">
            <x v="0"/>
          </reference>
          <reference field="1" count="1" selected="0">
            <x v="41"/>
          </reference>
        </references>
      </pivotArea>
    </format>
    <format dxfId="1268">
      <pivotArea outline="0" collapsedLevelsAreSubtotals="1" fieldPosition="0">
        <references count="3">
          <reference field="4294967294" count="1" selected="0">
            <x v="0"/>
          </reference>
          <reference field="0" count="1" selected="0">
            <x v="0"/>
          </reference>
          <reference field="1" count="1" selected="0">
            <x v="42"/>
          </reference>
        </references>
      </pivotArea>
    </format>
    <format dxfId="1267">
      <pivotArea outline="0" collapsedLevelsAreSubtotals="1" fieldPosition="0">
        <references count="3">
          <reference field="4294967294" count="1" selected="0">
            <x v="0"/>
          </reference>
          <reference field="0" count="1" selected="0">
            <x v="0"/>
          </reference>
          <reference field="1" count="1" selected="0">
            <x v="43"/>
          </reference>
        </references>
      </pivotArea>
    </format>
    <format dxfId="1266">
      <pivotArea outline="0" collapsedLevelsAreSubtotals="1" fieldPosition="0">
        <references count="3">
          <reference field="4294967294" count="1" selected="0">
            <x v="0"/>
          </reference>
          <reference field="0" count="1" selected="0">
            <x v="0"/>
          </reference>
          <reference field="1" count="1" selected="0">
            <x v="44"/>
          </reference>
        </references>
      </pivotArea>
    </format>
    <format dxfId="1265">
      <pivotArea outline="0" collapsedLevelsAreSubtotals="1" fieldPosition="0">
        <references count="3">
          <reference field="4294967294" count="1" selected="0">
            <x v="0"/>
          </reference>
          <reference field="0" count="1" selected="0">
            <x v="0"/>
          </reference>
          <reference field="1" count="1" selected="0">
            <x v="45"/>
          </reference>
        </references>
      </pivotArea>
    </format>
    <format dxfId="1264">
      <pivotArea outline="0" collapsedLevelsAreSubtotals="1" fieldPosition="0">
        <references count="3">
          <reference field="4294967294" count="1" selected="0">
            <x v="0"/>
          </reference>
          <reference field="0" count="1" selected="0">
            <x v="0"/>
          </reference>
          <reference field="1" count="1" selected="0">
            <x v="46"/>
          </reference>
        </references>
      </pivotArea>
    </format>
    <format dxfId="1263">
      <pivotArea field="0" grandRow="1" outline="0" collapsedLevelsAreSubtotals="1" axis="axisCol" fieldPosition="0">
        <references count="2">
          <reference field="4294967294" count="1" selected="0">
            <x v="0"/>
          </reference>
          <reference field="0" count="1" selected="0">
            <x v="0"/>
          </reference>
        </references>
      </pivotArea>
    </format>
    <format dxfId="1262">
      <pivotArea type="all" dataOnly="0" outline="0" fieldPosition="0"/>
    </format>
    <format dxfId="1261">
      <pivotArea outline="0" collapsedLevelsAreSubtotals="1" fieldPosition="0">
        <references count="2">
          <reference field="4294967294" count="2" selected="0">
            <x v="0"/>
            <x v="1"/>
          </reference>
          <reference field="1" count="1" selected="0">
            <x v="0"/>
          </reference>
        </references>
      </pivotArea>
    </format>
    <format dxfId="1260">
      <pivotArea dataOnly="0" labelOnly="1" outline="0" fieldPosition="0">
        <references count="2">
          <reference field="4294967294" count="1">
            <x v="0"/>
          </reference>
          <reference field="1" count="1" selected="0">
            <x v="13"/>
          </reference>
        </references>
      </pivotArea>
    </format>
    <format dxfId="1259">
      <pivotArea field="1" dataOnly="0" labelOnly="1" grandRow="1" outline="0" axis="axisRow" fieldPosition="0">
        <references count="1">
          <reference field="4294967294" count="1" selected="0">
            <x v="0"/>
          </reference>
        </references>
      </pivotArea>
    </format>
    <format dxfId="1258">
      <pivotArea field="1" dataOnly="0" labelOnly="1" grandRow="1" outline="0" axis="axisRow" fieldPosition="0">
        <references count="1">
          <reference field="4294967294" count="1" selected="0">
            <x v="1"/>
          </reference>
        </references>
      </pivotArea>
    </format>
    <format dxfId="1257">
      <pivotArea field="1" dataOnly="0" labelOnly="1" grandRow="1" outline="0" axis="axisRow" fieldPosition="0">
        <references count="1">
          <reference field="4294967294" count="1" selected="0">
            <x v="0"/>
          </reference>
        </references>
      </pivotArea>
    </format>
    <format dxfId="1256">
      <pivotArea field="1" dataOnly="0" labelOnly="1" grandRow="1" outline="0" axis="axisRow" fieldPosition="0">
        <references count="1">
          <reference field="4294967294" count="1" selected="0">
            <x v="1"/>
          </reference>
        </references>
      </pivotArea>
    </format>
    <format dxfId="1255">
      <pivotArea field="1" dataOnly="0" labelOnly="1" grandRow="1" outline="0" offset="A256" axis="axisRow" fieldPosition="0">
        <references count="1">
          <reference field="4294967294" count="1" selected="0">
            <x v="0"/>
          </reference>
        </references>
      </pivotArea>
    </format>
    <format dxfId="1254">
      <pivotArea field="1" dataOnly="0" labelOnly="1" grandRow="1" outline="0" offset="A256" axis="axisRow" fieldPosition="0">
        <references count="1">
          <reference field="4294967294" count="1" selected="0">
            <x v="1"/>
          </reference>
        </references>
      </pivotArea>
    </format>
    <format dxfId="1253">
      <pivotArea outline="0" collapsedLevelsAreSubtotals="1" fieldPosition="0">
        <references count="3">
          <reference field="4294967294" count="2" selected="0">
            <x v="0"/>
            <x v="1"/>
          </reference>
          <reference field="0" count="1" selected="0">
            <x v="1"/>
          </reference>
          <reference field="1" count="1" selected="0">
            <x v="37"/>
          </reference>
        </references>
      </pivotArea>
    </format>
    <format dxfId="1252">
      <pivotArea outline="0" collapsedLevelsAreSubtotals="1" fieldPosition="0">
        <references count="3">
          <reference field="4294967294" count="2" selected="0">
            <x v="0"/>
            <x v="1"/>
          </reference>
          <reference field="0" count="1" selected="0">
            <x v="1"/>
          </reference>
          <reference field="1" count="1" selected="0">
            <x v="40"/>
          </reference>
        </references>
      </pivotArea>
    </format>
    <format dxfId="1251">
      <pivotArea dataOnly="0" labelOnly="1" outline="0" fieldPosition="0">
        <references count="1">
          <reference field="1" count="16">
            <x v="31"/>
            <x v="32"/>
            <x v="33"/>
            <x v="34"/>
            <x v="35"/>
            <x v="36"/>
            <x v="37"/>
            <x v="38"/>
            <x v="39"/>
            <x v="40"/>
            <x v="41"/>
            <x v="42"/>
            <x v="43"/>
            <x v="44"/>
            <x v="45"/>
            <x v="46"/>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3" dataOnRows="1" applyNumberFormats="0" applyBorderFormats="0" applyFontFormats="0" applyPatternFormats="0" applyAlignmentFormats="0" applyWidthHeightFormats="1" dataCaption="Data" grandTotalCaption="Grand Total" updatedVersion="3" minRefreshableVersion="3" showMemberPropertyTips="0" itemPrintTitles="1" createdVersion="3" indent="0" compact="0" compactData="0" gridDropZones="1">
  <location ref="A3:X668" firstHeaderRow="1" firstDataRow="3" firstDataCol="2"/>
  <pivotFields count="51">
    <pivotField axis="axisRow" compact="0" outline="0" subtotalTop="0" showAll="0" includeNewItemsInFilter="1">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3"/>
        <item x="6"/>
        <item x="7"/>
        <item x="8"/>
        <item x="16"/>
        <item x="9"/>
        <item x="10"/>
        <item x="15"/>
        <item x="11"/>
        <item x="12"/>
        <item h="1" m="1" x="17"/>
        <item h="1" x="14"/>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2">
    <i>
      <x/>
      <x/>
    </i>
    <i r="1">
      <x v="1"/>
    </i>
    <i r="1">
      <x v="2"/>
    </i>
    <i r="1">
      <x v="3"/>
    </i>
    <i r="1">
      <x v="4"/>
    </i>
    <i r="1">
      <x v="5"/>
    </i>
    <i t="default">
      <x/>
    </i>
    <i>
      <x v="1"/>
      <x v="6"/>
    </i>
    <i r="1">
      <x v="7"/>
    </i>
    <i r="1">
      <x v="8"/>
    </i>
    <i r="1">
      <x v="9"/>
    </i>
    <i r="1">
      <x v="10"/>
    </i>
    <i t="default">
      <x v="1"/>
    </i>
    <i>
      <x v="2"/>
      <x v="11"/>
    </i>
    <i r="1">
      <x v="12"/>
    </i>
    <i r="1">
      <x v="13"/>
    </i>
    <i t="default">
      <x v="2"/>
    </i>
    <i>
      <x v="3"/>
      <x v="14"/>
    </i>
    <i t="default">
      <x v="3"/>
    </i>
    <i>
      <x v="4"/>
      <x v="15"/>
    </i>
    <i t="default">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757">
    <format dxfId="1250">
      <pivotArea outline="0" fieldPosition="0"/>
    </format>
    <format dxfId="1249">
      <pivotArea dataOnly="0" labelOnly="1" outline="0" fieldPosition="0">
        <references count="2">
          <reference field="4294967294" count="1">
            <x v="2"/>
          </reference>
          <reference field="0" count="1" selected="0">
            <x v="0"/>
          </reference>
        </references>
      </pivotArea>
    </format>
    <format dxfId="1248">
      <pivotArea dataOnly="0" labelOnly="1" outline="0" fieldPosition="0">
        <references count="2">
          <reference field="4294967294" count="1">
            <x v="2"/>
          </reference>
          <reference field="0" count="1" selected="0">
            <x v="0"/>
          </reference>
        </references>
      </pivotArea>
    </format>
    <format dxfId="1247">
      <pivotArea outline="0" fieldPosition="0">
        <references count="4">
          <reference field="4294967294" count="3" selected="0">
            <x v="3"/>
            <x v="4"/>
            <x v="5"/>
          </reference>
          <reference field="0" count="1" selected="0">
            <x v="3"/>
          </reference>
          <reference field="5" count="1" selected="0">
            <x v="0"/>
          </reference>
          <reference field="45" count="1" selected="0">
            <x v="0"/>
          </reference>
        </references>
      </pivotArea>
    </format>
    <format dxfId="1246">
      <pivotArea outline="0" fieldPosition="0">
        <references count="4">
          <reference field="4294967294" count="3" selected="0">
            <x v="9"/>
            <x v="10"/>
            <x v="11"/>
          </reference>
          <reference field="0" count="1" selected="0">
            <x v="3"/>
          </reference>
          <reference field="5" count="1" selected="0">
            <x v="0"/>
          </reference>
          <reference field="45" count="1" selected="0">
            <x v="0"/>
          </reference>
        </references>
      </pivotArea>
    </format>
    <format dxfId="1245">
      <pivotArea outline="0" fieldPosition="0">
        <references count="4">
          <reference field="4294967294" count="3" selected="0">
            <x v="9"/>
            <x v="10"/>
            <x v="11"/>
          </reference>
          <reference field="0" count="1" selected="0">
            <x v="3"/>
          </reference>
          <reference field="5" count="1" selected="0">
            <x v="1"/>
          </reference>
          <reference field="45" count="1" selected="0">
            <x v="0"/>
          </reference>
        </references>
      </pivotArea>
    </format>
    <format dxfId="1244">
      <pivotArea outline="0" fieldPosition="0">
        <references count="4">
          <reference field="4294967294" count="3" selected="0">
            <x v="0"/>
            <x v="1"/>
            <x v="2"/>
          </reference>
          <reference field="0" count="1" selected="0">
            <x v="4"/>
          </reference>
          <reference field="5" count="1" selected="0">
            <x v="2"/>
          </reference>
          <reference field="45" count="1" selected="0">
            <x v="0"/>
          </reference>
        </references>
      </pivotArea>
    </format>
    <format dxfId="1243">
      <pivotArea outline="0" fieldPosition="0">
        <references count="4">
          <reference field="4294967294" count="3" selected="0">
            <x v="0"/>
            <x v="1"/>
            <x v="2"/>
          </reference>
          <reference field="0" count="1" selected="0">
            <x v="4"/>
          </reference>
          <reference field="5" count="1" selected="0">
            <x v="4"/>
          </reference>
          <reference field="45" count="1" selected="0">
            <x v="0"/>
          </reference>
        </references>
      </pivotArea>
    </format>
    <format dxfId="1242">
      <pivotArea outline="0" fieldPosition="0">
        <references count="4">
          <reference field="4294967294" count="3" selected="0">
            <x v="0"/>
            <x v="1"/>
            <x v="2"/>
          </reference>
          <reference field="0" count="1" selected="0">
            <x v="4"/>
          </reference>
          <reference field="5" count="1" selected="0">
            <x v="5"/>
          </reference>
          <reference field="45" count="1" selected="0">
            <x v="0"/>
          </reference>
        </references>
      </pivotArea>
    </format>
    <format dxfId="1241">
      <pivotArea outline="0" fieldPosition="0">
        <references count="4">
          <reference field="4294967294" count="3" selected="0">
            <x v="0"/>
            <x v="1"/>
            <x v="2"/>
          </reference>
          <reference field="0" count="1" selected="0">
            <x v="5"/>
          </reference>
          <reference field="5" count="1" selected="0">
            <x v="0"/>
          </reference>
          <reference field="45" count="1" selected="0">
            <x v="0"/>
          </reference>
        </references>
      </pivotArea>
    </format>
    <format dxfId="1240">
      <pivotArea outline="0" fieldPosition="0">
        <references count="4">
          <reference field="4294967294" count="3" selected="0">
            <x v="0"/>
            <x v="1"/>
            <x v="2"/>
          </reference>
          <reference field="0" count="1" selected="0">
            <x v="5"/>
          </reference>
          <reference field="5" count="1" selected="0">
            <x v="4"/>
          </reference>
          <reference field="45" count="1" selected="0">
            <x v="0"/>
          </reference>
        </references>
      </pivotArea>
    </format>
    <format dxfId="1239">
      <pivotArea outline="0" fieldPosition="0">
        <references count="4">
          <reference field="4294967294" count="3" selected="0">
            <x v="3"/>
            <x v="4"/>
            <x v="5"/>
          </reference>
          <reference field="0" count="1" selected="0">
            <x v="5"/>
          </reference>
          <reference field="5" count="1" selected="0">
            <x v="0"/>
          </reference>
          <reference field="45" count="1" selected="0">
            <x v="0"/>
          </reference>
        </references>
      </pivotArea>
    </format>
    <format dxfId="1238">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1237">
      <pivotArea outline="0" fieldPosition="0">
        <references count="4">
          <reference field="4294967294" count="3" selected="0">
            <x v="9"/>
            <x v="10"/>
            <x v="11"/>
          </reference>
          <reference field="0" count="1" selected="0">
            <x v="5"/>
          </reference>
          <reference field="5" count="1" selected="0">
            <x v="0"/>
          </reference>
          <reference field="45" count="1" selected="0">
            <x v="0"/>
          </reference>
        </references>
      </pivotArea>
    </format>
    <format dxfId="1236">
      <pivotArea outline="0" fieldPosition="0">
        <references count="4">
          <reference field="4294967294" count="3" selected="0">
            <x v="30"/>
            <x v="31"/>
            <x v="32"/>
          </reference>
          <reference field="0" count="1" selected="0">
            <x v="5"/>
          </reference>
          <reference field="5" count="1" selected="0">
            <x v="1"/>
          </reference>
          <reference field="45" count="1" selected="0">
            <x v="0"/>
          </reference>
        </references>
      </pivotArea>
    </format>
    <format dxfId="1235">
      <pivotArea outline="0" fieldPosition="0">
        <references count="4">
          <reference field="4294967294" count="3" selected="0">
            <x v="33"/>
            <x v="34"/>
            <x v="35"/>
          </reference>
          <reference field="0" count="1" selected="0">
            <x v="6"/>
          </reference>
          <reference field="5" count="1" selected="0">
            <x v="0"/>
          </reference>
          <reference field="45" count="1" selected="0">
            <x v="0"/>
          </reference>
        </references>
      </pivotArea>
    </format>
    <format dxfId="1234">
      <pivotArea outline="0" fieldPosition="0">
        <references count="4">
          <reference field="4294967294" count="3" selected="0">
            <x v="9"/>
            <x v="10"/>
            <x v="11"/>
          </reference>
          <reference field="0" count="1" selected="0">
            <x v="7"/>
          </reference>
          <reference field="5" count="1" selected="0">
            <x v="4"/>
          </reference>
          <reference field="45" count="1" selected="0">
            <x v="0"/>
          </reference>
        </references>
      </pivotArea>
    </format>
    <format dxfId="1233">
      <pivotArea outline="0" fieldPosition="0">
        <references count="4">
          <reference field="4294967294" count="3" selected="0">
            <x v="3"/>
            <x v="4"/>
            <x v="5"/>
          </reference>
          <reference field="0" count="1" selected="0">
            <x v="8"/>
          </reference>
          <reference field="5" count="1" selected="0">
            <x v="3"/>
          </reference>
          <reference field="45" count="1" selected="0">
            <x v="0"/>
          </reference>
        </references>
      </pivotArea>
    </format>
    <format dxfId="1232">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1231">
      <pivotArea outline="0" fieldPosition="0">
        <references count="4">
          <reference field="4294967294" count="3" selected="0">
            <x v="3"/>
            <x v="4"/>
            <x v="5"/>
          </reference>
          <reference field="0" count="1" selected="0">
            <x v="11"/>
          </reference>
          <reference field="5" count="1" selected="0">
            <x v="2"/>
          </reference>
          <reference field="45" count="1" selected="0">
            <x v="0"/>
          </reference>
        </references>
      </pivotArea>
    </format>
    <format dxfId="1230">
      <pivotArea outline="0" fieldPosition="0">
        <references count="4">
          <reference field="4294967294" count="3" selected="0">
            <x v="3"/>
            <x v="4"/>
            <x v="5"/>
          </reference>
          <reference field="0" count="1" selected="0">
            <x v="11"/>
          </reference>
          <reference field="5" count="1" selected="0">
            <x v="4"/>
          </reference>
          <reference field="45" count="1" selected="0">
            <x v="0"/>
          </reference>
        </references>
      </pivotArea>
    </format>
    <format dxfId="1229">
      <pivotArea outline="0" fieldPosition="0">
        <references count="4">
          <reference field="4294967294" count="3" selected="0">
            <x v="12"/>
            <x v="13"/>
            <x v="14"/>
          </reference>
          <reference field="0" count="1" selected="0">
            <x v="12"/>
          </reference>
          <reference field="5" count="1" selected="0">
            <x v="3"/>
          </reference>
          <reference field="45" count="1" selected="0">
            <x v="0"/>
          </reference>
        </references>
      </pivotArea>
    </format>
    <format dxfId="1228">
      <pivotArea outline="0" fieldPosition="0">
        <references count="4">
          <reference field="4294967294" count="3" selected="0">
            <x v="9"/>
            <x v="10"/>
            <x v="11"/>
          </reference>
          <reference field="0" count="1" selected="0">
            <x v="14"/>
          </reference>
          <reference field="5" count="1" selected="0">
            <x v="4"/>
          </reference>
          <reference field="45" count="1" selected="0">
            <x v="0"/>
          </reference>
        </references>
      </pivotArea>
    </format>
    <format dxfId="1227">
      <pivotArea outline="0" fieldPosition="0">
        <references count="4">
          <reference field="4294967294" count="3" selected="0">
            <x v="6"/>
            <x v="7"/>
            <x v="8"/>
          </reference>
          <reference field="0" count="1" selected="0">
            <x v="1"/>
          </reference>
          <reference field="5" count="1" selected="0">
            <x v="6"/>
          </reference>
          <reference field="45" count="1" selected="0">
            <x v="1"/>
          </reference>
        </references>
      </pivotArea>
    </format>
    <format dxfId="1226">
      <pivotArea outline="0" fieldPosition="0">
        <references count="4">
          <reference field="4294967294" count="3" selected="0">
            <x v="9"/>
            <x v="10"/>
            <x v="11"/>
          </reference>
          <reference field="0" count="1" selected="0">
            <x v="4"/>
          </reference>
          <reference field="5" count="1" selected="0">
            <x v="8"/>
          </reference>
          <reference field="45" count="1" selected="0">
            <x v="1"/>
          </reference>
        </references>
      </pivotArea>
    </format>
    <format dxfId="1225">
      <pivotArea outline="0" fieldPosition="0">
        <references count="4">
          <reference field="4294967294" count="3" selected="0">
            <x v="9"/>
            <x v="10"/>
            <x v="11"/>
          </reference>
          <reference field="0" count="1" selected="0">
            <x v="6"/>
          </reference>
          <reference field="5" count="1" selected="0">
            <x v="7"/>
          </reference>
          <reference field="45" count="1" selected="0">
            <x v="1"/>
          </reference>
        </references>
      </pivotArea>
    </format>
    <format dxfId="1224">
      <pivotArea outline="0" fieldPosition="0">
        <references count="4">
          <reference field="4294967294" count="3" selected="0">
            <x v="0"/>
            <x v="1"/>
            <x v="2"/>
          </reference>
          <reference field="0" count="1" selected="0">
            <x v="8"/>
          </reference>
          <reference field="5" count="1" selected="0">
            <x v="9"/>
          </reference>
          <reference field="45" count="1" selected="0">
            <x v="1"/>
          </reference>
        </references>
      </pivotArea>
    </format>
    <format dxfId="1223">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1222">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1221">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1220">
      <pivotArea outline="0" fieldPosition="0">
        <references count="4">
          <reference field="4294967294" count="3" selected="0">
            <x v="6"/>
            <x v="7"/>
            <x v="8"/>
          </reference>
          <reference field="0" count="1" selected="0">
            <x v="10"/>
          </reference>
          <reference field="5" count="1" selected="0">
            <x v="7"/>
          </reference>
          <reference field="45" count="1" selected="0">
            <x v="1"/>
          </reference>
        </references>
      </pivotArea>
    </format>
    <format dxfId="1219">
      <pivotArea outline="0" fieldPosition="0">
        <references count="4">
          <reference field="4294967294" count="3" selected="0">
            <x v="9"/>
            <x v="10"/>
            <x v="11"/>
          </reference>
          <reference field="0" count="1" selected="0">
            <x v="11"/>
          </reference>
          <reference field="5" count="1" selected="0">
            <x v="8"/>
          </reference>
          <reference field="45" count="1" selected="0">
            <x v="1"/>
          </reference>
        </references>
      </pivotArea>
    </format>
    <format dxfId="1218">
      <pivotArea outline="0" fieldPosition="0">
        <references count="4">
          <reference field="4294967294" count="3" selected="0">
            <x v="6"/>
            <x v="7"/>
            <x v="8"/>
          </reference>
          <reference field="0" count="1" selected="0">
            <x v="13"/>
          </reference>
          <reference field="5" count="1" selected="0">
            <x v="10"/>
          </reference>
          <reference field="45" count="1" selected="0">
            <x v="1"/>
          </reference>
        </references>
      </pivotArea>
    </format>
    <format dxfId="1217">
      <pivotArea outline="0" fieldPosition="0">
        <references count="4">
          <reference field="4294967294" count="3" selected="0">
            <x v="9"/>
            <x v="10"/>
            <x v="11"/>
          </reference>
          <reference field="0" count="1" selected="0">
            <x v="14"/>
          </reference>
          <reference field="5" count="1" selected="0">
            <x v="9"/>
          </reference>
          <reference field="45" count="1" selected="0">
            <x v="1"/>
          </reference>
        </references>
      </pivotArea>
    </format>
    <format dxfId="1216">
      <pivotArea outline="0" fieldPosition="0">
        <references count="4">
          <reference field="4294967294" count="3" selected="0">
            <x v="0"/>
            <x v="1"/>
            <x v="2"/>
          </reference>
          <reference field="0" count="1" selected="0">
            <x v="15"/>
          </reference>
          <reference field="5" count="1" selected="0">
            <x v="8"/>
          </reference>
          <reference field="45" count="1" selected="0">
            <x v="1"/>
          </reference>
        </references>
      </pivotArea>
    </format>
    <format dxfId="1215">
      <pivotArea outline="0" fieldPosition="0">
        <references count="3">
          <reference field="4294967294" count="3" selected="0">
            <x v="0"/>
            <x v="1"/>
            <x v="2"/>
          </reference>
          <reference field="0" count="1" selected="0">
            <x v="4"/>
          </reference>
          <reference field="45" count="1" selected="0" defaultSubtotal="1">
            <x v="3"/>
          </reference>
        </references>
      </pivotArea>
    </format>
    <format dxfId="1214">
      <pivotArea outline="0" fieldPosition="0">
        <references count="3">
          <reference field="4294967294" count="3" selected="0">
            <x v="9"/>
            <x v="10"/>
            <x v="11"/>
          </reference>
          <reference field="0" count="1" selected="0">
            <x v="4"/>
          </reference>
          <reference field="45" count="1" selected="0" defaultSubtotal="1">
            <x v="3"/>
          </reference>
        </references>
      </pivotArea>
    </format>
    <format dxfId="1213">
      <pivotArea outline="0" fieldPosition="0">
        <references count="3">
          <reference field="4294967294" count="3" selected="0">
            <x v="33"/>
            <x v="34"/>
            <x v="35"/>
          </reference>
          <reference field="0" count="1" selected="0">
            <x v="4"/>
          </reference>
          <reference field="45" count="1" selected="0" defaultSubtotal="1">
            <x v="3"/>
          </reference>
        </references>
      </pivotArea>
    </format>
    <format dxfId="1212">
      <pivotArea outline="0" fieldPosition="0">
        <references count="3">
          <reference field="4294967294" count="3" selected="0">
            <x v="30"/>
            <x v="31"/>
            <x v="32"/>
          </reference>
          <reference field="0" count="1" selected="0">
            <x v="8"/>
          </reference>
          <reference field="45" count="1" selected="0" defaultSubtotal="1">
            <x v="3"/>
          </reference>
        </references>
      </pivotArea>
    </format>
    <format dxfId="1211">
      <pivotArea outline="0" fieldPosition="0">
        <references count="3">
          <reference field="4294967294" count="3" selected="0">
            <x v="24"/>
            <x v="25"/>
            <x v="26"/>
          </reference>
          <reference field="0" count="1" selected="0">
            <x v="12"/>
          </reference>
          <reference field="45" count="1" selected="0" defaultSubtotal="1">
            <x v="3"/>
          </reference>
        </references>
      </pivotArea>
    </format>
    <format dxfId="1210">
      <pivotArea outline="0" fieldPosition="0">
        <references count="3">
          <reference field="4294967294" count="3" selected="0">
            <x v="3"/>
            <x v="4"/>
            <x v="5"/>
          </reference>
          <reference field="0" count="1" selected="0">
            <x v="13"/>
          </reference>
          <reference field="45" count="1" selected="0" defaultSubtotal="1">
            <x v="3"/>
          </reference>
        </references>
      </pivotArea>
    </format>
    <format dxfId="1209">
      <pivotArea outline="0" fieldPosition="0">
        <references count="3">
          <reference field="4294967294" count="3" selected="0">
            <x v="3"/>
            <x v="4"/>
            <x v="5"/>
          </reference>
          <reference field="0" count="1" selected="0">
            <x v="2"/>
          </reference>
          <reference field="45" count="1" selected="0">
            <x v="4"/>
          </reference>
        </references>
      </pivotArea>
    </format>
    <format dxfId="1208">
      <pivotArea outline="0" fieldPosition="0">
        <references count="3">
          <reference field="4294967294" count="3" selected="0">
            <x v="3"/>
            <x v="4"/>
            <x v="5"/>
          </reference>
          <reference field="0" count="1" selected="0">
            <x v="3"/>
          </reference>
          <reference field="45" count="1" selected="0">
            <x v="4"/>
          </reference>
        </references>
      </pivotArea>
    </format>
    <format dxfId="1207">
      <pivotArea outline="0" fieldPosition="0">
        <references count="3">
          <reference field="4294967294" count="3" selected="0">
            <x v="3"/>
            <x v="4"/>
            <x v="5"/>
          </reference>
          <reference field="0" count="1" selected="0">
            <x v="7"/>
          </reference>
          <reference field="45" count="1" selected="0">
            <x v="4"/>
          </reference>
        </references>
      </pivotArea>
    </format>
    <format dxfId="1206">
      <pivotArea outline="0" fieldPosition="0">
        <references count="3">
          <reference field="4294967294" count="3" selected="0">
            <x v="3"/>
            <x v="4"/>
            <x v="5"/>
          </reference>
          <reference field="0" count="1" selected="0">
            <x v="9"/>
          </reference>
          <reference field="45" count="1" selected="0">
            <x v="4"/>
          </reference>
        </references>
      </pivotArea>
    </format>
    <format dxfId="1205">
      <pivotArea outline="0" fieldPosition="0">
        <references count="3">
          <reference field="4294967294" count="3" selected="0">
            <x v="0"/>
            <x v="1"/>
            <x v="2"/>
          </reference>
          <reference field="0" count="1" selected="0">
            <x v="11"/>
          </reference>
          <reference field="45" count="1" selected="0">
            <x v="4"/>
          </reference>
        </references>
      </pivotArea>
    </format>
    <format dxfId="1204">
      <pivotArea outline="0" fieldPosition="0">
        <references count="3">
          <reference field="4294967294" count="3" selected="0">
            <x v="18"/>
            <x v="19"/>
            <x v="20"/>
          </reference>
          <reference field="0" count="1" selected="0">
            <x v="12"/>
          </reference>
          <reference field="45" count="1" selected="0">
            <x v="4"/>
          </reference>
        </references>
      </pivotArea>
    </format>
    <format dxfId="1203">
      <pivotArea outline="0" fieldPosition="0">
        <references count="3">
          <reference field="4294967294" count="3" selected="0">
            <x v="3"/>
            <x v="4"/>
            <x v="5"/>
          </reference>
          <reference field="0" count="1" selected="0">
            <x v="13"/>
          </reference>
          <reference field="45" count="1" selected="0">
            <x v="4"/>
          </reference>
        </references>
      </pivotArea>
    </format>
    <format dxfId="1202">
      <pivotArea outline="0" fieldPosition="0">
        <references count="3">
          <reference field="4294967294" count="3" selected="0">
            <x v="3"/>
            <x v="4"/>
            <x v="5"/>
          </reference>
          <reference field="0" count="1" selected="0">
            <x v="15"/>
          </reference>
          <reference field="45" count="1" selected="0">
            <x v="4"/>
          </reference>
        </references>
      </pivotArea>
    </format>
    <format dxfId="1201">
      <pivotArea outline="0" fieldPosition="0">
        <references count="3">
          <reference field="4294967294" count="3" selected="0">
            <x v="18"/>
            <x v="19"/>
            <x v="20"/>
          </reference>
          <reference field="0" count="1" selected="0">
            <x v="15"/>
          </reference>
          <reference field="45" count="1" selected="0">
            <x v="4"/>
          </reference>
        </references>
      </pivotArea>
    </format>
    <format dxfId="1200">
      <pivotArea type="all" dataOnly="0" outline="0" fieldPosition="0"/>
    </format>
    <format dxfId="1199">
      <pivotArea outline="0" fieldPosition="0">
        <references count="1">
          <reference field="45" count="1" selected="0" defaultSubtotal="1">
            <x v="0"/>
          </reference>
        </references>
      </pivotArea>
    </format>
    <format dxfId="1198">
      <pivotArea dataOnly="0" labelOnly="1" outline="0" fieldPosition="0">
        <references count="1">
          <reference field="45" count="1" defaultSubtotal="1">
            <x v="0"/>
          </reference>
        </references>
      </pivotArea>
    </format>
    <format dxfId="1197">
      <pivotArea outline="0" fieldPosition="0">
        <references count="1">
          <reference field="45" count="1" selected="0" defaultSubtotal="1">
            <x v="1"/>
          </reference>
        </references>
      </pivotArea>
    </format>
    <format dxfId="1196">
      <pivotArea dataOnly="0" labelOnly="1" outline="0" fieldPosition="0">
        <references count="1">
          <reference field="45" count="1" defaultSubtotal="1">
            <x v="1"/>
          </reference>
        </references>
      </pivotArea>
    </format>
    <format dxfId="1195">
      <pivotArea outline="0" fieldPosition="0">
        <references count="1">
          <reference field="45" count="1" selected="0">
            <x v="4"/>
          </reference>
        </references>
      </pivotArea>
    </format>
    <format dxfId="1194">
      <pivotArea type="topRight" dataOnly="0" labelOnly="1" outline="0" offset="R1" fieldPosition="0"/>
    </format>
    <format dxfId="1193">
      <pivotArea dataOnly="0" labelOnly="1" outline="0" fieldPosition="0">
        <references count="1">
          <reference field="45" count="1">
            <x v="4"/>
          </reference>
        </references>
      </pivotArea>
    </format>
    <format dxfId="1192">
      <pivotArea outline="0" fieldPosition="0">
        <references count="4">
          <reference field="4294967294" count="3" selected="0">
            <x v="6"/>
            <x v="7"/>
            <x v="8"/>
          </reference>
          <reference field="0" count="1" selected="0">
            <x v="7"/>
          </reference>
          <reference field="5" count="3" selected="0">
            <x v="7"/>
            <x v="8"/>
            <x v="9"/>
          </reference>
          <reference field="45" count="1" selected="0">
            <x v="1"/>
          </reference>
        </references>
      </pivotArea>
    </format>
    <format dxfId="1191">
      <pivotArea outline="0" fieldPosition="0">
        <references count="1">
          <reference field="45" count="1" selected="0" defaultSubtotal="1">
            <x v="0"/>
          </reference>
        </references>
      </pivotArea>
    </format>
    <format dxfId="1190">
      <pivotArea field="45" type="button" dataOnly="0" labelOnly="1" outline="0" axis="axisCol" fieldPosition="0"/>
    </format>
    <format dxfId="1189">
      <pivotArea field="5" type="button" dataOnly="0" labelOnly="1" outline="0" axis="axisCol" fieldPosition="1"/>
    </format>
    <format dxfId="1188">
      <pivotArea type="topRight" dataOnly="0" labelOnly="1" outline="0" fieldPosition="0"/>
    </format>
    <format dxfId="1187">
      <pivotArea dataOnly="0" labelOnly="1" outline="0" fieldPosition="0">
        <references count="1">
          <reference field="45" count="1">
            <x v="0"/>
          </reference>
        </references>
      </pivotArea>
    </format>
    <format dxfId="1186">
      <pivotArea dataOnly="0" labelOnly="1" outline="0" fieldPosition="0">
        <references count="1">
          <reference field="45" count="1" defaultSubtotal="1">
            <x v="0"/>
          </reference>
        </references>
      </pivotArea>
    </format>
    <format dxfId="1185">
      <pivotArea dataOnly="0" labelOnly="1" outline="0" fieldPosition="0">
        <references count="2">
          <reference field="5" count="6">
            <x v="0"/>
            <x v="1"/>
            <x v="2"/>
            <x v="3"/>
            <x v="4"/>
            <x v="5"/>
          </reference>
          <reference field="45" count="1" selected="0">
            <x v="0"/>
          </reference>
        </references>
      </pivotArea>
    </format>
    <format dxfId="1184">
      <pivotArea outline="0" fieldPosition="0">
        <references count="2">
          <reference field="5" count="1" selected="0">
            <x v="6"/>
          </reference>
          <reference field="45" count="1" selected="0">
            <x v="1"/>
          </reference>
        </references>
      </pivotArea>
    </format>
    <format dxfId="1183">
      <pivotArea type="topRight" dataOnly="0" labelOnly="1" outline="0" offset="F1" fieldPosition="0"/>
    </format>
    <format dxfId="1182">
      <pivotArea dataOnly="0" labelOnly="1" outline="0" offset="A256" fieldPosition="0">
        <references count="1">
          <reference field="45" count="1">
            <x v="1"/>
          </reference>
        </references>
      </pivotArea>
    </format>
    <format dxfId="1181">
      <pivotArea dataOnly="0" labelOnly="1" outline="0" fieldPosition="0">
        <references count="2">
          <reference field="5" count="1">
            <x v="6"/>
          </reference>
          <reference field="45" count="1" selected="0">
            <x v="1"/>
          </reference>
        </references>
      </pivotArea>
    </format>
    <format dxfId="1180">
      <pivotArea outline="0" fieldPosition="0">
        <references count="2">
          <reference field="5" count="1" selected="0">
            <x v="7"/>
          </reference>
          <reference field="45" count="1" selected="0">
            <x v="1"/>
          </reference>
        </references>
      </pivotArea>
    </format>
    <format dxfId="1179">
      <pivotArea type="topRight" dataOnly="0" labelOnly="1" outline="0" offset="G1" fieldPosition="0"/>
    </format>
    <format dxfId="1178">
      <pivotArea dataOnly="0" labelOnly="1" outline="0" offset="B256" fieldPosition="0">
        <references count="1">
          <reference field="45" count="1">
            <x v="1"/>
          </reference>
        </references>
      </pivotArea>
    </format>
    <format dxfId="1177">
      <pivotArea dataOnly="0" labelOnly="1" outline="0" fieldPosition="0">
        <references count="2">
          <reference field="5" count="1">
            <x v="7"/>
          </reference>
          <reference field="45" count="1" selected="0">
            <x v="1"/>
          </reference>
        </references>
      </pivotArea>
    </format>
    <format dxfId="1176">
      <pivotArea outline="0" fieldPosition="0">
        <references count="2">
          <reference field="5" count="1" selected="0">
            <x v="8"/>
          </reference>
          <reference field="45" count="1" selected="0">
            <x v="1"/>
          </reference>
        </references>
      </pivotArea>
    </format>
    <format dxfId="1175">
      <pivotArea type="topRight" dataOnly="0" labelOnly="1" outline="0" offset="H1" fieldPosition="0"/>
    </format>
    <format dxfId="1174">
      <pivotArea dataOnly="0" labelOnly="1" outline="0" offset="C256" fieldPosition="0">
        <references count="1">
          <reference field="45" count="1">
            <x v="1"/>
          </reference>
        </references>
      </pivotArea>
    </format>
    <format dxfId="1173">
      <pivotArea dataOnly="0" labelOnly="1" outline="0" fieldPosition="0">
        <references count="2">
          <reference field="5" count="1">
            <x v="8"/>
          </reference>
          <reference field="45" count="1" selected="0">
            <x v="1"/>
          </reference>
        </references>
      </pivotArea>
    </format>
    <format dxfId="1172">
      <pivotArea outline="0" fieldPosition="0">
        <references count="2">
          <reference field="5" count="1" selected="0">
            <x v="9"/>
          </reference>
          <reference field="45" count="1" selected="0">
            <x v="1"/>
          </reference>
        </references>
      </pivotArea>
    </format>
    <format dxfId="1171">
      <pivotArea type="topRight" dataOnly="0" labelOnly="1" outline="0" offset="I1" fieldPosition="0"/>
    </format>
    <format dxfId="1170">
      <pivotArea dataOnly="0" labelOnly="1" outline="0" offset="D256" fieldPosition="0">
        <references count="1">
          <reference field="45" count="1">
            <x v="1"/>
          </reference>
        </references>
      </pivotArea>
    </format>
    <format dxfId="1169">
      <pivotArea dataOnly="0" labelOnly="1" outline="0" fieldPosition="0">
        <references count="2">
          <reference field="5" count="1">
            <x v="9"/>
          </reference>
          <reference field="45" count="1" selected="0">
            <x v="1"/>
          </reference>
        </references>
      </pivotArea>
    </format>
    <format dxfId="1168">
      <pivotArea outline="0" fieldPosition="0">
        <references count="2">
          <reference field="5" count="1" selected="0">
            <x v="10"/>
          </reference>
          <reference field="45" count="1" selected="0">
            <x v="1"/>
          </reference>
        </references>
      </pivotArea>
    </format>
    <format dxfId="1167">
      <pivotArea type="topRight" dataOnly="0" labelOnly="1" outline="0" offset="J1" fieldPosition="0"/>
    </format>
    <format dxfId="1166">
      <pivotArea dataOnly="0" labelOnly="1" outline="0" offset="IV256" fieldPosition="0">
        <references count="1">
          <reference field="45" count="1">
            <x v="1"/>
          </reference>
        </references>
      </pivotArea>
    </format>
    <format dxfId="1165">
      <pivotArea dataOnly="0" labelOnly="1" outline="0" fieldPosition="0">
        <references count="2">
          <reference field="5" count="1">
            <x v="10"/>
          </reference>
          <reference field="45" count="1" selected="0">
            <x v="1"/>
          </reference>
        </references>
      </pivotArea>
    </format>
    <format dxfId="1164">
      <pivotArea outline="0" fieldPosition="0">
        <references count="1">
          <reference field="45" count="1" selected="0" defaultSubtotal="1">
            <x v="1"/>
          </reference>
        </references>
      </pivotArea>
    </format>
    <format dxfId="1163">
      <pivotArea type="topRight" dataOnly="0" labelOnly="1" outline="0" offset="K1" fieldPosition="0"/>
    </format>
    <format dxfId="1162">
      <pivotArea dataOnly="0" labelOnly="1" outline="0" fieldPosition="0">
        <references count="1">
          <reference field="45" count="1" defaultSubtotal="1">
            <x v="1"/>
          </reference>
        </references>
      </pivotArea>
    </format>
    <format dxfId="1161">
      <pivotArea outline="0" fieldPosition="0">
        <references count="4">
          <reference field="4294967294" count="1" selected="0">
            <x v="3"/>
          </reference>
          <reference field="0" count="1" selected="0">
            <x v="0"/>
          </reference>
          <reference field="5" count="1" selected="0">
            <x v="2"/>
          </reference>
          <reference field="45" count="1" selected="0">
            <x v="0"/>
          </reference>
        </references>
      </pivotArea>
    </format>
    <format dxfId="1160">
      <pivotArea outline="0" fieldPosition="0">
        <references count="4">
          <reference field="4294967294" count="1" selected="0">
            <x v="9"/>
          </reference>
          <reference field="0" count="1" selected="0">
            <x v="0"/>
          </reference>
          <reference field="5" count="1" selected="0">
            <x v="1"/>
          </reference>
          <reference field="45" count="1" selected="0">
            <x v="0"/>
          </reference>
        </references>
      </pivotArea>
    </format>
    <format dxfId="1159">
      <pivotArea outline="0" fieldPosition="0">
        <references count="4">
          <reference field="4294967294" count="1" selected="0">
            <x v="9"/>
          </reference>
          <reference field="0" count="1" selected="0">
            <x v="0"/>
          </reference>
          <reference field="5" count="1" selected="0">
            <x v="2"/>
          </reference>
          <reference field="45" count="1" selected="0">
            <x v="0"/>
          </reference>
        </references>
      </pivotArea>
    </format>
    <format dxfId="1158">
      <pivotArea outline="0" fieldPosition="0">
        <references count="4">
          <reference field="4294967294" count="1" selected="0">
            <x v="33"/>
          </reference>
          <reference field="0" count="1" selected="0">
            <x v="0"/>
          </reference>
          <reference field="5" count="1" selected="0">
            <x v="2"/>
          </reference>
          <reference field="45" count="1" selected="0">
            <x v="0"/>
          </reference>
        </references>
      </pivotArea>
    </format>
    <format dxfId="1157">
      <pivotArea outline="0" fieldPosition="0">
        <references count="4">
          <reference field="4294967294" count="1" selected="0">
            <x v="9"/>
          </reference>
          <reference field="0" count="1" selected="0">
            <x v="0"/>
          </reference>
          <reference field="5" count="1" selected="0">
            <x v="7"/>
          </reference>
          <reference field="45" count="1" selected="0">
            <x v="1"/>
          </reference>
        </references>
      </pivotArea>
    </format>
    <format dxfId="1156">
      <pivotArea outline="0" fieldPosition="0">
        <references count="4">
          <reference field="4294967294" count="1" selected="0">
            <x v="6"/>
          </reference>
          <reference field="0" count="1" selected="0">
            <x v="0"/>
          </reference>
          <reference field="5" count="1" selected="0">
            <x v="8"/>
          </reference>
          <reference field="45" count="1" selected="0">
            <x v="1"/>
          </reference>
        </references>
      </pivotArea>
    </format>
    <format dxfId="1155">
      <pivotArea outline="0" fieldPosition="0">
        <references count="4">
          <reference field="4294967294" count="1" selected="0">
            <x v="6"/>
          </reference>
          <reference field="0" count="1" selected="0">
            <x v="0"/>
          </reference>
          <reference field="5" count="1" selected="0">
            <x v="9"/>
          </reference>
          <reference field="45" count="1" selected="0">
            <x v="1"/>
          </reference>
        </references>
      </pivotArea>
    </format>
    <format dxfId="1154">
      <pivotArea dataOnly="0" labelOnly="1" outline="0" fieldPosition="0">
        <references count="2">
          <reference field="4294967294" count="1">
            <x v="5"/>
          </reference>
          <reference field="0" count="1" selected="0">
            <x v="0"/>
          </reference>
        </references>
      </pivotArea>
    </format>
    <format dxfId="1153">
      <pivotArea dataOnly="0" labelOnly="1" outline="0" fieldPosition="0">
        <references count="2">
          <reference field="4294967294" count="1">
            <x v="8"/>
          </reference>
          <reference field="0" count="1" selected="0">
            <x v="0"/>
          </reference>
        </references>
      </pivotArea>
    </format>
    <format dxfId="1152">
      <pivotArea dataOnly="0" labelOnly="1" outline="0" fieldPosition="0">
        <references count="2">
          <reference field="4294967294" count="1">
            <x v="11"/>
          </reference>
          <reference field="0" count="1" selected="0">
            <x v="0"/>
          </reference>
        </references>
      </pivotArea>
    </format>
    <format dxfId="1151">
      <pivotArea dataOnly="0" labelOnly="1" outline="0" fieldPosition="0">
        <references count="2">
          <reference field="4294967294" count="1">
            <x v="14"/>
          </reference>
          <reference field="0" count="1" selected="0">
            <x v="0"/>
          </reference>
        </references>
      </pivotArea>
    </format>
    <format dxfId="1150">
      <pivotArea dataOnly="0" labelOnly="1" outline="0" fieldPosition="0">
        <references count="2">
          <reference field="4294967294" count="1">
            <x v="17"/>
          </reference>
          <reference field="0" count="1" selected="0">
            <x v="0"/>
          </reference>
        </references>
      </pivotArea>
    </format>
    <format dxfId="1149">
      <pivotArea dataOnly="0" labelOnly="1" outline="0" fieldPosition="0">
        <references count="2">
          <reference field="4294967294" count="1">
            <x v="20"/>
          </reference>
          <reference field="0" count="1" selected="0">
            <x v="0"/>
          </reference>
        </references>
      </pivotArea>
    </format>
    <format dxfId="1148">
      <pivotArea dataOnly="0" labelOnly="1" outline="0" fieldPosition="0">
        <references count="2">
          <reference field="4294967294" count="1">
            <x v="23"/>
          </reference>
          <reference field="0" count="1" selected="0">
            <x v="0"/>
          </reference>
        </references>
      </pivotArea>
    </format>
    <format dxfId="1147">
      <pivotArea dataOnly="0" labelOnly="1" outline="0" fieldPosition="0">
        <references count="2">
          <reference field="4294967294" count="1">
            <x v="26"/>
          </reference>
          <reference field="0" count="1" selected="0">
            <x v="0"/>
          </reference>
        </references>
      </pivotArea>
    </format>
    <format dxfId="1146">
      <pivotArea dataOnly="0" labelOnly="1" outline="0" fieldPosition="0">
        <references count="2">
          <reference field="4294967294" count="1">
            <x v="29"/>
          </reference>
          <reference field="0" count="1" selected="0">
            <x v="0"/>
          </reference>
        </references>
      </pivotArea>
    </format>
    <format dxfId="1145">
      <pivotArea dataOnly="0" labelOnly="1" outline="0" fieldPosition="0">
        <references count="2">
          <reference field="4294967294" count="1">
            <x v="32"/>
          </reference>
          <reference field="0" count="1" selected="0">
            <x v="0"/>
          </reference>
        </references>
      </pivotArea>
    </format>
    <format dxfId="1144">
      <pivotArea dataOnly="0" labelOnly="1" outline="0" fieldPosition="0">
        <references count="2">
          <reference field="4294967294" count="1">
            <x v="35"/>
          </reference>
          <reference field="0" count="1" selected="0">
            <x v="0"/>
          </reference>
        </references>
      </pivotArea>
    </format>
    <format dxfId="1143">
      <pivotArea outline="0" fieldPosition="0">
        <references count="4">
          <reference field="4294967294" count="1" selected="0">
            <x v="9"/>
          </reference>
          <reference field="0" count="1" selected="0">
            <x v="1"/>
          </reference>
          <reference field="5" count="1" selected="0">
            <x v="1"/>
          </reference>
          <reference field="45" count="1" selected="0">
            <x v="0"/>
          </reference>
        </references>
      </pivotArea>
    </format>
    <format dxfId="1142">
      <pivotArea outline="0" fieldPosition="0">
        <references count="4">
          <reference field="4294967294" count="1" selected="0">
            <x v="33"/>
          </reference>
          <reference field="0" count="1" selected="0">
            <x v="1"/>
          </reference>
          <reference field="5" count="1" selected="0">
            <x v="2"/>
          </reference>
          <reference field="45" count="1" selected="0">
            <x v="0"/>
          </reference>
        </references>
      </pivotArea>
    </format>
    <format dxfId="1141">
      <pivotArea outline="0" fieldPosition="0">
        <references count="4">
          <reference field="4294967294" count="1" selected="0">
            <x v="12"/>
          </reference>
          <reference field="0" count="1" selected="0">
            <x v="1"/>
          </reference>
          <reference field="5" count="1" selected="0">
            <x v="0"/>
          </reference>
          <reference field="45" count="1" selected="0">
            <x v="0"/>
          </reference>
        </references>
      </pivotArea>
    </format>
    <format dxfId="1140">
      <pivotArea outline="0" fieldPosition="0">
        <references count="4">
          <reference field="4294967294" count="3" selected="0">
            <x v="3"/>
            <x v="4"/>
            <x v="5"/>
          </reference>
          <reference field="0" count="1" selected="0">
            <x v="2"/>
          </reference>
          <reference field="5" count="2" selected="0">
            <x v="2"/>
            <x v="3"/>
          </reference>
          <reference field="45" count="1" selected="0">
            <x v="0"/>
          </reference>
        </references>
      </pivotArea>
    </format>
    <format dxfId="1139">
      <pivotArea outline="0" fieldPosition="0">
        <references count="4">
          <reference field="4294967294" count="3" selected="0">
            <x v="9"/>
            <x v="10"/>
            <x v="11"/>
          </reference>
          <reference field="0" count="1" selected="0">
            <x v="2"/>
          </reference>
          <reference field="5" count="2" selected="0">
            <x v="1"/>
            <x v="2"/>
          </reference>
          <reference field="45" count="1" selected="0">
            <x v="0"/>
          </reference>
        </references>
      </pivotArea>
    </format>
    <format dxfId="1138">
      <pivotArea outline="0" fieldPosition="0">
        <references count="4">
          <reference field="4294967294" count="3" selected="0">
            <x v="9"/>
            <x v="10"/>
            <x v="11"/>
          </reference>
          <reference field="0" count="1" selected="0">
            <x v="2"/>
          </reference>
          <reference field="5" count="1" selected="0">
            <x v="0"/>
          </reference>
          <reference field="45" count="1" selected="0">
            <x v="0"/>
          </reference>
        </references>
      </pivotArea>
    </format>
    <format dxfId="1137">
      <pivotArea outline="0" fieldPosition="0">
        <references count="4">
          <reference field="4294967294" count="3" selected="0">
            <x v="12"/>
            <x v="13"/>
            <x v="14"/>
          </reference>
          <reference field="0" count="1" selected="0">
            <x v="2"/>
          </reference>
          <reference field="5" count="1" selected="0">
            <x v="0"/>
          </reference>
          <reference field="45" count="1" selected="0">
            <x v="0"/>
          </reference>
        </references>
      </pivotArea>
    </format>
    <format dxfId="1136">
      <pivotArea outline="0" fieldPosition="0">
        <references count="4">
          <reference field="4294967294" count="1" selected="0">
            <x v="33"/>
          </reference>
          <reference field="0" count="1" selected="0">
            <x v="2"/>
          </reference>
          <reference field="5" count="1" selected="0">
            <x v="2"/>
          </reference>
          <reference field="45" count="1" selected="0">
            <x v="0"/>
          </reference>
        </references>
      </pivotArea>
    </format>
    <format dxfId="1135">
      <pivotArea outline="0" fieldPosition="0">
        <references count="4">
          <reference field="4294967294" count="3" selected="0">
            <x v="3"/>
            <x v="4"/>
            <x v="5"/>
          </reference>
          <reference field="0" count="1" selected="0">
            <x v="3"/>
          </reference>
          <reference field="5" count="2" selected="0">
            <x v="2"/>
            <x v="3"/>
          </reference>
          <reference field="45" count="1" selected="0">
            <x v="0"/>
          </reference>
        </references>
      </pivotArea>
    </format>
    <format dxfId="1134">
      <pivotArea outline="0" fieldPosition="0">
        <references count="4">
          <reference field="4294967294" count="3" selected="0">
            <x v="3"/>
            <x v="4"/>
            <x v="5"/>
          </reference>
          <reference field="0" count="1" selected="0">
            <x v="3"/>
          </reference>
          <reference field="5" count="1" selected="0">
            <x v="1"/>
          </reference>
          <reference field="45" count="1" selected="0">
            <x v="0"/>
          </reference>
        </references>
      </pivotArea>
    </format>
    <format dxfId="1133">
      <pivotArea outline="0" fieldPosition="0">
        <references count="4">
          <reference field="4294967294" count="3" selected="0">
            <x v="9"/>
            <x v="10"/>
            <x v="11"/>
          </reference>
          <reference field="0" count="1" selected="0">
            <x v="3"/>
          </reference>
          <reference field="5" count="3" selected="0">
            <x v="0"/>
            <x v="1"/>
            <x v="2"/>
          </reference>
          <reference field="45" count="1" selected="0">
            <x v="0"/>
          </reference>
        </references>
      </pivotArea>
    </format>
    <format dxfId="1132">
      <pivotArea outline="0" fieldPosition="0">
        <references count="4">
          <reference field="4294967294" count="1" selected="0">
            <x v="12"/>
          </reference>
          <reference field="0" count="1" selected="0">
            <x v="3"/>
          </reference>
          <reference field="5" count="1" selected="0">
            <x v="0"/>
          </reference>
          <reference field="45" count="1" selected="0">
            <x v="0"/>
          </reference>
        </references>
      </pivotArea>
    </format>
    <format dxfId="1131">
      <pivotArea outline="0" fieldPosition="0">
        <references count="4">
          <reference field="4294967294" count="1" selected="0">
            <x v="33"/>
          </reference>
          <reference field="0" count="1" selected="0">
            <x v="3"/>
          </reference>
          <reference field="5" count="1" selected="0">
            <x v="2"/>
          </reference>
          <reference field="45" count="1" selected="0">
            <x v="0"/>
          </reference>
        </references>
      </pivotArea>
    </format>
    <format dxfId="1130">
      <pivotArea outline="0" fieldPosition="0">
        <references count="4">
          <reference field="4294967294" count="3" selected="0">
            <x v="3"/>
            <x v="4"/>
            <x v="5"/>
          </reference>
          <reference field="0" count="1" selected="0">
            <x v="4"/>
          </reference>
          <reference field="5" count="2" selected="0">
            <x v="2"/>
            <x v="3"/>
          </reference>
          <reference field="45" count="1" selected="0">
            <x v="0"/>
          </reference>
        </references>
      </pivotArea>
    </format>
    <format dxfId="1129">
      <pivotArea outline="0" fieldPosition="0">
        <references count="4">
          <reference field="4294967294" count="1" selected="0">
            <x v="9"/>
          </reference>
          <reference field="0" count="1" selected="0">
            <x v="4"/>
          </reference>
          <reference field="5" count="1" selected="0">
            <x v="0"/>
          </reference>
          <reference field="45" count="1" selected="0">
            <x v="0"/>
          </reference>
        </references>
      </pivotArea>
    </format>
    <format dxfId="1128">
      <pivotArea outline="0" fieldPosition="0">
        <references count="4">
          <reference field="4294967294" count="1" selected="0">
            <x v="12"/>
          </reference>
          <reference field="0" count="1" selected="0">
            <x v="4"/>
          </reference>
          <reference field="5" count="1" selected="0">
            <x v="0"/>
          </reference>
          <reference field="45" count="1" selected="0">
            <x v="0"/>
          </reference>
        </references>
      </pivotArea>
    </format>
    <format dxfId="1127">
      <pivotArea outline="0" fieldPosition="0">
        <references count="4">
          <reference field="4294967294" count="1" selected="0">
            <x v="33"/>
          </reference>
          <reference field="0" count="1" selected="0">
            <x v="4"/>
          </reference>
          <reference field="5" count="1" selected="0">
            <x v="2"/>
          </reference>
          <reference field="45" count="1" selected="0">
            <x v="0"/>
          </reference>
        </references>
      </pivotArea>
    </format>
    <format dxfId="1126">
      <pivotArea outline="0" fieldPosition="0">
        <references count="4">
          <reference field="4294967294" count="1" selected="0">
            <x v="3"/>
          </reference>
          <reference field="0" count="1" selected="0">
            <x v="5"/>
          </reference>
          <reference field="5" count="1" selected="0">
            <x v="3"/>
          </reference>
          <reference field="45" count="1" selected="0">
            <x v="0"/>
          </reference>
        </references>
      </pivotArea>
    </format>
    <format dxfId="1125">
      <pivotArea outline="0" fieldPosition="0">
        <references count="4">
          <reference field="4294967294" count="3" selected="0">
            <x v="9"/>
            <x v="10"/>
            <x v="11"/>
          </reference>
          <reference field="0" count="1" selected="0">
            <x v="5"/>
          </reference>
          <reference field="5" count="3" selected="0">
            <x v="0"/>
            <x v="1"/>
            <x v="2"/>
          </reference>
          <reference field="45" count="1" selected="0">
            <x v="0"/>
          </reference>
        </references>
      </pivotArea>
    </format>
    <format dxfId="1124">
      <pivotArea outline="0" fieldPosition="0">
        <references count="4">
          <reference field="4294967294" count="1" selected="0">
            <x v="12"/>
          </reference>
          <reference field="0" count="1" selected="0">
            <x v="5"/>
          </reference>
          <reference field="5" count="1" selected="0">
            <x v="0"/>
          </reference>
          <reference field="45" count="1" selected="0">
            <x v="0"/>
          </reference>
        </references>
      </pivotArea>
    </format>
    <format dxfId="1123">
      <pivotArea outline="0" fieldPosition="0">
        <references count="4">
          <reference field="4294967294" count="3" selected="0">
            <x v="9"/>
            <x v="10"/>
            <x v="11"/>
          </reference>
          <reference field="0" count="1" selected="0">
            <x v="5"/>
          </reference>
          <reference field="5" count="1" selected="0">
            <x v="2"/>
          </reference>
          <reference field="45" count="1" selected="0">
            <x v="0"/>
          </reference>
        </references>
      </pivotArea>
    </format>
    <format dxfId="1122">
      <pivotArea outline="0" fieldPosition="0">
        <references count="4">
          <reference field="4294967294" count="1" selected="0">
            <x v="33"/>
          </reference>
          <reference field="0" count="1" selected="0">
            <x v="5"/>
          </reference>
          <reference field="5" count="1" selected="0">
            <x v="2"/>
          </reference>
          <reference field="45" count="1" selected="0">
            <x v="0"/>
          </reference>
        </references>
      </pivotArea>
    </format>
    <format dxfId="1121">
      <pivotArea outline="0" fieldPosition="0">
        <references count="4">
          <reference field="4294967294" count="1" selected="0">
            <x v="3"/>
          </reference>
          <reference field="0" count="1" selected="0">
            <x v="6"/>
          </reference>
          <reference field="5" count="1" selected="0">
            <x v="3"/>
          </reference>
          <reference field="45" count="1" selected="0">
            <x v="0"/>
          </reference>
        </references>
      </pivotArea>
    </format>
    <format dxfId="1120">
      <pivotArea outline="0" fieldPosition="0">
        <references count="4">
          <reference field="4294967294" count="3" selected="0">
            <x v="3"/>
            <x v="4"/>
            <x v="5"/>
          </reference>
          <reference field="0" count="1" selected="0">
            <x v="6"/>
          </reference>
          <reference field="5" count="1" selected="0">
            <x v="2"/>
          </reference>
          <reference field="45" count="1" selected="0">
            <x v="0"/>
          </reference>
        </references>
      </pivotArea>
    </format>
    <format dxfId="1119">
      <pivotArea outline="0" fieldPosition="0">
        <references count="4">
          <reference field="4294967294" count="3" selected="0">
            <x v="9"/>
            <x v="10"/>
            <x v="11"/>
          </reference>
          <reference field="0" count="1" selected="0">
            <x v="6"/>
          </reference>
          <reference field="5" count="2" selected="0">
            <x v="1"/>
            <x v="2"/>
          </reference>
          <reference field="45" count="1" selected="0">
            <x v="0"/>
          </reference>
        </references>
      </pivotArea>
    </format>
    <format dxfId="1118">
      <pivotArea outline="0" fieldPosition="0">
        <references count="4">
          <reference field="4294967294" count="1" selected="0">
            <x v="12"/>
          </reference>
          <reference field="0" count="1" selected="0">
            <x v="6"/>
          </reference>
          <reference field="5" count="1" selected="0">
            <x v="0"/>
          </reference>
          <reference field="45" count="1" selected="0">
            <x v="0"/>
          </reference>
        </references>
      </pivotArea>
    </format>
    <format dxfId="1117">
      <pivotArea outline="0" fieldPosition="0">
        <references count="4">
          <reference field="4294967294" count="1" selected="0">
            <x v="33"/>
          </reference>
          <reference field="0" count="1" selected="0">
            <x v="6"/>
          </reference>
          <reference field="5" count="1" selected="0">
            <x v="2"/>
          </reference>
          <reference field="45" count="1" selected="0">
            <x v="0"/>
          </reference>
        </references>
      </pivotArea>
    </format>
    <format dxfId="1116">
      <pivotArea outline="0" fieldPosition="0">
        <references count="4">
          <reference field="4294967294" count="3" selected="0">
            <x v="3"/>
            <x v="4"/>
            <x v="5"/>
          </reference>
          <reference field="0" count="1" selected="0">
            <x v="7"/>
          </reference>
          <reference field="5" count="2" selected="0">
            <x v="2"/>
            <x v="3"/>
          </reference>
          <reference field="45" count="1" selected="0">
            <x v="0"/>
          </reference>
        </references>
      </pivotArea>
    </format>
    <format dxfId="1115">
      <pivotArea outline="0" fieldPosition="0">
        <references count="4">
          <reference field="4294967294" count="3" selected="0">
            <x v="9"/>
            <x v="10"/>
            <x v="11"/>
          </reference>
          <reference field="0" count="1" selected="0">
            <x v="7"/>
          </reference>
          <reference field="5" count="4" selected="0">
            <x v="0"/>
            <x v="1"/>
            <x v="2"/>
            <x v="3"/>
          </reference>
          <reference field="45" count="1" selected="0">
            <x v="0"/>
          </reference>
        </references>
      </pivotArea>
    </format>
    <format dxfId="1114">
      <pivotArea outline="0" fieldPosition="0">
        <references count="4">
          <reference field="4294967294" count="1" selected="0">
            <x v="12"/>
          </reference>
          <reference field="0" count="1" selected="0">
            <x v="7"/>
          </reference>
          <reference field="5" count="1" selected="0">
            <x v="0"/>
          </reference>
          <reference field="45" count="1" selected="0">
            <x v="0"/>
          </reference>
        </references>
      </pivotArea>
    </format>
    <format dxfId="1113">
      <pivotArea outline="0" fieldPosition="0">
        <references count="4">
          <reference field="4294967294" count="1" selected="0">
            <x v="33"/>
          </reference>
          <reference field="0" count="1" selected="0">
            <x v="7"/>
          </reference>
          <reference field="5" count="1" selected="0">
            <x v="2"/>
          </reference>
          <reference field="45" count="1" selected="0">
            <x v="0"/>
          </reference>
        </references>
      </pivotArea>
    </format>
    <format dxfId="1112">
      <pivotArea outline="0" fieldPosition="0">
        <references count="4">
          <reference field="4294967294" count="3" selected="0">
            <x v="3"/>
            <x v="4"/>
            <x v="5"/>
          </reference>
          <reference field="0" count="1" selected="0">
            <x v="8"/>
          </reference>
          <reference field="5" count="1" selected="0">
            <x v="3"/>
          </reference>
          <reference field="45" count="1" selected="0">
            <x v="0"/>
          </reference>
        </references>
      </pivotArea>
    </format>
    <format dxfId="1111">
      <pivotArea outline="0" fieldPosition="0">
        <references count="4">
          <reference field="4294967294" count="1" selected="0">
            <x v="3"/>
          </reference>
          <reference field="0" count="1" selected="0">
            <x v="8"/>
          </reference>
          <reference field="5" count="1" selected="0">
            <x v="2"/>
          </reference>
          <reference field="45" count="1" selected="0">
            <x v="0"/>
          </reference>
        </references>
      </pivotArea>
    </format>
    <format dxfId="1110">
      <pivotArea outline="0" fieldPosition="0">
        <references count="4">
          <reference field="4294967294" count="6" selected="0">
            <x v="9"/>
            <x v="10"/>
            <x v="11"/>
            <x v="12"/>
            <x v="13"/>
            <x v="14"/>
          </reference>
          <reference field="0" count="1" selected="0">
            <x v="8"/>
          </reference>
          <reference field="5" count="3" selected="0">
            <x v="0"/>
            <x v="1"/>
            <x v="2"/>
          </reference>
          <reference field="45" count="1" selected="0">
            <x v="0"/>
          </reference>
        </references>
      </pivotArea>
    </format>
    <format dxfId="1109">
      <pivotArea outline="0" fieldPosition="0">
        <references count="4">
          <reference field="4294967294" count="1" selected="0">
            <x v="33"/>
          </reference>
          <reference field="0" count="1" selected="0">
            <x v="8"/>
          </reference>
          <reference field="5" count="1" selected="0">
            <x v="2"/>
          </reference>
          <reference field="45" count="1" selected="0">
            <x v="0"/>
          </reference>
        </references>
      </pivotArea>
    </format>
    <format dxfId="1108">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1107">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1106">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1105">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1104">
      <pivotArea outline="0" fieldPosition="0">
        <references count="4">
          <reference field="4294967294" count="3" selected="0">
            <x v="3"/>
            <x v="4"/>
            <x v="5"/>
          </reference>
          <reference field="0" count="1" selected="0">
            <x v="10"/>
          </reference>
          <reference field="5" count="2" selected="0">
            <x v="2"/>
            <x v="3"/>
          </reference>
          <reference field="45" count="1" selected="0">
            <x v="0"/>
          </reference>
        </references>
      </pivotArea>
    </format>
    <format dxfId="1103">
      <pivotArea outline="0" fieldPosition="0">
        <references count="4">
          <reference field="4294967294" count="3" selected="0">
            <x v="9"/>
            <x v="10"/>
            <x v="11"/>
          </reference>
          <reference field="0" count="1" selected="0">
            <x v="10"/>
          </reference>
          <reference field="5" count="3" selected="0">
            <x v="0"/>
            <x v="1"/>
            <x v="2"/>
          </reference>
          <reference field="45" count="1" selected="0">
            <x v="0"/>
          </reference>
        </references>
      </pivotArea>
    </format>
    <format dxfId="1102">
      <pivotArea outline="0" fieldPosition="0">
        <references count="4">
          <reference field="4294967294" count="1" selected="0">
            <x v="12"/>
          </reference>
          <reference field="0" count="1" selected="0">
            <x v="10"/>
          </reference>
          <reference field="5" count="1" selected="0">
            <x v="0"/>
          </reference>
          <reference field="45" count="1" selected="0">
            <x v="0"/>
          </reference>
        </references>
      </pivotArea>
    </format>
    <format dxfId="1101">
      <pivotArea outline="0" fieldPosition="0">
        <references count="4">
          <reference field="4294967294" count="1" selected="0">
            <x v="33"/>
          </reference>
          <reference field="0" count="1" selected="0">
            <x v="10"/>
          </reference>
          <reference field="5" count="1" selected="0">
            <x v="2"/>
          </reference>
          <reference field="45" count="1" selected="0">
            <x v="0"/>
          </reference>
        </references>
      </pivotArea>
    </format>
    <format dxfId="1100">
      <pivotArea outline="0" fieldPosition="0">
        <references count="4">
          <reference field="4294967294" count="1" selected="0">
            <x v="3"/>
          </reference>
          <reference field="0" count="1" selected="0">
            <x v="11"/>
          </reference>
          <reference field="5" count="1" selected="0">
            <x v="2"/>
          </reference>
          <reference field="45" count="1" selected="0">
            <x v="0"/>
          </reference>
        </references>
      </pivotArea>
    </format>
    <format dxfId="1099">
      <pivotArea outline="0" fieldPosition="0">
        <references count="4">
          <reference field="4294967294" count="3" selected="0">
            <x v="9"/>
            <x v="10"/>
            <x v="11"/>
          </reference>
          <reference field="0" count="1" selected="0">
            <x v="11"/>
          </reference>
          <reference field="5" count="3" selected="0">
            <x v="0"/>
            <x v="1"/>
            <x v="2"/>
          </reference>
          <reference field="45" count="1" selected="0">
            <x v="0"/>
          </reference>
        </references>
      </pivotArea>
    </format>
    <format dxfId="1098">
      <pivotArea outline="0" fieldPosition="0">
        <references count="4">
          <reference field="4294967294" count="1" selected="0">
            <x v="33"/>
          </reference>
          <reference field="0" count="1" selected="0">
            <x v="11"/>
          </reference>
          <reference field="5" count="1" selected="0">
            <x v="2"/>
          </reference>
          <reference field="45" count="1" selected="0">
            <x v="0"/>
          </reference>
        </references>
      </pivotArea>
    </format>
    <format dxfId="1097">
      <pivotArea outline="0" fieldPosition="0">
        <references count="4">
          <reference field="4294967294" count="3" selected="0">
            <x v="3"/>
            <x v="4"/>
            <x v="5"/>
          </reference>
          <reference field="0" count="1" selected="0">
            <x v="12"/>
          </reference>
          <reference field="5" count="2" selected="0">
            <x v="2"/>
            <x v="3"/>
          </reference>
          <reference field="45" count="1" selected="0">
            <x v="0"/>
          </reference>
        </references>
      </pivotArea>
    </format>
    <format dxfId="1096">
      <pivotArea outline="0" fieldPosition="0">
        <references count="4">
          <reference field="4294967294" count="1" selected="0">
            <x v="9"/>
          </reference>
          <reference field="0" count="1" selected="0">
            <x v="12"/>
          </reference>
          <reference field="5" count="1" selected="0">
            <x v="1"/>
          </reference>
          <reference field="45" count="1" selected="0">
            <x v="0"/>
          </reference>
        </references>
      </pivotArea>
    </format>
    <format dxfId="1095">
      <pivotArea outline="0" fieldPosition="0">
        <references count="4">
          <reference field="4294967294" count="1" selected="0">
            <x v="9"/>
          </reference>
          <reference field="0" count="1" selected="0">
            <x v="12"/>
          </reference>
          <reference field="5" count="1" selected="0">
            <x v="0"/>
          </reference>
          <reference field="45" count="1" selected="0">
            <x v="0"/>
          </reference>
        </references>
      </pivotArea>
    </format>
    <format dxfId="1094">
      <pivotArea outline="0" fieldPosition="0">
        <references count="4">
          <reference field="4294967294" count="3" selected="0">
            <x v="9"/>
            <x v="10"/>
            <x v="11"/>
          </reference>
          <reference field="0" count="1" selected="0">
            <x v="12"/>
          </reference>
          <reference field="5" count="1" selected="0">
            <x v="1"/>
          </reference>
          <reference field="45" count="1" selected="0">
            <x v="0"/>
          </reference>
        </references>
      </pivotArea>
    </format>
    <format dxfId="1093">
      <pivotArea outline="0" fieldPosition="0">
        <references count="4">
          <reference field="4294967294" count="3" selected="0">
            <x v="0"/>
            <x v="1"/>
            <x v="2"/>
          </reference>
          <reference field="0" count="1" selected="0">
            <x v="13"/>
          </reference>
          <reference field="5" count="1" selected="0">
            <x v="4"/>
          </reference>
          <reference field="45" count="1" selected="0">
            <x v="0"/>
          </reference>
        </references>
      </pivotArea>
    </format>
    <format dxfId="1092">
      <pivotArea outline="0" fieldPosition="0">
        <references count="4">
          <reference field="4294967294" count="4" selected="0">
            <x v="3"/>
            <x v="4"/>
            <x v="5"/>
            <x v="6"/>
          </reference>
          <reference field="0" count="1" selected="0">
            <x v="13"/>
          </reference>
          <reference field="5" count="3" selected="0">
            <x v="2"/>
            <x v="3"/>
            <x v="4"/>
          </reference>
          <reference field="45" count="1" selected="0">
            <x v="0"/>
          </reference>
        </references>
      </pivotArea>
    </format>
    <format dxfId="1091">
      <pivotArea outline="0" fieldPosition="0">
        <references count="3">
          <reference field="4294967294" count="3" selected="0">
            <x v="9"/>
            <x v="10"/>
            <x v="11"/>
          </reference>
          <reference field="0" count="1" selected="0">
            <x v="13"/>
          </reference>
          <reference field="45" count="1" selected="0">
            <x v="0"/>
          </reference>
        </references>
      </pivotArea>
    </format>
    <format dxfId="1090">
      <pivotArea outline="0" fieldPosition="0">
        <references count="4">
          <reference field="4294967294" count="1" selected="0">
            <x v="3"/>
          </reference>
          <reference field="0" count="1" selected="0">
            <x v="14"/>
          </reference>
          <reference field="5" count="1" selected="0">
            <x v="2"/>
          </reference>
          <reference field="45" count="1" selected="0">
            <x v="0"/>
          </reference>
        </references>
      </pivotArea>
    </format>
    <format dxfId="1089">
      <pivotArea outline="0" fieldPosition="0">
        <references count="4">
          <reference field="4294967294" count="3" selected="0">
            <x v="9"/>
            <x v="10"/>
            <x v="11"/>
          </reference>
          <reference field="0" count="1" selected="0">
            <x v="14"/>
          </reference>
          <reference field="5" count="2" selected="0">
            <x v="0"/>
            <x v="1"/>
          </reference>
          <reference field="45" count="1" selected="0">
            <x v="0"/>
          </reference>
        </references>
      </pivotArea>
    </format>
    <format dxfId="1088">
      <pivotArea outline="0" fieldPosition="0">
        <references count="4">
          <reference field="4294967294" count="1" selected="0">
            <x v="12"/>
          </reference>
          <reference field="0" count="1" selected="0">
            <x v="14"/>
          </reference>
          <reference field="5" count="1" selected="0">
            <x v="0"/>
          </reference>
          <reference field="45" count="1" selected="0">
            <x v="0"/>
          </reference>
        </references>
      </pivotArea>
    </format>
    <format dxfId="1087">
      <pivotArea outline="0" fieldPosition="0">
        <references count="4">
          <reference field="4294967294" count="1" selected="0">
            <x v="33"/>
          </reference>
          <reference field="0" count="1" selected="0">
            <x v="14"/>
          </reference>
          <reference field="5" count="1" selected="0">
            <x v="2"/>
          </reference>
          <reference field="45" count="1" selected="0">
            <x v="0"/>
          </reference>
        </references>
      </pivotArea>
    </format>
    <format dxfId="1086">
      <pivotArea outline="0" fieldPosition="0">
        <references count="4">
          <reference field="4294967294" count="3" selected="0">
            <x v="0"/>
            <x v="1"/>
            <x v="2"/>
          </reference>
          <reference field="0" count="1" selected="0">
            <x v="15"/>
          </reference>
          <reference field="5" count="1" selected="0">
            <x v="0"/>
          </reference>
          <reference field="45" count="1" selected="0">
            <x v="0"/>
          </reference>
        </references>
      </pivotArea>
    </format>
    <format dxfId="1085">
      <pivotArea outline="0" fieldPosition="0">
        <references count="4">
          <reference field="4294967294" count="1" selected="0">
            <x v="3"/>
          </reference>
          <reference field="0" count="1" selected="0">
            <x v="15"/>
          </reference>
          <reference field="5" count="1" selected="0">
            <x v="3"/>
          </reference>
          <reference field="45" count="1" selected="0">
            <x v="0"/>
          </reference>
        </references>
      </pivotArea>
    </format>
    <format dxfId="1084">
      <pivotArea outline="0" fieldPosition="0">
        <references count="4">
          <reference field="4294967294" count="5" selected="0">
            <x v="9"/>
            <x v="10"/>
            <x v="11"/>
            <x v="12"/>
            <x v="13"/>
          </reference>
          <reference field="0" count="1" selected="0">
            <x v="15"/>
          </reference>
          <reference field="5" count="4" selected="0">
            <x v="0"/>
            <x v="1"/>
            <x v="2"/>
            <x v="3"/>
          </reference>
          <reference field="45" count="1" selected="0">
            <x v="0"/>
          </reference>
        </references>
      </pivotArea>
    </format>
    <format dxfId="1083">
      <pivotArea outline="0" fieldPosition="0">
        <references count="4">
          <reference field="4294967294" count="3" selected="0">
            <x v="9"/>
            <x v="10"/>
            <x v="11"/>
          </reference>
          <reference field="0" count="1" selected="0">
            <x v="15"/>
          </reference>
          <reference field="5" count="1" selected="0">
            <x v="5"/>
          </reference>
          <reference field="45" count="1" selected="0">
            <x v="0"/>
          </reference>
        </references>
      </pivotArea>
    </format>
    <format dxfId="1082">
      <pivotArea outline="0" fieldPosition="0">
        <references count="4">
          <reference field="4294967294" count="3" selected="0">
            <x v="33"/>
            <x v="34"/>
            <x v="35"/>
          </reference>
          <reference field="0" count="1" selected="0">
            <x v="15"/>
          </reference>
          <reference field="5" count="1" selected="0">
            <x v="0"/>
          </reference>
          <reference field="45" count="1" selected="0">
            <x v="0"/>
          </reference>
        </references>
      </pivotArea>
    </format>
    <format dxfId="1081">
      <pivotArea outline="0" fieldPosition="0">
        <references count="4">
          <reference field="4294967294" count="1" selected="0">
            <x v="5"/>
          </reference>
          <reference field="0" count="1" selected="0">
            <x v="0"/>
          </reference>
          <reference field="5" count="1" selected="0">
            <x v="6"/>
          </reference>
          <reference field="45" count="1" selected="0">
            <x v="1"/>
          </reference>
        </references>
      </pivotArea>
    </format>
    <format dxfId="1080">
      <pivotArea outline="0" fieldPosition="0">
        <references count="4">
          <reference field="4294967294" count="1" selected="0">
            <x v="8"/>
          </reference>
          <reference field="0" count="1" selected="0">
            <x v="0"/>
          </reference>
          <reference field="5" count="1" selected="0">
            <x v="6"/>
          </reference>
          <reference field="45" count="1" selected="0">
            <x v="1"/>
          </reference>
        </references>
      </pivotArea>
    </format>
    <format dxfId="1079">
      <pivotArea outline="0" fieldPosition="0">
        <references count="4">
          <reference field="4294967294" count="1" selected="0">
            <x v="11"/>
          </reference>
          <reference field="0" count="1" selected="0">
            <x v="0"/>
          </reference>
          <reference field="5" count="1" selected="0">
            <x v="6"/>
          </reference>
          <reference field="45" count="1" selected="0">
            <x v="1"/>
          </reference>
        </references>
      </pivotArea>
    </format>
    <format dxfId="1078">
      <pivotArea outline="0" fieldPosition="0">
        <references count="4">
          <reference field="4294967294" count="1" selected="0">
            <x v="14"/>
          </reference>
          <reference field="0" count="1" selected="0">
            <x v="0"/>
          </reference>
          <reference field="5" count="1" selected="0">
            <x v="6"/>
          </reference>
          <reference field="45" count="1" selected="0">
            <x v="1"/>
          </reference>
        </references>
      </pivotArea>
    </format>
    <format dxfId="1077">
      <pivotArea outline="0" fieldPosition="0">
        <references count="4">
          <reference field="4294967294" count="1" selected="0">
            <x v="17"/>
          </reference>
          <reference field="0" count="1" selected="0">
            <x v="0"/>
          </reference>
          <reference field="5" count="1" selected="0">
            <x v="6"/>
          </reference>
          <reference field="45" count="1" selected="0">
            <x v="1"/>
          </reference>
        </references>
      </pivotArea>
    </format>
    <format dxfId="1076">
      <pivotArea outline="0" fieldPosition="0">
        <references count="4">
          <reference field="4294967294" count="1" selected="0">
            <x v="20"/>
          </reference>
          <reference field="0" count="1" selected="0">
            <x v="0"/>
          </reference>
          <reference field="5" count="1" selected="0">
            <x v="6"/>
          </reference>
          <reference field="45" count="1" selected="0">
            <x v="1"/>
          </reference>
        </references>
      </pivotArea>
    </format>
    <format dxfId="1075">
      <pivotArea outline="0" fieldPosition="0">
        <references count="4">
          <reference field="4294967294" count="1" selected="0">
            <x v="23"/>
          </reference>
          <reference field="0" count="1" selected="0">
            <x v="0"/>
          </reference>
          <reference field="5" count="1" selected="0">
            <x v="6"/>
          </reference>
          <reference field="45" count="1" selected="0">
            <x v="1"/>
          </reference>
        </references>
      </pivotArea>
    </format>
    <format dxfId="1074">
      <pivotArea outline="0" fieldPosition="0">
        <references count="4">
          <reference field="4294967294" count="1" selected="0">
            <x v="26"/>
          </reference>
          <reference field="0" count="1" selected="0">
            <x v="0"/>
          </reference>
          <reference field="5" count="1" selected="0">
            <x v="6"/>
          </reference>
          <reference field="45" count="1" selected="0">
            <x v="1"/>
          </reference>
        </references>
      </pivotArea>
    </format>
    <format dxfId="1073">
      <pivotArea outline="0" fieldPosition="0">
        <references count="4">
          <reference field="4294967294" count="1" selected="0">
            <x v="29"/>
          </reference>
          <reference field="0" count="1" selected="0">
            <x v="0"/>
          </reference>
          <reference field="5" count="1" selected="0">
            <x v="6"/>
          </reference>
          <reference field="45" count="1" selected="0">
            <x v="1"/>
          </reference>
        </references>
      </pivotArea>
    </format>
    <format dxfId="1072">
      <pivotArea outline="0" fieldPosition="0">
        <references count="4">
          <reference field="4294967294" count="1" selected="0">
            <x v="32"/>
          </reference>
          <reference field="0" count="1" selected="0">
            <x v="0"/>
          </reference>
          <reference field="5" count="1" selected="0">
            <x v="6"/>
          </reference>
          <reference field="45" count="1" selected="0">
            <x v="1"/>
          </reference>
        </references>
      </pivotArea>
    </format>
    <format dxfId="1071">
      <pivotArea outline="0" fieldPosition="0">
        <references count="4">
          <reference field="4294967294" count="1" selected="0">
            <x v="35"/>
          </reference>
          <reference field="0" count="1" selected="0">
            <x v="0"/>
          </reference>
          <reference field="5" count="1" selected="0">
            <x v="6"/>
          </reference>
          <reference field="45" count="1" selected="0">
            <x v="1"/>
          </reference>
        </references>
      </pivotArea>
    </format>
    <format dxfId="1070">
      <pivotArea outline="0" fieldPosition="0">
        <references count="3">
          <reference field="0" count="1" selected="0">
            <x v="0"/>
          </reference>
          <reference field="5" count="3" selected="0">
            <x v="7"/>
            <x v="8"/>
            <x v="9"/>
          </reference>
          <reference field="45" count="1" selected="0">
            <x v="1"/>
          </reference>
        </references>
      </pivotArea>
    </format>
    <format dxfId="1069">
      <pivotArea outline="0" fieldPosition="0">
        <references count="4">
          <reference field="4294967294" count="3" selected="0">
            <x v="0"/>
            <x v="1"/>
            <x v="2"/>
          </reference>
          <reference field="0" count="1" selected="0">
            <x v="1"/>
          </reference>
          <reference field="5" count="1" selected="0">
            <x v="8"/>
          </reference>
          <reference field="45" count="1" selected="0">
            <x v="1"/>
          </reference>
        </references>
      </pivotArea>
    </format>
    <format dxfId="1068">
      <pivotArea outline="0" fieldPosition="0">
        <references count="4">
          <reference field="4294967294" count="3" selected="0">
            <x v="9"/>
            <x v="10"/>
            <x v="11"/>
          </reference>
          <reference field="0" count="1" selected="0">
            <x v="8"/>
          </reference>
          <reference field="5" count="3" selected="0">
            <x v="7"/>
            <x v="8"/>
            <x v="9"/>
          </reference>
          <reference field="45" count="1" selected="0">
            <x v="1"/>
          </reference>
        </references>
      </pivotArea>
    </format>
    <format dxfId="1067">
      <pivotArea outline="0" fieldPosition="0">
        <references count="4">
          <reference field="4294967294" count="3" selected="0">
            <x v="12"/>
            <x v="13"/>
            <x v="14"/>
          </reference>
          <reference field="0" count="1" selected="0">
            <x v="15"/>
          </reference>
          <reference field="5" count="1" selected="0">
            <x v="9"/>
          </reference>
          <reference field="45" count="1" selected="0">
            <x v="1"/>
          </reference>
        </references>
      </pivotArea>
    </format>
    <format dxfId="1066">
      <pivotArea outline="0" fieldPosition="0">
        <references count="3">
          <reference field="4294967294" count="1" selected="0">
            <x v="5"/>
          </reference>
          <reference field="0" count="1" selected="0">
            <x v="0"/>
          </reference>
          <reference field="45" count="1" selected="0" defaultSubtotal="1">
            <x v="1"/>
          </reference>
        </references>
      </pivotArea>
    </format>
    <format dxfId="1065">
      <pivotArea outline="0" fieldPosition="0">
        <references count="3">
          <reference field="4294967294" count="1" selected="0">
            <x v="8"/>
          </reference>
          <reference field="0" count="1" selected="0">
            <x v="0"/>
          </reference>
          <reference field="45" count="1" selected="0" defaultSubtotal="1">
            <x v="1"/>
          </reference>
        </references>
      </pivotArea>
    </format>
    <format dxfId="1064">
      <pivotArea outline="0" fieldPosition="0">
        <references count="3">
          <reference field="4294967294" count="1" selected="0">
            <x v="11"/>
          </reference>
          <reference field="0" count="1" selected="0">
            <x v="0"/>
          </reference>
          <reference field="45" count="1" selected="0" defaultSubtotal="1">
            <x v="1"/>
          </reference>
        </references>
      </pivotArea>
    </format>
    <format dxfId="1063">
      <pivotArea outline="0" fieldPosition="0">
        <references count="3">
          <reference field="4294967294" count="1" selected="0">
            <x v="14"/>
          </reference>
          <reference field="0" count="1" selected="0">
            <x v="0"/>
          </reference>
          <reference field="45" count="1" selected="0" defaultSubtotal="1">
            <x v="1"/>
          </reference>
        </references>
      </pivotArea>
    </format>
    <format dxfId="1062">
      <pivotArea outline="0" fieldPosition="0">
        <references count="3">
          <reference field="4294967294" count="1" selected="0">
            <x v="17"/>
          </reference>
          <reference field="0" count="1" selected="0">
            <x v="0"/>
          </reference>
          <reference field="45" count="1" selected="0" defaultSubtotal="1">
            <x v="1"/>
          </reference>
        </references>
      </pivotArea>
    </format>
    <format dxfId="1061">
      <pivotArea outline="0" fieldPosition="0">
        <references count="3">
          <reference field="4294967294" count="1" selected="0">
            <x v="20"/>
          </reference>
          <reference field="0" count="1" selected="0">
            <x v="0"/>
          </reference>
          <reference field="45" count="1" selected="0" defaultSubtotal="1">
            <x v="1"/>
          </reference>
        </references>
      </pivotArea>
    </format>
    <format dxfId="1060">
      <pivotArea outline="0" fieldPosition="0">
        <references count="3">
          <reference field="4294967294" count="1" selected="0">
            <x v="23"/>
          </reference>
          <reference field="0" count="1" selected="0">
            <x v="0"/>
          </reference>
          <reference field="45" count="1" selected="0" defaultSubtotal="1">
            <x v="1"/>
          </reference>
        </references>
      </pivotArea>
    </format>
    <format dxfId="1059">
      <pivotArea outline="0" fieldPosition="0">
        <references count="3">
          <reference field="4294967294" count="1" selected="0">
            <x v="26"/>
          </reference>
          <reference field="0" count="1" selected="0">
            <x v="0"/>
          </reference>
          <reference field="45" count="1" selected="0" defaultSubtotal="1">
            <x v="1"/>
          </reference>
        </references>
      </pivotArea>
    </format>
    <format dxfId="1058">
      <pivotArea outline="0" fieldPosition="0">
        <references count="3">
          <reference field="4294967294" count="1" selected="0">
            <x v="29"/>
          </reference>
          <reference field="0" count="1" selected="0">
            <x v="0"/>
          </reference>
          <reference field="45" count="1" selected="0" defaultSubtotal="1">
            <x v="1"/>
          </reference>
        </references>
      </pivotArea>
    </format>
    <format dxfId="1057">
      <pivotArea outline="0" fieldPosition="0">
        <references count="3">
          <reference field="4294967294" count="1" selected="0">
            <x v="32"/>
          </reference>
          <reference field="0" count="1" selected="0">
            <x v="0"/>
          </reference>
          <reference field="45" count="1" selected="0" defaultSubtotal="1">
            <x v="1"/>
          </reference>
        </references>
      </pivotArea>
    </format>
    <format dxfId="1056">
      <pivotArea outline="0" fieldPosition="0">
        <references count="3">
          <reference field="4294967294" count="1" selected="0">
            <x v="35"/>
          </reference>
          <reference field="0" count="1" selected="0">
            <x v="0"/>
          </reference>
          <reference field="45" count="1" selected="0" defaultSubtotal="1">
            <x v="1"/>
          </reference>
        </references>
      </pivotArea>
    </format>
    <format dxfId="1055">
      <pivotArea outline="0" fieldPosition="0">
        <references count="3">
          <reference field="4294967294" count="12" selected="0">
            <x v="5"/>
            <x v="6"/>
            <x v="7"/>
            <x v="8"/>
            <x v="9"/>
            <x v="10"/>
            <x v="11"/>
            <x v="12"/>
            <x v="13"/>
            <x v="14"/>
            <x v="15"/>
            <x v="16"/>
          </reference>
          <reference field="0" count="1" selected="0">
            <x v="0"/>
          </reference>
          <reference field="45" count="1" selected="0" defaultSubtotal="1">
            <x v="1"/>
          </reference>
        </references>
      </pivotArea>
    </format>
    <format dxfId="1054">
      <pivotArea outline="0" fieldPosition="0">
        <references count="3">
          <reference field="4294967294" count="1" selected="0">
            <x v="27"/>
          </reference>
          <reference field="0" count="1" selected="0">
            <x v="4"/>
          </reference>
          <reference field="45" count="1" selected="0">
            <x v="3"/>
          </reference>
        </references>
      </pivotArea>
    </format>
    <format dxfId="1053">
      <pivotArea outline="0" fieldPosition="0">
        <references count="2">
          <reference field="4294967294" count="1" selected="0">
            <x v="5"/>
          </reference>
          <reference field="0" count="1" selected="0">
            <x v="0"/>
          </reference>
        </references>
      </pivotArea>
    </format>
    <format dxfId="1052">
      <pivotArea outline="0" fieldPosition="0">
        <references count="2">
          <reference field="4294967294" count="1" selected="0">
            <x v="8"/>
          </reference>
          <reference field="0" count="1" selected="0">
            <x v="0"/>
          </reference>
        </references>
      </pivotArea>
    </format>
    <format dxfId="1051">
      <pivotArea outline="0" fieldPosition="0">
        <references count="2">
          <reference field="4294967294" count="1" selected="0">
            <x v="11"/>
          </reference>
          <reference field="0" count="1" selected="0">
            <x v="0"/>
          </reference>
        </references>
      </pivotArea>
    </format>
    <format dxfId="1050">
      <pivotArea outline="0" fieldPosition="0">
        <references count="2">
          <reference field="4294967294" count="1" selected="0">
            <x v="14"/>
          </reference>
          <reference field="0" count="1" selected="0">
            <x v="0"/>
          </reference>
        </references>
      </pivotArea>
    </format>
    <format dxfId="1049">
      <pivotArea outline="0" fieldPosition="0">
        <references count="2">
          <reference field="4294967294" count="1" selected="0">
            <x v="17"/>
          </reference>
          <reference field="0" count="1" selected="0">
            <x v="0"/>
          </reference>
        </references>
      </pivotArea>
    </format>
    <format dxfId="1048">
      <pivotArea outline="0" fieldPosition="0">
        <references count="2">
          <reference field="4294967294" count="1" selected="0">
            <x v="20"/>
          </reference>
          <reference field="0" count="1" selected="0">
            <x v="0"/>
          </reference>
        </references>
      </pivotArea>
    </format>
    <format dxfId="1047">
      <pivotArea outline="0" fieldPosition="0">
        <references count="2">
          <reference field="4294967294" count="1" selected="0">
            <x v="23"/>
          </reference>
          <reference field="0" count="1" selected="0">
            <x v="0"/>
          </reference>
        </references>
      </pivotArea>
    </format>
    <format dxfId="1046">
      <pivotArea outline="0" fieldPosition="0">
        <references count="2">
          <reference field="4294967294" count="1" selected="0">
            <x v="26"/>
          </reference>
          <reference field="0" count="1" selected="0">
            <x v="0"/>
          </reference>
        </references>
      </pivotArea>
    </format>
    <format dxfId="1045">
      <pivotArea outline="0" fieldPosition="0">
        <references count="2">
          <reference field="4294967294" count="1" selected="0">
            <x v="29"/>
          </reference>
          <reference field="0" count="1" selected="0">
            <x v="0"/>
          </reference>
        </references>
      </pivotArea>
    </format>
    <format dxfId="1044">
      <pivotArea outline="0" fieldPosition="0">
        <references count="2">
          <reference field="4294967294" count="1" selected="0">
            <x v="32"/>
          </reference>
          <reference field="0" count="1" selected="0">
            <x v="0"/>
          </reference>
        </references>
      </pivotArea>
    </format>
    <format dxfId="1043">
      <pivotArea outline="0" fieldPosition="0">
        <references count="2">
          <reference field="4294967294" count="1" selected="0">
            <x v="35"/>
          </reference>
          <reference field="0" count="1" selected="0">
            <x v="0"/>
          </reference>
        </references>
      </pivotArea>
    </format>
    <format dxfId="1042">
      <pivotArea outline="0" fieldPosition="0">
        <references count="2">
          <reference field="0" count="1" selected="0">
            <x v="0"/>
          </reference>
          <reference field="45" count="1" selected="0">
            <x v="0"/>
          </reference>
        </references>
      </pivotArea>
    </format>
    <format dxfId="1041">
      <pivotArea outline="0" fieldPosition="0">
        <references count="4">
          <reference field="4294967294" count="1" selected="0">
            <x v="0"/>
          </reference>
          <reference field="0" count="1" selected="0">
            <x v="1"/>
          </reference>
          <reference field="5" count="1" selected="0">
            <x v="0"/>
          </reference>
          <reference field="45" count="1" selected="0">
            <x v="0"/>
          </reference>
        </references>
      </pivotArea>
    </format>
    <format dxfId="1040">
      <pivotArea outline="0" fieldPosition="0">
        <references count="4">
          <reference field="4294967294" count="1" selected="0">
            <x v="0"/>
          </reference>
          <reference field="0" count="1" selected="0">
            <x v="2"/>
          </reference>
          <reference field="5" count="1" selected="0">
            <x v="0"/>
          </reference>
          <reference field="45" count="1" selected="0">
            <x v="0"/>
          </reference>
        </references>
      </pivotArea>
    </format>
    <format dxfId="1039">
      <pivotArea outline="0" fieldPosition="0">
        <references count="4">
          <reference field="4294967294" count="1" selected="0">
            <x v="0"/>
          </reference>
          <reference field="0" count="1" selected="0">
            <x v="3"/>
          </reference>
          <reference field="5" count="1" selected="0">
            <x v="0"/>
          </reference>
          <reference field="45" count="1" selected="0">
            <x v="0"/>
          </reference>
        </references>
      </pivotArea>
    </format>
    <format dxfId="1038">
      <pivotArea outline="0" fieldPosition="0">
        <references count="4">
          <reference field="4294967294" count="1" selected="0">
            <x v="0"/>
          </reference>
          <reference field="0" count="1" selected="0">
            <x v="4"/>
          </reference>
          <reference field="5" count="1" selected="0">
            <x v="0"/>
          </reference>
          <reference field="45" count="1" selected="0">
            <x v="0"/>
          </reference>
        </references>
      </pivotArea>
    </format>
    <format dxfId="1037">
      <pivotArea outline="0" fieldPosition="0">
        <references count="4">
          <reference field="4294967294" count="1" selected="0">
            <x v="0"/>
          </reference>
          <reference field="0" count="1" selected="0">
            <x v="5"/>
          </reference>
          <reference field="5" count="1" selected="0">
            <x v="0"/>
          </reference>
          <reference field="45" count="1" selected="0">
            <x v="0"/>
          </reference>
        </references>
      </pivotArea>
    </format>
    <format dxfId="1036">
      <pivotArea outline="0" fieldPosition="0">
        <references count="4">
          <reference field="4294967294" count="1" selected="0">
            <x v="0"/>
          </reference>
          <reference field="0" count="1" selected="0">
            <x v="6"/>
          </reference>
          <reference field="5" count="1" selected="0">
            <x v="0"/>
          </reference>
          <reference field="45" count="1" selected="0">
            <x v="0"/>
          </reference>
        </references>
      </pivotArea>
    </format>
    <format dxfId="1035">
      <pivotArea outline="0" fieldPosition="0">
        <references count="4">
          <reference field="4294967294" count="1" selected="0">
            <x v="0"/>
          </reference>
          <reference field="0" count="1" selected="0">
            <x v="7"/>
          </reference>
          <reference field="5" count="1" selected="0">
            <x v="0"/>
          </reference>
          <reference field="45" count="1" selected="0">
            <x v="0"/>
          </reference>
        </references>
      </pivotArea>
    </format>
    <format dxfId="1034">
      <pivotArea outline="0" fieldPosition="0">
        <references count="4">
          <reference field="4294967294" count="1" selected="0">
            <x v="0"/>
          </reference>
          <reference field="0" count="1" selected="0">
            <x v="8"/>
          </reference>
          <reference field="5" count="1" selected="0">
            <x v="0"/>
          </reference>
          <reference field="45" count="1" selected="0">
            <x v="0"/>
          </reference>
        </references>
      </pivotArea>
    </format>
    <format dxfId="1033">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1032">
      <pivotArea outline="0" fieldPosition="0">
        <references count="4">
          <reference field="4294967294" count="1" selected="0">
            <x v="0"/>
          </reference>
          <reference field="0" count="1" selected="0">
            <x v="10"/>
          </reference>
          <reference field="5" count="1" selected="0">
            <x v="0"/>
          </reference>
          <reference field="45" count="1" selected="0">
            <x v="0"/>
          </reference>
        </references>
      </pivotArea>
    </format>
    <format dxfId="1031">
      <pivotArea outline="0" fieldPosition="0">
        <references count="4">
          <reference field="4294967294" count="1" selected="0">
            <x v="0"/>
          </reference>
          <reference field="0" count="1" selected="0">
            <x v="11"/>
          </reference>
          <reference field="5" count="1" selected="0">
            <x v="0"/>
          </reference>
          <reference field="45" count="1" selected="0">
            <x v="0"/>
          </reference>
        </references>
      </pivotArea>
    </format>
    <format dxfId="1030">
      <pivotArea outline="0" fieldPosition="0">
        <references count="4">
          <reference field="4294967294" count="1" selected="0">
            <x v="0"/>
          </reference>
          <reference field="0" count="1" selected="0">
            <x v="12"/>
          </reference>
          <reference field="5" count="1" selected="0">
            <x v="0"/>
          </reference>
          <reference field="45" count="1" selected="0">
            <x v="0"/>
          </reference>
        </references>
      </pivotArea>
    </format>
    <format dxfId="1029">
      <pivotArea outline="0" fieldPosition="0">
        <references count="4">
          <reference field="4294967294" count="1" selected="0">
            <x v="0"/>
          </reference>
          <reference field="0" count="1" selected="0">
            <x v="14"/>
          </reference>
          <reference field="5" count="1" selected="0">
            <x v="0"/>
          </reference>
          <reference field="45" count="1" selected="0">
            <x v="0"/>
          </reference>
        </references>
      </pivotArea>
    </format>
    <format dxfId="1028">
      <pivotArea outline="0" fieldPosition="0">
        <references count="4">
          <reference field="4294967294" count="3" selected="0">
            <x v="3"/>
            <x v="4"/>
            <x v="5"/>
          </reference>
          <reference field="0" count="1" selected="0">
            <x v="0"/>
          </reference>
          <reference field="5" count="1" selected="0">
            <x v="2"/>
          </reference>
          <reference field="45" count="1" selected="0">
            <x v="0"/>
          </reference>
        </references>
      </pivotArea>
    </format>
    <format dxfId="1027">
      <pivotArea outline="0" fieldPosition="0">
        <references count="4">
          <reference field="4294967294" count="3" selected="0">
            <x v="3"/>
            <x v="4"/>
            <x v="5"/>
          </reference>
          <reference field="0" count="1" selected="0">
            <x v="0"/>
          </reference>
          <reference field="5" count="4" selected="0">
            <x v="2"/>
            <x v="3"/>
            <x v="4"/>
            <x v="5"/>
          </reference>
          <reference field="45" count="1" selected="0">
            <x v="0"/>
          </reference>
        </references>
      </pivotArea>
    </format>
    <format dxfId="1026">
      <pivotArea outline="0" fieldPosition="0">
        <references count="3">
          <reference field="4294967294" count="3" selected="0">
            <x v="9"/>
            <x v="10"/>
            <x v="11"/>
          </reference>
          <reference field="0" count="1" selected="0">
            <x v="0"/>
          </reference>
          <reference field="45" count="1" selected="0">
            <x v="0"/>
          </reference>
        </references>
      </pivotArea>
    </format>
    <format dxfId="1025">
      <pivotArea outline="0" fieldPosition="0">
        <references count="4">
          <reference field="4294967294" count="3" selected="0">
            <x v="12"/>
            <x v="13"/>
            <x v="14"/>
          </reference>
          <reference field="0" count="1" selected="0">
            <x v="0"/>
          </reference>
          <reference field="5" count="1" selected="0">
            <x v="0"/>
          </reference>
          <reference field="45" count="1" selected="0">
            <x v="0"/>
          </reference>
        </references>
      </pivotArea>
    </format>
    <format dxfId="1024">
      <pivotArea outline="0" fieldPosition="0">
        <references count="4">
          <reference field="4294967294" count="3" selected="0">
            <x v="33"/>
            <x v="34"/>
            <x v="35"/>
          </reference>
          <reference field="0" count="1" selected="0">
            <x v="0"/>
          </reference>
          <reference field="5" count="1" selected="0">
            <x v="0"/>
          </reference>
          <reference field="45" count="1" selected="0">
            <x v="0"/>
          </reference>
        </references>
      </pivotArea>
    </format>
    <format dxfId="1023">
      <pivotArea outline="0" fieldPosition="0">
        <references count="4">
          <reference field="4294967294" count="3" selected="0">
            <x v="33"/>
            <x v="34"/>
            <x v="35"/>
          </reference>
          <reference field="0" count="1" selected="0">
            <x v="0"/>
          </reference>
          <reference field="5" count="1" selected="0">
            <x v="2"/>
          </reference>
          <reference field="45" count="1" selected="0">
            <x v="0"/>
          </reference>
        </references>
      </pivotArea>
    </format>
    <format dxfId="1022">
      <pivotArea outline="0" fieldPosition="0">
        <references count="4">
          <reference field="4294967294" count="3" selected="0">
            <x v="0"/>
            <x v="1"/>
            <x v="2"/>
          </reference>
          <reference field="0" count="1" selected="0">
            <x v="1"/>
          </reference>
          <reference field="5" count="1" selected="0">
            <x v="3"/>
          </reference>
          <reference field="45" count="1" selected="0">
            <x v="0"/>
          </reference>
        </references>
      </pivotArea>
    </format>
    <format dxfId="1021">
      <pivotArea outline="0" fieldPosition="0">
        <references count="4">
          <reference field="4294967294" count="3" selected="0">
            <x v="3"/>
            <x v="4"/>
            <x v="5"/>
          </reference>
          <reference field="0" count="1" selected="0">
            <x v="1"/>
          </reference>
          <reference field="5" count="1" selected="0">
            <x v="3"/>
          </reference>
          <reference field="45" count="1" selected="0">
            <x v="0"/>
          </reference>
        </references>
      </pivotArea>
    </format>
    <format dxfId="1020">
      <pivotArea outline="0" fieldPosition="0">
        <references count="3">
          <reference field="4294967294" count="3" selected="0">
            <x v="9"/>
            <x v="10"/>
            <x v="11"/>
          </reference>
          <reference field="0" count="1" selected="0">
            <x v="1"/>
          </reference>
          <reference field="45" count="1" selected="0">
            <x v="0"/>
          </reference>
        </references>
      </pivotArea>
    </format>
    <format dxfId="1019">
      <pivotArea outline="0" fieldPosition="0">
        <references count="4">
          <reference field="4294967294" count="3" selected="0">
            <x v="3"/>
            <x v="4"/>
            <x v="5"/>
          </reference>
          <reference field="0" count="1" selected="0">
            <x v="2"/>
          </reference>
          <reference field="5" count="1" selected="0">
            <x v="0"/>
          </reference>
          <reference field="45" count="1" selected="0">
            <x v="0"/>
          </reference>
        </references>
      </pivotArea>
    </format>
    <format dxfId="1018">
      <pivotArea outline="0" fieldPosition="0">
        <references count="4">
          <reference field="4294967294" count="3" selected="0">
            <x v="0"/>
            <x v="1"/>
            <x v="2"/>
          </reference>
          <reference field="0" count="1" selected="0">
            <x v="3"/>
          </reference>
          <reference field="5" count="1" selected="0">
            <x v="4"/>
          </reference>
          <reference field="45" count="1" selected="0">
            <x v="0"/>
          </reference>
        </references>
      </pivotArea>
    </format>
    <format dxfId="1017">
      <pivotArea outline="0" fieldPosition="0">
        <references count="4">
          <reference field="4294967294" count="3" selected="0">
            <x v="9"/>
            <x v="10"/>
            <x v="11"/>
          </reference>
          <reference field="0" count="1" selected="0">
            <x v="3"/>
          </reference>
          <reference field="5" count="1" selected="0">
            <x v="4"/>
          </reference>
          <reference field="45" count="1" selected="0">
            <x v="0"/>
          </reference>
        </references>
      </pivotArea>
    </format>
    <format dxfId="1016">
      <pivotArea outline="0" fieldPosition="0">
        <references count="4">
          <reference field="4294967294" count="3" selected="0">
            <x v="0"/>
            <x v="1"/>
            <x v="2"/>
          </reference>
          <reference field="0" count="1" selected="0">
            <x v="4"/>
          </reference>
          <reference field="5" count="1" selected="0">
            <x v="3"/>
          </reference>
          <reference field="45" count="1" selected="0">
            <x v="0"/>
          </reference>
        </references>
      </pivotArea>
    </format>
    <format dxfId="1015">
      <pivotArea outline="0" fieldPosition="0">
        <references count="4">
          <reference field="4294967294" count="3" selected="0">
            <x v="3"/>
            <x v="4"/>
            <x v="5"/>
          </reference>
          <reference field="0" count="1" selected="0">
            <x v="4"/>
          </reference>
          <reference field="5" count="1" selected="0">
            <x v="1"/>
          </reference>
          <reference field="45" count="1" selected="0">
            <x v="0"/>
          </reference>
        </references>
      </pivotArea>
    </format>
    <format dxfId="1014">
      <pivotArea outline="0" fieldPosition="0">
        <references count="4">
          <reference field="4294967294" count="3" selected="0">
            <x v="9"/>
            <x v="10"/>
            <x v="11"/>
          </reference>
          <reference field="0" count="1" selected="0">
            <x v="4"/>
          </reference>
          <reference field="5" count="1" selected="0">
            <x v="1"/>
          </reference>
          <reference field="45" count="1" selected="0">
            <x v="0"/>
          </reference>
        </references>
      </pivotArea>
    </format>
    <format dxfId="1013">
      <pivotArea outline="0" fieldPosition="0">
        <references count="4">
          <reference field="4294967294" count="3" selected="0">
            <x v="9"/>
            <x v="10"/>
            <x v="11"/>
          </reference>
          <reference field="0" count="1" selected="0">
            <x v="4"/>
          </reference>
          <reference field="5" count="1" selected="0">
            <x v="5"/>
          </reference>
          <reference field="45" count="1" selected="0">
            <x v="0"/>
          </reference>
        </references>
      </pivotArea>
    </format>
    <format dxfId="1012">
      <pivotArea outline="0" fieldPosition="0">
        <references count="4">
          <reference field="4294967294" count="3" selected="0">
            <x v="3"/>
            <x v="4"/>
            <x v="5"/>
          </reference>
          <reference field="0" count="1" selected="0">
            <x v="5"/>
          </reference>
          <reference field="5" count="1" selected="0">
            <x v="1"/>
          </reference>
          <reference field="45" count="1" selected="0">
            <x v="0"/>
          </reference>
        </references>
      </pivotArea>
    </format>
    <format dxfId="1011">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1010">
      <pivotArea outline="0" fieldPosition="0">
        <references count="4">
          <reference field="4294967294" count="3" selected="0">
            <x v="0"/>
            <x v="1"/>
            <x v="2"/>
          </reference>
          <reference field="0" count="1" selected="0">
            <x v="6"/>
          </reference>
          <reference field="5" count="1" selected="0">
            <x v="1"/>
          </reference>
          <reference field="45" count="1" selected="0">
            <x v="0"/>
          </reference>
        </references>
      </pivotArea>
    </format>
    <format dxfId="1009">
      <pivotArea outline="0" fieldPosition="0">
        <references count="4">
          <reference field="4294967294" count="3" selected="0">
            <x v="0"/>
            <x v="1"/>
            <x v="2"/>
          </reference>
          <reference field="0" count="1" selected="0">
            <x v="6"/>
          </reference>
          <reference field="5" count="1" selected="0">
            <x v="4"/>
          </reference>
          <reference field="45" count="1" selected="0">
            <x v="0"/>
          </reference>
        </references>
      </pivotArea>
    </format>
    <format dxfId="1008">
      <pivotArea outline="0" fieldPosition="0">
        <references count="4">
          <reference field="4294967294" count="3" selected="0">
            <x v="9"/>
            <x v="10"/>
            <x v="11"/>
          </reference>
          <reference field="0" count="1" selected="0">
            <x v="6"/>
          </reference>
          <reference field="5" count="1" selected="0">
            <x v="0"/>
          </reference>
          <reference field="45" count="1" selected="0">
            <x v="0"/>
          </reference>
        </references>
      </pivotArea>
    </format>
    <format dxfId="1007">
      <pivotArea outline="0" fieldPosition="0">
        <references count="4">
          <reference field="4294967294" count="3" selected="0">
            <x v="0"/>
            <x v="1"/>
            <x v="2"/>
          </reference>
          <reference field="0" count="1" selected="0">
            <x v="7"/>
          </reference>
          <reference field="5" count="1" selected="0">
            <x v="4"/>
          </reference>
          <reference field="45" count="1" selected="0">
            <x v="0"/>
          </reference>
        </references>
      </pivotArea>
    </format>
    <format dxfId="1006">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1005">
      <pivotArea outline="0" fieldPosition="0">
        <references count="4">
          <reference field="4294967294" count="3" selected="0">
            <x v="0"/>
            <x v="1"/>
            <x v="2"/>
          </reference>
          <reference field="0" count="1" selected="0">
            <x v="8"/>
          </reference>
          <reference field="5" count="1" selected="0">
            <x v="0"/>
          </reference>
          <reference field="45" count="1" selected="0">
            <x v="0"/>
          </reference>
        </references>
      </pivotArea>
    </format>
    <format dxfId="1004">
      <pivotArea outline="0" fieldPosition="0">
        <references count="4">
          <reference field="4294967294" count="3" selected="0">
            <x v="0"/>
            <x v="1"/>
            <x v="2"/>
          </reference>
          <reference field="0" count="1" selected="0">
            <x v="8"/>
          </reference>
          <reference field="5" count="1" selected="0">
            <x v="4"/>
          </reference>
          <reference field="45" count="1" selected="0">
            <x v="0"/>
          </reference>
        </references>
      </pivotArea>
    </format>
    <format dxfId="1003">
      <pivotArea outline="0" fieldPosition="0">
        <references count="3">
          <reference field="4294967294" count="3" selected="0">
            <x v="9"/>
            <x v="10"/>
            <x v="11"/>
          </reference>
          <reference field="0" count="1" selected="0">
            <x v="8"/>
          </reference>
          <reference field="45" count="1" selected="0">
            <x v="0"/>
          </reference>
        </references>
      </pivotArea>
    </format>
    <format dxfId="1002">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1001">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1000">
      <pivotArea outline="0" fieldPosition="0">
        <references count="4">
          <reference field="4294967294" count="3" selected="0">
            <x v="0"/>
            <x v="1"/>
            <x v="2"/>
          </reference>
          <reference field="0" count="1" selected="0">
            <x v="10"/>
          </reference>
          <reference field="5" count="1" selected="0">
            <x v="0"/>
          </reference>
          <reference field="45" count="1" selected="0">
            <x v="0"/>
          </reference>
        </references>
      </pivotArea>
    </format>
    <format dxfId="999">
      <pivotArea outline="0" fieldPosition="0">
        <references count="4">
          <reference field="4294967294" count="3" selected="0">
            <x v="9"/>
            <x v="10"/>
            <x v="11"/>
          </reference>
          <reference field="0" count="1" selected="0">
            <x v="10"/>
          </reference>
          <reference field="5" count="1" selected="0">
            <x v="2"/>
          </reference>
          <reference field="45" count="1" selected="0">
            <x v="0"/>
          </reference>
        </references>
      </pivotArea>
    </format>
    <format dxfId="998">
      <pivotArea outline="0" fieldPosition="0">
        <references count="4">
          <reference field="4294967294" count="3" selected="0">
            <x v="3"/>
            <x v="4"/>
            <x v="5"/>
          </reference>
          <reference field="0" count="1" selected="0">
            <x v="11"/>
          </reference>
          <reference field="5" count="1" selected="0">
            <x v="3"/>
          </reference>
          <reference field="45" count="1" selected="0">
            <x v="0"/>
          </reference>
        </references>
      </pivotArea>
    </format>
    <format dxfId="997">
      <pivotArea outline="0" fieldPosition="0">
        <references count="4">
          <reference field="4294967294" count="3" selected="0">
            <x v="3"/>
            <x v="4"/>
            <x v="5"/>
          </reference>
          <reference field="0" count="1" selected="0">
            <x v="11"/>
          </reference>
          <reference field="5" count="1" selected="0">
            <x v="0"/>
          </reference>
          <reference field="45" count="1" selected="0">
            <x v="0"/>
          </reference>
        </references>
      </pivotArea>
    </format>
    <format dxfId="996">
      <pivotArea outline="0" fieldPosition="0">
        <references count="4">
          <reference field="4294967294" count="3" selected="0">
            <x v="12"/>
            <x v="13"/>
            <x v="14"/>
          </reference>
          <reference field="0" count="1" selected="0">
            <x v="11"/>
          </reference>
          <reference field="5" count="1" selected="0">
            <x v="5"/>
          </reference>
          <reference field="45" count="1" selected="0">
            <x v="0"/>
          </reference>
        </references>
      </pivotArea>
    </format>
    <format dxfId="995">
      <pivotArea outline="0" fieldPosition="0">
        <references count="4">
          <reference field="4294967294" count="3" selected="0">
            <x v="12"/>
            <x v="13"/>
            <x v="14"/>
          </reference>
          <reference field="0" count="1" selected="0">
            <x v="11"/>
          </reference>
          <reference field="5" count="1" selected="0">
            <x v="2"/>
          </reference>
          <reference field="45" count="1" selected="0">
            <x v="0"/>
          </reference>
        </references>
      </pivotArea>
    </format>
    <format dxfId="994">
      <pivotArea outline="0" fieldPosition="0">
        <references count="4">
          <reference field="4294967294" count="3" selected="0">
            <x v="12"/>
            <x v="13"/>
            <x v="14"/>
          </reference>
          <reference field="0" count="1" selected="0">
            <x v="12"/>
          </reference>
          <reference field="5" count="2" selected="0">
            <x v="0"/>
            <x v="1"/>
          </reference>
          <reference field="45" count="1" selected="0">
            <x v="0"/>
          </reference>
        </references>
      </pivotArea>
    </format>
    <format dxfId="993">
      <pivotArea outline="0" fieldPosition="0">
        <references count="4">
          <reference field="4294967294" count="3" selected="0">
            <x v="30"/>
            <x v="31"/>
            <x v="32"/>
          </reference>
          <reference field="0" count="1" selected="0">
            <x v="12"/>
          </reference>
          <reference field="5" count="1" selected="0">
            <x v="2"/>
          </reference>
          <reference field="45" count="1" selected="0">
            <x v="0"/>
          </reference>
        </references>
      </pivotArea>
    </format>
    <format dxfId="992">
      <pivotArea outline="0" fieldPosition="0">
        <references count="4">
          <reference field="4294967294" count="3" selected="0">
            <x v="33"/>
            <x v="34"/>
            <x v="35"/>
          </reference>
          <reference field="0" count="1" selected="0">
            <x v="12"/>
          </reference>
          <reference field="5" count="1" selected="0">
            <x v="2"/>
          </reference>
          <reference field="45" count="1" selected="0">
            <x v="0"/>
          </reference>
        </references>
      </pivotArea>
    </format>
    <format dxfId="991">
      <pivotArea outline="0" fieldPosition="0">
        <references count="4">
          <reference field="4294967294" count="3" selected="0">
            <x v="12"/>
            <x v="13"/>
            <x v="14"/>
          </reference>
          <reference field="0" count="1" selected="0">
            <x v="13"/>
          </reference>
          <reference field="5" count="1" selected="0">
            <x v="0"/>
          </reference>
          <reference field="45" count="1" selected="0">
            <x v="0"/>
          </reference>
        </references>
      </pivotArea>
    </format>
    <format dxfId="990">
      <pivotArea outline="0" fieldPosition="0">
        <references count="4">
          <reference field="4294967294" count="3" selected="0">
            <x v="12"/>
            <x v="13"/>
            <x v="14"/>
          </reference>
          <reference field="0" count="1" selected="0">
            <x v="13"/>
          </reference>
          <reference field="5" count="1" selected="0">
            <x v="3"/>
          </reference>
          <reference field="45" count="1" selected="0">
            <x v="0"/>
          </reference>
        </references>
      </pivotArea>
    </format>
    <format dxfId="989">
      <pivotArea outline="0" fieldPosition="0">
        <references count="4">
          <reference field="4294967294" count="3" selected="0">
            <x v="3"/>
            <x v="4"/>
            <x v="5"/>
          </reference>
          <reference field="0" count="1" selected="0">
            <x v="14"/>
          </reference>
          <reference field="5" count="1" selected="0">
            <x v="3"/>
          </reference>
          <reference field="45" count="1" selected="0">
            <x v="0"/>
          </reference>
        </references>
      </pivotArea>
    </format>
    <format dxfId="988">
      <pivotArea outline="0" fieldPosition="0">
        <references count="4">
          <reference field="4294967294" count="3" selected="0">
            <x v="9"/>
            <x v="10"/>
            <x v="11"/>
          </reference>
          <reference field="0" count="1" selected="0">
            <x v="14"/>
          </reference>
          <reference field="5" count="1" selected="0">
            <x v="2"/>
          </reference>
          <reference field="45" count="1" selected="0">
            <x v="0"/>
          </reference>
        </references>
      </pivotArea>
    </format>
    <format dxfId="987">
      <pivotArea outline="0" fieldPosition="0">
        <references count="4">
          <reference field="4294967294" count="3" selected="0">
            <x v="30"/>
            <x v="31"/>
            <x v="32"/>
          </reference>
          <reference field="0" count="1" selected="0">
            <x v="14"/>
          </reference>
          <reference field="5" count="1" selected="0">
            <x v="0"/>
          </reference>
          <reference field="45" count="1" selected="0">
            <x v="0"/>
          </reference>
        </references>
      </pivotArea>
    </format>
    <format dxfId="986">
      <pivotArea outline="0" fieldPosition="0">
        <references count="4">
          <reference field="4294967294" count="3" selected="0">
            <x v="3"/>
            <x v="4"/>
            <x v="5"/>
          </reference>
          <reference field="0" count="1" selected="0">
            <x v="15"/>
          </reference>
          <reference field="5" count="1" selected="0">
            <x v="2"/>
          </reference>
          <reference field="45" count="1" selected="0">
            <x v="0"/>
          </reference>
        </references>
      </pivotArea>
    </format>
    <format dxfId="985">
      <pivotArea outline="0" fieldPosition="0">
        <references count="4">
          <reference field="4294967294" count="3" selected="0">
            <x v="12"/>
            <x v="13"/>
            <x v="14"/>
          </reference>
          <reference field="0" count="1" selected="0">
            <x v="15"/>
          </reference>
          <reference field="5" count="1" selected="0">
            <x v="5"/>
          </reference>
          <reference field="45" count="1" selected="0">
            <x v="0"/>
          </reference>
        </references>
      </pivotArea>
    </format>
    <format dxfId="984">
      <pivotArea outline="0" fieldPosition="0">
        <references count="2">
          <reference field="0" count="1" selected="0">
            <x v="0"/>
          </reference>
          <reference field="45" count="1" selected="0">
            <x v="1"/>
          </reference>
        </references>
      </pivotArea>
    </format>
    <format dxfId="983">
      <pivotArea outline="0" fieldPosition="0">
        <references count="4">
          <reference field="4294967294" count="1" selected="0">
            <x v="0"/>
          </reference>
          <reference field="0" count="1" selected="0">
            <x v="2"/>
          </reference>
          <reference field="5" count="1" selected="0">
            <x v="6"/>
          </reference>
          <reference field="45" count="1" selected="0">
            <x v="1"/>
          </reference>
        </references>
      </pivotArea>
    </format>
    <format dxfId="982">
      <pivotArea outline="0" fieldPosition="0">
        <references count="4">
          <reference field="4294967294" count="1" selected="0">
            <x v="0"/>
          </reference>
          <reference field="0" count="1" selected="0">
            <x v="3"/>
          </reference>
          <reference field="5" count="1" selected="0">
            <x v="6"/>
          </reference>
          <reference field="45" count="1" selected="0">
            <x v="1"/>
          </reference>
        </references>
      </pivotArea>
    </format>
    <format dxfId="981">
      <pivotArea outline="0" fieldPosition="0">
        <references count="4">
          <reference field="4294967294" count="1" selected="0">
            <x v="0"/>
          </reference>
          <reference field="0" count="1" selected="0">
            <x v="4"/>
          </reference>
          <reference field="5" count="1" selected="0">
            <x v="6"/>
          </reference>
          <reference field="45" count="1" selected="0">
            <x v="1"/>
          </reference>
        </references>
      </pivotArea>
    </format>
    <format dxfId="980">
      <pivotArea outline="0" fieldPosition="0">
        <references count="4">
          <reference field="4294967294" count="1" selected="0">
            <x v="0"/>
          </reference>
          <reference field="0" count="1" selected="0">
            <x v="5"/>
          </reference>
          <reference field="5" count="1" selected="0">
            <x v="6"/>
          </reference>
          <reference field="45" count="1" selected="0">
            <x v="1"/>
          </reference>
        </references>
      </pivotArea>
    </format>
    <format dxfId="979">
      <pivotArea outline="0" fieldPosition="0">
        <references count="4">
          <reference field="4294967294" count="1" selected="0">
            <x v="0"/>
          </reference>
          <reference field="0" count="1" selected="0">
            <x v="7"/>
          </reference>
          <reference field="5" count="1" selected="0">
            <x v="6"/>
          </reference>
          <reference field="45" count="1" selected="0">
            <x v="1"/>
          </reference>
        </references>
      </pivotArea>
    </format>
    <format dxfId="978">
      <pivotArea outline="0" fieldPosition="0">
        <references count="4">
          <reference field="4294967294" count="1" selected="0">
            <x v="0"/>
          </reference>
          <reference field="0" count="1" selected="0">
            <x v="8"/>
          </reference>
          <reference field="5" count="1" selected="0">
            <x v="6"/>
          </reference>
          <reference field="45" count="1" selected="0">
            <x v="1"/>
          </reference>
        </references>
      </pivotArea>
    </format>
    <format dxfId="977">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976">
      <pivotArea outline="0" fieldPosition="0">
        <references count="4">
          <reference field="4294967294" count="1" selected="0">
            <x v="0"/>
          </reference>
          <reference field="0" count="1" selected="0">
            <x v="10"/>
          </reference>
          <reference field="5" count="1" selected="0">
            <x v="6"/>
          </reference>
          <reference field="45" count="1" selected="0">
            <x v="1"/>
          </reference>
        </references>
      </pivotArea>
    </format>
    <format dxfId="975">
      <pivotArea outline="0" fieldPosition="0">
        <references count="4">
          <reference field="4294967294" count="1" selected="0">
            <x v="0"/>
          </reference>
          <reference field="0" count="1" selected="0">
            <x v="11"/>
          </reference>
          <reference field="5" count="1" selected="0">
            <x v="6"/>
          </reference>
          <reference field="45" count="1" selected="0">
            <x v="1"/>
          </reference>
        </references>
      </pivotArea>
    </format>
    <format dxfId="974">
      <pivotArea outline="0" fieldPosition="0">
        <references count="4">
          <reference field="4294967294" count="1" selected="0">
            <x v="0"/>
          </reference>
          <reference field="0" count="1" selected="0">
            <x v="12"/>
          </reference>
          <reference field="5" count="1" selected="0">
            <x v="6"/>
          </reference>
          <reference field="45" count="1" selected="0">
            <x v="1"/>
          </reference>
        </references>
      </pivotArea>
    </format>
    <format dxfId="973">
      <pivotArea outline="0" fieldPosition="0">
        <references count="4">
          <reference field="4294967294" count="1" selected="0">
            <x v="0"/>
          </reference>
          <reference field="0" count="1" selected="0">
            <x v="13"/>
          </reference>
          <reference field="5" count="1" selected="0">
            <x v="6"/>
          </reference>
          <reference field="45" count="1" selected="0">
            <x v="1"/>
          </reference>
        </references>
      </pivotArea>
    </format>
    <format dxfId="972">
      <pivotArea outline="0" fieldPosition="0">
        <references count="4">
          <reference field="4294967294" count="1" selected="0">
            <x v="0"/>
          </reference>
          <reference field="0" count="1" selected="0">
            <x v="14"/>
          </reference>
          <reference field="5" count="1" selected="0">
            <x v="6"/>
          </reference>
          <reference field="45" count="1" selected="0">
            <x v="1"/>
          </reference>
        </references>
      </pivotArea>
    </format>
    <format dxfId="971">
      <pivotArea outline="0" fieldPosition="0">
        <references count="4">
          <reference field="4294967294" count="1" selected="0">
            <x v="0"/>
          </reference>
          <reference field="0" count="1" selected="0">
            <x v="15"/>
          </reference>
          <reference field="5" count="1" selected="0">
            <x v="6"/>
          </reference>
          <reference field="45" count="1" selected="0">
            <x v="1"/>
          </reference>
        </references>
      </pivotArea>
    </format>
    <format dxfId="970">
      <pivotArea outline="0" fieldPosition="0">
        <references count="4">
          <reference field="4294967294" count="3" selected="0">
            <x v="0"/>
            <x v="1"/>
            <x v="2"/>
          </reference>
          <reference field="0" count="1" selected="0">
            <x v="0"/>
          </reference>
          <reference field="5" count="1" selected="0">
            <x v="9"/>
          </reference>
          <reference field="45" count="1" selected="0">
            <x v="1"/>
          </reference>
        </references>
      </pivotArea>
    </format>
    <format dxfId="969">
      <pivotArea outline="0" fieldPosition="0">
        <references count="4">
          <reference field="4294967294" count="3" selected="0">
            <x v="3"/>
            <x v="4"/>
            <x v="5"/>
          </reference>
          <reference field="0" count="1" selected="0">
            <x v="0"/>
          </reference>
          <reference field="5" count="2" selected="0">
            <x v="7"/>
            <x v="8"/>
          </reference>
          <reference field="45" count="1" selected="0">
            <x v="1"/>
          </reference>
        </references>
      </pivotArea>
    </format>
    <format dxfId="968">
      <pivotArea outline="0" fieldPosition="0">
        <references count="4">
          <reference field="4294967294" count="3" selected="0">
            <x v="9"/>
            <x v="10"/>
            <x v="11"/>
          </reference>
          <reference field="0" count="1" selected="0">
            <x v="0"/>
          </reference>
          <reference field="5" count="3" selected="0">
            <x v="7"/>
            <x v="8"/>
            <x v="9"/>
          </reference>
          <reference field="45" count="1" selected="0">
            <x v="1"/>
          </reference>
        </references>
      </pivotArea>
    </format>
    <format dxfId="967">
      <pivotArea outline="0" fieldPosition="0">
        <references count="4">
          <reference field="4294967294" count="3" selected="0">
            <x v="12"/>
            <x v="13"/>
            <x v="14"/>
          </reference>
          <reference field="0" count="1" selected="0">
            <x v="0"/>
          </reference>
          <reference field="5" count="3" selected="0">
            <x v="7"/>
            <x v="8"/>
            <x v="9"/>
          </reference>
          <reference field="45" count="1" selected="0">
            <x v="1"/>
          </reference>
        </references>
      </pivotArea>
    </format>
    <format dxfId="966">
      <pivotArea outline="0" fieldPosition="0">
        <references count="4">
          <reference field="4294967294" count="3" selected="0">
            <x v="6"/>
            <x v="7"/>
            <x v="8"/>
          </reference>
          <reference field="0" count="1" selected="0">
            <x v="1"/>
          </reference>
          <reference field="5" count="2" selected="0">
            <x v="8"/>
            <x v="9"/>
          </reference>
          <reference field="45" count="1" selected="0">
            <x v="1"/>
          </reference>
        </references>
      </pivotArea>
    </format>
    <format dxfId="965">
      <pivotArea outline="0" fieldPosition="0">
        <references count="4">
          <reference field="4294967294" count="3" selected="0">
            <x v="9"/>
            <x v="10"/>
            <x v="11"/>
          </reference>
          <reference field="0" count="1" selected="0">
            <x v="2"/>
          </reference>
          <reference field="5" count="2" selected="0">
            <x v="8"/>
            <x v="9"/>
          </reference>
          <reference field="45" count="1" selected="0">
            <x v="1"/>
          </reference>
        </references>
      </pivotArea>
    </format>
    <format dxfId="964">
      <pivotArea outline="0" fieldPosition="0">
        <references count="4">
          <reference field="4294967294" count="3" selected="0">
            <x v="0"/>
            <x v="1"/>
            <x v="2"/>
          </reference>
          <reference field="0" count="1" selected="0">
            <x v="4"/>
          </reference>
          <reference field="5" count="1" selected="0">
            <x v="7"/>
          </reference>
          <reference field="45" count="1" selected="0">
            <x v="1"/>
          </reference>
        </references>
      </pivotArea>
    </format>
    <format dxfId="963">
      <pivotArea outline="0" fieldPosition="0">
        <references count="4">
          <reference field="4294967294" count="3" selected="0">
            <x v="0"/>
            <x v="1"/>
            <x v="2"/>
          </reference>
          <reference field="0" count="1" selected="0">
            <x v="6"/>
          </reference>
          <reference field="5" count="1" selected="0">
            <x v="7"/>
          </reference>
          <reference field="45" count="1" selected="0">
            <x v="1"/>
          </reference>
        </references>
      </pivotArea>
    </format>
    <format dxfId="962">
      <pivotArea outline="0" fieldPosition="0">
        <references count="4">
          <reference field="4294967294" count="3" selected="0">
            <x v="0"/>
            <x v="1"/>
            <x v="2"/>
          </reference>
          <reference field="0" count="1" selected="0">
            <x v="6"/>
          </reference>
          <reference field="5" count="1" selected="0">
            <x v="9"/>
          </reference>
          <reference field="45" count="1" selected="0">
            <x v="1"/>
          </reference>
        </references>
      </pivotArea>
    </format>
    <format dxfId="961">
      <pivotArea outline="0" fieldPosition="0">
        <references count="4">
          <reference field="4294967294" count="3" selected="0">
            <x v="9"/>
            <x v="10"/>
            <x v="11"/>
          </reference>
          <reference field="0" count="1" selected="0">
            <x v="6"/>
          </reference>
          <reference field="5" count="1" selected="0">
            <x v="9"/>
          </reference>
          <reference field="45" count="1" selected="0">
            <x v="1"/>
          </reference>
        </references>
      </pivotArea>
    </format>
    <format dxfId="960">
      <pivotArea outline="0" fieldPosition="0">
        <references count="4">
          <reference field="4294967294" count="3" selected="0">
            <x v="9"/>
            <x v="10"/>
            <x v="11"/>
          </reference>
          <reference field="0" count="1" selected="0">
            <x v="6"/>
          </reference>
          <reference field="5" count="1" selected="0">
            <x v="6"/>
          </reference>
          <reference field="45" count="1" selected="0">
            <x v="1"/>
          </reference>
        </references>
      </pivotArea>
    </format>
    <format dxfId="959">
      <pivotArea outline="0" fieldPosition="0">
        <references count="4">
          <reference field="4294967294" count="3" selected="0">
            <x v="9"/>
            <x v="10"/>
            <x v="11"/>
          </reference>
          <reference field="0" count="1" selected="0">
            <x v="7"/>
          </reference>
          <reference field="5" count="1" selected="0">
            <x v="8"/>
          </reference>
          <reference field="45" count="1" selected="0">
            <x v="1"/>
          </reference>
        </references>
      </pivotArea>
    </format>
    <format dxfId="958">
      <pivotArea outline="0" fieldPosition="0">
        <references count="4">
          <reference field="4294967294" count="3" selected="0">
            <x v="6"/>
            <x v="7"/>
            <x v="8"/>
          </reference>
          <reference field="0" count="1" selected="0">
            <x v="8"/>
          </reference>
          <reference field="5" count="1" selected="0">
            <x v="7"/>
          </reference>
          <reference field="45" count="1" selected="0">
            <x v="1"/>
          </reference>
        </references>
      </pivotArea>
    </format>
    <format dxfId="957">
      <pivotArea outline="0" fieldPosition="0">
        <references count="4">
          <reference field="4294967294" count="3" selected="0">
            <x v="6"/>
            <x v="7"/>
            <x v="8"/>
          </reference>
          <reference field="0" count="1" selected="0">
            <x v="8"/>
          </reference>
          <reference field="5" count="1" selected="0">
            <x v="9"/>
          </reference>
          <reference field="45" count="1" selected="0">
            <x v="1"/>
          </reference>
        </references>
      </pivotArea>
    </format>
    <format dxfId="956">
      <pivotArea outline="0" fieldPosition="0">
        <references count="4">
          <reference field="4294967294" count="3" selected="0">
            <x v="9"/>
            <x v="10"/>
            <x v="11"/>
          </reference>
          <reference field="0" count="1" selected="0">
            <x v="8"/>
          </reference>
          <reference field="5" count="1" selected="0">
            <x v="9"/>
          </reference>
          <reference field="45" count="1" selected="0">
            <x v="1"/>
          </reference>
        </references>
      </pivotArea>
    </format>
    <format dxfId="955">
      <pivotArea outline="0" fieldPosition="0">
        <references count="4">
          <reference field="4294967294" count="3" selected="0">
            <x v="9"/>
            <x v="10"/>
            <x v="11"/>
          </reference>
          <reference field="0" count="1" selected="0">
            <x v="8"/>
          </reference>
          <reference field="5" count="1" selected="0">
            <x v="7"/>
          </reference>
          <reference field="45" count="1" selected="0">
            <x v="1"/>
          </reference>
        </references>
      </pivotArea>
    </format>
    <format dxfId="954">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953">
      <pivotArea outline="0" fieldPosition="0">
        <references count="4">
          <reference field="4294967294" count="3" selected="0">
            <x v="9"/>
            <x v="10"/>
            <x v="11"/>
          </reference>
          <reference field="0" count="1" selected="0">
            <x v="10"/>
          </reference>
          <reference field="5" count="1" selected="0">
            <x v="6"/>
          </reference>
          <reference field="45" count="1" selected="0">
            <x v="1"/>
          </reference>
        </references>
      </pivotArea>
    </format>
    <format dxfId="952">
      <pivotArea outline="0" fieldPosition="0">
        <references count="4">
          <reference field="4294967294" count="3" selected="0">
            <x v="15"/>
            <x v="16"/>
            <x v="17"/>
          </reference>
          <reference field="0" count="1" selected="0">
            <x v="10"/>
          </reference>
          <reference field="5" count="2" selected="0">
            <x v="6"/>
            <x v="7"/>
          </reference>
          <reference field="45" count="1" selected="0">
            <x v="1"/>
          </reference>
        </references>
      </pivotArea>
    </format>
    <format dxfId="951">
      <pivotArea outline="0" fieldPosition="0">
        <references count="4">
          <reference field="4294967294" count="3" selected="0">
            <x v="6"/>
            <x v="7"/>
            <x v="8"/>
          </reference>
          <reference field="0" count="1" selected="0">
            <x v="11"/>
          </reference>
          <reference field="5" count="3" selected="0">
            <x v="7"/>
            <x v="8"/>
            <x v="9"/>
          </reference>
          <reference field="45" count="1" selected="0">
            <x v="1"/>
          </reference>
        </references>
      </pivotArea>
    </format>
    <format dxfId="950">
      <pivotArea outline="0" fieldPosition="0">
        <references count="4">
          <reference field="4294967294" count="3" selected="0">
            <x v="12"/>
            <x v="13"/>
            <x v="14"/>
          </reference>
          <reference field="0" count="1" selected="0">
            <x v="11"/>
          </reference>
          <reference field="5" count="3" selected="0">
            <x v="7"/>
            <x v="8"/>
            <x v="9"/>
          </reference>
          <reference field="45" count="1" selected="0">
            <x v="1"/>
          </reference>
        </references>
      </pivotArea>
    </format>
    <format dxfId="949">
      <pivotArea outline="0" fieldPosition="0">
        <references count="4">
          <reference field="4294967294" count="3" selected="0">
            <x v="9"/>
            <x v="10"/>
            <x v="11"/>
          </reference>
          <reference field="0" count="1" selected="0">
            <x v="13"/>
          </reference>
          <reference field="5" count="1" selected="0">
            <x v="9"/>
          </reference>
          <reference field="45" count="1" selected="0">
            <x v="1"/>
          </reference>
        </references>
      </pivotArea>
    </format>
    <format dxfId="948">
      <pivotArea outline="0" fieldPosition="0">
        <references count="4">
          <reference field="4294967294" count="3" selected="0">
            <x v="9"/>
            <x v="10"/>
            <x v="11"/>
          </reference>
          <reference field="0" count="1" selected="0">
            <x v="15"/>
          </reference>
          <reference field="5" count="4" selected="0">
            <x v="6"/>
            <x v="7"/>
            <x v="8"/>
            <x v="9"/>
          </reference>
          <reference field="45" count="1" selected="0">
            <x v="1"/>
          </reference>
        </references>
      </pivotArea>
    </format>
    <format dxfId="947">
      <pivotArea outline="0" fieldPosition="0">
        <references count="3">
          <reference field="4294967294" count="3" selected="0">
            <x v="3"/>
            <x v="4"/>
            <x v="5"/>
          </reference>
          <reference field="0" count="1" selected="0">
            <x v="0"/>
          </reference>
          <reference field="45" count="1" selected="0" defaultSubtotal="1">
            <x v="4"/>
          </reference>
        </references>
      </pivotArea>
    </format>
    <format dxfId="946">
      <pivotArea outline="0" fieldPosition="0">
        <references count="3">
          <reference field="4294967294" count="3" selected="0">
            <x v="18"/>
            <x v="19"/>
            <x v="20"/>
          </reference>
          <reference field="0" count="1" selected="0">
            <x v="0"/>
          </reference>
          <reference field="45" count="1" selected="0" defaultSubtotal="1">
            <x v="4"/>
          </reference>
        </references>
      </pivotArea>
    </format>
    <format dxfId="945">
      <pivotArea outline="0" fieldPosition="0">
        <references count="3">
          <reference field="4294967294" count="3" selected="0">
            <x v="18"/>
            <x v="19"/>
            <x v="20"/>
          </reference>
          <reference field="0" count="1" selected="0">
            <x v="2"/>
          </reference>
          <reference field="45" count="1" selected="0" defaultSubtotal="1">
            <x v="4"/>
          </reference>
        </references>
      </pivotArea>
    </format>
    <format dxfId="944">
      <pivotArea outline="0" fieldPosition="0">
        <references count="3">
          <reference field="4294967294" count="3" selected="0">
            <x v="3"/>
            <x v="4"/>
            <x v="5"/>
          </reference>
          <reference field="0" count="1" selected="0">
            <x v="4"/>
          </reference>
          <reference field="45" count="1" selected="0" defaultSubtotal="1">
            <x v="4"/>
          </reference>
        </references>
      </pivotArea>
    </format>
    <format dxfId="943">
      <pivotArea outline="0" fieldPosition="0">
        <references count="3">
          <reference field="4294967294" count="3" selected="0">
            <x v="18"/>
            <x v="19"/>
            <x v="20"/>
          </reference>
          <reference field="0" count="1" selected="0">
            <x v="4"/>
          </reference>
          <reference field="45" count="1" selected="0" defaultSubtotal="1">
            <x v="4"/>
          </reference>
        </references>
      </pivotArea>
    </format>
    <format dxfId="942">
      <pivotArea outline="0" fieldPosition="0">
        <references count="3">
          <reference field="4294967294" count="3" selected="0">
            <x v="18"/>
            <x v="19"/>
            <x v="20"/>
          </reference>
          <reference field="0" count="1" selected="0">
            <x v="5"/>
          </reference>
          <reference field="45" count="1" selected="0" defaultSubtotal="1">
            <x v="4"/>
          </reference>
        </references>
      </pivotArea>
    </format>
    <format dxfId="941">
      <pivotArea outline="0" fieldPosition="0">
        <references count="3">
          <reference field="4294967294" count="3" selected="0">
            <x v="3"/>
            <x v="4"/>
            <x v="5"/>
          </reference>
          <reference field="0" count="1" selected="0">
            <x v="6"/>
          </reference>
          <reference field="45" count="1" selected="0" defaultSubtotal="1">
            <x v="4"/>
          </reference>
        </references>
      </pivotArea>
    </format>
    <format dxfId="940">
      <pivotArea outline="0" fieldPosition="0">
        <references count="3">
          <reference field="4294967294" count="3" selected="0">
            <x v="18"/>
            <x v="19"/>
            <x v="20"/>
          </reference>
          <reference field="0" count="1" selected="0">
            <x v="7"/>
          </reference>
          <reference field="45" count="1" selected="0" defaultSubtotal="1">
            <x v="4"/>
          </reference>
        </references>
      </pivotArea>
    </format>
    <format dxfId="939">
      <pivotArea outline="0" fieldPosition="0">
        <references count="3">
          <reference field="4294967294" count="3" selected="0">
            <x v="3"/>
            <x v="4"/>
            <x v="5"/>
          </reference>
          <reference field="0" count="1" selected="0">
            <x v="8"/>
          </reference>
          <reference field="45" count="1" selected="0" defaultSubtotal="1">
            <x v="4"/>
          </reference>
        </references>
      </pivotArea>
    </format>
    <format dxfId="938">
      <pivotArea outline="0" fieldPosition="0">
        <references count="3">
          <reference field="4294967294" count="3" selected="0">
            <x v="3"/>
            <x v="4"/>
            <x v="5"/>
          </reference>
          <reference field="0" count="1" selected="0">
            <x v="10"/>
          </reference>
          <reference field="45" count="1" selected="0" defaultSubtotal="1">
            <x v="4"/>
          </reference>
        </references>
      </pivotArea>
    </format>
    <format dxfId="937">
      <pivotArea outline="0" fieldPosition="0">
        <references count="3">
          <reference field="4294967294" count="3" selected="0">
            <x v="18"/>
            <x v="19"/>
            <x v="20"/>
          </reference>
          <reference field="0" count="1" selected="0">
            <x v="12"/>
          </reference>
          <reference field="45" count="1" selected="0" defaultSubtotal="1">
            <x v="4"/>
          </reference>
        </references>
      </pivotArea>
    </format>
    <format dxfId="936">
      <pivotArea outline="0" fieldPosition="0">
        <references count="3">
          <reference field="4294967294" count="3" selected="0">
            <x v="3"/>
            <x v="4"/>
            <x v="5"/>
          </reference>
          <reference field="0" count="1" selected="0">
            <x v="13"/>
          </reference>
          <reference field="45" count="1" selected="0" defaultSubtotal="1">
            <x v="4"/>
          </reference>
        </references>
      </pivotArea>
    </format>
    <format dxfId="935">
      <pivotArea outline="0" fieldPosition="0">
        <references count="3">
          <reference field="4294967294" count="3" selected="0">
            <x v="18"/>
            <x v="19"/>
            <x v="20"/>
          </reference>
          <reference field="0" count="1" selected="0">
            <x v="13"/>
          </reference>
          <reference field="45" count="1" selected="0" defaultSubtotal="1">
            <x v="4"/>
          </reference>
        </references>
      </pivotArea>
    </format>
    <format dxfId="934">
      <pivotArea outline="0" fieldPosition="0">
        <references count="3">
          <reference field="4294967294" count="3" selected="0">
            <x v="18"/>
            <x v="19"/>
            <x v="20"/>
          </reference>
          <reference field="0" count="1" selected="0">
            <x v="13"/>
          </reference>
          <reference field="45" count="1" selected="0">
            <x v="3"/>
          </reference>
        </references>
      </pivotArea>
    </format>
    <format dxfId="933">
      <pivotArea outline="0" fieldPosition="0">
        <references count="3">
          <reference field="4294967294" count="3" selected="0">
            <x v="30"/>
            <x v="31"/>
            <x v="32"/>
          </reference>
          <reference field="0" count="1" selected="0">
            <x v="13"/>
          </reference>
          <reference field="45" count="1" selected="0" defaultSubtotal="1">
            <x v="4"/>
          </reference>
        </references>
      </pivotArea>
    </format>
    <format dxfId="932">
      <pivotArea outline="0" fieldPosition="0">
        <references count="3">
          <reference field="4294967294" count="3" selected="0">
            <x v="3"/>
            <x v="4"/>
            <x v="5"/>
          </reference>
          <reference field="0" count="1" selected="0">
            <x v="14"/>
          </reference>
          <reference field="45" count="1" selected="0" defaultSubtotal="1">
            <x v="4"/>
          </reference>
        </references>
      </pivotArea>
    </format>
    <format dxfId="931">
      <pivotArea outline="0" fieldPosition="0">
        <references count="3">
          <reference field="4294967294" count="3" selected="0">
            <x v="3"/>
            <x v="4"/>
            <x v="5"/>
          </reference>
          <reference field="0" count="1" selected="0">
            <x v="15"/>
          </reference>
          <reference field="45" count="1" selected="0" defaultSubtotal="1">
            <x v="4"/>
          </reference>
        </references>
      </pivotArea>
    </format>
    <format dxfId="930">
      <pivotArea outline="0" fieldPosition="0">
        <references count="3">
          <reference field="4294967294" count="3" selected="0">
            <x v="30"/>
            <x v="31"/>
            <x v="32"/>
          </reference>
          <reference field="0" count="1" selected="0">
            <x v="15"/>
          </reference>
          <reference field="45" count="1" selected="0">
            <x v="3"/>
          </reference>
        </references>
      </pivotArea>
    </format>
    <format dxfId="929">
      <pivotArea outline="0" fieldPosition="0">
        <references count="3">
          <reference field="4294967294" count="3" selected="0">
            <x v="33"/>
            <x v="34"/>
            <x v="35"/>
          </reference>
          <reference field="0" count="1" selected="0">
            <x v="15"/>
          </reference>
          <reference field="45" count="1" selected="0">
            <x v="3"/>
          </reference>
        </references>
      </pivotArea>
    </format>
    <format dxfId="928">
      <pivotArea outline="0" fieldPosition="0">
        <references count="3">
          <reference field="4294967294" count="3" selected="0">
            <x v="33"/>
            <x v="34"/>
            <x v="35"/>
          </reference>
          <reference field="0" count="1" selected="0">
            <x v="13"/>
          </reference>
          <reference field="45" count="1" selected="0">
            <x v="3"/>
          </reference>
        </references>
      </pivotArea>
    </format>
    <format dxfId="927">
      <pivotArea dataOnly="0" labelOnly="1" outline="0" offset="IV256" fieldPosition="0">
        <references count="1">
          <reference field="0" count="1">
            <x v="1"/>
          </reference>
        </references>
      </pivotArea>
    </format>
    <format dxfId="926">
      <pivotArea dataOnly="0" labelOnly="1" outline="0" offset="IV256" fieldPosition="0">
        <references count="1">
          <reference field="0" count="1">
            <x v="2"/>
          </reference>
        </references>
      </pivotArea>
    </format>
    <format dxfId="925">
      <pivotArea dataOnly="0" labelOnly="1" outline="0" offset="IV256" fieldPosition="0">
        <references count="1">
          <reference field="0" count="1">
            <x v="3"/>
          </reference>
        </references>
      </pivotArea>
    </format>
    <format dxfId="924">
      <pivotArea dataOnly="0" labelOnly="1" outline="0" offset="IV256" fieldPosition="0">
        <references count="1">
          <reference field="0" count="1">
            <x v="4"/>
          </reference>
        </references>
      </pivotArea>
    </format>
    <format dxfId="923">
      <pivotArea dataOnly="0" labelOnly="1" outline="0" offset="IV256" fieldPosition="0">
        <references count="1">
          <reference field="0" count="1">
            <x v="5"/>
          </reference>
        </references>
      </pivotArea>
    </format>
    <format dxfId="922">
      <pivotArea dataOnly="0" labelOnly="1" outline="0" offset="IV256" fieldPosition="0">
        <references count="1">
          <reference field="0" count="1">
            <x v="6"/>
          </reference>
        </references>
      </pivotArea>
    </format>
    <format dxfId="921">
      <pivotArea dataOnly="0" labelOnly="1" outline="0" offset="IV256" fieldPosition="0">
        <references count="1">
          <reference field="0" count="1">
            <x v="7"/>
          </reference>
        </references>
      </pivotArea>
    </format>
    <format dxfId="920">
      <pivotArea dataOnly="0" labelOnly="1" outline="0" offset="IV256" fieldPosition="0">
        <references count="1">
          <reference field="0" count="1">
            <x v="8"/>
          </reference>
        </references>
      </pivotArea>
    </format>
    <format dxfId="919">
      <pivotArea dataOnly="0" labelOnly="1" outline="0" offset="IV256" fieldPosition="0">
        <references count="1">
          <reference field="0" count="1">
            <x v="9"/>
          </reference>
        </references>
      </pivotArea>
    </format>
    <format dxfId="918">
      <pivotArea dataOnly="0" labelOnly="1" outline="0" offset="IV256" fieldPosition="0">
        <references count="1">
          <reference field="0" count="1">
            <x v="10"/>
          </reference>
        </references>
      </pivotArea>
    </format>
    <format dxfId="917">
      <pivotArea dataOnly="0" labelOnly="1" outline="0" offset="IV256" fieldPosition="0">
        <references count="1">
          <reference field="0" count="1">
            <x v="11"/>
          </reference>
        </references>
      </pivotArea>
    </format>
    <format dxfId="916">
      <pivotArea dataOnly="0" labelOnly="1" outline="0" offset="IV256" fieldPosition="0">
        <references count="1">
          <reference field="0" count="1">
            <x v="12"/>
          </reference>
        </references>
      </pivotArea>
    </format>
    <format dxfId="915">
      <pivotArea dataOnly="0" labelOnly="1" outline="0" offset="IV256" fieldPosition="0">
        <references count="1">
          <reference field="0" count="1">
            <x v="13"/>
          </reference>
        </references>
      </pivotArea>
    </format>
    <format dxfId="914">
      <pivotArea dataOnly="0" labelOnly="1" outline="0" offset="IV256" fieldPosition="0">
        <references count="1">
          <reference field="0" count="1">
            <x v="14"/>
          </reference>
        </references>
      </pivotArea>
    </format>
    <format dxfId="913">
      <pivotArea dataOnly="0" labelOnly="1" outline="0" offset="IV256" fieldPosition="0">
        <references count="1">
          <reference field="0" count="1">
            <x v="15"/>
          </reference>
        </references>
      </pivotArea>
    </format>
    <format dxfId="912">
      <pivotArea outline="0" fieldPosition="0">
        <references count="3">
          <reference field="4294967294" count="1" selected="0">
            <x v="5"/>
          </reference>
          <reference field="0" count="1" selected="0">
            <x v="0"/>
          </reference>
          <reference field="45" count="1" selected="0" defaultSubtotal="1">
            <x v="0"/>
          </reference>
        </references>
      </pivotArea>
    </format>
    <format dxfId="911">
      <pivotArea outline="0" fieldPosition="0">
        <references count="2">
          <reference field="4294967294" count="1" selected="0">
            <x v="2"/>
          </reference>
          <reference field="0" count="1" selected="0">
            <x v="0"/>
          </reference>
        </references>
      </pivotArea>
    </format>
    <format dxfId="910">
      <pivotArea outline="0" fieldPosition="0">
        <references count="3">
          <reference field="4294967294" count="1" selected="0">
            <x v="11"/>
          </reference>
          <reference field="0" count="1" selected="0">
            <x v="0"/>
          </reference>
          <reference field="45" count="1" selected="0">
            <x v="0"/>
          </reference>
        </references>
      </pivotArea>
    </format>
    <format dxfId="909">
      <pivotArea outline="0" fieldPosition="0">
        <references count="3">
          <reference field="4294967294" count="1" selected="0">
            <x v="14"/>
          </reference>
          <reference field="0" count="1" selected="0">
            <x v="0"/>
          </reference>
          <reference field="45" count="1" selected="0" defaultSubtotal="1">
            <x v="0"/>
          </reference>
        </references>
      </pivotArea>
    </format>
    <format dxfId="908">
      <pivotArea outline="0" fieldPosition="0">
        <references count="3">
          <reference field="4294967294" count="1" selected="0">
            <x v="30"/>
          </reference>
          <reference field="0" count="1" selected="0">
            <x v="15"/>
          </reference>
          <reference field="45" count="1" selected="0">
            <x v="3"/>
          </reference>
        </references>
      </pivotArea>
    </format>
    <format dxfId="907">
      <pivotArea outline="0" fieldPosition="0">
        <references count="4">
          <reference field="4294967294" count="3" selected="0">
            <x v="6"/>
            <x v="7"/>
            <x v="8"/>
          </reference>
          <reference field="0" count="1" selected="0">
            <x v="1"/>
          </reference>
          <reference field="5" count="1" selected="0">
            <x v="9"/>
          </reference>
          <reference field="45" count="1" selected="0">
            <x v="1"/>
          </reference>
        </references>
      </pivotArea>
    </format>
    <format dxfId="906">
      <pivotArea outline="0" fieldPosition="0">
        <references count="4">
          <reference field="4294967294" count="3" selected="0">
            <x v="12"/>
            <x v="13"/>
            <x v="14"/>
          </reference>
          <reference field="0" count="1" selected="0">
            <x v="2"/>
          </reference>
          <reference field="5" count="1" selected="0">
            <x v="0"/>
          </reference>
          <reference field="45" count="1" selected="0">
            <x v="0"/>
          </reference>
        </references>
      </pivotArea>
    </format>
    <format dxfId="905">
      <pivotArea outline="0"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 dxfId="904">
      <pivotArea outline="0" fieldPosition="0">
        <references count="4">
          <reference field="4294967294" count="3" selected="0">
            <x v="9"/>
            <x v="10"/>
            <x v="11"/>
          </reference>
          <reference field="0" count="1" selected="0">
            <x v="4"/>
          </reference>
          <reference field="5" count="1" selected="0">
            <x v="1"/>
          </reference>
          <reference field="45" count="1" selected="0">
            <x v="0"/>
          </reference>
        </references>
      </pivotArea>
    </format>
    <format dxfId="903">
      <pivotArea outline="0" fieldPosition="0">
        <references count="4">
          <reference field="4294967294" count="3" selected="0">
            <x v="33"/>
            <x v="34"/>
            <x v="35"/>
          </reference>
          <reference field="0" count="1" selected="0">
            <x v="8"/>
          </reference>
          <reference field="5" count="1" selected="0">
            <x v="1"/>
          </reference>
          <reference field="45" count="1" selected="0">
            <x v="0"/>
          </reference>
        </references>
      </pivotArea>
    </format>
    <format dxfId="902">
      <pivotArea outline="0" fieldPosition="0">
        <references count="4">
          <reference field="4294967294" count="3" selected="0">
            <x v="6"/>
            <x v="7"/>
            <x v="8"/>
          </reference>
          <reference field="0" count="1" selected="0">
            <x v="11"/>
          </reference>
          <reference field="5" count="3" selected="0">
            <x v="7"/>
            <x v="8"/>
            <x v="9"/>
          </reference>
          <reference field="45" count="1" selected="0">
            <x v="1"/>
          </reference>
        </references>
      </pivotArea>
    </format>
    <format dxfId="901">
      <pivotArea outline="0" fieldPosition="0">
        <references count="4">
          <reference field="4294967294" count="6" selected="0">
            <x v="30"/>
            <x v="31"/>
            <x v="32"/>
            <x v="33"/>
            <x v="34"/>
            <x v="35"/>
          </reference>
          <reference field="0" count="1" selected="0">
            <x v="12"/>
          </reference>
          <reference field="5" count="1" selected="0">
            <x v="2"/>
          </reference>
          <reference field="45" count="1" selected="0">
            <x v="0"/>
          </reference>
        </references>
      </pivotArea>
    </format>
    <format dxfId="900">
      <pivotArea outline="0" fieldPosition="0">
        <references count="4">
          <reference field="4294967294" count="3" selected="0">
            <x v="33"/>
            <x v="34"/>
            <x v="35"/>
          </reference>
          <reference field="0" count="1" selected="0">
            <x v="15"/>
          </reference>
          <reference field="5" count="1" selected="0">
            <x v="0"/>
          </reference>
          <reference field="45" count="1" selected="0">
            <x v="0"/>
          </reference>
        </references>
      </pivotArea>
    </format>
    <format dxfId="899">
      <pivotArea outline="0" fieldPosition="0">
        <references count="4">
          <reference field="4294967294" count="1" selected="0">
            <x v="12"/>
          </reference>
          <reference field="0" count="1" selected="0">
            <x v="2"/>
          </reference>
          <reference field="5" count="1" selected="0">
            <x v="3"/>
          </reference>
          <reference field="45" count="1" selected="0">
            <x v="0"/>
          </reference>
        </references>
      </pivotArea>
    </format>
    <format dxfId="898">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897">
      <pivotArea outline="0" fieldPosition="0">
        <references count="4">
          <reference field="4294967294" count="3" selected="0">
            <x v="9"/>
            <x v="10"/>
            <x v="11"/>
          </reference>
          <reference field="0" count="1" selected="0">
            <x v="4"/>
          </reference>
          <reference field="5" count="1" selected="0">
            <x v="5"/>
          </reference>
          <reference field="45" count="1" selected="0">
            <x v="0"/>
          </reference>
        </references>
      </pivotArea>
    </format>
    <format dxfId="896">
      <pivotArea outline="0" fieldPosition="0">
        <references count="4">
          <reference field="4294967294" count="1" selected="0">
            <x v="6"/>
          </reference>
          <reference field="0" count="1" selected="0">
            <x v="1"/>
          </reference>
          <reference field="5" count="1" selected="0">
            <x v="9"/>
          </reference>
          <reference field="45" count="1" selected="0">
            <x v="1"/>
          </reference>
        </references>
      </pivotArea>
    </format>
    <format dxfId="895">
      <pivotArea outline="0" fieldPosition="0">
        <references count="4">
          <reference field="4294967294" count="1" selected="0">
            <x v="6"/>
          </reference>
          <reference field="0" count="1" selected="0">
            <x v="11"/>
          </reference>
          <reference field="5" count="1" selected="0">
            <x v="9"/>
          </reference>
          <reference field="45" count="1" selected="0">
            <x v="1"/>
          </reference>
        </references>
      </pivotArea>
    </format>
    <format dxfId="894">
      <pivotArea outline="0" fieldPosition="0">
        <references count="4">
          <reference field="4294967294" count="1" selected="0">
            <x v="9"/>
          </reference>
          <reference field="0" count="1" selected="0">
            <x v="11"/>
          </reference>
          <reference field="5" count="1" selected="0">
            <x v="8"/>
          </reference>
          <reference field="45" count="1" selected="0">
            <x v="1"/>
          </reference>
        </references>
      </pivotArea>
    </format>
    <format dxfId="893">
      <pivotArea outline="0" fieldPosition="0">
        <references count="4">
          <reference field="4294967294" count="3" selected="0">
            <x v="9"/>
            <x v="10"/>
            <x v="11"/>
          </reference>
          <reference field="0" count="1" selected="0">
            <x v="14"/>
          </reference>
          <reference field="5" count="1" selected="0">
            <x v="2"/>
          </reference>
          <reference field="45" count="1" selected="0">
            <x v="0"/>
          </reference>
        </references>
      </pivotArea>
    </format>
    <format dxfId="892">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891">
      <pivotArea outline="0" fieldPosition="0">
        <references count="4">
          <reference field="4294967294" count="1" selected="0">
            <x v="9"/>
          </reference>
          <reference field="0" count="1" selected="0">
            <x v="4"/>
          </reference>
          <reference field="5" count="1" selected="0">
            <x v="5"/>
          </reference>
          <reference field="45" count="1" selected="0">
            <x v="0"/>
          </reference>
        </references>
      </pivotArea>
    </format>
    <format dxfId="890">
      <pivotArea outline="0" fieldPosition="0">
        <references count="4">
          <reference field="4294967294" count="1" selected="0">
            <x v="9"/>
          </reference>
          <reference field="0" count="1" selected="0">
            <x v="4"/>
          </reference>
          <reference field="5" count="1" selected="0">
            <x v="1"/>
          </reference>
          <reference field="45" count="1" selected="0">
            <x v="0"/>
          </reference>
        </references>
      </pivotArea>
    </format>
    <format dxfId="889">
      <pivotArea outline="0" fieldPosition="0">
        <references count="4">
          <reference field="4294967294" count="1" selected="0">
            <x v="0"/>
          </reference>
          <reference field="0" count="1" selected="0">
            <x v="7"/>
          </reference>
          <reference field="5" count="1" selected="0">
            <x v="3"/>
          </reference>
          <reference field="45" count="1" selected="0">
            <x v="0"/>
          </reference>
        </references>
      </pivotArea>
    </format>
    <format dxfId="888">
      <pivotArea outline="0" fieldPosition="0">
        <references count="4">
          <reference field="4294967294" count="1" selected="0">
            <x v="30"/>
          </reference>
          <reference field="0" count="1" selected="0">
            <x v="12"/>
          </reference>
          <reference field="5" count="1" selected="0">
            <x v="2"/>
          </reference>
          <reference field="45" count="1" selected="0">
            <x v="0"/>
          </reference>
        </references>
      </pivotArea>
    </format>
    <format dxfId="887">
      <pivotArea outline="0" fieldPosition="0">
        <references count="4">
          <reference field="4294967294" count="1" selected="0">
            <x v="33"/>
          </reference>
          <reference field="0" count="1" selected="0">
            <x v="12"/>
          </reference>
          <reference field="5" count="1" selected="0">
            <x v="2"/>
          </reference>
          <reference field="45" count="1" selected="0">
            <x v="0"/>
          </reference>
        </references>
      </pivotArea>
    </format>
    <format dxfId="886">
      <pivotArea outline="0" fieldPosition="0">
        <references count="4">
          <reference field="4294967294" count="1" selected="0">
            <x v="17"/>
          </reference>
          <reference field="0" count="1" selected="0">
            <x v="0"/>
          </reference>
          <reference field="5" count="3" selected="0">
            <x v="3"/>
            <x v="4"/>
            <x v="5"/>
          </reference>
          <reference field="45" count="1" selected="0">
            <x v="0"/>
          </reference>
        </references>
      </pivotArea>
    </format>
    <format dxfId="885">
      <pivotArea outline="0" fieldPosition="0">
        <references count="3">
          <reference field="4294967294" count="1" selected="0">
            <x v="17"/>
          </reference>
          <reference field="0" count="1" selected="0">
            <x v="0"/>
          </reference>
          <reference field="45" count="1" selected="0" defaultSubtotal="1">
            <x v="0"/>
          </reference>
        </references>
      </pivotArea>
    </format>
    <format dxfId="884">
      <pivotArea outline="0" fieldPosition="0">
        <references count="4">
          <reference field="4294967294" count="1" selected="0">
            <x v="17"/>
          </reference>
          <reference field="0" count="1" selected="0">
            <x v="0"/>
          </reference>
          <reference field="5" count="3" selected="0">
            <x v="0"/>
            <x v="1"/>
            <x v="2"/>
          </reference>
          <reference field="45" count="1" selected="0">
            <x v="0"/>
          </reference>
        </references>
      </pivotArea>
    </format>
    <format dxfId="883">
      <pivotArea outline="0" fieldPosition="0">
        <references count="4">
          <reference field="4294967294" count="1" selected="0">
            <x v="0"/>
          </reference>
          <reference field="0" count="1" selected="0">
            <x v="0"/>
          </reference>
          <reference field="5" count="1" selected="0">
            <x v="6"/>
          </reference>
          <reference field="45" count="1" selected="0">
            <x v="1"/>
          </reference>
        </references>
      </pivotArea>
    </format>
    <format dxfId="882">
      <pivotArea outline="0" fieldPosition="0">
        <references count="4">
          <reference field="4294967294" count="1" selected="0">
            <x v="0"/>
          </reference>
          <reference field="0" count="1" selected="0">
            <x v="0"/>
          </reference>
          <reference field="5" count="1" selected="0">
            <x v="8"/>
          </reference>
          <reference field="45" count="1" selected="0">
            <x v="1"/>
          </reference>
        </references>
      </pivotArea>
    </format>
    <format dxfId="881">
      <pivotArea dataOnly="0" labelOnly="1" outline="0" fieldPosition="0">
        <references count="2">
          <reference field="5" count="1">
            <x v="9"/>
          </reference>
          <reference field="45" count="1" selected="0">
            <x v="1"/>
          </reference>
        </references>
      </pivotArea>
    </format>
    <format dxfId="880">
      <pivotArea dataOnly="0" labelOnly="1" outline="0" fieldPosition="0">
        <references count="2">
          <reference field="4294967294" count="1">
            <x v="3"/>
          </reference>
          <reference field="0" count="1" selected="0">
            <x v="0"/>
          </reference>
        </references>
      </pivotArea>
    </format>
    <format dxfId="879">
      <pivotArea dataOnly="0" labelOnly="1" outline="0" fieldPosition="0">
        <references count="2">
          <reference field="4294967294" count="1">
            <x v="6"/>
          </reference>
          <reference field="0" count="1" selected="0">
            <x v="0"/>
          </reference>
        </references>
      </pivotArea>
    </format>
    <format dxfId="878">
      <pivotArea dataOnly="0" labelOnly="1" outline="0" fieldPosition="0">
        <references count="2">
          <reference field="4294967294" count="1">
            <x v="9"/>
          </reference>
          <reference field="0" count="1" selected="0">
            <x v="0"/>
          </reference>
        </references>
      </pivotArea>
    </format>
    <format dxfId="877">
      <pivotArea dataOnly="0" labelOnly="1" outline="0" fieldPosition="0">
        <references count="2">
          <reference field="4294967294" count="1">
            <x v="12"/>
          </reference>
          <reference field="0" count="1" selected="0">
            <x v="0"/>
          </reference>
        </references>
      </pivotArea>
    </format>
    <format dxfId="876">
      <pivotArea dataOnly="0" labelOnly="1" outline="0" fieldPosition="0">
        <references count="2">
          <reference field="4294967294" count="1">
            <x v="15"/>
          </reference>
          <reference field="0" count="1" selected="0">
            <x v="0"/>
          </reference>
        </references>
      </pivotArea>
    </format>
    <format dxfId="875">
      <pivotArea dataOnly="0" labelOnly="1" outline="0" fieldPosition="0">
        <references count="2">
          <reference field="4294967294" count="1">
            <x v="18"/>
          </reference>
          <reference field="0" count="1" selected="0">
            <x v="0"/>
          </reference>
        </references>
      </pivotArea>
    </format>
    <format dxfId="874">
      <pivotArea dataOnly="0" labelOnly="1" outline="0" fieldPosition="0">
        <references count="2">
          <reference field="4294967294" count="1">
            <x v="21"/>
          </reference>
          <reference field="0" count="1" selected="0">
            <x v="0"/>
          </reference>
        </references>
      </pivotArea>
    </format>
    <format dxfId="873">
      <pivotArea dataOnly="0" labelOnly="1" outline="0" fieldPosition="0">
        <references count="2">
          <reference field="4294967294" count="1">
            <x v="24"/>
          </reference>
          <reference field="0" count="1" selected="0">
            <x v="0"/>
          </reference>
        </references>
      </pivotArea>
    </format>
    <format dxfId="872">
      <pivotArea dataOnly="0" labelOnly="1" outline="0" fieldPosition="0">
        <references count="2">
          <reference field="4294967294" count="1">
            <x v="27"/>
          </reference>
          <reference field="0" count="1" selected="0">
            <x v="0"/>
          </reference>
        </references>
      </pivotArea>
    </format>
    <format dxfId="871">
      <pivotArea dataOnly="0" labelOnly="1" outline="0" fieldPosition="0">
        <references count="2">
          <reference field="4294967294" count="1">
            <x v="30"/>
          </reference>
          <reference field="0" count="1" selected="0">
            <x v="0"/>
          </reference>
        </references>
      </pivotArea>
    </format>
    <format dxfId="870">
      <pivotArea dataOnly="0" labelOnly="1" outline="0" fieldPosition="0">
        <references count="2">
          <reference field="4294967294" count="1">
            <x v="33"/>
          </reference>
          <reference field="0" count="1" selected="0">
            <x v="0"/>
          </reference>
        </references>
      </pivotArea>
    </format>
    <format dxfId="869">
      <pivotArea outline="0" fieldPosition="0">
        <references count="2">
          <reference field="4294967294" count="1" selected="0">
            <x v="20"/>
          </reference>
          <reference field="0" count="1" selected="0">
            <x v="0"/>
          </reference>
        </references>
      </pivotArea>
    </format>
    <format dxfId="868">
      <pivotArea outline="0" fieldPosition="0">
        <references count="4">
          <reference field="4294967294" count="1" selected="0">
            <x v="0"/>
          </reference>
          <reference field="0" count="1" selected="0">
            <x v="0"/>
          </reference>
          <reference field="5" count="1" selected="0">
            <x v="0"/>
          </reference>
          <reference field="45" count="1" selected="0">
            <x v="0"/>
          </reference>
        </references>
      </pivotArea>
    </format>
    <format dxfId="867">
      <pivotArea outline="0" fieldPosition="0">
        <references count="4">
          <reference field="4294967294" count="1" selected="0">
            <x v="3"/>
          </reference>
          <reference field="0" count="1" selected="0">
            <x v="0"/>
          </reference>
          <reference field="5" count="1" selected="0">
            <x v="0"/>
          </reference>
          <reference field="45" count="1" selected="0">
            <x v="0"/>
          </reference>
        </references>
      </pivotArea>
    </format>
    <format dxfId="866">
      <pivotArea outline="0" fieldPosition="0">
        <references count="4">
          <reference field="4294967294" count="1" selected="0">
            <x v="6"/>
          </reference>
          <reference field="0" count="1" selected="0">
            <x v="0"/>
          </reference>
          <reference field="5" count="1" selected="0">
            <x v="0"/>
          </reference>
          <reference field="45" count="1" selected="0">
            <x v="0"/>
          </reference>
        </references>
      </pivotArea>
    </format>
    <format dxfId="865">
      <pivotArea outline="0" fieldPosition="0">
        <references count="4">
          <reference field="4294967294" count="1" selected="0">
            <x v="9"/>
          </reference>
          <reference field="0" count="1" selected="0">
            <x v="0"/>
          </reference>
          <reference field="5" count="1" selected="0">
            <x v="0"/>
          </reference>
          <reference field="45" count="1" selected="0">
            <x v="0"/>
          </reference>
        </references>
      </pivotArea>
    </format>
    <format dxfId="864">
      <pivotArea outline="0" fieldPosition="0">
        <references count="4">
          <reference field="4294967294" count="1" selected="0">
            <x v="12"/>
          </reference>
          <reference field="0" count="1" selected="0">
            <x v="0"/>
          </reference>
          <reference field="5" count="1" selected="0">
            <x v="0"/>
          </reference>
          <reference field="45" count="1" selected="0">
            <x v="0"/>
          </reference>
        </references>
      </pivotArea>
    </format>
    <format dxfId="863">
      <pivotArea outline="0" fieldPosition="0">
        <references count="4">
          <reference field="4294967294" count="1" selected="0">
            <x v="15"/>
          </reference>
          <reference field="0" count="1" selected="0">
            <x v="0"/>
          </reference>
          <reference field="5" count="1" selected="0">
            <x v="0"/>
          </reference>
          <reference field="45" count="1" selected="0">
            <x v="0"/>
          </reference>
        </references>
      </pivotArea>
    </format>
    <format dxfId="862">
      <pivotArea outline="0" fieldPosition="0">
        <references count="4">
          <reference field="4294967294" count="1" selected="0">
            <x v="18"/>
          </reference>
          <reference field="0" count="1" selected="0">
            <x v="0"/>
          </reference>
          <reference field="5" count="1" selected="0">
            <x v="0"/>
          </reference>
          <reference field="45" count="1" selected="0">
            <x v="0"/>
          </reference>
        </references>
      </pivotArea>
    </format>
    <format dxfId="861">
      <pivotArea outline="0" fieldPosition="0">
        <references count="4">
          <reference field="4294967294" count="1" selected="0">
            <x v="21"/>
          </reference>
          <reference field="0" count="1" selected="0">
            <x v="0"/>
          </reference>
          <reference field="5" count="1" selected="0">
            <x v="0"/>
          </reference>
          <reference field="45" count="1" selected="0">
            <x v="0"/>
          </reference>
        </references>
      </pivotArea>
    </format>
    <format dxfId="860">
      <pivotArea outline="0" fieldPosition="0">
        <references count="4">
          <reference field="4294967294" count="1" selected="0">
            <x v="24"/>
          </reference>
          <reference field="0" count="1" selected="0">
            <x v="0"/>
          </reference>
          <reference field="5" count="1" selected="0">
            <x v="0"/>
          </reference>
          <reference field="45" count="1" selected="0">
            <x v="0"/>
          </reference>
        </references>
      </pivotArea>
    </format>
    <format dxfId="859">
      <pivotArea outline="0" fieldPosition="0">
        <references count="4">
          <reference field="4294967294" count="1" selected="0">
            <x v="27"/>
          </reference>
          <reference field="0" count="1" selected="0">
            <x v="0"/>
          </reference>
          <reference field="5" count="1" selected="0">
            <x v="0"/>
          </reference>
          <reference field="45" count="1" selected="0">
            <x v="0"/>
          </reference>
        </references>
      </pivotArea>
    </format>
    <format dxfId="858">
      <pivotArea outline="0" fieldPosition="0">
        <references count="4">
          <reference field="4294967294" count="1" selected="0">
            <x v="30"/>
          </reference>
          <reference field="0" count="1" selected="0">
            <x v="0"/>
          </reference>
          <reference field="5" count="1" selected="0">
            <x v="0"/>
          </reference>
          <reference field="45" count="1" selected="0">
            <x v="0"/>
          </reference>
        </references>
      </pivotArea>
    </format>
    <format dxfId="857">
      <pivotArea outline="0" fieldPosition="0">
        <references count="4">
          <reference field="4294967294" count="1" selected="0">
            <x v="33"/>
          </reference>
          <reference field="0" count="1" selected="0">
            <x v="0"/>
          </reference>
          <reference field="5" count="1" selected="0">
            <x v="0"/>
          </reference>
          <reference field="45" count="1" selected="0">
            <x v="0"/>
          </reference>
        </references>
      </pivotArea>
    </format>
    <format dxfId="856">
      <pivotArea outline="0" fieldPosition="0">
        <references count="4">
          <reference field="4294967294" count="3" selected="0">
            <x v="12"/>
            <x v="13"/>
            <x v="14"/>
          </reference>
          <reference field="0" count="1" selected="0">
            <x v="0"/>
          </reference>
          <reference field="5" count="1" selected="0">
            <x v="4"/>
          </reference>
          <reference field="45" count="1" selected="0">
            <x v="0"/>
          </reference>
        </references>
      </pivotArea>
    </format>
    <format dxfId="855">
      <pivotArea outline="0" fieldPosition="0">
        <references count="4">
          <reference field="4294967294" count="3" selected="0">
            <x v="12"/>
            <x v="13"/>
            <x v="14"/>
          </reference>
          <reference field="0" count="1" selected="0">
            <x v="0"/>
          </reference>
          <reference field="5" count="1" selected="0">
            <x v="4"/>
          </reference>
          <reference field="45" count="1" selected="0">
            <x v="0"/>
          </reference>
        </references>
      </pivotArea>
    </format>
    <format dxfId="854">
      <pivotArea outline="0" fieldPosition="0">
        <references count="4">
          <reference field="4294967294" count="1" selected="0">
            <x v="3"/>
          </reference>
          <reference field="0" count="1" selected="0">
            <x v="0"/>
          </reference>
          <reference field="5" count="1" selected="0">
            <x v="4"/>
          </reference>
          <reference field="45" count="1" selected="0">
            <x v="0"/>
          </reference>
        </references>
      </pivotArea>
    </format>
    <format dxfId="853">
      <pivotArea outline="0" fieldPosition="0">
        <references count="4">
          <reference field="4294967294" count="1" selected="0">
            <x v="3"/>
          </reference>
          <reference field="0" count="1" selected="0">
            <x v="0"/>
          </reference>
          <reference field="5" count="1" selected="0">
            <x v="3"/>
          </reference>
          <reference field="45" count="1" selected="0">
            <x v="0"/>
          </reference>
        </references>
      </pivotArea>
    </format>
    <format dxfId="852">
      <pivotArea outline="0" fieldPosition="0">
        <references count="4">
          <reference field="4294967294" count="1" selected="0">
            <x v="9"/>
          </reference>
          <reference field="0" count="1" selected="0">
            <x v="0"/>
          </reference>
          <reference field="5" count="1" selected="0">
            <x v="3"/>
          </reference>
          <reference field="45" count="1" selected="0">
            <x v="0"/>
          </reference>
        </references>
      </pivotArea>
    </format>
    <format dxfId="851">
      <pivotArea outline="0" fieldPosition="0">
        <references count="4">
          <reference field="4294967294" count="1" selected="0">
            <x v="12"/>
          </reference>
          <reference field="0" count="1" selected="0">
            <x v="0"/>
          </reference>
          <reference field="5" count="1" selected="0">
            <x v="3"/>
          </reference>
          <reference field="45" count="1" selected="0">
            <x v="0"/>
          </reference>
        </references>
      </pivotArea>
    </format>
    <format dxfId="850">
      <pivotArea outline="0" fieldPosition="0">
        <references count="4">
          <reference field="4294967294" count="3" selected="0">
            <x v="3"/>
            <x v="4"/>
            <x v="5"/>
          </reference>
          <reference field="0" count="1" selected="0">
            <x v="0"/>
          </reference>
          <reference field="5" count="1" selected="0">
            <x v="9"/>
          </reference>
          <reference field="45" count="1" selected="0">
            <x v="1"/>
          </reference>
        </references>
      </pivotArea>
    </format>
    <format dxfId="849">
      <pivotArea outline="0" fieldPosition="0">
        <references count="4">
          <reference field="4294967294" count="3" selected="0">
            <x v="9"/>
            <x v="10"/>
            <x v="11"/>
          </reference>
          <reference field="0" count="1" selected="0">
            <x v="0"/>
          </reference>
          <reference field="5" count="1" selected="0">
            <x v="9"/>
          </reference>
          <reference field="45" count="1" selected="0">
            <x v="1"/>
          </reference>
        </references>
      </pivotArea>
    </format>
    <format dxfId="848">
      <pivotArea outline="0" fieldPosition="0">
        <references count="4">
          <reference field="4294967294" count="3" selected="0">
            <x v="9"/>
            <x v="10"/>
            <x v="11"/>
          </reference>
          <reference field="0" count="1" selected="0">
            <x v="0"/>
          </reference>
          <reference field="5" count="1" selected="0">
            <x v="8"/>
          </reference>
          <reference field="45" count="1" selected="0">
            <x v="1"/>
          </reference>
        </references>
      </pivotArea>
    </format>
    <format dxfId="847">
      <pivotArea outline="0" fieldPosition="0">
        <references count="4">
          <reference field="4294967294" count="3" selected="0">
            <x v="12"/>
            <x v="13"/>
            <x v="14"/>
          </reference>
          <reference field="0" count="1" selected="0">
            <x v="0"/>
          </reference>
          <reference field="5" count="1" selected="0">
            <x v="7"/>
          </reference>
          <reference field="45" count="1" selected="0">
            <x v="1"/>
          </reference>
        </references>
      </pivotArea>
    </format>
    <format dxfId="846">
      <pivotArea outline="0" fieldPosition="0">
        <references count="4">
          <reference field="4294967294" count="3" selected="0">
            <x v="12"/>
            <x v="13"/>
            <x v="14"/>
          </reference>
          <reference field="0" count="1" selected="0">
            <x v="0"/>
          </reference>
          <reference field="5" count="1" selected="0">
            <x v="8"/>
          </reference>
          <reference field="45" count="1" selected="0">
            <x v="1"/>
          </reference>
        </references>
      </pivotArea>
    </format>
    <format dxfId="845">
      <pivotArea outline="0" fieldPosition="0">
        <references count="4">
          <reference field="4294967294" count="3" selected="0">
            <x v="12"/>
            <x v="13"/>
            <x v="14"/>
          </reference>
          <reference field="0" count="1" selected="0">
            <x v="0"/>
          </reference>
          <reference field="5" count="1" selected="0">
            <x v="9"/>
          </reference>
          <reference field="45" count="1" selected="0">
            <x v="1"/>
          </reference>
        </references>
      </pivotArea>
    </format>
    <format dxfId="844">
      <pivotArea outline="0" fieldPosition="0">
        <references count="4">
          <reference field="4294967294" count="3" selected="0">
            <x v="18"/>
            <x v="19"/>
            <x v="20"/>
          </reference>
          <reference field="0" count="1" selected="0">
            <x v="0"/>
          </reference>
          <reference field="5" count="1" selected="0">
            <x v="9"/>
          </reference>
          <reference field="45" count="1" selected="0">
            <x v="1"/>
          </reference>
        </references>
      </pivotArea>
    </format>
    <format dxfId="843">
      <pivotArea outline="0" fieldPosition="0">
        <references count="3">
          <reference field="4294967294" count="3" selected="0">
            <x v="3"/>
            <x v="4"/>
            <x v="5"/>
          </reference>
          <reference field="0" count="1" selected="0">
            <x v="0"/>
          </reference>
          <reference field="45" count="1" selected="0" defaultSubtotal="1">
            <x v="4"/>
          </reference>
        </references>
      </pivotArea>
    </format>
    <format dxfId="842">
      <pivotArea outline="0" fieldPosition="0">
        <references count="4">
          <reference field="4294967294" count="3" selected="0">
            <x v="3"/>
            <x v="4"/>
            <x v="5"/>
          </reference>
          <reference field="0" count="1" selected="0">
            <x v="1"/>
          </reference>
          <reference field="5" count="1" selected="0">
            <x v="2"/>
          </reference>
          <reference field="45" count="1" selected="0">
            <x v="0"/>
          </reference>
        </references>
      </pivotArea>
    </format>
    <format dxfId="841">
      <pivotArea outline="0" fieldPosition="0">
        <references count="4">
          <reference field="4294967294" count="3" selected="0">
            <x v="9"/>
            <x v="10"/>
            <x v="11"/>
          </reference>
          <reference field="0" count="1" selected="0">
            <x v="1"/>
          </reference>
          <reference field="5" count="1" selected="0">
            <x v="0"/>
          </reference>
          <reference field="45" count="1" selected="0">
            <x v="0"/>
          </reference>
        </references>
      </pivotArea>
    </format>
    <format dxfId="840">
      <pivotArea outline="0" fieldPosition="0">
        <references count="4">
          <reference field="4294967294" count="3" selected="0">
            <x v="9"/>
            <x v="10"/>
            <x v="11"/>
          </reference>
          <reference field="0" count="1" selected="0">
            <x v="1"/>
          </reference>
          <reference field="5" count="1" selected="0">
            <x v="4"/>
          </reference>
          <reference field="45" count="1" selected="0">
            <x v="0"/>
          </reference>
        </references>
      </pivotArea>
    </format>
    <format dxfId="839">
      <pivotArea outline="0" fieldPosition="0">
        <references count="4">
          <reference field="4294967294" count="3" selected="0">
            <x v="0"/>
            <x v="1"/>
            <x v="2"/>
          </reference>
          <reference field="0" count="1" selected="0">
            <x v="1"/>
          </reference>
          <reference field="5" count="1" selected="0">
            <x v="6"/>
          </reference>
          <reference field="45" count="1" selected="0">
            <x v="1"/>
          </reference>
        </references>
      </pivotArea>
    </format>
    <format dxfId="838">
      <pivotArea outline="0" fieldPosition="0">
        <references count="4">
          <reference field="4294967294" count="3" selected="0">
            <x v="0"/>
            <x v="1"/>
            <x v="2"/>
          </reference>
          <reference field="0" count="1" selected="0">
            <x v="1"/>
          </reference>
          <reference field="5" count="1" selected="0">
            <x v="7"/>
          </reference>
          <reference field="45" count="1" selected="0">
            <x v="1"/>
          </reference>
        </references>
      </pivotArea>
    </format>
    <format dxfId="837">
      <pivotArea outline="0" fieldPosition="0">
        <references count="4">
          <reference field="4294967294" count="3" selected="0">
            <x v="9"/>
            <x v="10"/>
            <x v="11"/>
          </reference>
          <reference field="0" count="1" selected="0">
            <x v="1"/>
          </reference>
          <reference field="5" count="1" selected="0">
            <x v="6"/>
          </reference>
          <reference field="45" count="1" selected="0">
            <x v="1"/>
          </reference>
        </references>
      </pivotArea>
    </format>
    <format dxfId="836">
      <pivotArea outline="0" fieldPosition="0">
        <references count="4">
          <reference field="4294967294" count="3" selected="0">
            <x v="9"/>
            <x v="10"/>
            <x v="11"/>
          </reference>
          <reference field="0" count="1" selected="0">
            <x v="1"/>
          </reference>
          <reference field="5" count="1" selected="0">
            <x v="9"/>
          </reference>
          <reference field="45" count="1" selected="0">
            <x v="1"/>
          </reference>
        </references>
      </pivotArea>
    </format>
    <format dxfId="835">
      <pivotArea outline="0" fieldPosition="0">
        <references count="4">
          <reference field="4294967294" count="3" selected="0">
            <x v="9"/>
            <x v="10"/>
            <x v="11"/>
          </reference>
          <reference field="0" count="1" selected="0">
            <x v="1"/>
          </reference>
          <reference field="5" count="1" selected="0">
            <x v="7"/>
          </reference>
          <reference field="45" count="1" selected="0">
            <x v="1"/>
          </reference>
        </references>
      </pivotArea>
    </format>
    <format dxfId="834">
      <pivotArea outline="0" fieldPosition="0">
        <references count="4">
          <reference field="4294967294" count="3" selected="0">
            <x v="0"/>
            <x v="1"/>
            <x v="2"/>
          </reference>
          <reference field="0" count="1" selected="0">
            <x v="3"/>
          </reference>
          <reference field="5" count="1" selected="0">
            <x v="5"/>
          </reference>
          <reference field="45" count="1" selected="0">
            <x v="0"/>
          </reference>
        </references>
      </pivotArea>
    </format>
    <format dxfId="833">
      <pivotArea outline="0" fieldPosition="0">
        <references count="4">
          <reference field="4294967294" count="3" selected="0">
            <x v="3"/>
            <x v="4"/>
            <x v="5"/>
          </reference>
          <reference field="0" count="1" selected="0">
            <x v="3"/>
          </reference>
          <reference field="5" count="1" selected="0">
            <x v="1"/>
          </reference>
          <reference field="45" count="1" selected="0">
            <x v="0"/>
          </reference>
        </references>
      </pivotArea>
    </format>
    <format dxfId="832">
      <pivotArea outline="0" fieldPosition="0">
        <references count="4">
          <reference field="4294967294" count="3" selected="0">
            <x v="3"/>
            <x v="4"/>
            <x v="5"/>
          </reference>
          <reference field="0" count="1" selected="0">
            <x v="3"/>
          </reference>
          <reference field="5" count="1" selected="0">
            <x v="2"/>
          </reference>
          <reference field="45" count="1" selected="0">
            <x v="0"/>
          </reference>
        </references>
      </pivotArea>
    </format>
    <format dxfId="831">
      <pivotArea outline="0" fieldPosition="0">
        <references count="4">
          <reference field="4294967294" count="3" selected="0">
            <x v="9"/>
            <x v="10"/>
            <x v="11"/>
          </reference>
          <reference field="0" count="1" selected="0">
            <x v="3"/>
          </reference>
          <reference field="5" count="1" selected="0">
            <x v="4"/>
          </reference>
          <reference field="45" count="1" selected="0">
            <x v="0"/>
          </reference>
        </references>
      </pivotArea>
    </format>
    <format dxfId="830">
      <pivotArea outline="0" fieldPosition="0">
        <references count="4">
          <reference field="4294967294" count="3" selected="0">
            <x v="9"/>
            <x v="10"/>
            <x v="11"/>
          </reference>
          <reference field="0" count="1" selected="0">
            <x v="3"/>
          </reference>
          <reference field="5" count="1" selected="0">
            <x v="5"/>
          </reference>
          <reference field="45" count="1" selected="0">
            <x v="0"/>
          </reference>
        </references>
      </pivotArea>
    </format>
    <format dxfId="829">
      <pivotArea outline="0" fieldPosition="0">
        <references count="4">
          <reference field="4294967294" count="3" selected="0">
            <x v="12"/>
            <x v="13"/>
            <x v="14"/>
          </reference>
          <reference field="0" count="1" selected="0">
            <x v="3"/>
          </reference>
          <reference field="5" count="1" selected="0">
            <x v="4"/>
          </reference>
          <reference field="45" count="1" selected="0">
            <x v="0"/>
          </reference>
        </references>
      </pivotArea>
    </format>
    <format dxfId="828">
      <pivotArea outline="0" fieldPosition="0">
        <references count="4">
          <reference field="4294967294" count="3" selected="0">
            <x v="30"/>
            <x v="31"/>
            <x v="32"/>
          </reference>
          <reference field="0" count="1" selected="0">
            <x v="3"/>
          </reference>
          <reference field="5" count="1" selected="0">
            <x v="0"/>
          </reference>
          <reference field="45" count="1" selected="0">
            <x v="0"/>
          </reference>
        </references>
      </pivotArea>
    </format>
    <format dxfId="827">
      <pivotArea outline="0" fieldPosition="0">
        <references count="4">
          <reference field="4294967294" count="1" selected="0">
            <x v="30"/>
          </reference>
          <reference field="0" count="1" selected="0">
            <x v="3"/>
          </reference>
          <reference field="5" count="1" selected="0">
            <x v="0"/>
          </reference>
          <reference field="45" count="1" selected="0">
            <x v="0"/>
          </reference>
        </references>
      </pivotArea>
    </format>
    <format dxfId="826">
      <pivotArea outline="0" fieldPosition="0">
        <references count="4">
          <reference field="4294967294" count="3" selected="0">
            <x v="3"/>
            <x v="4"/>
            <x v="5"/>
          </reference>
          <reference field="0" count="1" selected="0">
            <x v="4"/>
          </reference>
          <reference field="5" count="1" selected="0">
            <x v="1"/>
          </reference>
          <reference field="45" count="1" selected="0">
            <x v="0"/>
          </reference>
        </references>
      </pivotArea>
    </format>
    <format dxfId="825">
      <pivotArea outline="0" fieldPosition="0">
        <references count="4">
          <reference field="4294967294" count="3" selected="0">
            <x v="9"/>
            <x v="10"/>
            <x v="11"/>
          </reference>
          <reference field="0" count="1" selected="0">
            <x v="4"/>
          </reference>
          <reference field="5" count="1" selected="0">
            <x v="2"/>
          </reference>
          <reference field="45" count="1" selected="0">
            <x v="0"/>
          </reference>
        </references>
      </pivotArea>
    </format>
    <format dxfId="824">
      <pivotArea outline="0" fieldPosition="0">
        <references count="4">
          <reference field="4294967294" count="3" selected="0">
            <x v="30"/>
            <x v="31"/>
            <x v="32"/>
          </reference>
          <reference field="0" count="1" selected="0">
            <x v="4"/>
          </reference>
          <reference field="5" count="1" selected="0">
            <x v="0"/>
          </reference>
          <reference field="45" count="1" selected="0">
            <x v="0"/>
          </reference>
        </references>
      </pivotArea>
    </format>
    <format dxfId="823">
      <pivotArea outline="0" fieldPosition="0">
        <references count="4">
          <reference field="4294967294" count="3" selected="0">
            <x v="0"/>
            <x v="1"/>
            <x v="2"/>
          </reference>
          <reference field="0" count="1" selected="0">
            <x v="4"/>
          </reference>
          <reference field="5" count="1" selected="0">
            <x v="7"/>
          </reference>
          <reference field="45" count="1" selected="0">
            <x v="1"/>
          </reference>
        </references>
      </pivotArea>
    </format>
    <format dxfId="822">
      <pivotArea outline="0" fieldPosition="0">
        <references count="4">
          <reference field="4294967294" count="3" selected="0">
            <x v="9"/>
            <x v="10"/>
            <x v="11"/>
          </reference>
          <reference field="0" count="1" selected="0">
            <x v="4"/>
          </reference>
          <reference field="5" count="1" selected="0">
            <x v="7"/>
          </reference>
          <reference field="45" count="1" selected="0">
            <x v="1"/>
          </reference>
        </references>
      </pivotArea>
    </format>
    <format dxfId="821">
      <pivotArea outline="0" fieldPosition="0">
        <references count="3">
          <reference field="4294967294" count="3" selected="0">
            <x v="30"/>
            <x v="31"/>
            <x v="32"/>
          </reference>
          <reference field="0" count="1" selected="0">
            <x v="4"/>
          </reference>
          <reference field="45" count="1" selected="0">
            <x v="3"/>
          </reference>
        </references>
      </pivotArea>
    </format>
    <format dxfId="820">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819">
      <pivotArea outline="0" fieldPosition="0">
        <references count="4">
          <reference field="4294967294" count="3" selected="0">
            <x v="3"/>
            <x v="4"/>
            <x v="5"/>
          </reference>
          <reference field="0" count="1" selected="0">
            <x v="5"/>
          </reference>
          <reference field="5" count="1" selected="0">
            <x v="4"/>
          </reference>
          <reference field="45" count="1" selected="0">
            <x v="0"/>
          </reference>
        </references>
      </pivotArea>
    </format>
    <format dxfId="818">
      <pivotArea outline="0" fieldPosition="0">
        <references count="4">
          <reference field="4294967294" count="3" selected="0">
            <x v="9"/>
            <x v="10"/>
            <x v="11"/>
          </reference>
          <reference field="0" count="1" selected="0">
            <x v="5"/>
          </reference>
          <reference field="5" count="1" selected="0">
            <x v="3"/>
          </reference>
          <reference field="45" count="1" selected="0">
            <x v="0"/>
          </reference>
        </references>
      </pivotArea>
    </format>
    <format dxfId="817">
      <pivotArea outline="0" fieldPosition="0">
        <references count="4">
          <reference field="4294967294" count="3" selected="0">
            <x v="0"/>
            <x v="1"/>
            <x v="2"/>
          </reference>
          <reference field="0" count="1" selected="0">
            <x v="5"/>
          </reference>
          <reference field="5" count="1" selected="0">
            <x v="10"/>
          </reference>
          <reference field="45" count="1" selected="0">
            <x v="1"/>
          </reference>
        </references>
      </pivotArea>
    </format>
    <format dxfId="816">
      <pivotArea outline="0" fieldPosition="0">
        <references count="4">
          <reference field="4294967294" count="3" selected="0">
            <x v="3"/>
            <x v="4"/>
            <x v="5"/>
          </reference>
          <reference field="0" count="1" selected="0">
            <x v="6"/>
          </reference>
          <reference field="5" count="1" selected="0">
            <x v="2"/>
          </reference>
          <reference field="45" count="1" selected="0">
            <x v="0"/>
          </reference>
        </references>
      </pivotArea>
    </format>
    <format dxfId="815">
      <pivotArea outline="0" fieldPosition="0">
        <references count="4">
          <reference field="4294967294" count="3" selected="0">
            <x v="9"/>
            <x v="10"/>
            <x v="11"/>
          </reference>
          <reference field="0" count="1" selected="0">
            <x v="6"/>
          </reference>
          <reference field="5" count="1" selected="0">
            <x v="4"/>
          </reference>
          <reference field="45" count="1" selected="0">
            <x v="0"/>
          </reference>
        </references>
      </pivotArea>
    </format>
    <format dxfId="814">
      <pivotArea outline="0" fieldPosition="0">
        <references count="4">
          <reference field="4294967294" count="3" selected="0">
            <x v="9"/>
            <x v="10"/>
            <x v="11"/>
          </reference>
          <reference field="0" count="1" selected="0">
            <x v="6"/>
          </reference>
          <reference field="5" count="1" selected="0">
            <x v="1"/>
          </reference>
          <reference field="45" count="1" selected="0">
            <x v="0"/>
          </reference>
        </references>
      </pivotArea>
    </format>
    <format dxfId="813">
      <pivotArea outline="0" fieldPosition="0">
        <references count="4">
          <reference field="4294967294" count="3" selected="0">
            <x v="9"/>
            <x v="10"/>
            <x v="11"/>
          </reference>
          <reference field="0" count="1" selected="0">
            <x v="6"/>
          </reference>
          <reference field="5" count="1" selected="0">
            <x v="0"/>
          </reference>
          <reference field="45" count="1" selected="0">
            <x v="0"/>
          </reference>
        </references>
      </pivotArea>
    </format>
    <format dxfId="812">
      <pivotArea outline="0" fieldPosition="0">
        <references count="4">
          <reference field="4294967294" count="3" selected="0">
            <x v="0"/>
            <x v="1"/>
            <x v="2"/>
          </reference>
          <reference field="0" count="1" selected="0">
            <x v="6"/>
          </reference>
          <reference field="5" count="1" selected="0">
            <x v="6"/>
          </reference>
          <reference field="45" count="1" selected="0">
            <x v="1"/>
          </reference>
        </references>
      </pivotArea>
    </format>
    <format dxfId="811">
      <pivotArea outline="0" fieldPosition="0">
        <references count="4">
          <reference field="4294967294" count="3" selected="0">
            <x v="9"/>
            <x v="10"/>
            <x v="11"/>
          </reference>
          <reference field="0" count="1" selected="0">
            <x v="6"/>
          </reference>
          <reference field="5" count="1" selected="0">
            <x v="7"/>
          </reference>
          <reference field="45" count="1" selected="0">
            <x v="1"/>
          </reference>
        </references>
      </pivotArea>
    </format>
    <format dxfId="810">
      <pivotArea outline="0" fieldPosition="0">
        <references count="4">
          <reference field="4294967294" count="3" selected="0">
            <x v="9"/>
            <x v="10"/>
            <x v="11"/>
          </reference>
          <reference field="0" count="1" selected="0">
            <x v="6"/>
          </reference>
          <reference field="5" count="1" selected="0">
            <x v="9"/>
          </reference>
          <reference field="45" count="1" selected="0">
            <x v="1"/>
          </reference>
        </references>
      </pivotArea>
    </format>
    <format dxfId="809">
      <pivotArea outline="0" fieldPosition="0">
        <references count="3">
          <reference field="4294967294" count="3" selected="0">
            <x v="3"/>
            <x v="4"/>
            <x v="5"/>
          </reference>
          <reference field="0" count="1" selected="0">
            <x v="6"/>
          </reference>
          <reference field="45" count="1" selected="0" defaultSubtotal="1">
            <x v="4"/>
          </reference>
        </references>
      </pivotArea>
    </format>
    <format dxfId="808">
      <pivotArea outline="0" fieldPosition="0">
        <references count="4">
          <reference field="4294967294" count="3" selected="0">
            <x v="0"/>
            <x v="1"/>
            <x v="2"/>
          </reference>
          <reference field="0" count="1" selected="0">
            <x v="7"/>
          </reference>
          <reference field="5" count="1" selected="0">
            <x v="4"/>
          </reference>
          <reference field="45" count="1" selected="0">
            <x v="0"/>
          </reference>
        </references>
      </pivotArea>
    </format>
    <format dxfId="807">
      <pivotArea outline="0" fieldPosition="0">
        <references count="4">
          <reference field="4294967294" count="3" selected="0">
            <x v="0"/>
            <x v="1"/>
            <x v="2"/>
          </reference>
          <reference field="0" count="1" selected="0">
            <x v="7"/>
          </reference>
          <reference field="5" count="1" selected="0">
            <x v="5"/>
          </reference>
          <reference field="45" count="1" selected="0">
            <x v="0"/>
          </reference>
        </references>
      </pivotArea>
    </format>
    <format dxfId="806">
      <pivotArea outline="0" fieldPosition="0">
        <references count="3">
          <reference field="4294967294" count="3" selected="0">
            <x v="18"/>
            <x v="19"/>
            <x v="20"/>
          </reference>
          <reference field="0" count="1" selected="0">
            <x v="7"/>
          </reference>
          <reference field="45" count="1" selected="0">
            <x v="3"/>
          </reference>
        </references>
      </pivotArea>
    </format>
    <format dxfId="805">
      <pivotArea outline="0" fieldPosition="0">
        <references count="3">
          <reference field="4294967294" count="3" selected="0">
            <x v="9"/>
            <x v="10"/>
            <x v="11"/>
          </reference>
          <reference field="0" count="1" selected="0">
            <x v="8"/>
          </reference>
          <reference field="45" count="1" selected="0">
            <x v="0"/>
          </reference>
        </references>
      </pivotArea>
    </format>
    <format dxfId="804">
      <pivotArea outline="0" fieldPosition="0">
        <references count="4">
          <reference field="4294967294" count="3" selected="0">
            <x v="0"/>
            <x v="1"/>
            <x v="2"/>
          </reference>
          <reference field="0" count="1" selected="0">
            <x v="8"/>
          </reference>
          <reference field="5" count="1" selected="0">
            <x v="7"/>
          </reference>
          <reference field="45" count="1" selected="0">
            <x v="1"/>
          </reference>
        </references>
      </pivotArea>
    </format>
    <format dxfId="803">
      <pivotArea outline="0" fieldPosition="0">
        <references count="4">
          <reference field="4294967294" count="3" selected="0">
            <x v="0"/>
            <x v="1"/>
            <x v="2"/>
          </reference>
          <reference field="0" count="1" selected="0">
            <x v="8"/>
          </reference>
          <reference field="5" count="1" selected="0">
            <x v="8"/>
          </reference>
          <reference field="45" count="1" selected="0">
            <x v="1"/>
          </reference>
        </references>
      </pivotArea>
    </format>
    <format dxfId="802">
      <pivotArea outline="0" fieldPosition="0">
        <references count="4">
          <reference field="4294967294" count="3" selected="0">
            <x v="0"/>
            <x v="1"/>
            <x v="2"/>
          </reference>
          <reference field="0" count="1" selected="0">
            <x v="8"/>
          </reference>
          <reference field="5" count="1" selected="0">
            <x v="9"/>
          </reference>
          <reference field="45" count="1" selected="0">
            <x v="1"/>
          </reference>
        </references>
      </pivotArea>
    </format>
    <format dxfId="801">
      <pivotArea outline="0" fieldPosition="0">
        <references count="4">
          <reference field="4294967294" count="3" selected="0">
            <x v="6"/>
            <x v="7"/>
            <x v="8"/>
          </reference>
          <reference field="0" count="1" selected="0">
            <x v="8"/>
          </reference>
          <reference field="5" count="1" selected="0">
            <x v="9"/>
          </reference>
          <reference field="45" count="1" selected="0">
            <x v="1"/>
          </reference>
        </references>
      </pivotArea>
    </format>
    <format dxfId="800">
      <pivotArea outline="0" fieldPosition="0">
        <references count="3">
          <reference field="4294967294" count="3" selected="0">
            <x v="30"/>
            <x v="31"/>
            <x v="32"/>
          </reference>
          <reference field="0" count="1" selected="0">
            <x v="8"/>
          </reference>
          <reference field="45" count="1" selected="0">
            <x v="3"/>
          </reference>
        </references>
      </pivotArea>
    </format>
    <format dxfId="799">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798">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797">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796">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795">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794">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793">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792">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791">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790">
      <pivotArea outline="0" fieldPosition="0">
        <references count="4">
          <reference field="4294967294" count="1" selected="0">
            <x v="3"/>
          </reference>
          <reference field="0" count="1" selected="0">
            <x v="10"/>
          </reference>
          <reference field="5" count="1" selected="0">
            <x v="0"/>
          </reference>
          <reference field="45" count="1" selected="0">
            <x v="0"/>
          </reference>
        </references>
      </pivotArea>
    </format>
    <format dxfId="789">
      <pivotArea outline="0" fieldPosition="0">
        <references count="4">
          <reference field="4294967294" count="1" selected="0">
            <x v="30"/>
          </reference>
          <reference field="0" count="1" selected="0">
            <x v="10"/>
          </reference>
          <reference field="5" count="1" selected="0">
            <x v="0"/>
          </reference>
          <reference field="45" count="1" selected="0">
            <x v="0"/>
          </reference>
        </references>
      </pivotArea>
    </format>
    <format dxfId="788">
      <pivotArea outline="0" fieldPosition="0">
        <references count="4">
          <reference field="4294967294" count="1" selected="0">
            <x v="33"/>
          </reference>
          <reference field="0" count="1" selected="0">
            <x v="10"/>
          </reference>
          <reference field="5" count="1" selected="0">
            <x v="0"/>
          </reference>
          <reference field="45" count="1" selected="0">
            <x v="0"/>
          </reference>
        </references>
      </pivotArea>
    </format>
    <format dxfId="787">
      <pivotArea outline="0" fieldPosition="0">
        <references count="3">
          <reference field="4294967294" count="3" selected="0">
            <x v="3"/>
            <x v="4"/>
            <x v="5"/>
          </reference>
          <reference field="0" count="1" selected="0">
            <x v="10"/>
          </reference>
          <reference field="45" count="1" selected="0" defaultSubtotal="1">
            <x v="4"/>
          </reference>
        </references>
      </pivotArea>
    </format>
    <format dxfId="786">
      <pivotArea outline="0" fieldPosition="0">
        <references count="4">
          <reference field="4294967294" count="3" selected="0">
            <x v="12"/>
            <x v="13"/>
            <x v="14"/>
          </reference>
          <reference field="0" count="1" selected="0">
            <x v="11"/>
          </reference>
          <reference field="5" count="1" selected="0">
            <x v="0"/>
          </reference>
          <reference field="45" count="1" selected="0">
            <x v="0"/>
          </reference>
        </references>
      </pivotArea>
    </format>
    <format dxfId="785">
      <pivotArea outline="0" fieldPosition="0">
        <references count="4">
          <reference field="4294967294" count="3" selected="0">
            <x v="12"/>
            <x v="13"/>
            <x v="14"/>
          </reference>
          <reference field="0" count="1" selected="0">
            <x v="11"/>
          </reference>
          <reference field="5" count="1" selected="0">
            <x v="4"/>
          </reference>
          <reference field="45" count="1" selected="0">
            <x v="0"/>
          </reference>
        </references>
      </pivotArea>
    </format>
    <format dxfId="784">
      <pivotArea outline="0" fieldPosition="0">
        <references count="4">
          <reference field="4294967294" count="3" selected="0">
            <x v="6"/>
            <x v="7"/>
            <x v="8"/>
          </reference>
          <reference field="0" count="1" selected="0">
            <x v="11"/>
          </reference>
          <reference field="5" count="1" selected="0">
            <x v="7"/>
          </reference>
          <reference field="45" count="1" selected="0">
            <x v="1"/>
          </reference>
        </references>
      </pivotArea>
    </format>
    <format dxfId="783">
      <pivotArea outline="0" fieldPosition="0">
        <references count="4">
          <reference field="4294967294" count="3" selected="0">
            <x v="6"/>
            <x v="7"/>
            <x v="8"/>
          </reference>
          <reference field="0" count="1" selected="0">
            <x v="11"/>
          </reference>
          <reference field="5" count="1" selected="0">
            <x v="8"/>
          </reference>
          <reference field="45" count="1" selected="0">
            <x v="1"/>
          </reference>
        </references>
      </pivotArea>
    </format>
    <format dxfId="782">
      <pivotArea outline="0" fieldPosition="0">
        <references count="4">
          <reference field="4294967294" count="3" selected="0">
            <x v="12"/>
            <x v="13"/>
            <x v="14"/>
          </reference>
          <reference field="0" count="1" selected="0">
            <x v="11"/>
          </reference>
          <reference field="5" count="1" selected="0">
            <x v="9"/>
          </reference>
          <reference field="45" count="1" selected="0">
            <x v="1"/>
          </reference>
        </references>
      </pivotArea>
    </format>
    <format dxfId="781">
      <pivotArea outline="0" fieldPosition="0">
        <references count="3">
          <reference field="4294967294" count="3" selected="0">
            <x v="18"/>
            <x v="19"/>
            <x v="20"/>
          </reference>
          <reference field="0" count="1" selected="0">
            <x v="12"/>
          </reference>
          <reference field="45" count="1" selected="0" defaultSubtotal="1">
            <x v="4"/>
          </reference>
        </references>
      </pivotArea>
    </format>
    <format dxfId="780">
      <pivotArea outline="0" fieldPosition="0">
        <references count="4">
          <reference field="4294967294" count="3" selected="0">
            <x v="0"/>
            <x v="1"/>
            <x v="2"/>
          </reference>
          <reference field="0" count="1" selected="0">
            <x v="13"/>
          </reference>
          <reference field="5" count="1" selected="0">
            <x v="5"/>
          </reference>
          <reference field="45" count="1" selected="0">
            <x v="0"/>
          </reference>
        </references>
      </pivotArea>
    </format>
    <format dxfId="779">
      <pivotArea outline="0" fieldPosition="0">
        <references count="4">
          <reference field="4294967294" count="3" selected="0">
            <x v="0"/>
            <x v="1"/>
            <x v="2"/>
          </reference>
          <reference field="0" count="1" selected="0">
            <x v="13"/>
          </reference>
          <reference field="5" count="1" selected="0">
            <x v="0"/>
          </reference>
          <reference field="45" count="1" selected="0">
            <x v="0"/>
          </reference>
        </references>
      </pivotArea>
    </format>
    <format dxfId="778">
      <pivotArea outline="0" fieldPosition="0">
        <references count="4">
          <reference field="4294967294" count="3" selected="0">
            <x v="9"/>
            <x v="10"/>
            <x v="11"/>
          </reference>
          <reference field="0" count="1" selected="0">
            <x v="13"/>
          </reference>
          <reference field="5" count="1" selected="0">
            <x v="3"/>
          </reference>
          <reference field="45" count="1" selected="0">
            <x v="0"/>
          </reference>
        </references>
      </pivotArea>
    </format>
    <format dxfId="777">
      <pivotArea outline="0" fieldPosition="0">
        <references count="4">
          <reference field="4294967294" count="3" selected="0">
            <x v="9"/>
            <x v="10"/>
            <x v="11"/>
          </reference>
          <reference field="0" count="1" selected="0">
            <x v="13"/>
          </reference>
          <reference field="5" count="1" selected="0">
            <x v="9"/>
          </reference>
          <reference field="45" count="1" selected="0">
            <x v="1"/>
          </reference>
        </references>
      </pivotArea>
    </format>
    <format dxfId="776">
      <pivotArea outline="0" fieldPosition="0">
        <references count="3">
          <reference field="4294967294" count="3" selected="0">
            <x v="3"/>
            <x v="4"/>
            <x v="5"/>
          </reference>
          <reference field="0" count="1" selected="0">
            <x v="13"/>
          </reference>
          <reference field="45" count="1" selected="0" defaultSubtotal="1">
            <x v="4"/>
          </reference>
        </references>
      </pivotArea>
    </format>
    <format dxfId="775">
      <pivotArea outline="0" fieldPosition="0">
        <references count="3">
          <reference field="4294967294" count="3" selected="0">
            <x v="18"/>
            <x v="19"/>
            <x v="20"/>
          </reference>
          <reference field="0" count="1" selected="0">
            <x v="13"/>
          </reference>
          <reference field="45" count="1" selected="0" defaultSubtotal="1">
            <x v="4"/>
          </reference>
        </references>
      </pivotArea>
    </format>
    <format dxfId="774">
      <pivotArea outline="0" fieldPosition="0">
        <references count="3">
          <reference field="4294967294" count="3" selected="0">
            <x v="30"/>
            <x v="31"/>
            <x v="32"/>
          </reference>
          <reference field="0" count="1" selected="0">
            <x v="13"/>
          </reference>
          <reference field="45" count="1" selected="0" defaultSubtotal="1">
            <x v="4"/>
          </reference>
        </references>
      </pivotArea>
    </format>
    <format dxfId="773">
      <pivotArea outline="0" fieldPosition="0">
        <references count="4">
          <reference field="4294967294" count="3" selected="0">
            <x v="0"/>
            <x v="1"/>
            <x v="2"/>
          </reference>
          <reference field="0" count="1" selected="0">
            <x v="14"/>
          </reference>
          <reference field="5" count="1" selected="0">
            <x v="4"/>
          </reference>
          <reference field="45" count="1" selected="0">
            <x v="0"/>
          </reference>
        </references>
      </pivotArea>
    </format>
    <format dxfId="772">
      <pivotArea outline="0" fieldPosition="0">
        <references count="4">
          <reference field="4294967294" count="3" selected="0">
            <x v="0"/>
            <x v="1"/>
            <x v="2"/>
          </reference>
          <reference field="0" count="1" selected="0">
            <x v="14"/>
          </reference>
          <reference field="5" count="1" selected="0">
            <x v="5"/>
          </reference>
          <reference field="45" count="1" selected="0">
            <x v="0"/>
          </reference>
        </references>
      </pivotArea>
    </format>
    <format dxfId="771">
      <pivotArea outline="0" fieldPosition="0">
        <references count="4">
          <reference field="4294967294" count="3" selected="0">
            <x v="30"/>
            <x v="31"/>
            <x v="32"/>
          </reference>
          <reference field="0" count="1" selected="0">
            <x v="14"/>
          </reference>
          <reference field="5" count="1" selected="0">
            <x v="1"/>
          </reference>
          <reference field="45" count="1" selected="0">
            <x v="0"/>
          </reference>
        </references>
      </pivotArea>
    </format>
    <format dxfId="770">
      <pivotArea outline="0" fieldPosition="0">
        <references count="4">
          <reference field="4294967294" count="3" selected="0">
            <x v="0"/>
            <x v="1"/>
            <x v="2"/>
          </reference>
          <reference field="0" count="1" selected="0">
            <x v="14"/>
          </reference>
          <reference field="5" count="1" selected="0">
            <x v="9"/>
          </reference>
          <reference field="45" count="1" selected="0">
            <x v="1"/>
          </reference>
        </references>
      </pivotArea>
    </format>
    <format dxfId="769">
      <pivotArea outline="0" fieldPosition="0">
        <references count="4">
          <reference field="4294967294" count="3" selected="0">
            <x v="6"/>
            <x v="7"/>
            <x v="8"/>
          </reference>
          <reference field="0" count="1" selected="0">
            <x v="14"/>
          </reference>
          <reference field="5" count="1" selected="0">
            <x v="10"/>
          </reference>
          <reference field="45" count="1" selected="0">
            <x v="1"/>
          </reference>
        </references>
      </pivotArea>
    </format>
    <format dxfId="768">
      <pivotArea outline="0" fieldPosition="0">
        <references count="3">
          <reference field="4294967294" count="3" selected="0">
            <x v="3"/>
            <x v="4"/>
            <x v="5"/>
          </reference>
          <reference field="0" count="1" selected="0">
            <x v="14"/>
          </reference>
          <reference field="45" count="1" selected="0" defaultSubtotal="1">
            <x v="4"/>
          </reference>
        </references>
      </pivotArea>
    </format>
    <format dxfId="767">
      <pivotArea outline="0" fieldPosition="0">
        <references count="3">
          <reference field="4294967294" count="3" selected="0">
            <x v="18"/>
            <x v="19"/>
            <x v="20"/>
          </reference>
          <reference field="0" count="1" selected="0">
            <x v="14"/>
          </reference>
          <reference field="45" count="1" selected="0" defaultSubtotal="1">
            <x v="4"/>
          </reference>
        </references>
      </pivotArea>
    </format>
    <format dxfId="766">
      <pivotArea outline="0" fieldPosition="0">
        <references count="3">
          <reference field="4294967294" count="3" selected="0">
            <x v="30"/>
            <x v="31"/>
            <x v="32"/>
          </reference>
          <reference field="0" count="1" selected="0">
            <x v="14"/>
          </reference>
          <reference field="45" count="1" selected="0" defaultSubtotal="1">
            <x v="4"/>
          </reference>
        </references>
      </pivotArea>
    </format>
    <format dxfId="765">
      <pivotArea outline="0" fieldPosition="0">
        <references count="4">
          <reference field="4294967294" count="3" selected="0">
            <x v="0"/>
            <x v="1"/>
            <x v="2"/>
          </reference>
          <reference field="0" count="1" selected="0">
            <x v="15"/>
          </reference>
          <reference field="5" count="1" selected="0">
            <x v="0"/>
          </reference>
          <reference field="45" count="1" selected="0">
            <x v="0"/>
          </reference>
        </references>
      </pivotArea>
    </format>
    <format dxfId="764">
      <pivotArea outline="0" fieldPosition="0">
        <references count="4">
          <reference field="4294967294" count="3" selected="0">
            <x v="3"/>
            <x v="4"/>
            <x v="5"/>
          </reference>
          <reference field="0" count="1" selected="0">
            <x v="15"/>
          </reference>
          <reference field="5" count="1" selected="0">
            <x v="0"/>
          </reference>
          <reference field="45" count="1" selected="0">
            <x v="0"/>
          </reference>
        </references>
      </pivotArea>
    </format>
    <format dxfId="763">
      <pivotArea outline="0" fieldPosition="0">
        <references count="4">
          <reference field="4294967294" count="3" selected="0">
            <x v="33"/>
            <x v="34"/>
            <x v="35"/>
          </reference>
          <reference field="0" count="1" selected="0">
            <x v="15"/>
          </reference>
          <reference field="5" count="1" selected="0">
            <x v="2"/>
          </reference>
          <reference field="45" count="1" selected="0">
            <x v="0"/>
          </reference>
        </references>
      </pivotArea>
    </format>
    <format dxfId="762">
      <pivotArea outline="0" fieldPosition="0">
        <references count="4">
          <reference field="4294967294" count="3" selected="0">
            <x v="3"/>
            <x v="4"/>
            <x v="5"/>
          </reference>
          <reference field="0" count="1" selected="0">
            <x v="15"/>
          </reference>
          <reference field="5" count="1" selected="0">
            <x v="9"/>
          </reference>
          <reference field="45" count="1" selected="0">
            <x v="1"/>
          </reference>
        </references>
      </pivotArea>
    </format>
    <format dxfId="761">
      <pivotArea outline="0" fieldPosition="0">
        <references count="3">
          <reference field="4294967294" count="3" selected="0">
            <x v="18"/>
            <x v="19"/>
            <x v="20"/>
          </reference>
          <reference field="0" count="1" selected="0">
            <x v="15"/>
          </reference>
          <reference field="45" count="1" selected="0" defaultSubtotal="1">
            <x v="4"/>
          </reference>
        </references>
      </pivotArea>
    </format>
    <format dxfId="760">
      <pivotArea outline="0" fieldPosition="0">
        <references count="3">
          <reference field="4294967294" count="3" selected="0">
            <x v="12"/>
            <x v="13"/>
            <x v="14"/>
          </reference>
          <reference field="0" count="1" selected="0">
            <x v="2"/>
          </reference>
          <reference field="45" count="1" selected="0" defaultSubtotal="1">
            <x v="0"/>
          </reference>
        </references>
      </pivotArea>
    </format>
    <format dxfId="759">
      <pivotArea outline="0" fieldPosition="0">
        <references count="4">
          <reference field="4294967294" count="3" selected="0">
            <x v="9"/>
            <x v="10"/>
            <x v="11"/>
          </reference>
          <reference field="0" count="1" selected="0">
            <x v="2"/>
          </reference>
          <reference field="5" count="1" selected="0">
            <x v="3"/>
          </reference>
          <reference field="45" count="1" selected="0">
            <x v="0"/>
          </reference>
        </references>
      </pivotArea>
    </format>
    <format dxfId="758">
      <pivotArea outline="0" fieldPosition="0">
        <references count="4">
          <reference field="4294967294" count="3" selected="0">
            <x v="12"/>
            <x v="13"/>
            <x v="14"/>
          </reference>
          <reference field="0" count="1" selected="0">
            <x v="2"/>
          </reference>
          <reference field="5" count="1" selected="0">
            <x v="3"/>
          </reference>
          <reference field="45" count="1" selected="0">
            <x v="0"/>
          </reference>
        </references>
      </pivotArea>
    </format>
    <format dxfId="757">
      <pivotArea outline="0" fieldPosition="0">
        <references count="4">
          <reference field="4294967294" count="3" selected="0">
            <x v="15"/>
            <x v="16"/>
            <x v="17"/>
          </reference>
          <reference field="0" count="1" selected="0">
            <x v="2"/>
          </reference>
          <reference field="5" count="1" selected="0">
            <x v="3"/>
          </reference>
          <reference field="45" count="1" selected="0">
            <x v="0"/>
          </reference>
        </references>
      </pivotArea>
    </format>
    <format dxfId="756">
      <pivotArea outline="0" fieldPosition="0">
        <references count="3">
          <reference field="4294967294" count="3" selected="0">
            <x v="12"/>
            <x v="13"/>
            <x v="14"/>
          </reference>
          <reference field="0" count="1" selected="0">
            <x v="2"/>
          </reference>
          <reference field="45" count="1" selected="0" defaultSubtotal="1">
            <x v="0"/>
          </reference>
        </references>
      </pivotArea>
    </format>
    <format dxfId="755">
      <pivotArea outline="0" fieldPosition="0">
        <references count="4">
          <reference field="4294967294" count="3" selected="0">
            <x v="3"/>
            <x v="4"/>
            <x v="5"/>
          </reference>
          <reference field="0" count="1" selected="0">
            <x v="2"/>
          </reference>
          <reference field="5" count="1" selected="0">
            <x v="3"/>
          </reference>
          <reference field="45" count="1" selected="0">
            <x v="0"/>
          </reference>
        </references>
      </pivotArea>
    </format>
    <format dxfId="754">
      <pivotArea outline="0" fieldPosition="0">
        <references count="4">
          <reference field="4294967294" count="3" selected="0">
            <x v="3"/>
            <x v="4"/>
            <x v="5"/>
          </reference>
          <reference field="0" count="1" selected="0">
            <x v="2"/>
          </reference>
          <reference field="5" count="1" selected="0">
            <x v="3"/>
          </reference>
          <reference field="45" count="1" selected="0">
            <x v="0"/>
          </reference>
        </references>
      </pivotArea>
    </format>
    <format dxfId="753">
      <pivotArea type="all" dataOnly="0" outline="0" fieldPosition="0"/>
    </format>
    <format dxfId="752">
      <pivotArea outline="0" fieldPosition="0">
        <references count="4">
          <reference field="4294967294" count="3" selected="0">
            <x v="3"/>
            <x v="4"/>
            <x v="5"/>
          </reference>
          <reference field="0" count="1" selected="0">
            <x v="0"/>
          </reference>
          <reference field="5" count="1" selected="0">
            <x v="0"/>
          </reference>
          <reference field="45" count="1" selected="0">
            <x v="0"/>
          </reference>
        </references>
      </pivotArea>
    </format>
    <format dxfId="751">
      <pivotArea outline="0" fieldPosition="0">
        <references count="4">
          <reference field="4294967294" count="3" selected="0">
            <x v="9"/>
            <x v="10"/>
            <x v="11"/>
          </reference>
          <reference field="0" count="1" selected="0">
            <x v="0"/>
          </reference>
          <reference field="5" count="1" selected="0">
            <x v="4"/>
          </reference>
          <reference field="45" count="1" selected="0">
            <x v="0"/>
          </reference>
        </references>
      </pivotArea>
    </format>
    <format dxfId="750">
      <pivotArea outline="0" fieldPosition="0">
        <references count="4">
          <reference field="4294967294" count="3" selected="0">
            <x v="9"/>
            <x v="10"/>
            <x v="11"/>
          </reference>
          <reference field="0" count="1" selected="0">
            <x v="0"/>
          </reference>
          <reference field="5" count="1" selected="0">
            <x v="1"/>
          </reference>
          <reference field="45" count="1" selected="0">
            <x v="0"/>
          </reference>
        </references>
      </pivotArea>
    </format>
    <format dxfId="749">
      <pivotArea outline="0" fieldPosition="0">
        <references count="4">
          <reference field="4294967294" count="3" selected="0">
            <x v="9"/>
            <x v="10"/>
            <x v="11"/>
          </reference>
          <reference field="0" count="1" selected="0">
            <x v="0"/>
          </reference>
          <reference field="5" count="1" selected="0">
            <x v="0"/>
          </reference>
          <reference field="45" count="1" selected="0">
            <x v="0"/>
          </reference>
        </references>
      </pivotArea>
    </format>
    <format dxfId="748">
      <pivotArea outline="0" fieldPosition="0">
        <references count="4">
          <reference field="4294967294" count="3" selected="0">
            <x v="30"/>
            <x v="31"/>
            <x v="32"/>
          </reference>
          <reference field="0" count="1" selected="0">
            <x v="0"/>
          </reference>
          <reference field="5" count="1" selected="0">
            <x v="2"/>
          </reference>
          <reference field="45" count="1" selected="0">
            <x v="0"/>
          </reference>
        </references>
      </pivotArea>
    </format>
    <format dxfId="747">
      <pivotArea outline="0" fieldPosition="0">
        <references count="4">
          <reference field="4294967294" count="3" selected="0">
            <x v="30"/>
            <x v="31"/>
            <x v="32"/>
          </reference>
          <reference field="0" count="1" selected="0">
            <x v="0"/>
          </reference>
          <reference field="5" count="1" selected="0">
            <x v="0"/>
          </reference>
          <reference field="45" count="1" selected="0">
            <x v="0"/>
          </reference>
        </references>
      </pivotArea>
    </format>
    <format dxfId="746">
      <pivotArea outline="0" fieldPosition="0">
        <references count="4">
          <reference field="4294967294" count="3" selected="0">
            <x v="15"/>
            <x v="16"/>
            <x v="17"/>
          </reference>
          <reference field="0" count="1" selected="0">
            <x v="1"/>
          </reference>
          <reference field="5" count="1" selected="0">
            <x v="0"/>
          </reference>
          <reference field="45" count="1" selected="0">
            <x v="0"/>
          </reference>
        </references>
      </pivotArea>
    </format>
    <format dxfId="745">
      <pivotArea outline="0" fieldPosition="0">
        <references count="4">
          <reference field="4294967294" count="3" selected="0">
            <x v="3"/>
            <x v="4"/>
            <x v="5"/>
          </reference>
          <reference field="0" count="1" selected="0">
            <x v="3"/>
          </reference>
          <reference field="5" count="1" selected="0">
            <x v="0"/>
          </reference>
          <reference field="45" count="1" selected="0">
            <x v="0"/>
          </reference>
        </references>
      </pivotArea>
    </format>
    <format dxfId="744">
      <pivotArea outline="0"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 dxfId="743">
      <pivotArea outline="0" fieldPosition="0">
        <references count="4">
          <reference field="4294967294" count="3" selected="0">
            <x v="9"/>
            <x v="10"/>
            <x v="11"/>
          </reference>
          <reference field="0" count="1" selected="0">
            <x v="5"/>
          </reference>
          <reference field="5" count="1" selected="0">
            <x v="4"/>
          </reference>
          <reference field="45" count="1" selected="0">
            <x v="0"/>
          </reference>
        </references>
      </pivotArea>
    </format>
    <format dxfId="742">
      <pivotArea outline="0" fieldPosition="0">
        <references count="4">
          <reference field="4294967294" count="3" selected="0">
            <x v="33"/>
            <x v="34"/>
            <x v="35"/>
          </reference>
          <reference field="0" count="1" selected="0">
            <x v="8"/>
          </reference>
          <reference field="5" count="1" selected="0">
            <x v="1"/>
          </reference>
          <reference field="45" count="1" selected="0">
            <x v="0"/>
          </reference>
        </references>
      </pivotArea>
    </format>
    <format dxfId="741">
      <pivotArea outline="0" fieldPosition="0">
        <references count="4">
          <reference field="4294967294" count="3" selected="0">
            <x v="12"/>
            <x v="13"/>
            <x v="14"/>
          </reference>
          <reference field="0" count="1" selected="0">
            <x v="12"/>
          </reference>
          <reference field="5" count="1" selected="0">
            <x v="0"/>
          </reference>
          <reference field="45" count="1" selected="0">
            <x v="0"/>
          </reference>
        </references>
      </pivotArea>
    </format>
    <format dxfId="740">
      <pivotArea outline="0" fieldPosition="0">
        <references count="3">
          <reference field="4294967294" count="3" selected="0">
            <x v="3"/>
            <x v="4"/>
            <x v="5"/>
          </reference>
          <reference field="0" count="1" selected="0">
            <x v="0"/>
          </reference>
          <reference field="45" count="1" selected="0">
            <x v="3"/>
          </reference>
        </references>
      </pivotArea>
    </format>
    <format dxfId="739">
      <pivotArea outline="0" fieldPosition="0">
        <references count="3">
          <reference field="4294967294" count="3" selected="0">
            <x v="9"/>
            <x v="10"/>
            <x v="11"/>
          </reference>
          <reference field="0" count="1" selected="0">
            <x v="0"/>
          </reference>
          <reference field="45" count="1" selected="0">
            <x v="3"/>
          </reference>
        </references>
      </pivotArea>
    </format>
    <format dxfId="738">
      <pivotArea outline="0" fieldPosition="0">
        <references count="3">
          <reference field="4294967294" count="3" selected="0">
            <x v="12"/>
            <x v="13"/>
            <x v="14"/>
          </reference>
          <reference field="0" count="1" selected="0">
            <x v="0"/>
          </reference>
          <reference field="45" count="1" selected="0">
            <x v="3"/>
          </reference>
        </references>
      </pivotArea>
    </format>
    <format dxfId="737">
      <pivotArea outline="0" fieldPosition="0">
        <references count="3">
          <reference field="4294967294" count="3" selected="0">
            <x v="33"/>
            <x v="34"/>
            <x v="35"/>
          </reference>
          <reference field="0" count="1" selected="0">
            <x v="1"/>
          </reference>
          <reference field="45" count="1" selected="0">
            <x v="3"/>
          </reference>
        </references>
      </pivotArea>
    </format>
    <format dxfId="736">
      <pivotArea outline="0" fieldPosition="0">
        <references count="3">
          <reference field="4294967294" count="3" selected="0">
            <x v="3"/>
            <x v="4"/>
            <x v="5"/>
          </reference>
          <reference field="0" count="1" selected="0">
            <x v="3"/>
          </reference>
          <reference field="45" count="1" selected="0" defaultSubtotal="1">
            <x v="4"/>
          </reference>
        </references>
      </pivotArea>
    </format>
    <format dxfId="735">
      <pivotArea outline="0" fieldPosition="0">
        <references count="3">
          <reference field="4294967294" count="3" selected="0">
            <x v="18"/>
            <x v="19"/>
            <x v="20"/>
          </reference>
          <reference field="0" count="1" selected="0">
            <x v="3"/>
          </reference>
          <reference field="45" count="1" selected="0" defaultSubtotal="1">
            <x v="4"/>
          </reference>
        </references>
      </pivotArea>
    </format>
    <format dxfId="734">
      <pivotArea outline="0" fieldPosition="0">
        <references count="4">
          <reference field="4294967294" count="3" selected="0">
            <x v="0"/>
            <x v="1"/>
            <x v="2"/>
          </reference>
          <reference field="0" count="1" selected="0">
            <x v="13"/>
          </reference>
          <reference field="5" count="1" selected="0">
            <x v="0"/>
          </reference>
          <reference field="45" count="1" selected="0">
            <x v="0"/>
          </reference>
        </references>
      </pivotArea>
    </format>
    <format dxfId="733">
      <pivotArea outline="0" fieldPosition="0">
        <references count="4">
          <reference field="4294967294" count="3" selected="0">
            <x v="0"/>
            <x v="1"/>
            <x v="2"/>
          </reference>
          <reference field="0" count="1" selected="0">
            <x v="13"/>
          </reference>
          <reference field="5" count="1" selected="0">
            <x v="5"/>
          </reference>
          <reference field="45" count="1" selected="0">
            <x v="0"/>
          </reference>
        </references>
      </pivotArea>
    </format>
    <format dxfId="732">
      <pivotArea outline="0" fieldPosition="0">
        <references count="4">
          <reference field="4294967294" count="1" selected="0">
            <x v="9"/>
          </reference>
          <reference field="0" count="1" selected="0">
            <x v="8"/>
          </reference>
          <reference field="5" count="1" selected="0">
            <x v="0"/>
          </reference>
          <reference field="45" count="1" selected="0">
            <x v="0"/>
          </reference>
        </references>
      </pivotArea>
    </format>
    <format dxfId="731">
      <pivotArea outline="0" fieldPosition="0">
        <references count="4">
          <reference field="4294967294" count="9" selected="0">
            <x v="9"/>
            <x v="10"/>
            <x v="11"/>
            <x v="12"/>
            <x v="13"/>
            <x v="14"/>
            <x v="15"/>
            <x v="16"/>
            <x v="17"/>
          </reference>
          <reference field="0" count="1" selected="0">
            <x v="2"/>
          </reference>
          <reference field="5" count="1" selected="0">
            <x v="3"/>
          </reference>
          <reference field="45" count="1" selected="0">
            <x v="0"/>
          </reference>
        </references>
      </pivotArea>
    </format>
    <format dxfId="730">
      <pivotArea outline="0" fieldPosition="0">
        <references count="4">
          <reference field="4294967294" count="9" selected="0">
            <x v="9"/>
            <x v="10"/>
            <x v="11"/>
            <x v="12"/>
            <x v="13"/>
            <x v="14"/>
            <x v="15"/>
            <x v="16"/>
            <x v="17"/>
          </reference>
          <reference field="0" count="1" selected="0">
            <x v="2"/>
          </reference>
          <reference field="5" count="1" selected="0">
            <x v="3"/>
          </reference>
          <reference field="45" count="1" selected="0">
            <x v="0"/>
          </reference>
        </references>
      </pivotArea>
    </format>
    <format dxfId="729">
      <pivotArea outline="0" fieldPosition="0">
        <references count="2">
          <reference field="4294967294" count="1" selected="0">
            <x v="1"/>
          </reference>
          <reference field="0" count="1" selected="0">
            <x v="0"/>
          </reference>
        </references>
      </pivotArea>
    </format>
    <format dxfId="728">
      <pivotArea dataOnly="0" labelOnly="1" outline="0" offset="IV2" fieldPosition="0">
        <references count="1">
          <reference field="0" count="1">
            <x v="0"/>
          </reference>
        </references>
      </pivotArea>
    </format>
    <format dxfId="727">
      <pivotArea dataOnly="0" labelOnly="1" outline="0" fieldPosition="0">
        <references count="2">
          <reference field="4294967294" count="1">
            <x v="1"/>
          </reference>
          <reference field="0" count="1" selected="0">
            <x v="0"/>
          </reference>
        </references>
      </pivotArea>
    </format>
    <format dxfId="726">
      <pivotArea outline="0" fieldPosition="0">
        <references count="2">
          <reference field="4294967294" count="1" selected="0">
            <x v="1"/>
          </reference>
          <reference field="0" count="1" selected="0">
            <x v="0"/>
          </reference>
        </references>
      </pivotArea>
    </format>
    <format dxfId="725">
      <pivotArea dataOnly="0" labelOnly="1" outline="0" offset="IV2" fieldPosition="0">
        <references count="1">
          <reference field="0" count="1">
            <x v="0"/>
          </reference>
        </references>
      </pivotArea>
    </format>
    <format dxfId="724">
      <pivotArea dataOnly="0" labelOnly="1" outline="0" fieldPosition="0">
        <references count="2">
          <reference field="4294967294" count="1">
            <x v="1"/>
          </reference>
          <reference field="0" count="1" selected="0">
            <x v="0"/>
          </reference>
        </references>
      </pivotArea>
    </format>
    <format dxfId="723">
      <pivotArea outline="0" fieldPosition="0">
        <references count="4">
          <reference field="4294967294" count="1" selected="0">
            <x v="2"/>
          </reference>
          <reference field="0" count="1" selected="0">
            <x v="0"/>
          </reference>
          <reference field="5" count="5" selected="0">
            <x v="1"/>
            <x v="2"/>
            <x v="3"/>
            <x v="4"/>
            <x v="5"/>
          </reference>
          <reference field="45" count="1" selected="0">
            <x v="0"/>
          </reference>
        </references>
      </pivotArea>
    </format>
    <format dxfId="722">
      <pivotArea outline="0" fieldPosition="0">
        <references count="3">
          <reference field="4294967294" count="1" selected="0">
            <x v="2"/>
          </reference>
          <reference field="0" count="1" selected="0">
            <x v="0"/>
          </reference>
          <reference field="45" count="1" selected="0" defaultSubtotal="1">
            <x v="0"/>
          </reference>
        </references>
      </pivotArea>
    </format>
    <format dxfId="721">
      <pivotArea outline="0" fieldPosition="0">
        <references count="3">
          <reference field="4294967294" count="1" selected="0">
            <x v="2"/>
          </reference>
          <reference field="0" count="1" selected="0">
            <x v="0"/>
          </reference>
          <reference field="45" count="3" selected="0" defaultSubtotal="1">
            <x v="1"/>
            <x v="3"/>
            <x v="4"/>
          </reference>
        </references>
      </pivotArea>
    </format>
    <format dxfId="720">
      <pivotArea field="0" grandCol="1" outline="0" axis="axisRow" fieldPosition="0">
        <references count="2">
          <reference field="4294967294" count="1" selected="0">
            <x v="2"/>
          </reference>
          <reference field="0" count="1" selected="0">
            <x v="0"/>
          </reference>
        </references>
      </pivotArea>
    </format>
    <format dxfId="719">
      <pivotArea outline="0" fieldPosition="0">
        <references count="4">
          <reference field="4294967294" count="1" selected="0">
            <x v="5"/>
          </reference>
          <reference field="0" count="1" selected="0">
            <x v="0"/>
          </reference>
          <reference field="5" count="1" selected="0">
            <x v="0"/>
          </reference>
          <reference field="45" count="1" selected="0">
            <x v="0"/>
          </reference>
        </references>
      </pivotArea>
    </format>
    <format dxfId="718">
      <pivotArea outline="0" fieldPosition="0">
        <references count="4">
          <reference field="4294967294" count="1" selected="0">
            <x v="8"/>
          </reference>
          <reference field="0" count="1" selected="0">
            <x v="0"/>
          </reference>
          <reference field="5" count="1" selected="0">
            <x v="0"/>
          </reference>
          <reference field="45" count="1" selected="0">
            <x v="0"/>
          </reference>
        </references>
      </pivotArea>
    </format>
    <format dxfId="717">
      <pivotArea outline="0"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716">
      <pivotArea outline="0" fieldPosition="0">
        <references count="4">
          <reference field="4294967294" count="1" selected="0">
            <x v="14"/>
          </reference>
          <reference field="0" count="1" selected="0">
            <x v="0"/>
          </reference>
          <reference field="5" count="1" selected="0">
            <x v="0"/>
          </reference>
          <reference field="45" count="1" selected="0">
            <x v="0"/>
          </reference>
        </references>
      </pivotArea>
    </format>
    <format dxfId="715">
      <pivotArea outline="0"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714">
      <pivotArea outline="0" fieldPosition="0">
        <references count="4">
          <reference field="4294967294" count="1" selected="0">
            <x v="20"/>
          </reference>
          <reference field="0" count="1" selected="0">
            <x v="0"/>
          </reference>
          <reference field="5" count="1" selected="0">
            <x v="0"/>
          </reference>
          <reference field="45" count="1" selected="0">
            <x v="0"/>
          </reference>
        </references>
      </pivotArea>
    </format>
    <format dxfId="713">
      <pivotArea outline="0" fieldPosition="0">
        <references count="4">
          <reference field="4294967294" count="1" selected="0">
            <x v="23"/>
          </reference>
          <reference field="0" count="1" selected="0">
            <x v="0"/>
          </reference>
          <reference field="5" count="1" selected="0">
            <x v="0"/>
          </reference>
          <reference field="45" count="1" selected="0">
            <x v="0"/>
          </reference>
        </references>
      </pivotArea>
    </format>
    <format dxfId="712">
      <pivotArea outline="0" fieldPosition="0">
        <references count="4">
          <reference field="4294967294" count="1" selected="0">
            <x v="26"/>
          </reference>
          <reference field="0" count="1" selected="0">
            <x v="0"/>
          </reference>
          <reference field="5" count="1" selected="0">
            <x v="0"/>
          </reference>
          <reference field="45" count="1" selected="0">
            <x v="0"/>
          </reference>
        </references>
      </pivotArea>
    </format>
    <format dxfId="711">
      <pivotArea outline="0" fieldPosition="0">
        <references count="4">
          <reference field="4294967294" count="1" selected="0">
            <x v="29"/>
          </reference>
          <reference field="0" count="1" selected="0">
            <x v="0"/>
          </reference>
          <reference field="5" count="1" selected="0">
            <x v="0"/>
          </reference>
          <reference field="45" count="1" selected="0">
            <x v="0"/>
          </reference>
        </references>
      </pivotArea>
    </format>
    <format dxfId="710">
      <pivotArea outline="0" fieldPosition="0">
        <references count="4">
          <reference field="4294967294" count="1" selected="0">
            <x v="32"/>
          </reference>
          <reference field="0" count="1" selected="0">
            <x v="0"/>
          </reference>
          <reference field="5" count="1" selected="0">
            <x v="0"/>
          </reference>
          <reference field="45" count="1" selected="0">
            <x v="0"/>
          </reference>
        </references>
      </pivotArea>
    </format>
    <format dxfId="709">
      <pivotArea outline="0" fieldPosition="0">
        <references count="4">
          <reference field="4294967294" count="1" selected="0">
            <x v="35"/>
          </reference>
          <reference field="0" count="1" selected="0">
            <x v="0"/>
          </reference>
          <reference field="5" count="1" selected="0">
            <x v="0"/>
          </reference>
          <reference field="45" count="1" selected="0">
            <x v="0"/>
          </reference>
        </references>
      </pivotArea>
    </format>
    <format dxfId="708">
      <pivotArea outline="0"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707">
      <pivotArea outline="0" fieldPosition="0">
        <references count="1">
          <reference field="0" count="1" selected="0">
            <x v="0"/>
          </reference>
        </references>
      </pivotArea>
    </format>
    <format dxfId="706">
      <pivotArea dataOnly="0" labelOnly="1" outline="0" fieldPosition="0">
        <references count="1">
          <reference field="0" count="1">
            <x v="0"/>
          </reference>
        </references>
      </pivotArea>
    </format>
    <format dxfId="705">
      <pivotArea dataOnly="0" labelOnly="1" outline="0" fieldPosition="0">
        <references count="2">
          <reference field="4294967294" count="0"/>
          <reference field="0" count="1" selected="0">
            <x v="0"/>
          </reference>
        </references>
      </pivotArea>
    </format>
    <format dxfId="704">
      <pivotArea outline="0" fieldPosition="0">
        <references count="3">
          <reference field="0" count="1" selected="0">
            <x v="0"/>
          </reference>
          <reference field="5" count="1" selected="0">
            <x v="1"/>
          </reference>
          <reference field="45" count="1" selected="0">
            <x v="0"/>
          </reference>
        </references>
      </pivotArea>
    </format>
    <format dxfId="703">
      <pivotArea dataOnly="0" labelOnly="1" outline="0" fieldPosition="0">
        <references count="2">
          <reference field="5" count="1">
            <x v="1"/>
          </reference>
          <reference field="45" count="1" selected="0">
            <x v="0"/>
          </reference>
        </references>
      </pivotArea>
    </format>
    <format dxfId="702">
      <pivotArea outline="0" fieldPosition="0">
        <references count="3">
          <reference field="0" count="1" selected="0">
            <x v="0"/>
          </reference>
          <reference field="5" count="1" selected="0">
            <x v="2"/>
          </reference>
          <reference field="45" count="1" selected="0">
            <x v="0"/>
          </reference>
        </references>
      </pivotArea>
    </format>
    <format dxfId="701">
      <pivotArea dataOnly="0" labelOnly="1" outline="0" fieldPosition="0">
        <references count="2">
          <reference field="5" count="1">
            <x v="2"/>
          </reference>
          <reference field="45" count="1" selected="0">
            <x v="0"/>
          </reference>
        </references>
      </pivotArea>
    </format>
    <format dxfId="700">
      <pivotArea outline="0" fieldPosition="0">
        <references count="3">
          <reference field="0" count="1" selected="0">
            <x v="0"/>
          </reference>
          <reference field="5" count="1" selected="0">
            <x v="3"/>
          </reference>
          <reference field="45" count="1" selected="0">
            <x v="0"/>
          </reference>
        </references>
      </pivotArea>
    </format>
    <format dxfId="699">
      <pivotArea dataOnly="0" labelOnly="1" outline="0" fieldPosition="0">
        <references count="2">
          <reference field="5" count="1">
            <x v="3"/>
          </reference>
          <reference field="45" count="1" selected="0">
            <x v="0"/>
          </reference>
        </references>
      </pivotArea>
    </format>
    <format dxfId="698">
      <pivotArea outline="0" fieldPosition="0">
        <references count="3">
          <reference field="0" count="1" selected="0">
            <x v="0"/>
          </reference>
          <reference field="5" count="1" selected="0">
            <x v="4"/>
          </reference>
          <reference field="45" count="1" selected="0">
            <x v="0"/>
          </reference>
        </references>
      </pivotArea>
    </format>
    <format dxfId="697">
      <pivotArea dataOnly="0" labelOnly="1" outline="0" fieldPosition="0">
        <references count="2">
          <reference field="5" count="1">
            <x v="4"/>
          </reference>
          <reference field="45" count="1" selected="0">
            <x v="0"/>
          </reference>
        </references>
      </pivotArea>
    </format>
    <format dxfId="696">
      <pivotArea outline="0" fieldPosition="0">
        <references count="3">
          <reference field="0" count="1" selected="0">
            <x v="0"/>
          </reference>
          <reference field="5" count="1" selected="0">
            <x v="5"/>
          </reference>
          <reference field="45" count="1" selected="0">
            <x v="0"/>
          </reference>
        </references>
      </pivotArea>
    </format>
    <format dxfId="695">
      <pivotArea dataOnly="0" labelOnly="1" outline="0" fieldPosition="0">
        <references count="2">
          <reference field="5" count="1">
            <x v="5"/>
          </reference>
          <reference field="45" count="1" selected="0">
            <x v="0"/>
          </reference>
        </references>
      </pivotArea>
    </format>
    <format dxfId="694">
      <pivotArea outline="0" fieldPosition="0">
        <references count="3">
          <reference field="0" count="1" selected="0">
            <x v="0"/>
          </reference>
          <reference field="5" count="1" selected="0">
            <x v="7"/>
          </reference>
          <reference field="45" count="1" selected="0">
            <x v="1"/>
          </reference>
        </references>
      </pivotArea>
    </format>
    <format dxfId="693">
      <pivotArea dataOnly="0" labelOnly="1" outline="0" fieldPosition="0">
        <references count="2">
          <reference field="5" count="1">
            <x v="7"/>
          </reference>
          <reference field="45" count="1" selected="0">
            <x v="1"/>
          </reference>
        </references>
      </pivotArea>
    </format>
    <format dxfId="692">
      <pivotArea outline="0" fieldPosition="0">
        <references count="3">
          <reference field="0" count="1" selected="0">
            <x v="0"/>
          </reference>
          <reference field="5" count="3" selected="0">
            <x v="8"/>
            <x v="9"/>
            <x v="10"/>
          </reference>
          <reference field="45" count="1" selected="0">
            <x v="1"/>
          </reference>
        </references>
      </pivotArea>
    </format>
    <format dxfId="691">
      <pivotArea dataOnly="0" labelOnly="1" outline="0" fieldPosition="0">
        <references count="2">
          <reference field="5" count="3">
            <x v="8"/>
            <x v="9"/>
            <x v="10"/>
          </reference>
          <reference field="45" count="1" selected="0">
            <x v="1"/>
          </reference>
        </references>
      </pivotArea>
    </format>
    <format dxfId="690">
      <pivotArea outline="0" fieldPosition="0">
        <references count="3">
          <reference field="0" count="1" selected="0">
            <x v="0"/>
          </reference>
          <reference field="5" count="1" selected="0">
            <x v="9"/>
          </reference>
          <reference field="45" count="1" selected="0">
            <x v="1"/>
          </reference>
        </references>
      </pivotArea>
    </format>
    <format dxfId="689">
      <pivotArea outline="0" fieldPosition="0">
        <references count="3">
          <reference field="0" count="1" selected="0">
            <x v="0"/>
          </reference>
          <reference field="5" count="1" selected="0">
            <x v="10"/>
          </reference>
          <reference field="45" count="1" selected="0">
            <x v="1"/>
          </reference>
        </references>
      </pivotArea>
    </format>
    <format dxfId="688">
      <pivotArea outline="0" fieldPosition="0">
        <references count="2">
          <reference field="0" count="1" selected="0">
            <x v="0"/>
          </reference>
          <reference field="45" count="2" selected="0" defaultSubtotal="1">
            <x v="3"/>
            <x v="4"/>
          </reference>
        </references>
      </pivotArea>
    </format>
    <format dxfId="687">
      <pivotArea type="topRight" dataOnly="0" labelOnly="1" outline="0" offset="V1" fieldPosition="0"/>
    </format>
    <format dxfId="686">
      <pivotArea dataOnly="0" labelOnly="1" grandCol="1" outline="0" fieldPosition="0"/>
    </format>
    <format dxfId="685">
      <pivotArea type="origin" dataOnly="0" labelOnly="1" outline="0" fieldPosition="0"/>
    </format>
    <format dxfId="684">
      <pivotArea field="0" type="button" dataOnly="0" labelOnly="1" outline="0" axis="axisRow" fieldPosition="0"/>
    </format>
    <format dxfId="683">
      <pivotArea field="-2" type="button" dataOnly="0" labelOnly="1" outline="0" axis="axisRow" fieldPosition="1"/>
    </format>
    <format dxfId="682">
      <pivotArea field="45" type="button" dataOnly="0" labelOnly="1" outline="0" axis="axisCol" fieldPosition="0"/>
    </format>
    <format dxfId="681">
      <pivotArea field="5" type="button" dataOnly="0" labelOnly="1" outline="0" axis="axisCol" fieldPosition="1"/>
    </format>
    <format dxfId="680">
      <pivotArea type="topRight" dataOnly="0" labelOnly="1" outline="0" fieldPosition="0"/>
    </format>
    <format dxfId="679">
      <pivotArea dataOnly="0" labelOnly="1" outline="0" fieldPosition="0">
        <references count="1">
          <reference field="45" count="4">
            <x v="0"/>
            <x v="1"/>
            <x v="3"/>
            <x v="4"/>
          </reference>
        </references>
      </pivotArea>
    </format>
    <format dxfId="678">
      <pivotArea dataOnly="0" labelOnly="1" outline="0" fieldPosition="0">
        <references count="1">
          <reference field="45" count="4" defaultSubtotal="1">
            <x v="0"/>
            <x v="1"/>
            <x v="3"/>
            <x v="4"/>
          </reference>
        </references>
      </pivotArea>
    </format>
    <format dxfId="677">
      <pivotArea dataOnly="0" labelOnly="1" grandCol="1" outline="0" fieldPosition="0"/>
    </format>
    <format dxfId="676">
      <pivotArea dataOnly="0" labelOnly="1" outline="0" fieldPosition="0">
        <references count="2">
          <reference field="5" count="6">
            <x v="0"/>
            <x v="1"/>
            <x v="2"/>
            <x v="3"/>
            <x v="4"/>
            <x v="5"/>
          </reference>
          <reference field="45" count="1" selected="0">
            <x v="0"/>
          </reference>
        </references>
      </pivotArea>
    </format>
    <format dxfId="675">
      <pivotArea dataOnly="0" labelOnly="1" outline="0" fieldPosition="0">
        <references count="2">
          <reference field="5" count="5">
            <x v="6"/>
            <x v="7"/>
            <x v="8"/>
            <x v="9"/>
            <x v="10"/>
          </reference>
          <reference field="45" count="1" selected="0">
            <x v="1"/>
          </reference>
        </references>
      </pivotArea>
    </format>
    <format dxfId="674">
      <pivotArea dataOnly="0" labelOnly="1" outline="0" fieldPosition="0">
        <references count="2">
          <reference field="5" count="1">
            <x v="14"/>
          </reference>
          <reference field="45" count="1" selected="0">
            <x v="3"/>
          </reference>
        </references>
      </pivotArea>
    </format>
    <format dxfId="673">
      <pivotArea dataOnly="0" labelOnly="1" outline="0" fieldPosition="0">
        <references count="2">
          <reference field="5" count="1">
            <x v="15"/>
          </reference>
          <reference field="45" count="1" selected="0">
            <x v="4"/>
          </reference>
        </references>
      </pivotArea>
    </format>
    <format dxfId="672">
      <pivotArea outline="0" fieldPosition="0">
        <references count="2">
          <reference field="5" count="1" selected="0">
            <x v="6"/>
          </reference>
          <reference field="45" count="1" selected="0">
            <x v="1"/>
          </reference>
        </references>
      </pivotArea>
    </format>
    <format dxfId="671">
      <pivotArea dataOnly="0" labelOnly="1" outline="0" offset="A256" fieldPosition="0">
        <references count="1">
          <reference field="45" count="1">
            <x v="1"/>
          </reference>
        </references>
      </pivotArea>
    </format>
    <format dxfId="670">
      <pivotArea outline="0" fieldPosition="0">
        <references count="1">
          <reference field="45" count="1" selected="0" defaultSubtotal="1">
            <x v="1"/>
          </reference>
        </references>
      </pivotArea>
    </format>
    <format dxfId="669">
      <pivotArea field="0" type="button" dataOnly="0" labelOnly="1" outline="0" axis="axisRow" fieldPosition="0"/>
    </format>
    <format dxfId="668">
      <pivotArea field="-2" type="button" dataOnly="0" labelOnly="1" outline="0" axis="axisRow" fieldPosition="1"/>
    </format>
    <format dxfId="667">
      <pivotArea dataOnly="0" labelOnly="1" outline="0" offset="IV256" fieldPosition="0">
        <references count="1">
          <reference field="45" count="1" defaultSubtotal="1">
            <x v="0"/>
          </reference>
        </references>
      </pivotArea>
    </format>
    <format dxfId="666">
      <pivotArea dataOnly="0" labelOnly="1" outline="0" offset="IV256" fieldPosition="0">
        <references count="1">
          <reference field="45" count="1" defaultSubtotal="1">
            <x v="1"/>
          </reference>
        </references>
      </pivotArea>
    </format>
    <format dxfId="665">
      <pivotArea dataOnly="0" labelOnly="1" outline="0" offset="IV256" fieldPosition="0">
        <references count="1">
          <reference field="45" count="1" defaultSubtotal="1">
            <x v="3"/>
          </reference>
        </references>
      </pivotArea>
    </format>
    <format dxfId="664">
      <pivotArea dataOnly="0" labelOnly="1" outline="0" offset="IV256" fieldPosition="0">
        <references count="1">
          <reference field="45" count="1" defaultSubtotal="1">
            <x v="4"/>
          </reference>
        </references>
      </pivotArea>
    </format>
    <format dxfId="663">
      <pivotArea dataOnly="0" labelOnly="1" grandCol="1" outline="0" offset="IV256" fieldPosition="0"/>
    </format>
    <format dxfId="662">
      <pivotArea dataOnly="0" labelOnly="1" outline="0" fieldPosition="0">
        <references count="2">
          <reference field="5" count="6">
            <x v="0"/>
            <x v="1"/>
            <x v="2"/>
            <x v="3"/>
            <x v="4"/>
            <x v="5"/>
          </reference>
          <reference field="45" count="1" selected="0">
            <x v="0"/>
          </reference>
        </references>
      </pivotArea>
    </format>
    <format dxfId="661">
      <pivotArea dataOnly="0" labelOnly="1" outline="0" fieldPosition="0">
        <references count="2">
          <reference field="5" count="5">
            <x v="6"/>
            <x v="7"/>
            <x v="8"/>
            <x v="9"/>
            <x v="10"/>
          </reference>
          <reference field="45" count="1" selected="0">
            <x v="1"/>
          </reference>
        </references>
      </pivotArea>
    </format>
    <format dxfId="660">
      <pivotArea dataOnly="0" labelOnly="1" outline="0" fieldPosition="0">
        <references count="2">
          <reference field="5" count="1">
            <x v="14"/>
          </reference>
          <reference field="45" count="1" selected="0">
            <x v="3"/>
          </reference>
        </references>
      </pivotArea>
    </format>
    <format dxfId="659">
      <pivotArea dataOnly="0" labelOnly="1" outline="0" fieldPosition="0">
        <references count="2">
          <reference field="5" count="1">
            <x v="15"/>
          </reference>
          <reference field="45" count="1" selected="0">
            <x v="4"/>
          </reference>
        </references>
      </pivotArea>
    </format>
    <format dxfId="658">
      <pivotArea field="0" type="button" dataOnly="0" labelOnly="1" outline="0" axis="axisRow" fieldPosition="0"/>
    </format>
    <format dxfId="657">
      <pivotArea field="-2" type="button" dataOnly="0" labelOnly="1" outline="0" axis="axisRow" fieldPosition="1"/>
    </format>
    <format dxfId="656">
      <pivotArea dataOnly="0" labelOnly="1" outline="0" offset="IV256" fieldPosition="0">
        <references count="1">
          <reference field="45" count="1" defaultSubtotal="1">
            <x v="0"/>
          </reference>
        </references>
      </pivotArea>
    </format>
    <format dxfId="655">
      <pivotArea dataOnly="0" labelOnly="1" outline="0" offset="IV256" fieldPosition="0">
        <references count="1">
          <reference field="45" count="1" defaultSubtotal="1">
            <x v="1"/>
          </reference>
        </references>
      </pivotArea>
    </format>
    <format dxfId="654">
      <pivotArea dataOnly="0" labelOnly="1" outline="0" offset="IV256" fieldPosition="0">
        <references count="1">
          <reference field="45" count="1" defaultSubtotal="1">
            <x v="3"/>
          </reference>
        </references>
      </pivotArea>
    </format>
    <format dxfId="653">
      <pivotArea dataOnly="0" labelOnly="1" outline="0" offset="IV256" fieldPosition="0">
        <references count="1">
          <reference field="45" count="1" defaultSubtotal="1">
            <x v="4"/>
          </reference>
        </references>
      </pivotArea>
    </format>
    <format dxfId="652">
      <pivotArea dataOnly="0" labelOnly="1" grandCol="1" outline="0" offset="IV256" fieldPosition="0"/>
    </format>
    <format dxfId="651">
      <pivotArea dataOnly="0" labelOnly="1" outline="0" fieldPosition="0">
        <references count="2">
          <reference field="5" count="6">
            <x v="0"/>
            <x v="1"/>
            <x v="2"/>
            <x v="3"/>
            <x v="4"/>
            <x v="5"/>
          </reference>
          <reference field="45" count="1" selected="0">
            <x v="0"/>
          </reference>
        </references>
      </pivotArea>
    </format>
    <format dxfId="650">
      <pivotArea dataOnly="0" labelOnly="1" outline="0" fieldPosition="0">
        <references count="2">
          <reference field="5" count="5">
            <x v="6"/>
            <x v="7"/>
            <x v="8"/>
            <x v="9"/>
            <x v="10"/>
          </reference>
          <reference field="45" count="1" selected="0">
            <x v="1"/>
          </reference>
        </references>
      </pivotArea>
    </format>
    <format dxfId="649">
      <pivotArea dataOnly="0" labelOnly="1" outline="0" fieldPosition="0">
        <references count="2">
          <reference field="5" count="1">
            <x v="14"/>
          </reference>
          <reference field="45" count="1" selected="0">
            <x v="3"/>
          </reference>
        </references>
      </pivotArea>
    </format>
    <format dxfId="648">
      <pivotArea dataOnly="0" labelOnly="1" outline="0" fieldPosition="0">
        <references count="2">
          <reference field="5" count="1">
            <x v="15"/>
          </reference>
          <reference field="45" count="1" selected="0">
            <x v="4"/>
          </reference>
        </references>
      </pivotArea>
    </format>
    <format dxfId="647">
      <pivotArea type="origin" dataOnly="0" labelOnly="1" outline="0" offset="A2:B2" fieldPosition="0"/>
    </format>
    <format dxfId="646">
      <pivotArea type="origin" dataOnly="0" labelOnly="1" outline="0" fieldPosition="0"/>
    </format>
    <format dxfId="645">
      <pivotArea field="45" type="button" dataOnly="0" labelOnly="1" outline="0" axis="axisCol" fieldPosition="0"/>
    </format>
    <format dxfId="644">
      <pivotArea field="5" type="button" dataOnly="0" labelOnly="1" outline="0" axis="axisCol" fieldPosition="1"/>
    </format>
    <format dxfId="643">
      <pivotArea type="topRight" dataOnly="0" labelOnly="1" outline="0" fieldPosition="0"/>
    </format>
    <format dxfId="642">
      <pivotArea dataOnly="0" labelOnly="1" outline="0" fieldPosition="0">
        <references count="1">
          <reference field="45" count="1">
            <x v="0"/>
          </reference>
        </references>
      </pivotArea>
    </format>
    <format dxfId="641">
      <pivotArea dataOnly="0" labelOnly="1" outline="0" offset="IV1" fieldPosition="0">
        <references count="1">
          <reference field="45" count="1" defaultSubtotal="1">
            <x v="0"/>
          </reference>
        </references>
      </pivotArea>
    </format>
    <format dxfId="640">
      <pivotArea dataOnly="0" labelOnly="1" outline="0" fieldPosition="0">
        <references count="1">
          <reference field="45" count="1">
            <x v="1"/>
          </reference>
        </references>
      </pivotArea>
    </format>
    <format dxfId="639">
      <pivotArea dataOnly="0" labelOnly="1" outline="0" offset="IV1" fieldPosition="0">
        <references count="1">
          <reference field="45" count="1" defaultSubtotal="1">
            <x v="1"/>
          </reference>
        </references>
      </pivotArea>
    </format>
    <format dxfId="638">
      <pivotArea dataOnly="0" labelOnly="1" outline="0" fieldPosition="0">
        <references count="1">
          <reference field="45" count="1">
            <x v="3"/>
          </reference>
        </references>
      </pivotArea>
    </format>
    <format dxfId="637">
      <pivotArea dataOnly="0" labelOnly="1" outline="0" offset="IV1" fieldPosition="0">
        <references count="1">
          <reference field="45" count="1" defaultSubtotal="1">
            <x v="3"/>
          </reference>
        </references>
      </pivotArea>
    </format>
    <format dxfId="636">
      <pivotArea dataOnly="0" labelOnly="1" outline="0" fieldPosition="0">
        <references count="1">
          <reference field="45" count="1">
            <x v="4"/>
          </reference>
        </references>
      </pivotArea>
    </format>
    <format dxfId="635">
      <pivotArea dataOnly="0" labelOnly="1" outline="0" offset="IV1" fieldPosition="0">
        <references count="1">
          <reference field="45" count="1" defaultSubtotal="1">
            <x v="4"/>
          </reference>
        </references>
      </pivotArea>
    </format>
    <format dxfId="634">
      <pivotArea dataOnly="0" labelOnly="1" grandCol="1" outline="0" offset="IV1" fieldPosition="0"/>
    </format>
    <format dxfId="633">
      <pivotArea outline="0" collapsedLevelsAreSubtotals="1" fieldPosition="0">
        <references count="2">
          <reference field="4294967294" count="3" selected="0">
            <x v="0"/>
            <x v="1"/>
            <x v="2"/>
          </reference>
          <reference field="0" count="1" selected="0">
            <x v="0"/>
          </reference>
        </references>
      </pivotArea>
    </format>
    <format dxfId="632">
      <pivotArea dataOnly="0" labelOnly="1" outline="0" fieldPosition="0">
        <references count="2">
          <reference field="4294967294" count="3">
            <x v="0"/>
            <x v="1"/>
            <x v="2"/>
          </reference>
          <reference field="0" count="1" selected="0">
            <x v="0"/>
          </reference>
        </references>
      </pivotArea>
    </format>
    <format dxfId="631">
      <pivotArea outline="0" collapsedLevelsAreSubtotals="1" fieldPosition="0">
        <references count="2">
          <reference field="4294967294" count="1" selected="0">
            <x v="2"/>
          </reference>
          <reference field="0" count="1" selected="0">
            <x v="0"/>
          </reference>
        </references>
      </pivotArea>
    </format>
    <format dxfId="630">
      <pivotArea dataOnly="0" labelOnly="1" outline="0" offset="IV3" fieldPosition="0">
        <references count="1">
          <reference field="0" count="1">
            <x v="0"/>
          </reference>
        </references>
      </pivotArea>
    </format>
    <format dxfId="629">
      <pivotArea dataOnly="0" labelOnly="1" outline="0" fieldPosition="0">
        <references count="2">
          <reference field="4294967294" count="1">
            <x v="2"/>
          </reference>
          <reference field="0" count="1" selected="0">
            <x v="0"/>
          </reference>
        </references>
      </pivotArea>
    </format>
    <format dxfId="628">
      <pivotArea dataOnly="0" labelOnly="1" outline="0" fieldPosition="0">
        <references count="1">
          <reference field="0" count="1">
            <x v="0"/>
          </reference>
        </references>
      </pivotArea>
    </format>
    <format dxfId="627">
      <pivotArea dataOnly="0" labelOnly="1" outline="0" fieldPosition="0">
        <references count="1">
          <reference field="0" count="1">
            <x v="1"/>
          </reference>
        </references>
      </pivotArea>
    </format>
    <format dxfId="626">
      <pivotArea dataOnly="0" labelOnly="1" outline="0" fieldPosition="0">
        <references count="1">
          <reference field="0" count="1">
            <x v="2"/>
          </reference>
        </references>
      </pivotArea>
    </format>
    <format dxfId="625">
      <pivotArea dataOnly="0" labelOnly="1" outline="0" fieldPosition="0">
        <references count="1">
          <reference field="0" count="1">
            <x v="3"/>
          </reference>
        </references>
      </pivotArea>
    </format>
    <format dxfId="624">
      <pivotArea dataOnly="0" labelOnly="1" outline="0" fieldPosition="0">
        <references count="1">
          <reference field="0" count="1">
            <x v="4"/>
          </reference>
        </references>
      </pivotArea>
    </format>
    <format dxfId="623">
      <pivotArea dataOnly="0" labelOnly="1" outline="0" fieldPosition="0">
        <references count="1">
          <reference field="0" count="1">
            <x v="5"/>
          </reference>
        </references>
      </pivotArea>
    </format>
    <format dxfId="622">
      <pivotArea dataOnly="0" labelOnly="1" outline="0" fieldPosition="0">
        <references count="1">
          <reference field="0" count="1">
            <x v="6"/>
          </reference>
        </references>
      </pivotArea>
    </format>
    <format dxfId="621">
      <pivotArea dataOnly="0" labelOnly="1" outline="0" fieldPosition="0">
        <references count="1">
          <reference field="0" count="1">
            <x v="7"/>
          </reference>
        </references>
      </pivotArea>
    </format>
    <format dxfId="620">
      <pivotArea dataOnly="0" labelOnly="1" outline="0" fieldPosition="0">
        <references count="1">
          <reference field="0" count="1">
            <x v="8"/>
          </reference>
        </references>
      </pivotArea>
    </format>
    <format dxfId="619">
      <pivotArea dataOnly="0" labelOnly="1" outline="0" fieldPosition="0">
        <references count="1">
          <reference field="0" count="1">
            <x v="9"/>
          </reference>
        </references>
      </pivotArea>
    </format>
    <format dxfId="618">
      <pivotArea dataOnly="0" labelOnly="1" outline="0" fieldPosition="0">
        <references count="1">
          <reference field="0" count="1">
            <x v="10"/>
          </reference>
        </references>
      </pivotArea>
    </format>
    <format dxfId="617">
      <pivotArea dataOnly="0" labelOnly="1" outline="0" fieldPosition="0">
        <references count="1">
          <reference field="0" count="1">
            <x v="11"/>
          </reference>
        </references>
      </pivotArea>
    </format>
    <format dxfId="616">
      <pivotArea dataOnly="0" labelOnly="1" outline="0" fieldPosition="0">
        <references count="1">
          <reference field="0" count="1">
            <x v="12"/>
          </reference>
        </references>
      </pivotArea>
    </format>
    <format dxfId="615">
      <pivotArea dataOnly="0" labelOnly="1" outline="0" fieldPosition="0">
        <references count="1">
          <reference field="0" count="1">
            <x v="13"/>
          </reference>
        </references>
      </pivotArea>
    </format>
    <format dxfId="614">
      <pivotArea dataOnly="0" labelOnly="1" outline="0" fieldPosition="0">
        <references count="1">
          <reference field="0" count="1">
            <x v="14"/>
          </reference>
        </references>
      </pivotArea>
    </format>
    <format dxfId="613">
      <pivotArea dataOnly="0" labelOnly="1" outline="0" fieldPosition="0">
        <references count="1">
          <reference field="0" count="1">
            <x v="15"/>
          </reference>
        </references>
      </pivotArea>
    </format>
    <format dxfId="612">
      <pivotArea field="0" dataOnly="0" labelOnly="1" grandRow="1" outline="0" axis="axisRow" fieldPosition="0">
        <references count="1">
          <reference field="4294967294" count="1" selected="0">
            <x v="0"/>
          </reference>
        </references>
      </pivotArea>
    </format>
    <format dxfId="611">
      <pivotArea field="0" dataOnly="0" labelOnly="1" grandRow="1" outline="0" axis="axisRow" fieldPosition="0">
        <references count="1">
          <reference field="4294967294" count="1" selected="0">
            <x v="1"/>
          </reference>
        </references>
      </pivotArea>
    </format>
    <format dxfId="610">
      <pivotArea field="0" dataOnly="0" labelOnly="1" grandRow="1" outline="0" axis="axisRow" fieldPosition="0">
        <references count="1">
          <reference field="4294967294" count="1" selected="0">
            <x v="2"/>
          </reference>
        </references>
      </pivotArea>
    </format>
    <format dxfId="609">
      <pivotArea field="0" dataOnly="0" labelOnly="1" grandRow="1" outline="0" axis="axisRow" fieldPosition="0">
        <references count="1">
          <reference field="4294967294" count="1" selected="0">
            <x v="3"/>
          </reference>
        </references>
      </pivotArea>
    </format>
    <format dxfId="608">
      <pivotArea field="0" dataOnly="0" labelOnly="1" grandRow="1" outline="0" axis="axisRow" fieldPosition="0">
        <references count="1">
          <reference field="4294967294" count="1" selected="0">
            <x v="4"/>
          </reference>
        </references>
      </pivotArea>
    </format>
    <format dxfId="607">
      <pivotArea field="0" dataOnly="0" labelOnly="1" grandRow="1" outline="0" axis="axisRow" fieldPosition="0">
        <references count="1">
          <reference field="4294967294" count="1" selected="0">
            <x v="5"/>
          </reference>
        </references>
      </pivotArea>
    </format>
    <format dxfId="606">
      <pivotArea field="0" dataOnly="0" labelOnly="1" grandRow="1" outline="0" axis="axisRow" fieldPosition="0">
        <references count="1">
          <reference field="4294967294" count="1" selected="0">
            <x v="6"/>
          </reference>
        </references>
      </pivotArea>
    </format>
    <format dxfId="605">
      <pivotArea field="0" dataOnly="0" labelOnly="1" grandRow="1" outline="0" axis="axisRow" fieldPosition="0">
        <references count="1">
          <reference field="4294967294" count="1" selected="0">
            <x v="7"/>
          </reference>
        </references>
      </pivotArea>
    </format>
    <format dxfId="604">
      <pivotArea field="0" dataOnly="0" labelOnly="1" grandRow="1" outline="0" axis="axisRow" fieldPosition="0">
        <references count="1">
          <reference field="4294967294" count="1" selected="0">
            <x v="8"/>
          </reference>
        </references>
      </pivotArea>
    </format>
    <format dxfId="603">
      <pivotArea field="0" dataOnly="0" labelOnly="1" grandRow="1" outline="0" axis="axisRow" fieldPosition="0">
        <references count="1">
          <reference field="4294967294" count="1" selected="0">
            <x v="9"/>
          </reference>
        </references>
      </pivotArea>
    </format>
    <format dxfId="602">
      <pivotArea field="0" dataOnly="0" labelOnly="1" grandRow="1" outline="0" axis="axisRow" fieldPosition="0">
        <references count="1">
          <reference field="4294967294" count="1" selected="0">
            <x v="10"/>
          </reference>
        </references>
      </pivotArea>
    </format>
    <format dxfId="601">
      <pivotArea field="0" dataOnly="0" labelOnly="1" grandRow="1" outline="0" axis="axisRow" fieldPosition="0">
        <references count="1">
          <reference field="4294967294" count="1" selected="0">
            <x v="11"/>
          </reference>
        </references>
      </pivotArea>
    </format>
    <format dxfId="600">
      <pivotArea field="0" dataOnly="0" labelOnly="1" grandRow="1" outline="0" axis="axisRow" fieldPosition="0">
        <references count="1">
          <reference field="4294967294" count="1" selected="0">
            <x v="12"/>
          </reference>
        </references>
      </pivotArea>
    </format>
    <format dxfId="599">
      <pivotArea field="0" dataOnly="0" labelOnly="1" grandRow="1" outline="0" axis="axisRow" fieldPosition="0">
        <references count="1">
          <reference field="4294967294" count="1" selected="0">
            <x v="13"/>
          </reference>
        </references>
      </pivotArea>
    </format>
    <format dxfId="598">
      <pivotArea field="0" dataOnly="0" labelOnly="1" grandRow="1" outline="0" axis="axisRow" fieldPosition="0">
        <references count="1">
          <reference field="4294967294" count="1" selected="0">
            <x v="14"/>
          </reference>
        </references>
      </pivotArea>
    </format>
    <format dxfId="597">
      <pivotArea field="0" dataOnly="0" labelOnly="1" grandRow="1" outline="0" axis="axisRow" fieldPosition="0">
        <references count="1">
          <reference field="4294967294" count="1" selected="0">
            <x v="15"/>
          </reference>
        </references>
      </pivotArea>
    </format>
    <format dxfId="596">
      <pivotArea field="0" dataOnly="0" labelOnly="1" grandRow="1" outline="0" axis="axisRow" fieldPosition="0">
        <references count="1">
          <reference field="4294967294" count="1" selected="0">
            <x v="16"/>
          </reference>
        </references>
      </pivotArea>
    </format>
    <format dxfId="595">
      <pivotArea field="0" dataOnly="0" labelOnly="1" grandRow="1" outline="0" axis="axisRow" fieldPosition="0">
        <references count="1">
          <reference field="4294967294" count="1" selected="0">
            <x v="17"/>
          </reference>
        </references>
      </pivotArea>
    </format>
    <format dxfId="594">
      <pivotArea field="0" dataOnly="0" labelOnly="1" grandRow="1" outline="0" axis="axisRow" fieldPosition="0">
        <references count="1">
          <reference field="4294967294" count="1" selected="0">
            <x v="18"/>
          </reference>
        </references>
      </pivotArea>
    </format>
    <format dxfId="593">
      <pivotArea field="0" dataOnly="0" labelOnly="1" grandRow="1" outline="0" axis="axisRow" fieldPosition="0">
        <references count="1">
          <reference field="4294967294" count="1" selected="0">
            <x v="19"/>
          </reference>
        </references>
      </pivotArea>
    </format>
    <format dxfId="592">
      <pivotArea field="0" dataOnly="0" labelOnly="1" grandRow="1" outline="0" axis="axisRow" fieldPosition="0">
        <references count="1">
          <reference field="4294967294" count="1" selected="0">
            <x v="20"/>
          </reference>
        </references>
      </pivotArea>
    </format>
    <format dxfId="591">
      <pivotArea field="0" dataOnly="0" labelOnly="1" grandRow="1" outline="0" axis="axisRow" fieldPosition="0">
        <references count="1">
          <reference field="4294967294" count="1" selected="0">
            <x v="21"/>
          </reference>
        </references>
      </pivotArea>
    </format>
    <format dxfId="590">
      <pivotArea field="0" dataOnly="0" labelOnly="1" grandRow="1" outline="0" axis="axisRow" fieldPosition="0">
        <references count="1">
          <reference field="4294967294" count="1" selected="0">
            <x v="22"/>
          </reference>
        </references>
      </pivotArea>
    </format>
    <format dxfId="589">
      <pivotArea field="0" dataOnly="0" labelOnly="1" grandRow="1" outline="0" axis="axisRow" fieldPosition="0">
        <references count="1">
          <reference field="4294967294" count="1" selected="0">
            <x v="23"/>
          </reference>
        </references>
      </pivotArea>
    </format>
    <format dxfId="588">
      <pivotArea field="0" dataOnly="0" labelOnly="1" grandRow="1" outline="0" axis="axisRow" fieldPosition="0">
        <references count="1">
          <reference field="4294967294" count="1" selected="0">
            <x v="24"/>
          </reference>
        </references>
      </pivotArea>
    </format>
    <format dxfId="587">
      <pivotArea field="0" dataOnly="0" labelOnly="1" grandRow="1" outline="0" axis="axisRow" fieldPosition="0">
        <references count="1">
          <reference field="4294967294" count="1" selected="0">
            <x v="25"/>
          </reference>
        </references>
      </pivotArea>
    </format>
    <format dxfId="586">
      <pivotArea field="0" dataOnly="0" labelOnly="1" grandRow="1" outline="0" axis="axisRow" fieldPosition="0">
        <references count="1">
          <reference field="4294967294" count="1" selected="0">
            <x v="26"/>
          </reference>
        </references>
      </pivotArea>
    </format>
    <format dxfId="585">
      <pivotArea field="0" dataOnly="0" labelOnly="1" grandRow="1" outline="0" axis="axisRow" fieldPosition="0">
        <references count="1">
          <reference field="4294967294" count="1" selected="0">
            <x v="27"/>
          </reference>
        </references>
      </pivotArea>
    </format>
    <format dxfId="584">
      <pivotArea field="0" dataOnly="0" labelOnly="1" grandRow="1" outline="0" axis="axisRow" fieldPosition="0">
        <references count="1">
          <reference field="4294967294" count="1" selected="0">
            <x v="28"/>
          </reference>
        </references>
      </pivotArea>
    </format>
    <format dxfId="583">
      <pivotArea field="0" dataOnly="0" labelOnly="1" grandRow="1" outline="0" axis="axisRow" fieldPosition="0">
        <references count="1">
          <reference field="4294967294" count="1" selected="0">
            <x v="29"/>
          </reference>
        </references>
      </pivotArea>
    </format>
    <format dxfId="582">
      <pivotArea field="0" dataOnly="0" labelOnly="1" grandRow="1" outline="0" axis="axisRow" fieldPosition="0">
        <references count="1">
          <reference field="4294967294" count="1" selected="0">
            <x v="30"/>
          </reference>
        </references>
      </pivotArea>
    </format>
    <format dxfId="581">
      <pivotArea field="0" dataOnly="0" labelOnly="1" grandRow="1" outline="0" axis="axisRow" fieldPosition="0">
        <references count="1">
          <reference field="4294967294" count="1" selected="0">
            <x v="31"/>
          </reference>
        </references>
      </pivotArea>
    </format>
    <format dxfId="580">
      <pivotArea field="0" dataOnly="0" labelOnly="1" grandRow="1" outline="0" axis="axisRow" fieldPosition="0">
        <references count="1">
          <reference field="4294967294" count="1" selected="0">
            <x v="32"/>
          </reference>
        </references>
      </pivotArea>
    </format>
    <format dxfId="579">
      <pivotArea field="0" dataOnly="0" labelOnly="1" grandRow="1" outline="0" axis="axisRow" fieldPosition="0">
        <references count="1">
          <reference field="4294967294" count="1" selected="0">
            <x v="33"/>
          </reference>
        </references>
      </pivotArea>
    </format>
    <format dxfId="578">
      <pivotArea field="0" dataOnly="0" labelOnly="1" grandRow="1" outline="0" axis="axisRow" fieldPosition="0">
        <references count="1">
          <reference field="4294967294" count="1" selected="0">
            <x v="34"/>
          </reference>
        </references>
      </pivotArea>
    </format>
    <format dxfId="577">
      <pivotArea field="0" dataOnly="0" labelOnly="1" grandRow="1" outline="0" axis="axisRow" fieldPosition="0">
        <references count="1">
          <reference field="4294967294" count="1" selected="0">
            <x v="35"/>
          </reference>
        </references>
      </pivotArea>
    </format>
    <format dxfId="576">
      <pivotArea field="0" dataOnly="0" labelOnly="1" grandRow="1" outline="0" axis="axisRow" fieldPosition="0">
        <references count="1">
          <reference field="4294967294" count="1" selected="0">
            <x v="36"/>
          </reference>
        </references>
      </pivotArea>
    </format>
    <format dxfId="575">
      <pivotArea field="0" dataOnly="0" labelOnly="1" grandRow="1" outline="0" axis="axisRow" fieldPosition="0">
        <references count="1">
          <reference field="4294967294" count="1" selected="0">
            <x v="37"/>
          </reference>
        </references>
      </pivotArea>
    </format>
    <format dxfId="574">
      <pivotArea field="0" dataOnly="0" labelOnly="1" grandRow="1" outline="0" axis="axisRow" fieldPosition="0">
        <references count="1">
          <reference field="4294967294" count="1" selected="0">
            <x v="38"/>
          </reference>
        </references>
      </pivotArea>
    </format>
    <format dxfId="573">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572">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571">
      <pivotArea outline="0" collapsedLevelsAreSubtotals="1" fieldPosition="0">
        <references count="4">
          <reference field="4294967294" count="1" selected="0">
            <x v="11"/>
          </reference>
          <reference field="0" count="1" selected="0">
            <x v="1"/>
          </reference>
          <reference field="5" count="1" selected="0">
            <x v="2"/>
          </reference>
          <reference field="45" count="1" selected="0">
            <x v="0"/>
          </reference>
        </references>
      </pivotArea>
    </format>
    <format dxfId="570">
      <pivotArea outline="0" collapsedLevelsAreSubtotals="1" fieldPosition="0">
        <references count="4">
          <reference field="4294967294" count="1" selected="0">
            <x v="11"/>
          </reference>
          <reference field="0" count="1" selected="0">
            <x v="1"/>
          </reference>
          <reference field="5" count="1" selected="0">
            <x v="5"/>
          </reference>
          <reference field="45" count="1" selected="0">
            <x v="0"/>
          </reference>
        </references>
      </pivotArea>
    </format>
    <format dxfId="569">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568">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567">
      <pivotArea outline="0" collapsedLevelsAreSubtotals="1" fieldPosition="0">
        <references count="4">
          <reference field="4294967294" count="1" selected="0">
            <x v="11"/>
          </reference>
          <reference field="0" count="1" selected="0">
            <x v="7"/>
          </reference>
          <reference field="5" count="1" selected="0">
            <x v="0"/>
          </reference>
          <reference field="45" count="1" selected="0">
            <x v="0"/>
          </reference>
        </references>
      </pivotArea>
    </format>
    <format dxfId="566">
      <pivotArea outline="0" collapsedLevelsAreSubtotals="1" fieldPosition="0">
        <references count="4">
          <reference field="4294967294" count="1" selected="0">
            <x v="11"/>
          </reference>
          <reference field="0" count="1" selected="0">
            <x v="7"/>
          </reference>
          <reference field="5" count="1" selected="0">
            <x v="0"/>
          </reference>
          <reference field="45" count="1" selected="0">
            <x v="0"/>
          </reference>
        </references>
      </pivotArea>
    </format>
    <format dxfId="565">
      <pivotArea outline="0" collapsedLevelsAreSubtotals="1" fieldPosition="0">
        <references count="4">
          <reference field="4294967294" count="1" selected="0">
            <x v="11"/>
          </reference>
          <reference field="0" count="1" selected="0">
            <x v="6"/>
          </reference>
          <reference field="5" count="1" selected="0">
            <x v="1"/>
          </reference>
          <reference field="45" count="1" selected="0">
            <x v="0"/>
          </reference>
        </references>
      </pivotArea>
    </format>
    <format dxfId="564">
      <pivotArea outline="0" collapsedLevelsAreSubtotals="1" fieldPosition="0">
        <references count="4">
          <reference field="4294967294" count="1" selected="0">
            <x v="11"/>
          </reference>
          <reference field="0" count="1" selected="0">
            <x v="6"/>
          </reference>
          <reference field="5" count="1" selected="0">
            <x v="1"/>
          </reference>
          <reference field="45" count="1" selected="0">
            <x v="0"/>
          </reference>
        </references>
      </pivotArea>
    </format>
    <format dxfId="563">
      <pivotArea outline="0" collapsedLevelsAreSubtotals="1" fieldPosition="0">
        <references count="4">
          <reference field="4294967294" count="1" selected="0">
            <x v="11"/>
          </reference>
          <reference field="0" count="1" selected="0">
            <x v="6"/>
          </reference>
          <reference field="5" count="1" selected="0">
            <x v="2"/>
          </reference>
          <reference field="45" count="1" selected="0">
            <x v="0"/>
          </reference>
        </references>
      </pivotArea>
    </format>
    <format dxfId="562">
      <pivotArea outline="0" collapsedLevelsAreSubtotals="1" fieldPosition="0">
        <references count="4">
          <reference field="4294967294" count="1" selected="0">
            <x v="11"/>
          </reference>
          <reference field="0" count="1" selected="0">
            <x v="6"/>
          </reference>
          <reference field="5" count="1" selected="0">
            <x v="2"/>
          </reference>
          <reference field="45" count="1" selected="0">
            <x v="0"/>
          </reference>
        </references>
      </pivotArea>
    </format>
    <format dxfId="561">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560">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559">
      <pivotArea outline="0" collapsedLevelsAreSubtotals="1" fieldPosition="0">
        <references count="4">
          <reference field="4294967294" count="1" selected="0">
            <x v="11"/>
          </reference>
          <reference field="0" count="1" selected="0">
            <x v="6"/>
          </reference>
          <reference field="5" count="1" selected="0">
            <x v="3"/>
          </reference>
          <reference field="45" count="1" selected="0">
            <x v="0"/>
          </reference>
        </references>
      </pivotArea>
    </format>
    <format dxfId="558">
      <pivotArea outline="0" collapsedLevelsAreSubtotals="1" fieldPosition="0">
        <references count="4">
          <reference field="4294967294" count="1" selected="0">
            <x v="11"/>
          </reference>
          <reference field="0" count="1" selected="0">
            <x v="6"/>
          </reference>
          <reference field="5" count="1" selected="0">
            <x v="3"/>
          </reference>
          <reference field="45" count="1" selected="0">
            <x v="0"/>
          </reference>
        </references>
      </pivotArea>
    </format>
    <format dxfId="557">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556">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555">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554">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553">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552">
      <pivotArea outline="0" collapsedLevelsAreSubtotals="1" fieldPosition="0">
        <references count="3">
          <reference field="4294967294" count="1" selected="0">
            <x v="11"/>
          </reference>
          <reference field="0" count="1" selected="0">
            <x v="11"/>
          </reference>
          <reference field="45" count="1" selected="0" defaultSubtotal="1">
            <x v="1"/>
          </reference>
        </references>
      </pivotArea>
    </format>
    <format dxfId="551">
      <pivotArea outline="0" collapsedLevelsAreSubtotals="1" fieldPosition="0">
        <references count="3">
          <reference field="4294967294" count="1" selected="0">
            <x v="11"/>
          </reference>
          <reference field="0" count="1" selected="0">
            <x v="11"/>
          </reference>
          <reference field="45" count="1" selected="0" defaultSubtotal="1">
            <x v="1"/>
          </reference>
        </references>
      </pivotArea>
    </format>
    <format dxfId="550">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549">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548">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547">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546">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545">
      <pivotArea outline="0" collapsedLevelsAreSubtotals="1" fieldPosition="0">
        <references count="4">
          <reference field="4294967294" count="3" selected="0">
            <x v="9"/>
            <x v="10"/>
            <x v="11"/>
          </reference>
          <reference field="0" count="1" selected="0">
            <x v="3"/>
          </reference>
          <reference field="5" count="1" selected="0">
            <x v="9"/>
          </reference>
          <reference field="45" count="1" selected="0">
            <x v="1"/>
          </reference>
        </references>
      </pivotArea>
    </format>
    <format dxfId="544">
      <pivotArea outline="0" collapsedLevelsAreSubtotals="1" fieldPosition="0">
        <references count="4">
          <reference field="4294967294" count="3" selected="0">
            <x v="9"/>
            <x v="10"/>
            <x v="11"/>
          </reference>
          <reference field="0" count="1" selected="0">
            <x v="3"/>
          </reference>
          <reference field="5" count="1" selected="0">
            <x v="9"/>
          </reference>
          <reference field="45" count="1" selected="0">
            <x v="1"/>
          </reference>
        </references>
      </pivotArea>
    </format>
    <format dxfId="543">
      <pivotArea outline="0" collapsedLevelsAreSubtotals="1" fieldPosition="0">
        <references count="4">
          <reference field="4294967294" count="2" selected="0">
            <x v="0"/>
            <x v="1"/>
          </reference>
          <reference field="0" count="1" selected="0">
            <x v="3"/>
          </reference>
          <reference field="5" count="1" selected="0">
            <x v="9"/>
          </reference>
          <reference field="45" count="1" selected="0">
            <x v="1"/>
          </reference>
        </references>
      </pivotArea>
    </format>
    <format dxfId="542">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541">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540">
      <pivotArea outline="0" collapsedLevelsAreSubtotals="1" fieldPosition="0">
        <references count="3">
          <reference field="4294967294" count="1" selected="0">
            <x v="5"/>
          </reference>
          <reference field="0" count="1" selected="0">
            <x v="2"/>
          </reference>
          <reference field="45" count="1" selected="0" defaultSubtotal="1">
            <x v="4"/>
          </reference>
        </references>
      </pivotArea>
    </format>
    <format dxfId="539">
      <pivotArea outline="0" collapsedLevelsAreSubtotals="1" fieldPosition="0">
        <references count="3">
          <reference field="4294967294" count="1" selected="0">
            <x v="20"/>
          </reference>
          <reference field="0" count="1" selected="0">
            <x v="2"/>
          </reference>
          <reference field="45" count="1" selected="0" defaultSubtotal="1">
            <x v="4"/>
          </reference>
        </references>
      </pivotArea>
    </format>
    <format dxfId="538">
      <pivotArea outline="0" collapsedLevelsAreSubtotals="1" fieldPosition="0">
        <references count="1">
          <reference field="45" count="1" selected="0" defaultSubtotal="1">
            <x v="0"/>
          </reference>
        </references>
      </pivotArea>
    </format>
    <format dxfId="537">
      <pivotArea type="topRight" dataOnly="0" labelOnly="1" outline="0" offset="E1" fieldPosition="0"/>
    </format>
    <format dxfId="536">
      <pivotArea dataOnly="0" labelOnly="1" outline="0" fieldPosition="0">
        <references count="1">
          <reference field="45" count="1" defaultSubtotal="1">
            <x v="0"/>
          </reference>
        </references>
      </pivotArea>
    </format>
    <format dxfId="535">
      <pivotArea outline="0" collapsedLevelsAreSubtotals="1" fieldPosition="0">
        <references count="1">
          <reference field="45" count="1" selected="0" defaultSubtotal="1">
            <x v="1"/>
          </reference>
        </references>
      </pivotArea>
    </format>
    <format dxfId="534">
      <pivotArea type="topRight" dataOnly="0" labelOnly="1" outline="0" offset="K1" fieldPosition="0"/>
    </format>
    <format dxfId="533">
      <pivotArea dataOnly="0" labelOnly="1" outline="0" fieldPosition="0">
        <references count="1">
          <reference field="45" count="1" defaultSubtotal="1">
            <x v="1"/>
          </reference>
        </references>
      </pivotArea>
    </format>
    <format dxfId="532">
      <pivotArea type="all" dataOnly="0" outline="0" fieldPosition="0"/>
    </format>
    <format dxfId="531">
      <pivotArea outline="0" collapsedLevelsAreSubtotals="1" fieldPosition="0">
        <references count="4">
          <reference field="4294967294" count="2" selected="0">
            <x v="34"/>
            <x v="35"/>
          </reference>
          <reference field="0" count="1" selected="0">
            <x v="0"/>
          </reference>
          <reference field="5" count="3" selected="0">
            <x v="0"/>
            <x v="1"/>
            <x v="2"/>
          </reference>
          <reference field="45" count="1" selected="0">
            <x v="0"/>
          </reference>
        </references>
      </pivotArea>
    </format>
    <format dxfId="530">
      <pivotArea type="all" dataOnly="0" outline="0" fieldPosition="0"/>
    </format>
    <format dxfId="529">
      <pivotArea type="topRight" dataOnly="0" labelOnly="1" outline="0" offset="O1" fieldPosition="0"/>
    </format>
    <format dxfId="528">
      <pivotArea outline="0" collapsedLevelsAreSubtotals="1" fieldPosition="0">
        <references count="4">
          <reference field="4294967294" count="3" selected="0">
            <x v="15"/>
            <x v="16"/>
            <x v="17"/>
          </reference>
          <reference field="0" count="1" selected="0">
            <x v="0"/>
          </reference>
          <reference field="5" count="1" selected="0">
            <x v="3"/>
          </reference>
          <reference field="45" count="1" selected="0">
            <x v="0"/>
          </reference>
        </references>
      </pivotArea>
    </format>
    <format dxfId="527">
      <pivotArea outline="0" collapsedLevelsAreSubtotals="1" fieldPosition="0">
        <references count="3">
          <reference field="4294967294" count="3" selected="0">
            <x v="21"/>
            <x v="22"/>
            <x v="23"/>
          </reference>
          <reference field="0" count="1" selected="0">
            <x v="0"/>
          </reference>
          <reference field="45" count="1" selected="0" defaultSubtotal="1">
            <x v="3"/>
          </reference>
        </references>
      </pivotArea>
    </format>
    <format dxfId="526">
      <pivotArea outline="0" collapsedLevelsAreSubtotals="1" fieldPosition="0">
        <references count="4">
          <reference field="4294967294" count="3" selected="0">
            <x v="9"/>
            <x v="10"/>
            <x v="11"/>
          </reference>
          <reference field="0" count="1" selected="0">
            <x v="1"/>
          </reference>
          <reference field="5" count="4" selected="0">
            <x v="2"/>
            <x v="3"/>
            <x v="4"/>
            <x v="5"/>
          </reference>
          <reference field="45" count="1" selected="0">
            <x v="0"/>
          </reference>
        </references>
      </pivotArea>
    </format>
    <format dxfId="525">
      <pivotArea outline="0" collapsedLevelsAreSubtotals="1" fieldPosition="0">
        <references count="4">
          <reference field="4294967294" count="3" selected="0">
            <x v="9"/>
            <x v="10"/>
            <x v="11"/>
          </reference>
          <reference field="0" count="1" selected="0">
            <x v="1"/>
          </reference>
          <reference field="5" count="1" selected="0">
            <x v="7"/>
          </reference>
          <reference field="45" count="1" selected="0">
            <x v="1"/>
          </reference>
        </references>
      </pivotArea>
    </format>
    <format dxfId="524">
      <pivotArea outline="0" collapsedLevelsAreSubtotals="1" fieldPosition="0">
        <references count="4">
          <reference field="4294967294" count="3" selected="0">
            <x v="9"/>
            <x v="10"/>
            <x v="11"/>
          </reference>
          <reference field="0" count="1" selected="0">
            <x v="1"/>
          </reference>
          <reference field="5" count="1" selected="0">
            <x v="9"/>
          </reference>
          <reference field="45" count="1" selected="0">
            <x v="1"/>
          </reference>
        </references>
      </pivotArea>
    </format>
    <format dxfId="523">
      <pivotArea outline="0" collapsedLevelsAreSubtotals="1" fieldPosition="0">
        <references count="4">
          <reference field="4294967294" count="3" selected="0">
            <x v="18"/>
            <x v="19"/>
            <x v="20"/>
          </reference>
          <reference field="0" count="1" selected="0">
            <x v="1"/>
          </reference>
          <reference field="5" count="1" selected="0">
            <x v="15"/>
          </reference>
          <reference field="45" count="1" selected="0">
            <x v="4"/>
          </reference>
        </references>
      </pivotArea>
    </format>
    <format dxfId="522">
      <pivotArea outline="0" collapsedLevelsAreSubtotals="1" fieldPosition="0">
        <references count="4">
          <reference field="4294967294" count="3" selected="0">
            <x v="21"/>
            <x v="22"/>
            <x v="23"/>
          </reference>
          <reference field="0" count="1" selected="0">
            <x v="4"/>
          </reference>
          <reference field="5" count="1" selected="0">
            <x v="14"/>
          </reference>
          <reference field="45" count="1" selected="0">
            <x v="3"/>
          </reference>
        </references>
      </pivotArea>
    </format>
    <format dxfId="521">
      <pivotArea outline="0" collapsedLevelsAreSubtotals="1" fieldPosition="0">
        <references count="4">
          <reference field="4294967294" count="3" selected="0">
            <x v="9"/>
            <x v="10"/>
            <x v="11"/>
          </reference>
          <reference field="0" count="1" selected="0">
            <x v="6"/>
          </reference>
          <reference field="5" count="1" selected="0">
            <x v="2"/>
          </reference>
          <reference field="45" count="1" selected="0">
            <x v="0"/>
          </reference>
        </references>
      </pivotArea>
    </format>
    <format dxfId="520">
      <pivotArea outline="0" collapsedLevelsAreSubtotals="1" fieldPosition="0">
        <references count="4">
          <reference field="4294967294" count="3" selected="0">
            <x v="33"/>
            <x v="34"/>
            <x v="35"/>
          </reference>
          <reference field="0" count="1" selected="0">
            <x v="0"/>
          </reference>
          <reference field="5" count="1" selected="0">
            <x v="0"/>
          </reference>
          <reference field="45" count="1" selected="0">
            <x v="0"/>
          </reference>
        </references>
      </pivotArea>
    </format>
    <format dxfId="519">
      <pivotArea outline="0" collapsedLevelsAreSubtotals="1" fieldPosition="0">
        <references count="4">
          <reference field="4294967294" count="3" selected="0">
            <x v="33"/>
            <x v="34"/>
            <x v="35"/>
          </reference>
          <reference field="0" count="1" selected="0">
            <x v="0"/>
          </reference>
          <reference field="5" count="1" selected="0">
            <x v="2"/>
          </reference>
          <reference field="45" count="1" selected="0">
            <x v="0"/>
          </reference>
        </references>
      </pivotArea>
    </format>
    <format dxfId="518">
      <pivotArea outline="0" collapsedLevelsAreSubtotals="1" fieldPosition="0">
        <references count="4">
          <reference field="4294967294" count="3" selected="0">
            <x v="9"/>
            <x v="10"/>
            <x v="11"/>
          </reference>
          <reference field="0" count="1" selected="0">
            <x v="1"/>
          </reference>
          <reference field="5" count="1" selected="0">
            <x v="0"/>
          </reference>
          <reference field="45" count="1" selected="0">
            <x v="0"/>
          </reference>
        </references>
      </pivotArea>
    </format>
    <format dxfId="517">
      <pivotArea outline="0" collapsedLevelsAreSubtotals="1" fieldPosition="0">
        <references count="4">
          <reference field="4294967294" count="1" selected="0">
            <x v="9"/>
          </reference>
          <reference field="0" count="1" selected="0">
            <x v="1"/>
          </reference>
          <reference field="5" count="1" selected="0">
            <x v="2"/>
          </reference>
          <reference field="45" count="1" selected="0">
            <x v="0"/>
          </reference>
        </references>
      </pivotArea>
    </format>
    <format dxfId="516">
      <pivotArea outline="0" collapsedLevelsAreSubtotals="1" fieldPosition="0">
        <references count="4">
          <reference field="4294967294" count="1" selected="0">
            <x v="9"/>
          </reference>
          <reference field="0" count="1" selected="0">
            <x v="1"/>
          </reference>
          <reference field="5" count="1" selected="0">
            <x v="3"/>
          </reference>
          <reference field="45" count="1" selected="0">
            <x v="0"/>
          </reference>
        </references>
      </pivotArea>
    </format>
    <format dxfId="515">
      <pivotArea outline="0" collapsedLevelsAreSubtotals="1" fieldPosition="0">
        <references count="4">
          <reference field="4294967294" count="1" selected="0">
            <x v="9"/>
          </reference>
          <reference field="0" count="1" selected="0">
            <x v="1"/>
          </reference>
          <reference field="5" count="1" selected="0">
            <x v="4"/>
          </reference>
          <reference field="45" count="1" selected="0">
            <x v="0"/>
          </reference>
        </references>
      </pivotArea>
    </format>
    <format dxfId="514">
      <pivotArea outline="0" collapsedLevelsAreSubtotals="1" fieldPosition="0">
        <references count="4">
          <reference field="4294967294" count="1" selected="0">
            <x v="9"/>
          </reference>
          <reference field="0" count="1" selected="0">
            <x v="1"/>
          </reference>
          <reference field="5" count="1" selected="0">
            <x v="5"/>
          </reference>
          <reference field="45" count="1" selected="0">
            <x v="0"/>
          </reference>
        </references>
      </pivotArea>
    </format>
    <format dxfId="513">
      <pivotArea outline="0" collapsedLevelsAreSubtotals="1" fieldPosition="0">
        <references count="4">
          <reference field="4294967294" count="1" selected="0">
            <x v="9"/>
          </reference>
          <reference field="0" count="1" selected="0">
            <x v="1"/>
          </reference>
          <reference field="5" count="1" selected="0">
            <x v="7"/>
          </reference>
          <reference field="45" count="1" selected="0">
            <x v="1"/>
          </reference>
        </references>
      </pivotArea>
    </format>
    <format dxfId="512">
      <pivotArea outline="0" collapsedLevelsAreSubtotals="1" fieldPosition="0">
        <references count="4">
          <reference field="4294967294" count="1" selected="0">
            <x v="9"/>
          </reference>
          <reference field="0" count="1" selected="0">
            <x v="1"/>
          </reference>
          <reference field="5" count="1" selected="0">
            <x v="9"/>
          </reference>
          <reference field="45" count="1" selected="0">
            <x v="1"/>
          </reference>
        </references>
      </pivotArea>
    </format>
    <format dxfId="511">
      <pivotArea outline="0" collapsedLevelsAreSubtotals="1" fieldPosition="0">
        <references count="4">
          <reference field="4294967294" count="3" selected="0">
            <x v="9"/>
            <x v="10"/>
            <x v="11"/>
          </reference>
          <reference field="0" count="1" selected="0">
            <x v="2"/>
          </reference>
          <reference field="5" count="2" selected="0">
            <x v="8"/>
            <x v="9"/>
          </reference>
          <reference field="45" count="1" selected="0">
            <x v="1"/>
          </reference>
        </references>
      </pivotArea>
    </format>
    <format dxfId="510">
      <pivotArea outline="0" collapsedLevelsAreSubtotals="1" fieldPosition="0">
        <references count="4">
          <reference field="4294967294" count="3" selected="0">
            <x v="9"/>
            <x v="10"/>
            <x v="11"/>
          </reference>
          <reference field="0" count="1" selected="0">
            <x v="3"/>
          </reference>
          <reference field="5" count="1" selected="0">
            <x v="5"/>
          </reference>
          <reference field="45" count="1" selected="0">
            <x v="0"/>
          </reference>
        </references>
      </pivotArea>
    </format>
    <format dxfId="509">
      <pivotArea outline="0" collapsedLevelsAreSubtotals="1" fieldPosition="0">
        <references count="4">
          <reference field="4294967294" count="3" selected="0">
            <x v="3"/>
            <x v="4"/>
            <x v="5"/>
          </reference>
          <reference field="0" count="1" selected="0">
            <x v="5"/>
          </reference>
          <reference field="5" count="1" selected="0">
            <x v="3"/>
          </reference>
          <reference field="45" count="1" selected="0">
            <x v="0"/>
          </reference>
        </references>
      </pivotArea>
    </format>
    <format dxfId="508">
      <pivotArea outline="0" collapsedLevelsAreSubtotals="1" fieldPosition="0">
        <references count="4">
          <reference field="4294967294" count="3" selected="0">
            <x v="9"/>
            <x v="10"/>
            <x v="11"/>
          </reference>
          <reference field="0" count="1" selected="0">
            <x v="5"/>
          </reference>
          <reference field="5" count="2" selected="0">
            <x v="8"/>
            <x v="9"/>
          </reference>
          <reference field="45" count="1" selected="0">
            <x v="1"/>
          </reference>
        </references>
      </pivotArea>
    </format>
    <format dxfId="507">
      <pivotArea outline="0" collapsedLevelsAreSubtotals="1" fieldPosition="0">
        <references count="4">
          <reference field="4294967294" count="3" selected="0">
            <x v="9"/>
            <x v="10"/>
            <x v="11"/>
          </reference>
          <reference field="0" count="1" selected="0">
            <x v="5"/>
          </reference>
          <reference field="5" count="1" selected="0">
            <x v="11"/>
          </reference>
          <reference field="45" count="1" selected="0">
            <x v="2"/>
          </reference>
        </references>
      </pivotArea>
    </format>
    <format dxfId="506">
      <pivotArea outline="0" collapsedLevelsAreSubtotals="1" fieldPosition="0">
        <references count="4">
          <reference field="4294967294" count="3" selected="0">
            <x v="21"/>
            <x v="22"/>
            <x v="23"/>
          </reference>
          <reference field="0" count="1" selected="0">
            <x v="7"/>
          </reference>
          <reference field="5" count="1" selected="0">
            <x v="14"/>
          </reference>
          <reference field="45" count="1" selected="0">
            <x v="3"/>
          </reference>
        </references>
      </pivotArea>
    </format>
    <format dxfId="505">
      <pivotArea outline="0" collapsedLevelsAreSubtotals="1" fieldPosition="0">
        <references count="4">
          <reference field="4294967294" count="3" selected="0">
            <x v="9"/>
            <x v="10"/>
            <x v="11"/>
          </reference>
          <reference field="0" count="1" selected="0">
            <x v="11"/>
          </reference>
          <reference field="5" count="6" selected="0">
            <x v="0"/>
            <x v="1"/>
            <x v="2"/>
            <x v="3"/>
            <x v="4"/>
            <x v="5"/>
          </reference>
          <reference field="45" count="1" selected="0">
            <x v="0"/>
          </reference>
        </references>
      </pivotArea>
    </format>
    <format dxfId="504">
      <pivotArea outline="0" collapsedLevelsAreSubtotals="1" fieldPosition="0">
        <references count="4">
          <reference field="4294967294" count="3" selected="0">
            <x v="9"/>
            <x v="10"/>
            <x v="11"/>
          </reference>
          <reference field="0" count="1" selected="0">
            <x v="11"/>
          </reference>
          <reference field="5" count="3" selected="0">
            <x v="7"/>
            <x v="8"/>
            <x v="9"/>
          </reference>
          <reference field="45" count="1" selected="0">
            <x v="1"/>
          </reference>
        </references>
      </pivotArea>
    </format>
    <format dxfId="503">
      <pivotArea outline="0" collapsedLevelsAreSubtotals="1" fieldPosition="0">
        <references count="4">
          <reference field="4294967294" count="2" selected="0">
            <x v="33"/>
            <x v="34"/>
          </reference>
          <reference field="0" count="1" selected="0">
            <x v="11"/>
          </reference>
          <reference field="5" count="1" selected="0">
            <x v="14"/>
          </reference>
          <reference field="45" count="1" selected="0">
            <x v="3"/>
          </reference>
        </references>
      </pivotArea>
    </format>
    <format dxfId="502">
      <pivotArea outline="0" collapsedLevelsAreSubtotals="1" fieldPosition="0">
        <references count="4">
          <reference field="4294967294" count="1" selected="0">
            <x v="35"/>
          </reference>
          <reference field="0" count="1" selected="0">
            <x v="11"/>
          </reference>
          <reference field="5" count="1" selected="0">
            <x v="14"/>
          </reference>
          <reference field="45" count="1" selected="0">
            <x v="3"/>
          </reference>
        </references>
      </pivotArea>
    </format>
    <format dxfId="501">
      <pivotArea outline="0" collapsedLevelsAreSubtotals="1" fieldPosition="0">
        <references count="4">
          <reference field="4294967294" count="3" selected="0">
            <x v="3"/>
            <x v="4"/>
            <x v="5"/>
          </reference>
          <reference field="0" count="1" selected="0">
            <x v="13"/>
          </reference>
          <reference field="5" count="1" selected="0">
            <x v="3"/>
          </reference>
          <reference field="45" count="1" selected="0">
            <x v="0"/>
          </reference>
        </references>
      </pivotArea>
    </format>
    <format dxfId="500">
      <pivotArea outline="0" collapsedLevelsAreSubtotals="1" fieldPosition="0">
        <references count="4">
          <reference field="4294967294" count="3" selected="0">
            <x v="9"/>
            <x v="10"/>
            <x v="11"/>
          </reference>
          <reference field="0" count="1" selected="0">
            <x v="14"/>
          </reference>
          <reference field="5" count="2" selected="0">
            <x v="9"/>
            <x v="10"/>
          </reference>
          <reference field="45" count="1" selected="0">
            <x v="1"/>
          </reference>
        </references>
      </pivotArea>
    </format>
    <format dxfId="499">
      <pivotArea outline="0" collapsedLevelsAreSubtotals="1" fieldPosition="0">
        <references count="4">
          <reference field="4294967294" count="3" selected="0">
            <x v="33"/>
            <x v="34"/>
            <x v="35"/>
          </reference>
          <reference field="0" count="1" selected="0">
            <x v="10"/>
          </reference>
          <reference field="5" count="1" selected="0">
            <x v="0"/>
          </reference>
          <reference field="45" count="1" selected="0">
            <x v="0"/>
          </reference>
        </references>
      </pivotArea>
    </format>
    <format dxfId="498">
      <pivotArea outline="0" collapsedLevelsAreSubtotals="1" fieldPosition="0">
        <references count="4">
          <reference field="4294967294" count="1" selected="0">
            <x v="32"/>
          </reference>
          <reference field="0" count="1" selected="0">
            <x v="14"/>
          </reference>
          <reference field="5" count="2" selected="0">
            <x v="0"/>
            <x v="1"/>
          </reference>
          <reference field="45" count="1" selected="0">
            <x v="0"/>
          </reference>
        </references>
      </pivotArea>
    </format>
    <format dxfId="497">
      <pivotArea outline="0" collapsedLevelsAreSubtotals="1" fieldPosition="0">
        <references count="4">
          <reference field="4294967294" count="3" selected="0">
            <x v="3"/>
            <x v="4"/>
            <x v="5"/>
          </reference>
          <reference field="0" count="1" selected="0">
            <x v="15"/>
          </reference>
          <reference field="5" count="1" selected="0">
            <x v="5"/>
          </reference>
          <reference field="45" count="1" selected="0">
            <x v="0"/>
          </reference>
        </references>
      </pivotArea>
    </format>
    <format dxfId="496">
      <pivotArea outline="0" collapsedLevelsAreSubtotals="1" fieldPosition="0">
        <references count="4">
          <reference field="4294967294" count="3" selected="0">
            <x v="3"/>
            <x v="4"/>
            <x v="5"/>
          </reference>
          <reference field="0" count="1" selected="0">
            <x v="15"/>
          </reference>
          <reference field="5" count="1" selected="0">
            <x v="9"/>
          </reference>
          <reference field="45" count="1" selected="0">
            <x v="1"/>
          </reference>
        </references>
      </pivotArea>
    </format>
    <format dxfId="495">
      <pivotArea outline="0" collapsedLevelsAreSubtotals="1" fieldPosition="0">
        <references count="4">
          <reference field="4294967294" count="3" selected="0">
            <x v="0"/>
            <x v="1"/>
            <x v="2"/>
          </reference>
          <reference field="0" count="1" selected="0">
            <x v="4"/>
          </reference>
          <reference field="5" count="1" selected="0">
            <x v="3"/>
          </reference>
          <reference field="45" count="1" selected="0">
            <x v="0"/>
          </reference>
        </references>
      </pivotArea>
    </format>
    <format dxfId="494">
      <pivotArea outline="0" collapsedLevelsAreSubtotals="1"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34" applyNumberFormats="0" applyBorderFormats="0" applyFontFormats="0" applyPatternFormats="0" applyAlignmentFormats="0" applyWidthHeightFormats="1" dataCaption="Data" grandTotalCaption="Grand Total" updatedVersion="3" minRefreshableVersion="3" showMemberPropertyTips="0" colGrandTotals="0" itemPrintTitles="1" createdVersion="3" indent="0" compact="0" compactData="0" gridDropZones="1">
  <location ref="A3:I5" firstHeaderRow="1" firstDataRow="2" firstDataCol="1" rowPageCount="1" colPageCount="1"/>
  <pivotFields count="51">
    <pivotField axis="axisRow" compact="0" outline="0" subtotalTop="0" showAll="0" includeNewItemsInFilter="1">
      <items count="17">
        <item x="0"/>
        <item m="1" x="7"/>
        <item m="1" x="12"/>
        <item m="1" x="6"/>
        <item m="1" x="14"/>
        <item m="1" x="4"/>
        <item m="1" x="2"/>
        <item m="1" x="1"/>
        <item m="1" x="13"/>
        <item m="1" x="15"/>
        <item m="1" x="10"/>
        <item m="1" x="3"/>
        <item m="1" x="5"/>
        <item m="1" x="9"/>
        <item m="1" x="8"/>
        <item m="1" x="11"/>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7">
        <item h="1" x="0"/>
        <item h="1" m="1" x="6"/>
        <item h="1" m="1" x="9"/>
        <item h="1" m="1" x="14"/>
        <item h="1" m="1" x="2"/>
        <item h="1" m="1" x="7"/>
        <item h="1" m="1" x="8"/>
        <item h="1" m="1" x="10"/>
        <item h="1" m="1" x="11"/>
        <item h="1" m="1" x="12"/>
        <item h="1" m="1" x="13"/>
        <item h="1" m="1" x="15"/>
        <item m="1" x="1"/>
        <item h="1" m="1" x="3"/>
        <item h="1" m="1" x="5"/>
        <item m="1" x="4"/>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6">
        <item n="Four-Year" x="2"/>
        <item n="Two-Year" x="3"/>
        <item n="Technical" x="4"/>
        <item n="Specialized" x="0"/>
        <item x="1"/>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1">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100">
    <format dxfId="493">
      <pivotArea outline="0" fieldPosition="0"/>
    </format>
    <format dxfId="492">
      <pivotArea type="all" dataOnly="0" outline="0" fieldPosition="0"/>
    </format>
    <format dxfId="491">
      <pivotArea type="topRight" dataOnly="0" labelOnly="1" outline="0" offset="R1" fieldPosition="0"/>
    </format>
    <format dxfId="490">
      <pivotArea field="46" type="button" dataOnly="0" labelOnly="1" outline="0"/>
    </format>
    <format dxfId="489">
      <pivotArea field="5" type="button" dataOnly="0" labelOnly="1" outline="0" axis="axisPage" fieldPosition="0"/>
    </format>
    <format dxfId="488">
      <pivotArea type="topRight" dataOnly="0" labelOnly="1" outline="0" fieldPosition="0"/>
    </format>
    <format dxfId="487">
      <pivotArea type="topRight" dataOnly="0" labelOnly="1" outline="0" offset="F1" fieldPosition="0"/>
    </format>
    <format dxfId="486">
      <pivotArea type="topRight" dataOnly="0" labelOnly="1" outline="0" offset="G1" fieldPosition="0"/>
    </format>
    <format dxfId="485">
      <pivotArea type="topRight" dataOnly="0" labelOnly="1" outline="0" offset="H1" fieldPosition="0"/>
    </format>
    <format dxfId="484">
      <pivotArea type="topRight" dataOnly="0" labelOnly="1" outline="0" offset="I1" fieldPosition="0"/>
    </format>
    <format dxfId="483">
      <pivotArea type="topRight" dataOnly="0" labelOnly="1" outline="0" offset="J1" fieldPosition="0"/>
    </format>
    <format dxfId="482">
      <pivotArea type="topRight" dataOnly="0" labelOnly="1" outline="0" offset="K1" fieldPosition="0"/>
    </format>
    <format dxfId="481">
      <pivotArea dataOnly="0" labelOnly="1" outline="0" offset="IV256" fieldPosition="0">
        <references count="1">
          <reference field="0" count="1">
            <x v="1"/>
          </reference>
        </references>
      </pivotArea>
    </format>
    <format dxfId="480">
      <pivotArea dataOnly="0" labelOnly="1" outline="0" offset="IV256" fieldPosition="0">
        <references count="1">
          <reference field="0" count="1">
            <x v="2"/>
          </reference>
        </references>
      </pivotArea>
    </format>
    <format dxfId="479">
      <pivotArea dataOnly="0" labelOnly="1" outline="0" offset="IV256" fieldPosition="0">
        <references count="1">
          <reference field="0" count="1">
            <x v="3"/>
          </reference>
        </references>
      </pivotArea>
    </format>
    <format dxfId="478">
      <pivotArea dataOnly="0" labelOnly="1" outline="0" offset="IV256" fieldPosition="0">
        <references count="1">
          <reference field="0" count="1">
            <x v="4"/>
          </reference>
        </references>
      </pivotArea>
    </format>
    <format dxfId="477">
      <pivotArea dataOnly="0" labelOnly="1" outline="0" offset="IV256" fieldPosition="0">
        <references count="1">
          <reference field="0" count="1">
            <x v="5"/>
          </reference>
        </references>
      </pivotArea>
    </format>
    <format dxfId="476">
      <pivotArea dataOnly="0" labelOnly="1" outline="0" offset="IV256" fieldPosition="0">
        <references count="1">
          <reference field="0" count="1">
            <x v="6"/>
          </reference>
        </references>
      </pivotArea>
    </format>
    <format dxfId="475">
      <pivotArea dataOnly="0" labelOnly="1" outline="0" offset="IV256" fieldPosition="0">
        <references count="1">
          <reference field="0" count="1">
            <x v="7"/>
          </reference>
        </references>
      </pivotArea>
    </format>
    <format dxfId="474">
      <pivotArea dataOnly="0" labelOnly="1" outline="0" offset="IV256" fieldPosition="0">
        <references count="1">
          <reference field="0" count="1">
            <x v="8"/>
          </reference>
        </references>
      </pivotArea>
    </format>
    <format dxfId="473">
      <pivotArea dataOnly="0" labelOnly="1" outline="0" offset="IV256" fieldPosition="0">
        <references count="1">
          <reference field="0" count="1">
            <x v="9"/>
          </reference>
        </references>
      </pivotArea>
    </format>
    <format dxfId="472">
      <pivotArea dataOnly="0" labelOnly="1" outline="0" offset="IV256" fieldPosition="0">
        <references count="1">
          <reference field="0" count="1">
            <x v="10"/>
          </reference>
        </references>
      </pivotArea>
    </format>
    <format dxfId="471">
      <pivotArea dataOnly="0" labelOnly="1" outline="0" offset="IV256" fieldPosition="0">
        <references count="1">
          <reference field="0" count="1">
            <x v="11"/>
          </reference>
        </references>
      </pivotArea>
    </format>
    <format dxfId="470">
      <pivotArea dataOnly="0" labelOnly="1" outline="0" offset="IV256" fieldPosition="0">
        <references count="1">
          <reference field="0" count="1">
            <x v="12"/>
          </reference>
        </references>
      </pivotArea>
    </format>
    <format dxfId="469">
      <pivotArea dataOnly="0" labelOnly="1" outline="0" offset="IV256" fieldPosition="0">
        <references count="1">
          <reference field="0" count="1">
            <x v="13"/>
          </reference>
        </references>
      </pivotArea>
    </format>
    <format dxfId="468">
      <pivotArea dataOnly="0" labelOnly="1" outline="0" offset="IV256" fieldPosition="0">
        <references count="1">
          <reference field="0" count="1">
            <x v="14"/>
          </reference>
        </references>
      </pivotArea>
    </format>
    <format dxfId="467">
      <pivotArea dataOnly="0" labelOnly="1" outline="0" offset="IV256" fieldPosition="0">
        <references count="1">
          <reference field="0" count="1">
            <x v="15"/>
          </reference>
        </references>
      </pivotArea>
    </format>
    <format dxfId="466">
      <pivotArea dataOnly="0" labelOnly="1" outline="0" fieldPosition="0">
        <references count="2">
          <reference field="4294967294" count="1">
            <x v="2"/>
          </reference>
          <reference field="0" count="1" selected="0">
            <x v="0"/>
          </reference>
        </references>
      </pivotArea>
    </format>
    <format dxfId="465">
      <pivotArea dataOnly="0" labelOnly="1" outline="0" fieldPosition="0">
        <references count="2">
          <reference field="4294967294" count="1">
            <x v="4"/>
          </reference>
          <reference field="0" count="1" selected="0">
            <x v="0"/>
          </reference>
        </references>
      </pivotArea>
    </format>
    <format dxfId="464">
      <pivotArea dataOnly="0" labelOnly="1" outline="0" fieldPosition="0">
        <references count="2">
          <reference field="4294967294" count="1">
            <x v="6"/>
          </reference>
          <reference field="0" count="1" selected="0">
            <x v="0"/>
          </reference>
        </references>
      </pivotArea>
    </format>
    <format dxfId="463">
      <pivotArea type="all" dataOnly="0" outline="0" fieldPosition="0"/>
    </format>
    <format dxfId="462">
      <pivotArea outline="0" fieldPosition="0">
        <references count="2">
          <reference field="4294967294" count="1" selected="0">
            <x v="1"/>
          </reference>
          <reference field="0" count="1" selected="0">
            <x v="0"/>
          </reference>
        </references>
      </pivotArea>
    </format>
    <format dxfId="461">
      <pivotArea dataOnly="0" labelOnly="1" outline="0" offset="IV2" fieldPosition="0">
        <references count="1">
          <reference field="0" count="1">
            <x v="0"/>
          </reference>
        </references>
      </pivotArea>
    </format>
    <format dxfId="460">
      <pivotArea dataOnly="0" labelOnly="1" outline="0" fieldPosition="0">
        <references count="2">
          <reference field="4294967294" count="1">
            <x v="1"/>
          </reference>
          <reference field="0" count="1" selected="0">
            <x v="0"/>
          </reference>
        </references>
      </pivotArea>
    </format>
    <format dxfId="459">
      <pivotArea outline="0" fieldPosition="0">
        <references count="2">
          <reference field="4294967294" count="1" selected="0">
            <x v="1"/>
          </reference>
          <reference field="0" count="1" selected="0">
            <x v="0"/>
          </reference>
        </references>
      </pivotArea>
    </format>
    <format dxfId="458">
      <pivotArea dataOnly="0" labelOnly="1" outline="0" offset="IV2" fieldPosition="0">
        <references count="1">
          <reference field="0" count="1">
            <x v="0"/>
          </reference>
        </references>
      </pivotArea>
    </format>
    <format dxfId="457">
      <pivotArea dataOnly="0" labelOnly="1" outline="0" fieldPosition="0">
        <references count="2">
          <reference field="4294967294" count="1">
            <x v="1"/>
          </reference>
          <reference field="0" count="1" selected="0">
            <x v="0"/>
          </reference>
        </references>
      </pivotArea>
    </format>
    <format dxfId="456">
      <pivotArea dataOnly="0" labelOnly="1" outline="0" fieldPosition="0">
        <references count="1">
          <reference field="0" count="1">
            <x v="0"/>
          </reference>
        </references>
      </pivotArea>
    </format>
    <format dxfId="455">
      <pivotArea dataOnly="0" labelOnly="1" outline="0" fieldPosition="0">
        <references count="2">
          <reference field="4294967294" count="0"/>
          <reference field="0" count="1" selected="0">
            <x v="0"/>
          </reference>
        </references>
      </pivotArea>
    </format>
    <format dxfId="454">
      <pivotArea type="topRight" dataOnly="0" labelOnly="1" outline="0" offset="V1" fieldPosition="0"/>
    </format>
    <format dxfId="453">
      <pivotArea dataOnly="0" labelOnly="1" grandCol="1" outline="0" fieldPosition="0"/>
    </format>
    <format dxfId="452">
      <pivotArea type="origin" dataOnly="0" labelOnly="1" outline="0" fieldPosition="0"/>
    </format>
    <format dxfId="451">
      <pivotArea field="0" type="button" dataOnly="0" labelOnly="1" outline="0" axis="axisRow" fieldPosition="0"/>
    </format>
    <format dxfId="450">
      <pivotArea field="-2" type="button" dataOnly="0" labelOnly="1" outline="0" axis="axisCol" fieldPosition="0"/>
    </format>
    <format dxfId="449">
      <pivotArea field="46" type="button" dataOnly="0" labelOnly="1" outline="0"/>
    </format>
    <format dxfId="448">
      <pivotArea field="5" type="button" dataOnly="0" labelOnly="1" outline="0" axis="axisPage" fieldPosition="0"/>
    </format>
    <format dxfId="447">
      <pivotArea type="topRight" dataOnly="0" labelOnly="1" outline="0" fieldPosition="0"/>
    </format>
    <format dxfId="446">
      <pivotArea dataOnly="0" labelOnly="1" grandCol="1" outline="0" fieldPosition="0"/>
    </format>
    <format dxfId="445">
      <pivotArea field="0" type="button" dataOnly="0" labelOnly="1" outline="0" axis="axisRow" fieldPosition="0"/>
    </format>
    <format dxfId="444">
      <pivotArea field="-2" type="button" dataOnly="0" labelOnly="1" outline="0" axis="axisCol" fieldPosition="0"/>
    </format>
    <format dxfId="443">
      <pivotArea dataOnly="0" labelOnly="1" grandCol="1" outline="0" offset="IV256" fieldPosition="0"/>
    </format>
    <format dxfId="442">
      <pivotArea field="0" type="button" dataOnly="0" labelOnly="1" outline="0" axis="axisRow" fieldPosition="0"/>
    </format>
    <format dxfId="441">
      <pivotArea field="-2" type="button" dataOnly="0" labelOnly="1" outline="0" axis="axisCol" fieldPosition="0"/>
    </format>
    <format dxfId="440">
      <pivotArea dataOnly="0" labelOnly="1" grandCol="1" outline="0" offset="IV256" fieldPosition="0"/>
    </format>
    <format dxfId="439">
      <pivotArea type="origin" dataOnly="0" labelOnly="1" outline="0" offset="A2:B2" fieldPosition="0"/>
    </format>
    <format dxfId="438">
      <pivotArea type="origin" dataOnly="0" labelOnly="1" outline="0" fieldPosition="0"/>
    </format>
    <format dxfId="437">
      <pivotArea field="46" type="button" dataOnly="0" labelOnly="1" outline="0"/>
    </format>
    <format dxfId="436">
      <pivotArea field="5" type="button" dataOnly="0" labelOnly="1" outline="0" axis="axisPage" fieldPosition="0"/>
    </format>
    <format dxfId="435">
      <pivotArea type="topRight" dataOnly="0" labelOnly="1" outline="0" fieldPosition="0"/>
    </format>
    <format dxfId="434">
      <pivotArea dataOnly="0" labelOnly="1" grandCol="1" outline="0" offset="IV1" fieldPosition="0"/>
    </format>
    <format dxfId="433">
      <pivotArea outline="0" collapsedLevelsAreSubtotals="1" fieldPosition="0">
        <references count="2">
          <reference field="4294967294" count="2" selected="0">
            <x v="0"/>
            <x v="1"/>
          </reference>
          <reference field="0" count="1" selected="0">
            <x v="0"/>
          </reference>
        </references>
      </pivotArea>
    </format>
    <format dxfId="432">
      <pivotArea dataOnly="0" labelOnly="1" outline="0" fieldPosition="0">
        <references count="2">
          <reference field="4294967294" count="2">
            <x v="0"/>
            <x v="1"/>
          </reference>
          <reference field="0" count="1" selected="0">
            <x v="0"/>
          </reference>
        </references>
      </pivotArea>
    </format>
    <format dxfId="431">
      <pivotArea dataOnly="0" labelOnly="1" outline="0" offset="IV3" fieldPosition="0">
        <references count="1">
          <reference field="0" count="1">
            <x v="0"/>
          </reference>
        </references>
      </pivotArea>
    </format>
    <format dxfId="430">
      <pivotArea dataOnly="0" labelOnly="1" outline="0" fieldPosition="0">
        <references count="1">
          <reference field="0" count="1">
            <x v="0"/>
          </reference>
        </references>
      </pivotArea>
    </format>
    <format dxfId="429">
      <pivotArea dataOnly="0" labelOnly="1" outline="0" fieldPosition="0">
        <references count="1">
          <reference field="0" count="1">
            <x v="1"/>
          </reference>
        </references>
      </pivotArea>
    </format>
    <format dxfId="428">
      <pivotArea dataOnly="0" labelOnly="1" outline="0" fieldPosition="0">
        <references count="1">
          <reference field="0" count="1">
            <x v="2"/>
          </reference>
        </references>
      </pivotArea>
    </format>
    <format dxfId="427">
      <pivotArea dataOnly="0" labelOnly="1" outline="0" fieldPosition="0">
        <references count="1">
          <reference field="0" count="1">
            <x v="3"/>
          </reference>
        </references>
      </pivotArea>
    </format>
    <format dxfId="426">
      <pivotArea dataOnly="0" labelOnly="1" outline="0" fieldPosition="0">
        <references count="1">
          <reference field="0" count="1">
            <x v="4"/>
          </reference>
        </references>
      </pivotArea>
    </format>
    <format dxfId="425">
      <pivotArea dataOnly="0" labelOnly="1" outline="0" fieldPosition="0">
        <references count="1">
          <reference field="0" count="1">
            <x v="5"/>
          </reference>
        </references>
      </pivotArea>
    </format>
    <format dxfId="424">
      <pivotArea dataOnly="0" labelOnly="1" outline="0" fieldPosition="0">
        <references count="1">
          <reference field="0" count="1">
            <x v="6"/>
          </reference>
        </references>
      </pivotArea>
    </format>
    <format dxfId="423">
      <pivotArea dataOnly="0" labelOnly="1" outline="0" fieldPosition="0">
        <references count="1">
          <reference field="0" count="1">
            <x v="7"/>
          </reference>
        </references>
      </pivotArea>
    </format>
    <format dxfId="422">
      <pivotArea dataOnly="0" labelOnly="1" outline="0" fieldPosition="0">
        <references count="1">
          <reference field="0" count="1">
            <x v="8"/>
          </reference>
        </references>
      </pivotArea>
    </format>
    <format dxfId="421">
      <pivotArea dataOnly="0" labelOnly="1" outline="0" fieldPosition="0">
        <references count="1">
          <reference field="0" count="1">
            <x v="9"/>
          </reference>
        </references>
      </pivotArea>
    </format>
    <format dxfId="420">
      <pivotArea dataOnly="0" labelOnly="1" outline="0" fieldPosition="0">
        <references count="1">
          <reference field="0" count="1">
            <x v="10"/>
          </reference>
        </references>
      </pivotArea>
    </format>
    <format dxfId="419">
      <pivotArea dataOnly="0" labelOnly="1" outline="0" fieldPosition="0">
        <references count="1">
          <reference field="0" count="1">
            <x v="11"/>
          </reference>
        </references>
      </pivotArea>
    </format>
    <format dxfId="418">
      <pivotArea dataOnly="0" labelOnly="1" outline="0" fieldPosition="0">
        <references count="1">
          <reference field="0" count="1">
            <x v="12"/>
          </reference>
        </references>
      </pivotArea>
    </format>
    <format dxfId="417">
      <pivotArea dataOnly="0" labelOnly="1" outline="0" fieldPosition="0">
        <references count="1">
          <reference field="0" count="1">
            <x v="13"/>
          </reference>
        </references>
      </pivotArea>
    </format>
    <format dxfId="416">
      <pivotArea dataOnly="0" labelOnly="1" outline="0" fieldPosition="0">
        <references count="1">
          <reference field="0" count="1">
            <x v="14"/>
          </reference>
        </references>
      </pivotArea>
    </format>
    <format dxfId="415">
      <pivotArea dataOnly="0" labelOnly="1" outline="0" fieldPosition="0">
        <references count="1">
          <reference field="0" count="1">
            <x v="15"/>
          </reference>
        </references>
      </pivotArea>
    </format>
    <format dxfId="414">
      <pivotArea field="0" dataOnly="0" labelOnly="1" grandRow="1" outline="0" axis="axisRow" fieldPosition="0">
        <references count="1">
          <reference field="4294967294" count="1" selected="0">
            <x v="0"/>
          </reference>
        </references>
      </pivotArea>
    </format>
    <format dxfId="413">
      <pivotArea field="0" dataOnly="0" labelOnly="1" grandRow="1" outline="0" axis="axisRow" fieldPosition="0">
        <references count="1">
          <reference field="4294967294" count="1" selected="0">
            <x v="1"/>
          </reference>
        </references>
      </pivotArea>
    </format>
    <format dxfId="412">
      <pivotArea field="0" dataOnly="0" labelOnly="1" grandRow="1" outline="0" axis="axisRow" fieldPosition="0">
        <references count="1">
          <reference field="4294967294" count="1" selected="0">
            <x v="2"/>
          </reference>
        </references>
      </pivotArea>
    </format>
    <format dxfId="411">
      <pivotArea field="0" dataOnly="0" labelOnly="1" grandRow="1" outline="0" axis="axisRow" fieldPosition="0">
        <references count="1">
          <reference field="4294967294" count="1" selected="0">
            <x v="3"/>
          </reference>
        </references>
      </pivotArea>
    </format>
    <format dxfId="410">
      <pivotArea field="0" dataOnly="0" labelOnly="1" grandRow="1" outline="0" axis="axisRow" fieldPosition="0">
        <references count="1">
          <reference field="4294967294" count="1" selected="0">
            <x v="4"/>
          </reference>
        </references>
      </pivotArea>
    </format>
    <format dxfId="409">
      <pivotArea field="0" dataOnly="0" labelOnly="1" grandRow="1" outline="0" axis="axisRow" fieldPosition="0">
        <references count="1">
          <reference field="4294967294" count="1" selected="0">
            <x v="5"/>
          </reference>
        </references>
      </pivotArea>
    </format>
    <format dxfId="408">
      <pivotArea field="0" dataOnly="0" labelOnly="1" grandRow="1" outline="0" axis="axisRow" fieldPosition="0">
        <references count="1">
          <reference field="4294967294" count="1" selected="0">
            <x v="6"/>
          </reference>
        </references>
      </pivotArea>
    </format>
    <format dxfId="407">
      <pivotArea field="0" dataOnly="0" labelOnly="1" grandRow="1" outline="0" axis="axisRow" fieldPosition="0">
        <references count="1">
          <reference field="4294967294" count="1" selected="0">
            <x v="7"/>
          </reference>
        </references>
      </pivotArea>
    </format>
    <format dxfId="406">
      <pivotArea type="topRight" dataOnly="0" labelOnly="1" outline="0" offset="E1" fieldPosition="0"/>
    </format>
    <format dxfId="405">
      <pivotArea type="topRight" dataOnly="0" labelOnly="1" outline="0" offset="K1" fieldPosition="0"/>
    </format>
    <format dxfId="404">
      <pivotArea type="topRight" dataOnly="0" labelOnly="1" outline="0" offset="O1" fieldPosition="0"/>
    </format>
    <format dxfId="403">
      <pivotArea type="all" dataOnly="0" outline="0" fieldPosition="0"/>
    </format>
    <format dxfId="402">
      <pivotArea type="all" dataOnly="0" outline="0" fieldPosition="0"/>
    </format>
    <format dxfId="401">
      <pivotArea dataOnly="0" labelOnly="1" outline="0" fieldPosition="0">
        <references count="1">
          <reference field="4294967294" count="8">
            <x v="0"/>
            <x v="1"/>
            <x v="2"/>
            <x v="3"/>
            <x v="4"/>
            <x v="5"/>
            <x v="6"/>
            <x v="7"/>
          </reference>
        </references>
      </pivotArea>
    </format>
    <format dxfId="400">
      <pivotArea type="all" dataOnly="0" outline="0" fieldPosition="0"/>
    </format>
    <format dxfId="399">
      <pivotArea type="all" dataOnly="0" outline="0" fieldPosition="0"/>
    </format>
    <format dxfId="398">
      <pivotArea dataOnly="0" labelOnly="1" outline="0" fieldPosition="0">
        <references count="1">
          <reference field="4294967294" count="2">
            <x v="4"/>
            <x v="5"/>
          </reference>
        </references>
      </pivotArea>
    </format>
    <format dxfId="397">
      <pivotArea outline="0" collapsedLevelsAreSubtotals="1" fieldPosition="0">
        <references count="1">
          <reference field="0" count="1" selected="0">
            <x v="0"/>
          </reference>
        </references>
      </pivotArea>
    </format>
    <format dxfId="396">
      <pivotArea dataOnly="0" labelOnly="1" outline="0" fieldPosition="0">
        <references count="1">
          <reference field="0" count="1">
            <x v="0"/>
          </reference>
        </references>
      </pivotArea>
    </format>
    <format dxfId="395">
      <pivotArea grandRow="1" outline="0" collapsedLevelsAreSubtotals="1" fieldPosition="0"/>
    </format>
    <format dxfId="394">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sheetPr enableFormatConditionsCalculation="0">
    <tabColor indexed="16"/>
    <pageSetUpPr fitToPage="1"/>
  </sheetPr>
  <dimension ref="A1:T26"/>
  <sheetViews>
    <sheetView showGridLines="0" showZeros="0" view="pageBreakPreview" zoomScaleSheetLayoutView="100" workbookViewId="0">
      <selection activeCell="U1" sqref="U1"/>
    </sheetView>
  </sheetViews>
  <sheetFormatPr defaultRowHeight="12.75"/>
  <cols>
    <col min="1" max="1" width="10.125" style="48" customWidth="1"/>
    <col min="2" max="2" width="17.625" style="10" customWidth="1"/>
    <col min="3" max="3" width="3.375" style="2" hidden="1" customWidth="1"/>
    <col min="4" max="4" width="6.125" style="10" customWidth="1"/>
    <col min="5" max="10" width="5.625" style="10" customWidth="1"/>
    <col min="11" max="12" width="5.625" style="6" customWidth="1"/>
    <col min="13" max="13" width="5.625" style="187" customWidth="1"/>
    <col min="14" max="19" width="5.625" style="10" customWidth="1"/>
    <col min="20" max="20" width="5.625" style="48" customWidth="1"/>
    <col min="21" max="16384" width="9" style="10"/>
  </cols>
  <sheetData>
    <row r="1" spans="1:20" ht="18">
      <c r="A1" s="62" t="s">
        <v>526</v>
      </c>
      <c r="B1" s="42"/>
      <c r="C1" s="209"/>
      <c r="D1" s="42"/>
      <c r="E1" s="42"/>
      <c r="F1" s="42"/>
      <c r="G1" s="42"/>
      <c r="H1" s="42"/>
      <c r="I1" s="42"/>
      <c r="J1" s="42"/>
      <c r="K1" s="182"/>
      <c r="L1" s="182"/>
      <c r="M1" s="183"/>
      <c r="N1" s="42"/>
      <c r="O1" s="42"/>
      <c r="P1" s="42"/>
      <c r="Q1" s="42"/>
      <c r="R1" s="42"/>
      <c r="S1" s="42"/>
      <c r="T1" s="43"/>
    </row>
    <row r="2" spans="1:20" ht="18">
      <c r="A2" s="62"/>
      <c r="B2" s="42"/>
      <c r="C2" s="209"/>
      <c r="D2" s="42"/>
      <c r="E2" s="42"/>
      <c r="F2" s="42"/>
      <c r="G2" s="42"/>
      <c r="H2" s="42"/>
      <c r="I2" s="42"/>
      <c r="J2" s="42"/>
      <c r="K2" s="182"/>
      <c r="L2" s="182"/>
      <c r="M2" s="183"/>
      <c r="N2" s="42"/>
      <c r="O2" s="42"/>
      <c r="P2" s="42"/>
      <c r="Q2" s="42"/>
      <c r="R2" s="42"/>
      <c r="S2" s="42"/>
      <c r="T2" s="43"/>
    </row>
    <row r="3" spans="1:20" s="69" customFormat="1" ht="15.75">
      <c r="A3" s="1396" t="s">
        <v>476</v>
      </c>
      <c r="B3" s="1396"/>
      <c r="C3" s="1396"/>
      <c r="D3" s="1396"/>
      <c r="E3" s="1396"/>
      <c r="F3" s="1396"/>
      <c r="G3" s="1396"/>
      <c r="H3" s="1396"/>
      <c r="I3" s="1396"/>
      <c r="J3" s="1396"/>
      <c r="K3" s="1396"/>
      <c r="L3" s="1396"/>
      <c r="M3" s="1396"/>
      <c r="N3" s="1396"/>
      <c r="O3" s="1396"/>
      <c r="P3" s="1396"/>
      <c r="Q3" s="1396"/>
      <c r="R3" s="1396"/>
      <c r="S3" s="1396"/>
      <c r="T3" s="1396"/>
    </row>
    <row r="4" spans="1:20" s="69" customFormat="1" ht="15.75">
      <c r="A4" s="1396" t="s">
        <v>1992</v>
      </c>
      <c r="B4" s="1396"/>
      <c r="C4" s="1396"/>
      <c r="D4" s="1396"/>
      <c r="E4" s="1396"/>
      <c r="F4" s="1396"/>
      <c r="G4" s="1396"/>
      <c r="H4" s="1396"/>
      <c r="I4" s="1396"/>
      <c r="J4" s="1396"/>
      <c r="K4" s="1396"/>
      <c r="L4" s="1396"/>
      <c r="M4" s="1396"/>
      <c r="N4" s="1396"/>
      <c r="O4" s="1396"/>
      <c r="P4" s="1396"/>
      <c r="Q4" s="1396"/>
      <c r="R4" s="1396"/>
      <c r="S4" s="1396"/>
      <c r="T4" s="1396"/>
    </row>
    <row r="5" spans="1:20" s="69" customFormat="1" ht="15.75">
      <c r="A5" s="565"/>
      <c r="B5" s="565"/>
      <c r="C5" s="565"/>
      <c r="D5" s="565"/>
      <c r="E5" s="565"/>
      <c r="F5" s="565"/>
      <c r="G5" s="565"/>
      <c r="H5" s="565"/>
      <c r="I5" s="565"/>
      <c r="J5" s="565"/>
      <c r="K5" s="565"/>
      <c r="L5" s="565"/>
      <c r="M5" s="565"/>
      <c r="N5" s="565"/>
      <c r="O5" s="565"/>
      <c r="P5" s="565"/>
      <c r="Q5" s="565"/>
      <c r="R5" s="565"/>
      <c r="S5" s="565"/>
      <c r="T5" s="565"/>
    </row>
    <row r="6" spans="1:20" ht="29.25" customHeight="1">
      <c r="A6" s="44"/>
      <c r="B6" s="41"/>
      <c r="C6" s="210" t="s">
        <v>391</v>
      </c>
      <c r="D6" s="572" t="s">
        <v>565</v>
      </c>
      <c r="E6" s="573" t="s">
        <v>202</v>
      </c>
      <c r="F6" s="574" t="s">
        <v>203</v>
      </c>
      <c r="G6" s="574" t="s">
        <v>208</v>
      </c>
      <c r="H6" s="574" t="s">
        <v>209</v>
      </c>
      <c r="I6" s="574" t="s">
        <v>204</v>
      </c>
      <c r="J6" s="575" t="s">
        <v>210</v>
      </c>
      <c r="K6" s="575" t="s">
        <v>205</v>
      </c>
      <c r="L6" s="575" t="s">
        <v>211</v>
      </c>
      <c r="M6" s="576" t="s">
        <v>212</v>
      </c>
      <c r="N6" s="575" t="s">
        <v>213</v>
      </c>
      <c r="O6" s="575" t="s">
        <v>214</v>
      </c>
      <c r="P6" s="575" t="s">
        <v>206</v>
      </c>
      <c r="Q6" s="575" t="s">
        <v>215</v>
      </c>
      <c r="R6" s="575" t="s">
        <v>207</v>
      </c>
      <c r="S6" s="575" t="s">
        <v>216</v>
      </c>
      <c r="T6" s="575" t="s">
        <v>217</v>
      </c>
    </row>
    <row r="7" spans="1:20" ht="33" customHeight="1">
      <c r="A7" s="1397" t="s">
        <v>473</v>
      </c>
      <c r="B7" s="410" t="s">
        <v>481</v>
      </c>
      <c r="C7" s="377" t="s">
        <v>392</v>
      </c>
      <c r="D7" s="451">
        <f>IF('114. NEW Distrib by purpose'!D7&gt;0.0005=0,,IF('114. NEW Distrib by purpose'!D7&gt;0.0005,'114. NEW Distrib by purpose'!D7,"*"))</f>
        <v>0.79580531026121737</v>
      </c>
      <c r="E7" s="438">
        <f>IF('114. NEW Distrib by purpose'!E7&gt;0.0005=0,,IF('114. NEW Distrib by purpose'!E7&gt;0.0005,'114. NEW Distrib by purpose'!E7,"*"))</f>
        <v>0.77437513209745956</v>
      </c>
      <c r="F7" s="439">
        <f>IF('114. NEW Distrib by purpose'!F7&gt;0.0005=0,,IF('114. NEW Distrib by purpose'!F7&gt;0.0005,'114. NEW Distrib by purpose'!F7,"*"))</f>
        <v>0.76574238989587562</v>
      </c>
      <c r="G7" s="439">
        <f>IF('114. NEW Distrib by purpose'!G7&gt;0.0005=0,,IF('114. NEW Distrib by purpose'!G7&gt;0.0005,'114. NEW Distrib by purpose'!G7,"*"))</f>
        <v>0.96223027038255549</v>
      </c>
      <c r="H7" s="439">
        <f>IF('114. NEW Distrib by purpose'!H7&gt;0.0005=0,,IF('114. NEW Distrib by purpose'!H7&gt;0.0005,'114. NEW Distrib by purpose'!H7,"*"))</f>
        <v>0.81816016110191803</v>
      </c>
      <c r="I7" s="439">
        <f>IF('114. NEW Distrib by purpose'!I7&gt;0.0005=0,,IF('114. NEW Distrib by purpose'!I7&gt;0.0005,'114. NEW Distrib by purpose'!I7,"*"))</f>
        <v>0.76190718702818616</v>
      </c>
      <c r="J7" s="439">
        <f>IF('114. NEW Distrib by purpose'!J7&gt;0.0005=0,,IF('114. NEW Distrib by purpose'!J7&gt;0.0005,'114. NEW Distrib by purpose'!J7,"*"))</f>
        <v>0.79437330823347496</v>
      </c>
      <c r="K7" s="439">
        <f>IF('114. NEW Distrib by purpose'!K7&gt;0.0005=0,,IF('114. NEW Distrib by purpose'!K7&gt;0.0005,'114. NEW Distrib by purpose'!K7,"*"))</f>
        <v>0.71941946766147258</v>
      </c>
      <c r="L7" s="439">
        <f>IF('114. NEW Distrib by purpose'!L7&gt;0.0005=0,,IF('114. NEW Distrib by purpose'!L7&gt;0.0005,'114. NEW Distrib by purpose'!L7,"*"))</f>
        <v>0.78807530253583702</v>
      </c>
      <c r="M7" s="439">
        <f>IF('114. NEW Distrib by purpose'!M7&gt;0.0005=0,,IF('114. NEW Distrib by purpose'!M7&gt;0.0005,'114. NEW Distrib by purpose'!M7,"*"))</f>
        <v>0.75171199787039977</v>
      </c>
      <c r="N7" s="439">
        <f>IF('114. NEW Distrib by purpose'!N7&gt;0.0005=0,,IF('114. NEW Distrib by purpose'!N7&gt;0.0005,'114. NEW Distrib by purpose'!N7,"*"))</f>
        <v>0.8012506225073599</v>
      </c>
      <c r="O7" s="439">
        <f>IF('114. NEW Distrib by purpose'!O7&gt;0.0005=0,,IF('114. NEW Distrib by purpose'!O7&gt;0.0005,'114. NEW Distrib by purpose'!O7,"*"))</f>
        <v>0.82424164775828324</v>
      </c>
      <c r="P7" s="439">
        <f>IF('114. NEW Distrib by purpose'!P7&gt;0.0005=0,,IF('114. NEW Distrib by purpose'!P7&gt;0.0005,'114. NEW Distrib by purpose'!P7,"*"))</f>
        <v>0.78283635651273631</v>
      </c>
      <c r="Q7" s="439">
        <f>IF('114. NEW Distrib by purpose'!Q7&gt;0.0005=0,,IF('114. NEW Distrib by purpose'!Q7&gt;0.0005,'114. NEW Distrib by purpose'!Q7,"*"))</f>
        <v>0.74994372408835286</v>
      </c>
      <c r="R7" s="439">
        <f>IF('114. NEW Distrib by purpose'!R7&gt;0.0005=0,,IF('114. NEW Distrib by purpose'!R7&gt;0.0005,'114. NEW Distrib by purpose'!R7,"*"))</f>
        <v>0.81323776348707044</v>
      </c>
      <c r="S7" s="439">
        <f>IF('114. NEW Distrib by purpose'!S7&gt;0.0005=0,,IF('114. NEW Distrib by purpose'!S7&gt;0.0005,'114. NEW Distrib by purpose'!S7,"*"))</f>
        <v>0.85144056972076254</v>
      </c>
      <c r="T7" s="439">
        <f>IF('114. NEW Distrib by purpose'!T7&gt;0.0005=0,,IF('114. NEW Distrib by purpose'!T7&gt;0.0005,'114. NEW Distrib by purpose'!T7,"*"))</f>
        <v>0.69651123344100274</v>
      </c>
    </row>
    <row r="8" spans="1:20" ht="37.5" customHeight="1">
      <c r="A8" s="1398"/>
      <c r="B8" s="410" t="s">
        <v>482</v>
      </c>
      <c r="C8" s="377" t="s">
        <v>393</v>
      </c>
      <c r="D8" s="451">
        <f>IF('114. NEW Distrib by purpose'!D8&gt;0.0005=0,,IF('114. NEW Distrib by purpose'!D8&gt;0.0005,'114. NEW Distrib by purpose'!D8,"*"))</f>
        <v>2.2631633869530085E-2</v>
      </c>
      <c r="E8" s="440">
        <f>IF('114. NEW Distrib by purpose'!E8&gt;0.0005=0,,IF('114. NEW Distrib by purpose'!E8&gt;0.0005,'114. NEW Distrib by purpose'!E8,"*"))</f>
        <v>3.3110890547303103E-2</v>
      </c>
      <c r="F8" s="441">
        <f>IF('114. NEW Distrib by purpose'!F8&gt;0.0005=0,,IF('114. NEW Distrib by purpose'!F8&gt;0.0005,'114. NEW Distrib by purpose'!F8,"*"))</f>
        <v>1.5118483281771353E-2</v>
      </c>
      <c r="G8" s="441">
        <f>IF('114. NEW Distrib by purpose'!G8&gt;0.0005=0,,IF('114. NEW Distrib by purpose'!G8&gt;0.0005,'114. NEW Distrib by purpose'!G8,"*"))</f>
        <v>1.2556184912163867E-2</v>
      </c>
      <c r="H8" s="441">
        <f>IF('114. NEW Distrib by purpose'!H8&gt;0.0005=0,,IF('114. NEW Distrib by purpose'!H8&gt;0.0005,'114. NEW Distrib by purpose'!H8,"*"))</f>
        <v>2.8721086259403589E-2</v>
      </c>
      <c r="I8" s="441">
        <f>IF('114. NEW Distrib by purpose'!I8&gt;0.0005=0,,IF('114. NEW Distrib by purpose'!I8&gt;0.0005,'114. NEW Distrib by purpose'!I8,"*"))</f>
        <v>1.935021475500652E-2</v>
      </c>
      <c r="J8" s="441">
        <f>IF('114. NEW Distrib by purpose'!J8&gt;0.0005=0,,IF('114. NEW Distrib by purpose'!J8&gt;0.0005,'114. NEW Distrib by purpose'!J8,"*"))</f>
        <v>3.6699925063483664E-2</v>
      </c>
      <c r="K8" s="441">
        <f>IF('114. NEW Distrib by purpose'!K8&gt;0.0005=0,,IF('114. NEW Distrib by purpose'!K8&gt;0.0005,'114. NEW Distrib by purpose'!K8,"*"))</f>
        <v>3.6998823664449829E-2</v>
      </c>
      <c r="L8" s="441">
        <f>IF('114. NEW Distrib by purpose'!L8&gt;0.0005=0,,IF('114. NEW Distrib by purpose'!L8&gt;0.0005,'114. NEW Distrib by purpose'!L8,"*"))</f>
        <v>1.530211656705326E-2</v>
      </c>
      <c r="M8" s="441">
        <f>IF('114. NEW Distrib by purpose'!M8&gt;0.0005=0,,IF('114. NEW Distrib by purpose'!M8&gt;0.0005,'114. NEW Distrib by purpose'!M8,"*"))</f>
        <v>6.3619701881999086E-2</v>
      </c>
      <c r="N8" s="441">
        <f>IF('114. NEW Distrib by purpose'!N8&gt;0.0005=0,,IF('114. NEW Distrib by purpose'!N8&gt;0.0005,'114. NEW Distrib by purpose'!N8,"*"))</f>
        <v>2.0293182301815923E-2</v>
      </c>
      <c r="O8" s="441">
        <f>IF('114. NEW Distrib by purpose'!O8&gt;0.0005=0,,IF('114. NEW Distrib by purpose'!O8&gt;0.0005,'114. NEW Distrib by purpose'!O8,"*"))</f>
        <v>2.7832076610588848E-2</v>
      </c>
      <c r="P8" s="441">
        <f>IF('114. NEW Distrib by purpose'!P8&gt;0.0005=0,,IF('114. NEW Distrib by purpose'!P8&gt;0.0005,'114. NEW Distrib by purpose'!P8,"*"))</f>
        <v>1.7548891220471513E-2</v>
      </c>
      <c r="Q8" s="441">
        <f>IF('114. NEW Distrib by purpose'!Q8&gt;0.0005=0,,IF('114. NEW Distrib by purpose'!Q8&gt;0.0005,'114. NEW Distrib by purpose'!Q8,"*"))</f>
        <v>2.5057192290423951E-2</v>
      </c>
      <c r="R8" s="441">
        <f>IF('114. NEW Distrib by purpose'!R8&gt;0.0005=0,,IF('114. NEW Distrib by purpose'!R8&gt;0.0005,'114. NEW Distrib by purpose'!R8,"*"))</f>
        <v>1.4009778721265237E-2</v>
      </c>
      <c r="S8" s="441">
        <f>IF('114. NEW Distrib by purpose'!S8&gt;0.0005=0,,IF('114. NEW Distrib by purpose'!S8&gt;0.0005,'114. NEW Distrib by purpose'!S8,"*"))</f>
        <v>2.1706046581236673E-2</v>
      </c>
      <c r="T8" s="441">
        <f>IF('114. NEW Distrib by purpose'!T8&gt;0.0005=0,,IF('114. NEW Distrib by purpose'!T8&gt;0.0005,'114. NEW Distrib by purpose'!T8,"*"))</f>
        <v>3.7605231324689771E-2</v>
      </c>
    </row>
    <row r="9" spans="1:20" ht="22.5">
      <c r="A9" s="1398"/>
      <c r="B9" s="424" t="s">
        <v>486</v>
      </c>
      <c r="C9" s="423">
        <f>+D8+D7</f>
        <v>0.81843694413074741</v>
      </c>
      <c r="D9" s="451">
        <f>+D8+D7</f>
        <v>0.81843694413074741</v>
      </c>
      <c r="E9" s="440">
        <f t="shared" ref="E9:T9" si="0">+E8+E7</f>
        <v>0.80748602264476266</v>
      </c>
      <c r="F9" s="441">
        <f t="shared" si="0"/>
        <v>0.78086087317764696</v>
      </c>
      <c r="G9" s="441">
        <f t="shared" si="0"/>
        <v>0.9747864552947193</v>
      </c>
      <c r="H9" s="441">
        <f t="shared" si="0"/>
        <v>0.84688124736132164</v>
      </c>
      <c r="I9" s="441">
        <f t="shared" si="0"/>
        <v>0.7812574017831927</v>
      </c>
      <c r="J9" s="441">
        <f t="shared" si="0"/>
        <v>0.83107323329695859</v>
      </c>
      <c r="K9" s="441">
        <f t="shared" si="0"/>
        <v>0.75641829132592242</v>
      </c>
      <c r="L9" s="441">
        <f t="shared" si="0"/>
        <v>0.80337741910289029</v>
      </c>
      <c r="M9" s="441">
        <f t="shared" si="0"/>
        <v>0.81533169975239883</v>
      </c>
      <c r="N9" s="441">
        <f t="shared" si="0"/>
        <v>0.82154380480917577</v>
      </c>
      <c r="O9" s="441">
        <f t="shared" si="0"/>
        <v>0.85207372436887208</v>
      </c>
      <c r="P9" s="441">
        <f t="shared" si="0"/>
        <v>0.80038524773320785</v>
      </c>
      <c r="Q9" s="441">
        <f t="shared" si="0"/>
        <v>0.77500091637877677</v>
      </c>
      <c r="R9" s="441">
        <f t="shared" si="0"/>
        <v>0.82724754220833563</v>
      </c>
      <c r="S9" s="441">
        <f t="shared" si="0"/>
        <v>0.87314661630199919</v>
      </c>
      <c r="T9" s="441">
        <f t="shared" si="0"/>
        <v>0.73411646476569248</v>
      </c>
    </row>
    <row r="10" spans="1:20" ht="35.25" customHeight="1">
      <c r="A10" s="1398"/>
      <c r="B10" s="410" t="s">
        <v>20</v>
      </c>
      <c r="C10" s="211" t="s">
        <v>401</v>
      </c>
      <c r="D10" s="577">
        <f>IF('114. NEW Distrib by purpose'!D17&gt;0.0005=0,,IF('114. NEW Distrib by purpose'!D17&gt;0.0005,'114. NEW Distrib by purpose'!D17,"*"))</f>
        <v>9.0497932931716003E-3</v>
      </c>
      <c r="E10" s="578">
        <f>IF('114. NEW Distrib by purpose'!E17&gt;0.0005=0,,IF('114. NEW Distrib by purpose'!E17&gt;0.0005,'114. NEW Distrib by purpose'!E17,"*"))</f>
        <v>2.099609797425998E-2</v>
      </c>
      <c r="F10" s="579">
        <f>IF('114. NEW Distrib by purpose'!F17&gt;0.0005=0,,IF('114. NEW Distrib by purpose'!F17&gt;0.0005,'114. NEW Distrib by purpose'!F17,"*"))</f>
        <v>4.4727973950453657E-2</v>
      </c>
      <c r="G10" s="579" t="str">
        <f>IF('114. NEW Distrib by purpose'!G17&gt;0.0005=0,,IF('114. NEW Distrib by purpose'!G17&gt;0.0005,'114. NEW Distrib by purpose'!G17,"*"))</f>
        <v>*</v>
      </c>
      <c r="H10" s="579">
        <f>IF('114. NEW Distrib by purpose'!H17&gt;0.0005=0,,IF('114. NEW Distrib by purpose'!H17&gt;0.0005,'114. NEW Distrib by purpose'!H17,"*"))</f>
        <v>1.7138509909136448E-3</v>
      </c>
      <c r="I10" s="579" t="str">
        <f>IF('114. NEW Distrib by purpose'!I17&gt;0.0005=0,,IF('114. NEW Distrib by purpose'!I17&gt;0.0005,'114. NEW Distrib by purpose'!I17,"*"))</f>
        <v>*</v>
      </c>
      <c r="J10" s="579">
        <f>IF('114. NEW Distrib by purpose'!J17&gt;0.0005=0,,IF('114. NEW Distrib by purpose'!J17&gt;0.0005,'114. NEW Distrib by purpose'!J17,"*"))</f>
        <v>5.4898320961621642E-3</v>
      </c>
      <c r="K10" s="579">
        <f>IF('114. NEW Distrib by purpose'!K17&gt;0.0005=0,,IF('114. NEW Distrib by purpose'!K17&gt;0.0005,'114. NEW Distrib by purpose'!K17,"*"))</f>
        <v>1.5840286699647134E-2</v>
      </c>
      <c r="L10" s="579" t="str">
        <f>IF('114. NEW Distrib by purpose'!L17&gt;0.0005=0,,IF('114. NEW Distrib by purpose'!L17&gt;0.0005,'114. NEW Distrib by purpose'!L17,"*"))</f>
        <v>*</v>
      </c>
      <c r="M10" s="579" t="str">
        <f>IF('114. NEW Distrib by purpose'!M17&gt;0.0005=0,,IF('114. NEW Distrib by purpose'!M17&gt;0.0005,'114. NEW Distrib by purpose'!M17,"*"))</f>
        <v>*</v>
      </c>
      <c r="N10" s="579">
        <f>IF('114. NEW Distrib by purpose'!N17&gt;0.0005=0,,IF('114. NEW Distrib by purpose'!N17&gt;0.0005,'114. NEW Distrib by purpose'!N17,"*"))</f>
        <v>4.0210622047213387E-2</v>
      </c>
      <c r="O10" s="579" t="str">
        <f>IF('114. NEW Distrib by purpose'!O17&gt;0.0005=0,,IF('114. NEW Distrib by purpose'!O17&gt;0.0005,'114. NEW Distrib by purpose'!O17,"*"))</f>
        <v>*</v>
      </c>
      <c r="P10" s="579" t="str">
        <f>IF('114. NEW Distrib by purpose'!P17&gt;0.0005=0,,IF('114. NEW Distrib by purpose'!P17&gt;0.0005,'114. NEW Distrib by purpose'!P17,"*"))</f>
        <v>*</v>
      </c>
      <c r="Q10" s="579" t="str">
        <f>IF('114. NEW Distrib by purpose'!Q17&gt;0.0005=0,,IF('114. NEW Distrib by purpose'!Q17&gt;0.0005,'114. NEW Distrib by purpose'!Q17,"*"))</f>
        <v>*</v>
      </c>
      <c r="R10" s="579">
        <f>IF('114. NEW Distrib by purpose'!R17&gt;0.0005=0,,IF('114. NEW Distrib by purpose'!R17&gt;0.0005,'114. NEW Distrib by purpose'!R17,"*"))</f>
        <v>6.6374215249042565E-3</v>
      </c>
      <c r="S10" s="579">
        <f>IF('114. NEW Distrib by purpose'!S17&gt;0.0005=0,,IF('114. NEW Distrib by purpose'!S17&gt;0.0005,'114. NEW Distrib by purpose'!S17,"*"))</f>
        <v>2.3172888359551877E-3</v>
      </c>
      <c r="T10" s="579">
        <f>IF('114. NEW Distrib by purpose'!T17&gt;0.0005=0,,IF('114. NEW Distrib by purpose'!T17&gt;0.0005,'114. NEW Distrib by purpose'!T17,"*"))</f>
        <v>4.7581653460005329E-3</v>
      </c>
    </row>
    <row r="11" spans="1:20" ht="33" customHeight="1">
      <c r="A11" s="1399"/>
      <c r="B11" s="411" t="s">
        <v>125</v>
      </c>
      <c r="C11" s="212" t="s">
        <v>431</v>
      </c>
      <c r="D11" s="580">
        <f>IF('114. NEW Distrib by purpose'!D24&gt;0.0005=0,,IF('114. NEW Distrib by purpose'!D24&gt;0.0005,'114. NEW Distrib by purpose'!D24,"*"))</f>
        <v>4.475530145031323E-3</v>
      </c>
      <c r="E11" s="581">
        <f>IF('114. NEW Distrib by purpose'!E24&gt;0.0005=0,,IF('114. NEW Distrib by purpose'!E24&gt;0.0005,'114. NEW Distrib by purpose'!E24,"*"))</f>
        <v>2.3581984902742571E-3</v>
      </c>
      <c r="F11" s="582" t="str">
        <f>IF('114. NEW Distrib by purpose'!F24&gt;0.0005=0,,IF('114. NEW Distrib by purpose'!F24&gt;0.0005,'114. NEW Distrib by purpose'!F24,"*"))</f>
        <v>*</v>
      </c>
      <c r="G11" s="582">
        <f>IF('114. NEW Distrib by purpose'!G24&gt;0.0005=0,,IF('114. NEW Distrib by purpose'!G24&gt;0.0005,'114. NEW Distrib by purpose'!G24,"*"))</f>
        <v>3.1205354029842382E-3</v>
      </c>
      <c r="H11" s="582" t="str">
        <f>IF('114. NEW Distrib by purpose'!H24&gt;0.0005=0,,IF('114. NEW Distrib by purpose'!H24&gt;0.0005,'114. NEW Distrib by purpose'!H24,"*"))</f>
        <v>*</v>
      </c>
      <c r="I11" s="582">
        <f>IF('114. NEW Distrib by purpose'!I24&gt;0.0005=0,,IF('114. NEW Distrib by purpose'!I24&gt;0.0005,'114. NEW Distrib by purpose'!I24,"*"))</f>
        <v>1.2728967653777614E-2</v>
      </c>
      <c r="J11" s="582">
        <f>IF('114. NEW Distrib by purpose'!J24&gt;0.0005=0,,IF('114. NEW Distrib by purpose'!J24&gt;0.0005,'114. NEW Distrib by purpose'!J24,"*"))</f>
        <v>1.6302289826092265E-2</v>
      </c>
      <c r="K11" s="582">
        <f>IF('114. NEW Distrib by purpose'!K24&gt;0.0005=0,,IF('114. NEW Distrib by purpose'!K24&gt;0.0005,'114. NEW Distrib by purpose'!K24,"*"))</f>
        <v>7.0474438760072594E-3</v>
      </c>
      <c r="L11" s="582" t="str">
        <f>IF('114. NEW Distrib by purpose'!L24&gt;0.0005=0,,IF('114. NEW Distrib by purpose'!L24&gt;0.0005,'114. NEW Distrib by purpose'!L24,"*"))</f>
        <v>*</v>
      </c>
      <c r="M11" s="582">
        <f>IF('114. NEW Distrib by purpose'!M24&gt;0.0005=0,,IF('114. NEW Distrib by purpose'!M24&gt;0.0005,'114. NEW Distrib by purpose'!M24,"*"))</f>
        <v>4.0976237711641489E-3</v>
      </c>
      <c r="N11" s="582">
        <f>IF('114. NEW Distrib by purpose'!N24&gt;0.0005=0,,IF('114. NEW Distrib by purpose'!N24&gt;0.0005,'114. NEW Distrib by purpose'!N24,"*"))</f>
        <v>1.3803630572379155E-3</v>
      </c>
      <c r="O11" s="582">
        <f>IF('114. NEW Distrib by purpose'!O24&gt;0.0005=0,,IF('114. NEW Distrib by purpose'!O24&gt;0.0005,'114. NEW Distrib by purpose'!O24,"*"))</f>
        <v>7.9372293823261695E-3</v>
      </c>
      <c r="P11" s="582">
        <f>IF('114. NEW Distrib by purpose'!P24&gt;0.0005=0,,IF('114. NEW Distrib by purpose'!P24&gt;0.0005,'114. NEW Distrib by purpose'!P24,"*"))</f>
        <v>1.6098230965256471E-3</v>
      </c>
      <c r="Q11" s="582" t="str">
        <f>IF('114. NEW Distrib by purpose'!Q24&gt;0.0005=0,,IF('114. NEW Distrib by purpose'!Q24&gt;0.0005,'114. NEW Distrib by purpose'!Q24,"*"))</f>
        <v>*</v>
      </c>
      <c r="R11" s="582" t="str">
        <f>IF('114. NEW Distrib by purpose'!R24&gt;0.0005=0,,IF('114. NEW Distrib by purpose'!R24&gt;0.0005,'114. NEW Distrib by purpose'!R24,"*"))</f>
        <v>*</v>
      </c>
      <c r="S11" s="582">
        <f>IF('114. NEW Distrib by purpose'!S24&gt;0.0005=0,,IF('114. NEW Distrib by purpose'!S24&gt;0.0005,'114. NEW Distrib by purpose'!S24,"*"))</f>
        <v>2.1778472553067828E-2</v>
      </c>
      <c r="T11" s="582">
        <f>IF('114. NEW Distrib by purpose'!T24&gt;0.0005=0,,IF('114. NEW Distrib by purpose'!T24&gt;0.0005,'114. NEW Distrib by purpose'!T24,"*"))</f>
        <v>8.2497105481910814E-3</v>
      </c>
    </row>
    <row r="12" spans="1:20" ht="24.75" customHeight="1">
      <c r="A12" s="1397" t="s">
        <v>474</v>
      </c>
      <c r="B12" s="412" t="s">
        <v>180</v>
      </c>
      <c r="C12" s="213" t="s">
        <v>409</v>
      </c>
      <c r="D12" s="583">
        <f>IF('114. NEW Distrib by purpose'!D28&gt;0.0005=0,,IF('114. NEW Distrib by purpose'!D28&gt;0.0005,'114. NEW Distrib by purpose'!D28,"*"))</f>
        <v>5.4699825259906763E-3</v>
      </c>
      <c r="E12" s="584">
        <f>IF('114. NEW Distrib by purpose'!E28&gt;0.0005=0,,IF('114. NEW Distrib by purpose'!E28&gt;0.0005,'114. NEW Distrib by purpose'!E28,"*"))</f>
        <v>2.6207961426171042E-3</v>
      </c>
      <c r="F12" s="585">
        <f>IF('114. NEW Distrib by purpose'!F28&gt;0.0005=0,,IF('114. NEW Distrib by purpose'!F28&gt;0.0005,'114. NEW Distrib by purpose'!F28,"*"))</f>
        <v>6.3689772846900949E-3</v>
      </c>
      <c r="G12" s="585">
        <f>IF('114. NEW Distrib by purpose'!G28&gt;0.0005=0,,IF('114. NEW Distrib by purpose'!G28&gt;0.0005,'114. NEW Distrib by purpose'!G28,"*"))</f>
        <v>1.2220067299291695E-2</v>
      </c>
      <c r="H12" s="585">
        <f>IF('114. NEW Distrib by purpose'!H28&gt;0.0005=0,,IF('114. NEW Distrib by purpose'!H28&gt;0.0005,'114. NEW Distrib by purpose'!H28,"*"))</f>
        <v>7.9404568376838648E-4</v>
      </c>
      <c r="I12" s="585">
        <f>IF('114. NEW Distrib by purpose'!I28&gt;0.0005=0,,IF('114. NEW Distrib by purpose'!I28&gt;0.0005,'114. NEW Distrib by purpose'!I28,"*"))</f>
        <v>4.1479186422217979E-3</v>
      </c>
      <c r="J12" s="585">
        <f>IF('114. NEW Distrib by purpose'!J28&gt;0.0005=0,,IF('114. NEW Distrib by purpose'!J28&gt;0.0005,'114. NEW Distrib by purpose'!J28,"*"))</f>
        <v>8.5064736569873279E-3</v>
      </c>
      <c r="K12" s="585">
        <f>IF('114. NEW Distrib by purpose'!K28&gt;0.0005=0,,IF('114. NEW Distrib by purpose'!K28&gt;0.0005,'114. NEW Distrib by purpose'!K28,"*"))</f>
        <v>1.7363770798221611E-2</v>
      </c>
      <c r="L12" s="585">
        <f>IF('114. NEW Distrib by purpose'!L28&gt;0.0005=0,,IF('114. NEW Distrib by purpose'!L28&gt;0.0005,'114. NEW Distrib by purpose'!L28,"*"))</f>
        <v>3.9506308792170083E-3</v>
      </c>
      <c r="M12" s="585">
        <f>IF('114. NEW Distrib by purpose'!M28&gt;0.0005=0,,IF('114. NEW Distrib by purpose'!M28&gt;0.0005,'114. NEW Distrib by purpose'!M28,"*"))</f>
        <v>6.462203439253307E-3</v>
      </c>
      <c r="N12" s="585">
        <f>IF('114. NEW Distrib by purpose'!N28&gt;0.0005=0,,IF('114. NEW Distrib by purpose'!N28&gt;0.0005,'114. NEW Distrib by purpose'!N28,"*"))</f>
        <v>7.7743845519217146E-3</v>
      </c>
      <c r="O12" s="585">
        <f>IF('114. NEW Distrib by purpose'!O28&gt;0.0005=0,,IF('114. NEW Distrib by purpose'!O28&gt;0.0005,'114. NEW Distrib by purpose'!O28,"*"))</f>
        <v>5.477563149432439E-3</v>
      </c>
      <c r="P12" s="585">
        <f>IF('114. NEW Distrib by purpose'!P28&gt;0.0005=0,,IF('114. NEW Distrib by purpose'!P28&gt;0.0005,'114. NEW Distrib by purpose'!P28,"*"))</f>
        <v>6.9252553887742593E-3</v>
      </c>
      <c r="Q12" s="585">
        <f>IF('114. NEW Distrib by purpose'!Q28&gt;0.0005=0,,IF('114. NEW Distrib by purpose'!Q28&gt;0.0005,'114. NEW Distrib by purpose'!Q28,"*"))</f>
        <v>3.7791177778904953E-3</v>
      </c>
      <c r="R12" s="585">
        <f>IF('114. NEW Distrib by purpose'!R28&gt;0.0005=0,,IF('114. NEW Distrib by purpose'!R28&gt;0.0005,'114. NEW Distrib by purpose'!R28,"*"))</f>
        <v>5.6286745273004899E-3</v>
      </c>
      <c r="S12" s="585">
        <f>IF('114. NEW Distrib by purpose'!S28&gt;0.0005=0,,IF('114. NEW Distrib by purpose'!S28&gt;0.0005,'114. NEW Distrib by purpose'!S28,"*"))</f>
        <v>4.9823807061150733E-3</v>
      </c>
      <c r="T12" s="585">
        <f>IF('114. NEW Distrib by purpose'!T28&gt;0.0005=0,,IF('114. NEW Distrib by purpose'!T28&gt;0.0005,'114. NEW Distrib by purpose'!T28,"*"))</f>
        <v>5.7651539727641248E-3</v>
      </c>
    </row>
    <row r="13" spans="1:20" ht="39" customHeight="1">
      <c r="A13" s="1398"/>
      <c r="B13" s="413" t="s">
        <v>250</v>
      </c>
      <c r="C13" s="211" t="s">
        <v>414</v>
      </c>
      <c r="D13" s="577">
        <f>IF('114. NEW Distrib by purpose'!D33&gt;0.0005=0,,IF('114. NEW Distrib by purpose'!D33&gt;0.0005,'114. NEW Distrib by purpose'!D33,"*"))</f>
        <v>2.8558026825293236E-3</v>
      </c>
      <c r="E13" s="578">
        <f>IF('114. NEW Distrib by purpose'!E33&gt;0.0005=0,,IF('114. NEW Distrib by purpose'!E33&gt;0.0005,'114. NEW Distrib by purpose'!E33,"*"))</f>
        <v>4.4424532621700243E-3</v>
      </c>
      <c r="F13" s="579" t="str">
        <f>IF('114. NEW Distrib by purpose'!F33&gt;0.0005=0,,IF('114. NEW Distrib by purpose'!F33&gt;0.0005,'114. NEW Distrib by purpose'!F33,"*"))</f>
        <v>*</v>
      </c>
      <c r="G13" s="579" t="str">
        <f>IF('114. NEW Distrib by purpose'!G33&gt;0.0005=0,,IF('114. NEW Distrib by purpose'!G33&gt;0.0005,'114. NEW Distrib by purpose'!G33,"*"))</f>
        <v>*</v>
      </c>
      <c r="H13" s="579">
        <f>IF('114. NEW Distrib by purpose'!H33&gt;0.0005=0,,IF('114. NEW Distrib by purpose'!H33&gt;0.0005,'114. NEW Distrib by purpose'!H33,"*"))</f>
        <v>2.6854406681082557E-3</v>
      </c>
      <c r="I13" s="579">
        <f>IF('114. NEW Distrib by purpose'!I33&gt;0.0005=0,,IF('114. NEW Distrib by purpose'!I33&gt;0.0005,'114. NEW Distrib by purpose'!I33,"*"))</f>
        <v>7.2048971530726327E-3</v>
      </c>
      <c r="J13" s="579" t="str">
        <f>IF('114. NEW Distrib by purpose'!J33&gt;0.0005=0,,IF('114. NEW Distrib by purpose'!J33&gt;0.0005,'114. NEW Distrib by purpose'!J33,"*"))</f>
        <v>*</v>
      </c>
      <c r="K13" s="579" t="str">
        <f>IF('114. NEW Distrib by purpose'!K33&gt;0.0005=0,,IF('114. NEW Distrib by purpose'!K33&gt;0.0005,'114. NEW Distrib by purpose'!K33,"*"))</f>
        <v>*</v>
      </c>
      <c r="L13" s="579">
        <f>IF('114. NEW Distrib by purpose'!L33&gt;0.0005=0,,IF('114. NEW Distrib by purpose'!L33&gt;0.0005,'114. NEW Distrib by purpose'!L33,"*"))</f>
        <v>1.0875356103205128E-2</v>
      </c>
      <c r="M13" s="579" t="str">
        <f>IF('114. NEW Distrib by purpose'!M33&gt;0.0005=0,,IF('114. NEW Distrib by purpose'!M33&gt;0.0005,'114. NEW Distrib by purpose'!M33,"*"))</f>
        <v>*</v>
      </c>
      <c r="N13" s="579" t="str">
        <f>IF('114. NEW Distrib by purpose'!N33&gt;0.0005=0,,IF('114. NEW Distrib by purpose'!N33&gt;0.0005,'114. NEW Distrib by purpose'!N33,"*"))</f>
        <v>*</v>
      </c>
      <c r="O13" s="579" t="str">
        <f>IF('114. NEW Distrib by purpose'!O33&gt;0.0005=0,,IF('114. NEW Distrib by purpose'!O33&gt;0.0005,'114. NEW Distrib by purpose'!O33,"*"))</f>
        <v>*</v>
      </c>
      <c r="P13" s="579">
        <f>IF('114. NEW Distrib by purpose'!P33&gt;0.0005=0,,IF('114. NEW Distrib by purpose'!P33&gt;0.0005,'114. NEW Distrib by purpose'!P33,"*"))</f>
        <v>1.1807828814065285E-3</v>
      </c>
      <c r="Q13" s="579" t="str">
        <f>IF('114. NEW Distrib by purpose'!Q33&gt;0.0005=0,,IF('114. NEW Distrib by purpose'!Q33&gt;0.0005,'114. NEW Distrib by purpose'!Q33,"*"))</f>
        <v>*</v>
      </c>
      <c r="R13" s="579">
        <f>IF('114. NEW Distrib by purpose'!R33&gt;0.0005=0,,IF('114. NEW Distrib by purpose'!R33&gt;0.0005,'114. NEW Distrib by purpose'!R33,"*"))</f>
        <v>4.3496179729307499E-3</v>
      </c>
      <c r="S13" s="579" t="str">
        <f>IF('114. NEW Distrib by purpose'!S33&gt;0.0005=0,,IF('114. NEW Distrib by purpose'!S33&gt;0.0005,'114. NEW Distrib by purpose'!S33,"*"))</f>
        <v>*</v>
      </c>
      <c r="T13" s="579" t="str">
        <f>IF('114. NEW Distrib by purpose'!T33&gt;0.0005=0,,IF('114. NEW Distrib by purpose'!T33&gt;0.0005,'114. NEW Distrib by purpose'!T33,"*"))</f>
        <v>*</v>
      </c>
    </row>
    <row r="14" spans="1:20" ht="25.5" customHeight="1">
      <c r="A14" s="1398"/>
      <c r="B14" s="413" t="s">
        <v>251</v>
      </c>
      <c r="C14" s="211" t="s">
        <v>415</v>
      </c>
      <c r="D14" s="586" t="str">
        <f>IF('114. NEW Distrib by purpose'!D34&gt;0.0005=0,,IF('114. NEW Distrib by purpose'!D34&gt;0.0005,'114. NEW Distrib by purpose'!D34,"*"))</f>
        <v>*</v>
      </c>
      <c r="E14" s="449" t="str">
        <f>IF('114. NEW Distrib by purpose'!E34&gt;0.0005=0,,IF('114. NEW Distrib by purpose'!E34&gt;0.0005,'114. NEW Distrib by purpose'!E34,"*"))</f>
        <v>*</v>
      </c>
      <c r="F14" s="587">
        <f>IF('114. NEW Distrib by purpose'!F34&gt;0.0005=0,,IF('114. NEW Distrib by purpose'!F34&gt;0.0005,'114. NEW Distrib by purpose'!F34,"*"))</f>
        <v>1.6363263816166289E-3</v>
      </c>
      <c r="G14" s="587">
        <f>IF('114. NEW Distrib by purpose'!G34&gt;0.0005=0,,IF('114. NEW Distrib by purpose'!G34&gt;0.0005,'114. NEW Distrib by purpose'!G34,"*"))</f>
        <v>4.1539404860384275E-3</v>
      </c>
      <c r="H14" s="587" t="str">
        <f>IF('114. NEW Distrib by purpose'!H34&gt;0.0005=0,,IF('114. NEW Distrib by purpose'!H34&gt;0.0005,'114. NEW Distrib by purpose'!H34,"*"))</f>
        <v>*</v>
      </c>
      <c r="I14" s="587">
        <f>IF('114. NEW Distrib by purpose'!I34&gt;0.0005=0,,IF('114. NEW Distrib by purpose'!I34&gt;0.0005,'114. NEW Distrib by purpose'!I34,"*"))</f>
        <v>5.7527997115651615E-4</v>
      </c>
      <c r="J14" s="587">
        <f>IF('114. NEW Distrib by purpose'!J34&gt;0.0005=0,,IF('114. NEW Distrib by purpose'!J34&gt;0.0005,'114. NEW Distrib by purpose'!J34,"*"))</f>
        <v>1.4908075347105287E-3</v>
      </c>
      <c r="K14" s="587" t="str">
        <f>IF('114. NEW Distrib by purpose'!K34&gt;0.0005=0,,IF('114. NEW Distrib by purpose'!K34&gt;0.0005,'114. NEW Distrib by purpose'!K34,"*"))</f>
        <v>*</v>
      </c>
      <c r="L14" s="587" t="str">
        <f>IF('114. NEW Distrib by purpose'!L34&gt;0.0005=0,,IF('114. NEW Distrib by purpose'!L34&gt;0.0005,'114. NEW Distrib by purpose'!L34,"*"))</f>
        <v>*</v>
      </c>
      <c r="M14" s="587" t="str">
        <f>IF('114. NEW Distrib by purpose'!M34&gt;0.0005=0,,IF('114. NEW Distrib by purpose'!M34&gt;0.0005,'114. NEW Distrib by purpose'!M34,"*"))</f>
        <v>*</v>
      </c>
      <c r="N14" s="587" t="str">
        <f>IF('114. NEW Distrib by purpose'!N34&gt;0.0005=0,,IF('114. NEW Distrib by purpose'!N34&gt;0.0005,'114. NEW Distrib by purpose'!N34,"*"))</f>
        <v>*</v>
      </c>
      <c r="O14" s="587" t="str">
        <f>IF('114. NEW Distrib by purpose'!O34&gt;0.0005=0,,IF('114. NEW Distrib by purpose'!O34&gt;0.0005,'114. NEW Distrib by purpose'!O34,"*"))</f>
        <v>*</v>
      </c>
      <c r="P14" s="587">
        <f>IF('114. NEW Distrib by purpose'!P34&gt;0.0005=0,,IF('114. NEW Distrib by purpose'!P34&gt;0.0005,'114. NEW Distrib by purpose'!P34,"*"))</f>
        <v>8.4527798864373401E-4</v>
      </c>
      <c r="Q14" s="587">
        <f>IF('114. NEW Distrib by purpose'!Q34&gt;0.0005=0,,IF('114. NEW Distrib by purpose'!Q34&gt;0.0005,'114. NEW Distrib by purpose'!Q34,"*"))</f>
        <v>7.0401225637183647E-4</v>
      </c>
      <c r="R14" s="587" t="str">
        <f>IF('114. NEW Distrib by purpose'!R34&gt;0.0005=0,,IF('114. NEW Distrib by purpose'!R34&gt;0.0005,'114. NEW Distrib by purpose'!R34,"*"))</f>
        <v>*</v>
      </c>
      <c r="S14" s="587" t="str">
        <f>IF('114. NEW Distrib by purpose'!S34&gt;0.0005=0,,IF('114. NEW Distrib by purpose'!S34&gt;0.0005,'114. NEW Distrib by purpose'!S34,"*"))</f>
        <v>*</v>
      </c>
      <c r="T14" s="587">
        <f>IF('114. NEW Distrib by purpose'!T34&gt;0.0005=0,,IF('114. NEW Distrib by purpose'!T34&gt;0.0005,'114. NEW Distrib by purpose'!T34,"*"))</f>
        <v>7.1484991789689536E-4</v>
      </c>
    </row>
    <row r="15" spans="1:20" ht="48.75" customHeight="1">
      <c r="A15" s="1398"/>
      <c r="B15" s="413" t="s">
        <v>387</v>
      </c>
      <c r="C15" s="211" t="s">
        <v>419</v>
      </c>
      <c r="D15" s="577">
        <f>IF('114. NEW Distrib by purpose'!D38&gt;0.0005=0,,IF('114. NEW Distrib by purpose'!D38&gt;0.0005,'114. NEW Distrib by purpose'!D38,"*"))</f>
        <v>6.3934067023353316E-2</v>
      </c>
      <c r="E15" s="578">
        <f>IF('114. NEW Distrib by purpose'!E38&gt;0.0005=0,,IF('114. NEW Distrib by purpose'!E38&gt;0.0005,'114. NEW Distrib by purpose'!E38,"*"))</f>
        <v>1.5656022348402479E-2</v>
      </c>
      <c r="F15" s="579">
        <f>IF('114. NEW Distrib by purpose'!F38&gt;0.0005=0,,IF('114. NEW Distrib by purpose'!F38&gt;0.0005,'114. NEW Distrib by purpose'!F38,"*"))</f>
        <v>9.5704269158088245E-2</v>
      </c>
      <c r="G15" s="579">
        <f>IF('114. NEW Distrib by purpose'!G38&gt;0.0005=0,,IF('114. NEW Distrib by purpose'!G38&gt;0.0005,'114. NEW Distrib by purpose'!G38,"*"))</f>
        <v>5.0923919955083892E-3</v>
      </c>
      <c r="H15" s="579">
        <f>IF('114. NEW Distrib by purpose'!H38&gt;0.0005=0,,IF('114. NEW Distrib by purpose'!H38&gt;0.0005,'114. NEW Distrib by purpose'!H38,"*"))</f>
        <v>9.0447967506059171E-2</v>
      </c>
      <c r="I15" s="579">
        <f>IF('114. NEW Distrib by purpose'!I38&gt;0.0005=0,,IF('114. NEW Distrib by purpose'!I38&gt;0.0005,'114. NEW Distrib by purpose'!I38,"*"))</f>
        <v>0.11999713672211301</v>
      </c>
      <c r="J15" s="579">
        <f>IF('114. NEW Distrib by purpose'!J38&gt;0.0005=0,,IF('114. NEW Distrib by purpose'!J38&gt;0.0005,'114. NEW Distrib by purpose'!J38,"*"))</f>
        <v>7.5697756490538171E-2</v>
      </c>
      <c r="K15" s="579">
        <f>IF('114. NEW Distrib by purpose'!K38&gt;0.0005=0,,IF('114. NEW Distrib by purpose'!K38&gt;0.0005,'114. NEW Distrib by purpose'!K38,"*"))</f>
        <v>8.9839850167595756E-2</v>
      </c>
      <c r="L15" s="579">
        <f>IF('114. NEW Distrib by purpose'!L38&gt;0.0005=0,,IF('114. NEW Distrib by purpose'!L38&gt;0.0005,'114. NEW Distrib by purpose'!L38,"*"))</f>
        <v>2.5430132974410848E-2</v>
      </c>
      <c r="M15" s="579">
        <f>IF('114. NEW Distrib by purpose'!M38&gt;0.0005=0,,IF('114. NEW Distrib by purpose'!M38&gt;0.0005,'114. NEW Distrib by purpose'!M38,"*"))</f>
        <v>1.6208470775257056E-2</v>
      </c>
      <c r="N15" s="579">
        <f>IF('114. NEW Distrib by purpose'!N38&gt;0.0005=0,,IF('114. NEW Distrib by purpose'!N38&gt;0.0005,'114. NEW Distrib by purpose'!N38,"*"))</f>
        <v>5.3560655427154193E-2</v>
      </c>
      <c r="O15" s="579">
        <f>IF('114. NEW Distrib by purpose'!O38&gt;0.0005=0,,IF('114. NEW Distrib by purpose'!O38&gt;0.0005,'114. NEW Distrib by purpose'!O38,"*"))</f>
        <v>4.1489274594441419E-2</v>
      </c>
      <c r="P15" s="579">
        <f>IF('114. NEW Distrib by purpose'!P38&gt;0.0005=0,,IF('114. NEW Distrib by purpose'!P38&gt;0.0005,'114. NEW Distrib by purpose'!P38,"*"))</f>
        <v>0.12813887119770007</v>
      </c>
      <c r="Q15" s="579">
        <f>IF('114. NEW Distrib by purpose'!Q38&gt;0.0005=0,,IF('114. NEW Distrib by purpose'!Q38&gt;0.0005,'114. NEW Distrib by purpose'!Q38,"*"))</f>
        <v>0.12497464442332566</v>
      </c>
      <c r="R15" s="579">
        <f>IF('114. NEW Distrib by purpose'!R38&gt;0.0005=0,,IF('114. NEW Distrib by purpose'!R38&gt;0.0005,'114. NEW Distrib by purpose'!R38,"*"))</f>
        <v>3.766054804367687E-2</v>
      </c>
      <c r="S15" s="579">
        <f>IF('114. NEW Distrib by purpose'!S38&gt;0.0005=0,,IF('114. NEW Distrib by purpose'!S38&gt;0.0005,'114. NEW Distrib by purpose'!S38,"*"))</f>
        <v>5.2188169569291051E-2</v>
      </c>
      <c r="T15" s="579">
        <f>IF('114. NEW Distrib by purpose'!T38&gt;0.0005=0,,IF('114. NEW Distrib by purpose'!T38&gt;0.0005,'114. NEW Distrib by purpose'!T38,"*"))</f>
        <v>8.2053540902321018E-2</v>
      </c>
    </row>
    <row r="16" spans="1:20" ht="36" customHeight="1">
      <c r="A16" s="1400"/>
      <c r="B16" s="410" t="s">
        <v>266</v>
      </c>
      <c r="C16" s="211" t="s">
        <v>408</v>
      </c>
      <c r="D16" s="577">
        <f>IF('114. NEW Distrib by purpose'!D54&gt;0.0005=0,,IF('114. NEW Distrib by purpose'!D54&gt;0.0005,'114. NEW Distrib by purpose'!D54,"*"))</f>
        <v>6.0958845927167792E-2</v>
      </c>
      <c r="E16" s="578">
        <f>IF('114. NEW Distrib by purpose'!E54&gt;0.0005=0,,IF('114. NEW Distrib by purpose'!E54&gt;0.0005,'114. NEW Distrib by purpose'!E54,"*"))</f>
        <v>0.14255227844085136</v>
      </c>
      <c r="F16" s="579" t="str">
        <f>IF('114. NEW Distrib by purpose'!F54&gt;0.0005=0,,IF('114. NEW Distrib by purpose'!F54&gt;0.0005,'114. NEW Distrib by purpose'!F54,"*"))</f>
        <v>*</v>
      </c>
      <c r="G16" s="579" t="str">
        <f>IF('114. NEW Distrib by purpose'!G54&gt;0.0005=0,,IF('114. NEW Distrib by purpose'!G54&gt;0.0005,'114. NEW Distrib by purpose'!G54,"*"))</f>
        <v>*</v>
      </c>
      <c r="H16" s="579">
        <f>IF('114. NEW Distrib by purpose'!H54&gt;0.0005=0,,IF('114. NEW Distrib by purpose'!H54&gt;0.0005,'114. NEW Distrib by purpose'!H54,"*"))</f>
        <v>5.6363729716725264E-2</v>
      </c>
      <c r="I16" s="579">
        <f>IF('114. NEW Distrib by purpose'!I54&gt;0.0005=0,,IF('114. NEW Distrib by purpose'!I54&gt;0.0005,'114. NEW Distrib by purpose'!I54,"*"))</f>
        <v>4.4346119007482865E-3</v>
      </c>
      <c r="J16" s="579">
        <f>IF('114. NEW Distrib by purpose'!J54&gt;0.0005=0,,IF('114. NEW Distrib by purpose'!J54&gt;0.0005,'114. NEW Distrib by purpose'!J54,"*"))</f>
        <v>6.0741857373129371E-2</v>
      </c>
      <c r="K16" s="579">
        <f>IF('114. NEW Distrib by purpose'!K54&gt;0.0005=0,,IF('114. NEW Distrib by purpose'!K54&gt;0.0005,'114. NEW Distrib by purpose'!K54,"*"))</f>
        <v>1.4323280782893041E-2</v>
      </c>
      <c r="L16" s="579" t="str">
        <f>IF('114. NEW Distrib by purpose'!L54&gt;0.0005=0,,IF('114. NEW Distrib by purpose'!L54&gt;0.0005,'114. NEW Distrib by purpose'!L54,"*"))</f>
        <v>*</v>
      </c>
      <c r="M16" s="579">
        <f>IF('114. NEW Distrib by purpose'!M54&gt;0.0005=0,,IF('114. NEW Distrib by purpose'!M54&gt;0.0005,'114. NEW Distrib by purpose'!M54,"*"))</f>
        <v>1.4135313706997882E-2</v>
      </c>
      <c r="N16" s="579">
        <f>IF('114. NEW Distrib by purpose'!N54&gt;0.0005=0,,IF('114. NEW Distrib by purpose'!N54&gt;0.0005,'114. NEW Distrib by purpose'!N54,"*"))</f>
        <v>6.8312842868501714E-2</v>
      </c>
      <c r="O16" s="579">
        <f>IF('114. NEW Distrib by purpose'!O54&gt;0.0005=0,,IF('114. NEW Distrib by purpose'!O54&gt;0.0005,'114. NEW Distrib by purpose'!O54,"*"))</f>
        <v>9.297151902554425E-2</v>
      </c>
      <c r="P16" s="579">
        <f>IF('114. NEW Distrib by purpose'!P54&gt;0.0005=0,,IF('114. NEW Distrib by purpose'!P54&gt;0.0005,'114. NEW Distrib by purpose'!P54,"*"))</f>
        <v>1.1327105732227002E-2</v>
      </c>
      <c r="Q16" s="579">
        <f>IF('114. NEW Distrib by purpose'!Q54&gt;0.0005=0,,IF('114. NEW Distrib by purpose'!Q54&gt;0.0005,'114. NEW Distrib by purpose'!Q54,"*"))</f>
        <v>1.4985805032266139E-2</v>
      </c>
      <c r="R16" s="579">
        <f>IF('114. NEW Distrib by purpose'!R54&gt;0.0005=0,,IF('114. NEW Distrib by purpose'!R54&gt;0.0005,'114. NEW Distrib by purpose'!R54,"*"))</f>
        <v>0.11833473640837378</v>
      </c>
      <c r="S16" s="579">
        <f>IF('114. NEW Distrib by purpose'!S54&gt;0.0005=0,,IF('114. NEW Distrib by purpose'!S54&gt;0.0005,'114. NEW Distrib by purpose'!S54,"*"))</f>
        <v>3.5859166771838431E-2</v>
      </c>
      <c r="T16" s="579">
        <f>IF('114. NEW Distrib by purpose'!T54&gt;0.0005=0,,IF('114. NEW Distrib by purpose'!T54&gt;0.0005,'114. NEW Distrib by purpose'!T54,"*"))</f>
        <v>0.12756120562822504</v>
      </c>
    </row>
    <row r="17" spans="1:20" ht="37.5" customHeight="1">
      <c r="A17" s="1400"/>
      <c r="B17" s="410" t="s">
        <v>432</v>
      </c>
      <c r="C17" s="211" t="s">
        <v>429</v>
      </c>
      <c r="D17" s="577">
        <f>IF('114. NEW Distrib by purpose'!D55&gt;0.0005=0,,IF('114. NEW Distrib by purpose'!D55&gt;0.0005,'114. NEW Distrib by purpose'!D55,"*"))</f>
        <v>2.5073245379949129E-2</v>
      </c>
      <c r="E17" s="578" t="str">
        <f>IF('114. NEW Distrib by purpose'!E55&gt;0.0005=0,,IF('114. NEW Distrib by purpose'!E55&gt;0.0005,'114. NEW Distrib by purpose'!E55,"*"))</f>
        <v>*</v>
      </c>
      <c r="F17" s="579">
        <f>IF('114. NEW Distrib by purpose'!F55&gt;0.0005=0,,IF('114. NEW Distrib by purpose'!F55&gt;0.0005,'114. NEW Distrib by purpose'!F55,"*"))</f>
        <v>6.9682095890995208E-2</v>
      </c>
      <c r="G17" s="579" t="str">
        <f>IF('114. NEW Distrib by purpose'!G55&gt;0.0005=0,,IF('114. NEW Distrib by purpose'!G55&gt;0.0005,'114. NEW Distrib by purpose'!G55,"*"))</f>
        <v>*</v>
      </c>
      <c r="H17" s="579" t="str">
        <f>IF('114. NEW Distrib by purpose'!H55&gt;0.0005=0,,IF('114. NEW Distrib by purpose'!H55&gt;0.0005,'114. NEW Distrib by purpose'!H55,"*"))</f>
        <v>*</v>
      </c>
      <c r="I17" s="579">
        <f>IF('114. NEW Distrib by purpose'!I55&gt;0.0005=0,,IF('114. NEW Distrib by purpose'!I55&gt;0.0005,'114. NEW Distrib by purpose'!I55,"*"))</f>
        <v>4.6693953660759104E-2</v>
      </c>
      <c r="J17" s="579" t="str">
        <f>IF('114. NEW Distrib by purpose'!J55&gt;0.0005=0,,IF('114. NEW Distrib by purpose'!J55&gt;0.0005,'114. NEW Distrib by purpose'!J55,"*"))</f>
        <v>*</v>
      </c>
      <c r="K17" s="579">
        <f>IF('114. NEW Distrib by purpose'!K55&gt;0.0005=0,,IF('114. NEW Distrib by purpose'!K55&gt;0.0005,'114. NEW Distrib by purpose'!K55,"*"))</f>
        <v>9.8606609985530266E-2</v>
      </c>
      <c r="L17" s="579">
        <f>IF('114. NEW Distrib by purpose'!L55&gt;0.0005=0,,IF('114. NEW Distrib by purpose'!L55&gt;0.0005,'114. NEW Distrib by purpose'!L55,"*"))</f>
        <v>7.9946673538570101E-2</v>
      </c>
      <c r="M17" s="579">
        <f>IF('114. NEW Distrib by purpose'!M55&gt;0.0005=0,,IF('114. NEW Distrib by purpose'!M55&gt;0.0005,'114. NEW Distrib by purpose'!M55,"*"))</f>
        <v>0.14186929043115884</v>
      </c>
      <c r="N17" s="579" t="str">
        <f>IF('114. NEW Distrib by purpose'!N55&gt;0.0005=0,,IF('114. NEW Distrib by purpose'!N55&gt;0.0005,'114. NEW Distrib by purpose'!N55,"*"))</f>
        <v>*</v>
      </c>
      <c r="O17" s="579" t="str">
        <f>IF('114. NEW Distrib by purpose'!O55&gt;0.0005=0,,IF('114. NEW Distrib by purpose'!O55&gt;0.0005,'114. NEW Distrib by purpose'!O55,"*"))</f>
        <v>*</v>
      </c>
      <c r="P17" s="579">
        <f>IF('114. NEW Distrib by purpose'!P55&gt;0.0005=0,,IF('114. NEW Distrib by purpose'!P55&gt;0.0005,'114. NEW Distrib by purpose'!P55,"*"))</f>
        <v>4.9111647445436848E-2</v>
      </c>
      <c r="Q17" s="579">
        <f>IF('114. NEW Distrib by purpose'!Q55&gt;0.0005=0,,IF('114. NEW Distrib by purpose'!Q55&gt;0.0005,'114. NEW Distrib by purpose'!Q55,"*"))</f>
        <v>7.6183443225312258E-2</v>
      </c>
      <c r="R17" s="579" t="str">
        <f>IF('114. NEW Distrib by purpose'!R55&gt;0.0005=0,,IF('114. NEW Distrib by purpose'!R55&gt;0.0005,'114. NEW Distrib by purpose'!R55,"*"))</f>
        <v>*</v>
      </c>
      <c r="S17" s="579" t="str">
        <f>IF('114. NEW Distrib by purpose'!S55&gt;0.0005=0,,IF('114. NEW Distrib by purpose'!S55&gt;0.0005,'114. NEW Distrib by purpose'!S55,"*"))</f>
        <v>*</v>
      </c>
      <c r="T17" s="579">
        <f>IF('114. NEW Distrib by purpose'!T55&gt;0.0005=0,,IF('114. NEW Distrib by purpose'!T55&gt;0.0005,'114. NEW Distrib by purpose'!T55,"*"))</f>
        <v>3.630881050823475E-2</v>
      </c>
    </row>
    <row r="18" spans="1:20" ht="45.75" customHeight="1">
      <c r="A18" s="1399"/>
      <c r="B18" s="414" t="s">
        <v>433</v>
      </c>
      <c r="C18" s="422" t="s">
        <v>430</v>
      </c>
      <c r="D18" s="588">
        <f>IF('114. NEW Distrib by purpose'!D56&gt;0.0005=0,,IF('114. NEW Distrib by purpose'!D56&gt;0.0005,'114. NEW Distrib by purpose'!D56,"*"))</f>
        <v>8.2016555128840412E-3</v>
      </c>
      <c r="E18" s="589">
        <f>IF('114. NEW Distrib by purpose'!E56&gt;0.0005=0,,IF('114. NEW Distrib by purpose'!E56&gt;0.0005,'114. NEW Distrib by purpose'!E56,"*"))</f>
        <v>3.4920996228055222E-3</v>
      </c>
      <c r="F18" s="590" t="str">
        <f>IF('114. NEW Distrib by purpose'!F56&gt;0.0005=0,,IF('114. NEW Distrib by purpose'!F56&gt;0.0005,'114. NEW Distrib by purpose'!F56,"*"))</f>
        <v>*</v>
      </c>
      <c r="G18" s="590" t="str">
        <f>IF('114. NEW Distrib by purpose'!G56&gt;0.0005=0,,IF('114. NEW Distrib by purpose'!G56&gt;0.0005,'114. NEW Distrib by purpose'!G56,"*"))</f>
        <v>*</v>
      </c>
      <c r="H18" s="590" t="str">
        <f>IF('114. NEW Distrib by purpose'!H56&gt;0.0005=0,,IF('114. NEW Distrib by purpose'!H56&gt;0.0005,'114. NEW Distrib by purpose'!H56,"*"))</f>
        <v>*</v>
      </c>
      <c r="I18" s="590">
        <f>IF('114. NEW Distrib by purpose'!I56&gt;0.0005=0,,IF('114. NEW Distrib by purpose'!I56&gt;0.0005,'114. NEW Distrib by purpose'!I56,"*"))</f>
        <v>2.2026817082638647E-2</v>
      </c>
      <c r="J18" s="590" t="str">
        <f>IF('114. NEW Distrib by purpose'!J56&gt;0.0005=0,,IF('114. NEW Distrib by purpose'!J56&gt;0.0005,'114. NEW Distrib by purpose'!J56,"*"))</f>
        <v>*</v>
      </c>
      <c r="K18" s="590" t="str">
        <f>IF('114. NEW Distrib by purpose'!K56&gt;0.0005=0,,IF('114. NEW Distrib by purpose'!K56&gt;0.0005,'114. NEW Distrib by purpose'!K56,"*"))</f>
        <v>*</v>
      </c>
      <c r="L18" s="590">
        <f>IF('114. NEW Distrib by purpose'!L56&gt;0.0005=0,,IF('114. NEW Distrib by purpose'!L56&gt;0.0005,'114. NEW Distrib by purpose'!L56,"*"))</f>
        <v>7.6282876458976287E-2</v>
      </c>
      <c r="M18" s="590" t="str">
        <f>IF('114. NEW Distrib by purpose'!M56&gt;0.0005=0,,IF('114. NEW Distrib by purpose'!M56&gt;0.0005,'114. NEW Distrib by purpose'!M56,"*"))</f>
        <v>*</v>
      </c>
      <c r="N18" s="590">
        <f>IF('114. NEW Distrib by purpose'!N56&gt;0.0005=0,,IF('114. NEW Distrib by purpose'!N56&gt;0.0005,'114. NEW Distrib by purpose'!N56,"*"))</f>
        <v>6.8954331172428511E-3</v>
      </c>
      <c r="O18" s="590" t="str">
        <f>IF('114. NEW Distrib by purpose'!O56&gt;0.0005=0,,IF('114. NEW Distrib by purpose'!O56&gt;0.0005,'114. NEW Distrib by purpose'!O56,"*"))</f>
        <v>*</v>
      </c>
      <c r="P18" s="590" t="str">
        <f>IF('114. NEW Distrib by purpose'!P56&gt;0.0005=0,,IF('114. NEW Distrib by purpose'!P56&gt;0.0005,'114. NEW Distrib by purpose'!P56,"*"))</f>
        <v>*</v>
      </c>
      <c r="Q18" s="590">
        <f>IF('114. NEW Distrib by purpose'!Q56&gt;0.0005=0,,IF('114. NEW Distrib by purpose'!Q56&gt;0.0005,'114. NEW Distrib by purpose'!Q56,"*"))</f>
        <v>3.8208948019036581E-3</v>
      </c>
      <c r="R18" s="590" t="str">
        <f>IF('114. NEW Distrib by purpose'!R56&gt;0.0005=0,,IF('114. NEW Distrib by purpose'!R56&gt;0.0005,'114. NEW Distrib by purpose'!R56,"*"))</f>
        <v>*</v>
      </c>
      <c r="S18" s="590">
        <f>IF('114. NEW Distrib by purpose'!S56&gt;0.0005=0,,IF('114. NEW Distrib by purpose'!S56&gt;0.0005,'114. NEW Distrib by purpose'!S56,"*"))</f>
        <v>8.6024848035900804E-3</v>
      </c>
      <c r="T18" s="590" t="str">
        <f>IF('114. NEW Distrib by purpose'!T56&gt;0.0005=0,,IF('114. NEW Distrib by purpose'!T56&gt;0.0005,'114. NEW Distrib by purpose'!T56,"*"))</f>
        <v>*</v>
      </c>
    </row>
    <row r="19" spans="1:20" s="122" customFormat="1" ht="16.5" customHeight="1">
      <c r="A19" s="73"/>
      <c r="B19" s="325" t="s">
        <v>3</v>
      </c>
      <c r="C19" s="326"/>
      <c r="D19" s="327">
        <f>SUM(D9:D10:D18)</f>
        <v>0.99845586662082453</v>
      </c>
      <c r="E19" s="327">
        <f>SUM(E9:E10:E18)</f>
        <v>0.99960396892614345</v>
      </c>
      <c r="F19" s="327">
        <f>SUM(F9:F10:F18)</f>
        <v>0.99898051584349079</v>
      </c>
      <c r="G19" s="327">
        <f>SUM(G9:G10:G18)</f>
        <v>0.99937339047854212</v>
      </c>
      <c r="H19" s="327">
        <f>SUM(H9:H10:H18)</f>
        <v>0.99888628192689644</v>
      </c>
      <c r="I19" s="327">
        <f>SUM(I9:I10:I18)</f>
        <v>0.99906698456968013</v>
      </c>
      <c r="J19" s="327">
        <f>SUM(J9:J10:J18)</f>
        <v>0.99930225027457831</v>
      </c>
      <c r="K19" s="327">
        <f>SUM(K9:K10:K18)</f>
        <v>0.9994395336358175</v>
      </c>
      <c r="L19" s="327">
        <f>SUM(L9:L10:L18)</f>
        <v>0.99986308905726962</v>
      </c>
      <c r="M19" s="327">
        <f>SUM(M9:M10:M18)</f>
        <v>0.99810460187623007</v>
      </c>
      <c r="N19" s="327">
        <f>SUM(N9:N10:N18)</f>
        <v>0.99967810587844741</v>
      </c>
      <c r="O19" s="327">
        <f>SUM(O9:O10:O18)</f>
        <v>0.99994931052061642</v>
      </c>
      <c r="P19" s="327">
        <f>SUM(P9:P10:P18)</f>
        <v>0.999524011463922</v>
      </c>
      <c r="Q19" s="327">
        <f>SUM(Q9:Q10:Q18)</f>
        <v>0.99944883389584671</v>
      </c>
      <c r="R19" s="327">
        <f>SUM(R9:R10:R18)</f>
        <v>0.99985854068552182</v>
      </c>
      <c r="S19" s="327">
        <f>SUM(S9:S10:S18)</f>
        <v>0.99887457954185688</v>
      </c>
      <c r="T19" s="415">
        <f>SUM(T9:T10:T18)</f>
        <v>0.99952790158932592</v>
      </c>
    </row>
    <row r="20" spans="1:20" ht="39.75" customHeight="1">
      <c r="A20" s="1394" t="s">
        <v>475</v>
      </c>
      <c r="B20" s="1395"/>
      <c r="C20" s="1395"/>
      <c r="D20" s="1395"/>
      <c r="E20" s="1395"/>
      <c r="F20" s="1395"/>
      <c r="G20" s="1395"/>
      <c r="H20" s="1395"/>
      <c r="I20" s="1395"/>
      <c r="J20" s="1395"/>
      <c r="K20" s="1395"/>
      <c r="L20" s="1395"/>
      <c r="M20" s="1395"/>
      <c r="N20" s="1395"/>
      <c r="O20" s="1395"/>
      <c r="P20" s="1395"/>
      <c r="Q20" s="1395"/>
      <c r="R20" s="1395"/>
      <c r="S20" s="1395"/>
      <c r="T20" s="1395"/>
    </row>
    <row r="21" spans="1:20" ht="14.25" customHeight="1">
      <c r="A21" s="70" t="s">
        <v>122</v>
      </c>
      <c r="B21" s="71"/>
      <c r="C21" s="71"/>
      <c r="D21" s="71"/>
      <c r="E21" s="71"/>
      <c r="F21" s="71"/>
      <c r="G21" s="71"/>
      <c r="H21" s="71"/>
      <c r="I21" s="71"/>
      <c r="J21" s="71"/>
      <c r="K21" s="185"/>
      <c r="L21" s="185"/>
      <c r="M21" s="186"/>
      <c r="N21" s="71"/>
      <c r="O21" s="71"/>
      <c r="P21" s="71"/>
      <c r="Q21" s="71"/>
      <c r="R21" s="71"/>
      <c r="S21" s="71"/>
      <c r="T21" s="72"/>
    </row>
    <row r="22" spans="1:20" ht="15" customHeight="1">
      <c r="A22" s="70" t="s">
        <v>331</v>
      </c>
      <c r="B22" s="71"/>
      <c r="C22" s="71"/>
      <c r="D22" s="71"/>
      <c r="E22" s="71"/>
      <c r="F22" s="71"/>
      <c r="G22" s="71"/>
      <c r="H22" s="71"/>
      <c r="I22" s="71"/>
      <c r="J22" s="71"/>
      <c r="K22" s="185"/>
      <c r="L22" s="185"/>
      <c r="M22" s="186"/>
      <c r="N22" s="71"/>
      <c r="O22" s="71"/>
      <c r="P22" s="71"/>
      <c r="Q22" s="71"/>
      <c r="R22" s="71"/>
      <c r="S22" s="71"/>
      <c r="T22" s="72"/>
    </row>
    <row r="23" spans="1:20" ht="12" customHeight="1">
      <c r="A23" s="72" t="s">
        <v>0</v>
      </c>
      <c r="B23" s="71"/>
      <c r="C23" s="71"/>
      <c r="D23" s="71"/>
      <c r="E23" s="71"/>
      <c r="F23" s="71"/>
      <c r="G23" s="71"/>
      <c r="H23" s="71"/>
      <c r="I23" s="71"/>
      <c r="J23" s="71"/>
      <c r="K23" s="185"/>
      <c r="L23" s="185"/>
      <c r="M23" s="186"/>
      <c r="N23" s="71"/>
      <c r="O23" s="71"/>
      <c r="P23" s="71"/>
      <c r="Q23" s="71"/>
      <c r="R23" s="71"/>
      <c r="S23" s="71"/>
      <c r="T23" s="72"/>
    </row>
    <row r="24" spans="1:20">
      <c r="T24" s="591" t="s">
        <v>2018</v>
      </c>
    </row>
    <row r="26" spans="1:20">
      <c r="H26" s="223"/>
    </row>
  </sheetData>
  <mergeCells count="5">
    <mergeCell ref="A20:T20"/>
    <mergeCell ref="A3:T3"/>
    <mergeCell ref="A4:T4"/>
    <mergeCell ref="A7:A11"/>
    <mergeCell ref="A12:A18"/>
  </mergeCells>
  <phoneticPr fontId="6" type="noConversion"/>
  <pageMargins left="0.55000000000000004" right="0.3" top="0.75" bottom="0.5" header="0.75" footer="0.5"/>
  <pageSetup scale="86" firstPageNumber="122" orientation="landscape" useFirstPageNumber="1" r:id="rId1"/>
  <headerFooter alignWithMargins="0">
    <oddHeader>&amp;R&amp;"Arial,Regular"&amp;8SREB-State Data Exchange</oddHeader>
    <oddFooter>&amp;C&amp;"Arial,Regular"&amp;P</oddFooter>
  </headerFooter>
</worksheet>
</file>

<file path=xl/worksheets/sheet10.xml><?xml version="1.0" encoding="utf-8"?>
<worksheet xmlns="http://schemas.openxmlformats.org/spreadsheetml/2006/main" xmlns:r="http://schemas.openxmlformats.org/officeDocument/2006/relationships">
  <sheetPr enableFormatConditionsCalculation="0">
    <tabColor indexed="17"/>
  </sheetPr>
  <dimension ref="A1:AB707"/>
  <sheetViews>
    <sheetView showGridLines="0" zoomScale="80" zoomScaleNormal="80" workbookViewId="0">
      <pane xSplit="2" ySplit="5" topLeftCell="E129" activePane="bottomRight" state="frozen"/>
      <selection pane="topRight" activeCell="C1" sqref="C1"/>
      <selection pane="bottomLeft" activeCell="A6" sqref="A6"/>
      <selection pane="bottomRight" activeCell="J132" sqref="J132"/>
    </sheetView>
  </sheetViews>
  <sheetFormatPr defaultColWidth="12.75" defaultRowHeight="12.75"/>
  <cols>
    <col min="1" max="1" width="5.375" style="644" customWidth="1"/>
    <col min="2" max="2" width="30.75" style="644" customWidth="1"/>
    <col min="3" max="3" width="12.75" style="645" customWidth="1"/>
    <col min="4" max="8" width="12.75" style="644" customWidth="1"/>
    <col min="9" max="9" width="12.75" style="644"/>
    <col min="10" max="14" width="12.75" style="644" customWidth="1"/>
    <col min="15" max="15" width="12.75" style="644"/>
    <col min="16" max="18" width="12.75" style="644" customWidth="1"/>
    <col min="19" max="21" width="12.75" style="644"/>
    <col min="22" max="22" width="12.75" style="646"/>
    <col min="23" max="23" width="12.75" style="644"/>
    <col min="24" max="24" width="12.75" style="646"/>
    <col min="25" max="25" width="12.75" style="644"/>
    <col min="26" max="28" width="12.75" style="646"/>
    <col min="29" max="16384" width="12.75" style="644"/>
  </cols>
  <sheetData>
    <row r="1" spans="1:28">
      <c r="A1" s="465"/>
      <c r="B1" s="394"/>
      <c r="C1" s="644"/>
      <c r="D1" s="1145"/>
      <c r="V1" s="644"/>
      <c r="X1" s="644"/>
      <c r="Z1" s="644"/>
      <c r="AA1" s="644"/>
      <c r="AB1" s="644"/>
    </row>
    <row r="2" spans="1:28">
      <c r="C2" s="644"/>
      <c r="V2" s="644"/>
      <c r="X2" s="644"/>
      <c r="Z2" s="644"/>
      <c r="AA2" s="644"/>
      <c r="AB2" s="644"/>
    </row>
    <row r="3" spans="1:28" s="217" customFormat="1">
      <c r="A3" s="1328"/>
      <c r="B3" s="1329"/>
      <c r="C3" s="1206" t="s">
        <v>247</v>
      </c>
      <c r="D3" s="1201" t="s">
        <v>185</v>
      </c>
      <c r="E3" s="1201"/>
      <c r="F3" s="1201"/>
      <c r="G3" s="1201"/>
      <c r="H3" s="1201"/>
      <c r="I3" s="1360"/>
      <c r="J3" s="1201"/>
      <c r="K3" s="1201"/>
      <c r="L3" s="1201"/>
      <c r="M3" s="1201"/>
      <c r="N3" s="1201"/>
      <c r="O3" s="1360"/>
      <c r="P3" s="1201"/>
      <c r="Q3" s="1201"/>
      <c r="R3" s="1201"/>
      <c r="S3" s="1201"/>
      <c r="T3" s="1201"/>
      <c r="U3" s="1201"/>
      <c r="V3" s="1319"/>
      <c r="W3" s="1201"/>
      <c r="X3" s="1320"/>
      <c r="Y3"/>
      <c r="Z3"/>
      <c r="AA3"/>
      <c r="AB3"/>
    </row>
    <row r="4" spans="1:28" s="217" customFormat="1">
      <c r="A4" s="1324"/>
      <c r="B4" s="1330"/>
      <c r="C4" s="1206" t="s">
        <v>248</v>
      </c>
      <c r="D4" s="1201"/>
      <c r="E4" s="1201"/>
      <c r="F4" s="1201"/>
      <c r="G4" s="1201"/>
      <c r="H4" s="1201"/>
      <c r="I4" s="1361" t="s">
        <v>140</v>
      </c>
      <c r="J4" s="1321" t="s">
        <v>249</v>
      </c>
      <c r="K4" s="1201"/>
      <c r="L4" s="1201"/>
      <c r="M4" s="1201"/>
      <c r="N4" s="1201"/>
      <c r="O4" s="1361" t="s">
        <v>262</v>
      </c>
      <c r="P4" s="1204" t="s">
        <v>230</v>
      </c>
      <c r="Q4" s="1216"/>
      <c r="R4" s="1216"/>
      <c r="S4" s="1204" t="s">
        <v>263</v>
      </c>
      <c r="T4" s="1206" t="s">
        <v>240</v>
      </c>
      <c r="U4" s="1206" t="s">
        <v>265</v>
      </c>
      <c r="V4" s="1321" t="s">
        <v>423</v>
      </c>
      <c r="W4" s="1206" t="s">
        <v>264</v>
      </c>
      <c r="X4" s="1321" t="s">
        <v>467</v>
      </c>
      <c r="Y4"/>
      <c r="Z4"/>
      <c r="AA4"/>
      <c r="AB4"/>
    </row>
    <row r="5" spans="1:28" s="217" customFormat="1">
      <c r="A5" s="1322" t="s">
        <v>182</v>
      </c>
      <c r="B5" s="1322" t="s">
        <v>177</v>
      </c>
      <c r="C5" s="1324">
        <v>1</v>
      </c>
      <c r="D5" s="1325">
        <v>2</v>
      </c>
      <c r="E5" s="1325">
        <v>3</v>
      </c>
      <c r="F5" s="1325">
        <v>4</v>
      </c>
      <c r="G5" s="1325">
        <v>5</v>
      </c>
      <c r="H5" s="1326">
        <v>6</v>
      </c>
      <c r="I5" s="1362"/>
      <c r="J5" s="1324">
        <v>7</v>
      </c>
      <c r="K5" s="1325">
        <v>8</v>
      </c>
      <c r="L5" s="1325">
        <v>9</v>
      </c>
      <c r="M5" s="1214">
        <v>10</v>
      </c>
      <c r="N5" s="1327">
        <v>11</v>
      </c>
      <c r="O5" s="1362"/>
      <c r="P5" s="1204">
        <v>12</v>
      </c>
      <c r="Q5" s="1202">
        <v>13</v>
      </c>
      <c r="R5" s="1202">
        <v>14</v>
      </c>
      <c r="S5" s="1223"/>
      <c r="T5" s="1322">
        <v>15</v>
      </c>
      <c r="U5" s="1323"/>
      <c r="V5" s="1322" t="s">
        <v>241</v>
      </c>
      <c r="W5" s="1323"/>
      <c r="X5" s="1323"/>
      <c r="Y5"/>
      <c r="Z5"/>
      <c r="AA5"/>
      <c r="AB5"/>
    </row>
    <row r="6" spans="1:28">
      <c r="A6" s="1206" t="s">
        <v>202</v>
      </c>
      <c r="B6" s="1204" t="s">
        <v>253</v>
      </c>
      <c r="C6" s="1263">
        <v>307608648</v>
      </c>
      <c r="D6" s="1263">
        <v>43072625</v>
      </c>
      <c r="E6" s="1263">
        <v>138861825</v>
      </c>
      <c r="F6" s="1263">
        <v>83773142</v>
      </c>
      <c r="G6" s="1263">
        <v>28885419</v>
      </c>
      <c r="H6" s="1263">
        <v>10901246</v>
      </c>
      <c r="I6" s="1349">
        <v>613102905</v>
      </c>
      <c r="J6" s="1263"/>
      <c r="K6" s="1263">
        <v>39411488</v>
      </c>
      <c r="L6" s="1263">
        <v>156659454</v>
      </c>
      <c r="M6" s="1263">
        <v>55167297</v>
      </c>
      <c r="N6" s="1263"/>
      <c r="O6" s="1349">
        <v>251238239</v>
      </c>
      <c r="P6" s="1263">
        <v>9673185</v>
      </c>
      <c r="Q6" s="1263">
        <v>14006711</v>
      </c>
      <c r="R6" s="1263"/>
      <c r="S6" s="1263">
        <v>23679896</v>
      </c>
      <c r="T6" s="1263"/>
      <c r="U6" s="1263"/>
      <c r="V6" s="1263"/>
      <c r="W6" s="1263"/>
      <c r="X6" s="1263">
        <v>888021040</v>
      </c>
      <c r="Y6"/>
      <c r="Z6"/>
      <c r="AA6"/>
      <c r="AB6"/>
    </row>
    <row r="7" spans="1:28" s="205" customFormat="1">
      <c r="A7" s="1207"/>
      <c r="B7" s="1205" t="s">
        <v>4</v>
      </c>
      <c r="C7" s="1269">
        <v>303620032</v>
      </c>
      <c r="D7" s="1269">
        <v>42614046</v>
      </c>
      <c r="E7" s="1269">
        <v>137323527</v>
      </c>
      <c r="F7" s="1269">
        <v>86377825</v>
      </c>
      <c r="G7" s="1269">
        <v>29414058</v>
      </c>
      <c r="H7" s="1269">
        <v>10807893</v>
      </c>
      <c r="I7" s="1350">
        <v>610157381</v>
      </c>
      <c r="J7" s="1269"/>
      <c r="K7" s="1269">
        <v>39369402</v>
      </c>
      <c r="L7" s="1269">
        <v>155725779</v>
      </c>
      <c r="M7" s="1269">
        <v>54805180</v>
      </c>
      <c r="N7" s="1269"/>
      <c r="O7" s="1350">
        <v>249900361</v>
      </c>
      <c r="P7" s="1269">
        <v>9590348</v>
      </c>
      <c r="Q7" s="1269">
        <v>13931993</v>
      </c>
      <c r="R7" s="1269"/>
      <c r="S7" s="1269">
        <v>23522341</v>
      </c>
      <c r="T7" s="1269"/>
      <c r="U7" s="1269"/>
      <c r="V7" s="1269"/>
      <c r="W7" s="1269"/>
      <c r="X7" s="1269">
        <v>883580083</v>
      </c>
      <c r="Y7"/>
      <c r="Z7"/>
      <c r="AA7"/>
      <c r="AB7"/>
    </row>
    <row r="8" spans="1:28" s="204" customFormat="1" ht="13.5" thickBot="1">
      <c r="A8" s="1208"/>
      <c r="B8" s="1332" t="s">
        <v>175</v>
      </c>
      <c r="C8" s="1331">
        <v>-1.2966527521033804</v>
      </c>
      <c r="D8" s="1331">
        <v>-1.064664621670957</v>
      </c>
      <c r="E8" s="1331">
        <v>-1.1077904240420289</v>
      </c>
      <c r="F8" s="1331">
        <v>3.1092101093689433</v>
      </c>
      <c r="G8" s="1331">
        <v>1.8301240497844258</v>
      </c>
      <c r="H8" s="1331">
        <v>-0.85635165007743141</v>
      </c>
      <c r="I8" s="1351">
        <v>-0.48042897464333501</v>
      </c>
      <c r="J8" s="1331">
        <v>0</v>
      </c>
      <c r="K8" s="1331">
        <v>-0.10678612286854026</v>
      </c>
      <c r="L8" s="1331">
        <v>-0.59599020433200289</v>
      </c>
      <c r="M8" s="1331">
        <v>-0.65639793807552327</v>
      </c>
      <c r="N8" s="1331">
        <v>0</v>
      </c>
      <c r="O8" s="1351">
        <v>-0.5325136831579208</v>
      </c>
      <c r="P8" s="1331">
        <v>-0.85635703235283933</v>
      </c>
      <c r="Q8" s="1331">
        <v>-0.53344428966943058</v>
      </c>
      <c r="R8" s="1331">
        <v>0</v>
      </c>
      <c r="S8" s="1331">
        <v>-0.66535342891708649</v>
      </c>
      <c r="T8" s="1331">
        <v>0</v>
      </c>
      <c r="U8" s="1331">
        <v>0</v>
      </c>
      <c r="V8" s="1331">
        <v>0</v>
      </c>
      <c r="W8" s="1331">
        <v>0</v>
      </c>
      <c r="X8" s="1331">
        <v>-0.50009592115069712</v>
      </c>
      <c r="Y8"/>
      <c r="Z8"/>
      <c r="AA8"/>
      <c r="AB8"/>
    </row>
    <row r="9" spans="1:28">
      <c r="A9" s="1207"/>
      <c r="B9" s="1205" t="s">
        <v>269</v>
      </c>
      <c r="C9" s="1262">
        <v>62347422</v>
      </c>
      <c r="D9" s="1300"/>
      <c r="E9" s="1302">
        <v>10018022</v>
      </c>
      <c r="F9" s="1307">
        <v>3261380</v>
      </c>
      <c r="G9" s="1307">
        <v>1506178</v>
      </c>
      <c r="H9" s="1302">
        <v>230460</v>
      </c>
      <c r="I9" s="1352">
        <v>77363462</v>
      </c>
      <c r="J9" s="1266"/>
      <c r="K9" s="1307">
        <v>1261187.79</v>
      </c>
      <c r="L9" s="1302">
        <v>8845605.1800000016</v>
      </c>
      <c r="M9" s="1300">
        <v>4439738.99</v>
      </c>
      <c r="N9" s="1313"/>
      <c r="O9" s="1352">
        <v>14546531.960000003</v>
      </c>
      <c r="P9" s="1264">
        <v>57247</v>
      </c>
      <c r="Q9" s="1265">
        <v>872275.51</v>
      </c>
      <c r="R9" s="1265"/>
      <c r="S9" s="1264">
        <v>929522.51</v>
      </c>
      <c r="T9" s="1262"/>
      <c r="U9" s="1313"/>
      <c r="V9" s="1266">
        <v>69992340.530000001</v>
      </c>
      <c r="W9" s="1316">
        <v>69992340.530000001</v>
      </c>
      <c r="X9" s="1269">
        <v>162831857</v>
      </c>
      <c r="Y9"/>
      <c r="Z9"/>
      <c r="AA9"/>
      <c r="AB9"/>
    </row>
    <row r="10" spans="1:28" s="205" customFormat="1">
      <c r="A10" s="1207"/>
      <c r="B10" s="1205" t="s">
        <v>342</v>
      </c>
      <c r="C10" s="1267">
        <v>63224058</v>
      </c>
      <c r="D10" s="1300">
        <v>89725</v>
      </c>
      <c r="E10" s="1303">
        <v>10914825</v>
      </c>
      <c r="F10" s="1300">
        <v>3500224</v>
      </c>
      <c r="G10" s="1300">
        <v>1603419</v>
      </c>
      <c r="H10" s="1303">
        <v>223546</v>
      </c>
      <c r="I10" s="1352">
        <v>79555797</v>
      </c>
      <c r="J10" s="1266"/>
      <c r="K10" s="1300">
        <v>1467060</v>
      </c>
      <c r="L10" s="1303">
        <v>8841895</v>
      </c>
      <c r="M10" s="1300">
        <v>5066428</v>
      </c>
      <c r="N10" s="1313"/>
      <c r="O10" s="1352">
        <v>15375383</v>
      </c>
      <c r="P10" s="1264">
        <v>145192</v>
      </c>
      <c r="Q10" s="1265">
        <v>529090</v>
      </c>
      <c r="R10" s="1265"/>
      <c r="S10" s="1264">
        <v>674282</v>
      </c>
      <c r="T10" s="1267"/>
      <c r="U10" s="1313"/>
      <c r="V10" s="1266">
        <v>67433955</v>
      </c>
      <c r="W10" s="1313">
        <v>67433955</v>
      </c>
      <c r="X10" s="1269">
        <v>163039417</v>
      </c>
      <c r="Y10"/>
      <c r="Z10"/>
      <c r="AA10"/>
      <c r="AB10"/>
    </row>
    <row r="11" spans="1:28" s="204" customFormat="1" ht="13.5" thickBot="1">
      <c r="A11" s="1207"/>
      <c r="B11" s="1270" t="s">
        <v>344</v>
      </c>
      <c r="C11" s="1274">
        <v>1.4060501170361142</v>
      </c>
      <c r="D11" s="1300">
        <v>0</v>
      </c>
      <c r="E11" s="1306">
        <v>8.9518968914222778</v>
      </c>
      <c r="F11" s="1309">
        <v>7.3234029766540543</v>
      </c>
      <c r="G11" s="1309">
        <v>6.4561426338719601</v>
      </c>
      <c r="H11" s="1306">
        <v>-3.0000867829558273</v>
      </c>
      <c r="I11" s="1353">
        <v>2.8338119098134462</v>
      </c>
      <c r="J11" s="1273">
        <v>0</v>
      </c>
      <c r="K11" s="1309">
        <v>16.323676111707357</v>
      </c>
      <c r="L11" s="1306">
        <v>-4.1943766701122015E-2</v>
      </c>
      <c r="M11" s="1300">
        <v>14.115447133526192</v>
      </c>
      <c r="N11" s="1313">
        <v>0</v>
      </c>
      <c r="O11" s="1363">
        <v>5.6979288415903433</v>
      </c>
      <c r="P11" s="1264">
        <v>153.62377067793946</v>
      </c>
      <c r="Q11" s="1265">
        <v>-39.343705751867319</v>
      </c>
      <c r="R11" s="1265">
        <v>0</v>
      </c>
      <c r="S11" s="1264">
        <v>-27.459314567863451</v>
      </c>
      <c r="T11" s="1281">
        <v>0</v>
      </c>
      <c r="U11" s="1313">
        <v>0</v>
      </c>
      <c r="V11" s="1266">
        <v>-3.655236431054095</v>
      </c>
      <c r="W11" s="1317">
        <v>-3.655236431054095</v>
      </c>
      <c r="X11" s="1269">
        <v>0.12746891414497596</v>
      </c>
      <c r="Y11"/>
      <c r="Z11"/>
      <c r="AA11"/>
      <c r="AB11"/>
    </row>
    <row r="12" spans="1:28">
      <c r="A12" s="1207"/>
      <c r="B12" s="1205" t="s">
        <v>5</v>
      </c>
      <c r="C12" s="1264"/>
      <c r="D12" s="1300"/>
      <c r="E12" s="1300"/>
      <c r="F12" s="1300"/>
      <c r="G12" s="1300"/>
      <c r="H12" s="1310"/>
      <c r="I12" s="1352"/>
      <c r="J12" s="1266"/>
      <c r="K12" s="1300">
        <v>31444.38</v>
      </c>
      <c r="L12" s="1300">
        <v>1935126.0999999999</v>
      </c>
      <c r="M12" s="1300">
        <v>213540.93000000002</v>
      </c>
      <c r="N12" s="1313"/>
      <c r="O12" s="1364">
        <v>2180111.4099999997</v>
      </c>
      <c r="P12" s="1264"/>
      <c r="Q12" s="1265"/>
      <c r="R12" s="1265"/>
      <c r="S12" s="1264"/>
      <c r="T12" s="1264"/>
      <c r="U12" s="1313"/>
      <c r="V12" s="1266"/>
      <c r="W12" s="1313"/>
      <c r="X12" s="1269">
        <v>2180111.4099999997</v>
      </c>
      <c r="Y12"/>
      <c r="Z12"/>
      <c r="AA12"/>
      <c r="AB12"/>
    </row>
    <row r="13" spans="1:28" s="205" customFormat="1">
      <c r="A13" s="1207"/>
      <c r="B13" s="1205" t="s">
        <v>6</v>
      </c>
      <c r="C13" s="1264"/>
      <c r="D13" s="1300"/>
      <c r="E13" s="1300"/>
      <c r="F13" s="1300"/>
      <c r="G13" s="1300"/>
      <c r="H13" s="1310"/>
      <c r="I13" s="1352"/>
      <c r="J13" s="1266"/>
      <c r="K13" s="1300">
        <v>31444</v>
      </c>
      <c r="L13" s="1300">
        <v>1306000</v>
      </c>
      <c r="M13" s="1300">
        <v>185000</v>
      </c>
      <c r="N13" s="1313"/>
      <c r="O13" s="1364">
        <v>1522444</v>
      </c>
      <c r="P13" s="1264"/>
      <c r="Q13" s="1265"/>
      <c r="R13" s="1265"/>
      <c r="S13" s="1264"/>
      <c r="T13" s="1264"/>
      <c r="U13" s="1313"/>
      <c r="V13" s="1266"/>
      <c r="W13" s="1313"/>
      <c r="X13" s="1269">
        <v>1522444</v>
      </c>
      <c r="Y13"/>
      <c r="Z13"/>
      <c r="AA13"/>
      <c r="AB13"/>
    </row>
    <row r="14" spans="1:28" s="204" customFormat="1" ht="13.5" thickBot="1">
      <c r="A14" s="1207"/>
      <c r="B14" s="1270" t="s">
        <v>426</v>
      </c>
      <c r="C14" s="1271">
        <v>0</v>
      </c>
      <c r="D14" s="1300">
        <v>0</v>
      </c>
      <c r="E14" s="1300">
        <v>0</v>
      </c>
      <c r="F14" s="1300">
        <v>0</v>
      </c>
      <c r="G14" s="1300">
        <v>0</v>
      </c>
      <c r="H14" s="1310">
        <v>0</v>
      </c>
      <c r="I14" s="1352">
        <v>0</v>
      </c>
      <c r="J14" s="1273">
        <v>0</v>
      </c>
      <c r="K14" s="1300">
        <v>-1.2084830421239619E-3</v>
      </c>
      <c r="L14" s="1300">
        <v>-32.510858077930941</v>
      </c>
      <c r="M14" s="1300">
        <v>-13.365554790830975</v>
      </c>
      <c r="N14" s="1313">
        <v>0</v>
      </c>
      <c r="O14" s="1363">
        <v>-30.166688132695025</v>
      </c>
      <c r="P14" s="1264">
        <v>0</v>
      </c>
      <c r="Q14" s="1265">
        <v>0</v>
      </c>
      <c r="R14" s="1265">
        <v>0</v>
      </c>
      <c r="S14" s="1264">
        <v>0</v>
      </c>
      <c r="T14" s="1264">
        <v>0</v>
      </c>
      <c r="U14" s="1313">
        <v>0</v>
      </c>
      <c r="V14" s="1266">
        <v>0</v>
      </c>
      <c r="W14" s="1313">
        <v>0</v>
      </c>
      <c r="X14" s="1269">
        <v>-30.166688132695025</v>
      </c>
      <c r="Y14"/>
      <c r="Z14"/>
      <c r="AA14"/>
      <c r="AB14"/>
    </row>
    <row r="15" spans="1:28">
      <c r="A15" s="1207"/>
      <c r="B15" s="1205" t="s">
        <v>322</v>
      </c>
      <c r="C15" s="1278">
        <v>685681800</v>
      </c>
      <c r="D15" s="1302">
        <v>57539507</v>
      </c>
      <c r="E15" s="1307">
        <v>194670759</v>
      </c>
      <c r="F15" s="1307">
        <v>103543593</v>
      </c>
      <c r="G15" s="1302">
        <v>30911166</v>
      </c>
      <c r="H15" s="1302">
        <v>13755690</v>
      </c>
      <c r="I15" s="1352">
        <v>1086102515</v>
      </c>
      <c r="J15" s="1266"/>
      <c r="K15" s="1307">
        <v>43988612.879999995</v>
      </c>
      <c r="L15" s="1307">
        <v>134238291.14000002</v>
      </c>
      <c r="M15" s="1302">
        <v>42795104.609999999</v>
      </c>
      <c r="N15" s="1313"/>
      <c r="O15" s="1364">
        <v>221022008.63</v>
      </c>
      <c r="P15" s="1264">
        <v>4548225.1399999997</v>
      </c>
      <c r="Q15" s="1265">
        <v>8013898.3399999999</v>
      </c>
      <c r="R15" s="1265"/>
      <c r="S15" s="1264">
        <v>12562123.48</v>
      </c>
      <c r="T15" s="1262"/>
      <c r="U15" s="1313"/>
      <c r="V15" s="1266"/>
      <c r="W15" s="1313"/>
      <c r="X15" s="1269">
        <v>1319686647.1100001</v>
      </c>
      <c r="Y15"/>
      <c r="Z15"/>
      <c r="AA15"/>
      <c r="AB15"/>
    </row>
    <row r="16" spans="1:28" s="647" customFormat="1">
      <c r="A16" s="1207"/>
      <c r="B16" s="1205" t="s">
        <v>22</v>
      </c>
      <c r="C16" s="1280">
        <v>687811149</v>
      </c>
      <c r="D16" s="1303">
        <v>59821000</v>
      </c>
      <c r="E16" s="1300">
        <v>212902275</v>
      </c>
      <c r="F16" s="1300">
        <v>102374761</v>
      </c>
      <c r="G16" s="1303">
        <v>33098685</v>
      </c>
      <c r="H16" s="1303">
        <v>15200820</v>
      </c>
      <c r="I16" s="1352">
        <v>1111208690</v>
      </c>
      <c r="J16" s="1266"/>
      <c r="K16" s="1300">
        <v>47395195</v>
      </c>
      <c r="L16" s="1300">
        <v>134500249</v>
      </c>
      <c r="M16" s="1303">
        <v>44950563</v>
      </c>
      <c r="N16" s="1313"/>
      <c r="O16" s="1364">
        <v>226846007</v>
      </c>
      <c r="P16" s="1264">
        <v>4871214</v>
      </c>
      <c r="Q16" s="1265">
        <v>7927498</v>
      </c>
      <c r="R16" s="1265"/>
      <c r="S16" s="1264">
        <v>12798712</v>
      </c>
      <c r="T16" s="1267"/>
      <c r="U16" s="1313"/>
      <c r="V16" s="1266"/>
      <c r="W16" s="1313"/>
      <c r="X16" s="1269">
        <v>1350853409</v>
      </c>
      <c r="Y16"/>
      <c r="Z16"/>
      <c r="AA16"/>
      <c r="AB16"/>
    </row>
    <row r="17" spans="1:28" s="204" customFormat="1" ht="13.5" thickBot="1">
      <c r="A17" s="1207"/>
      <c r="B17" s="1270" t="s">
        <v>375</v>
      </c>
      <c r="C17" s="1285">
        <v>0.31054477455869473</v>
      </c>
      <c r="D17" s="1304">
        <v>3.9650895861864091</v>
      </c>
      <c r="E17" s="1308">
        <v>9.365307914580022</v>
      </c>
      <c r="F17" s="1342">
        <v>-1.1288308297356457</v>
      </c>
      <c r="G17" s="1304">
        <v>7.0767922504120353</v>
      </c>
      <c r="H17" s="1304">
        <v>10.505688918549343</v>
      </c>
      <c r="I17" s="1352">
        <v>2.3115842798688297</v>
      </c>
      <c r="J17" s="1273">
        <v>0</v>
      </c>
      <c r="K17" s="1309">
        <v>7.7442362851792774</v>
      </c>
      <c r="L17" s="1309">
        <v>0.19514391741383463</v>
      </c>
      <c r="M17" s="1306">
        <v>5.0366938219759163</v>
      </c>
      <c r="N17" s="1313">
        <v>0</v>
      </c>
      <c r="O17" s="1363">
        <v>2.6350309664181992</v>
      </c>
      <c r="P17" s="1264">
        <v>7.1014263818963101</v>
      </c>
      <c r="Q17" s="1265">
        <v>-1.0781312207162319</v>
      </c>
      <c r="R17" s="1265">
        <v>0</v>
      </c>
      <c r="S17" s="1264">
        <v>1.8833481487160126</v>
      </c>
      <c r="T17" s="1281">
        <v>0</v>
      </c>
      <c r="U17" s="1313">
        <v>0</v>
      </c>
      <c r="V17" s="1266">
        <v>0</v>
      </c>
      <c r="W17" s="1313">
        <v>0</v>
      </c>
      <c r="X17" s="1269">
        <v>2.3616789605511754</v>
      </c>
      <c r="Y17"/>
      <c r="Z17"/>
      <c r="AA17"/>
      <c r="AB17"/>
    </row>
    <row r="18" spans="1:28">
      <c r="A18" s="1207"/>
      <c r="B18" s="1205" t="s">
        <v>324</v>
      </c>
      <c r="C18" s="1267">
        <v>22929216</v>
      </c>
      <c r="D18" s="1300"/>
      <c r="E18" s="1300">
        <v>27031803</v>
      </c>
      <c r="F18" s="1300">
        <v>14380745</v>
      </c>
      <c r="G18" s="1302"/>
      <c r="H18" s="1310">
        <v>1078352</v>
      </c>
      <c r="I18" s="1352">
        <v>65420116</v>
      </c>
      <c r="J18" s="1266"/>
      <c r="K18" s="1300">
        <v>7884181.9100000001</v>
      </c>
      <c r="L18" s="1300">
        <v>15395917.610000001</v>
      </c>
      <c r="M18" s="1303">
        <v>4310632.9000000004</v>
      </c>
      <c r="N18" s="1313"/>
      <c r="O18" s="1364">
        <v>27590732.420000002</v>
      </c>
      <c r="P18" s="1264">
        <v>396932.42</v>
      </c>
      <c r="Q18" s="1265">
        <v>544044.59</v>
      </c>
      <c r="R18" s="1265"/>
      <c r="S18" s="1264">
        <v>940977.01</v>
      </c>
      <c r="T18" s="1267"/>
      <c r="U18" s="1313"/>
      <c r="V18" s="1266"/>
      <c r="W18" s="1313"/>
      <c r="X18" s="1269">
        <v>93951825.430000007</v>
      </c>
      <c r="Y18"/>
      <c r="Z18"/>
      <c r="AA18"/>
      <c r="AB18"/>
    </row>
    <row r="19" spans="1:28" s="647" customFormat="1">
      <c r="A19" s="1207"/>
      <c r="B19" s="1205" t="s">
        <v>226</v>
      </c>
      <c r="C19" s="1267">
        <v>24096974</v>
      </c>
      <c r="D19" s="1300">
        <v>360000</v>
      </c>
      <c r="E19" s="1300">
        <v>28946400</v>
      </c>
      <c r="F19" s="1300">
        <v>14539932</v>
      </c>
      <c r="G19" s="1303"/>
      <c r="H19" s="1310">
        <v>1200000</v>
      </c>
      <c r="I19" s="1352">
        <v>69143306</v>
      </c>
      <c r="J19" s="1266"/>
      <c r="K19" s="1300">
        <v>7827160</v>
      </c>
      <c r="L19" s="1300">
        <v>15900939</v>
      </c>
      <c r="M19" s="1303">
        <v>3787580</v>
      </c>
      <c r="N19" s="1313"/>
      <c r="O19" s="1364">
        <v>27515679</v>
      </c>
      <c r="P19" s="1264">
        <v>393633</v>
      </c>
      <c r="Q19" s="1265">
        <v>544920</v>
      </c>
      <c r="R19" s="1265"/>
      <c r="S19" s="1264">
        <v>938553</v>
      </c>
      <c r="T19" s="1267"/>
      <c r="U19" s="1313"/>
      <c r="V19" s="1266"/>
      <c r="W19" s="1313"/>
      <c r="X19" s="1269">
        <v>97597538</v>
      </c>
      <c r="Y19"/>
      <c r="Z19"/>
      <c r="AA19"/>
      <c r="AB19"/>
    </row>
    <row r="20" spans="1:28" s="204" customFormat="1" ht="13.5" thickBot="1">
      <c r="A20" s="1207"/>
      <c r="B20" s="1270" t="s">
        <v>236</v>
      </c>
      <c r="C20" s="1274">
        <v>5.0928823733005082</v>
      </c>
      <c r="D20" s="1300">
        <v>0</v>
      </c>
      <c r="E20" s="1300">
        <v>7.0827572988749585</v>
      </c>
      <c r="F20" s="1300">
        <v>1.1069454329382797</v>
      </c>
      <c r="G20" s="1306">
        <v>0</v>
      </c>
      <c r="H20" s="1310">
        <v>11.280917548258824</v>
      </c>
      <c r="I20" s="1353">
        <v>5.6912005475502365</v>
      </c>
      <c r="J20" s="1273">
        <v>0</v>
      </c>
      <c r="K20" s="1309">
        <v>-0.72324447420062321</v>
      </c>
      <c r="L20" s="1309">
        <v>3.2802292321438236</v>
      </c>
      <c r="M20" s="1306">
        <v>-12.134016329713447</v>
      </c>
      <c r="N20" s="1313">
        <v>0</v>
      </c>
      <c r="O20" s="1363">
        <v>-0.27202402189798175</v>
      </c>
      <c r="P20" s="1264">
        <v>-0.83122965869101439</v>
      </c>
      <c r="Q20" s="1265">
        <v>0.16090776676963789</v>
      </c>
      <c r="R20" s="1265">
        <v>0</v>
      </c>
      <c r="S20" s="1264">
        <v>-0.25760565606166008</v>
      </c>
      <c r="T20" s="1281">
        <v>0</v>
      </c>
      <c r="U20" s="1313">
        <v>0</v>
      </c>
      <c r="V20" s="1266">
        <v>0</v>
      </c>
      <c r="W20" s="1313">
        <v>0</v>
      </c>
      <c r="X20" s="1269">
        <v>3.880406318146838</v>
      </c>
      <c r="Y20"/>
      <c r="Z20"/>
      <c r="AA20"/>
      <c r="AB20"/>
    </row>
    <row r="21" spans="1:28">
      <c r="A21" s="1207"/>
      <c r="B21" s="1205" t="s">
        <v>449</v>
      </c>
      <c r="C21" s="1264">
        <v>708611016</v>
      </c>
      <c r="D21" s="1300">
        <v>57539507</v>
      </c>
      <c r="E21" s="1300">
        <v>221702562</v>
      </c>
      <c r="F21" s="1344">
        <v>117924338</v>
      </c>
      <c r="G21" s="1300">
        <v>30911166</v>
      </c>
      <c r="H21" s="1310">
        <v>14834042</v>
      </c>
      <c r="I21" s="1352">
        <v>1151522631</v>
      </c>
      <c r="J21" s="1266"/>
      <c r="K21" s="1300">
        <v>51872794.789999999</v>
      </c>
      <c r="L21" s="1300">
        <v>149634208.75000003</v>
      </c>
      <c r="M21" s="1300">
        <v>47105737.509999998</v>
      </c>
      <c r="N21" s="1313"/>
      <c r="O21" s="1364">
        <v>248612741.05000001</v>
      </c>
      <c r="P21" s="1264">
        <v>4945157.5599999996</v>
      </c>
      <c r="Q21" s="1265">
        <v>8557942.9299999997</v>
      </c>
      <c r="R21" s="1265"/>
      <c r="S21" s="1264">
        <v>13503100.489999998</v>
      </c>
      <c r="T21" s="1264">
        <v>0</v>
      </c>
      <c r="U21" s="1313">
        <v>0</v>
      </c>
      <c r="V21" s="1266">
        <v>0</v>
      </c>
      <c r="W21" s="1313">
        <v>0</v>
      </c>
      <c r="X21" s="1269">
        <v>1413638472.54</v>
      </c>
      <c r="Y21"/>
      <c r="Z21"/>
      <c r="AA21"/>
      <c r="AB21"/>
    </row>
    <row r="22" spans="1:28" s="205" customFormat="1">
      <c r="A22" s="1207"/>
      <c r="B22" s="1205" t="s">
        <v>109</v>
      </c>
      <c r="C22" s="1264">
        <v>711908123</v>
      </c>
      <c r="D22" s="1300">
        <v>60181000</v>
      </c>
      <c r="E22" s="1300">
        <v>241848675</v>
      </c>
      <c r="F22" s="1344">
        <v>116914693</v>
      </c>
      <c r="G22" s="1300">
        <v>33098685</v>
      </c>
      <c r="H22" s="1310">
        <v>16400820</v>
      </c>
      <c r="I22" s="1352">
        <v>1180351996</v>
      </c>
      <c r="J22" s="1266"/>
      <c r="K22" s="1300">
        <v>55222355</v>
      </c>
      <c r="L22" s="1300">
        <v>150401188</v>
      </c>
      <c r="M22" s="1300">
        <v>48738143</v>
      </c>
      <c r="N22" s="1313"/>
      <c r="O22" s="1364">
        <v>254361686</v>
      </c>
      <c r="P22" s="1264">
        <v>5264847</v>
      </c>
      <c r="Q22" s="1265">
        <v>8472418</v>
      </c>
      <c r="R22" s="1265"/>
      <c r="S22" s="1264">
        <v>13737265</v>
      </c>
      <c r="T22" s="1264">
        <v>0</v>
      </c>
      <c r="U22" s="1313">
        <v>0</v>
      </c>
      <c r="V22" s="1266">
        <v>0</v>
      </c>
      <c r="W22" s="1313">
        <v>0</v>
      </c>
      <c r="X22" s="1269">
        <v>1448450947</v>
      </c>
      <c r="Y22"/>
      <c r="Z22"/>
      <c r="AA22"/>
      <c r="AB22"/>
    </row>
    <row r="23" spans="1:28" s="204" customFormat="1" ht="13.5" thickBot="1">
      <c r="A23" s="1207"/>
      <c r="B23" s="1270" t="s">
        <v>83</v>
      </c>
      <c r="C23" s="1271">
        <v>0.4652915246239977</v>
      </c>
      <c r="D23" s="1301">
        <v>4.5907466673289363</v>
      </c>
      <c r="E23" s="1301">
        <v>9.0870005372333047</v>
      </c>
      <c r="F23" s="1371">
        <v>-0.85618034166958823</v>
      </c>
      <c r="G23" s="1301">
        <v>7.0767922504120353</v>
      </c>
      <c r="H23" s="1311">
        <v>10.56204371000163</v>
      </c>
      <c r="I23" s="1353">
        <v>2.503586488349268</v>
      </c>
      <c r="J23" s="1273">
        <v>0</v>
      </c>
      <c r="K23" s="1300">
        <v>6.4572580358552925</v>
      </c>
      <c r="L23" s="1300">
        <v>0.51256945614715266</v>
      </c>
      <c r="M23" s="1300">
        <v>3.4654069255437547</v>
      </c>
      <c r="N23" s="1313">
        <v>0</v>
      </c>
      <c r="O23" s="1353">
        <v>2.3124096237866394</v>
      </c>
      <c r="P23" s="1264">
        <v>6.4646967487118943</v>
      </c>
      <c r="Q23" s="1265">
        <v>-0.99936317289743493</v>
      </c>
      <c r="R23" s="1265">
        <v>0</v>
      </c>
      <c r="S23" s="1264">
        <v>1.7341536499222172</v>
      </c>
      <c r="T23" s="1264">
        <v>0</v>
      </c>
      <c r="U23" s="1313">
        <v>0</v>
      </c>
      <c r="V23" s="1266">
        <v>0</v>
      </c>
      <c r="W23" s="1313">
        <v>0</v>
      </c>
      <c r="X23" s="1269">
        <v>2.4626150982895831</v>
      </c>
      <c r="Y23"/>
      <c r="Z23"/>
      <c r="AA23"/>
      <c r="AB23"/>
    </row>
    <row r="24" spans="1:28">
      <c r="A24" s="1207"/>
      <c r="B24" s="1205" t="s">
        <v>111</v>
      </c>
      <c r="C24" s="1264"/>
      <c r="D24" s="1300"/>
      <c r="E24" s="1300"/>
      <c r="F24" s="1300"/>
      <c r="G24" s="1300"/>
      <c r="H24" s="1310"/>
      <c r="I24" s="1352"/>
      <c r="J24" s="1266"/>
      <c r="K24" s="1300"/>
      <c r="L24" s="1300"/>
      <c r="M24" s="1300"/>
      <c r="N24" s="1313"/>
      <c r="O24" s="1352"/>
      <c r="P24" s="1264"/>
      <c r="Q24" s="1265"/>
      <c r="R24" s="1265"/>
      <c r="S24" s="1264"/>
      <c r="T24" s="1264">
        <v>5925939</v>
      </c>
      <c r="U24" s="1313">
        <v>5925939</v>
      </c>
      <c r="V24" s="1266">
        <v>60635704</v>
      </c>
      <c r="W24" s="1316">
        <v>60635704</v>
      </c>
      <c r="X24" s="1269">
        <v>66561643</v>
      </c>
      <c r="Y24"/>
      <c r="Z24"/>
      <c r="AA24"/>
      <c r="AB24"/>
    </row>
    <row r="25" spans="1:28" s="205" customFormat="1">
      <c r="A25" s="1207"/>
      <c r="B25" s="1205" t="s">
        <v>113</v>
      </c>
      <c r="C25" s="1264"/>
      <c r="D25" s="1300"/>
      <c r="E25" s="1300"/>
      <c r="F25" s="1300"/>
      <c r="G25" s="1300"/>
      <c r="H25" s="1310"/>
      <c r="I25" s="1352"/>
      <c r="J25" s="1266"/>
      <c r="K25" s="1300"/>
      <c r="L25" s="1300"/>
      <c r="M25" s="1300"/>
      <c r="N25" s="1313"/>
      <c r="O25" s="1352"/>
      <c r="P25" s="1264"/>
      <c r="Q25" s="1265"/>
      <c r="R25" s="1265"/>
      <c r="S25" s="1264"/>
      <c r="T25" s="1264">
        <v>5875192</v>
      </c>
      <c r="U25" s="1313">
        <v>5875192</v>
      </c>
      <c r="V25" s="1266">
        <v>66743877</v>
      </c>
      <c r="W25" s="1313">
        <v>66743877</v>
      </c>
      <c r="X25" s="1269">
        <v>72619069</v>
      </c>
      <c r="Y25"/>
      <c r="Z25"/>
      <c r="AA25"/>
      <c r="AB25"/>
    </row>
    <row r="26" spans="1:28" s="204" customFormat="1" ht="13.5" thickBot="1">
      <c r="A26" s="1207"/>
      <c r="B26" s="1270" t="s">
        <v>115</v>
      </c>
      <c r="C26" s="1271">
        <v>0</v>
      </c>
      <c r="D26" s="1301">
        <v>0</v>
      </c>
      <c r="E26" s="1301">
        <v>0</v>
      </c>
      <c r="F26" s="1301">
        <v>0</v>
      </c>
      <c r="G26" s="1301">
        <v>0</v>
      </c>
      <c r="H26" s="1311">
        <v>0</v>
      </c>
      <c r="I26" s="1353">
        <v>0</v>
      </c>
      <c r="J26" s="1273">
        <v>0</v>
      </c>
      <c r="K26" s="1301">
        <v>0</v>
      </c>
      <c r="L26" s="1301">
        <v>0</v>
      </c>
      <c r="M26" s="1301">
        <v>0</v>
      </c>
      <c r="N26" s="1314">
        <v>0</v>
      </c>
      <c r="O26" s="1353">
        <v>0</v>
      </c>
      <c r="P26" s="1271">
        <v>0</v>
      </c>
      <c r="Q26" s="1272">
        <v>0</v>
      </c>
      <c r="R26" s="1272">
        <v>0</v>
      </c>
      <c r="S26" s="1271">
        <v>0</v>
      </c>
      <c r="T26" s="1271">
        <v>-0.85635373566957074</v>
      </c>
      <c r="U26" s="1314">
        <v>-0.85635373566957074</v>
      </c>
      <c r="V26" s="1273">
        <v>10.073558311452935</v>
      </c>
      <c r="W26" s="1318">
        <v>10.073558311452935</v>
      </c>
      <c r="X26" s="1275">
        <v>9.1004754795490843</v>
      </c>
      <c r="Y26"/>
      <c r="Z26"/>
      <c r="AA26"/>
      <c r="AB26"/>
    </row>
    <row r="27" spans="1:28">
      <c r="A27" s="1207"/>
      <c r="B27" s="1205" t="s">
        <v>339</v>
      </c>
      <c r="C27" s="1264"/>
      <c r="D27" s="1300"/>
      <c r="E27" s="1300"/>
      <c r="F27" s="1300"/>
      <c r="G27" s="1300"/>
      <c r="H27" s="1310"/>
      <c r="I27" s="1352"/>
      <c r="J27" s="1266"/>
      <c r="K27" s="1300"/>
      <c r="L27" s="1300"/>
      <c r="M27" s="1300"/>
      <c r="N27" s="1313"/>
      <c r="O27" s="1352"/>
      <c r="P27" s="1264"/>
      <c r="Q27" s="1265"/>
      <c r="R27" s="1265"/>
      <c r="S27" s="1264"/>
      <c r="T27" s="1264">
        <v>4711616.91</v>
      </c>
      <c r="U27" s="1346">
        <v>4711616.91</v>
      </c>
      <c r="V27" s="1266"/>
      <c r="W27" s="1313"/>
      <c r="X27" s="1269">
        <v>4711616.91</v>
      </c>
      <c r="Y27"/>
      <c r="Z27"/>
      <c r="AA27"/>
      <c r="AB27"/>
    </row>
    <row r="28" spans="1:28" s="205" customFormat="1">
      <c r="A28" s="1207"/>
      <c r="B28" s="1205" t="s">
        <v>223</v>
      </c>
      <c r="C28" s="1264"/>
      <c r="D28" s="1300"/>
      <c r="E28" s="1300"/>
      <c r="F28" s="1300"/>
      <c r="G28" s="1300"/>
      <c r="H28" s="1310"/>
      <c r="I28" s="1352"/>
      <c r="J28" s="1266"/>
      <c r="K28" s="1300"/>
      <c r="L28" s="1300"/>
      <c r="M28" s="1300"/>
      <c r="N28" s="1313"/>
      <c r="O28" s="1352"/>
      <c r="P28" s="1264"/>
      <c r="Q28" s="1265"/>
      <c r="R28" s="1265"/>
      <c r="S28" s="1264"/>
      <c r="T28" s="1264">
        <v>4208010</v>
      </c>
      <c r="U28" s="1346">
        <v>4208010</v>
      </c>
      <c r="V28" s="1266"/>
      <c r="W28" s="1313"/>
      <c r="X28" s="1269">
        <v>4208010</v>
      </c>
      <c r="Y28"/>
      <c r="Z28"/>
      <c r="AA28"/>
      <c r="AB28"/>
    </row>
    <row r="29" spans="1:28" s="204" customFormat="1">
      <c r="A29" s="1207"/>
      <c r="B29" s="1270" t="s">
        <v>85</v>
      </c>
      <c r="C29" s="1271">
        <v>0</v>
      </c>
      <c r="D29" s="1300">
        <v>0</v>
      </c>
      <c r="E29" s="1300">
        <v>0</v>
      </c>
      <c r="F29" s="1300">
        <v>0</v>
      </c>
      <c r="G29" s="1300">
        <v>0</v>
      </c>
      <c r="H29" s="1310">
        <v>0</v>
      </c>
      <c r="I29" s="1352">
        <v>0</v>
      </c>
      <c r="J29" s="1273">
        <v>0</v>
      </c>
      <c r="K29" s="1300">
        <v>0</v>
      </c>
      <c r="L29" s="1300">
        <v>0</v>
      </c>
      <c r="M29" s="1300">
        <v>0</v>
      </c>
      <c r="N29" s="1313">
        <v>0</v>
      </c>
      <c r="O29" s="1353">
        <v>0</v>
      </c>
      <c r="P29" s="1264">
        <v>0</v>
      </c>
      <c r="Q29" s="1265">
        <v>0</v>
      </c>
      <c r="R29" s="1265">
        <v>0</v>
      </c>
      <c r="S29" s="1264">
        <v>0</v>
      </c>
      <c r="T29" s="1264">
        <v>-10.68862175384289</v>
      </c>
      <c r="U29" s="1346">
        <v>-10.68862175384289</v>
      </c>
      <c r="V29" s="1266">
        <v>0</v>
      </c>
      <c r="W29" s="1313">
        <v>0</v>
      </c>
      <c r="X29" s="1269">
        <v>-10.68862175384289</v>
      </c>
      <c r="Y29"/>
      <c r="Z29"/>
      <c r="AA29"/>
      <c r="AB29"/>
    </row>
    <row r="30" spans="1:28">
      <c r="A30" s="1207"/>
      <c r="B30" s="1205" t="s">
        <v>219</v>
      </c>
      <c r="C30" s="1264"/>
      <c r="D30" s="1300"/>
      <c r="E30" s="1300"/>
      <c r="F30" s="1300"/>
      <c r="G30" s="1300"/>
      <c r="H30" s="1310"/>
      <c r="I30" s="1352"/>
      <c r="J30" s="1266"/>
      <c r="K30" s="1300"/>
      <c r="L30" s="1300"/>
      <c r="M30" s="1300"/>
      <c r="N30" s="1313"/>
      <c r="O30" s="1352"/>
      <c r="P30" s="1264"/>
      <c r="Q30" s="1265"/>
      <c r="R30" s="1265"/>
      <c r="S30" s="1264"/>
      <c r="T30" s="1264">
        <v>181829.22</v>
      </c>
      <c r="U30" s="1313">
        <v>181829.22</v>
      </c>
      <c r="V30" s="1266"/>
      <c r="W30" s="1313"/>
      <c r="X30" s="1269">
        <v>181829.22</v>
      </c>
      <c r="Y30"/>
      <c r="Z30"/>
      <c r="AA30"/>
      <c r="AB30"/>
    </row>
    <row r="31" spans="1:28" s="205" customFormat="1">
      <c r="A31" s="1207"/>
      <c r="B31" s="1205" t="s">
        <v>141</v>
      </c>
      <c r="C31" s="1264"/>
      <c r="D31" s="1300"/>
      <c r="E31" s="1300"/>
      <c r="F31" s="1300"/>
      <c r="G31" s="1300"/>
      <c r="H31" s="1310"/>
      <c r="I31" s="1352"/>
      <c r="J31" s="1266"/>
      <c r="K31" s="1300"/>
      <c r="L31" s="1300"/>
      <c r="M31" s="1300"/>
      <c r="N31" s="1313"/>
      <c r="O31" s="1352"/>
      <c r="P31" s="1264"/>
      <c r="Q31" s="1265"/>
      <c r="R31" s="1265"/>
      <c r="S31" s="1264"/>
      <c r="T31" s="1264">
        <v>179300</v>
      </c>
      <c r="U31" s="1313">
        <v>179300</v>
      </c>
      <c r="V31" s="1266"/>
      <c r="W31" s="1313"/>
      <c r="X31" s="1269">
        <v>179300</v>
      </c>
      <c r="Y31"/>
      <c r="Z31"/>
      <c r="AA31"/>
      <c r="AB31"/>
    </row>
    <row r="32" spans="1:28" s="204" customFormat="1">
      <c r="A32" s="1207"/>
      <c r="B32" s="1270" t="s">
        <v>169</v>
      </c>
      <c r="C32" s="1271">
        <v>0</v>
      </c>
      <c r="D32" s="1300">
        <v>0</v>
      </c>
      <c r="E32" s="1300">
        <v>0</v>
      </c>
      <c r="F32" s="1300">
        <v>0</v>
      </c>
      <c r="G32" s="1300">
        <v>0</v>
      </c>
      <c r="H32" s="1310">
        <v>0</v>
      </c>
      <c r="I32" s="1352">
        <v>0</v>
      </c>
      <c r="J32" s="1273">
        <v>0</v>
      </c>
      <c r="K32" s="1300">
        <v>0</v>
      </c>
      <c r="L32" s="1300">
        <v>0</v>
      </c>
      <c r="M32" s="1300">
        <v>0</v>
      </c>
      <c r="N32" s="1313">
        <v>0</v>
      </c>
      <c r="O32" s="1353">
        <v>0</v>
      </c>
      <c r="P32" s="1264">
        <v>0</v>
      </c>
      <c r="Q32" s="1265">
        <v>0</v>
      </c>
      <c r="R32" s="1265">
        <v>0</v>
      </c>
      <c r="S32" s="1264">
        <v>0</v>
      </c>
      <c r="T32" s="1264">
        <v>-1.3909865532063554</v>
      </c>
      <c r="U32" s="1313">
        <v>-1.3909865532063554</v>
      </c>
      <c r="V32" s="1266">
        <v>0</v>
      </c>
      <c r="W32" s="1313">
        <v>0</v>
      </c>
      <c r="X32" s="1269">
        <v>-1.3909865532063554</v>
      </c>
      <c r="Y32"/>
      <c r="Z32"/>
      <c r="AA32"/>
      <c r="AB32"/>
    </row>
    <row r="33" spans="1:28">
      <c r="A33" s="1207"/>
      <c r="B33" s="1205" t="s">
        <v>221</v>
      </c>
      <c r="C33" s="1264">
        <v>0</v>
      </c>
      <c r="D33" s="1300">
        <v>0</v>
      </c>
      <c r="E33" s="1300">
        <v>0</v>
      </c>
      <c r="F33" s="1300">
        <v>0</v>
      </c>
      <c r="G33" s="1300">
        <v>0</v>
      </c>
      <c r="H33" s="1310">
        <v>0</v>
      </c>
      <c r="I33" s="1352">
        <v>0</v>
      </c>
      <c r="J33" s="1266"/>
      <c r="K33" s="1300">
        <v>0</v>
      </c>
      <c r="L33" s="1300">
        <v>0</v>
      </c>
      <c r="M33" s="1300">
        <v>0</v>
      </c>
      <c r="N33" s="1313"/>
      <c r="O33" s="1352">
        <v>0</v>
      </c>
      <c r="P33" s="1264">
        <v>0</v>
      </c>
      <c r="Q33" s="1265">
        <v>0</v>
      </c>
      <c r="R33" s="1265"/>
      <c r="S33" s="1264">
        <v>0</v>
      </c>
      <c r="T33" s="1264">
        <v>4893446.13</v>
      </c>
      <c r="U33" s="1313">
        <v>4893446.13</v>
      </c>
      <c r="V33" s="1266">
        <v>0</v>
      </c>
      <c r="W33" s="1313">
        <v>0</v>
      </c>
      <c r="X33" s="1269">
        <v>4893446.13</v>
      </c>
      <c r="Y33"/>
      <c r="Z33"/>
      <c r="AA33"/>
      <c r="AB33"/>
    </row>
    <row r="34" spans="1:28" s="205" customFormat="1">
      <c r="A34" s="1207"/>
      <c r="B34" s="1205" t="s">
        <v>143</v>
      </c>
      <c r="C34" s="1264">
        <v>0</v>
      </c>
      <c r="D34" s="1300">
        <v>0</v>
      </c>
      <c r="E34" s="1300">
        <v>0</v>
      </c>
      <c r="F34" s="1300">
        <v>0</v>
      </c>
      <c r="G34" s="1300">
        <v>0</v>
      </c>
      <c r="H34" s="1310">
        <v>0</v>
      </c>
      <c r="I34" s="1352">
        <v>0</v>
      </c>
      <c r="J34" s="1266"/>
      <c r="K34" s="1300">
        <v>0</v>
      </c>
      <c r="L34" s="1300">
        <v>0</v>
      </c>
      <c r="M34" s="1300">
        <v>0</v>
      </c>
      <c r="N34" s="1313"/>
      <c r="O34" s="1352">
        <v>0</v>
      </c>
      <c r="P34" s="1264">
        <v>0</v>
      </c>
      <c r="Q34" s="1265">
        <v>0</v>
      </c>
      <c r="R34" s="1265"/>
      <c r="S34" s="1264">
        <v>0</v>
      </c>
      <c r="T34" s="1264">
        <v>4387310</v>
      </c>
      <c r="U34" s="1313">
        <v>4387310</v>
      </c>
      <c r="V34" s="1266">
        <v>0</v>
      </c>
      <c r="W34" s="1313">
        <v>0</v>
      </c>
      <c r="X34" s="1269">
        <v>4387310</v>
      </c>
      <c r="Y34"/>
      <c r="Z34"/>
      <c r="AA34"/>
      <c r="AB34"/>
    </row>
    <row r="35" spans="1:28" s="204" customFormat="1" ht="13.5" thickBot="1">
      <c r="A35" s="1207"/>
      <c r="B35" s="1270" t="s">
        <v>245</v>
      </c>
      <c r="C35" s="1271">
        <v>0</v>
      </c>
      <c r="D35" s="1300">
        <v>0</v>
      </c>
      <c r="E35" s="1300">
        <v>0</v>
      </c>
      <c r="F35" s="1300">
        <v>0</v>
      </c>
      <c r="G35" s="1300">
        <v>0</v>
      </c>
      <c r="H35" s="1310">
        <v>0</v>
      </c>
      <c r="I35" s="1352">
        <v>0</v>
      </c>
      <c r="J35" s="1273">
        <v>0</v>
      </c>
      <c r="K35" s="1300">
        <v>0</v>
      </c>
      <c r="L35" s="1300">
        <v>0</v>
      </c>
      <c r="M35" s="1300">
        <v>0</v>
      </c>
      <c r="N35" s="1313">
        <v>0</v>
      </c>
      <c r="O35" s="1353">
        <v>0</v>
      </c>
      <c r="P35" s="1264">
        <v>0</v>
      </c>
      <c r="Q35" s="1265">
        <v>0</v>
      </c>
      <c r="R35" s="1265">
        <v>0</v>
      </c>
      <c r="S35" s="1264">
        <v>0</v>
      </c>
      <c r="T35" s="1264">
        <v>-10.343142982550825</v>
      </c>
      <c r="U35" s="1313">
        <v>-10.343142982550825</v>
      </c>
      <c r="V35" s="1266">
        <v>0</v>
      </c>
      <c r="W35" s="1313">
        <v>0</v>
      </c>
      <c r="X35" s="1269">
        <v>-10.343142982550825</v>
      </c>
      <c r="Y35"/>
      <c r="Z35"/>
      <c r="AA35"/>
      <c r="AB35"/>
    </row>
    <row r="36" spans="1:28">
      <c r="A36" s="1207"/>
      <c r="B36" s="1205" t="s">
        <v>117</v>
      </c>
      <c r="C36" s="1262">
        <v>238562246</v>
      </c>
      <c r="D36" s="1300"/>
      <c r="E36" s="1302">
        <v>67865555</v>
      </c>
      <c r="F36" s="1300"/>
      <c r="G36" s="1300"/>
      <c r="H36" s="1310"/>
      <c r="I36" s="1352">
        <v>306427801</v>
      </c>
      <c r="J36" s="1266"/>
      <c r="K36" s="1300"/>
      <c r="L36" s="1300"/>
      <c r="M36" s="1300"/>
      <c r="N36" s="1313"/>
      <c r="O36" s="1352"/>
      <c r="P36" s="1264"/>
      <c r="Q36" s="1265"/>
      <c r="R36" s="1265"/>
      <c r="S36" s="1264"/>
      <c r="T36" s="1264"/>
      <c r="U36" s="1313"/>
      <c r="V36" s="1266"/>
      <c r="W36" s="1313"/>
      <c r="X36" s="1269">
        <v>306427801</v>
      </c>
      <c r="Y36"/>
      <c r="Z36"/>
      <c r="AA36"/>
      <c r="AB36"/>
    </row>
    <row r="37" spans="1:28" s="205" customFormat="1">
      <c r="A37" s="1207"/>
      <c r="B37" s="1205" t="s">
        <v>119</v>
      </c>
      <c r="C37" s="1267">
        <v>238023815</v>
      </c>
      <c r="D37" s="1300"/>
      <c r="E37" s="1303">
        <v>67906106</v>
      </c>
      <c r="F37" s="1300"/>
      <c r="G37" s="1300"/>
      <c r="H37" s="1310"/>
      <c r="I37" s="1352">
        <v>305929921</v>
      </c>
      <c r="J37" s="1266"/>
      <c r="K37" s="1300"/>
      <c r="L37" s="1300"/>
      <c r="M37" s="1300"/>
      <c r="N37" s="1313"/>
      <c r="O37" s="1352"/>
      <c r="P37" s="1264"/>
      <c r="Q37" s="1265"/>
      <c r="R37" s="1265"/>
      <c r="S37" s="1264"/>
      <c r="T37" s="1264"/>
      <c r="U37" s="1313"/>
      <c r="V37" s="1266"/>
      <c r="W37" s="1313"/>
      <c r="X37" s="1269">
        <v>305929921</v>
      </c>
      <c r="Y37"/>
      <c r="Z37"/>
      <c r="AA37"/>
      <c r="AB37"/>
    </row>
    <row r="38" spans="1:28" s="204" customFormat="1" ht="13.5" thickBot="1">
      <c r="A38" s="1207"/>
      <c r="B38" s="1270" t="s">
        <v>301</v>
      </c>
      <c r="C38" s="1274">
        <v>-0.22569832780665555</v>
      </c>
      <c r="D38" s="1300">
        <v>0</v>
      </c>
      <c r="E38" s="1306">
        <v>5.9751961064784635E-2</v>
      </c>
      <c r="F38" s="1300">
        <v>0</v>
      </c>
      <c r="G38" s="1300">
        <v>0</v>
      </c>
      <c r="H38" s="1310">
        <v>0</v>
      </c>
      <c r="I38" s="1352">
        <v>-0.16247873018545078</v>
      </c>
      <c r="J38" s="1273">
        <v>0</v>
      </c>
      <c r="K38" s="1300">
        <v>0</v>
      </c>
      <c r="L38" s="1300">
        <v>0</v>
      </c>
      <c r="M38" s="1300">
        <v>0</v>
      </c>
      <c r="N38" s="1313">
        <v>0</v>
      </c>
      <c r="O38" s="1353">
        <v>0</v>
      </c>
      <c r="P38" s="1264">
        <v>0</v>
      </c>
      <c r="Q38" s="1265">
        <v>0</v>
      </c>
      <c r="R38" s="1265">
        <v>0</v>
      </c>
      <c r="S38" s="1264">
        <v>0</v>
      </c>
      <c r="T38" s="1264">
        <v>0</v>
      </c>
      <c r="U38" s="1313">
        <v>0</v>
      </c>
      <c r="V38" s="1266">
        <v>0</v>
      </c>
      <c r="W38" s="1313">
        <v>0</v>
      </c>
      <c r="X38" s="1269">
        <v>-0.16247873018545078</v>
      </c>
      <c r="Y38"/>
      <c r="Z38"/>
      <c r="AA38"/>
      <c r="AB38"/>
    </row>
    <row r="39" spans="1:28">
      <c r="A39" s="1207"/>
      <c r="B39" s="1205" t="s">
        <v>120</v>
      </c>
      <c r="C39" s="1376">
        <v>70110391</v>
      </c>
      <c r="D39" s="1300"/>
      <c r="E39" s="1377">
        <v>31963825</v>
      </c>
      <c r="F39" s="1300"/>
      <c r="G39" s="1300"/>
      <c r="H39" s="1310"/>
      <c r="I39" s="1352">
        <v>102074216</v>
      </c>
      <c r="J39" s="1266"/>
      <c r="K39" s="1300"/>
      <c r="L39" s="1300"/>
      <c r="M39" s="1300"/>
      <c r="N39" s="1313"/>
      <c r="O39" s="1352"/>
      <c r="P39" s="1264"/>
      <c r="Q39" s="1265"/>
      <c r="R39" s="1265"/>
      <c r="S39" s="1264"/>
      <c r="T39" s="1264"/>
      <c r="U39" s="1313"/>
      <c r="V39" s="1266"/>
      <c r="W39" s="1313"/>
      <c r="X39" s="1269">
        <v>102074216</v>
      </c>
      <c r="Y39"/>
      <c r="Z39"/>
      <c r="AA39"/>
      <c r="AB39"/>
    </row>
    <row r="40" spans="1:28" s="205" customFormat="1">
      <c r="A40" s="1207"/>
      <c r="B40" s="1205" t="s">
        <v>450</v>
      </c>
      <c r="C40" s="1367">
        <v>72585678</v>
      </c>
      <c r="D40" s="1344"/>
      <c r="E40" s="1368">
        <v>33094485</v>
      </c>
      <c r="F40" s="1300"/>
      <c r="G40" s="1300"/>
      <c r="H40" s="1310"/>
      <c r="I40" s="1352">
        <v>105680163</v>
      </c>
      <c r="J40" s="1266"/>
      <c r="K40" s="1300"/>
      <c r="L40" s="1300"/>
      <c r="M40" s="1300"/>
      <c r="N40" s="1313"/>
      <c r="O40" s="1352"/>
      <c r="P40" s="1264"/>
      <c r="Q40" s="1265"/>
      <c r="R40" s="1265"/>
      <c r="S40" s="1264"/>
      <c r="T40" s="1264"/>
      <c r="U40" s="1313"/>
      <c r="V40" s="1266"/>
      <c r="W40" s="1313"/>
      <c r="X40" s="1269">
        <v>105680163</v>
      </c>
      <c r="Y40"/>
      <c r="Z40"/>
      <c r="AA40"/>
      <c r="AB40"/>
    </row>
    <row r="41" spans="1:28" s="204" customFormat="1" ht="13.5" thickBot="1">
      <c r="A41" s="1207"/>
      <c r="B41" s="1270" t="s">
        <v>335</v>
      </c>
      <c r="C41" s="1369">
        <v>3.530556547602195</v>
      </c>
      <c r="D41" s="1344">
        <v>0</v>
      </c>
      <c r="E41" s="1370">
        <v>3.5373113199061752</v>
      </c>
      <c r="F41" s="1300">
        <v>0</v>
      </c>
      <c r="G41" s="1300">
        <v>0</v>
      </c>
      <c r="H41" s="1310">
        <v>0</v>
      </c>
      <c r="I41" s="1352">
        <v>3.5326717571849882</v>
      </c>
      <c r="J41" s="1273">
        <v>0</v>
      </c>
      <c r="K41" s="1300">
        <v>0</v>
      </c>
      <c r="L41" s="1300">
        <v>0</v>
      </c>
      <c r="M41" s="1300">
        <v>0</v>
      </c>
      <c r="N41" s="1313">
        <v>0</v>
      </c>
      <c r="O41" s="1353">
        <v>0</v>
      </c>
      <c r="P41" s="1264">
        <v>0</v>
      </c>
      <c r="Q41" s="1265">
        <v>0</v>
      </c>
      <c r="R41" s="1265">
        <v>0</v>
      </c>
      <c r="S41" s="1264">
        <v>0</v>
      </c>
      <c r="T41" s="1264">
        <v>0</v>
      </c>
      <c r="U41" s="1313">
        <v>0</v>
      </c>
      <c r="V41" s="1266">
        <v>0</v>
      </c>
      <c r="W41" s="1313">
        <v>0</v>
      </c>
      <c r="X41" s="1269">
        <v>3.5326717571849882</v>
      </c>
      <c r="Y41"/>
      <c r="Z41"/>
      <c r="AA41"/>
      <c r="AB41"/>
    </row>
    <row r="42" spans="1:28">
      <c r="A42" s="1207"/>
      <c r="B42" s="1205" t="s">
        <v>35</v>
      </c>
      <c r="C42" s="1264">
        <v>1055637870</v>
      </c>
      <c r="D42" s="1300">
        <v>100612132</v>
      </c>
      <c r="E42" s="1300">
        <v>343550606</v>
      </c>
      <c r="F42" s="1300">
        <v>190578115</v>
      </c>
      <c r="G42" s="1300">
        <v>61302763</v>
      </c>
      <c r="H42" s="1310">
        <v>24887396</v>
      </c>
      <c r="I42" s="1352">
        <v>1776568882</v>
      </c>
      <c r="J42" s="1266"/>
      <c r="K42" s="1300">
        <v>84692733.049999997</v>
      </c>
      <c r="L42" s="1300">
        <v>301678476.41999996</v>
      </c>
      <c r="M42" s="1300">
        <v>102615681.53</v>
      </c>
      <c r="N42" s="1313"/>
      <c r="O42" s="1352">
        <v>488986891</v>
      </c>
      <c r="P42" s="1264">
        <v>14278657.140000001</v>
      </c>
      <c r="Q42" s="1265">
        <v>22892884.849999998</v>
      </c>
      <c r="R42" s="1265"/>
      <c r="S42" s="1264">
        <v>37171541.989999995</v>
      </c>
      <c r="T42" s="1264">
        <v>0</v>
      </c>
      <c r="U42" s="1313">
        <v>0</v>
      </c>
      <c r="V42" s="1266">
        <v>69992340.530000001</v>
      </c>
      <c r="W42" s="1313">
        <v>69992340.530000001</v>
      </c>
      <c r="X42" s="1269">
        <v>2372719655.52</v>
      </c>
      <c r="Y42"/>
      <c r="Z42"/>
      <c r="AA42"/>
      <c r="AB42"/>
    </row>
    <row r="43" spans="1:28" s="205" customFormat="1">
      <c r="A43" s="1207"/>
      <c r="B43" s="1205" t="s">
        <v>37</v>
      </c>
      <c r="C43" s="1264">
        <v>1054655239</v>
      </c>
      <c r="D43" s="1300">
        <v>102524771</v>
      </c>
      <c r="E43" s="1300">
        <v>361140627</v>
      </c>
      <c r="F43" s="1300">
        <v>192252810</v>
      </c>
      <c r="G43" s="1300">
        <v>64116162</v>
      </c>
      <c r="H43" s="1310">
        <v>26232259</v>
      </c>
      <c r="I43" s="1352">
        <v>1800921868</v>
      </c>
      <c r="J43" s="1266"/>
      <c r="K43" s="1300">
        <v>88263101</v>
      </c>
      <c r="L43" s="1300">
        <v>300373923</v>
      </c>
      <c r="M43" s="1300">
        <v>105007171</v>
      </c>
      <c r="N43" s="1313"/>
      <c r="O43" s="1352">
        <v>493644195</v>
      </c>
      <c r="P43" s="1264">
        <v>14606754</v>
      </c>
      <c r="Q43" s="1265">
        <v>22388581</v>
      </c>
      <c r="R43" s="1265"/>
      <c r="S43" s="1264">
        <v>36995335</v>
      </c>
      <c r="T43" s="1264">
        <v>0</v>
      </c>
      <c r="U43" s="1313">
        <v>0</v>
      </c>
      <c r="V43" s="1266">
        <v>67433955</v>
      </c>
      <c r="W43" s="1313">
        <v>67433955</v>
      </c>
      <c r="X43" s="1269">
        <v>2398995353</v>
      </c>
      <c r="Y43"/>
      <c r="Z43"/>
      <c r="AA43"/>
      <c r="AB43"/>
    </row>
    <row r="44" spans="1:28" s="218" customFormat="1" ht="13.5" thickBot="1">
      <c r="A44" s="1333"/>
      <c r="B44" s="1224" t="s">
        <v>39</v>
      </c>
      <c r="C44" s="1297">
        <v>-9.3084099000730239E-2</v>
      </c>
      <c r="D44" s="1305">
        <v>1.9010023562565994</v>
      </c>
      <c r="E44" s="1305">
        <v>5.120066940007086</v>
      </c>
      <c r="F44" s="1305">
        <v>0.8787446554395818</v>
      </c>
      <c r="G44" s="1305">
        <v>4.5893510542094162</v>
      </c>
      <c r="H44" s="1312">
        <v>5.4037915417105102</v>
      </c>
      <c r="I44" s="1354">
        <v>1.3707876033821018</v>
      </c>
      <c r="J44" s="1298">
        <v>0</v>
      </c>
      <c r="K44" s="1305">
        <v>4.2156721378824402</v>
      </c>
      <c r="L44" s="1305">
        <v>-0.43243171852397716</v>
      </c>
      <c r="M44" s="1305">
        <v>2.3305302214465531</v>
      </c>
      <c r="N44" s="1315">
        <v>0</v>
      </c>
      <c r="O44" s="1354">
        <v>0.95243943870879766</v>
      </c>
      <c r="P44" s="1286">
        <v>2.2978131401507929</v>
      </c>
      <c r="Q44" s="1287">
        <v>-2.2028846661498749</v>
      </c>
      <c r="R44" s="1287">
        <v>0</v>
      </c>
      <c r="S44" s="1286">
        <v>-0.47403734299588218</v>
      </c>
      <c r="T44" s="1286">
        <v>0</v>
      </c>
      <c r="U44" s="1315">
        <v>0</v>
      </c>
      <c r="V44" s="1298">
        <v>-3.655236431054095</v>
      </c>
      <c r="W44" s="1315">
        <v>-3.655236431054095</v>
      </c>
      <c r="X44" s="1299">
        <v>1.1074084297684119</v>
      </c>
      <c r="Y44"/>
      <c r="Z44"/>
      <c r="AA44"/>
      <c r="AB44"/>
    </row>
    <row r="45" spans="1:28">
      <c r="A45" s="1206" t="s">
        <v>203</v>
      </c>
      <c r="B45" s="1204" t="s">
        <v>253</v>
      </c>
      <c r="C45" s="1259">
        <v>118602540</v>
      </c>
      <c r="D45" s="1260"/>
      <c r="E45" s="1260">
        <v>173111295</v>
      </c>
      <c r="F45" s="1262">
        <v>50284061</v>
      </c>
      <c r="G45" s="1260">
        <v>29934273</v>
      </c>
      <c r="H45" s="1260">
        <v>48996813</v>
      </c>
      <c r="I45" s="1355">
        <v>420928982</v>
      </c>
      <c r="J45" s="1261"/>
      <c r="K45" s="1260">
        <v>15908696</v>
      </c>
      <c r="L45" s="1262">
        <v>34693366</v>
      </c>
      <c r="M45" s="1260">
        <v>111584080</v>
      </c>
      <c r="N45" s="1260"/>
      <c r="O45" s="1355">
        <v>162186142</v>
      </c>
      <c r="P45" s="1259"/>
      <c r="Q45" s="1260"/>
      <c r="R45" s="1260"/>
      <c r="S45" s="1259"/>
      <c r="T45" s="1259"/>
      <c r="U45" s="1259"/>
      <c r="V45" s="1261"/>
      <c r="W45" s="1259"/>
      <c r="X45" s="1263">
        <v>583115124</v>
      </c>
      <c r="Y45"/>
      <c r="Z45"/>
      <c r="AA45"/>
      <c r="AB45"/>
    </row>
    <row r="46" spans="1:28" s="205" customFormat="1">
      <c r="A46" s="1207"/>
      <c r="B46" s="1205" t="s">
        <v>4</v>
      </c>
      <c r="C46" s="1264">
        <v>120946912</v>
      </c>
      <c r="D46" s="1268"/>
      <c r="E46" s="1268">
        <v>176331526</v>
      </c>
      <c r="F46" s="1267">
        <v>51260025</v>
      </c>
      <c r="G46" s="1268">
        <v>30526611</v>
      </c>
      <c r="H46" s="1268">
        <v>49876649</v>
      </c>
      <c r="I46" s="1352">
        <v>428941723</v>
      </c>
      <c r="J46" s="1266"/>
      <c r="K46" s="1268">
        <v>16490356</v>
      </c>
      <c r="L46" s="1267">
        <v>35420756</v>
      </c>
      <c r="M46" s="1268">
        <v>115602504</v>
      </c>
      <c r="N46" s="1268"/>
      <c r="O46" s="1352">
        <v>167513616</v>
      </c>
      <c r="P46" s="1264"/>
      <c r="Q46" s="1268"/>
      <c r="R46" s="1268"/>
      <c r="S46" s="1264"/>
      <c r="T46" s="1264"/>
      <c r="U46" s="1264"/>
      <c r="V46" s="1266"/>
      <c r="W46" s="1264"/>
      <c r="X46" s="1269">
        <v>596455339</v>
      </c>
      <c r="Y46"/>
      <c r="Z46"/>
      <c r="AA46"/>
      <c r="AB46"/>
    </row>
    <row r="47" spans="1:28" s="204" customFormat="1" ht="13.5" thickBot="1">
      <c r="A47" s="1207"/>
      <c r="B47" s="1205" t="s">
        <v>175</v>
      </c>
      <c r="C47" s="1264">
        <v>1.9766625571425369</v>
      </c>
      <c r="D47" s="1268">
        <v>0</v>
      </c>
      <c r="E47" s="1268">
        <v>1.8602084861071602</v>
      </c>
      <c r="F47" s="1281">
        <v>1.9409013126445773</v>
      </c>
      <c r="G47" s="1268">
        <v>1.9787953427163572</v>
      </c>
      <c r="H47" s="1268">
        <v>1.7957004672936583</v>
      </c>
      <c r="I47" s="1352">
        <v>1.9035850090265343</v>
      </c>
      <c r="J47" s="1266">
        <v>0</v>
      </c>
      <c r="K47" s="1268">
        <v>3.6562393297351337</v>
      </c>
      <c r="L47" s="1281">
        <v>2.0966256200104656</v>
      </c>
      <c r="M47" s="1268">
        <v>3.6012520782534572</v>
      </c>
      <c r="N47" s="1268">
        <v>0</v>
      </c>
      <c r="O47" s="1352">
        <v>3.2847898928380701</v>
      </c>
      <c r="P47" s="1264">
        <v>0</v>
      </c>
      <c r="Q47" s="1268">
        <v>0</v>
      </c>
      <c r="R47" s="1268">
        <v>0</v>
      </c>
      <c r="S47" s="1264">
        <v>0</v>
      </c>
      <c r="T47" s="1264">
        <v>0</v>
      </c>
      <c r="U47" s="1264">
        <v>0</v>
      </c>
      <c r="V47" s="1266">
        <v>0</v>
      </c>
      <c r="W47" s="1264">
        <v>0</v>
      </c>
      <c r="X47" s="1269">
        <v>2.2877497857524269</v>
      </c>
      <c r="Y47"/>
      <c r="Z47"/>
      <c r="AA47"/>
      <c r="AB47"/>
    </row>
    <row r="48" spans="1:28">
      <c r="A48" s="1207"/>
      <c r="B48" s="1205" t="s">
        <v>269</v>
      </c>
      <c r="C48" s="1264">
        <v>80954944</v>
      </c>
      <c r="D48" s="1268"/>
      <c r="E48" s="1268">
        <v>3498617</v>
      </c>
      <c r="F48" s="1267">
        <v>3224501</v>
      </c>
      <c r="G48" s="1268">
        <v>3980848</v>
      </c>
      <c r="H48" s="1268"/>
      <c r="I48" s="1352">
        <v>91658910</v>
      </c>
      <c r="J48" s="1266"/>
      <c r="K48" s="1268"/>
      <c r="L48" s="1268"/>
      <c r="M48" s="1268">
        <v>2085557</v>
      </c>
      <c r="N48" s="1268"/>
      <c r="O48" s="1352">
        <v>2085557</v>
      </c>
      <c r="P48" s="1264"/>
      <c r="Q48" s="1268"/>
      <c r="R48" s="1268"/>
      <c r="S48" s="1264"/>
      <c r="T48" s="1264"/>
      <c r="U48" s="1264"/>
      <c r="V48" s="1266">
        <v>390000</v>
      </c>
      <c r="W48" s="1264">
        <v>390000</v>
      </c>
      <c r="X48" s="1269">
        <v>94134467</v>
      </c>
      <c r="Y48"/>
      <c r="Z48"/>
      <c r="AA48"/>
      <c r="AB48"/>
    </row>
    <row r="49" spans="1:28" s="205" customFormat="1">
      <c r="A49" s="1207"/>
      <c r="B49" s="1205" t="s">
        <v>342</v>
      </c>
      <c r="C49" s="1264">
        <v>82051679</v>
      </c>
      <c r="D49" s="1268"/>
      <c r="E49" s="1268">
        <v>3588916</v>
      </c>
      <c r="F49" s="1267">
        <v>3367493</v>
      </c>
      <c r="G49" s="1268">
        <v>4186139</v>
      </c>
      <c r="H49" s="1268"/>
      <c r="I49" s="1352">
        <v>93194227</v>
      </c>
      <c r="J49" s="1266"/>
      <c r="K49" s="1268"/>
      <c r="L49" s="1268"/>
      <c r="M49" s="1268">
        <v>2130018</v>
      </c>
      <c r="N49" s="1268"/>
      <c r="O49" s="1352">
        <v>2130018</v>
      </c>
      <c r="P49" s="1264"/>
      <c r="Q49" s="1268"/>
      <c r="R49" s="1268"/>
      <c r="S49" s="1264"/>
      <c r="T49" s="1264"/>
      <c r="U49" s="1264"/>
      <c r="V49" s="1266">
        <v>390000</v>
      </c>
      <c r="W49" s="1264">
        <v>390000</v>
      </c>
      <c r="X49" s="1269">
        <v>95714245</v>
      </c>
      <c r="Y49"/>
      <c r="Z49"/>
      <c r="AA49"/>
      <c r="AB49"/>
    </row>
    <row r="50" spans="1:28" s="204" customFormat="1" ht="13.5" thickBot="1">
      <c r="A50" s="1207"/>
      <c r="B50" s="1205" t="s">
        <v>344</v>
      </c>
      <c r="C50" s="1264">
        <v>1.354747401221104</v>
      </c>
      <c r="D50" s="1268">
        <v>0</v>
      </c>
      <c r="E50" s="1268">
        <v>2.5809912888435633</v>
      </c>
      <c r="F50" s="1281">
        <v>4.4345466166703007</v>
      </c>
      <c r="G50" s="1268">
        <v>5.156966555869503</v>
      </c>
      <c r="H50" s="1268">
        <v>0</v>
      </c>
      <c r="I50" s="1352">
        <v>1.675033010975147</v>
      </c>
      <c r="J50" s="1266">
        <v>0</v>
      </c>
      <c r="K50" s="1268">
        <v>0</v>
      </c>
      <c r="L50" s="1268">
        <v>0</v>
      </c>
      <c r="M50" s="1268">
        <v>2.1318525458666437</v>
      </c>
      <c r="N50" s="1268">
        <v>0</v>
      </c>
      <c r="O50" s="1352">
        <v>2.1318525458666437</v>
      </c>
      <c r="P50" s="1264">
        <v>0</v>
      </c>
      <c r="Q50" s="1268">
        <v>0</v>
      </c>
      <c r="R50" s="1268">
        <v>0</v>
      </c>
      <c r="S50" s="1264">
        <v>0</v>
      </c>
      <c r="T50" s="1264">
        <v>0</v>
      </c>
      <c r="U50" s="1264">
        <v>0</v>
      </c>
      <c r="V50" s="1266">
        <v>0</v>
      </c>
      <c r="W50" s="1264">
        <v>0</v>
      </c>
      <c r="X50" s="1269">
        <v>1.6782142081922025</v>
      </c>
      <c r="Y50"/>
      <c r="Z50"/>
      <c r="AA50"/>
      <c r="AB50"/>
    </row>
    <row r="51" spans="1:28">
      <c r="A51" s="1207"/>
      <c r="B51" s="1205" t="s">
        <v>5</v>
      </c>
      <c r="C51" s="1264"/>
      <c r="D51" s="1268"/>
      <c r="E51" s="1268"/>
      <c r="F51" s="1268"/>
      <c r="G51" s="1268"/>
      <c r="H51" s="1268">
        <v>5286908</v>
      </c>
      <c r="I51" s="1352">
        <v>5286908</v>
      </c>
      <c r="J51" s="1288"/>
      <c r="K51" s="1268"/>
      <c r="L51" s="1278">
        <v>8254033.2300000004</v>
      </c>
      <c r="M51" s="1277">
        <v>7696044</v>
      </c>
      <c r="N51" s="1268"/>
      <c r="O51" s="1352">
        <v>15950077.23</v>
      </c>
      <c r="P51" s="1264"/>
      <c r="Q51" s="1268"/>
      <c r="R51" s="1268"/>
      <c r="S51" s="1264"/>
      <c r="T51" s="1264"/>
      <c r="U51" s="1264"/>
      <c r="V51" s="1266"/>
      <c r="W51" s="1264"/>
      <c r="X51" s="1269">
        <v>21236985.23</v>
      </c>
      <c r="Y51"/>
      <c r="Z51"/>
      <c r="AA51"/>
      <c r="AB51"/>
    </row>
    <row r="52" spans="1:28" s="205" customFormat="1">
      <c r="A52" s="1207"/>
      <c r="B52" s="1205" t="s">
        <v>6</v>
      </c>
      <c r="C52" s="1264"/>
      <c r="D52" s="1268"/>
      <c r="E52" s="1268"/>
      <c r="F52" s="1268"/>
      <c r="G52" s="1268"/>
      <c r="H52" s="1268">
        <v>5200000</v>
      </c>
      <c r="I52" s="1352">
        <v>5200000</v>
      </c>
      <c r="J52" s="1289"/>
      <c r="K52" s="1268"/>
      <c r="L52" s="1280">
        <v>8100000</v>
      </c>
      <c r="M52" s="1279">
        <v>7445000</v>
      </c>
      <c r="N52" s="1268"/>
      <c r="O52" s="1352">
        <v>15545000</v>
      </c>
      <c r="P52" s="1264"/>
      <c r="Q52" s="1268"/>
      <c r="R52" s="1268"/>
      <c r="S52" s="1264"/>
      <c r="T52" s="1264"/>
      <c r="U52" s="1264"/>
      <c r="V52" s="1266"/>
      <c r="W52" s="1264"/>
      <c r="X52" s="1269">
        <v>20745000</v>
      </c>
      <c r="Y52"/>
      <c r="Z52"/>
      <c r="AA52"/>
      <c r="AB52"/>
    </row>
    <row r="53" spans="1:28" s="204" customFormat="1" ht="13.5" thickBot="1">
      <c r="A53" s="1207"/>
      <c r="B53" s="1205" t="s">
        <v>426</v>
      </c>
      <c r="C53" s="1264">
        <v>0</v>
      </c>
      <c r="D53" s="1268">
        <v>0</v>
      </c>
      <c r="E53" s="1268">
        <v>0</v>
      </c>
      <c r="F53" s="1268">
        <v>0</v>
      </c>
      <c r="G53" s="1268">
        <v>0</v>
      </c>
      <c r="H53" s="1268">
        <v>-1.6438341654517159</v>
      </c>
      <c r="I53" s="1352">
        <v>-1.6438341654517159</v>
      </c>
      <c r="J53" s="1290">
        <v>0</v>
      </c>
      <c r="K53" s="1268">
        <v>0</v>
      </c>
      <c r="L53" s="1284">
        <v>-1.866157134431605</v>
      </c>
      <c r="M53" s="1283">
        <v>-3.2619875873890534</v>
      </c>
      <c r="N53" s="1268">
        <v>0</v>
      </c>
      <c r="O53" s="1352">
        <v>-2.5396568565705961</v>
      </c>
      <c r="P53" s="1264">
        <v>0</v>
      </c>
      <c r="Q53" s="1268">
        <v>0</v>
      </c>
      <c r="R53" s="1268">
        <v>0</v>
      </c>
      <c r="S53" s="1264">
        <v>0</v>
      </c>
      <c r="T53" s="1264">
        <v>0</v>
      </c>
      <c r="U53" s="1264">
        <v>0</v>
      </c>
      <c r="V53" s="1266">
        <v>0</v>
      </c>
      <c r="W53" s="1264">
        <v>0</v>
      </c>
      <c r="X53" s="1269">
        <v>-2.3166434626747652</v>
      </c>
      <c r="Y53"/>
      <c r="Z53"/>
      <c r="AA53"/>
      <c r="AB53"/>
    </row>
    <row r="54" spans="1:28">
      <c r="A54" s="1207"/>
      <c r="B54" s="1205" t="s">
        <v>322</v>
      </c>
      <c r="C54" s="1378">
        <v>132381032</v>
      </c>
      <c r="D54" s="1276"/>
      <c r="E54" s="1372">
        <v>206911860.37</v>
      </c>
      <c r="F54" s="1372">
        <v>61182535</v>
      </c>
      <c r="G54" s="1372">
        <v>31156827</v>
      </c>
      <c r="H54" s="1373">
        <v>44745759</v>
      </c>
      <c r="I54" s="1352">
        <v>476378013.37</v>
      </c>
      <c r="J54" s="1266"/>
      <c r="K54" s="1340">
        <v>24150584</v>
      </c>
      <c r="L54" s="1268">
        <v>36226991.340000004</v>
      </c>
      <c r="M54" s="1340">
        <v>63342533.43</v>
      </c>
      <c r="N54" s="1268"/>
      <c r="O54" s="1352">
        <v>123720108.77000001</v>
      </c>
      <c r="P54" s="1264"/>
      <c r="Q54" s="1268"/>
      <c r="R54" s="1268"/>
      <c r="S54" s="1264"/>
      <c r="T54" s="1264"/>
      <c r="U54" s="1264"/>
      <c r="V54" s="1266"/>
      <c r="W54" s="1264"/>
      <c r="X54" s="1269">
        <v>600098122.13999999</v>
      </c>
      <c r="Y54"/>
      <c r="Z54"/>
      <c r="AA54"/>
      <c r="AB54"/>
    </row>
    <row r="55" spans="1:28" s="205" customFormat="1">
      <c r="A55" s="1207"/>
      <c r="B55" s="1205" t="s">
        <v>22</v>
      </c>
      <c r="C55" s="1379">
        <v>107863753</v>
      </c>
      <c r="D55" s="1265"/>
      <c r="E55" s="1374">
        <v>203777823</v>
      </c>
      <c r="F55" s="1374">
        <v>60784057</v>
      </c>
      <c r="G55" s="1374">
        <v>30916477</v>
      </c>
      <c r="H55" s="1375">
        <v>43833431</v>
      </c>
      <c r="I55" s="1352">
        <v>447175541</v>
      </c>
      <c r="J55" s="1266"/>
      <c r="K55" s="1340">
        <v>23936160</v>
      </c>
      <c r="L55" s="1268">
        <v>39438527</v>
      </c>
      <c r="M55" s="1340">
        <v>61092742</v>
      </c>
      <c r="N55" s="1268"/>
      <c r="O55" s="1352">
        <v>124467429</v>
      </c>
      <c r="P55" s="1264"/>
      <c r="Q55" s="1268"/>
      <c r="R55" s="1268"/>
      <c r="S55" s="1264"/>
      <c r="T55" s="1264"/>
      <c r="U55" s="1264"/>
      <c r="V55" s="1266"/>
      <c r="W55" s="1264"/>
      <c r="X55" s="1269">
        <v>571642970</v>
      </c>
      <c r="Y55"/>
      <c r="Z55"/>
      <c r="AA55"/>
      <c r="AB55"/>
    </row>
    <row r="56" spans="1:28" s="204" customFormat="1" ht="13.5" thickBot="1">
      <c r="A56" s="1207"/>
      <c r="B56" s="1205" t="s">
        <v>375</v>
      </c>
      <c r="C56" s="1335">
        <v>-18.520235587829532</v>
      </c>
      <c r="D56" s="1282">
        <v>0</v>
      </c>
      <c r="E56" s="1336">
        <v>-1.514672655494816</v>
      </c>
      <c r="F56" s="1336">
        <v>-0.65129370661088171</v>
      </c>
      <c r="G56" s="1336">
        <v>-0.77142001655046577</v>
      </c>
      <c r="H56" s="1337">
        <v>-2.0389150176221174</v>
      </c>
      <c r="I56" s="1352">
        <v>-6.1301049902398868</v>
      </c>
      <c r="J56" s="1266">
        <v>0</v>
      </c>
      <c r="K56" s="1340">
        <v>-0.88786258750513036</v>
      </c>
      <c r="L56" s="1268">
        <v>8.865035547277099</v>
      </c>
      <c r="M56" s="1335">
        <v>-3.5517863087782082</v>
      </c>
      <c r="N56" s="1268">
        <v>0</v>
      </c>
      <c r="O56" s="1365">
        <v>0.60404103862314218</v>
      </c>
      <c r="P56" s="1264">
        <v>0</v>
      </c>
      <c r="Q56" s="1268">
        <v>0</v>
      </c>
      <c r="R56" s="1268">
        <v>0</v>
      </c>
      <c r="S56" s="1264">
        <v>0</v>
      </c>
      <c r="T56" s="1264">
        <v>0</v>
      </c>
      <c r="U56" s="1264">
        <v>0</v>
      </c>
      <c r="V56" s="1266">
        <v>0</v>
      </c>
      <c r="W56" s="1264">
        <v>0</v>
      </c>
      <c r="X56" s="1269">
        <v>-4.7417499055865484</v>
      </c>
      <c r="Y56"/>
      <c r="Z56"/>
      <c r="AA56"/>
      <c r="AB56"/>
    </row>
    <row r="57" spans="1:28">
      <c r="A57" s="1207"/>
      <c r="B57" s="1205" t="s">
        <v>324</v>
      </c>
      <c r="C57" s="1264"/>
      <c r="D57" s="1268"/>
      <c r="E57" s="1268"/>
      <c r="F57" s="1268"/>
      <c r="G57" s="1268"/>
      <c r="H57" s="1268"/>
      <c r="I57" s="1352"/>
      <c r="J57" s="1266"/>
      <c r="K57" s="1268"/>
      <c r="L57" s="1268"/>
      <c r="M57" s="1268"/>
      <c r="N57" s="1268"/>
      <c r="O57" s="1352"/>
      <c r="P57" s="1264"/>
      <c r="Q57" s="1268"/>
      <c r="R57" s="1268"/>
      <c r="S57" s="1264"/>
      <c r="T57" s="1264"/>
      <c r="U57" s="1264"/>
      <c r="V57" s="1266"/>
      <c r="W57" s="1264"/>
      <c r="X57" s="1269"/>
      <c r="Y57"/>
      <c r="Z57"/>
      <c r="AA57"/>
      <c r="AB57"/>
    </row>
    <row r="58" spans="1:28" s="205" customFormat="1">
      <c r="A58" s="1207"/>
      <c r="B58" s="1205" t="s">
        <v>226</v>
      </c>
      <c r="C58" s="1264"/>
      <c r="D58" s="1268"/>
      <c r="E58" s="1268"/>
      <c r="F58" s="1268"/>
      <c r="G58" s="1268"/>
      <c r="H58" s="1268"/>
      <c r="I58" s="1352"/>
      <c r="J58" s="1266"/>
      <c r="K58" s="1268"/>
      <c r="L58" s="1268"/>
      <c r="M58" s="1268"/>
      <c r="N58" s="1268"/>
      <c r="O58" s="1352"/>
      <c r="P58" s="1264"/>
      <c r="Q58" s="1268"/>
      <c r="R58" s="1268"/>
      <c r="S58" s="1264"/>
      <c r="T58" s="1264"/>
      <c r="U58" s="1264"/>
      <c r="V58" s="1266"/>
      <c r="W58" s="1264"/>
      <c r="X58" s="1269"/>
      <c r="Y58"/>
      <c r="Z58"/>
      <c r="AA58"/>
      <c r="AB58"/>
    </row>
    <row r="59" spans="1:28" s="204" customFormat="1" ht="13.5" thickBot="1">
      <c r="A59" s="1207"/>
      <c r="B59" s="1205" t="s">
        <v>236</v>
      </c>
      <c r="C59" s="1264">
        <v>0</v>
      </c>
      <c r="D59" s="1268">
        <v>0</v>
      </c>
      <c r="E59" s="1268">
        <v>0</v>
      </c>
      <c r="F59" s="1268">
        <v>0</v>
      </c>
      <c r="G59" s="1268">
        <v>0</v>
      </c>
      <c r="H59" s="1268">
        <v>0</v>
      </c>
      <c r="I59" s="1352">
        <v>0</v>
      </c>
      <c r="J59" s="1266">
        <v>0</v>
      </c>
      <c r="K59" s="1268">
        <v>0</v>
      </c>
      <c r="L59" s="1268">
        <v>0</v>
      </c>
      <c r="M59" s="1268">
        <v>0</v>
      </c>
      <c r="N59" s="1268">
        <v>0</v>
      </c>
      <c r="O59" s="1352">
        <v>0</v>
      </c>
      <c r="P59" s="1264">
        <v>0</v>
      </c>
      <c r="Q59" s="1268">
        <v>0</v>
      </c>
      <c r="R59" s="1268">
        <v>0</v>
      </c>
      <c r="S59" s="1264">
        <v>0</v>
      </c>
      <c r="T59" s="1264">
        <v>0</v>
      </c>
      <c r="U59" s="1264">
        <v>0</v>
      </c>
      <c r="V59" s="1266">
        <v>0</v>
      </c>
      <c r="W59" s="1264">
        <v>0</v>
      </c>
      <c r="X59" s="1269">
        <v>0</v>
      </c>
      <c r="Y59"/>
      <c r="Z59"/>
      <c r="AA59"/>
      <c r="AB59"/>
    </row>
    <row r="60" spans="1:28">
      <c r="A60" s="1207"/>
      <c r="B60" s="1205" t="s">
        <v>449</v>
      </c>
      <c r="C60" s="1262">
        <v>132381032</v>
      </c>
      <c r="D60" s="1268"/>
      <c r="E60" s="1268">
        <v>206911860.37</v>
      </c>
      <c r="F60" s="1268">
        <v>61182535</v>
      </c>
      <c r="G60" s="1268">
        <v>31156827</v>
      </c>
      <c r="H60" s="1268">
        <v>44745759</v>
      </c>
      <c r="I60" s="1352">
        <v>476378013.37</v>
      </c>
      <c r="J60" s="1266"/>
      <c r="K60" s="1268">
        <v>24150584</v>
      </c>
      <c r="L60" s="1268">
        <v>36226991.340000004</v>
      </c>
      <c r="M60" s="1268">
        <v>63342533.43</v>
      </c>
      <c r="N60" s="1268"/>
      <c r="O60" s="1352">
        <v>123720108.77000001</v>
      </c>
      <c r="P60" s="1264"/>
      <c r="Q60" s="1268"/>
      <c r="R60" s="1268"/>
      <c r="S60" s="1264"/>
      <c r="T60" s="1264">
        <v>0</v>
      </c>
      <c r="U60" s="1264">
        <v>0</v>
      </c>
      <c r="V60" s="1266">
        <v>0</v>
      </c>
      <c r="W60" s="1264">
        <v>0</v>
      </c>
      <c r="X60" s="1269">
        <v>600098122.13999999</v>
      </c>
      <c r="Y60"/>
      <c r="Z60"/>
      <c r="AA60"/>
      <c r="AB60"/>
    </row>
    <row r="61" spans="1:28" s="205" customFormat="1">
      <c r="A61" s="1207"/>
      <c r="B61" s="1205" t="s">
        <v>109</v>
      </c>
      <c r="C61" s="1267">
        <v>107863753</v>
      </c>
      <c r="D61" s="1268"/>
      <c r="E61" s="1268">
        <v>203777823</v>
      </c>
      <c r="F61" s="1268">
        <v>60784057</v>
      </c>
      <c r="G61" s="1268">
        <v>30916477</v>
      </c>
      <c r="H61" s="1268">
        <v>43833431</v>
      </c>
      <c r="I61" s="1352">
        <v>447175541</v>
      </c>
      <c r="J61" s="1266"/>
      <c r="K61" s="1268">
        <v>23936160</v>
      </c>
      <c r="L61" s="1268">
        <v>39438527</v>
      </c>
      <c r="M61" s="1268">
        <v>61092742</v>
      </c>
      <c r="N61" s="1268"/>
      <c r="O61" s="1352">
        <v>124467429</v>
      </c>
      <c r="P61" s="1264"/>
      <c r="Q61" s="1268"/>
      <c r="R61" s="1268"/>
      <c r="S61" s="1264"/>
      <c r="T61" s="1264">
        <v>0</v>
      </c>
      <c r="U61" s="1264">
        <v>0</v>
      </c>
      <c r="V61" s="1266">
        <v>0</v>
      </c>
      <c r="W61" s="1264">
        <v>0</v>
      </c>
      <c r="X61" s="1269">
        <v>571642970</v>
      </c>
      <c r="Y61"/>
      <c r="Z61"/>
      <c r="AA61"/>
      <c r="AB61"/>
    </row>
    <row r="62" spans="1:28" s="204" customFormat="1" ht="13.5" thickBot="1">
      <c r="A62" s="1207"/>
      <c r="B62" s="1205" t="s">
        <v>83</v>
      </c>
      <c r="C62" s="1281">
        <v>-18.520235587829532</v>
      </c>
      <c r="D62" s="1268">
        <v>0</v>
      </c>
      <c r="E62" s="1268">
        <v>-1.514672655494816</v>
      </c>
      <c r="F62" s="1268">
        <v>-0.65129370661088171</v>
      </c>
      <c r="G62" s="1268">
        <v>-0.77142001655046577</v>
      </c>
      <c r="H62" s="1268">
        <v>-2.0389150176221174</v>
      </c>
      <c r="I62" s="1352">
        <v>-6.1301049902398868</v>
      </c>
      <c r="J62" s="1266">
        <v>0</v>
      </c>
      <c r="K62" s="1268">
        <v>-0.88786258750513036</v>
      </c>
      <c r="L62" s="1268">
        <v>8.865035547277099</v>
      </c>
      <c r="M62" s="1268">
        <v>-3.5517863087782082</v>
      </c>
      <c r="N62" s="1268">
        <v>0</v>
      </c>
      <c r="O62" s="1352">
        <v>0.60404103862314218</v>
      </c>
      <c r="P62" s="1264">
        <v>0</v>
      </c>
      <c r="Q62" s="1268">
        <v>0</v>
      </c>
      <c r="R62" s="1268">
        <v>0</v>
      </c>
      <c r="S62" s="1264">
        <v>0</v>
      </c>
      <c r="T62" s="1264">
        <v>0</v>
      </c>
      <c r="U62" s="1264">
        <v>0</v>
      </c>
      <c r="V62" s="1266">
        <v>0</v>
      </c>
      <c r="W62" s="1264">
        <v>0</v>
      </c>
      <c r="X62" s="1269">
        <v>-4.7417499055865484</v>
      </c>
      <c r="Y62"/>
      <c r="Z62"/>
      <c r="AA62"/>
      <c r="AB62"/>
    </row>
    <row r="63" spans="1:28">
      <c r="A63" s="1207"/>
      <c r="B63" s="1205" t="s">
        <v>111</v>
      </c>
      <c r="C63" s="1264">
        <v>40098576</v>
      </c>
      <c r="D63" s="1268"/>
      <c r="E63" s="1268"/>
      <c r="F63" s="1268"/>
      <c r="G63" s="1268"/>
      <c r="H63" s="1268"/>
      <c r="I63" s="1352">
        <v>40098576</v>
      </c>
      <c r="J63" s="1266"/>
      <c r="K63" s="1268"/>
      <c r="L63" s="1268"/>
      <c r="M63" s="1268"/>
      <c r="N63" s="1268"/>
      <c r="O63" s="1352"/>
      <c r="P63" s="1264"/>
      <c r="Q63" s="1268"/>
      <c r="R63" s="1268"/>
      <c r="S63" s="1264"/>
      <c r="T63" s="1264"/>
      <c r="U63" s="1264"/>
      <c r="V63" s="1343">
        <v>59514871</v>
      </c>
      <c r="W63" s="1264">
        <v>59514871</v>
      </c>
      <c r="X63" s="1269">
        <v>99613447</v>
      </c>
      <c r="Y63"/>
      <c r="Z63"/>
      <c r="AA63"/>
      <c r="AB63"/>
    </row>
    <row r="64" spans="1:28" s="205" customFormat="1">
      <c r="A64" s="1207"/>
      <c r="B64" s="1205" t="s">
        <v>113</v>
      </c>
      <c r="C64" s="1264">
        <v>45945987</v>
      </c>
      <c r="D64" s="1268"/>
      <c r="E64" s="1268"/>
      <c r="F64" s="1268"/>
      <c r="G64" s="1268"/>
      <c r="H64" s="1268"/>
      <c r="I64" s="1352">
        <v>45945987</v>
      </c>
      <c r="J64" s="1266"/>
      <c r="K64" s="1268"/>
      <c r="L64" s="1268"/>
      <c r="M64" s="1268"/>
      <c r="N64" s="1268"/>
      <c r="O64" s="1352"/>
      <c r="P64" s="1264"/>
      <c r="Q64" s="1268"/>
      <c r="R64" s="1268"/>
      <c r="S64" s="1264"/>
      <c r="T64" s="1264"/>
      <c r="U64" s="1264"/>
      <c r="V64" s="1343">
        <v>168339916</v>
      </c>
      <c r="W64" s="1264">
        <v>168339916</v>
      </c>
      <c r="X64" s="1269">
        <v>214285903</v>
      </c>
      <c r="Y64"/>
      <c r="Z64"/>
      <c r="AA64"/>
      <c r="AB64"/>
    </row>
    <row r="65" spans="1:28" s="204" customFormat="1">
      <c r="A65" s="1207"/>
      <c r="B65" s="1205" t="s">
        <v>115</v>
      </c>
      <c r="C65" s="1264">
        <v>14.582590164797873</v>
      </c>
      <c r="D65" s="1268">
        <v>0</v>
      </c>
      <c r="E65" s="1268">
        <v>0</v>
      </c>
      <c r="F65" s="1268">
        <v>0</v>
      </c>
      <c r="G65" s="1268">
        <v>0</v>
      </c>
      <c r="H65" s="1268">
        <v>0</v>
      </c>
      <c r="I65" s="1352">
        <v>14.582590164797873</v>
      </c>
      <c r="J65" s="1266">
        <v>0</v>
      </c>
      <c r="K65" s="1268">
        <v>0</v>
      </c>
      <c r="L65" s="1268">
        <v>0</v>
      </c>
      <c r="M65" s="1268">
        <v>0</v>
      </c>
      <c r="N65" s="1268">
        <v>0</v>
      </c>
      <c r="O65" s="1352">
        <v>0</v>
      </c>
      <c r="P65" s="1264">
        <v>0</v>
      </c>
      <c r="Q65" s="1268">
        <v>0</v>
      </c>
      <c r="R65" s="1268">
        <v>0</v>
      </c>
      <c r="S65" s="1264">
        <v>0</v>
      </c>
      <c r="T65" s="1264">
        <v>0</v>
      </c>
      <c r="U65" s="1264">
        <v>0</v>
      </c>
      <c r="V65" s="1343">
        <v>182.8535342032414</v>
      </c>
      <c r="W65" s="1264">
        <v>182.8535342032414</v>
      </c>
      <c r="X65" s="1269">
        <v>115.11744594080757</v>
      </c>
      <c r="Y65"/>
      <c r="Z65"/>
      <c r="AA65"/>
      <c r="AB65"/>
    </row>
    <row r="66" spans="1:28">
      <c r="A66" s="1207"/>
      <c r="B66" s="1205" t="s">
        <v>339</v>
      </c>
      <c r="C66" s="1264"/>
      <c r="D66" s="1268"/>
      <c r="E66" s="1268"/>
      <c r="F66" s="1268"/>
      <c r="G66" s="1268"/>
      <c r="H66" s="1268"/>
      <c r="I66" s="1352"/>
      <c r="J66" s="1266"/>
      <c r="K66" s="1268"/>
      <c r="L66" s="1268"/>
      <c r="M66" s="1268"/>
      <c r="N66" s="1268"/>
      <c r="O66" s="1352"/>
      <c r="P66" s="1264"/>
      <c r="Q66" s="1268"/>
      <c r="R66" s="1268"/>
      <c r="S66" s="1264"/>
      <c r="T66" s="1264"/>
      <c r="U66" s="1264"/>
      <c r="V66" s="1266"/>
      <c r="W66" s="1264"/>
      <c r="X66" s="1269"/>
      <c r="Y66"/>
      <c r="Z66"/>
      <c r="AA66"/>
      <c r="AB66"/>
    </row>
    <row r="67" spans="1:28" s="205" customFormat="1">
      <c r="A67" s="1207"/>
      <c r="B67" s="1205" t="s">
        <v>223</v>
      </c>
      <c r="C67" s="1264"/>
      <c r="D67" s="1268"/>
      <c r="E67" s="1268"/>
      <c r="F67" s="1268"/>
      <c r="G67" s="1268"/>
      <c r="H67" s="1268"/>
      <c r="I67" s="1352"/>
      <c r="J67" s="1266"/>
      <c r="K67" s="1268"/>
      <c r="L67" s="1268"/>
      <c r="M67" s="1268"/>
      <c r="N67" s="1268"/>
      <c r="O67" s="1352"/>
      <c r="P67" s="1264"/>
      <c r="Q67" s="1268"/>
      <c r="R67" s="1268"/>
      <c r="S67" s="1264"/>
      <c r="T67" s="1264"/>
      <c r="U67" s="1264"/>
      <c r="V67" s="1266"/>
      <c r="W67" s="1264"/>
      <c r="X67" s="1269"/>
      <c r="Y67"/>
      <c r="Z67"/>
      <c r="AA67"/>
      <c r="AB67"/>
    </row>
    <row r="68" spans="1:28" s="204" customFormat="1">
      <c r="A68" s="1207"/>
      <c r="B68" s="1205" t="s">
        <v>85</v>
      </c>
      <c r="C68" s="1264">
        <v>0</v>
      </c>
      <c r="D68" s="1268">
        <v>0</v>
      </c>
      <c r="E68" s="1268">
        <v>0</v>
      </c>
      <c r="F68" s="1268">
        <v>0</v>
      </c>
      <c r="G68" s="1268">
        <v>0</v>
      </c>
      <c r="H68" s="1268">
        <v>0</v>
      </c>
      <c r="I68" s="1352">
        <v>0</v>
      </c>
      <c r="J68" s="1266">
        <v>0</v>
      </c>
      <c r="K68" s="1268">
        <v>0</v>
      </c>
      <c r="L68" s="1268">
        <v>0</v>
      </c>
      <c r="M68" s="1268">
        <v>0</v>
      </c>
      <c r="N68" s="1268">
        <v>0</v>
      </c>
      <c r="O68" s="1352">
        <v>0</v>
      </c>
      <c r="P68" s="1264">
        <v>0</v>
      </c>
      <c r="Q68" s="1268">
        <v>0</v>
      </c>
      <c r="R68" s="1268">
        <v>0</v>
      </c>
      <c r="S68" s="1264">
        <v>0</v>
      </c>
      <c r="T68" s="1264">
        <v>0</v>
      </c>
      <c r="U68" s="1264">
        <v>0</v>
      </c>
      <c r="V68" s="1266">
        <v>0</v>
      </c>
      <c r="W68" s="1264">
        <v>0</v>
      </c>
      <c r="X68" s="1269">
        <v>0</v>
      </c>
      <c r="Y68"/>
      <c r="Z68"/>
      <c r="AA68"/>
      <c r="AB68"/>
    </row>
    <row r="69" spans="1:28">
      <c r="A69" s="1207"/>
      <c r="B69" s="1205" t="s">
        <v>219</v>
      </c>
      <c r="C69" s="1264"/>
      <c r="D69" s="1268"/>
      <c r="E69" s="1268"/>
      <c r="F69" s="1268"/>
      <c r="G69" s="1268"/>
      <c r="H69" s="1268"/>
      <c r="I69" s="1352"/>
      <c r="J69" s="1266"/>
      <c r="K69" s="1268"/>
      <c r="L69" s="1268"/>
      <c r="M69" s="1268"/>
      <c r="N69" s="1268"/>
      <c r="O69" s="1352"/>
      <c r="P69" s="1264"/>
      <c r="Q69" s="1268"/>
      <c r="R69" s="1268"/>
      <c r="S69" s="1264"/>
      <c r="T69" s="1264"/>
      <c r="U69" s="1264"/>
      <c r="V69" s="1266"/>
      <c r="W69" s="1264"/>
      <c r="X69" s="1269"/>
      <c r="Y69"/>
      <c r="Z69"/>
      <c r="AA69"/>
      <c r="AB69"/>
    </row>
    <row r="70" spans="1:28" s="205" customFormat="1">
      <c r="A70" s="1207"/>
      <c r="B70" s="1205" t="s">
        <v>141</v>
      </c>
      <c r="C70" s="1264"/>
      <c r="D70" s="1268"/>
      <c r="E70" s="1268"/>
      <c r="F70" s="1268"/>
      <c r="G70" s="1268"/>
      <c r="H70" s="1268"/>
      <c r="I70" s="1352"/>
      <c r="J70" s="1266"/>
      <c r="K70" s="1268"/>
      <c r="L70" s="1268"/>
      <c r="M70" s="1268"/>
      <c r="N70" s="1268"/>
      <c r="O70" s="1352"/>
      <c r="P70" s="1264"/>
      <c r="Q70" s="1268"/>
      <c r="R70" s="1268"/>
      <c r="S70" s="1264"/>
      <c r="T70" s="1264"/>
      <c r="U70" s="1264"/>
      <c r="V70" s="1266"/>
      <c r="W70" s="1264"/>
      <c r="X70" s="1269"/>
      <c r="Y70"/>
      <c r="Z70"/>
      <c r="AA70"/>
      <c r="AB70"/>
    </row>
    <row r="71" spans="1:28" s="204" customFormat="1">
      <c r="A71" s="1207"/>
      <c r="B71" s="1205" t="s">
        <v>169</v>
      </c>
      <c r="C71" s="1264">
        <v>0</v>
      </c>
      <c r="D71" s="1268">
        <v>0</v>
      </c>
      <c r="E71" s="1268">
        <v>0</v>
      </c>
      <c r="F71" s="1268">
        <v>0</v>
      </c>
      <c r="G71" s="1268">
        <v>0</v>
      </c>
      <c r="H71" s="1268">
        <v>0</v>
      </c>
      <c r="I71" s="1352">
        <v>0</v>
      </c>
      <c r="J71" s="1266">
        <v>0</v>
      </c>
      <c r="K71" s="1268">
        <v>0</v>
      </c>
      <c r="L71" s="1268">
        <v>0</v>
      </c>
      <c r="M71" s="1268">
        <v>0</v>
      </c>
      <c r="N71" s="1268">
        <v>0</v>
      </c>
      <c r="O71" s="1352">
        <v>0</v>
      </c>
      <c r="P71" s="1264">
        <v>0</v>
      </c>
      <c r="Q71" s="1268">
        <v>0</v>
      </c>
      <c r="R71" s="1268">
        <v>0</v>
      </c>
      <c r="S71" s="1264">
        <v>0</v>
      </c>
      <c r="T71" s="1264">
        <v>0</v>
      </c>
      <c r="U71" s="1264">
        <v>0</v>
      </c>
      <c r="V71" s="1266">
        <v>0</v>
      </c>
      <c r="W71" s="1264">
        <v>0</v>
      </c>
      <c r="X71" s="1269">
        <v>0</v>
      </c>
      <c r="Y71"/>
      <c r="Z71"/>
      <c r="AA71"/>
      <c r="AB71"/>
    </row>
    <row r="72" spans="1:28">
      <c r="A72" s="1207"/>
      <c r="B72" s="1205" t="s">
        <v>221</v>
      </c>
      <c r="C72" s="1264">
        <v>0</v>
      </c>
      <c r="D72" s="1268"/>
      <c r="E72" s="1268">
        <v>0</v>
      </c>
      <c r="F72" s="1268">
        <v>0</v>
      </c>
      <c r="G72" s="1268">
        <v>0</v>
      </c>
      <c r="H72" s="1268">
        <v>0</v>
      </c>
      <c r="I72" s="1352">
        <v>0</v>
      </c>
      <c r="J72" s="1266"/>
      <c r="K72" s="1268">
        <v>0</v>
      </c>
      <c r="L72" s="1268">
        <v>0</v>
      </c>
      <c r="M72" s="1268">
        <v>0</v>
      </c>
      <c r="N72" s="1268"/>
      <c r="O72" s="1352">
        <v>0</v>
      </c>
      <c r="P72" s="1264"/>
      <c r="Q72" s="1268"/>
      <c r="R72" s="1268"/>
      <c r="S72" s="1264"/>
      <c r="T72" s="1264">
        <v>0</v>
      </c>
      <c r="U72" s="1264">
        <v>0</v>
      </c>
      <c r="V72" s="1266">
        <v>0</v>
      </c>
      <c r="W72" s="1264">
        <v>0</v>
      </c>
      <c r="X72" s="1269">
        <v>0</v>
      </c>
      <c r="Y72"/>
      <c r="Z72"/>
      <c r="AA72"/>
      <c r="AB72"/>
    </row>
    <row r="73" spans="1:28" s="205" customFormat="1">
      <c r="A73" s="1207"/>
      <c r="B73" s="1205" t="s">
        <v>143</v>
      </c>
      <c r="C73" s="1264">
        <v>0</v>
      </c>
      <c r="D73" s="1268"/>
      <c r="E73" s="1268">
        <v>0</v>
      </c>
      <c r="F73" s="1268">
        <v>0</v>
      </c>
      <c r="G73" s="1268">
        <v>0</v>
      </c>
      <c r="H73" s="1268">
        <v>0</v>
      </c>
      <c r="I73" s="1352">
        <v>0</v>
      </c>
      <c r="J73" s="1266"/>
      <c r="K73" s="1268">
        <v>0</v>
      </c>
      <c r="L73" s="1268">
        <v>0</v>
      </c>
      <c r="M73" s="1268">
        <v>0</v>
      </c>
      <c r="N73" s="1268"/>
      <c r="O73" s="1352">
        <v>0</v>
      </c>
      <c r="P73" s="1264"/>
      <c r="Q73" s="1268"/>
      <c r="R73" s="1268"/>
      <c r="S73" s="1264"/>
      <c r="T73" s="1264">
        <v>0</v>
      </c>
      <c r="U73" s="1264">
        <v>0</v>
      </c>
      <c r="V73" s="1266">
        <v>0</v>
      </c>
      <c r="W73" s="1264">
        <v>0</v>
      </c>
      <c r="X73" s="1269">
        <v>0</v>
      </c>
      <c r="Y73"/>
      <c r="Z73"/>
      <c r="AA73"/>
      <c r="AB73"/>
    </row>
    <row r="74" spans="1:28" s="204" customFormat="1">
      <c r="A74" s="1207"/>
      <c r="B74" s="1205" t="s">
        <v>245</v>
      </c>
      <c r="C74" s="1264">
        <v>0</v>
      </c>
      <c r="D74" s="1268">
        <v>0</v>
      </c>
      <c r="E74" s="1268">
        <v>0</v>
      </c>
      <c r="F74" s="1268">
        <v>0</v>
      </c>
      <c r="G74" s="1268">
        <v>0</v>
      </c>
      <c r="H74" s="1268">
        <v>0</v>
      </c>
      <c r="I74" s="1352">
        <v>0</v>
      </c>
      <c r="J74" s="1266">
        <v>0</v>
      </c>
      <c r="K74" s="1268">
        <v>0</v>
      </c>
      <c r="L74" s="1268">
        <v>0</v>
      </c>
      <c r="M74" s="1268">
        <v>0</v>
      </c>
      <c r="N74" s="1268">
        <v>0</v>
      </c>
      <c r="O74" s="1352">
        <v>0</v>
      </c>
      <c r="P74" s="1264">
        <v>0</v>
      </c>
      <c r="Q74" s="1268">
        <v>0</v>
      </c>
      <c r="R74" s="1268">
        <v>0</v>
      </c>
      <c r="S74" s="1264">
        <v>0</v>
      </c>
      <c r="T74" s="1264">
        <v>0</v>
      </c>
      <c r="U74" s="1264">
        <v>0</v>
      </c>
      <c r="V74" s="1266">
        <v>0</v>
      </c>
      <c r="W74" s="1264">
        <v>0</v>
      </c>
      <c r="X74" s="1269">
        <v>0</v>
      </c>
      <c r="Y74"/>
      <c r="Z74"/>
      <c r="AA74"/>
      <c r="AB74"/>
    </row>
    <row r="75" spans="1:28">
      <c r="A75" s="1207"/>
      <c r="B75" s="1205" t="s">
        <v>117</v>
      </c>
      <c r="C75" s="1264"/>
      <c r="D75" s="1268"/>
      <c r="E75" s="1268"/>
      <c r="F75" s="1268"/>
      <c r="G75" s="1268"/>
      <c r="H75" s="1268"/>
      <c r="I75" s="1352"/>
      <c r="J75" s="1266"/>
      <c r="K75" s="1268"/>
      <c r="L75" s="1268"/>
      <c r="M75" s="1268"/>
      <c r="N75" s="1268"/>
      <c r="O75" s="1352"/>
      <c r="P75" s="1264"/>
      <c r="Q75" s="1268"/>
      <c r="R75" s="1268"/>
      <c r="S75" s="1264"/>
      <c r="T75" s="1264">
        <v>110155737</v>
      </c>
      <c r="U75" s="1264">
        <v>110155737</v>
      </c>
      <c r="V75" s="1266"/>
      <c r="W75" s="1264"/>
      <c r="X75" s="1269">
        <v>110155737</v>
      </c>
      <c r="Y75"/>
      <c r="Z75"/>
      <c r="AA75"/>
      <c r="AB75"/>
    </row>
    <row r="76" spans="1:28" s="205" customFormat="1">
      <c r="A76" s="1207"/>
      <c r="B76" s="1205" t="s">
        <v>119</v>
      </c>
      <c r="C76" s="1264"/>
      <c r="D76" s="1268"/>
      <c r="E76" s="1268"/>
      <c r="F76" s="1268"/>
      <c r="G76" s="1268"/>
      <c r="H76" s="1268"/>
      <c r="I76" s="1352"/>
      <c r="J76" s="1266"/>
      <c r="K76" s="1268"/>
      <c r="L76" s="1268"/>
      <c r="M76" s="1268"/>
      <c r="N76" s="1268"/>
      <c r="O76" s="1352"/>
      <c r="P76" s="1264"/>
      <c r="Q76" s="1268"/>
      <c r="R76" s="1268"/>
      <c r="S76" s="1264"/>
      <c r="T76" s="1264">
        <v>112265445</v>
      </c>
      <c r="U76" s="1264">
        <v>112265445</v>
      </c>
      <c r="V76" s="1266"/>
      <c r="W76" s="1264"/>
      <c r="X76" s="1269">
        <v>112265445</v>
      </c>
      <c r="Y76"/>
      <c r="Z76"/>
      <c r="AA76"/>
      <c r="AB76"/>
    </row>
    <row r="77" spans="1:28" s="204" customFormat="1" ht="13.5" thickBot="1">
      <c r="A77" s="1207"/>
      <c r="B77" s="1205" t="s">
        <v>301</v>
      </c>
      <c r="C77" s="1264">
        <v>0</v>
      </c>
      <c r="D77" s="1268">
        <v>0</v>
      </c>
      <c r="E77" s="1268">
        <v>0</v>
      </c>
      <c r="F77" s="1268">
        <v>0</v>
      </c>
      <c r="G77" s="1268">
        <v>0</v>
      </c>
      <c r="H77" s="1268">
        <v>0</v>
      </c>
      <c r="I77" s="1352">
        <v>0</v>
      </c>
      <c r="J77" s="1266">
        <v>0</v>
      </c>
      <c r="K77" s="1268">
        <v>0</v>
      </c>
      <c r="L77" s="1268">
        <v>0</v>
      </c>
      <c r="M77" s="1268">
        <v>0</v>
      </c>
      <c r="N77" s="1268">
        <v>0</v>
      </c>
      <c r="O77" s="1352">
        <v>0</v>
      </c>
      <c r="P77" s="1264">
        <v>0</v>
      </c>
      <c r="Q77" s="1268">
        <v>0</v>
      </c>
      <c r="R77" s="1268">
        <v>0</v>
      </c>
      <c r="S77" s="1264">
        <v>0</v>
      </c>
      <c r="T77" s="1264">
        <v>1.9152048340432781</v>
      </c>
      <c r="U77" s="1264">
        <v>1.9152048340432781</v>
      </c>
      <c r="V77" s="1266">
        <v>0</v>
      </c>
      <c r="W77" s="1264">
        <v>0</v>
      </c>
      <c r="X77" s="1269">
        <v>1.9152048340432781</v>
      </c>
      <c r="Y77"/>
      <c r="Z77"/>
      <c r="AA77"/>
      <c r="AB77"/>
    </row>
    <row r="78" spans="1:28">
      <c r="A78" s="1207"/>
      <c r="B78" s="1205" t="s">
        <v>120</v>
      </c>
      <c r="C78" s="1264"/>
      <c r="D78" s="1268"/>
      <c r="E78" s="1268"/>
      <c r="F78" s="1268"/>
      <c r="G78" s="1268"/>
      <c r="H78" s="1268"/>
      <c r="I78" s="1352"/>
      <c r="J78" s="1266"/>
      <c r="K78" s="1268"/>
      <c r="L78" s="1268"/>
      <c r="M78" s="1268"/>
      <c r="N78" s="1268"/>
      <c r="O78" s="1352"/>
      <c r="P78" s="1264"/>
      <c r="Q78" s="1268"/>
      <c r="R78" s="1268"/>
      <c r="S78" s="1264"/>
      <c r="T78" s="1262">
        <v>21753119</v>
      </c>
      <c r="U78" s="1264">
        <v>21753119</v>
      </c>
      <c r="V78" s="1266"/>
      <c r="W78" s="1264"/>
      <c r="X78" s="1269">
        <v>21753119</v>
      </c>
      <c r="Y78"/>
      <c r="Z78"/>
      <c r="AA78"/>
      <c r="AB78"/>
    </row>
    <row r="79" spans="1:28" s="205" customFormat="1">
      <c r="A79" s="1207"/>
      <c r="B79" s="1205" t="s">
        <v>450</v>
      </c>
      <c r="C79" s="1264"/>
      <c r="D79" s="1268"/>
      <c r="E79" s="1268"/>
      <c r="F79" s="1268"/>
      <c r="G79" s="1268"/>
      <c r="H79" s="1268"/>
      <c r="I79" s="1352"/>
      <c r="J79" s="1266"/>
      <c r="K79" s="1268"/>
      <c r="L79" s="1268"/>
      <c r="M79" s="1268"/>
      <c r="N79" s="1268"/>
      <c r="O79" s="1352"/>
      <c r="P79" s="1264"/>
      <c r="Q79" s="1268"/>
      <c r="R79" s="1268"/>
      <c r="S79" s="1264"/>
      <c r="T79" s="1267"/>
      <c r="U79" s="1264"/>
      <c r="V79" s="1266"/>
      <c r="W79" s="1264"/>
      <c r="X79" s="1269"/>
      <c r="Y79"/>
      <c r="Z79"/>
      <c r="AA79"/>
      <c r="AB79"/>
    </row>
    <row r="80" spans="1:28" s="204" customFormat="1" ht="13.5" thickBot="1">
      <c r="A80" s="1207"/>
      <c r="B80" s="1205" t="s">
        <v>335</v>
      </c>
      <c r="C80" s="1264">
        <v>0</v>
      </c>
      <c r="D80" s="1268">
        <v>0</v>
      </c>
      <c r="E80" s="1268">
        <v>0</v>
      </c>
      <c r="F80" s="1268">
        <v>0</v>
      </c>
      <c r="G80" s="1268">
        <v>0</v>
      </c>
      <c r="H80" s="1268">
        <v>0</v>
      </c>
      <c r="I80" s="1352">
        <v>0</v>
      </c>
      <c r="J80" s="1266">
        <v>0</v>
      </c>
      <c r="K80" s="1268">
        <v>0</v>
      </c>
      <c r="L80" s="1268">
        <v>0</v>
      </c>
      <c r="M80" s="1268">
        <v>0</v>
      </c>
      <c r="N80" s="1268">
        <v>0</v>
      </c>
      <c r="O80" s="1352">
        <v>0</v>
      </c>
      <c r="P80" s="1264">
        <v>0</v>
      </c>
      <c r="Q80" s="1268">
        <v>0</v>
      </c>
      <c r="R80" s="1268">
        <v>0</v>
      </c>
      <c r="S80" s="1264">
        <v>0</v>
      </c>
      <c r="T80" s="1281">
        <v>-100</v>
      </c>
      <c r="U80" s="1264">
        <v>-100</v>
      </c>
      <c r="V80" s="1266">
        <v>0</v>
      </c>
      <c r="W80" s="1264">
        <v>0</v>
      </c>
      <c r="X80" s="1269">
        <v>-100</v>
      </c>
      <c r="Y80"/>
      <c r="Z80"/>
      <c r="AA80"/>
      <c r="AB80"/>
    </row>
    <row r="81" spans="1:28">
      <c r="A81" s="1207"/>
      <c r="B81" s="1205" t="s">
        <v>35</v>
      </c>
      <c r="C81" s="1264">
        <v>331938516</v>
      </c>
      <c r="D81" s="1268"/>
      <c r="E81" s="1268">
        <v>383521772.37</v>
      </c>
      <c r="F81" s="1268">
        <v>114691097</v>
      </c>
      <c r="G81" s="1268">
        <v>65071948</v>
      </c>
      <c r="H81" s="1268">
        <v>99029480</v>
      </c>
      <c r="I81" s="1352">
        <v>994252813.37</v>
      </c>
      <c r="J81" s="1266"/>
      <c r="K81" s="1268">
        <v>40059280</v>
      </c>
      <c r="L81" s="1268">
        <v>79174390.569999993</v>
      </c>
      <c r="M81" s="1268">
        <v>184708214.43000001</v>
      </c>
      <c r="N81" s="1268"/>
      <c r="O81" s="1352">
        <v>303941885</v>
      </c>
      <c r="P81" s="1264"/>
      <c r="Q81" s="1268"/>
      <c r="R81" s="1268"/>
      <c r="S81" s="1264"/>
      <c r="T81" s="1264">
        <v>0</v>
      </c>
      <c r="U81" s="1264">
        <v>0</v>
      </c>
      <c r="V81" s="1266">
        <v>390000</v>
      </c>
      <c r="W81" s="1264">
        <v>390000</v>
      </c>
      <c r="X81" s="1269">
        <v>1298584698.3700001</v>
      </c>
      <c r="Y81"/>
      <c r="Z81"/>
      <c r="AA81"/>
      <c r="AB81"/>
    </row>
    <row r="82" spans="1:28" s="205" customFormat="1">
      <c r="A82" s="1207"/>
      <c r="B82" s="1205" t="s">
        <v>37</v>
      </c>
      <c r="C82" s="1264">
        <v>310862344</v>
      </c>
      <c r="D82" s="1268"/>
      <c r="E82" s="1268">
        <v>383698265</v>
      </c>
      <c r="F82" s="1268">
        <v>115411575</v>
      </c>
      <c r="G82" s="1268">
        <v>65629227</v>
      </c>
      <c r="H82" s="1268">
        <v>98910080</v>
      </c>
      <c r="I82" s="1352">
        <v>974511491</v>
      </c>
      <c r="J82" s="1266"/>
      <c r="K82" s="1268">
        <v>40426516</v>
      </c>
      <c r="L82" s="1268">
        <v>82959283</v>
      </c>
      <c r="M82" s="1268">
        <v>186270264</v>
      </c>
      <c r="N82" s="1268"/>
      <c r="O82" s="1352">
        <v>309656063</v>
      </c>
      <c r="P82" s="1264"/>
      <c r="Q82" s="1268"/>
      <c r="R82" s="1268"/>
      <c r="S82" s="1264"/>
      <c r="T82" s="1264">
        <v>0</v>
      </c>
      <c r="U82" s="1264">
        <v>0</v>
      </c>
      <c r="V82" s="1266">
        <v>390000</v>
      </c>
      <c r="W82" s="1264">
        <v>390000</v>
      </c>
      <c r="X82" s="1269">
        <v>1284557554</v>
      </c>
      <c r="Y82"/>
      <c r="Z82"/>
      <c r="AA82"/>
      <c r="AB82"/>
    </row>
    <row r="83" spans="1:28" s="214" customFormat="1">
      <c r="A83" s="1333"/>
      <c r="B83" s="1205" t="s">
        <v>39</v>
      </c>
      <c r="C83" s="1264">
        <v>-6.3494204450802574</v>
      </c>
      <c r="D83" s="1268">
        <v>0</v>
      </c>
      <c r="E83" s="1268">
        <v>4.6018933660362096E-2</v>
      </c>
      <c r="F83" s="1268">
        <v>0.62818999804317854</v>
      </c>
      <c r="G83" s="1268">
        <v>0.85640436029362443</v>
      </c>
      <c r="H83" s="1268">
        <v>-0.12057015749249618</v>
      </c>
      <c r="I83" s="1352">
        <v>-1.9855435262071008</v>
      </c>
      <c r="J83" s="1266">
        <v>0</v>
      </c>
      <c r="K83" s="1268">
        <v>0.9167314040591843</v>
      </c>
      <c r="L83" s="1268">
        <v>4.7804503485930745</v>
      </c>
      <c r="M83" s="1268">
        <v>0.84568494954076456</v>
      </c>
      <c r="N83" s="1268">
        <v>0</v>
      </c>
      <c r="O83" s="1352">
        <v>1.8800232156222891</v>
      </c>
      <c r="P83" s="1264">
        <v>0</v>
      </c>
      <c r="Q83" s="1268">
        <v>0</v>
      </c>
      <c r="R83" s="1268">
        <v>0</v>
      </c>
      <c r="S83" s="1264">
        <v>0</v>
      </c>
      <c r="T83" s="1264">
        <v>0</v>
      </c>
      <c r="U83" s="1264">
        <v>0</v>
      </c>
      <c r="V83" s="1266">
        <v>0</v>
      </c>
      <c r="W83" s="1264">
        <v>0</v>
      </c>
      <c r="X83" s="1269">
        <v>-1.0801870981235906</v>
      </c>
      <c r="Y83"/>
      <c r="Z83"/>
      <c r="AA83"/>
      <c r="AB83"/>
    </row>
    <row r="84" spans="1:28">
      <c r="A84" s="1206" t="s">
        <v>208</v>
      </c>
      <c r="B84" s="1204" t="s">
        <v>253</v>
      </c>
      <c r="C84" s="1259">
        <v>122444600</v>
      </c>
      <c r="D84" s="1260"/>
      <c r="E84" s="1260"/>
      <c r="F84" s="1260">
        <v>35925500</v>
      </c>
      <c r="G84" s="1260"/>
      <c r="H84" s="1260"/>
      <c r="I84" s="1355">
        <v>158370100</v>
      </c>
      <c r="J84" s="1261"/>
      <c r="K84" s="1260"/>
      <c r="L84" s="1260">
        <v>48252590</v>
      </c>
      <c r="M84" s="1260">
        <v>11335200</v>
      </c>
      <c r="N84" s="1260"/>
      <c r="O84" s="1355">
        <v>59587790</v>
      </c>
      <c r="P84" s="1259"/>
      <c r="Q84" s="1260"/>
      <c r="R84" s="1260"/>
      <c r="S84" s="1259"/>
      <c r="T84" s="1259"/>
      <c r="U84" s="1259"/>
      <c r="V84" s="1261"/>
      <c r="W84" s="1259"/>
      <c r="X84" s="1263">
        <v>217957890</v>
      </c>
      <c r="Y84"/>
      <c r="Z84"/>
      <c r="AA84"/>
      <c r="AB84"/>
    </row>
    <row r="85" spans="1:28" s="205" customFormat="1">
      <c r="A85" s="1207"/>
      <c r="B85" s="1205" t="s">
        <v>4</v>
      </c>
      <c r="C85" s="1264">
        <v>115726000</v>
      </c>
      <c r="D85" s="1268"/>
      <c r="E85" s="1268"/>
      <c r="F85" s="1268">
        <v>32210000</v>
      </c>
      <c r="G85" s="1268"/>
      <c r="H85" s="1268"/>
      <c r="I85" s="1352">
        <v>147936000</v>
      </c>
      <c r="J85" s="1266"/>
      <c r="K85" s="1268"/>
      <c r="L85" s="1268">
        <v>45552300</v>
      </c>
      <c r="M85" s="1268">
        <v>10718000</v>
      </c>
      <c r="N85" s="1268"/>
      <c r="O85" s="1352">
        <v>56270300</v>
      </c>
      <c r="P85" s="1264"/>
      <c r="Q85" s="1268"/>
      <c r="R85" s="1268"/>
      <c r="S85" s="1264"/>
      <c r="T85" s="1264"/>
      <c r="U85" s="1264"/>
      <c r="V85" s="1266"/>
      <c r="W85" s="1264"/>
      <c r="X85" s="1269">
        <v>204206300</v>
      </c>
      <c r="Y85"/>
      <c r="Z85"/>
      <c r="AA85"/>
      <c r="AB85"/>
    </row>
    <row r="86" spans="1:28" s="204" customFormat="1" ht="13.5" thickBot="1">
      <c r="A86" s="1207"/>
      <c r="B86" s="1205" t="s">
        <v>175</v>
      </c>
      <c r="C86" s="1264">
        <v>-5.4870529202594476</v>
      </c>
      <c r="D86" s="1268">
        <v>0</v>
      </c>
      <c r="E86" s="1268">
        <v>0</v>
      </c>
      <c r="F86" s="1268">
        <v>-10.342236016200191</v>
      </c>
      <c r="G86" s="1268">
        <v>0</v>
      </c>
      <c r="H86" s="1268">
        <v>0</v>
      </c>
      <c r="I86" s="1352">
        <v>-6.5884279924051325</v>
      </c>
      <c r="J86" s="1266">
        <v>0</v>
      </c>
      <c r="K86" s="1268">
        <v>0</v>
      </c>
      <c r="L86" s="1268">
        <v>-5.5961555638775033</v>
      </c>
      <c r="M86" s="1268">
        <v>-5.4449855317947629</v>
      </c>
      <c r="N86" s="1268">
        <v>0</v>
      </c>
      <c r="O86" s="1352">
        <v>-5.5673989587464137</v>
      </c>
      <c r="P86" s="1264">
        <v>0</v>
      </c>
      <c r="Q86" s="1268">
        <v>0</v>
      </c>
      <c r="R86" s="1268">
        <v>0</v>
      </c>
      <c r="S86" s="1264">
        <v>0</v>
      </c>
      <c r="T86" s="1264">
        <v>0</v>
      </c>
      <c r="U86" s="1264">
        <v>0</v>
      </c>
      <c r="V86" s="1266">
        <v>0</v>
      </c>
      <c r="W86" s="1264">
        <v>0</v>
      </c>
      <c r="X86" s="1269">
        <v>-6.3092875417356993</v>
      </c>
      <c r="Y86"/>
      <c r="Z86"/>
      <c r="AA86"/>
      <c r="AB86"/>
    </row>
    <row r="87" spans="1:28">
      <c r="A87" s="1207"/>
      <c r="B87" s="1205" t="s">
        <v>269</v>
      </c>
      <c r="C87" s="1262">
        <v>9101400</v>
      </c>
      <c r="D87" s="1268"/>
      <c r="E87" s="1268"/>
      <c r="F87" s="1262"/>
      <c r="G87" s="1268"/>
      <c r="H87" s="1268"/>
      <c r="I87" s="1352">
        <v>9101400</v>
      </c>
      <c r="J87" s="1266"/>
      <c r="K87" s="1268"/>
      <c r="L87" s="1268"/>
      <c r="M87" s="1268"/>
      <c r="N87" s="1268"/>
      <c r="O87" s="1352"/>
      <c r="P87" s="1264"/>
      <c r="Q87" s="1268"/>
      <c r="R87" s="1268"/>
      <c r="S87" s="1264"/>
      <c r="T87" s="1264"/>
      <c r="U87" s="1264"/>
      <c r="V87" s="1288">
        <v>3408896</v>
      </c>
      <c r="W87" s="1264">
        <v>3408896</v>
      </c>
      <c r="X87" s="1269">
        <v>12510296</v>
      </c>
      <c r="Y87"/>
      <c r="Z87"/>
      <c r="AA87"/>
      <c r="AB87"/>
    </row>
    <row r="88" spans="1:28" s="205" customFormat="1">
      <c r="A88" s="1207"/>
      <c r="B88" s="1205" t="s">
        <v>342</v>
      </c>
      <c r="C88" s="1267">
        <v>9113400</v>
      </c>
      <c r="D88" s="1268"/>
      <c r="E88" s="1268"/>
      <c r="F88" s="1267"/>
      <c r="G88" s="1268"/>
      <c r="H88" s="1268"/>
      <c r="I88" s="1352">
        <v>9113400</v>
      </c>
      <c r="J88" s="1266"/>
      <c r="K88" s="1268"/>
      <c r="L88" s="1268"/>
      <c r="M88" s="1268"/>
      <c r="N88" s="1268"/>
      <c r="O88" s="1352"/>
      <c r="P88" s="1264"/>
      <c r="Q88" s="1268"/>
      <c r="R88" s="1268"/>
      <c r="S88" s="1264"/>
      <c r="T88" s="1264"/>
      <c r="U88" s="1264"/>
      <c r="V88" s="1289">
        <v>2242100</v>
      </c>
      <c r="W88" s="1264">
        <v>2242100</v>
      </c>
      <c r="X88" s="1269">
        <v>11355500</v>
      </c>
      <c r="Y88"/>
      <c r="Z88"/>
      <c r="AA88"/>
      <c r="AB88"/>
    </row>
    <row r="89" spans="1:28" s="204" customFormat="1" ht="13.5" thickBot="1">
      <c r="A89" s="1207"/>
      <c r="B89" s="1205" t="s">
        <v>344</v>
      </c>
      <c r="C89" s="1281">
        <v>0.13184784758388818</v>
      </c>
      <c r="D89" s="1268">
        <v>0</v>
      </c>
      <c r="E89" s="1268">
        <v>0</v>
      </c>
      <c r="F89" s="1281">
        <v>0</v>
      </c>
      <c r="G89" s="1268">
        <v>0</v>
      </c>
      <c r="H89" s="1268">
        <v>0</v>
      </c>
      <c r="I89" s="1352">
        <v>0.13184784758388818</v>
      </c>
      <c r="J89" s="1266">
        <v>0</v>
      </c>
      <c r="K89" s="1268">
        <v>0</v>
      </c>
      <c r="L89" s="1268">
        <v>0</v>
      </c>
      <c r="M89" s="1268">
        <v>0</v>
      </c>
      <c r="N89" s="1268">
        <v>0</v>
      </c>
      <c r="O89" s="1352">
        <v>0</v>
      </c>
      <c r="P89" s="1264">
        <v>0</v>
      </c>
      <c r="Q89" s="1268">
        <v>0</v>
      </c>
      <c r="R89" s="1268">
        <v>0</v>
      </c>
      <c r="S89" s="1264">
        <v>0</v>
      </c>
      <c r="T89" s="1264">
        <v>0</v>
      </c>
      <c r="U89" s="1264">
        <v>0</v>
      </c>
      <c r="V89" s="1290">
        <v>-34.227972927305494</v>
      </c>
      <c r="W89" s="1339">
        <v>-34.227972927305494</v>
      </c>
      <c r="X89" s="1269">
        <v>-9.2307648036465331</v>
      </c>
      <c r="Y89"/>
      <c r="Z89"/>
      <c r="AA89"/>
      <c r="AB89"/>
    </row>
    <row r="90" spans="1:28">
      <c r="A90" s="1207"/>
      <c r="B90" s="1205" t="s">
        <v>5</v>
      </c>
      <c r="C90" s="1264"/>
      <c r="D90" s="1268"/>
      <c r="E90" s="1268"/>
      <c r="F90" s="1268"/>
      <c r="G90" s="1268"/>
      <c r="H90" s="1268"/>
      <c r="I90" s="1352"/>
      <c r="J90" s="1266"/>
      <c r="K90" s="1268"/>
      <c r="L90" s="1268"/>
      <c r="M90" s="1268"/>
      <c r="N90" s="1268"/>
      <c r="O90" s="1352"/>
      <c r="P90" s="1264"/>
      <c r="Q90" s="1268"/>
      <c r="R90" s="1268"/>
      <c r="S90" s="1264"/>
      <c r="T90" s="1264"/>
      <c r="U90" s="1264"/>
      <c r="V90" s="1266"/>
      <c r="W90" s="1264"/>
      <c r="X90" s="1269"/>
      <c r="Y90"/>
      <c r="Z90"/>
      <c r="AA90"/>
      <c r="AB90"/>
    </row>
    <row r="91" spans="1:28" s="205" customFormat="1">
      <c r="A91" s="1207"/>
      <c r="B91" s="1205" t="s">
        <v>6</v>
      </c>
      <c r="C91" s="1264"/>
      <c r="D91" s="1268"/>
      <c r="E91" s="1268"/>
      <c r="F91" s="1268"/>
      <c r="G91" s="1268"/>
      <c r="H91" s="1268"/>
      <c r="I91" s="1352"/>
      <c r="J91" s="1266"/>
      <c r="K91" s="1268"/>
      <c r="L91" s="1268"/>
      <c r="M91" s="1268"/>
      <c r="N91" s="1268"/>
      <c r="O91" s="1352"/>
      <c r="P91" s="1264"/>
      <c r="Q91" s="1268"/>
      <c r="R91" s="1268"/>
      <c r="S91" s="1264"/>
      <c r="T91" s="1264"/>
      <c r="U91" s="1264"/>
      <c r="V91" s="1266"/>
      <c r="W91" s="1264"/>
      <c r="X91" s="1269"/>
      <c r="Y91"/>
      <c r="Z91"/>
      <c r="AA91"/>
      <c r="AB91"/>
    </row>
    <row r="92" spans="1:28" s="204" customFormat="1" ht="13.5" thickBot="1">
      <c r="A92" s="1207"/>
      <c r="B92" s="1205" t="s">
        <v>426</v>
      </c>
      <c r="C92" s="1264">
        <v>0</v>
      </c>
      <c r="D92" s="1268">
        <v>0</v>
      </c>
      <c r="E92" s="1268">
        <v>0</v>
      </c>
      <c r="F92" s="1268">
        <v>0</v>
      </c>
      <c r="G92" s="1268">
        <v>0</v>
      </c>
      <c r="H92" s="1268">
        <v>0</v>
      </c>
      <c r="I92" s="1352">
        <v>0</v>
      </c>
      <c r="J92" s="1266">
        <v>0</v>
      </c>
      <c r="K92" s="1268">
        <v>0</v>
      </c>
      <c r="L92" s="1268">
        <v>0</v>
      </c>
      <c r="M92" s="1268">
        <v>0</v>
      </c>
      <c r="N92" s="1268">
        <v>0</v>
      </c>
      <c r="O92" s="1352">
        <v>0</v>
      </c>
      <c r="P92" s="1264">
        <v>0</v>
      </c>
      <c r="Q92" s="1268">
        <v>0</v>
      </c>
      <c r="R92" s="1268">
        <v>0</v>
      </c>
      <c r="S92" s="1264">
        <v>0</v>
      </c>
      <c r="T92" s="1264">
        <v>0</v>
      </c>
      <c r="U92" s="1264">
        <v>0</v>
      </c>
      <c r="V92" s="1266">
        <v>0</v>
      </c>
      <c r="W92" s="1264">
        <v>0</v>
      </c>
      <c r="X92" s="1269">
        <v>0</v>
      </c>
      <c r="Y92"/>
      <c r="Z92"/>
      <c r="AA92"/>
      <c r="AB92"/>
    </row>
    <row r="93" spans="1:28">
      <c r="A93" s="1207"/>
      <c r="B93" s="1205" t="s">
        <v>322</v>
      </c>
      <c r="C93" s="1267">
        <v>371660474</v>
      </c>
      <c r="D93" s="1268"/>
      <c r="E93" s="1268"/>
      <c r="F93" s="1262">
        <v>28460062</v>
      </c>
      <c r="G93" s="1268"/>
      <c r="H93" s="1268"/>
      <c r="I93" s="1352">
        <v>400120536</v>
      </c>
      <c r="J93" s="1266"/>
      <c r="K93" s="1268"/>
      <c r="L93" s="1378">
        <v>32132260</v>
      </c>
      <c r="M93" s="1373">
        <v>8183700</v>
      </c>
      <c r="N93" s="1268"/>
      <c r="O93" s="1352">
        <v>40315960</v>
      </c>
      <c r="P93" s="1264"/>
      <c r="Q93" s="1268"/>
      <c r="R93" s="1268"/>
      <c r="S93" s="1264"/>
      <c r="T93" s="1264"/>
      <c r="U93" s="1264"/>
      <c r="V93" s="1266"/>
      <c r="W93" s="1264"/>
      <c r="X93" s="1269">
        <v>440436496</v>
      </c>
      <c r="Y93"/>
      <c r="Z93"/>
      <c r="AA93"/>
      <c r="AB93"/>
    </row>
    <row r="94" spans="1:28" s="205" customFormat="1">
      <c r="A94" s="1207"/>
      <c r="B94" s="1205" t="s">
        <v>22</v>
      </c>
      <c r="C94" s="1267">
        <v>413159776</v>
      </c>
      <c r="D94" s="1268"/>
      <c r="E94" s="1268"/>
      <c r="F94" s="1267">
        <v>30715828</v>
      </c>
      <c r="G94" s="1268"/>
      <c r="H94" s="1268"/>
      <c r="I94" s="1352">
        <v>443875604</v>
      </c>
      <c r="J94" s="1266"/>
      <c r="K94" s="1268"/>
      <c r="L94" s="1379">
        <v>34172000</v>
      </c>
      <c r="M94" s="1375">
        <v>9107100</v>
      </c>
      <c r="N94" s="1268"/>
      <c r="O94" s="1352">
        <v>43279100</v>
      </c>
      <c r="P94" s="1264"/>
      <c r="Q94" s="1268"/>
      <c r="R94" s="1268"/>
      <c r="S94" s="1264"/>
      <c r="T94" s="1264"/>
      <c r="U94" s="1264"/>
      <c r="V94" s="1266"/>
      <c r="W94" s="1264"/>
      <c r="X94" s="1269">
        <v>487154704</v>
      </c>
      <c r="Y94"/>
      <c r="Z94"/>
      <c r="AA94"/>
      <c r="AB94"/>
    </row>
    <row r="95" spans="1:28" s="204" customFormat="1" ht="13.5" thickBot="1">
      <c r="A95" s="1207"/>
      <c r="B95" s="1205" t="s">
        <v>375</v>
      </c>
      <c r="C95" s="1281">
        <v>11.165917525036575</v>
      </c>
      <c r="D95" s="1268">
        <v>0</v>
      </c>
      <c r="E95" s="1268">
        <v>0</v>
      </c>
      <c r="F95" s="1281">
        <v>7.9260754948460761</v>
      </c>
      <c r="G95" s="1268">
        <v>0</v>
      </c>
      <c r="H95" s="1268">
        <v>0</v>
      </c>
      <c r="I95" s="1352">
        <v>10.935471704956429</v>
      </c>
      <c r="J95" s="1266">
        <v>0</v>
      </c>
      <c r="K95" s="1268">
        <v>0</v>
      </c>
      <c r="L95" s="1334">
        <v>6.3479506265665719</v>
      </c>
      <c r="M95" s="1337">
        <v>11.283404816892114</v>
      </c>
      <c r="N95" s="1268">
        <v>0</v>
      </c>
      <c r="O95" s="1352">
        <v>7.349793977372733</v>
      </c>
      <c r="P95" s="1264">
        <v>0</v>
      </c>
      <c r="Q95" s="1268">
        <v>0</v>
      </c>
      <c r="R95" s="1268">
        <v>0</v>
      </c>
      <c r="S95" s="1264">
        <v>0</v>
      </c>
      <c r="T95" s="1264">
        <v>0</v>
      </c>
      <c r="U95" s="1264">
        <v>0</v>
      </c>
      <c r="V95" s="1266">
        <v>0</v>
      </c>
      <c r="W95" s="1264">
        <v>0</v>
      </c>
      <c r="X95" s="1269">
        <v>10.607251765984444</v>
      </c>
      <c r="Y95"/>
      <c r="Z95"/>
      <c r="AA95"/>
      <c r="AB95"/>
    </row>
    <row r="96" spans="1:28">
      <c r="A96" s="1207"/>
      <c r="B96" s="1205" t="s">
        <v>324</v>
      </c>
      <c r="C96" s="1267"/>
      <c r="D96" s="1268"/>
      <c r="E96" s="1268"/>
      <c r="F96" s="1267">
        <v>3376989</v>
      </c>
      <c r="G96" s="1268"/>
      <c r="H96" s="1268"/>
      <c r="I96" s="1356">
        <v>3376989</v>
      </c>
      <c r="J96" s="1266"/>
      <c r="K96" s="1268"/>
      <c r="L96" s="1268"/>
      <c r="M96" s="1268"/>
      <c r="N96" s="1268"/>
      <c r="O96" s="1352"/>
      <c r="P96" s="1264"/>
      <c r="Q96" s="1268"/>
      <c r="R96" s="1268"/>
      <c r="S96" s="1264"/>
      <c r="T96" s="1264"/>
      <c r="U96" s="1264"/>
      <c r="V96" s="1266"/>
      <c r="W96" s="1264"/>
      <c r="X96" s="1269">
        <v>3376989</v>
      </c>
      <c r="Y96"/>
      <c r="Z96"/>
      <c r="AA96"/>
      <c r="AB96"/>
    </row>
    <row r="97" spans="1:28" s="205" customFormat="1">
      <c r="A97" s="1207"/>
      <c r="B97" s="1205" t="s">
        <v>226</v>
      </c>
      <c r="C97" s="1267">
        <v>0</v>
      </c>
      <c r="D97" s="1268"/>
      <c r="E97" s="1268"/>
      <c r="F97" s="1267">
        <v>3344800</v>
      </c>
      <c r="G97" s="1268"/>
      <c r="H97" s="1268"/>
      <c r="I97" s="1357">
        <v>3344800</v>
      </c>
      <c r="J97" s="1266"/>
      <c r="K97" s="1268"/>
      <c r="L97" s="1268"/>
      <c r="M97" s="1268"/>
      <c r="N97" s="1268"/>
      <c r="O97" s="1352"/>
      <c r="P97" s="1264"/>
      <c r="Q97" s="1268"/>
      <c r="R97" s="1268"/>
      <c r="S97" s="1264"/>
      <c r="T97" s="1264"/>
      <c r="U97" s="1264"/>
      <c r="V97" s="1266"/>
      <c r="W97" s="1264"/>
      <c r="X97" s="1269">
        <v>3344800</v>
      </c>
      <c r="Y97"/>
      <c r="Z97"/>
      <c r="AA97"/>
      <c r="AB97"/>
    </row>
    <row r="98" spans="1:28" s="204" customFormat="1" ht="13.5" thickBot="1">
      <c r="A98" s="1207"/>
      <c r="B98" s="1205" t="s">
        <v>236</v>
      </c>
      <c r="C98" s="1281">
        <v>0</v>
      </c>
      <c r="D98" s="1268">
        <v>0</v>
      </c>
      <c r="E98" s="1268">
        <v>0</v>
      </c>
      <c r="F98" s="1281">
        <v>-0.95318640362761031</v>
      </c>
      <c r="G98" s="1268">
        <v>0</v>
      </c>
      <c r="H98" s="1268">
        <v>0</v>
      </c>
      <c r="I98" s="1358">
        <v>-0.95318640362761031</v>
      </c>
      <c r="J98" s="1266">
        <v>0</v>
      </c>
      <c r="K98" s="1268">
        <v>0</v>
      </c>
      <c r="L98" s="1268">
        <v>0</v>
      </c>
      <c r="M98" s="1268">
        <v>0</v>
      </c>
      <c r="N98" s="1268">
        <v>0</v>
      </c>
      <c r="O98" s="1352">
        <v>0</v>
      </c>
      <c r="P98" s="1264">
        <v>0</v>
      </c>
      <c r="Q98" s="1268">
        <v>0</v>
      </c>
      <c r="R98" s="1268">
        <v>0</v>
      </c>
      <c r="S98" s="1264">
        <v>0</v>
      </c>
      <c r="T98" s="1264">
        <v>0</v>
      </c>
      <c r="U98" s="1264">
        <v>0</v>
      </c>
      <c r="V98" s="1266">
        <v>0</v>
      </c>
      <c r="W98" s="1264">
        <v>0</v>
      </c>
      <c r="X98" s="1269">
        <v>-0.95318640362761031</v>
      </c>
      <c r="Y98"/>
      <c r="Z98"/>
      <c r="AA98"/>
      <c r="AB98"/>
    </row>
    <row r="99" spans="1:28">
      <c r="A99" s="1207"/>
      <c r="B99" s="1205" t="s">
        <v>449</v>
      </c>
      <c r="C99" s="1264">
        <v>371660474</v>
      </c>
      <c r="D99" s="1268"/>
      <c r="E99" s="1268"/>
      <c r="F99" s="1267">
        <v>31837051</v>
      </c>
      <c r="G99" s="1268"/>
      <c r="H99" s="1268"/>
      <c r="I99" s="1352">
        <v>403497525</v>
      </c>
      <c r="J99" s="1266"/>
      <c r="K99" s="1268"/>
      <c r="L99" s="1268">
        <v>32132260</v>
      </c>
      <c r="M99" s="1268">
        <v>8183700</v>
      </c>
      <c r="N99" s="1268"/>
      <c r="O99" s="1352">
        <v>40315960</v>
      </c>
      <c r="P99" s="1264"/>
      <c r="Q99" s="1268"/>
      <c r="R99" s="1268"/>
      <c r="S99" s="1264"/>
      <c r="T99" s="1264"/>
      <c r="U99" s="1264"/>
      <c r="V99" s="1266">
        <v>0</v>
      </c>
      <c r="W99" s="1264">
        <v>0</v>
      </c>
      <c r="X99" s="1269">
        <v>443813485</v>
      </c>
      <c r="Y99"/>
      <c r="Z99"/>
      <c r="AA99"/>
      <c r="AB99"/>
    </row>
    <row r="100" spans="1:28" s="205" customFormat="1">
      <c r="A100" s="1207"/>
      <c r="B100" s="1205" t="s">
        <v>109</v>
      </c>
      <c r="C100" s="1264">
        <v>413159776</v>
      </c>
      <c r="D100" s="1268"/>
      <c r="E100" s="1268"/>
      <c r="F100" s="1267">
        <v>34060628</v>
      </c>
      <c r="G100" s="1268"/>
      <c r="H100" s="1268"/>
      <c r="I100" s="1352">
        <v>447220404</v>
      </c>
      <c r="J100" s="1266"/>
      <c r="K100" s="1268"/>
      <c r="L100" s="1268">
        <v>34172000</v>
      </c>
      <c r="M100" s="1268">
        <v>9107100</v>
      </c>
      <c r="N100" s="1268"/>
      <c r="O100" s="1352">
        <v>43279100</v>
      </c>
      <c r="P100" s="1264"/>
      <c r="Q100" s="1268"/>
      <c r="R100" s="1268"/>
      <c r="S100" s="1264"/>
      <c r="T100" s="1264"/>
      <c r="U100" s="1264"/>
      <c r="V100" s="1266">
        <v>0</v>
      </c>
      <c r="W100" s="1264">
        <v>0</v>
      </c>
      <c r="X100" s="1269">
        <v>490499504</v>
      </c>
      <c r="Y100"/>
      <c r="Z100"/>
      <c r="AA100"/>
      <c r="AB100"/>
    </row>
    <row r="101" spans="1:28" s="204" customFormat="1" ht="13.5" thickBot="1">
      <c r="A101" s="1207"/>
      <c r="B101" s="1205" t="s">
        <v>83</v>
      </c>
      <c r="C101" s="1264">
        <v>11.165917525036575</v>
      </c>
      <c r="D101" s="1268">
        <v>0</v>
      </c>
      <c r="E101" s="1268">
        <v>0</v>
      </c>
      <c r="F101" s="1281">
        <v>6.9842429815500182</v>
      </c>
      <c r="G101" s="1268">
        <v>0</v>
      </c>
      <c r="H101" s="1268">
        <v>0</v>
      </c>
      <c r="I101" s="1352">
        <v>10.835972042207693</v>
      </c>
      <c r="J101" s="1266">
        <v>0</v>
      </c>
      <c r="K101" s="1268">
        <v>0</v>
      </c>
      <c r="L101" s="1268">
        <v>6.3479506265665719</v>
      </c>
      <c r="M101" s="1268">
        <v>11.283404816892114</v>
      </c>
      <c r="N101" s="1268">
        <v>0</v>
      </c>
      <c r="O101" s="1352">
        <v>7.349793977372733</v>
      </c>
      <c r="P101" s="1264">
        <v>0</v>
      </c>
      <c r="Q101" s="1268">
        <v>0</v>
      </c>
      <c r="R101" s="1268">
        <v>0</v>
      </c>
      <c r="S101" s="1264">
        <v>0</v>
      </c>
      <c r="T101" s="1264">
        <v>0</v>
      </c>
      <c r="U101" s="1264">
        <v>0</v>
      </c>
      <c r="V101" s="1266">
        <v>0</v>
      </c>
      <c r="W101" s="1264">
        <v>0</v>
      </c>
      <c r="X101" s="1269">
        <v>10.519288074358533</v>
      </c>
      <c r="Y101"/>
      <c r="Z101"/>
      <c r="AA101"/>
      <c r="AB101"/>
    </row>
    <row r="102" spans="1:28">
      <c r="A102" s="1207"/>
      <c r="B102" s="1205" t="s">
        <v>111</v>
      </c>
      <c r="C102" s="1264"/>
      <c r="D102" s="1268"/>
      <c r="E102" s="1268"/>
      <c r="F102" s="1268"/>
      <c r="G102" s="1268"/>
      <c r="H102" s="1268"/>
      <c r="I102" s="1352"/>
      <c r="J102" s="1266"/>
      <c r="K102" s="1268"/>
      <c r="L102" s="1268"/>
      <c r="M102" s="1268"/>
      <c r="N102" s="1268"/>
      <c r="O102" s="1352"/>
      <c r="P102" s="1264"/>
      <c r="Q102" s="1268"/>
      <c r="R102" s="1268"/>
      <c r="S102" s="1264"/>
      <c r="T102" s="1264"/>
      <c r="U102" s="1264"/>
      <c r="V102" s="1266">
        <v>14482589</v>
      </c>
      <c r="W102" s="1262">
        <v>14482589</v>
      </c>
      <c r="X102" s="1269">
        <v>14482589</v>
      </c>
      <c r="Y102"/>
      <c r="Z102"/>
      <c r="AA102"/>
      <c r="AB102"/>
    </row>
    <row r="103" spans="1:28" s="205" customFormat="1">
      <c r="A103" s="1207"/>
      <c r="B103" s="1205" t="s">
        <v>113</v>
      </c>
      <c r="C103" s="1264"/>
      <c r="D103" s="1268"/>
      <c r="E103" s="1268"/>
      <c r="F103" s="1268"/>
      <c r="G103" s="1268"/>
      <c r="H103" s="1268"/>
      <c r="I103" s="1352"/>
      <c r="J103" s="1266"/>
      <c r="K103" s="1268"/>
      <c r="L103" s="1268"/>
      <c r="M103" s="1268"/>
      <c r="N103" s="1268"/>
      <c r="O103" s="1352"/>
      <c r="P103" s="1264"/>
      <c r="Q103" s="1268"/>
      <c r="R103" s="1268"/>
      <c r="S103" s="1264"/>
      <c r="T103" s="1264"/>
      <c r="U103" s="1264"/>
      <c r="V103" s="1266">
        <v>15781994</v>
      </c>
      <c r="W103" s="1267">
        <v>15781994</v>
      </c>
      <c r="X103" s="1269">
        <v>15781994</v>
      </c>
      <c r="Y103"/>
      <c r="Z103"/>
      <c r="AA103"/>
      <c r="AB103"/>
    </row>
    <row r="104" spans="1:28" s="204" customFormat="1" ht="13.5" thickBot="1">
      <c r="A104" s="1207"/>
      <c r="B104" s="1205" t="s">
        <v>115</v>
      </c>
      <c r="C104" s="1264">
        <v>0</v>
      </c>
      <c r="D104" s="1268">
        <v>0</v>
      </c>
      <c r="E104" s="1268">
        <v>0</v>
      </c>
      <c r="F104" s="1268">
        <v>0</v>
      </c>
      <c r="G104" s="1268">
        <v>0</v>
      </c>
      <c r="H104" s="1268">
        <v>0</v>
      </c>
      <c r="I104" s="1352">
        <v>0</v>
      </c>
      <c r="J104" s="1266">
        <v>0</v>
      </c>
      <c r="K104" s="1268">
        <v>0</v>
      </c>
      <c r="L104" s="1268">
        <v>0</v>
      </c>
      <c r="M104" s="1268">
        <v>0</v>
      </c>
      <c r="N104" s="1268">
        <v>0</v>
      </c>
      <c r="O104" s="1352">
        <v>0</v>
      </c>
      <c r="P104" s="1264">
        <v>0</v>
      </c>
      <c r="Q104" s="1268">
        <v>0</v>
      </c>
      <c r="R104" s="1268">
        <v>0</v>
      </c>
      <c r="S104" s="1264">
        <v>0</v>
      </c>
      <c r="T104" s="1264">
        <v>0</v>
      </c>
      <c r="U104" s="1264">
        <v>0</v>
      </c>
      <c r="V104" s="1266">
        <v>8.9721872242594181</v>
      </c>
      <c r="W104" s="1338">
        <v>8.9721872242594181</v>
      </c>
      <c r="X104" s="1269">
        <v>8.9721872242594181</v>
      </c>
      <c r="Y104"/>
      <c r="Z104"/>
      <c r="AA104"/>
      <c r="AB104"/>
    </row>
    <row r="105" spans="1:28">
      <c r="A105" s="1207"/>
      <c r="B105" s="1205" t="s">
        <v>339</v>
      </c>
      <c r="C105" s="1264"/>
      <c r="D105" s="1268"/>
      <c r="E105" s="1268"/>
      <c r="F105" s="1268"/>
      <c r="G105" s="1268"/>
      <c r="H105" s="1268"/>
      <c r="I105" s="1352"/>
      <c r="J105" s="1266"/>
      <c r="K105" s="1268"/>
      <c r="L105" s="1268"/>
      <c r="M105" s="1268"/>
      <c r="N105" s="1268"/>
      <c r="O105" s="1352"/>
      <c r="P105" s="1264"/>
      <c r="Q105" s="1268"/>
      <c r="R105" s="1268"/>
      <c r="S105" s="1264"/>
      <c r="T105" s="1264"/>
      <c r="U105" s="1264"/>
      <c r="V105" s="1266"/>
      <c r="W105" s="1264"/>
      <c r="X105" s="1269"/>
      <c r="Y105"/>
      <c r="Z105"/>
      <c r="AA105"/>
      <c r="AB105"/>
    </row>
    <row r="106" spans="1:28" s="205" customFormat="1">
      <c r="A106" s="1207"/>
      <c r="B106" s="1205" t="s">
        <v>223</v>
      </c>
      <c r="C106" s="1264"/>
      <c r="D106" s="1268"/>
      <c r="E106" s="1268"/>
      <c r="F106" s="1268"/>
      <c r="G106" s="1268"/>
      <c r="H106" s="1268"/>
      <c r="I106" s="1352"/>
      <c r="J106" s="1266"/>
      <c r="K106" s="1268"/>
      <c r="L106" s="1268"/>
      <c r="M106" s="1268"/>
      <c r="N106" s="1268"/>
      <c r="O106" s="1352"/>
      <c r="P106" s="1264"/>
      <c r="Q106" s="1268"/>
      <c r="R106" s="1268"/>
      <c r="S106" s="1264"/>
      <c r="T106" s="1264"/>
      <c r="U106" s="1264"/>
      <c r="V106" s="1266"/>
      <c r="W106" s="1264"/>
      <c r="X106" s="1269"/>
      <c r="Y106"/>
      <c r="Z106"/>
      <c r="AA106"/>
      <c r="AB106"/>
    </row>
    <row r="107" spans="1:28" s="204" customFormat="1">
      <c r="A107" s="1207"/>
      <c r="B107" s="1205" t="s">
        <v>85</v>
      </c>
      <c r="C107" s="1264">
        <v>0</v>
      </c>
      <c r="D107" s="1268">
        <v>0</v>
      </c>
      <c r="E107" s="1268">
        <v>0</v>
      </c>
      <c r="F107" s="1268">
        <v>0</v>
      </c>
      <c r="G107" s="1268">
        <v>0</v>
      </c>
      <c r="H107" s="1268">
        <v>0</v>
      </c>
      <c r="I107" s="1352">
        <v>0</v>
      </c>
      <c r="J107" s="1266">
        <v>0</v>
      </c>
      <c r="K107" s="1268">
        <v>0</v>
      </c>
      <c r="L107" s="1268">
        <v>0</v>
      </c>
      <c r="M107" s="1268">
        <v>0</v>
      </c>
      <c r="N107" s="1268">
        <v>0</v>
      </c>
      <c r="O107" s="1352">
        <v>0</v>
      </c>
      <c r="P107" s="1264">
        <v>0</v>
      </c>
      <c r="Q107" s="1268">
        <v>0</v>
      </c>
      <c r="R107" s="1268">
        <v>0</v>
      </c>
      <c r="S107" s="1264">
        <v>0</v>
      </c>
      <c r="T107" s="1264">
        <v>0</v>
      </c>
      <c r="U107" s="1264">
        <v>0</v>
      </c>
      <c r="V107" s="1266">
        <v>0</v>
      </c>
      <c r="W107" s="1264">
        <v>0</v>
      </c>
      <c r="X107" s="1269">
        <v>0</v>
      </c>
      <c r="Y107"/>
      <c r="Z107"/>
      <c r="AA107"/>
      <c r="AB107"/>
    </row>
    <row r="108" spans="1:28">
      <c r="A108" s="1207"/>
      <c r="B108" s="1205" t="s">
        <v>219</v>
      </c>
      <c r="C108" s="1264"/>
      <c r="D108" s="1268"/>
      <c r="E108" s="1268"/>
      <c r="F108" s="1268"/>
      <c r="G108" s="1268"/>
      <c r="H108" s="1268"/>
      <c r="I108" s="1352"/>
      <c r="J108" s="1266"/>
      <c r="K108" s="1268"/>
      <c r="L108" s="1268"/>
      <c r="M108" s="1268"/>
      <c r="N108" s="1268"/>
      <c r="O108" s="1352"/>
      <c r="P108" s="1264"/>
      <c r="Q108" s="1268"/>
      <c r="R108" s="1268"/>
      <c r="S108" s="1264"/>
      <c r="T108" s="1264"/>
      <c r="U108" s="1264"/>
      <c r="V108" s="1266"/>
      <c r="W108" s="1264"/>
      <c r="X108" s="1269"/>
      <c r="Y108"/>
      <c r="Z108"/>
      <c r="AA108"/>
      <c r="AB108"/>
    </row>
    <row r="109" spans="1:28" s="205" customFormat="1">
      <c r="A109" s="1207"/>
      <c r="B109" s="1205" t="s">
        <v>141</v>
      </c>
      <c r="C109" s="1264"/>
      <c r="D109" s="1268"/>
      <c r="E109" s="1268"/>
      <c r="F109" s="1268"/>
      <c r="G109" s="1268"/>
      <c r="H109" s="1268"/>
      <c r="I109" s="1352"/>
      <c r="J109" s="1266"/>
      <c r="K109" s="1268"/>
      <c r="L109" s="1268"/>
      <c r="M109" s="1268"/>
      <c r="N109" s="1268"/>
      <c r="O109" s="1352"/>
      <c r="P109" s="1264"/>
      <c r="Q109" s="1268"/>
      <c r="R109" s="1268"/>
      <c r="S109" s="1264"/>
      <c r="T109" s="1264"/>
      <c r="U109" s="1264"/>
      <c r="V109" s="1266"/>
      <c r="W109" s="1264"/>
      <c r="X109" s="1269"/>
      <c r="Y109"/>
      <c r="Z109"/>
      <c r="AA109"/>
      <c r="AB109"/>
    </row>
    <row r="110" spans="1:28" s="204" customFormat="1">
      <c r="A110" s="1207"/>
      <c r="B110" s="1205" t="s">
        <v>169</v>
      </c>
      <c r="C110" s="1264">
        <v>0</v>
      </c>
      <c r="D110" s="1268">
        <v>0</v>
      </c>
      <c r="E110" s="1268">
        <v>0</v>
      </c>
      <c r="F110" s="1268">
        <v>0</v>
      </c>
      <c r="G110" s="1268">
        <v>0</v>
      </c>
      <c r="H110" s="1268">
        <v>0</v>
      </c>
      <c r="I110" s="1352">
        <v>0</v>
      </c>
      <c r="J110" s="1266">
        <v>0</v>
      </c>
      <c r="K110" s="1268">
        <v>0</v>
      </c>
      <c r="L110" s="1268">
        <v>0</v>
      </c>
      <c r="M110" s="1268">
        <v>0</v>
      </c>
      <c r="N110" s="1268">
        <v>0</v>
      </c>
      <c r="O110" s="1352">
        <v>0</v>
      </c>
      <c r="P110" s="1264">
        <v>0</v>
      </c>
      <c r="Q110" s="1268">
        <v>0</v>
      </c>
      <c r="R110" s="1268">
        <v>0</v>
      </c>
      <c r="S110" s="1264">
        <v>0</v>
      </c>
      <c r="T110" s="1264">
        <v>0</v>
      </c>
      <c r="U110" s="1264">
        <v>0</v>
      </c>
      <c r="V110" s="1266">
        <v>0</v>
      </c>
      <c r="W110" s="1264">
        <v>0</v>
      </c>
      <c r="X110" s="1269">
        <v>0</v>
      </c>
      <c r="Y110"/>
      <c r="Z110"/>
      <c r="AA110"/>
      <c r="AB110"/>
    </row>
    <row r="111" spans="1:28">
      <c r="A111" s="1207"/>
      <c r="B111" s="1205" t="s">
        <v>221</v>
      </c>
      <c r="C111" s="1264">
        <v>0</v>
      </c>
      <c r="D111" s="1268"/>
      <c r="E111" s="1268"/>
      <c r="F111" s="1268">
        <v>0</v>
      </c>
      <c r="G111" s="1268"/>
      <c r="H111" s="1268"/>
      <c r="I111" s="1352">
        <v>0</v>
      </c>
      <c r="J111" s="1266"/>
      <c r="K111" s="1268"/>
      <c r="L111" s="1268">
        <v>0</v>
      </c>
      <c r="M111" s="1268">
        <v>0</v>
      </c>
      <c r="N111" s="1268"/>
      <c r="O111" s="1352">
        <v>0</v>
      </c>
      <c r="P111" s="1264"/>
      <c r="Q111" s="1268"/>
      <c r="R111" s="1268"/>
      <c r="S111" s="1264"/>
      <c r="T111" s="1264"/>
      <c r="U111" s="1264"/>
      <c r="V111" s="1266">
        <v>0</v>
      </c>
      <c r="W111" s="1264">
        <v>0</v>
      </c>
      <c r="X111" s="1269">
        <v>0</v>
      </c>
      <c r="Y111"/>
      <c r="Z111"/>
      <c r="AA111"/>
      <c r="AB111"/>
    </row>
    <row r="112" spans="1:28" s="205" customFormat="1">
      <c r="A112" s="1207"/>
      <c r="B112" s="1205" t="s">
        <v>143</v>
      </c>
      <c r="C112" s="1264">
        <v>0</v>
      </c>
      <c r="D112" s="1268"/>
      <c r="E112" s="1268"/>
      <c r="F112" s="1268">
        <v>0</v>
      </c>
      <c r="G112" s="1268"/>
      <c r="H112" s="1268"/>
      <c r="I112" s="1352">
        <v>0</v>
      </c>
      <c r="J112" s="1266"/>
      <c r="K112" s="1268"/>
      <c r="L112" s="1268">
        <v>0</v>
      </c>
      <c r="M112" s="1268">
        <v>0</v>
      </c>
      <c r="N112" s="1268"/>
      <c r="O112" s="1352">
        <v>0</v>
      </c>
      <c r="P112" s="1264"/>
      <c r="Q112" s="1268"/>
      <c r="R112" s="1268"/>
      <c r="S112" s="1264"/>
      <c r="T112" s="1264"/>
      <c r="U112" s="1264"/>
      <c r="V112" s="1266">
        <v>0</v>
      </c>
      <c r="W112" s="1264">
        <v>0</v>
      </c>
      <c r="X112" s="1269">
        <v>0</v>
      </c>
      <c r="Y112"/>
      <c r="Z112"/>
      <c r="AA112"/>
      <c r="AB112"/>
    </row>
    <row r="113" spans="1:28" s="204" customFormat="1">
      <c r="A113" s="1207"/>
      <c r="B113" s="1205" t="s">
        <v>245</v>
      </c>
      <c r="C113" s="1264">
        <v>0</v>
      </c>
      <c r="D113" s="1268">
        <v>0</v>
      </c>
      <c r="E113" s="1268">
        <v>0</v>
      </c>
      <c r="F113" s="1268">
        <v>0</v>
      </c>
      <c r="G113" s="1268">
        <v>0</v>
      </c>
      <c r="H113" s="1268">
        <v>0</v>
      </c>
      <c r="I113" s="1352">
        <v>0</v>
      </c>
      <c r="J113" s="1266">
        <v>0</v>
      </c>
      <c r="K113" s="1268">
        <v>0</v>
      </c>
      <c r="L113" s="1268">
        <v>0</v>
      </c>
      <c r="M113" s="1268">
        <v>0</v>
      </c>
      <c r="N113" s="1268">
        <v>0</v>
      </c>
      <c r="O113" s="1352">
        <v>0</v>
      </c>
      <c r="P113" s="1264">
        <v>0</v>
      </c>
      <c r="Q113" s="1268">
        <v>0</v>
      </c>
      <c r="R113" s="1268">
        <v>0</v>
      </c>
      <c r="S113" s="1264">
        <v>0</v>
      </c>
      <c r="T113" s="1264">
        <v>0</v>
      </c>
      <c r="U113" s="1264">
        <v>0</v>
      </c>
      <c r="V113" s="1266">
        <v>0</v>
      </c>
      <c r="W113" s="1264">
        <v>0</v>
      </c>
      <c r="X113" s="1269">
        <v>0</v>
      </c>
      <c r="Y113"/>
      <c r="Z113"/>
      <c r="AA113"/>
      <c r="AB113"/>
    </row>
    <row r="114" spans="1:28">
      <c r="A114" s="1207"/>
      <c r="B114" s="1205" t="s">
        <v>117</v>
      </c>
      <c r="C114" s="1264"/>
      <c r="D114" s="1268"/>
      <c r="E114" s="1268"/>
      <c r="F114" s="1268"/>
      <c r="G114" s="1268"/>
      <c r="H114" s="1268"/>
      <c r="I114" s="1352"/>
      <c r="J114" s="1266"/>
      <c r="K114" s="1268"/>
      <c r="L114" s="1268"/>
      <c r="M114" s="1268"/>
      <c r="N114" s="1268"/>
      <c r="O114" s="1352"/>
      <c r="P114" s="1264"/>
      <c r="Q114" s="1268"/>
      <c r="R114" s="1268"/>
      <c r="S114" s="1264"/>
      <c r="T114" s="1264"/>
      <c r="U114" s="1264"/>
      <c r="V114" s="1266"/>
      <c r="W114" s="1264"/>
      <c r="X114" s="1269"/>
      <c r="Y114"/>
      <c r="Z114"/>
      <c r="AA114"/>
      <c r="AB114"/>
    </row>
    <row r="115" spans="1:28" s="205" customFormat="1">
      <c r="A115" s="1207"/>
      <c r="B115" s="1205" t="s">
        <v>119</v>
      </c>
      <c r="C115" s="1264"/>
      <c r="D115" s="1268"/>
      <c r="E115" s="1268"/>
      <c r="F115" s="1268"/>
      <c r="G115" s="1268"/>
      <c r="H115" s="1268"/>
      <c r="I115" s="1352"/>
      <c r="J115" s="1266"/>
      <c r="K115" s="1268"/>
      <c r="L115" s="1268"/>
      <c r="M115" s="1268"/>
      <c r="N115" s="1268"/>
      <c r="O115" s="1352"/>
      <c r="P115" s="1264"/>
      <c r="Q115" s="1268"/>
      <c r="R115" s="1268"/>
      <c r="S115" s="1264"/>
      <c r="T115" s="1264"/>
      <c r="U115" s="1264"/>
      <c r="V115" s="1266"/>
      <c r="W115" s="1264"/>
      <c r="X115" s="1269"/>
      <c r="Y115"/>
      <c r="Z115"/>
      <c r="AA115"/>
      <c r="AB115"/>
    </row>
    <row r="116" spans="1:28" s="204" customFormat="1">
      <c r="A116" s="1207"/>
      <c r="B116" s="1205" t="s">
        <v>301</v>
      </c>
      <c r="C116" s="1264">
        <v>0</v>
      </c>
      <c r="D116" s="1268">
        <v>0</v>
      </c>
      <c r="E116" s="1268">
        <v>0</v>
      </c>
      <c r="F116" s="1268">
        <v>0</v>
      </c>
      <c r="G116" s="1268">
        <v>0</v>
      </c>
      <c r="H116" s="1268">
        <v>0</v>
      </c>
      <c r="I116" s="1352">
        <v>0</v>
      </c>
      <c r="J116" s="1266">
        <v>0</v>
      </c>
      <c r="K116" s="1268">
        <v>0</v>
      </c>
      <c r="L116" s="1268">
        <v>0</v>
      </c>
      <c r="M116" s="1268">
        <v>0</v>
      </c>
      <c r="N116" s="1268">
        <v>0</v>
      </c>
      <c r="O116" s="1352">
        <v>0</v>
      </c>
      <c r="P116" s="1264">
        <v>0</v>
      </c>
      <c r="Q116" s="1268">
        <v>0</v>
      </c>
      <c r="R116" s="1268">
        <v>0</v>
      </c>
      <c r="S116" s="1264">
        <v>0</v>
      </c>
      <c r="T116" s="1264">
        <v>0</v>
      </c>
      <c r="U116" s="1264">
        <v>0</v>
      </c>
      <c r="V116" s="1266">
        <v>0</v>
      </c>
      <c r="W116" s="1264">
        <v>0</v>
      </c>
      <c r="X116" s="1269">
        <v>0</v>
      </c>
      <c r="Y116"/>
      <c r="Z116"/>
      <c r="AA116"/>
      <c r="AB116"/>
    </row>
    <row r="117" spans="1:28">
      <c r="A117" s="1207"/>
      <c r="B117" s="1205" t="s">
        <v>120</v>
      </c>
      <c r="C117" s="1264"/>
      <c r="D117" s="1268"/>
      <c r="E117" s="1268"/>
      <c r="F117" s="1268"/>
      <c r="G117" s="1268"/>
      <c r="H117" s="1268"/>
      <c r="I117" s="1352"/>
      <c r="J117" s="1266"/>
      <c r="K117" s="1268"/>
      <c r="L117" s="1268"/>
      <c r="M117" s="1268"/>
      <c r="N117" s="1268"/>
      <c r="O117" s="1352"/>
      <c r="P117" s="1264"/>
      <c r="Q117" s="1268"/>
      <c r="R117" s="1268"/>
      <c r="S117" s="1264"/>
      <c r="T117" s="1264"/>
      <c r="U117" s="1264"/>
      <c r="V117" s="1266"/>
      <c r="W117" s="1264"/>
      <c r="X117" s="1269"/>
      <c r="Y117"/>
      <c r="Z117"/>
      <c r="AA117"/>
      <c r="AB117"/>
    </row>
    <row r="118" spans="1:28" s="205" customFormat="1">
      <c r="A118" s="1207"/>
      <c r="B118" s="1205" t="s">
        <v>450</v>
      </c>
      <c r="C118" s="1264"/>
      <c r="D118" s="1268"/>
      <c r="E118" s="1268"/>
      <c r="F118" s="1268"/>
      <c r="G118" s="1268"/>
      <c r="H118" s="1268"/>
      <c r="I118" s="1352"/>
      <c r="J118" s="1266"/>
      <c r="K118" s="1268"/>
      <c r="L118" s="1268"/>
      <c r="M118" s="1268"/>
      <c r="N118" s="1268"/>
      <c r="O118" s="1352"/>
      <c r="P118" s="1264"/>
      <c r="Q118" s="1268"/>
      <c r="R118" s="1268"/>
      <c r="S118" s="1264"/>
      <c r="T118" s="1264"/>
      <c r="U118" s="1264"/>
      <c r="V118" s="1266"/>
      <c r="W118" s="1264"/>
      <c r="X118" s="1269"/>
      <c r="Y118"/>
      <c r="Z118"/>
      <c r="AA118"/>
      <c r="AB118"/>
    </row>
    <row r="119" spans="1:28" s="204" customFormat="1">
      <c r="A119" s="1207"/>
      <c r="B119" s="1205" t="s">
        <v>335</v>
      </c>
      <c r="C119" s="1264">
        <v>0</v>
      </c>
      <c r="D119" s="1268">
        <v>0</v>
      </c>
      <c r="E119" s="1268">
        <v>0</v>
      </c>
      <c r="F119" s="1268">
        <v>0</v>
      </c>
      <c r="G119" s="1268">
        <v>0</v>
      </c>
      <c r="H119" s="1268">
        <v>0</v>
      </c>
      <c r="I119" s="1352">
        <v>0</v>
      </c>
      <c r="J119" s="1266">
        <v>0</v>
      </c>
      <c r="K119" s="1268">
        <v>0</v>
      </c>
      <c r="L119" s="1268">
        <v>0</v>
      </c>
      <c r="M119" s="1268">
        <v>0</v>
      </c>
      <c r="N119" s="1268">
        <v>0</v>
      </c>
      <c r="O119" s="1352">
        <v>0</v>
      </c>
      <c r="P119" s="1264">
        <v>0</v>
      </c>
      <c r="Q119" s="1268">
        <v>0</v>
      </c>
      <c r="R119" s="1268">
        <v>0</v>
      </c>
      <c r="S119" s="1264">
        <v>0</v>
      </c>
      <c r="T119" s="1264">
        <v>0</v>
      </c>
      <c r="U119" s="1264">
        <v>0</v>
      </c>
      <c r="V119" s="1266">
        <v>0</v>
      </c>
      <c r="W119" s="1264">
        <v>0</v>
      </c>
      <c r="X119" s="1269">
        <v>0</v>
      </c>
      <c r="Y119"/>
      <c r="Z119"/>
      <c r="AA119"/>
      <c r="AB119"/>
    </row>
    <row r="120" spans="1:28">
      <c r="A120" s="1207"/>
      <c r="B120" s="1205" t="s">
        <v>35</v>
      </c>
      <c r="C120" s="1264">
        <v>503206474</v>
      </c>
      <c r="D120" s="1268"/>
      <c r="E120" s="1268"/>
      <c r="F120" s="1268">
        <v>64385562</v>
      </c>
      <c r="G120" s="1268"/>
      <c r="H120" s="1268"/>
      <c r="I120" s="1352">
        <v>567592036</v>
      </c>
      <c r="J120" s="1266"/>
      <c r="K120" s="1268"/>
      <c r="L120" s="1268">
        <v>80384850</v>
      </c>
      <c r="M120" s="1268">
        <v>19518900</v>
      </c>
      <c r="N120" s="1268"/>
      <c r="O120" s="1352">
        <v>99903750</v>
      </c>
      <c r="P120" s="1264"/>
      <c r="Q120" s="1268"/>
      <c r="R120" s="1268"/>
      <c r="S120" s="1264"/>
      <c r="T120" s="1264"/>
      <c r="U120" s="1264"/>
      <c r="V120" s="1266">
        <v>3408896</v>
      </c>
      <c r="W120" s="1264">
        <v>3408896</v>
      </c>
      <c r="X120" s="1269">
        <v>670904682</v>
      </c>
      <c r="Y120"/>
      <c r="Z120"/>
      <c r="AA120"/>
      <c r="AB120"/>
    </row>
    <row r="121" spans="1:28" s="205" customFormat="1">
      <c r="A121" s="1207"/>
      <c r="B121" s="1205" t="s">
        <v>37</v>
      </c>
      <c r="C121" s="1264">
        <v>537999176</v>
      </c>
      <c r="D121" s="1268"/>
      <c r="E121" s="1268"/>
      <c r="F121" s="1268">
        <v>62925828</v>
      </c>
      <c r="G121" s="1268"/>
      <c r="H121" s="1268"/>
      <c r="I121" s="1352">
        <v>600925004</v>
      </c>
      <c r="J121" s="1266"/>
      <c r="K121" s="1268"/>
      <c r="L121" s="1268">
        <v>79724300</v>
      </c>
      <c r="M121" s="1268">
        <v>19825100</v>
      </c>
      <c r="N121" s="1268"/>
      <c r="O121" s="1352">
        <v>99549400</v>
      </c>
      <c r="P121" s="1264"/>
      <c r="Q121" s="1268"/>
      <c r="R121" s="1268"/>
      <c r="S121" s="1264"/>
      <c r="T121" s="1264"/>
      <c r="U121" s="1264"/>
      <c r="V121" s="1266">
        <v>2242100</v>
      </c>
      <c r="W121" s="1264">
        <v>2242100</v>
      </c>
      <c r="X121" s="1269">
        <v>702716504</v>
      </c>
      <c r="Y121"/>
      <c r="Z121"/>
      <c r="AA121"/>
      <c r="AB121"/>
    </row>
    <row r="122" spans="1:28" s="214" customFormat="1" ht="13.5" thickBot="1">
      <c r="A122" s="1333"/>
      <c r="B122" s="1205" t="s">
        <v>39</v>
      </c>
      <c r="C122" s="1264">
        <v>6.9141999949706534</v>
      </c>
      <c r="D122" s="1268">
        <v>0</v>
      </c>
      <c r="E122" s="1268">
        <v>0</v>
      </c>
      <c r="F122" s="1268">
        <v>-2.2671759858211691</v>
      </c>
      <c r="G122" s="1268">
        <v>0</v>
      </c>
      <c r="H122" s="1268">
        <v>0</v>
      </c>
      <c r="I122" s="1352">
        <v>5.872698326584695</v>
      </c>
      <c r="J122" s="1266">
        <v>0</v>
      </c>
      <c r="K122" s="1268">
        <v>0</v>
      </c>
      <c r="L122" s="1268">
        <v>-0.82173444374157556</v>
      </c>
      <c r="M122" s="1268">
        <v>1.5687359431115482</v>
      </c>
      <c r="N122" s="1268">
        <v>0</v>
      </c>
      <c r="O122" s="1352">
        <v>-0.35469139046332093</v>
      </c>
      <c r="P122" s="1264">
        <v>0</v>
      </c>
      <c r="Q122" s="1268">
        <v>0</v>
      </c>
      <c r="R122" s="1268">
        <v>0</v>
      </c>
      <c r="S122" s="1264">
        <v>0</v>
      </c>
      <c r="T122" s="1264">
        <v>0</v>
      </c>
      <c r="U122" s="1264">
        <v>0</v>
      </c>
      <c r="V122" s="1266">
        <v>-34.227972927305494</v>
      </c>
      <c r="W122" s="1264">
        <v>-34.227972927305494</v>
      </c>
      <c r="X122" s="1269">
        <v>4.7416306449326582</v>
      </c>
      <c r="Y122"/>
      <c r="Z122"/>
      <c r="AA122"/>
      <c r="AB122"/>
    </row>
    <row r="123" spans="1:28">
      <c r="A123" s="1206" t="s">
        <v>209</v>
      </c>
      <c r="B123" s="1204" t="s">
        <v>253</v>
      </c>
      <c r="C123" s="1259">
        <v>1226664639</v>
      </c>
      <c r="D123" s="1260">
        <v>150761223</v>
      </c>
      <c r="E123" s="1260">
        <v>226766823</v>
      </c>
      <c r="F123" s="1260">
        <v>45250852</v>
      </c>
      <c r="G123" s="1262"/>
      <c r="H123" s="1260">
        <v>14629738</v>
      </c>
      <c r="I123" s="1355">
        <v>1664073275</v>
      </c>
      <c r="J123" s="1261">
        <v>311178044</v>
      </c>
      <c r="K123" s="1260">
        <v>561724228</v>
      </c>
      <c r="L123" s="1260">
        <v>68921862</v>
      </c>
      <c r="M123" s="1348">
        <v>11411353</v>
      </c>
      <c r="N123" s="1260"/>
      <c r="O123" s="1355">
        <v>953235487</v>
      </c>
      <c r="P123" s="1259"/>
      <c r="Q123" s="1260"/>
      <c r="R123" s="1260"/>
      <c r="S123" s="1259"/>
      <c r="T123" s="1259"/>
      <c r="U123" s="1259"/>
      <c r="V123" s="1261"/>
      <c r="W123" s="1259"/>
      <c r="X123" s="1263">
        <v>2617308762</v>
      </c>
      <c r="Y123"/>
      <c r="Z123"/>
      <c r="AA123"/>
      <c r="AB123"/>
    </row>
    <row r="124" spans="1:28" s="205" customFormat="1">
      <c r="A124" s="1207"/>
      <c r="B124" s="1205" t="s">
        <v>4</v>
      </c>
      <c r="C124" s="1264">
        <v>1292390540</v>
      </c>
      <c r="D124" s="1268">
        <v>155644513</v>
      </c>
      <c r="E124" s="1268">
        <v>240804120</v>
      </c>
      <c r="F124" s="1268">
        <v>46712009</v>
      </c>
      <c r="G124" s="1267"/>
      <c r="H124" s="1268">
        <v>16123927</v>
      </c>
      <c r="I124" s="1352">
        <v>1751675109</v>
      </c>
      <c r="J124" s="1266">
        <v>328328980</v>
      </c>
      <c r="K124" s="1268">
        <v>603414093</v>
      </c>
      <c r="L124" s="1268">
        <v>72663148</v>
      </c>
      <c r="M124" s="1340">
        <v>11915350</v>
      </c>
      <c r="N124" s="1268"/>
      <c r="O124" s="1352">
        <v>1016321571</v>
      </c>
      <c r="P124" s="1264"/>
      <c r="Q124" s="1268"/>
      <c r="R124" s="1268"/>
      <c r="S124" s="1264"/>
      <c r="T124" s="1264"/>
      <c r="U124" s="1264"/>
      <c r="V124" s="1266"/>
      <c r="W124" s="1264"/>
      <c r="X124" s="1269">
        <v>2767996680</v>
      </c>
      <c r="Y124"/>
      <c r="Z124"/>
      <c r="AA124"/>
      <c r="AB124"/>
    </row>
    <row r="125" spans="1:28" s="204" customFormat="1" ht="13.5" thickBot="1">
      <c r="A125" s="1207"/>
      <c r="B125" s="1205" t="s">
        <v>175</v>
      </c>
      <c r="C125" s="1264">
        <v>5.3580986123135483</v>
      </c>
      <c r="D125" s="1268">
        <v>3.2390888736687948</v>
      </c>
      <c r="E125" s="1268">
        <v>6.1901899115109975</v>
      </c>
      <c r="F125" s="1268">
        <v>3.2290154448362656</v>
      </c>
      <c r="G125" s="1281">
        <v>0</v>
      </c>
      <c r="H125" s="1268">
        <v>10.213368140974227</v>
      </c>
      <c r="I125" s="1352">
        <v>5.2643014773493073</v>
      </c>
      <c r="J125" s="1266">
        <v>5.5116150804007242</v>
      </c>
      <c r="K125" s="1268">
        <v>7.4217672875594749</v>
      </c>
      <c r="L125" s="1268">
        <v>5.428300819847264</v>
      </c>
      <c r="M125" s="1268">
        <v>4.4166278967971628</v>
      </c>
      <c r="N125" s="1268">
        <v>0</v>
      </c>
      <c r="O125" s="1352">
        <v>6.6181006540726912</v>
      </c>
      <c r="P125" s="1264">
        <v>0</v>
      </c>
      <c r="Q125" s="1268">
        <v>0</v>
      </c>
      <c r="R125" s="1268">
        <v>0</v>
      </c>
      <c r="S125" s="1264">
        <v>0</v>
      </c>
      <c r="T125" s="1264">
        <v>0</v>
      </c>
      <c r="U125" s="1264">
        <v>0</v>
      </c>
      <c r="V125" s="1266">
        <v>0</v>
      </c>
      <c r="W125" s="1264">
        <v>0</v>
      </c>
      <c r="X125" s="1269">
        <v>5.7573611561538796</v>
      </c>
      <c r="Y125"/>
      <c r="Z125"/>
      <c r="AA125"/>
      <c r="AB125"/>
    </row>
    <row r="126" spans="1:28">
      <c r="A126" s="1207"/>
      <c r="B126" s="1205" t="s">
        <v>269</v>
      </c>
      <c r="C126" s="1262">
        <v>180753966</v>
      </c>
      <c r="D126" s="1262">
        <v>17077993</v>
      </c>
      <c r="E126" s="1268">
        <v>8426597</v>
      </c>
      <c r="F126" s="1268">
        <v>1012030</v>
      </c>
      <c r="G126" s="1268"/>
      <c r="H126" s="1268">
        <v>785382</v>
      </c>
      <c r="I126" s="1352">
        <v>208055968</v>
      </c>
      <c r="J126" s="1266"/>
      <c r="K126" s="1268"/>
      <c r="L126" s="1268"/>
      <c r="M126" s="1268"/>
      <c r="N126" s="1268"/>
      <c r="O126" s="1352"/>
      <c r="P126" s="1264"/>
      <c r="Q126" s="1268"/>
      <c r="R126" s="1268"/>
      <c r="S126" s="1264"/>
      <c r="T126" s="1264"/>
      <c r="U126" s="1264"/>
      <c r="V126" s="1288">
        <v>10704111</v>
      </c>
      <c r="W126" s="1262">
        <v>10704111</v>
      </c>
      <c r="X126" s="1269">
        <v>218760079</v>
      </c>
      <c r="Y126"/>
      <c r="Z126"/>
      <c r="AA126"/>
      <c r="AB126"/>
    </row>
    <row r="127" spans="1:28" s="205" customFormat="1">
      <c r="A127" s="1207"/>
      <c r="B127" s="1205" t="s">
        <v>342</v>
      </c>
      <c r="C127" s="1267">
        <v>174735778</v>
      </c>
      <c r="D127" s="1267">
        <v>17054257</v>
      </c>
      <c r="E127" s="1268">
        <v>8368230</v>
      </c>
      <c r="F127" s="1268">
        <v>1006205</v>
      </c>
      <c r="G127" s="1268"/>
      <c r="H127" s="1268">
        <v>773241</v>
      </c>
      <c r="I127" s="1352">
        <v>201937711</v>
      </c>
      <c r="J127" s="1266"/>
      <c r="K127" s="1268"/>
      <c r="L127" s="1268"/>
      <c r="M127" s="1268"/>
      <c r="N127" s="1268"/>
      <c r="O127" s="1352"/>
      <c r="P127" s="1264"/>
      <c r="Q127" s="1268"/>
      <c r="R127" s="1268"/>
      <c r="S127" s="1264"/>
      <c r="T127" s="1264"/>
      <c r="U127" s="1264"/>
      <c r="V127" s="1289">
        <v>10403693</v>
      </c>
      <c r="W127" s="1267">
        <v>10403693</v>
      </c>
      <c r="X127" s="1269">
        <v>212341404</v>
      </c>
      <c r="Y127"/>
      <c r="Z127"/>
      <c r="AA127"/>
      <c r="AB127"/>
    </row>
    <row r="128" spans="1:28" s="204" customFormat="1" ht="13.5" thickBot="1">
      <c r="A128" s="1207"/>
      <c r="B128" s="1205" t="s">
        <v>344</v>
      </c>
      <c r="C128" s="1281">
        <v>-3.3294915365785114</v>
      </c>
      <c r="D128" s="1281">
        <v>-0.13898588669054965</v>
      </c>
      <c r="E128" s="1268">
        <v>-0.69265208719486648</v>
      </c>
      <c r="F128" s="1268">
        <v>-0.57557582285110132</v>
      </c>
      <c r="G128" s="1268">
        <v>0</v>
      </c>
      <c r="H128" s="1268">
        <v>-1.5458719451171532</v>
      </c>
      <c r="I128" s="1352">
        <v>-2.9406784428313055</v>
      </c>
      <c r="J128" s="1266">
        <v>0</v>
      </c>
      <c r="K128" s="1268">
        <v>0</v>
      </c>
      <c r="L128" s="1268">
        <v>0</v>
      </c>
      <c r="M128" s="1268">
        <v>0</v>
      </c>
      <c r="N128" s="1268">
        <v>0</v>
      </c>
      <c r="O128" s="1352">
        <v>0</v>
      </c>
      <c r="P128" s="1264">
        <v>0</v>
      </c>
      <c r="Q128" s="1268">
        <v>0</v>
      </c>
      <c r="R128" s="1268">
        <v>0</v>
      </c>
      <c r="S128" s="1264">
        <v>0</v>
      </c>
      <c r="T128" s="1264">
        <v>0</v>
      </c>
      <c r="U128" s="1264">
        <v>0</v>
      </c>
      <c r="V128" s="1290">
        <v>-2.8065665612025135</v>
      </c>
      <c r="W128" s="1281">
        <v>-2.8065665612025135</v>
      </c>
      <c r="X128" s="1269">
        <v>-2.9341162379082886</v>
      </c>
      <c r="Y128"/>
      <c r="Z128"/>
      <c r="AA128"/>
      <c r="AB128"/>
    </row>
    <row r="129" spans="1:28">
      <c r="A129" s="1207"/>
      <c r="B129" s="1205" t="s">
        <v>5</v>
      </c>
      <c r="C129" s="1264"/>
      <c r="D129" s="1268"/>
      <c r="E129" s="1268"/>
      <c r="F129" s="1268"/>
      <c r="G129" s="1268"/>
      <c r="H129" s="1268"/>
      <c r="I129" s="1352"/>
      <c r="J129" s="1266"/>
      <c r="K129" s="1268"/>
      <c r="L129" s="1268"/>
      <c r="M129" s="1268"/>
      <c r="N129" s="1268"/>
      <c r="O129" s="1352"/>
      <c r="P129" s="1264"/>
      <c r="Q129" s="1268"/>
      <c r="R129" s="1268"/>
      <c r="S129" s="1264"/>
      <c r="T129" s="1264"/>
      <c r="U129" s="1264"/>
      <c r="V129" s="1266"/>
      <c r="W129" s="1264"/>
      <c r="X129" s="1269"/>
      <c r="Y129"/>
      <c r="Z129"/>
      <c r="AA129"/>
      <c r="AB129"/>
    </row>
    <row r="130" spans="1:28" s="205" customFormat="1">
      <c r="A130" s="1207"/>
      <c r="B130" s="1205" t="s">
        <v>6</v>
      </c>
      <c r="C130" s="1264"/>
      <c r="D130" s="1268"/>
      <c r="E130" s="1268"/>
      <c r="F130" s="1268"/>
      <c r="G130" s="1268"/>
      <c r="H130" s="1268"/>
      <c r="I130" s="1352"/>
      <c r="J130" s="1266"/>
      <c r="K130" s="1268"/>
      <c r="L130" s="1268"/>
      <c r="M130" s="1268"/>
      <c r="N130" s="1268"/>
      <c r="O130" s="1352"/>
      <c r="P130" s="1264"/>
      <c r="Q130" s="1268"/>
      <c r="R130" s="1268"/>
      <c r="S130" s="1264"/>
      <c r="T130" s="1264"/>
      <c r="U130" s="1264"/>
      <c r="V130" s="1266"/>
      <c r="W130" s="1264"/>
      <c r="X130" s="1269"/>
      <c r="Y130"/>
      <c r="Z130"/>
      <c r="AA130"/>
      <c r="AB130"/>
    </row>
    <row r="131" spans="1:28" s="204" customFormat="1" ht="13.5" thickBot="1">
      <c r="A131" s="1207"/>
      <c r="B131" s="1205" t="s">
        <v>426</v>
      </c>
      <c r="C131" s="1264">
        <v>0</v>
      </c>
      <c r="D131" s="1268">
        <v>0</v>
      </c>
      <c r="E131" s="1268">
        <v>0</v>
      </c>
      <c r="F131" s="1268">
        <v>0</v>
      </c>
      <c r="G131" s="1268">
        <v>0</v>
      </c>
      <c r="H131" s="1268">
        <v>0</v>
      </c>
      <c r="I131" s="1352">
        <v>0</v>
      </c>
      <c r="J131" s="1266">
        <v>0</v>
      </c>
      <c r="K131" s="1268">
        <v>0</v>
      </c>
      <c r="L131" s="1268">
        <v>0</v>
      </c>
      <c r="M131" s="1268">
        <v>0</v>
      </c>
      <c r="N131" s="1268">
        <v>0</v>
      </c>
      <c r="O131" s="1352">
        <v>0</v>
      </c>
      <c r="P131" s="1264">
        <v>0</v>
      </c>
      <c r="Q131" s="1268">
        <v>0</v>
      </c>
      <c r="R131" s="1268">
        <v>0</v>
      </c>
      <c r="S131" s="1264">
        <v>0</v>
      </c>
      <c r="T131" s="1264">
        <v>0</v>
      </c>
      <c r="U131" s="1264">
        <v>0</v>
      </c>
      <c r="V131" s="1266">
        <v>0</v>
      </c>
      <c r="W131" s="1264">
        <v>0</v>
      </c>
      <c r="X131" s="1269">
        <v>0</v>
      </c>
      <c r="Y131"/>
      <c r="Z131"/>
      <c r="AA131"/>
      <c r="AB131"/>
    </row>
    <row r="132" spans="1:28">
      <c r="A132" s="1207"/>
      <c r="B132" s="1205" t="s">
        <v>322</v>
      </c>
      <c r="C132" s="1262">
        <v>831252318</v>
      </c>
      <c r="D132" s="1277">
        <v>80943990</v>
      </c>
      <c r="E132" s="1268">
        <v>136890143</v>
      </c>
      <c r="F132" s="1268">
        <v>33066822</v>
      </c>
      <c r="G132" s="1262"/>
      <c r="H132" s="1340">
        <v>5428205</v>
      </c>
      <c r="I132" s="1352">
        <v>1087581478</v>
      </c>
      <c r="J132" s="1266">
        <v>248584591</v>
      </c>
      <c r="K132" s="1268">
        <v>507944147</v>
      </c>
      <c r="L132" s="1268">
        <v>34375116</v>
      </c>
      <c r="M132" s="1345">
        <v>4519748</v>
      </c>
      <c r="N132" s="1268"/>
      <c r="O132" s="1352">
        <v>795423602</v>
      </c>
      <c r="P132" s="1264"/>
      <c r="Q132" s="1268"/>
      <c r="R132" s="1268"/>
      <c r="S132" s="1264"/>
      <c r="T132" s="1264"/>
      <c r="U132" s="1264"/>
      <c r="V132" s="1266"/>
      <c r="W132" s="1264"/>
      <c r="X132" s="1269">
        <v>1883005080</v>
      </c>
      <c r="Y132"/>
      <c r="Z132"/>
      <c r="AA132"/>
      <c r="AB132"/>
    </row>
    <row r="133" spans="1:28" s="205" customFormat="1">
      <c r="A133" s="1207"/>
      <c r="B133" s="1205" t="s">
        <v>22</v>
      </c>
      <c r="C133" s="1267">
        <v>919746848</v>
      </c>
      <c r="D133" s="1279">
        <v>86948921</v>
      </c>
      <c r="E133" s="1268">
        <v>144989072</v>
      </c>
      <c r="F133" s="1268">
        <v>35479669</v>
      </c>
      <c r="G133" s="1267"/>
      <c r="H133" s="1340">
        <v>5073547</v>
      </c>
      <c r="I133" s="1352">
        <v>1192238057</v>
      </c>
      <c r="J133" s="1266">
        <v>269825847.26761633</v>
      </c>
      <c r="K133" s="1268">
        <v>530945363.24592155</v>
      </c>
      <c r="L133" s="1268">
        <v>34807243.766668923</v>
      </c>
      <c r="M133" s="1346">
        <v>4451278.602944795</v>
      </c>
      <c r="N133" s="1268"/>
      <c r="O133" s="1352">
        <v>840029732.88315165</v>
      </c>
      <c r="P133" s="1264"/>
      <c r="Q133" s="1268"/>
      <c r="R133" s="1268"/>
      <c r="S133" s="1264"/>
      <c r="T133" s="1264"/>
      <c r="U133" s="1264"/>
      <c r="V133" s="1266"/>
      <c r="W133" s="1264"/>
      <c r="X133" s="1269">
        <v>2032267789.8831518</v>
      </c>
      <c r="Y133"/>
      <c r="Z133"/>
      <c r="AA133"/>
      <c r="AB133"/>
    </row>
    <row r="134" spans="1:28" s="204" customFormat="1" ht="13.5" thickBot="1">
      <c r="A134" s="1207"/>
      <c r="B134" s="1205" t="s">
        <v>375</v>
      </c>
      <c r="C134" s="1281">
        <v>10.645928809307694</v>
      </c>
      <c r="D134" s="1283">
        <v>7.4186249034672</v>
      </c>
      <c r="E134" s="1268">
        <v>5.9163712028557089</v>
      </c>
      <c r="F134" s="1268">
        <v>7.2968820529532588</v>
      </c>
      <c r="G134" s="1281">
        <v>0</v>
      </c>
      <c r="H134" s="1340">
        <v>-6.5336147032029928</v>
      </c>
      <c r="I134" s="1352">
        <v>9.6228725035348575</v>
      </c>
      <c r="J134" s="1266">
        <v>8.5448805101585457</v>
      </c>
      <c r="K134" s="1268">
        <v>4.528296345527445</v>
      </c>
      <c r="L134" s="1268">
        <v>1.2570947154590639</v>
      </c>
      <c r="M134" s="1347">
        <v>-1.5148941280621167</v>
      </c>
      <c r="N134" s="1268">
        <v>0</v>
      </c>
      <c r="O134" s="1352">
        <v>5.6078460295865913</v>
      </c>
      <c r="P134" s="1264">
        <v>0</v>
      </c>
      <c r="Q134" s="1268">
        <v>0</v>
      </c>
      <c r="R134" s="1268">
        <v>0</v>
      </c>
      <c r="S134" s="1264">
        <v>0</v>
      </c>
      <c r="T134" s="1264">
        <v>0</v>
      </c>
      <c r="U134" s="1264">
        <v>0</v>
      </c>
      <c r="V134" s="1266">
        <v>0</v>
      </c>
      <c r="W134" s="1264">
        <v>0</v>
      </c>
      <c r="X134" s="1269">
        <v>7.9268352203888535</v>
      </c>
      <c r="Y134"/>
      <c r="Z134"/>
      <c r="AA134"/>
      <c r="AB134"/>
    </row>
    <row r="135" spans="1:28">
      <c r="A135" s="1207"/>
      <c r="B135" s="1205" t="s">
        <v>324</v>
      </c>
      <c r="C135" s="1264">
        <v>21114302</v>
      </c>
      <c r="D135" s="1268">
        <v>2218734</v>
      </c>
      <c r="E135" s="1268">
        <v>3657837</v>
      </c>
      <c r="F135" s="1268">
        <v>852285</v>
      </c>
      <c r="G135" s="1268"/>
      <c r="H135" s="1268">
        <v>100598</v>
      </c>
      <c r="I135" s="1352">
        <v>27943756</v>
      </c>
      <c r="J135" s="1266"/>
      <c r="K135" s="1268"/>
      <c r="L135" s="1268"/>
      <c r="M135" s="1268"/>
      <c r="N135" s="1268"/>
      <c r="O135" s="1352"/>
      <c r="P135" s="1264"/>
      <c r="Q135" s="1268"/>
      <c r="R135" s="1268"/>
      <c r="S135" s="1264"/>
      <c r="T135" s="1264"/>
      <c r="U135" s="1264"/>
      <c r="V135" s="1266"/>
      <c r="W135" s="1264"/>
      <c r="X135" s="1269">
        <v>27943756</v>
      </c>
      <c r="Y135"/>
      <c r="Z135"/>
      <c r="AA135"/>
      <c r="AB135"/>
    </row>
    <row r="136" spans="1:28" s="205" customFormat="1">
      <c r="A136" s="1207"/>
      <c r="B136" s="1205" t="s">
        <v>226</v>
      </c>
      <c r="C136" s="1264">
        <v>20830200</v>
      </c>
      <c r="D136" s="1268">
        <v>2262937</v>
      </c>
      <c r="E136" s="1268">
        <v>3715687</v>
      </c>
      <c r="F136" s="1268">
        <v>1022512</v>
      </c>
      <c r="G136" s="1268"/>
      <c r="H136" s="1268">
        <v>106162</v>
      </c>
      <c r="I136" s="1352">
        <v>27937498</v>
      </c>
      <c r="J136" s="1266"/>
      <c r="K136" s="1268"/>
      <c r="L136" s="1268"/>
      <c r="M136" s="1268"/>
      <c r="N136" s="1268"/>
      <c r="O136" s="1352"/>
      <c r="P136" s="1264"/>
      <c r="Q136" s="1268"/>
      <c r="R136" s="1268"/>
      <c r="S136" s="1264"/>
      <c r="T136" s="1264"/>
      <c r="U136" s="1264"/>
      <c r="V136" s="1266"/>
      <c r="W136" s="1264"/>
      <c r="X136" s="1269">
        <v>27937498</v>
      </c>
      <c r="Y136"/>
      <c r="Z136"/>
      <c r="AA136"/>
      <c r="AB136"/>
    </row>
    <row r="137" spans="1:28" s="204" customFormat="1">
      <c r="A137" s="1207"/>
      <c r="B137" s="1205" t="s">
        <v>236</v>
      </c>
      <c r="C137" s="1264">
        <v>-1.3455429405149173</v>
      </c>
      <c r="D137" s="1268">
        <v>1.9922622540601984</v>
      </c>
      <c r="E137" s="1268">
        <v>1.5815357546003279</v>
      </c>
      <c r="F137" s="1268">
        <v>19.973013721935736</v>
      </c>
      <c r="G137" s="1268">
        <v>0</v>
      </c>
      <c r="H137" s="1268">
        <v>5.530925068092805</v>
      </c>
      <c r="I137" s="1352">
        <v>-2.2394985126552063E-2</v>
      </c>
      <c r="J137" s="1266">
        <v>0</v>
      </c>
      <c r="K137" s="1268">
        <v>0</v>
      </c>
      <c r="L137" s="1268">
        <v>0</v>
      </c>
      <c r="M137" s="1268">
        <v>0</v>
      </c>
      <c r="N137" s="1268">
        <v>0</v>
      </c>
      <c r="O137" s="1352">
        <v>0</v>
      </c>
      <c r="P137" s="1264">
        <v>0</v>
      </c>
      <c r="Q137" s="1268">
        <v>0</v>
      </c>
      <c r="R137" s="1268">
        <v>0</v>
      </c>
      <c r="S137" s="1264">
        <v>0</v>
      </c>
      <c r="T137" s="1264">
        <v>0</v>
      </c>
      <c r="U137" s="1264">
        <v>0</v>
      </c>
      <c r="V137" s="1266">
        <v>0</v>
      </c>
      <c r="W137" s="1264">
        <v>0</v>
      </c>
      <c r="X137" s="1269">
        <v>-2.2394985126552063E-2</v>
      </c>
      <c r="Y137"/>
      <c r="Z137"/>
      <c r="AA137"/>
      <c r="AB137"/>
    </row>
    <row r="138" spans="1:28">
      <c r="A138" s="1207"/>
      <c r="B138" s="1205" t="s">
        <v>449</v>
      </c>
      <c r="C138" s="1264">
        <v>852366620</v>
      </c>
      <c r="D138" s="1268">
        <v>83162724</v>
      </c>
      <c r="E138" s="1268">
        <v>140547980</v>
      </c>
      <c r="F138" s="1268">
        <v>33919107</v>
      </c>
      <c r="G138" s="1268"/>
      <c r="H138" s="1268">
        <v>5528803</v>
      </c>
      <c r="I138" s="1352">
        <v>1115525234</v>
      </c>
      <c r="J138" s="1266">
        <v>248584591</v>
      </c>
      <c r="K138" s="1268">
        <v>507944147</v>
      </c>
      <c r="L138" s="1268">
        <v>34375116</v>
      </c>
      <c r="M138" s="1268">
        <v>4519748</v>
      </c>
      <c r="N138" s="1268"/>
      <c r="O138" s="1352">
        <v>795423602</v>
      </c>
      <c r="P138" s="1264"/>
      <c r="Q138" s="1268"/>
      <c r="R138" s="1268"/>
      <c r="S138" s="1264"/>
      <c r="T138" s="1264"/>
      <c r="U138" s="1264"/>
      <c r="V138" s="1266">
        <v>0</v>
      </c>
      <c r="W138" s="1264">
        <v>0</v>
      </c>
      <c r="X138" s="1269">
        <v>1910948836</v>
      </c>
      <c r="Y138"/>
      <c r="Z138"/>
      <c r="AA138"/>
      <c r="AB138"/>
    </row>
    <row r="139" spans="1:28" s="205" customFormat="1">
      <c r="A139" s="1207"/>
      <c r="B139" s="1205" t="s">
        <v>109</v>
      </c>
      <c r="C139" s="1264">
        <v>940577048</v>
      </c>
      <c r="D139" s="1268">
        <v>89211858</v>
      </c>
      <c r="E139" s="1268">
        <v>148704759</v>
      </c>
      <c r="F139" s="1268">
        <v>36502181</v>
      </c>
      <c r="G139" s="1268"/>
      <c r="H139" s="1268">
        <v>5179709</v>
      </c>
      <c r="I139" s="1352">
        <v>1220175555</v>
      </c>
      <c r="J139" s="1266">
        <v>269825847.26761633</v>
      </c>
      <c r="K139" s="1268">
        <v>530945363.24592155</v>
      </c>
      <c r="L139" s="1268">
        <v>34807243.766668923</v>
      </c>
      <c r="M139" s="1268">
        <v>4451278.602944795</v>
      </c>
      <c r="N139" s="1268"/>
      <c r="O139" s="1352">
        <v>840029732.88315165</v>
      </c>
      <c r="P139" s="1264"/>
      <c r="Q139" s="1268"/>
      <c r="R139" s="1268"/>
      <c r="S139" s="1264"/>
      <c r="T139" s="1264"/>
      <c r="U139" s="1264"/>
      <c r="V139" s="1266">
        <v>0</v>
      </c>
      <c r="W139" s="1264">
        <v>0</v>
      </c>
      <c r="X139" s="1269">
        <v>2060205287.8831518</v>
      </c>
      <c r="Y139"/>
      <c r="Z139"/>
      <c r="AA139"/>
      <c r="AB139"/>
    </row>
    <row r="140" spans="1:28" s="204" customFormat="1" ht="13.5" thickBot="1">
      <c r="A140" s="1207"/>
      <c r="B140" s="1205" t="s">
        <v>83</v>
      </c>
      <c r="C140" s="1264">
        <v>10.348883441728397</v>
      </c>
      <c r="D140" s="1268">
        <v>7.2738526458079944</v>
      </c>
      <c r="E140" s="1268">
        <v>5.8035547718295204</v>
      </c>
      <c r="F140" s="1268">
        <v>7.6153950633193261</v>
      </c>
      <c r="G140" s="1268">
        <v>0</v>
      </c>
      <c r="H140" s="1268">
        <v>-6.3140972829019235</v>
      </c>
      <c r="I140" s="1352">
        <v>9.3812598595147509</v>
      </c>
      <c r="J140" s="1266">
        <v>8.5448805101585457</v>
      </c>
      <c r="K140" s="1268">
        <v>4.528296345527445</v>
      </c>
      <c r="L140" s="1268">
        <v>1.2570947154590639</v>
      </c>
      <c r="M140" s="1268">
        <v>-1.5148941280621167</v>
      </c>
      <c r="N140" s="1268">
        <v>0</v>
      </c>
      <c r="O140" s="1352">
        <v>5.6078460295865913</v>
      </c>
      <c r="P140" s="1264">
        <v>0</v>
      </c>
      <c r="Q140" s="1268">
        <v>0</v>
      </c>
      <c r="R140" s="1268">
        <v>0</v>
      </c>
      <c r="S140" s="1264">
        <v>0</v>
      </c>
      <c r="T140" s="1264">
        <v>0</v>
      </c>
      <c r="U140" s="1264">
        <v>0</v>
      </c>
      <c r="V140" s="1266">
        <v>0</v>
      </c>
      <c r="W140" s="1264">
        <v>0</v>
      </c>
      <c r="X140" s="1269">
        <v>7.8105938302134259</v>
      </c>
      <c r="Y140"/>
      <c r="Z140"/>
      <c r="AA140"/>
      <c r="AB140"/>
    </row>
    <row r="141" spans="1:28">
      <c r="A141" s="1207"/>
      <c r="B141" s="1205" t="s">
        <v>111</v>
      </c>
      <c r="C141" s="1264"/>
      <c r="D141" s="1268"/>
      <c r="E141" s="1268"/>
      <c r="F141" s="1268"/>
      <c r="G141" s="1268"/>
      <c r="H141" s="1268"/>
      <c r="I141" s="1352"/>
      <c r="J141" s="1266"/>
      <c r="K141" s="1268"/>
      <c r="L141" s="1268"/>
      <c r="M141" s="1268"/>
      <c r="N141" s="1268"/>
      <c r="O141" s="1352"/>
      <c r="P141" s="1264"/>
      <c r="Q141" s="1268"/>
      <c r="R141" s="1268"/>
      <c r="S141" s="1264"/>
      <c r="T141" s="1264"/>
      <c r="U141" s="1264"/>
      <c r="V141" s="1266">
        <v>640877939</v>
      </c>
      <c r="W141" s="1262">
        <v>640877939</v>
      </c>
      <c r="X141" s="1269">
        <v>640877939</v>
      </c>
      <c r="Y141"/>
      <c r="Z141"/>
      <c r="AA141"/>
      <c r="AB141"/>
    </row>
    <row r="142" spans="1:28" s="205" customFormat="1">
      <c r="A142" s="1207"/>
      <c r="B142" s="1205" t="s">
        <v>113</v>
      </c>
      <c r="C142" s="1264"/>
      <c r="D142" s="1268"/>
      <c r="E142" s="1268"/>
      <c r="F142" s="1268"/>
      <c r="G142" s="1268"/>
      <c r="H142" s="1268"/>
      <c r="I142" s="1352"/>
      <c r="J142" s="1266"/>
      <c r="K142" s="1268"/>
      <c r="L142" s="1268"/>
      <c r="M142" s="1268"/>
      <c r="N142" s="1268"/>
      <c r="O142" s="1352"/>
      <c r="P142" s="1264"/>
      <c r="Q142" s="1268"/>
      <c r="R142" s="1268"/>
      <c r="S142" s="1264"/>
      <c r="T142" s="1264"/>
      <c r="U142" s="1264"/>
      <c r="V142" s="1266">
        <v>559596951</v>
      </c>
      <c r="W142" s="1267">
        <v>559596951</v>
      </c>
      <c r="X142" s="1269">
        <v>559596951</v>
      </c>
      <c r="Y142"/>
      <c r="Z142"/>
      <c r="AA142"/>
      <c r="AB142"/>
    </row>
    <row r="143" spans="1:28" s="204" customFormat="1" ht="13.5" thickBot="1">
      <c r="A143" s="1207"/>
      <c r="B143" s="1205" t="s">
        <v>115</v>
      </c>
      <c r="C143" s="1264">
        <v>0</v>
      </c>
      <c r="D143" s="1268">
        <v>0</v>
      </c>
      <c r="E143" s="1268">
        <v>0</v>
      </c>
      <c r="F143" s="1268">
        <v>0</v>
      </c>
      <c r="G143" s="1268">
        <v>0</v>
      </c>
      <c r="H143" s="1268">
        <v>0</v>
      </c>
      <c r="I143" s="1352">
        <v>0</v>
      </c>
      <c r="J143" s="1266">
        <v>0</v>
      </c>
      <c r="K143" s="1268">
        <v>0</v>
      </c>
      <c r="L143" s="1268">
        <v>0</v>
      </c>
      <c r="M143" s="1268">
        <v>0</v>
      </c>
      <c r="N143" s="1268">
        <v>0</v>
      </c>
      <c r="O143" s="1352">
        <v>0</v>
      </c>
      <c r="P143" s="1264">
        <v>0</v>
      </c>
      <c r="Q143" s="1268">
        <v>0</v>
      </c>
      <c r="R143" s="1268">
        <v>0</v>
      </c>
      <c r="S143" s="1264">
        <v>0</v>
      </c>
      <c r="T143" s="1264">
        <v>0</v>
      </c>
      <c r="U143" s="1264">
        <v>0</v>
      </c>
      <c r="V143" s="1266">
        <v>-12.68275642735145</v>
      </c>
      <c r="W143" s="1281">
        <v>-12.68275642735145</v>
      </c>
      <c r="X143" s="1269">
        <v>-12.68275642735145</v>
      </c>
      <c r="Y143"/>
      <c r="Z143"/>
      <c r="AA143"/>
      <c r="AB143"/>
    </row>
    <row r="144" spans="1:28">
      <c r="A144" s="1207"/>
      <c r="B144" s="1205" t="s">
        <v>339</v>
      </c>
      <c r="C144" s="1264"/>
      <c r="D144" s="1268"/>
      <c r="E144" s="1268"/>
      <c r="F144" s="1268"/>
      <c r="G144" s="1268"/>
      <c r="H144" s="1268"/>
      <c r="I144" s="1352"/>
      <c r="J144" s="1266"/>
      <c r="K144" s="1268"/>
      <c r="L144" s="1268"/>
      <c r="M144" s="1268"/>
      <c r="N144" s="1268"/>
      <c r="O144" s="1352"/>
      <c r="P144" s="1264"/>
      <c r="Q144" s="1268"/>
      <c r="R144" s="1268"/>
      <c r="S144" s="1264"/>
      <c r="T144" s="1264"/>
      <c r="U144" s="1264"/>
      <c r="V144" s="1266"/>
      <c r="W144" s="1264"/>
      <c r="X144" s="1269"/>
      <c r="Y144"/>
      <c r="Z144"/>
      <c r="AA144"/>
      <c r="AB144"/>
    </row>
    <row r="145" spans="1:28" s="205" customFormat="1">
      <c r="A145" s="1207"/>
      <c r="B145" s="1205" t="s">
        <v>223</v>
      </c>
      <c r="C145" s="1264"/>
      <c r="D145" s="1268"/>
      <c r="E145" s="1268"/>
      <c r="F145" s="1268"/>
      <c r="G145" s="1268"/>
      <c r="H145" s="1268"/>
      <c r="I145" s="1352"/>
      <c r="J145" s="1266"/>
      <c r="K145" s="1268"/>
      <c r="L145" s="1268"/>
      <c r="M145" s="1268"/>
      <c r="N145" s="1268"/>
      <c r="O145" s="1352"/>
      <c r="P145" s="1264"/>
      <c r="Q145" s="1268"/>
      <c r="R145" s="1268"/>
      <c r="S145" s="1264"/>
      <c r="T145" s="1264"/>
      <c r="U145" s="1264"/>
      <c r="V145" s="1266"/>
      <c r="W145" s="1264"/>
      <c r="X145" s="1269"/>
      <c r="Y145"/>
      <c r="Z145"/>
      <c r="AA145"/>
      <c r="AB145"/>
    </row>
    <row r="146" spans="1:28" s="204" customFormat="1">
      <c r="A146" s="1207"/>
      <c r="B146" s="1205" t="s">
        <v>85</v>
      </c>
      <c r="C146" s="1264">
        <v>0</v>
      </c>
      <c r="D146" s="1268">
        <v>0</v>
      </c>
      <c r="E146" s="1268">
        <v>0</v>
      </c>
      <c r="F146" s="1268">
        <v>0</v>
      </c>
      <c r="G146" s="1268">
        <v>0</v>
      </c>
      <c r="H146" s="1268">
        <v>0</v>
      </c>
      <c r="I146" s="1352">
        <v>0</v>
      </c>
      <c r="J146" s="1266">
        <v>0</v>
      </c>
      <c r="K146" s="1268">
        <v>0</v>
      </c>
      <c r="L146" s="1268">
        <v>0</v>
      </c>
      <c r="M146" s="1268">
        <v>0</v>
      </c>
      <c r="N146" s="1268">
        <v>0</v>
      </c>
      <c r="O146" s="1352">
        <v>0</v>
      </c>
      <c r="P146" s="1264">
        <v>0</v>
      </c>
      <c r="Q146" s="1268">
        <v>0</v>
      </c>
      <c r="R146" s="1268">
        <v>0</v>
      </c>
      <c r="S146" s="1264">
        <v>0</v>
      </c>
      <c r="T146" s="1264">
        <v>0</v>
      </c>
      <c r="U146" s="1264">
        <v>0</v>
      </c>
      <c r="V146" s="1266">
        <v>0</v>
      </c>
      <c r="W146" s="1264">
        <v>0</v>
      </c>
      <c r="X146" s="1269">
        <v>0</v>
      </c>
      <c r="Y146"/>
      <c r="Z146"/>
      <c r="AA146"/>
      <c r="AB146"/>
    </row>
    <row r="147" spans="1:28">
      <c r="A147" s="1207"/>
      <c r="B147" s="1205" t="s">
        <v>219</v>
      </c>
      <c r="C147" s="1264"/>
      <c r="D147" s="1268"/>
      <c r="E147" s="1268"/>
      <c r="F147" s="1268"/>
      <c r="G147" s="1268"/>
      <c r="H147" s="1268"/>
      <c r="I147" s="1352"/>
      <c r="J147" s="1266"/>
      <c r="K147" s="1268"/>
      <c r="L147" s="1268"/>
      <c r="M147" s="1268"/>
      <c r="N147" s="1268"/>
      <c r="O147" s="1352"/>
      <c r="P147" s="1264"/>
      <c r="Q147" s="1268"/>
      <c r="R147" s="1268"/>
      <c r="S147" s="1264"/>
      <c r="T147" s="1264"/>
      <c r="U147" s="1264"/>
      <c r="V147" s="1266"/>
      <c r="W147" s="1264"/>
      <c r="X147" s="1269"/>
      <c r="Y147"/>
      <c r="Z147"/>
      <c r="AA147"/>
      <c r="AB147"/>
    </row>
    <row r="148" spans="1:28" s="205" customFormat="1">
      <c r="A148" s="1207"/>
      <c r="B148" s="1205" t="s">
        <v>141</v>
      </c>
      <c r="C148" s="1264"/>
      <c r="D148" s="1268"/>
      <c r="E148" s="1268"/>
      <c r="F148" s="1268"/>
      <c r="G148" s="1268"/>
      <c r="H148" s="1268"/>
      <c r="I148" s="1352"/>
      <c r="J148" s="1266"/>
      <c r="K148" s="1268"/>
      <c r="L148" s="1268"/>
      <c r="M148" s="1268"/>
      <c r="N148" s="1268"/>
      <c r="O148" s="1352"/>
      <c r="P148" s="1264"/>
      <c r="Q148" s="1268"/>
      <c r="R148" s="1268"/>
      <c r="S148" s="1264"/>
      <c r="T148" s="1264"/>
      <c r="U148" s="1264"/>
      <c r="V148" s="1266"/>
      <c r="W148" s="1264"/>
      <c r="X148" s="1269"/>
      <c r="Y148"/>
      <c r="Z148"/>
      <c r="AA148"/>
      <c r="AB148"/>
    </row>
    <row r="149" spans="1:28" s="204" customFormat="1">
      <c r="A149" s="1207"/>
      <c r="B149" s="1205" t="s">
        <v>169</v>
      </c>
      <c r="C149" s="1264">
        <v>0</v>
      </c>
      <c r="D149" s="1268">
        <v>0</v>
      </c>
      <c r="E149" s="1268">
        <v>0</v>
      </c>
      <c r="F149" s="1268">
        <v>0</v>
      </c>
      <c r="G149" s="1268">
        <v>0</v>
      </c>
      <c r="H149" s="1268">
        <v>0</v>
      </c>
      <c r="I149" s="1352">
        <v>0</v>
      </c>
      <c r="J149" s="1266">
        <v>0</v>
      </c>
      <c r="K149" s="1268">
        <v>0</v>
      </c>
      <c r="L149" s="1268">
        <v>0</v>
      </c>
      <c r="M149" s="1268">
        <v>0</v>
      </c>
      <c r="N149" s="1268">
        <v>0</v>
      </c>
      <c r="O149" s="1352">
        <v>0</v>
      </c>
      <c r="P149" s="1264">
        <v>0</v>
      </c>
      <c r="Q149" s="1268">
        <v>0</v>
      </c>
      <c r="R149" s="1268">
        <v>0</v>
      </c>
      <c r="S149" s="1264">
        <v>0</v>
      </c>
      <c r="T149" s="1264">
        <v>0</v>
      </c>
      <c r="U149" s="1264">
        <v>0</v>
      </c>
      <c r="V149" s="1266">
        <v>0</v>
      </c>
      <c r="W149" s="1264">
        <v>0</v>
      </c>
      <c r="X149" s="1269">
        <v>0</v>
      </c>
      <c r="Y149"/>
      <c r="Z149"/>
      <c r="AA149"/>
      <c r="AB149"/>
    </row>
    <row r="150" spans="1:28">
      <c r="A150" s="1207"/>
      <c r="B150" s="1205" t="s">
        <v>221</v>
      </c>
      <c r="C150" s="1264">
        <v>0</v>
      </c>
      <c r="D150" s="1268">
        <v>0</v>
      </c>
      <c r="E150" s="1268">
        <v>0</v>
      </c>
      <c r="F150" s="1268">
        <v>0</v>
      </c>
      <c r="G150" s="1268"/>
      <c r="H150" s="1268">
        <v>0</v>
      </c>
      <c r="I150" s="1352">
        <v>0</v>
      </c>
      <c r="J150" s="1266">
        <v>0</v>
      </c>
      <c r="K150" s="1268">
        <v>0</v>
      </c>
      <c r="L150" s="1268">
        <v>0</v>
      </c>
      <c r="M150" s="1268">
        <v>0</v>
      </c>
      <c r="N150" s="1268"/>
      <c r="O150" s="1352">
        <v>0</v>
      </c>
      <c r="P150" s="1264"/>
      <c r="Q150" s="1268"/>
      <c r="R150" s="1268"/>
      <c r="S150" s="1264"/>
      <c r="T150" s="1264"/>
      <c r="U150" s="1264"/>
      <c r="V150" s="1266">
        <v>0</v>
      </c>
      <c r="W150" s="1264">
        <v>0</v>
      </c>
      <c r="X150" s="1269">
        <v>0</v>
      </c>
      <c r="Y150"/>
      <c r="Z150"/>
      <c r="AA150"/>
      <c r="AB150"/>
    </row>
    <row r="151" spans="1:28" s="205" customFormat="1">
      <c r="A151" s="1207"/>
      <c r="B151" s="1205" t="s">
        <v>143</v>
      </c>
      <c r="C151" s="1264">
        <v>0</v>
      </c>
      <c r="D151" s="1268">
        <v>0</v>
      </c>
      <c r="E151" s="1268">
        <v>0</v>
      </c>
      <c r="F151" s="1268">
        <v>0</v>
      </c>
      <c r="G151" s="1268"/>
      <c r="H151" s="1268">
        <v>0</v>
      </c>
      <c r="I151" s="1352">
        <v>0</v>
      </c>
      <c r="J151" s="1266">
        <v>0</v>
      </c>
      <c r="K151" s="1268">
        <v>0</v>
      </c>
      <c r="L151" s="1268">
        <v>0</v>
      </c>
      <c r="M151" s="1268">
        <v>0</v>
      </c>
      <c r="N151" s="1268"/>
      <c r="O151" s="1352">
        <v>0</v>
      </c>
      <c r="P151" s="1264"/>
      <c r="Q151" s="1268"/>
      <c r="R151" s="1268"/>
      <c r="S151" s="1264"/>
      <c r="T151" s="1264"/>
      <c r="U151" s="1264"/>
      <c r="V151" s="1266">
        <v>0</v>
      </c>
      <c r="W151" s="1264">
        <v>0</v>
      </c>
      <c r="X151" s="1269">
        <v>0</v>
      </c>
      <c r="Y151"/>
      <c r="Z151"/>
      <c r="AA151"/>
      <c r="AB151"/>
    </row>
    <row r="152" spans="1:28" s="204" customFormat="1">
      <c r="A152" s="1207"/>
      <c r="B152" s="1205" t="s">
        <v>245</v>
      </c>
      <c r="C152" s="1264">
        <v>0</v>
      </c>
      <c r="D152" s="1268">
        <v>0</v>
      </c>
      <c r="E152" s="1268">
        <v>0</v>
      </c>
      <c r="F152" s="1268">
        <v>0</v>
      </c>
      <c r="G152" s="1268">
        <v>0</v>
      </c>
      <c r="H152" s="1268">
        <v>0</v>
      </c>
      <c r="I152" s="1352">
        <v>0</v>
      </c>
      <c r="J152" s="1266">
        <v>0</v>
      </c>
      <c r="K152" s="1268">
        <v>0</v>
      </c>
      <c r="L152" s="1268">
        <v>0</v>
      </c>
      <c r="M152" s="1268">
        <v>0</v>
      </c>
      <c r="N152" s="1268">
        <v>0</v>
      </c>
      <c r="O152" s="1352">
        <v>0</v>
      </c>
      <c r="P152" s="1264">
        <v>0</v>
      </c>
      <c r="Q152" s="1268">
        <v>0</v>
      </c>
      <c r="R152" s="1268">
        <v>0</v>
      </c>
      <c r="S152" s="1264">
        <v>0</v>
      </c>
      <c r="T152" s="1264">
        <v>0</v>
      </c>
      <c r="U152" s="1264">
        <v>0</v>
      </c>
      <c r="V152" s="1266">
        <v>0</v>
      </c>
      <c r="W152" s="1264">
        <v>0</v>
      </c>
      <c r="X152" s="1269">
        <v>0</v>
      </c>
      <c r="Y152"/>
      <c r="Z152"/>
      <c r="AA152"/>
      <c r="AB152"/>
    </row>
    <row r="153" spans="1:28">
      <c r="A153" s="1207"/>
      <c r="B153" s="1205" t="s">
        <v>117</v>
      </c>
      <c r="C153" s="1264">
        <v>237736587</v>
      </c>
      <c r="D153" s="1268"/>
      <c r="E153" s="1268"/>
      <c r="F153" s="1268"/>
      <c r="G153" s="1268"/>
      <c r="H153" s="1268"/>
      <c r="I153" s="1352">
        <v>237736587</v>
      </c>
      <c r="J153" s="1266"/>
      <c r="K153" s="1268"/>
      <c r="L153" s="1268"/>
      <c r="M153" s="1268"/>
      <c r="N153" s="1268"/>
      <c r="O153" s="1352"/>
      <c r="P153" s="1264"/>
      <c r="Q153" s="1268"/>
      <c r="R153" s="1268"/>
      <c r="S153" s="1264"/>
      <c r="T153" s="1264"/>
      <c r="U153" s="1264"/>
      <c r="V153" s="1266"/>
      <c r="W153" s="1264"/>
      <c r="X153" s="1269">
        <v>237736587</v>
      </c>
      <c r="Y153"/>
      <c r="Z153"/>
      <c r="AA153"/>
      <c r="AB153"/>
    </row>
    <row r="154" spans="1:28" s="205" customFormat="1">
      <c r="A154" s="1207"/>
      <c r="B154" s="1205" t="s">
        <v>119</v>
      </c>
      <c r="C154" s="1264">
        <v>251931636</v>
      </c>
      <c r="D154" s="1268"/>
      <c r="E154" s="1268"/>
      <c r="F154" s="1268"/>
      <c r="G154" s="1268"/>
      <c r="H154" s="1268"/>
      <c r="I154" s="1352">
        <v>251931636</v>
      </c>
      <c r="J154" s="1266"/>
      <c r="K154" s="1268"/>
      <c r="L154" s="1268"/>
      <c r="M154" s="1268"/>
      <c r="N154" s="1268"/>
      <c r="O154" s="1352"/>
      <c r="P154" s="1264"/>
      <c r="Q154" s="1268"/>
      <c r="R154" s="1268"/>
      <c r="S154" s="1264"/>
      <c r="T154" s="1264"/>
      <c r="U154" s="1264"/>
      <c r="V154" s="1266"/>
      <c r="W154" s="1264"/>
      <c r="X154" s="1269">
        <v>251931636</v>
      </c>
      <c r="Y154"/>
      <c r="Z154"/>
      <c r="AA154"/>
      <c r="AB154"/>
    </row>
    <row r="155" spans="1:28" s="204" customFormat="1" ht="13.5" thickBot="1">
      <c r="A155" s="1207"/>
      <c r="B155" s="1205" t="s">
        <v>301</v>
      </c>
      <c r="C155" s="1264">
        <v>5.9709147755200167</v>
      </c>
      <c r="D155" s="1268">
        <v>0</v>
      </c>
      <c r="E155" s="1268">
        <v>0</v>
      </c>
      <c r="F155" s="1268">
        <v>0</v>
      </c>
      <c r="G155" s="1268">
        <v>0</v>
      </c>
      <c r="H155" s="1268">
        <v>0</v>
      </c>
      <c r="I155" s="1352">
        <v>5.9709147755200167</v>
      </c>
      <c r="J155" s="1266">
        <v>0</v>
      </c>
      <c r="K155" s="1268">
        <v>0</v>
      </c>
      <c r="L155" s="1268">
        <v>0</v>
      </c>
      <c r="M155" s="1268">
        <v>0</v>
      </c>
      <c r="N155" s="1268">
        <v>0</v>
      </c>
      <c r="O155" s="1352">
        <v>0</v>
      </c>
      <c r="P155" s="1264">
        <v>0</v>
      </c>
      <c r="Q155" s="1268">
        <v>0</v>
      </c>
      <c r="R155" s="1268">
        <v>0</v>
      </c>
      <c r="S155" s="1264">
        <v>0</v>
      </c>
      <c r="T155" s="1264">
        <v>0</v>
      </c>
      <c r="U155" s="1264">
        <v>0</v>
      </c>
      <c r="V155" s="1266">
        <v>0</v>
      </c>
      <c r="W155" s="1264">
        <v>0</v>
      </c>
      <c r="X155" s="1269">
        <v>5.9709147755200167</v>
      </c>
      <c r="Y155"/>
      <c r="Z155"/>
      <c r="AA155"/>
      <c r="AB155"/>
    </row>
    <row r="156" spans="1:28">
      <c r="A156" s="1207"/>
      <c r="B156" s="1205" t="s">
        <v>120</v>
      </c>
      <c r="C156" s="1376">
        <v>64527852</v>
      </c>
      <c r="D156" s="1268"/>
      <c r="E156" s="1268"/>
      <c r="F156" s="1268"/>
      <c r="G156" s="1268"/>
      <c r="H156" s="1268"/>
      <c r="I156" s="1352">
        <v>64527852</v>
      </c>
      <c r="J156" s="1266"/>
      <c r="K156" s="1268"/>
      <c r="L156" s="1268"/>
      <c r="M156" s="1268"/>
      <c r="N156" s="1268"/>
      <c r="O156" s="1352"/>
      <c r="P156" s="1264"/>
      <c r="Q156" s="1268"/>
      <c r="R156" s="1268"/>
      <c r="S156" s="1264"/>
      <c r="T156" s="1264"/>
      <c r="U156" s="1264"/>
      <c r="V156" s="1266"/>
      <c r="W156" s="1264"/>
      <c r="X156" s="1269">
        <v>64527852</v>
      </c>
      <c r="Y156"/>
      <c r="Z156"/>
      <c r="AA156"/>
      <c r="AB156"/>
    </row>
    <row r="157" spans="1:28" s="205" customFormat="1">
      <c r="A157" s="1207"/>
      <c r="B157" s="1205" t="s">
        <v>450</v>
      </c>
      <c r="C157" s="1367">
        <v>83516819</v>
      </c>
      <c r="D157" s="1268"/>
      <c r="E157" s="1268"/>
      <c r="F157" s="1268"/>
      <c r="G157" s="1268"/>
      <c r="H157" s="1268"/>
      <c r="I157" s="1352">
        <v>83516819</v>
      </c>
      <c r="J157" s="1266"/>
      <c r="K157" s="1268"/>
      <c r="L157" s="1268"/>
      <c r="M157" s="1268"/>
      <c r="N157" s="1268"/>
      <c r="O157" s="1352"/>
      <c r="P157" s="1264"/>
      <c r="Q157" s="1268"/>
      <c r="R157" s="1268"/>
      <c r="S157" s="1264"/>
      <c r="T157" s="1264"/>
      <c r="U157" s="1264"/>
      <c r="V157" s="1266"/>
      <c r="W157" s="1264"/>
      <c r="X157" s="1269">
        <v>83516819</v>
      </c>
      <c r="Y157"/>
      <c r="Z157"/>
      <c r="AA157"/>
      <c r="AB157"/>
    </row>
    <row r="158" spans="1:28" s="204" customFormat="1" ht="13.5" thickBot="1">
      <c r="A158" s="1207"/>
      <c r="B158" s="1205" t="s">
        <v>335</v>
      </c>
      <c r="C158" s="1338">
        <v>29.427551687293107</v>
      </c>
      <c r="D158" s="1268">
        <v>0</v>
      </c>
      <c r="E158" s="1268">
        <v>0</v>
      </c>
      <c r="F158" s="1268">
        <v>0</v>
      </c>
      <c r="G158" s="1268">
        <v>0</v>
      </c>
      <c r="H158" s="1268">
        <v>0</v>
      </c>
      <c r="I158" s="1352">
        <v>29.427551687293107</v>
      </c>
      <c r="J158" s="1266">
        <v>0</v>
      </c>
      <c r="K158" s="1268">
        <v>0</v>
      </c>
      <c r="L158" s="1268">
        <v>0</v>
      </c>
      <c r="M158" s="1268">
        <v>0</v>
      </c>
      <c r="N158" s="1268">
        <v>0</v>
      </c>
      <c r="O158" s="1352">
        <v>0</v>
      </c>
      <c r="P158" s="1264">
        <v>0</v>
      </c>
      <c r="Q158" s="1268">
        <v>0</v>
      </c>
      <c r="R158" s="1268">
        <v>0</v>
      </c>
      <c r="S158" s="1264">
        <v>0</v>
      </c>
      <c r="T158" s="1264">
        <v>0</v>
      </c>
      <c r="U158" s="1264">
        <v>0</v>
      </c>
      <c r="V158" s="1266">
        <v>0</v>
      </c>
      <c r="W158" s="1264">
        <v>0</v>
      </c>
      <c r="X158" s="1269">
        <v>29.427551687293107</v>
      </c>
      <c r="Y158"/>
      <c r="Z158"/>
      <c r="AA158"/>
      <c r="AB158"/>
    </row>
    <row r="159" spans="1:28">
      <c r="A159" s="1207"/>
      <c r="B159" s="1205" t="s">
        <v>35</v>
      </c>
      <c r="C159" s="1264">
        <v>2238670923</v>
      </c>
      <c r="D159" s="1268">
        <v>248783206</v>
      </c>
      <c r="E159" s="1268">
        <v>372083563</v>
      </c>
      <c r="F159" s="1268">
        <v>79329704</v>
      </c>
      <c r="G159" s="1268"/>
      <c r="H159" s="1268">
        <v>20843325</v>
      </c>
      <c r="I159" s="1352">
        <v>2959710721</v>
      </c>
      <c r="J159" s="1266">
        <v>559762635</v>
      </c>
      <c r="K159" s="1268">
        <v>1069668375</v>
      </c>
      <c r="L159" s="1268">
        <v>103296978</v>
      </c>
      <c r="M159" s="1268">
        <v>15931101</v>
      </c>
      <c r="N159" s="1268"/>
      <c r="O159" s="1352">
        <v>1748659089</v>
      </c>
      <c r="P159" s="1264"/>
      <c r="Q159" s="1268"/>
      <c r="R159" s="1268"/>
      <c r="S159" s="1264"/>
      <c r="T159" s="1264"/>
      <c r="U159" s="1264"/>
      <c r="V159" s="1266">
        <v>10704111</v>
      </c>
      <c r="W159" s="1264">
        <v>10704111</v>
      </c>
      <c r="X159" s="1269">
        <v>4719073921</v>
      </c>
      <c r="Y159"/>
      <c r="Z159"/>
      <c r="AA159"/>
      <c r="AB159"/>
    </row>
    <row r="160" spans="1:28" s="205" customFormat="1">
      <c r="A160" s="1207"/>
      <c r="B160" s="1205" t="s">
        <v>37</v>
      </c>
      <c r="C160" s="1264">
        <v>2386873166</v>
      </c>
      <c r="D160" s="1268">
        <v>259647691</v>
      </c>
      <c r="E160" s="1268">
        <v>394161422</v>
      </c>
      <c r="F160" s="1268">
        <v>83197883</v>
      </c>
      <c r="G160" s="1268"/>
      <c r="H160" s="1268">
        <v>21970715</v>
      </c>
      <c r="I160" s="1352">
        <v>3145850877</v>
      </c>
      <c r="J160" s="1266">
        <v>598154827.26761639</v>
      </c>
      <c r="K160" s="1268">
        <v>1134359456.2459214</v>
      </c>
      <c r="L160" s="1268">
        <v>107470391.76666892</v>
      </c>
      <c r="M160" s="1268">
        <v>16366628.602944795</v>
      </c>
      <c r="N160" s="1268"/>
      <c r="O160" s="1352">
        <v>1856351303.8831515</v>
      </c>
      <c r="P160" s="1264"/>
      <c r="Q160" s="1268"/>
      <c r="R160" s="1268"/>
      <c r="S160" s="1264"/>
      <c r="T160" s="1264"/>
      <c r="U160" s="1264"/>
      <c r="V160" s="1266">
        <v>10403693</v>
      </c>
      <c r="W160" s="1264">
        <v>10403693</v>
      </c>
      <c r="X160" s="1269">
        <v>5012605873.8831511</v>
      </c>
      <c r="Y160"/>
      <c r="Z160"/>
      <c r="AA160"/>
      <c r="AB160"/>
    </row>
    <row r="161" spans="1:28" s="214" customFormat="1" ht="13.5" thickBot="1">
      <c r="A161" s="1333"/>
      <c r="B161" s="1205" t="s">
        <v>39</v>
      </c>
      <c r="C161" s="1264">
        <v>6.6200995187536096</v>
      </c>
      <c r="D161" s="1268">
        <v>4.3670491970426655</v>
      </c>
      <c r="E161" s="1268">
        <v>5.9335754640685376</v>
      </c>
      <c r="F161" s="1268">
        <v>4.8760789527211648</v>
      </c>
      <c r="G161" s="1268">
        <v>0</v>
      </c>
      <c r="H161" s="1268">
        <v>5.4088779021581246</v>
      </c>
      <c r="I161" s="1352">
        <v>6.2891334169681512</v>
      </c>
      <c r="J161" s="1266">
        <v>6.8586557706940177</v>
      </c>
      <c r="K161" s="1268">
        <v>6.0477698282817212</v>
      </c>
      <c r="L161" s="1268">
        <v>4.0402089659088727</v>
      </c>
      <c r="M161" s="1268">
        <v>2.7338198593103833</v>
      </c>
      <c r="N161" s="1268">
        <v>0</v>
      </c>
      <c r="O161" s="1352">
        <v>6.1585597536188352</v>
      </c>
      <c r="P161" s="1264">
        <v>0</v>
      </c>
      <c r="Q161" s="1268">
        <v>0</v>
      </c>
      <c r="R161" s="1268">
        <v>0</v>
      </c>
      <c r="S161" s="1264">
        <v>0</v>
      </c>
      <c r="T161" s="1264">
        <v>0</v>
      </c>
      <c r="U161" s="1264">
        <v>0</v>
      </c>
      <c r="V161" s="1266">
        <v>-2.8065665612025135</v>
      </c>
      <c r="W161" s="1264">
        <v>-2.8065665612025135</v>
      </c>
      <c r="X161" s="1269">
        <v>6.2201177137091737</v>
      </c>
      <c r="Y161"/>
      <c r="Z161"/>
      <c r="AA161"/>
      <c r="AB161"/>
    </row>
    <row r="162" spans="1:28">
      <c r="A162" s="1206" t="s">
        <v>204</v>
      </c>
      <c r="B162" s="1204" t="s">
        <v>253</v>
      </c>
      <c r="C162" s="1259">
        <v>456818882</v>
      </c>
      <c r="D162" s="1260">
        <v>192906840</v>
      </c>
      <c r="E162" s="1262">
        <v>150244493</v>
      </c>
      <c r="F162" s="1262">
        <v>165115477</v>
      </c>
      <c r="G162" s="1262">
        <v>85669756</v>
      </c>
      <c r="H162" s="1277">
        <v>36884887</v>
      </c>
      <c r="I162" s="1355">
        <v>1087640335</v>
      </c>
      <c r="J162" s="1261">
        <v>27482569</v>
      </c>
      <c r="K162" s="1262">
        <v>47589445</v>
      </c>
      <c r="L162" s="1260">
        <v>77495072</v>
      </c>
      <c r="M162" s="1260">
        <v>20784282</v>
      </c>
      <c r="N162" s="1260"/>
      <c r="O162" s="1355">
        <v>173351368</v>
      </c>
      <c r="P162" s="1259">
        <v>289711028.63</v>
      </c>
      <c r="Q162" s="1260">
        <v>7813289.3700000001</v>
      </c>
      <c r="R162" s="1260"/>
      <c r="S162" s="1259">
        <v>297524318</v>
      </c>
      <c r="T162" s="1259"/>
      <c r="U162" s="1262"/>
      <c r="V162" s="1261"/>
      <c r="W162" s="1259"/>
      <c r="X162" s="1263">
        <v>1558516021</v>
      </c>
      <c r="Y162"/>
      <c r="Z162"/>
      <c r="AA162"/>
      <c r="AB162"/>
    </row>
    <row r="163" spans="1:28" s="205" customFormat="1">
      <c r="A163" s="1207"/>
      <c r="B163" s="1205" t="s">
        <v>4</v>
      </c>
      <c r="C163" s="1264">
        <v>487109002</v>
      </c>
      <c r="D163" s="1268">
        <v>208509353</v>
      </c>
      <c r="E163" s="1267">
        <v>165610611</v>
      </c>
      <c r="F163" s="1267">
        <v>180844340</v>
      </c>
      <c r="G163" s="1267">
        <v>96124316</v>
      </c>
      <c r="H163" s="1279">
        <v>40949214</v>
      </c>
      <c r="I163" s="1352">
        <v>1179146836</v>
      </c>
      <c r="J163" s="1266">
        <v>32442495</v>
      </c>
      <c r="K163" s="1267">
        <v>52911645</v>
      </c>
      <c r="L163" s="1268">
        <v>87582825</v>
      </c>
      <c r="M163" s="1268">
        <v>24114531</v>
      </c>
      <c r="N163" s="1268"/>
      <c r="O163" s="1352">
        <v>197051496</v>
      </c>
      <c r="P163" s="1264">
        <v>258824113</v>
      </c>
      <c r="Q163" s="1268">
        <v>3555448</v>
      </c>
      <c r="R163" s="1268"/>
      <c r="S163" s="1264">
        <v>262379561</v>
      </c>
      <c r="T163" s="1264"/>
      <c r="U163" s="1267"/>
      <c r="V163" s="1266"/>
      <c r="W163" s="1264"/>
      <c r="X163" s="1269">
        <v>1638577893</v>
      </c>
      <c r="Y163"/>
      <c r="Z163"/>
      <c r="AA163"/>
      <c r="AB163"/>
    </row>
    <row r="164" spans="1:28" s="204" customFormat="1" ht="13.5" thickBot="1">
      <c r="A164" s="1207"/>
      <c r="B164" s="1205" t="s">
        <v>175</v>
      </c>
      <c r="C164" s="1264">
        <v>6.6306628717680711</v>
      </c>
      <c r="D164" s="1268">
        <v>8.0881077104368089</v>
      </c>
      <c r="E164" s="1281">
        <v>10.227408468142656</v>
      </c>
      <c r="F164" s="1281">
        <v>9.525977386117475</v>
      </c>
      <c r="G164" s="1281">
        <v>12.203326457472343</v>
      </c>
      <c r="H164" s="1283">
        <v>11.018949305714289</v>
      </c>
      <c r="I164" s="1352">
        <v>8.4133052127015873</v>
      </c>
      <c r="J164" s="1266">
        <v>18.047534056950791</v>
      </c>
      <c r="K164" s="1281">
        <v>11.183572323652861</v>
      </c>
      <c r="L164" s="1268">
        <v>13.017283215118505</v>
      </c>
      <c r="M164" s="1268">
        <v>16.022920589703315</v>
      </c>
      <c r="N164" s="1268">
        <v>0</v>
      </c>
      <c r="O164" s="1352">
        <v>13.671728278486963</v>
      </c>
      <c r="P164" s="1264">
        <v>-10.661284030525033</v>
      </c>
      <c r="Q164" s="1268">
        <v>-54.49486340987778</v>
      </c>
      <c r="R164" s="1268">
        <v>0</v>
      </c>
      <c r="S164" s="1264">
        <v>-11.812398138158239</v>
      </c>
      <c r="T164" s="1264">
        <v>0</v>
      </c>
      <c r="U164" s="1281">
        <v>0</v>
      </c>
      <c r="V164" s="1266">
        <v>0</v>
      </c>
      <c r="W164" s="1264">
        <v>0</v>
      </c>
      <c r="X164" s="1269">
        <v>5.1370580039741531</v>
      </c>
      <c r="Y164"/>
      <c r="Z164"/>
      <c r="AA164"/>
      <c r="AB164"/>
    </row>
    <row r="165" spans="1:28">
      <c r="A165" s="1207"/>
      <c r="B165" s="1205" t="s">
        <v>269</v>
      </c>
      <c r="C165" s="1264">
        <v>77804602</v>
      </c>
      <c r="D165" s="1262">
        <v>14806954</v>
      </c>
      <c r="E165" s="1268"/>
      <c r="F165" s="1268"/>
      <c r="G165" s="1268"/>
      <c r="H165" s="1268"/>
      <c r="I165" s="1352">
        <v>92611556</v>
      </c>
      <c r="J165" s="1266"/>
      <c r="K165" s="1268"/>
      <c r="L165" s="1268"/>
      <c r="M165" s="1268"/>
      <c r="N165" s="1268"/>
      <c r="O165" s="1352"/>
      <c r="P165" s="1264"/>
      <c r="Q165" s="1268"/>
      <c r="R165" s="1268"/>
      <c r="S165" s="1264"/>
      <c r="T165" s="1264"/>
      <c r="U165" s="1264"/>
      <c r="V165" s="1266">
        <v>66006762</v>
      </c>
      <c r="W165" s="1262">
        <v>66006762</v>
      </c>
      <c r="X165" s="1269">
        <v>158618318</v>
      </c>
      <c r="Y165"/>
      <c r="Z165"/>
      <c r="AA165"/>
      <c r="AB165"/>
    </row>
    <row r="166" spans="1:28" s="205" customFormat="1">
      <c r="A166" s="1207"/>
      <c r="B166" s="1205" t="s">
        <v>342</v>
      </c>
      <c r="C166" s="1264">
        <v>72617977</v>
      </c>
      <c r="D166" s="1267">
        <v>13675751</v>
      </c>
      <c r="E166" s="1268">
        <v>0</v>
      </c>
      <c r="F166" s="1268"/>
      <c r="G166" s="1268"/>
      <c r="H166" s="1268"/>
      <c r="I166" s="1352">
        <v>86293728</v>
      </c>
      <c r="J166" s="1266"/>
      <c r="K166" s="1268"/>
      <c r="L166" s="1268"/>
      <c r="M166" s="1268"/>
      <c r="N166" s="1268"/>
      <c r="O166" s="1352"/>
      <c r="P166" s="1264"/>
      <c r="Q166" s="1268"/>
      <c r="R166" s="1268"/>
      <c r="S166" s="1264"/>
      <c r="T166" s="1264"/>
      <c r="U166" s="1264"/>
      <c r="V166" s="1266">
        <v>58967123</v>
      </c>
      <c r="W166" s="1267">
        <v>58967123</v>
      </c>
      <c r="X166" s="1269">
        <v>145260851</v>
      </c>
      <c r="Y166"/>
      <c r="Z166"/>
      <c r="AA166"/>
      <c r="AB166"/>
    </row>
    <row r="167" spans="1:28" s="204" customFormat="1" ht="13.5" thickBot="1">
      <c r="A167" s="1207"/>
      <c r="B167" s="1205" t="s">
        <v>344</v>
      </c>
      <c r="C167" s="1264">
        <v>-6.6662187925593406</v>
      </c>
      <c r="D167" s="1281">
        <v>-7.639673899169269</v>
      </c>
      <c r="E167" s="1268">
        <v>0</v>
      </c>
      <c r="F167" s="1268">
        <v>0</v>
      </c>
      <c r="G167" s="1268">
        <v>0</v>
      </c>
      <c r="H167" s="1268">
        <v>0</v>
      </c>
      <c r="I167" s="1352">
        <v>-6.8218570909228644</v>
      </c>
      <c r="J167" s="1266">
        <v>0</v>
      </c>
      <c r="K167" s="1268">
        <v>0</v>
      </c>
      <c r="L167" s="1268">
        <v>0</v>
      </c>
      <c r="M167" s="1268">
        <v>0</v>
      </c>
      <c r="N167" s="1268">
        <v>0</v>
      </c>
      <c r="O167" s="1352">
        <v>0</v>
      </c>
      <c r="P167" s="1264">
        <v>0</v>
      </c>
      <c r="Q167" s="1268">
        <v>0</v>
      </c>
      <c r="R167" s="1268">
        <v>0</v>
      </c>
      <c r="S167" s="1264">
        <v>0</v>
      </c>
      <c r="T167" s="1264">
        <v>0</v>
      </c>
      <c r="U167" s="1264">
        <v>0</v>
      </c>
      <c r="V167" s="1266">
        <v>-10.665027016474465</v>
      </c>
      <c r="W167" s="1281">
        <v>-10.665027016474465</v>
      </c>
      <c r="X167" s="1269">
        <v>-8.4211377150021214</v>
      </c>
      <c r="Y167"/>
      <c r="Z167"/>
      <c r="AA167"/>
      <c r="AB167"/>
    </row>
    <row r="168" spans="1:28">
      <c r="A168" s="1207"/>
      <c r="B168" s="1205" t="s">
        <v>5</v>
      </c>
      <c r="C168" s="1264"/>
      <c r="D168" s="1268"/>
      <c r="E168" s="1268"/>
      <c r="F168" s="1268"/>
      <c r="G168" s="1268"/>
      <c r="H168" s="1268"/>
      <c r="I168" s="1352"/>
      <c r="J168" s="1266"/>
      <c r="K168" s="1268"/>
      <c r="L168" s="1268"/>
      <c r="M168" s="1268"/>
      <c r="N168" s="1268"/>
      <c r="O168" s="1352"/>
      <c r="P168" s="1264"/>
      <c r="Q168" s="1268"/>
      <c r="R168" s="1268"/>
      <c r="S168" s="1264"/>
      <c r="T168" s="1264"/>
      <c r="U168" s="1264"/>
      <c r="V168" s="1266"/>
      <c r="W168" s="1264"/>
      <c r="X168" s="1269"/>
      <c r="Y168"/>
      <c r="Z168"/>
      <c r="AA168"/>
      <c r="AB168"/>
    </row>
    <row r="169" spans="1:28" s="205" customFormat="1">
      <c r="A169" s="1207"/>
      <c r="B169" s="1205" t="s">
        <v>6</v>
      </c>
      <c r="C169" s="1264"/>
      <c r="D169" s="1268"/>
      <c r="E169" s="1268"/>
      <c r="F169" s="1268"/>
      <c r="G169" s="1268"/>
      <c r="H169" s="1268"/>
      <c r="I169" s="1352"/>
      <c r="J169" s="1266"/>
      <c r="K169" s="1268"/>
      <c r="L169" s="1268"/>
      <c r="M169" s="1268"/>
      <c r="N169" s="1268"/>
      <c r="O169" s="1352"/>
      <c r="P169" s="1264"/>
      <c r="Q169" s="1268"/>
      <c r="R169" s="1268"/>
      <c r="S169" s="1264"/>
      <c r="T169" s="1264"/>
      <c r="U169" s="1264"/>
      <c r="V169" s="1266"/>
      <c r="W169" s="1264"/>
      <c r="X169" s="1269"/>
      <c r="Y169"/>
      <c r="Z169"/>
      <c r="AA169"/>
      <c r="AB169"/>
    </row>
    <row r="170" spans="1:28" s="204" customFormat="1" ht="13.5" thickBot="1">
      <c r="A170" s="1207"/>
      <c r="B170" s="1205" t="s">
        <v>426</v>
      </c>
      <c r="C170" s="1264">
        <v>0</v>
      </c>
      <c r="D170" s="1268">
        <v>0</v>
      </c>
      <c r="E170" s="1268">
        <v>0</v>
      </c>
      <c r="F170" s="1268">
        <v>0</v>
      </c>
      <c r="G170" s="1268">
        <v>0</v>
      </c>
      <c r="H170" s="1268">
        <v>0</v>
      </c>
      <c r="I170" s="1352">
        <v>0</v>
      </c>
      <c r="J170" s="1266">
        <v>0</v>
      </c>
      <c r="K170" s="1268">
        <v>0</v>
      </c>
      <c r="L170" s="1268">
        <v>0</v>
      </c>
      <c r="M170" s="1268">
        <v>0</v>
      </c>
      <c r="N170" s="1268">
        <v>0</v>
      </c>
      <c r="O170" s="1352">
        <v>0</v>
      </c>
      <c r="P170" s="1264">
        <v>0</v>
      </c>
      <c r="Q170" s="1268">
        <v>0</v>
      </c>
      <c r="R170" s="1268">
        <v>0</v>
      </c>
      <c r="S170" s="1264">
        <v>0</v>
      </c>
      <c r="T170" s="1264">
        <v>0</v>
      </c>
      <c r="U170" s="1264">
        <v>0</v>
      </c>
      <c r="V170" s="1266">
        <v>0</v>
      </c>
      <c r="W170" s="1264">
        <v>0</v>
      </c>
      <c r="X170" s="1269">
        <v>0</v>
      </c>
      <c r="Y170"/>
      <c r="Z170"/>
      <c r="AA170"/>
      <c r="AB170"/>
    </row>
    <row r="171" spans="1:28">
      <c r="A171" s="1207"/>
      <c r="B171" s="1205" t="s">
        <v>322</v>
      </c>
      <c r="C171" s="1264">
        <v>409369136</v>
      </c>
      <c r="D171" s="1262">
        <v>205250723</v>
      </c>
      <c r="E171" s="1268">
        <v>173695447</v>
      </c>
      <c r="F171" s="1268">
        <v>198306458</v>
      </c>
      <c r="G171" s="1268">
        <v>85357453</v>
      </c>
      <c r="H171" s="1262">
        <v>39205080</v>
      </c>
      <c r="I171" s="1352">
        <v>1111184297</v>
      </c>
      <c r="J171" s="1266">
        <v>31522457</v>
      </c>
      <c r="K171" s="1268">
        <v>61354201</v>
      </c>
      <c r="L171" s="1262">
        <v>62773033</v>
      </c>
      <c r="M171" s="1268">
        <v>20014928</v>
      </c>
      <c r="N171" s="1268"/>
      <c r="O171" s="1352">
        <v>175664619</v>
      </c>
      <c r="P171" s="1264">
        <v>249443617.91999996</v>
      </c>
      <c r="Q171" s="1268">
        <v>5585112.3000000007</v>
      </c>
      <c r="R171" s="1268"/>
      <c r="S171" s="1264">
        <v>255028730.21999997</v>
      </c>
      <c r="T171" s="1264"/>
      <c r="U171" s="1262"/>
      <c r="V171" s="1266"/>
      <c r="W171" s="1264"/>
      <c r="X171" s="1269">
        <v>1541877646.22</v>
      </c>
      <c r="Y171"/>
      <c r="Z171"/>
      <c r="AA171"/>
      <c r="AB171"/>
    </row>
    <row r="172" spans="1:28" s="205" customFormat="1">
      <c r="A172" s="1207"/>
      <c r="B172" s="1205" t="s">
        <v>22</v>
      </c>
      <c r="C172" s="1264">
        <v>472867343</v>
      </c>
      <c r="D172" s="1267">
        <v>236973640</v>
      </c>
      <c r="E172" s="1268">
        <v>215383707</v>
      </c>
      <c r="F172" s="1268">
        <v>238588181</v>
      </c>
      <c r="G172" s="1268">
        <v>100644791</v>
      </c>
      <c r="H172" s="1267">
        <v>41142811</v>
      </c>
      <c r="I172" s="1352">
        <v>1305600473</v>
      </c>
      <c r="J172" s="1266">
        <v>35059146</v>
      </c>
      <c r="K172" s="1268">
        <v>64526532</v>
      </c>
      <c r="L172" s="1267">
        <v>73019059</v>
      </c>
      <c r="M172" s="1268">
        <v>23043717</v>
      </c>
      <c r="N172" s="1268"/>
      <c r="O172" s="1352">
        <v>195648454</v>
      </c>
      <c r="P172" s="1264">
        <v>255290533.56</v>
      </c>
      <c r="Q172" s="1268">
        <v>2664655.12</v>
      </c>
      <c r="R172" s="1268"/>
      <c r="S172" s="1264">
        <v>257955188.68000001</v>
      </c>
      <c r="T172" s="1264"/>
      <c r="U172" s="1267"/>
      <c r="V172" s="1266"/>
      <c r="W172" s="1264"/>
      <c r="X172" s="1269">
        <v>1759204115.6799998</v>
      </c>
      <c r="Y172"/>
      <c r="Z172"/>
      <c r="AA172"/>
      <c r="AB172"/>
    </row>
    <row r="173" spans="1:28" s="204" customFormat="1" ht="13.5" thickBot="1">
      <c r="A173" s="1207"/>
      <c r="B173" s="1205" t="s">
        <v>375</v>
      </c>
      <c r="C173" s="1264">
        <v>15.511234584133376</v>
      </c>
      <c r="D173" s="1281">
        <v>15.455690745605802</v>
      </c>
      <c r="E173" s="1268">
        <v>24.000778788404283</v>
      </c>
      <c r="F173" s="1268">
        <v>20.312864949662909</v>
      </c>
      <c r="G173" s="1268">
        <v>17.909786975485314</v>
      </c>
      <c r="H173" s="1281">
        <v>4.9425508122926924</v>
      </c>
      <c r="I173" s="1352">
        <v>17.496303405734682</v>
      </c>
      <c r="J173" s="1266">
        <v>11.219585452999429</v>
      </c>
      <c r="K173" s="1268">
        <v>5.1705196193492924</v>
      </c>
      <c r="L173" s="1281">
        <v>16.322337013730085</v>
      </c>
      <c r="M173" s="1268">
        <v>15.132649990047428</v>
      </c>
      <c r="N173" s="1268">
        <v>0</v>
      </c>
      <c r="O173" s="1352">
        <v>11.376129760085609</v>
      </c>
      <c r="P173" s="1264">
        <v>2.3439828562281488</v>
      </c>
      <c r="Q173" s="1268">
        <v>-52.290035063395237</v>
      </c>
      <c r="R173" s="1268">
        <v>0</v>
      </c>
      <c r="S173" s="1264">
        <v>1.1475014824704397</v>
      </c>
      <c r="T173" s="1264">
        <v>0</v>
      </c>
      <c r="U173" s="1281">
        <v>0</v>
      </c>
      <c r="V173" s="1266">
        <v>0</v>
      </c>
      <c r="W173" s="1264">
        <v>0</v>
      </c>
      <c r="X173" s="1269">
        <v>14.094923160264216</v>
      </c>
      <c r="Y173"/>
      <c r="Z173"/>
      <c r="AA173"/>
      <c r="AB173"/>
    </row>
    <row r="174" spans="1:28">
      <c r="A174" s="1207"/>
      <c r="B174" s="1205" t="s">
        <v>324</v>
      </c>
      <c r="C174" s="1264"/>
      <c r="D174" s="1268"/>
      <c r="E174" s="1268"/>
      <c r="F174" s="1268"/>
      <c r="G174" s="1268"/>
      <c r="H174" s="1268"/>
      <c r="I174" s="1352"/>
      <c r="J174" s="1266"/>
      <c r="K174" s="1268"/>
      <c r="L174" s="1268"/>
      <c r="M174" s="1268"/>
      <c r="N174" s="1268"/>
      <c r="O174" s="1352"/>
      <c r="P174" s="1264"/>
      <c r="Q174" s="1268"/>
      <c r="R174" s="1268"/>
      <c r="S174" s="1264"/>
      <c r="T174" s="1264"/>
      <c r="U174" s="1264"/>
      <c r="V174" s="1266"/>
      <c r="W174" s="1264"/>
      <c r="X174" s="1269"/>
      <c r="Y174"/>
      <c r="Z174"/>
      <c r="AA174"/>
      <c r="AB174"/>
    </row>
    <row r="175" spans="1:28" s="205" customFormat="1">
      <c r="A175" s="1207"/>
      <c r="B175" s="1205" t="s">
        <v>226</v>
      </c>
      <c r="C175" s="1264"/>
      <c r="D175" s="1268"/>
      <c r="E175" s="1268"/>
      <c r="F175" s="1268"/>
      <c r="G175" s="1268"/>
      <c r="H175" s="1268"/>
      <c r="I175" s="1352"/>
      <c r="J175" s="1266"/>
      <c r="K175" s="1268"/>
      <c r="L175" s="1268"/>
      <c r="M175" s="1268"/>
      <c r="N175" s="1268"/>
      <c r="O175" s="1352"/>
      <c r="P175" s="1264"/>
      <c r="Q175" s="1268"/>
      <c r="R175" s="1268"/>
      <c r="S175" s="1264"/>
      <c r="T175" s="1264"/>
      <c r="U175" s="1264"/>
      <c r="V175" s="1266"/>
      <c r="W175" s="1264"/>
      <c r="X175" s="1269"/>
      <c r="Y175"/>
      <c r="Z175"/>
      <c r="AA175"/>
      <c r="AB175"/>
    </row>
    <row r="176" spans="1:28" s="204" customFormat="1">
      <c r="A176" s="1207"/>
      <c r="B176" s="1205" t="s">
        <v>236</v>
      </c>
      <c r="C176" s="1264">
        <v>0</v>
      </c>
      <c r="D176" s="1268">
        <v>0</v>
      </c>
      <c r="E176" s="1268">
        <v>0</v>
      </c>
      <c r="F176" s="1268">
        <v>0</v>
      </c>
      <c r="G176" s="1268">
        <v>0</v>
      </c>
      <c r="H176" s="1268">
        <v>0</v>
      </c>
      <c r="I176" s="1352">
        <v>0</v>
      </c>
      <c r="J176" s="1266">
        <v>0</v>
      </c>
      <c r="K176" s="1268">
        <v>0</v>
      </c>
      <c r="L176" s="1268">
        <v>0</v>
      </c>
      <c r="M176" s="1268">
        <v>0</v>
      </c>
      <c r="N176" s="1268">
        <v>0</v>
      </c>
      <c r="O176" s="1352">
        <v>0</v>
      </c>
      <c r="P176" s="1264">
        <v>0</v>
      </c>
      <c r="Q176" s="1268">
        <v>0</v>
      </c>
      <c r="R176" s="1268">
        <v>0</v>
      </c>
      <c r="S176" s="1264">
        <v>0</v>
      </c>
      <c r="T176" s="1264">
        <v>0</v>
      </c>
      <c r="U176" s="1264">
        <v>0</v>
      </c>
      <c r="V176" s="1266">
        <v>0</v>
      </c>
      <c r="W176" s="1264">
        <v>0</v>
      </c>
      <c r="X176" s="1269">
        <v>0</v>
      </c>
      <c r="Y176"/>
      <c r="Z176"/>
      <c r="AA176"/>
      <c r="AB176"/>
    </row>
    <row r="177" spans="1:28">
      <c r="A177" s="1207"/>
      <c r="B177" s="1205" t="s">
        <v>449</v>
      </c>
      <c r="C177" s="1264">
        <v>409369136</v>
      </c>
      <c r="D177" s="1268">
        <v>205250723</v>
      </c>
      <c r="E177" s="1268">
        <v>173695447</v>
      </c>
      <c r="F177" s="1268">
        <v>198306458</v>
      </c>
      <c r="G177" s="1268">
        <v>85357453</v>
      </c>
      <c r="H177" s="1268">
        <v>39205080</v>
      </c>
      <c r="I177" s="1352">
        <v>1111184297</v>
      </c>
      <c r="J177" s="1266">
        <v>31522457</v>
      </c>
      <c r="K177" s="1268">
        <v>61354201</v>
      </c>
      <c r="L177" s="1268">
        <v>62773033</v>
      </c>
      <c r="M177" s="1268">
        <v>20014928</v>
      </c>
      <c r="N177" s="1268"/>
      <c r="O177" s="1352">
        <v>175664619</v>
      </c>
      <c r="P177" s="1264">
        <v>249443617.91999996</v>
      </c>
      <c r="Q177" s="1268">
        <v>5585112.3000000007</v>
      </c>
      <c r="R177" s="1268"/>
      <c r="S177" s="1264">
        <v>255028730.21999997</v>
      </c>
      <c r="T177" s="1264">
        <v>0</v>
      </c>
      <c r="U177" s="1264">
        <v>0</v>
      </c>
      <c r="V177" s="1266">
        <v>0</v>
      </c>
      <c r="W177" s="1264">
        <v>0</v>
      </c>
      <c r="X177" s="1269">
        <v>1541877646.22</v>
      </c>
      <c r="Y177"/>
      <c r="Z177"/>
      <c r="AA177"/>
      <c r="AB177"/>
    </row>
    <row r="178" spans="1:28" s="205" customFormat="1">
      <c r="A178" s="1207"/>
      <c r="B178" s="1205" t="s">
        <v>109</v>
      </c>
      <c r="C178" s="1264">
        <v>472867343</v>
      </c>
      <c r="D178" s="1268">
        <v>236973640</v>
      </c>
      <c r="E178" s="1268">
        <v>215383707</v>
      </c>
      <c r="F178" s="1268">
        <v>238588181</v>
      </c>
      <c r="G178" s="1268">
        <v>100644791</v>
      </c>
      <c r="H178" s="1268">
        <v>41142811</v>
      </c>
      <c r="I178" s="1352">
        <v>1305600473</v>
      </c>
      <c r="J178" s="1266">
        <v>35059146</v>
      </c>
      <c r="K178" s="1268">
        <v>64526532</v>
      </c>
      <c r="L178" s="1268">
        <v>73019059</v>
      </c>
      <c r="M178" s="1268">
        <v>23043717</v>
      </c>
      <c r="N178" s="1268"/>
      <c r="O178" s="1352">
        <v>195648454</v>
      </c>
      <c r="P178" s="1264">
        <v>255290533.56</v>
      </c>
      <c r="Q178" s="1268">
        <v>2664655.12</v>
      </c>
      <c r="R178" s="1268"/>
      <c r="S178" s="1264">
        <v>257955188.68000001</v>
      </c>
      <c r="T178" s="1264">
        <v>0</v>
      </c>
      <c r="U178" s="1264">
        <v>0</v>
      </c>
      <c r="V178" s="1266">
        <v>0</v>
      </c>
      <c r="W178" s="1264">
        <v>0</v>
      </c>
      <c r="X178" s="1269">
        <v>1759204115.6799998</v>
      </c>
      <c r="Y178"/>
      <c r="Z178"/>
      <c r="AA178"/>
      <c r="AB178"/>
    </row>
    <row r="179" spans="1:28" s="204" customFormat="1" ht="13.5" thickBot="1">
      <c r="A179" s="1207"/>
      <c r="B179" s="1205" t="s">
        <v>83</v>
      </c>
      <c r="C179" s="1264">
        <v>15.511234584133376</v>
      </c>
      <c r="D179" s="1268">
        <v>15.455690745605802</v>
      </c>
      <c r="E179" s="1268">
        <v>24.000778788404283</v>
      </c>
      <c r="F179" s="1268">
        <v>20.312864949662909</v>
      </c>
      <c r="G179" s="1268">
        <v>17.909786975485314</v>
      </c>
      <c r="H179" s="1268">
        <v>4.9425508122926924</v>
      </c>
      <c r="I179" s="1352">
        <v>17.496303405734682</v>
      </c>
      <c r="J179" s="1266">
        <v>11.219585452999429</v>
      </c>
      <c r="K179" s="1268">
        <v>5.1705196193492924</v>
      </c>
      <c r="L179" s="1268">
        <v>16.322337013730085</v>
      </c>
      <c r="M179" s="1268">
        <v>15.132649990047428</v>
      </c>
      <c r="N179" s="1268">
        <v>0</v>
      </c>
      <c r="O179" s="1352">
        <v>11.376129760085609</v>
      </c>
      <c r="P179" s="1264">
        <v>2.3439828562281488</v>
      </c>
      <c r="Q179" s="1268">
        <v>-52.290035063395237</v>
      </c>
      <c r="R179" s="1268">
        <v>0</v>
      </c>
      <c r="S179" s="1264">
        <v>1.1475014824704397</v>
      </c>
      <c r="T179" s="1264">
        <v>0</v>
      </c>
      <c r="U179" s="1264">
        <v>0</v>
      </c>
      <c r="V179" s="1266">
        <v>0</v>
      </c>
      <c r="W179" s="1264">
        <v>0</v>
      </c>
      <c r="X179" s="1269">
        <v>14.094923160264216</v>
      </c>
      <c r="Y179"/>
      <c r="Z179"/>
      <c r="AA179"/>
      <c r="AB179"/>
    </row>
    <row r="180" spans="1:28">
      <c r="A180" s="1207"/>
      <c r="B180" s="1205" t="s">
        <v>111</v>
      </c>
      <c r="C180" s="1264"/>
      <c r="D180" s="1268"/>
      <c r="E180" s="1268"/>
      <c r="F180" s="1268"/>
      <c r="G180" s="1268"/>
      <c r="H180" s="1268"/>
      <c r="I180" s="1352"/>
      <c r="J180" s="1266"/>
      <c r="K180" s="1268"/>
      <c r="L180" s="1268"/>
      <c r="M180" s="1268"/>
      <c r="N180" s="1268"/>
      <c r="O180" s="1352"/>
      <c r="P180" s="1264"/>
      <c r="Q180" s="1268"/>
      <c r="R180" s="1268"/>
      <c r="S180" s="1264"/>
      <c r="T180" s="1264">
        <v>17506941</v>
      </c>
      <c r="U180" s="1264">
        <v>17506941</v>
      </c>
      <c r="V180" s="1266">
        <v>558654700</v>
      </c>
      <c r="W180" s="1262">
        <v>558654700</v>
      </c>
      <c r="X180" s="1269">
        <v>576161641</v>
      </c>
      <c r="Y180"/>
      <c r="Z180"/>
      <c r="AA180"/>
      <c r="AB180"/>
    </row>
    <row r="181" spans="1:28" s="205" customFormat="1">
      <c r="A181" s="1207"/>
      <c r="B181" s="1205" t="s">
        <v>113</v>
      </c>
      <c r="C181" s="1264"/>
      <c r="D181" s="1268"/>
      <c r="E181" s="1268"/>
      <c r="F181" s="1268"/>
      <c r="G181" s="1268"/>
      <c r="H181" s="1268"/>
      <c r="I181" s="1352"/>
      <c r="J181" s="1266"/>
      <c r="K181" s="1268"/>
      <c r="L181" s="1268"/>
      <c r="M181" s="1268"/>
      <c r="N181" s="1268"/>
      <c r="O181" s="1352"/>
      <c r="P181" s="1264"/>
      <c r="Q181" s="1268"/>
      <c r="R181" s="1268"/>
      <c r="S181" s="1264"/>
      <c r="T181" s="1264">
        <v>20284279</v>
      </c>
      <c r="U181" s="1264">
        <v>20284279</v>
      </c>
      <c r="V181" s="1266">
        <v>590289939</v>
      </c>
      <c r="W181" s="1267">
        <v>590289939</v>
      </c>
      <c r="X181" s="1269">
        <v>610574218</v>
      </c>
      <c r="Y181"/>
      <c r="Z181"/>
      <c r="AA181"/>
      <c r="AB181"/>
    </row>
    <row r="182" spans="1:28" s="204" customFormat="1" ht="13.5" thickBot="1">
      <c r="A182" s="1207"/>
      <c r="B182" s="1205" t="s">
        <v>115</v>
      </c>
      <c r="C182" s="1264">
        <v>0</v>
      </c>
      <c r="D182" s="1268">
        <v>0</v>
      </c>
      <c r="E182" s="1268">
        <v>0</v>
      </c>
      <c r="F182" s="1268">
        <v>0</v>
      </c>
      <c r="G182" s="1268">
        <v>0</v>
      </c>
      <c r="H182" s="1268">
        <v>0</v>
      </c>
      <c r="I182" s="1352">
        <v>0</v>
      </c>
      <c r="J182" s="1266">
        <v>0</v>
      </c>
      <c r="K182" s="1268">
        <v>0</v>
      </c>
      <c r="L182" s="1268">
        <v>0</v>
      </c>
      <c r="M182" s="1268">
        <v>0</v>
      </c>
      <c r="N182" s="1268">
        <v>0</v>
      </c>
      <c r="O182" s="1352">
        <v>0</v>
      </c>
      <c r="P182" s="1264">
        <v>0</v>
      </c>
      <c r="Q182" s="1268">
        <v>0</v>
      </c>
      <c r="R182" s="1268">
        <v>0</v>
      </c>
      <c r="S182" s="1264">
        <v>0</v>
      </c>
      <c r="T182" s="1264">
        <v>15.864210657932759</v>
      </c>
      <c r="U182" s="1264">
        <v>15.864210657932759</v>
      </c>
      <c r="V182" s="1266">
        <v>5.6627535756881668</v>
      </c>
      <c r="W182" s="1281">
        <v>5.6627535756881668</v>
      </c>
      <c r="X182" s="1269">
        <v>5.9727296215472983</v>
      </c>
      <c r="Y182"/>
      <c r="Z182"/>
      <c r="AA182"/>
      <c r="AB182"/>
    </row>
    <row r="183" spans="1:28">
      <c r="A183" s="1207"/>
      <c r="B183" s="1205" t="s">
        <v>339</v>
      </c>
      <c r="C183" s="1264"/>
      <c r="D183" s="1268"/>
      <c r="E183" s="1268"/>
      <c r="F183" s="1268"/>
      <c r="G183" s="1268"/>
      <c r="H183" s="1268"/>
      <c r="I183" s="1352"/>
      <c r="J183" s="1266"/>
      <c r="K183" s="1268"/>
      <c r="L183" s="1268"/>
      <c r="M183" s="1268"/>
      <c r="N183" s="1268"/>
      <c r="O183" s="1352"/>
      <c r="P183" s="1264"/>
      <c r="Q183" s="1268"/>
      <c r="R183" s="1268"/>
      <c r="S183" s="1264"/>
      <c r="T183" s="1339">
        <v>23176800</v>
      </c>
      <c r="U183" s="1264">
        <v>23176800</v>
      </c>
      <c r="V183" s="1266"/>
      <c r="W183" s="1264"/>
      <c r="X183" s="1269">
        <v>23176800</v>
      </c>
      <c r="Y183"/>
      <c r="Z183"/>
      <c r="AA183"/>
      <c r="AB183"/>
    </row>
    <row r="184" spans="1:28" s="205" customFormat="1">
      <c r="A184" s="1207"/>
      <c r="B184" s="1205" t="s">
        <v>223</v>
      </c>
      <c r="C184" s="1264"/>
      <c r="D184" s="1268"/>
      <c r="E184" s="1268"/>
      <c r="F184" s="1268"/>
      <c r="G184" s="1268"/>
      <c r="H184" s="1268"/>
      <c r="I184" s="1352"/>
      <c r="J184" s="1266"/>
      <c r="K184" s="1268"/>
      <c r="L184" s="1268"/>
      <c r="M184" s="1268"/>
      <c r="N184" s="1268"/>
      <c r="O184" s="1352"/>
      <c r="P184" s="1264"/>
      <c r="Q184" s="1268"/>
      <c r="R184" s="1268"/>
      <c r="S184" s="1264"/>
      <c r="T184" s="1339">
        <v>28287154</v>
      </c>
      <c r="U184" s="1264">
        <v>28287154</v>
      </c>
      <c r="V184" s="1266"/>
      <c r="W184" s="1264"/>
      <c r="X184" s="1269">
        <v>28287154</v>
      </c>
      <c r="Y184"/>
      <c r="Z184"/>
      <c r="AA184"/>
      <c r="AB184"/>
    </row>
    <row r="185" spans="1:28" s="204" customFormat="1">
      <c r="A185" s="1207"/>
      <c r="B185" s="1205" t="s">
        <v>85</v>
      </c>
      <c r="C185" s="1264">
        <v>0</v>
      </c>
      <c r="D185" s="1268">
        <v>0</v>
      </c>
      <c r="E185" s="1268">
        <v>0</v>
      </c>
      <c r="F185" s="1268">
        <v>0</v>
      </c>
      <c r="G185" s="1268">
        <v>0</v>
      </c>
      <c r="H185" s="1268">
        <v>0</v>
      </c>
      <c r="I185" s="1352">
        <v>0</v>
      </c>
      <c r="J185" s="1266">
        <v>0</v>
      </c>
      <c r="K185" s="1268">
        <v>0</v>
      </c>
      <c r="L185" s="1268">
        <v>0</v>
      </c>
      <c r="M185" s="1268">
        <v>0</v>
      </c>
      <c r="N185" s="1268">
        <v>0</v>
      </c>
      <c r="O185" s="1352">
        <v>0</v>
      </c>
      <c r="P185" s="1264">
        <v>0</v>
      </c>
      <c r="Q185" s="1268">
        <v>0</v>
      </c>
      <c r="R185" s="1268">
        <v>0</v>
      </c>
      <c r="S185" s="1264">
        <v>0</v>
      </c>
      <c r="T185" s="1339">
        <v>22.049437368402884</v>
      </c>
      <c r="U185" s="1264">
        <v>22.049437368402884</v>
      </c>
      <c r="V185" s="1266">
        <v>0</v>
      </c>
      <c r="W185" s="1264">
        <v>0</v>
      </c>
      <c r="X185" s="1269">
        <v>22.049437368402884</v>
      </c>
      <c r="Y185"/>
      <c r="Z185"/>
      <c r="AA185"/>
      <c r="AB185"/>
    </row>
    <row r="186" spans="1:28">
      <c r="A186" s="1207"/>
      <c r="B186" s="1205" t="s">
        <v>219</v>
      </c>
      <c r="C186" s="1264"/>
      <c r="D186" s="1268"/>
      <c r="E186" s="1268"/>
      <c r="F186" s="1268"/>
      <c r="G186" s="1268"/>
      <c r="H186" s="1268"/>
      <c r="I186" s="1352"/>
      <c r="J186" s="1266"/>
      <c r="K186" s="1268"/>
      <c r="L186" s="1268"/>
      <c r="M186" s="1268"/>
      <c r="N186" s="1268"/>
      <c r="O186" s="1352"/>
      <c r="P186" s="1264"/>
      <c r="Q186" s="1268"/>
      <c r="R186" s="1268"/>
      <c r="S186" s="1264"/>
      <c r="T186" s="1264"/>
      <c r="U186" s="1264"/>
      <c r="V186" s="1266"/>
      <c r="W186" s="1264"/>
      <c r="X186" s="1269"/>
      <c r="Y186"/>
      <c r="Z186"/>
      <c r="AA186"/>
      <c r="AB186"/>
    </row>
    <row r="187" spans="1:28" s="205" customFormat="1">
      <c r="A187" s="1207"/>
      <c r="B187" s="1205" t="s">
        <v>141</v>
      </c>
      <c r="C187" s="1264"/>
      <c r="D187" s="1268"/>
      <c r="E187" s="1268"/>
      <c r="F187" s="1268"/>
      <c r="G187" s="1268"/>
      <c r="H187" s="1268"/>
      <c r="I187" s="1352"/>
      <c r="J187" s="1266"/>
      <c r="K187" s="1268"/>
      <c r="L187" s="1268"/>
      <c r="M187" s="1268"/>
      <c r="N187" s="1268"/>
      <c r="O187" s="1352"/>
      <c r="P187" s="1264"/>
      <c r="Q187" s="1268"/>
      <c r="R187" s="1268"/>
      <c r="S187" s="1264"/>
      <c r="T187" s="1264"/>
      <c r="U187" s="1264"/>
      <c r="V187" s="1266"/>
      <c r="W187" s="1264"/>
      <c r="X187" s="1269"/>
      <c r="Y187"/>
      <c r="Z187"/>
      <c r="AA187"/>
      <c r="AB187"/>
    </row>
    <row r="188" spans="1:28" s="204" customFormat="1">
      <c r="A188" s="1207"/>
      <c r="B188" s="1205" t="s">
        <v>169</v>
      </c>
      <c r="C188" s="1264">
        <v>0</v>
      </c>
      <c r="D188" s="1268">
        <v>0</v>
      </c>
      <c r="E188" s="1268">
        <v>0</v>
      </c>
      <c r="F188" s="1268">
        <v>0</v>
      </c>
      <c r="G188" s="1268">
        <v>0</v>
      </c>
      <c r="H188" s="1268">
        <v>0</v>
      </c>
      <c r="I188" s="1352">
        <v>0</v>
      </c>
      <c r="J188" s="1266">
        <v>0</v>
      </c>
      <c r="K188" s="1268">
        <v>0</v>
      </c>
      <c r="L188" s="1268">
        <v>0</v>
      </c>
      <c r="M188" s="1268">
        <v>0</v>
      </c>
      <c r="N188" s="1268">
        <v>0</v>
      </c>
      <c r="O188" s="1352">
        <v>0</v>
      </c>
      <c r="P188" s="1264">
        <v>0</v>
      </c>
      <c r="Q188" s="1268">
        <v>0</v>
      </c>
      <c r="R188" s="1268">
        <v>0</v>
      </c>
      <c r="S188" s="1264">
        <v>0</v>
      </c>
      <c r="T188" s="1264">
        <v>0</v>
      </c>
      <c r="U188" s="1264">
        <v>0</v>
      </c>
      <c r="V188" s="1266">
        <v>0</v>
      </c>
      <c r="W188" s="1264">
        <v>0</v>
      </c>
      <c r="X188" s="1269">
        <v>0</v>
      </c>
      <c r="Y188"/>
      <c r="Z188"/>
      <c r="AA188"/>
      <c r="AB188"/>
    </row>
    <row r="189" spans="1:28">
      <c r="A189" s="1207"/>
      <c r="B189" s="1205" t="s">
        <v>221</v>
      </c>
      <c r="C189" s="1264">
        <v>0</v>
      </c>
      <c r="D189" s="1268">
        <v>0</v>
      </c>
      <c r="E189" s="1268">
        <v>0</v>
      </c>
      <c r="F189" s="1268">
        <v>0</v>
      </c>
      <c r="G189" s="1268">
        <v>0</v>
      </c>
      <c r="H189" s="1268">
        <v>0</v>
      </c>
      <c r="I189" s="1352">
        <v>0</v>
      </c>
      <c r="J189" s="1266">
        <v>0</v>
      </c>
      <c r="K189" s="1268">
        <v>0</v>
      </c>
      <c r="L189" s="1268">
        <v>0</v>
      </c>
      <c r="M189" s="1268">
        <v>0</v>
      </c>
      <c r="N189" s="1268"/>
      <c r="O189" s="1352">
        <v>0</v>
      </c>
      <c r="P189" s="1264">
        <v>0</v>
      </c>
      <c r="Q189" s="1268">
        <v>0</v>
      </c>
      <c r="R189" s="1268"/>
      <c r="S189" s="1264">
        <v>0</v>
      </c>
      <c r="T189" s="1264">
        <v>23176800</v>
      </c>
      <c r="U189" s="1264">
        <v>23176800</v>
      </c>
      <c r="V189" s="1266">
        <v>0</v>
      </c>
      <c r="W189" s="1264">
        <v>0</v>
      </c>
      <c r="X189" s="1269">
        <v>23176800</v>
      </c>
      <c r="Y189"/>
      <c r="Z189"/>
      <c r="AA189"/>
      <c r="AB189"/>
    </row>
    <row r="190" spans="1:28" s="205" customFormat="1">
      <c r="A190" s="1207"/>
      <c r="B190" s="1205" t="s">
        <v>143</v>
      </c>
      <c r="C190" s="1264">
        <v>0</v>
      </c>
      <c r="D190" s="1268">
        <v>0</v>
      </c>
      <c r="E190" s="1268">
        <v>0</v>
      </c>
      <c r="F190" s="1268">
        <v>0</v>
      </c>
      <c r="G190" s="1268">
        <v>0</v>
      </c>
      <c r="H190" s="1268">
        <v>0</v>
      </c>
      <c r="I190" s="1352">
        <v>0</v>
      </c>
      <c r="J190" s="1266">
        <v>0</v>
      </c>
      <c r="K190" s="1268">
        <v>0</v>
      </c>
      <c r="L190" s="1268">
        <v>0</v>
      </c>
      <c r="M190" s="1268">
        <v>0</v>
      </c>
      <c r="N190" s="1268"/>
      <c r="O190" s="1352">
        <v>0</v>
      </c>
      <c r="P190" s="1264">
        <v>0</v>
      </c>
      <c r="Q190" s="1268">
        <v>0</v>
      </c>
      <c r="R190" s="1268"/>
      <c r="S190" s="1264">
        <v>0</v>
      </c>
      <c r="T190" s="1264">
        <v>28287154</v>
      </c>
      <c r="U190" s="1264">
        <v>28287154</v>
      </c>
      <c r="V190" s="1266">
        <v>0</v>
      </c>
      <c r="W190" s="1264">
        <v>0</v>
      </c>
      <c r="X190" s="1269">
        <v>28287154</v>
      </c>
      <c r="Y190"/>
      <c r="Z190"/>
      <c r="AA190"/>
      <c r="AB190"/>
    </row>
    <row r="191" spans="1:28" s="204" customFormat="1">
      <c r="A191" s="1207"/>
      <c r="B191" s="1205" t="s">
        <v>245</v>
      </c>
      <c r="C191" s="1264">
        <v>0</v>
      </c>
      <c r="D191" s="1268">
        <v>0</v>
      </c>
      <c r="E191" s="1268">
        <v>0</v>
      </c>
      <c r="F191" s="1268">
        <v>0</v>
      </c>
      <c r="G191" s="1268">
        <v>0</v>
      </c>
      <c r="H191" s="1268">
        <v>0</v>
      </c>
      <c r="I191" s="1352">
        <v>0</v>
      </c>
      <c r="J191" s="1266">
        <v>0</v>
      </c>
      <c r="K191" s="1268">
        <v>0</v>
      </c>
      <c r="L191" s="1268">
        <v>0</v>
      </c>
      <c r="M191" s="1268">
        <v>0</v>
      </c>
      <c r="N191" s="1268">
        <v>0</v>
      </c>
      <c r="O191" s="1352">
        <v>0</v>
      </c>
      <c r="P191" s="1264">
        <v>0</v>
      </c>
      <c r="Q191" s="1268">
        <v>0</v>
      </c>
      <c r="R191" s="1268">
        <v>0</v>
      </c>
      <c r="S191" s="1264">
        <v>0</v>
      </c>
      <c r="T191" s="1264">
        <v>22.049437368402884</v>
      </c>
      <c r="U191" s="1264">
        <v>22.049437368402884</v>
      </c>
      <c r="V191" s="1266">
        <v>0</v>
      </c>
      <c r="W191" s="1264">
        <v>0</v>
      </c>
      <c r="X191" s="1269">
        <v>22.049437368402884</v>
      </c>
      <c r="Y191"/>
      <c r="Z191"/>
      <c r="AA191"/>
      <c r="AB191"/>
    </row>
    <row r="192" spans="1:28">
      <c r="A192" s="1207"/>
      <c r="B192" s="1205" t="s">
        <v>117</v>
      </c>
      <c r="C192" s="1264">
        <v>13779677</v>
      </c>
      <c r="D192" s="1268"/>
      <c r="E192" s="1268"/>
      <c r="F192" s="1268"/>
      <c r="G192" s="1268"/>
      <c r="H192" s="1268"/>
      <c r="I192" s="1352">
        <v>13779677</v>
      </c>
      <c r="J192" s="1266"/>
      <c r="K192" s="1268"/>
      <c r="L192" s="1268"/>
      <c r="M192" s="1268"/>
      <c r="N192" s="1268"/>
      <c r="O192" s="1352"/>
      <c r="P192" s="1264"/>
      <c r="Q192" s="1268"/>
      <c r="R192" s="1268"/>
      <c r="S192" s="1264"/>
      <c r="T192" s="1264">
        <v>162304415</v>
      </c>
      <c r="U192" s="1264">
        <v>162304415</v>
      </c>
      <c r="V192" s="1266"/>
      <c r="W192" s="1264"/>
      <c r="X192" s="1269">
        <v>176084092</v>
      </c>
      <c r="Y192"/>
      <c r="Z192"/>
      <c r="AA192"/>
      <c r="AB192"/>
    </row>
    <row r="193" spans="1:28" s="205" customFormat="1">
      <c r="A193" s="1207"/>
      <c r="B193" s="1205" t="s">
        <v>119</v>
      </c>
      <c r="C193" s="1264">
        <v>13551933</v>
      </c>
      <c r="D193" s="1268"/>
      <c r="E193" s="1268"/>
      <c r="F193" s="1268"/>
      <c r="G193" s="1268"/>
      <c r="H193" s="1268"/>
      <c r="I193" s="1352">
        <v>13551933</v>
      </c>
      <c r="J193" s="1266"/>
      <c r="K193" s="1268"/>
      <c r="L193" s="1268"/>
      <c r="M193" s="1268"/>
      <c r="N193" s="1268"/>
      <c r="O193" s="1352"/>
      <c r="P193" s="1264"/>
      <c r="Q193" s="1268"/>
      <c r="R193" s="1268"/>
      <c r="S193" s="1264"/>
      <c r="T193" s="1264">
        <v>170583124</v>
      </c>
      <c r="U193" s="1264">
        <v>170583124</v>
      </c>
      <c r="V193" s="1266"/>
      <c r="W193" s="1264"/>
      <c r="X193" s="1269">
        <v>184135057</v>
      </c>
      <c r="Y193"/>
      <c r="Z193"/>
      <c r="AA193"/>
      <c r="AB193"/>
    </row>
    <row r="194" spans="1:28" s="204" customFormat="1" ht="13.5" thickBot="1">
      <c r="A194" s="1207"/>
      <c r="B194" s="1205" t="s">
        <v>301</v>
      </c>
      <c r="C194" s="1264">
        <v>-1.6527528185167184</v>
      </c>
      <c r="D194" s="1268">
        <v>0</v>
      </c>
      <c r="E194" s="1268">
        <v>0</v>
      </c>
      <c r="F194" s="1268">
        <v>0</v>
      </c>
      <c r="G194" s="1268">
        <v>0</v>
      </c>
      <c r="H194" s="1268">
        <v>0</v>
      </c>
      <c r="I194" s="1352">
        <v>-1.6527528185167184</v>
      </c>
      <c r="J194" s="1266">
        <v>0</v>
      </c>
      <c r="K194" s="1268">
        <v>0</v>
      </c>
      <c r="L194" s="1268">
        <v>0</v>
      </c>
      <c r="M194" s="1268">
        <v>0</v>
      </c>
      <c r="N194" s="1268">
        <v>0</v>
      </c>
      <c r="O194" s="1352">
        <v>0</v>
      </c>
      <c r="P194" s="1264">
        <v>0</v>
      </c>
      <c r="Q194" s="1268">
        <v>0</v>
      </c>
      <c r="R194" s="1268">
        <v>0</v>
      </c>
      <c r="S194" s="1264">
        <v>0</v>
      </c>
      <c r="T194" s="1264">
        <v>5.1007293917420542</v>
      </c>
      <c r="U194" s="1264">
        <v>5.1007293917420542</v>
      </c>
      <c r="V194" s="1266">
        <v>0</v>
      </c>
      <c r="W194" s="1264">
        <v>0</v>
      </c>
      <c r="X194" s="1269">
        <v>4.5722273423768458</v>
      </c>
      <c r="Y194"/>
      <c r="Z194"/>
      <c r="AA194"/>
      <c r="AB194"/>
    </row>
    <row r="195" spans="1:28">
      <c r="A195" s="1207"/>
      <c r="B195" s="1205" t="s">
        <v>120</v>
      </c>
      <c r="C195" s="1264">
        <v>5635224</v>
      </c>
      <c r="D195" s="1268"/>
      <c r="E195" s="1268"/>
      <c r="F195" s="1268"/>
      <c r="G195" s="1268"/>
      <c r="H195" s="1268"/>
      <c r="I195" s="1352">
        <v>5635224</v>
      </c>
      <c r="J195" s="1266"/>
      <c r="K195" s="1268"/>
      <c r="L195" s="1268"/>
      <c r="M195" s="1268"/>
      <c r="N195" s="1268"/>
      <c r="O195" s="1352"/>
      <c r="P195" s="1264"/>
      <c r="Q195" s="1268"/>
      <c r="R195" s="1268"/>
      <c r="S195" s="1264"/>
      <c r="T195" s="1264">
        <v>34353142</v>
      </c>
      <c r="U195" s="1262">
        <v>34353142</v>
      </c>
      <c r="V195" s="1266"/>
      <c r="W195" s="1264"/>
      <c r="X195" s="1269">
        <v>39988366</v>
      </c>
      <c r="Y195"/>
      <c r="Z195"/>
      <c r="AA195"/>
      <c r="AB195"/>
    </row>
    <row r="196" spans="1:28" s="205" customFormat="1">
      <c r="A196" s="1207"/>
      <c r="B196" s="1205" t="s">
        <v>450</v>
      </c>
      <c r="C196" s="1264">
        <v>6224550</v>
      </c>
      <c r="D196" s="1268"/>
      <c r="E196" s="1268"/>
      <c r="F196" s="1268"/>
      <c r="G196" s="1268"/>
      <c r="H196" s="1268"/>
      <c r="I196" s="1352">
        <v>6224550</v>
      </c>
      <c r="J196" s="1266"/>
      <c r="K196" s="1268"/>
      <c r="L196" s="1268"/>
      <c r="M196" s="1268"/>
      <c r="N196" s="1268"/>
      <c r="O196" s="1352"/>
      <c r="P196" s="1264"/>
      <c r="Q196" s="1268"/>
      <c r="R196" s="1268"/>
      <c r="S196" s="1264"/>
      <c r="T196" s="1264">
        <v>37652050</v>
      </c>
      <c r="U196" s="1267">
        <v>37652050</v>
      </c>
      <c r="V196" s="1266"/>
      <c r="W196" s="1264"/>
      <c r="X196" s="1269">
        <v>43876600</v>
      </c>
      <c r="Y196"/>
      <c r="Z196"/>
      <c r="AA196"/>
      <c r="AB196"/>
    </row>
    <row r="197" spans="1:28" s="204" customFormat="1" ht="13.5" thickBot="1">
      <c r="A197" s="1207"/>
      <c r="B197" s="1205" t="s">
        <v>335</v>
      </c>
      <c r="C197" s="1264">
        <v>10.457898390552</v>
      </c>
      <c r="D197" s="1268">
        <v>0</v>
      </c>
      <c r="E197" s="1268">
        <v>0</v>
      </c>
      <c r="F197" s="1268">
        <v>0</v>
      </c>
      <c r="G197" s="1268">
        <v>0</v>
      </c>
      <c r="H197" s="1268">
        <v>0</v>
      </c>
      <c r="I197" s="1352">
        <v>10.457898390552</v>
      </c>
      <c r="J197" s="1266">
        <v>0</v>
      </c>
      <c r="K197" s="1268">
        <v>0</v>
      </c>
      <c r="L197" s="1268">
        <v>0</v>
      </c>
      <c r="M197" s="1268">
        <v>0</v>
      </c>
      <c r="N197" s="1268">
        <v>0</v>
      </c>
      <c r="O197" s="1352">
        <v>0</v>
      </c>
      <c r="P197" s="1264">
        <v>0</v>
      </c>
      <c r="Q197" s="1268">
        <v>0</v>
      </c>
      <c r="R197" s="1268">
        <v>0</v>
      </c>
      <c r="S197" s="1264">
        <v>0</v>
      </c>
      <c r="T197" s="1264">
        <v>9.6029294787649988</v>
      </c>
      <c r="U197" s="1281">
        <v>9.6029294787649988</v>
      </c>
      <c r="V197" s="1266">
        <v>0</v>
      </c>
      <c r="W197" s="1264">
        <v>0</v>
      </c>
      <c r="X197" s="1269">
        <v>9.7234130546869544</v>
      </c>
      <c r="Y197"/>
      <c r="Z197"/>
      <c r="AA197"/>
      <c r="AB197"/>
    </row>
    <row r="198" spans="1:28">
      <c r="A198" s="1207"/>
      <c r="B198" s="1205" t="s">
        <v>35</v>
      </c>
      <c r="C198" s="1264">
        <v>943992620</v>
      </c>
      <c r="D198" s="1268">
        <v>412964517</v>
      </c>
      <c r="E198" s="1268">
        <v>323939940</v>
      </c>
      <c r="F198" s="1268">
        <v>363421935</v>
      </c>
      <c r="G198" s="1268">
        <v>171027209</v>
      </c>
      <c r="H198" s="1268">
        <v>76089967</v>
      </c>
      <c r="I198" s="1352">
        <v>2291436188</v>
      </c>
      <c r="J198" s="1266">
        <v>59005026</v>
      </c>
      <c r="K198" s="1268">
        <v>108943646</v>
      </c>
      <c r="L198" s="1268">
        <v>140268105</v>
      </c>
      <c r="M198" s="1268">
        <v>40799210</v>
      </c>
      <c r="N198" s="1268"/>
      <c r="O198" s="1352">
        <v>349015987</v>
      </c>
      <c r="P198" s="1264">
        <v>539154646.55000007</v>
      </c>
      <c r="Q198" s="1268">
        <v>13398401.67</v>
      </c>
      <c r="R198" s="1268"/>
      <c r="S198" s="1264">
        <v>552553048.22000003</v>
      </c>
      <c r="T198" s="1264">
        <v>0</v>
      </c>
      <c r="U198" s="1264">
        <v>0</v>
      </c>
      <c r="V198" s="1266">
        <v>66006762</v>
      </c>
      <c r="W198" s="1264">
        <v>66006762</v>
      </c>
      <c r="X198" s="1269">
        <v>3259011985.2200003</v>
      </c>
      <c r="Y198"/>
      <c r="Z198"/>
      <c r="AA198"/>
      <c r="AB198"/>
    </row>
    <row r="199" spans="1:28" s="205" customFormat="1">
      <c r="A199" s="1207"/>
      <c r="B199" s="1205" t="s">
        <v>37</v>
      </c>
      <c r="C199" s="1264">
        <v>1032594322</v>
      </c>
      <c r="D199" s="1268">
        <v>459158744</v>
      </c>
      <c r="E199" s="1268">
        <v>380994318</v>
      </c>
      <c r="F199" s="1268">
        <v>419432521</v>
      </c>
      <c r="G199" s="1268">
        <v>196769107</v>
      </c>
      <c r="H199" s="1268">
        <v>82092025</v>
      </c>
      <c r="I199" s="1352">
        <v>2571041037</v>
      </c>
      <c r="J199" s="1266">
        <v>67501641</v>
      </c>
      <c r="K199" s="1268">
        <v>117438177</v>
      </c>
      <c r="L199" s="1268">
        <v>160601884</v>
      </c>
      <c r="M199" s="1268">
        <v>47158248</v>
      </c>
      <c r="N199" s="1268"/>
      <c r="O199" s="1352">
        <v>392699950</v>
      </c>
      <c r="P199" s="1264">
        <v>514114646.56000018</v>
      </c>
      <c r="Q199" s="1268">
        <v>6220103.1200000001</v>
      </c>
      <c r="R199" s="1268"/>
      <c r="S199" s="1264">
        <v>520334749.68000019</v>
      </c>
      <c r="T199" s="1264">
        <v>0</v>
      </c>
      <c r="U199" s="1264">
        <v>0</v>
      </c>
      <c r="V199" s="1266">
        <v>58967123</v>
      </c>
      <c r="W199" s="1264">
        <v>58967123</v>
      </c>
      <c r="X199" s="1269">
        <v>3543042859.6800003</v>
      </c>
      <c r="Y199"/>
      <c r="Z199"/>
      <c r="AA199"/>
      <c r="AB199"/>
    </row>
    <row r="200" spans="1:28" s="214" customFormat="1" ht="13.5" thickBot="1">
      <c r="A200" s="1333"/>
      <c r="B200" s="1205" t="s">
        <v>39</v>
      </c>
      <c r="C200" s="1264">
        <v>9.3858468935911805</v>
      </c>
      <c r="D200" s="1268">
        <v>11.186003905512298</v>
      </c>
      <c r="E200" s="1268">
        <v>17.612640787671939</v>
      </c>
      <c r="F200" s="1268">
        <v>15.41199927846953</v>
      </c>
      <c r="G200" s="1268">
        <v>15.051346595967663</v>
      </c>
      <c r="H200" s="1268">
        <v>7.8881069826196661</v>
      </c>
      <c r="I200" s="1352">
        <v>12.202166067912341</v>
      </c>
      <c r="J200" s="1266">
        <v>14.399815703835127</v>
      </c>
      <c r="K200" s="1268">
        <v>7.7971789194571288</v>
      </c>
      <c r="L200" s="1268">
        <v>14.496366796999219</v>
      </c>
      <c r="M200" s="1268">
        <v>15.58617924219611</v>
      </c>
      <c r="N200" s="1268">
        <v>0</v>
      </c>
      <c r="O200" s="1352">
        <v>12.516321494464952</v>
      </c>
      <c r="P200" s="1264">
        <v>-4.644307556325165</v>
      </c>
      <c r="Q200" s="1268">
        <v>-53.575782595566871</v>
      </c>
      <c r="R200" s="1268">
        <v>0</v>
      </c>
      <c r="S200" s="1264">
        <v>-5.8308064074188346</v>
      </c>
      <c r="T200" s="1264">
        <v>0</v>
      </c>
      <c r="U200" s="1264">
        <v>0</v>
      </c>
      <c r="V200" s="1266">
        <v>-10.665027016474465</v>
      </c>
      <c r="W200" s="1264">
        <v>-10.665027016474465</v>
      </c>
      <c r="X200" s="1269">
        <v>8.7152448578928574</v>
      </c>
      <c r="Y200"/>
      <c r="Z200"/>
      <c r="AA200"/>
      <c r="AB200"/>
    </row>
    <row r="201" spans="1:28">
      <c r="A201" s="1206" t="s">
        <v>210</v>
      </c>
      <c r="B201" s="1204" t="s">
        <v>253</v>
      </c>
      <c r="C201" s="1262">
        <v>275579958</v>
      </c>
      <c r="D201" s="1260"/>
      <c r="E201" s="1260">
        <v>226001000</v>
      </c>
      <c r="F201" s="1260">
        <v>64062600</v>
      </c>
      <c r="G201" s="1262"/>
      <c r="H201" s="1260"/>
      <c r="I201" s="1355">
        <v>565643558</v>
      </c>
      <c r="J201" s="1261"/>
      <c r="K201" s="1260">
        <v>34078482</v>
      </c>
      <c r="L201" s="1260">
        <v>93452425</v>
      </c>
      <c r="M201" s="1260">
        <v>25014322</v>
      </c>
      <c r="N201" s="1260"/>
      <c r="O201" s="1355">
        <v>152545229</v>
      </c>
      <c r="P201" s="1259">
        <v>15798673</v>
      </c>
      <c r="Q201" s="1260"/>
      <c r="R201" s="1260"/>
      <c r="S201" s="1259">
        <v>15798673</v>
      </c>
      <c r="T201" s="1259"/>
      <c r="U201" s="1259"/>
      <c r="V201" s="1261"/>
      <c r="W201" s="1259"/>
      <c r="X201" s="1263">
        <v>733987460</v>
      </c>
      <c r="Y201"/>
      <c r="Z201"/>
      <c r="AA201"/>
      <c r="AB201"/>
    </row>
    <row r="202" spans="1:28" s="205" customFormat="1">
      <c r="A202" s="1207"/>
      <c r="B202" s="1205" t="s">
        <v>4</v>
      </c>
      <c r="C202" s="1267">
        <v>281543633</v>
      </c>
      <c r="D202" s="1268"/>
      <c r="E202" s="1268">
        <v>231355400</v>
      </c>
      <c r="F202" s="1268">
        <v>68863447</v>
      </c>
      <c r="G202" s="1267"/>
      <c r="H202" s="1268"/>
      <c r="I202" s="1352">
        <v>581762480</v>
      </c>
      <c r="J202" s="1266"/>
      <c r="K202" s="1268">
        <v>33754115.570510373</v>
      </c>
      <c r="L202" s="1268">
        <v>93712515.394802555</v>
      </c>
      <c r="M202" s="1268">
        <v>25966041.078660414</v>
      </c>
      <c r="N202" s="1268"/>
      <c r="O202" s="1352">
        <v>153432672.04397333</v>
      </c>
      <c r="P202" s="1264">
        <v>16599127.956026655</v>
      </c>
      <c r="Q202" s="1268"/>
      <c r="R202" s="1268"/>
      <c r="S202" s="1264">
        <v>16599127.956026655</v>
      </c>
      <c r="T202" s="1264"/>
      <c r="U202" s="1264"/>
      <c r="V202" s="1266"/>
      <c r="W202" s="1264"/>
      <c r="X202" s="1269">
        <v>751794280</v>
      </c>
      <c r="Y202"/>
      <c r="Z202"/>
      <c r="AA202"/>
      <c r="AB202"/>
    </row>
    <row r="203" spans="1:28" s="204" customFormat="1" ht="13.5" thickBot="1">
      <c r="A203" s="1207"/>
      <c r="B203" s="1205" t="s">
        <v>175</v>
      </c>
      <c r="C203" s="1281">
        <v>2.1640452532473353</v>
      </c>
      <c r="D203" s="1268">
        <v>0</v>
      </c>
      <c r="E203" s="1268">
        <v>2.3691930566678909</v>
      </c>
      <c r="F203" s="1268">
        <v>7.4939933752298531</v>
      </c>
      <c r="G203" s="1281">
        <v>0</v>
      </c>
      <c r="H203" s="1268">
        <v>0</v>
      </c>
      <c r="I203" s="1352">
        <v>2.8496606691665001</v>
      </c>
      <c r="J203" s="1266">
        <v>0</v>
      </c>
      <c r="K203" s="1268">
        <v>-0.95182182554266215</v>
      </c>
      <c r="L203" s="1268">
        <v>0.27831315752646918</v>
      </c>
      <c r="M203" s="1268">
        <v>3.8046966800076119</v>
      </c>
      <c r="N203" s="1268">
        <v>0</v>
      </c>
      <c r="O203" s="1352">
        <v>0.58175732521490819</v>
      </c>
      <c r="P203" s="1264">
        <v>5.0665961377050763</v>
      </c>
      <c r="Q203" s="1268">
        <v>0</v>
      </c>
      <c r="R203" s="1268">
        <v>0</v>
      </c>
      <c r="S203" s="1264">
        <v>5.0665961377050763</v>
      </c>
      <c r="T203" s="1264">
        <v>0</v>
      </c>
      <c r="U203" s="1264">
        <v>0</v>
      </c>
      <c r="V203" s="1266">
        <v>0</v>
      </c>
      <c r="W203" s="1264">
        <v>0</v>
      </c>
      <c r="X203" s="1269">
        <v>2.4260387227868989</v>
      </c>
      <c r="Y203"/>
      <c r="Z203"/>
      <c r="AA203"/>
      <c r="AB203"/>
    </row>
    <row r="204" spans="1:28">
      <c r="A204" s="1207"/>
      <c r="B204" s="1205" t="s">
        <v>269</v>
      </c>
      <c r="C204" s="1267">
        <v>80295542</v>
      </c>
      <c r="D204" s="1262"/>
      <c r="E204" s="1262">
        <v>6251500</v>
      </c>
      <c r="F204" s="1340">
        <v>7330900</v>
      </c>
      <c r="G204" s="1268"/>
      <c r="H204" s="1268"/>
      <c r="I204" s="1352">
        <v>93877942</v>
      </c>
      <c r="J204" s="1266"/>
      <c r="K204" s="1268"/>
      <c r="L204" s="1268"/>
      <c r="M204" s="1268"/>
      <c r="N204" s="1268"/>
      <c r="O204" s="1352"/>
      <c r="P204" s="1264"/>
      <c r="Q204" s="1268"/>
      <c r="R204" s="1268"/>
      <c r="S204" s="1264"/>
      <c r="T204" s="1264"/>
      <c r="U204" s="1264"/>
      <c r="V204" s="1266">
        <v>62008700</v>
      </c>
      <c r="W204" s="1264">
        <v>62008700</v>
      </c>
      <c r="X204" s="1269">
        <v>155886642</v>
      </c>
      <c r="Y204"/>
      <c r="Z204"/>
      <c r="AA204"/>
      <c r="AB204"/>
    </row>
    <row r="205" spans="1:28" s="205" customFormat="1">
      <c r="A205" s="1207"/>
      <c r="B205" s="1205" t="s">
        <v>342</v>
      </c>
      <c r="C205" s="1267">
        <v>80976567</v>
      </c>
      <c r="D205" s="1267"/>
      <c r="E205" s="1267">
        <v>6635400</v>
      </c>
      <c r="F205" s="1340">
        <v>4068453</v>
      </c>
      <c r="G205" s="1268"/>
      <c r="H205" s="1268"/>
      <c r="I205" s="1352">
        <v>91680420</v>
      </c>
      <c r="J205" s="1266"/>
      <c r="K205" s="1268"/>
      <c r="L205" s="1268"/>
      <c r="M205" s="1268"/>
      <c r="N205" s="1268"/>
      <c r="O205" s="1352"/>
      <c r="P205" s="1264"/>
      <c r="Q205" s="1268"/>
      <c r="R205" s="1268"/>
      <c r="S205" s="1264"/>
      <c r="T205" s="1264"/>
      <c r="U205" s="1264"/>
      <c r="V205" s="1266">
        <v>54439100</v>
      </c>
      <c r="W205" s="1264">
        <v>54439100</v>
      </c>
      <c r="X205" s="1269">
        <v>146119520</v>
      </c>
      <c r="Y205"/>
      <c r="Z205"/>
      <c r="AA205"/>
      <c r="AB205"/>
    </row>
    <row r="206" spans="1:28" s="204" customFormat="1" ht="13.5" thickBot="1">
      <c r="A206" s="1207"/>
      <c r="B206" s="1205" t="s">
        <v>344</v>
      </c>
      <c r="C206" s="1281">
        <v>0.84814795820171429</v>
      </c>
      <c r="D206" s="1281">
        <v>0</v>
      </c>
      <c r="E206" s="1281">
        <v>6.1409261777173478</v>
      </c>
      <c r="F206" s="1340">
        <v>-44.502680434871571</v>
      </c>
      <c r="G206" s="1268">
        <v>0</v>
      </c>
      <c r="H206" s="1268">
        <v>0</v>
      </c>
      <c r="I206" s="1352">
        <v>-2.3408289031304075</v>
      </c>
      <c r="J206" s="1266">
        <v>0</v>
      </c>
      <c r="K206" s="1268">
        <v>0</v>
      </c>
      <c r="L206" s="1268">
        <v>0</v>
      </c>
      <c r="M206" s="1268">
        <v>0</v>
      </c>
      <c r="N206" s="1268">
        <v>0</v>
      </c>
      <c r="O206" s="1352">
        <v>0</v>
      </c>
      <c r="P206" s="1264">
        <v>0</v>
      </c>
      <c r="Q206" s="1268">
        <v>0</v>
      </c>
      <c r="R206" s="1268">
        <v>0</v>
      </c>
      <c r="S206" s="1264">
        <v>0</v>
      </c>
      <c r="T206" s="1264">
        <v>0</v>
      </c>
      <c r="U206" s="1264">
        <v>0</v>
      </c>
      <c r="V206" s="1266">
        <v>-12.207319295518209</v>
      </c>
      <c r="W206" s="1264">
        <v>-12.207319295518209</v>
      </c>
      <c r="X206" s="1269">
        <v>-6.2655285114166483</v>
      </c>
      <c r="Y206"/>
      <c r="Z206"/>
      <c r="AA206"/>
      <c r="AB206"/>
    </row>
    <row r="207" spans="1:28">
      <c r="A207" s="1207"/>
      <c r="B207" s="1205" t="s">
        <v>5</v>
      </c>
      <c r="C207" s="1264"/>
      <c r="D207" s="1268"/>
      <c r="E207" s="1268"/>
      <c r="F207" s="1268"/>
      <c r="G207" s="1268"/>
      <c r="H207" s="1268"/>
      <c r="I207" s="1352"/>
      <c r="J207" s="1266"/>
      <c r="K207" s="1268"/>
      <c r="L207" s="1268"/>
      <c r="M207" s="1268"/>
      <c r="N207" s="1268"/>
      <c r="O207" s="1352"/>
      <c r="P207" s="1264"/>
      <c r="Q207" s="1268"/>
      <c r="R207" s="1268"/>
      <c r="S207" s="1264"/>
      <c r="T207" s="1264"/>
      <c r="U207" s="1264"/>
      <c r="V207" s="1266"/>
      <c r="W207" s="1264"/>
      <c r="X207" s="1269"/>
      <c r="Y207"/>
      <c r="Z207"/>
      <c r="AA207"/>
      <c r="AB207"/>
    </row>
    <row r="208" spans="1:28" s="205" customFormat="1">
      <c r="A208" s="1207"/>
      <c r="B208" s="1205" t="s">
        <v>6</v>
      </c>
      <c r="C208" s="1264"/>
      <c r="D208" s="1268"/>
      <c r="E208" s="1268"/>
      <c r="F208" s="1268"/>
      <c r="G208" s="1268"/>
      <c r="H208" s="1268"/>
      <c r="I208" s="1352"/>
      <c r="J208" s="1266"/>
      <c r="K208" s="1268"/>
      <c r="L208" s="1268"/>
      <c r="M208" s="1268"/>
      <c r="N208" s="1268"/>
      <c r="O208" s="1352"/>
      <c r="P208" s="1264"/>
      <c r="Q208" s="1268"/>
      <c r="R208" s="1268"/>
      <c r="S208" s="1264"/>
      <c r="T208" s="1264"/>
      <c r="U208" s="1264"/>
      <c r="V208" s="1266"/>
      <c r="W208" s="1264"/>
      <c r="X208" s="1269"/>
      <c r="Y208"/>
      <c r="Z208"/>
      <c r="AA208"/>
      <c r="AB208"/>
    </row>
    <row r="209" spans="1:28" s="204" customFormat="1" ht="13.5" thickBot="1">
      <c r="A209" s="1207"/>
      <c r="B209" s="1205" t="s">
        <v>426</v>
      </c>
      <c r="C209" s="1264">
        <v>0</v>
      </c>
      <c r="D209" s="1268">
        <v>0</v>
      </c>
      <c r="E209" s="1268">
        <v>0</v>
      </c>
      <c r="F209" s="1268">
        <v>0</v>
      </c>
      <c r="G209" s="1268">
        <v>0</v>
      </c>
      <c r="H209" s="1268">
        <v>0</v>
      </c>
      <c r="I209" s="1352">
        <v>0</v>
      </c>
      <c r="J209" s="1266">
        <v>0</v>
      </c>
      <c r="K209" s="1268">
        <v>0</v>
      </c>
      <c r="L209" s="1268">
        <v>0</v>
      </c>
      <c r="M209" s="1268">
        <v>0</v>
      </c>
      <c r="N209" s="1268">
        <v>0</v>
      </c>
      <c r="O209" s="1352">
        <v>0</v>
      </c>
      <c r="P209" s="1264">
        <v>0</v>
      </c>
      <c r="Q209" s="1268">
        <v>0</v>
      </c>
      <c r="R209" s="1268">
        <v>0</v>
      </c>
      <c r="S209" s="1264">
        <v>0</v>
      </c>
      <c r="T209" s="1264">
        <v>0</v>
      </c>
      <c r="U209" s="1264">
        <v>0</v>
      </c>
      <c r="V209" s="1266">
        <v>0</v>
      </c>
      <c r="W209" s="1264">
        <v>0</v>
      </c>
      <c r="X209" s="1269">
        <v>0</v>
      </c>
      <c r="Y209"/>
      <c r="Z209"/>
      <c r="AA209"/>
      <c r="AB209"/>
    </row>
    <row r="210" spans="1:28">
      <c r="A210" s="1207"/>
      <c r="B210" s="1205" t="s">
        <v>322</v>
      </c>
      <c r="C210" s="1262">
        <v>423320508</v>
      </c>
      <c r="D210" s="1268"/>
      <c r="E210" s="1262">
        <v>392378400</v>
      </c>
      <c r="F210" s="1268">
        <v>132730800</v>
      </c>
      <c r="G210" s="1277"/>
      <c r="H210" s="1268"/>
      <c r="I210" s="1352">
        <v>948429708</v>
      </c>
      <c r="J210" s="1266"/>
      <c r="K210" s="1268">
        <v>61489800</v>
      </c>
      <c r="L210" s="1340">
        <v>91107000</v>
      </c>
      <c r="M210" s="1340">
        <v>18837500</v>
      </c>
      <c r="N210" s="1268"/>
      <c r="O210" s="1352">
        <v>171434300</v>
      </c>
      <c r="P210" s="1339">
        <v>12185300</v>
      </c>
      <c r="Q210" s="1268"/>
      <c r="R210" s="1268"/>
      <c r="S210" s="1264">
        <v>12185300</v>
      </c>
      <c r="T210" s="1264"/>
      <c r="U210" s="1264"/>
      <c r="V210" s="1266"/>
      <c r="W210" s="1264"/>
      <c r="X210" s="1269">
        <v>1132049308</v>
      </c>
      <c r="Y210"/>
      <c r="Z210"/>
      <c r="AA210"/>
      <c r="AB210"/>
    </row>
    <row r="211" spans="1:28" s="205" customFormat="1">
      <c r="A211" s="1207"/>
      <c r="B211" s="1205" t="s">
        <v>22</v>
      </c>
      <c r="C211" s="1267">
        <v>448127608</v>
      </c>
      <c r="D211" s="1268"/>
      <c r="E211" s="1267">
        <v>416337200</v>
      </c>
      <c r="F211" s="1268">
        <v>136648572</v>
      </c>
      <c r="G211" s="1279"/>
      <c r="H211" s="1268"/>
      <c r="I211" s="1352">
        <v>1001113380</v>
      </c>
      <c r="J211" s="1266"/>
      <c r="K211" s="1268">
        <v>68580400</v>
      </c>
      <c r="L211" s="1340">
        <v>120986800</v>
      </c>
      <c r="M211" s="1340">
        <v>23998800</v>
      </c>
      <c r="N211" s="1268"/>
      <c r="O211" s="1352">
        <v>213566000</v>
      </c>
      <c r="P211" s="1339">
        <v>17957600</v>
      </c>
      <c r="Q211" s="1268"/>
      <c r="R211" s="1268"/>
      <c r="S211" s="1264">
        <v>17957600</v>
      </c>
      <c r="T211" s="1264"/>
      <c r="U211" s="1264"/>
      <c r="V211" s="1266"/>
      <c r="W211" s="1264"/>
      <c r="X211" s="1269">
        <v>1232636980</v>
      </c>
      <c r="Y211"/>
      <c r="Z211"/>
      <c r="AA211"/>
      <c r="AB211"/>
    </row>
    <row r="212" spans="1:28" s="204" customFormat="1" ht="13.5" thickBot="1">
      <c r="A212" s="1207"/>
      <c r="B212" s="1205" t="s">
        <v>375</v>
      </c>
      <c r="C212" s="1281">
        <v>5.860122420527758</v>
      </c>
      <c r="D212" s="1268">
        <v>0</v>
      </c>
      <c r="E212" s="1281">
        <v>6.106044573299652</v>
      </c>
      <c r="F212" s="1268">
        <v>2.9516675858203221</v>
      </c>
      <c r="G212" s="1283">
        <v>0</v>
      </c>
      <c r="H212" s="1268">
        <v>0</v>
      </c>
      <c r="I212" s="1352">
        <v>5.5548314815123865</v>
      </c>
      <c r="J212" s="1266">
        <v>0</v>
      </c>
      <c r="K212" s="1268">
        <v>11.5313434098013</v>
      </c>
      <c r="L212" s="1340">
        <v>32.796382275785611</v>
      </c>
      <c r="M212" s="1335">
        <v>27.399071001990709</v>
      </c>
      <c r="N212" s="1268">
        <v>0</v>
      </c>
      <c r="O212" s="1352">
        <v>24.576003751874627</v>
      </c>
      <c r="P212" s="1339">
        <v>47.37101261355896</v>
      </c>
      <c r="Q212" s="1268">
        <v>0</v>
      </c>
      <c r="R212" s="1268">
        <v>0</v>
      </c>
      <c r="S212" s="1264">
        <v>47.37101261355896</v>
      </c>
      <c r="T212" s="1264">
        <v>0</v>
      </c>
      <c r="U212" s="1264">
        <v>0</v>
      </c>
      <c r="V212" s="1266">
        <v>0</v>
      </c>
      <c r="W212" s="1264">
        <v>0</v>
      </c>
      <c r="X212" s="1269">
        <v>8.8854497139977937</v>
      </c>
      <c r="Y212"/>
      <c r="Z212"/>
      <c r="AA212"/>
      <c r="AB212"/>
    </row>
    <row r="213" spans="1:28">
      <c r="A213" s="1207"/>
      <c r="B213" s="1205" t="s">
        <v>324</v>
      </c>
      <c r="C213" s="1264"/>
      <c r="D213" s="1268"/>
      <c r="E213" s="1268"/>
      <c r="F213" s="1268"/>
      <c r="G213" s="1268"/>
      <c r="H213" s="1268"/>
      <c r="I213" s="1352"/>
      <c r="J213" s="1266"/>
      <c r="K213" s="1268"/>
      <c r="L213" s="1268"/>
      <c r="M213" s="1268"/>
      <c r="N213" s="1268"/>
      <c r="O213" s="1352"/>
      <c r="P213" s="1264"/>
      <c r="Q213" s="1268"/>
      <c r="R213" s="1268"/>
      <c r="S213" s="1264"/>
      <c r="T213" s="1264"/>
      <c r="U213" s="1264"/>
      <c r="V213" s="1266"/>
      <c r="W213" s="1264"/>
      <c r="X213" s="1269"/>
      <c r="Y213"/>
      <c r="Z213"/>
      <c r="AA213"/>
      <c r="AB213"/>
    </row>
    <row r="214" spans="1:28" s="205" customFormat="1">
      <c r="A214" s="1207"/>
      <c r="B214" s="1205" t="s">
        <v>226</v>
      </c>
      <c r="C214" s="1264"/>
      <c r="D214" s="1268"/>
      <c r="E214" s="1268"/>
      <c r="F214" s="1268"/>
      <c r="G214" s="1268"/>
      <c r="H214" s="1268"/>
      <c r="I214" s="1352"/>
      <c r="J214" s="1266"/>
      <c r="K214" s="1268"/>
      <c r="L214" s="1268"/>
      <c r="M214" s="1268"/>
      <c r="N214" s="1268"/>
      <c r="O214" s="1352"/>
      <c r="P214" s="1264"/>
      <c r="Q214" s="1268"/>
      <c r="R214" s="1268"/>
      <c r="S214" s="1264"/>
      <c r="T214" s="1264"/>
      <c r="U214" s="1264"/>
      <c r="V214" s="1266"/>
      <c r="W214" s="1264"/>
      <c r="X214" s="1269"/>
      <c r="Y214"/>
      <c r="Z214"/>
      <c r="AA214"/>
      <c r="AB214"/>
    </row>
    <row r="215" spans="1:28" s="204" customFormat="1">
      <c r="A215" s="1207"/>
      <c r="B215" s="1205" t="s">
        <v>236</v>
      </c>
      <c r="C215" s="1264">
        <v>0</v>
      </c>
      <c r="D215" s="1268">
        <v>0</v>
      </c>
      <c r="E215" s="1268">
        <v>0</v>
      </c>
      <c r="F215" s="1268">
        <v>0</v>
      </c>
      <c r="G215" s="1268">
        <v>0</v>
      </c>
      <c r="H215" s="1268">
        <v>0</v>
      </c>
      <c r="I215" s="1352">
        <v>0</v>
      </c>
      <c r="J215" s="1266">
        <v>0</v>
      </c>
      <c r="K215" s="1268">
        <v>0</v>
      </c>
      <c r="L215" s="1268">
        <v>0</v>
      </c>
      <c r="M215" s="1268">
        <v>0</v>
      </c>
      <c r="N215" s="1268">
        <v>0</v>
      </c>
      <c r="O215" s="1352">
        <v>0</v>
      </c>
      <c r="P215" s="1264">
        <v>0</v>
      </c>
      <c r="Q215" s="1268">
        <v>0</v>
      </c>
      <c r="R215" s="1268">
        <v>0</v>
      </c>
      <c r="S215" s="1264">
        <v>0</v>
      </c>
      <c r="T215" s="1264">
        <v>0</v>
      </c>
      <c r="U215" s="1264">
        <v>0</v>
      </c>
      <c r="V215" s="1266">
        <v>0</v>
      </c>
      <c r="W215" s="1264">
        <v>0</v>
      </c>
      <c r="X215" s="1269">
        <v>0</v>
      </c>
      <c r="Y215"/>
      <c r="Z215"/>
      <c r="AA215"/>
      <c r="AB215"/>
    </row>
    <row r="216" spans="1:28">
      <c r="A216" s="1207"/>
      <c r="B216" s="1205" t="s">
        <v>449</v>
      </c>
      <c r="C216" s="1264">
        <v>423320508</v>
      </c>
      <c r="D216" s="1268"/>
      <c r="E216" s="1268">
        <v>392378400</v>
      </c>
      <c r="F216" s="1268">
        <v>132730800</v>
      </c>
      <c r="G216" s="1268"/>
      <c r="H216" s="1268"/>
      <c r="I216" s="1352">
        <v>948429708</v>
      </c>
      <c r="J216" s="1266"/>
      <c r="K216" s="1268">
        <v>61489800</v>
      </c>
      <c r="L216" s="1268">
        <v>91107000</v>
      </c>
      <c r="M216" s="1268">
        <v>18837500</v>
      </c>
      <c r="N216" s="1268"/>
      <c r="O216" s="1352">
        <v>171434300</v>
      </c>
      <c r="P216" s="1264">
        <v>12185300</v>
      </c>
      <c r="Q216" s="1268"/>
      <c r="R216" s="1268"/>
      <c r="S216" s="1264">
        <v>12185300</v>
      </c>
      <c r="T216" s="1264"/>
      <c r="U216" s="1264"/>
      <c r="V216" s="1266">
        <v>0</v>
      </c>
      <c r="W216" s="1264">
        <v>0</v>
      </c>
      <c r="X216" s="1269">
        <v>1132049308</v>
      </c>
      <c r="Y216"/>
      <c r="Z216"/>
      <c r="AA216"/>
      <c r="AB216"/>
    </row>
    <row r="217" spans="1:28" s="205" customFormat="1">
      <c r="A217" s="1207"/>
      <c r="B217" s="1205" t="s">
        <v>109</v>
      </c>
      <c r="C217" s="1264">
        <v>448127608</v>
      </c>
      <c r="D217" s="1268"/>
      <c r="E217" s="1268">
        <v>416337200</v>
      </c>
      <c r="F217" s="1268">
        <v>136648572</v>
      </c>
      <c r="G217" s="1268"/>
      <c r="H217" s="1268"/>
      <c r="I217" s="1352">
        <v>1001113380</v>
      </c>
      <c r="J217" s="1266"/>
      <c r="K217" s="1268">
        <v>68580400</v>
      </c>
      <c r="L217" s="1268">
        <v>120986800</v>
      </c>
      <c r="M217" s="1268">
        <v>23998800</v>
      </c>
      <c r="N217" s="1268"/>
      <c r="O217" s="1352">
        <v>213566000</v>
      </c>
      <c r="P217" s="1264">
        <v>17957600</v>
      </c>
      <c r="Q217" s="1268"/>
      <c r="R217" s="1268"/>
      <c r="S217" s="1264">
        <v>17957600</v>
      </c>
      <c r="T217" s="1264"/>
      <c r="U217" s="1264"/>
      <c r="V217" s="1266">
        <v>0</v>
      </c>
      <c r="W217" s="1264">
        <v>0</v>
      </c>
      <c r="X217" s="1269">
        <v>1232636980</v>
      </c>
      <c r="Y217"/>
      <c r="Z217"/>
      <c r="AA217"/>
      <c r="AB217"/>
    </row>
    <row r="218" spans="1:28" s="204" customFormat="1" ht="13.5" thickBot="1">
      <c r="A218" s="1207"/>
      <c r="B218" s="1205" t="s">
        <v>83</v>
      </c>
      <c r="C218" s="1264">
        <v>5.860122420527758</v>
      </c>
      <c r="D218" s="1268">
        <v>0</v>
      </c>
      <c r="E218" s="1268">
        <v>6.106044573299652</v>
      </c>
      <c r="F218" s="1268">
        <v>2.9516675858203221</v>
      </c>
      <c r="G218" s="1268">
        <v>0</v>
      </c>
      <c r="H218" s="1268">
        <v>0</v>
      </c>
      <c r="I218" s="1352">
        <v>5.5548314815123865</v>
      </c>
      <c r="J218" s="1266">
        <v>0</v>
      </c>
      <c r="K218" s="1268">
        <v>11.5313434098013</v>
      </c>
      <c r="L218" s="1268">
        <v>32.796382275785611</v>
      </c>
      <c r="M218" s="1268">
        <v>27.399071001990709</v>
      </c>
      <c r="N218" s="1268">
        <v>0</v>
      </c>
      <c r="O218" s="1352">
        <v>24.576003751874627</v>
      </c>
      <c r="P218" s="1264">
        <v>47.37101261355896</v>
      </c>
      <c r="Q218" s="1268">
        <v>0</v>
      </c>
      <c r="R218" s="1268">
        <v>0</v>
      </c>
      <c r="S218" s="1264">
        <v>47.37101261355896</v>
      </c>
      <c r="T218" s="1264">
        <v>0</v>
      </c>
      <c r="U218" s="1264">
        <v>0</v>
      </c>
      <c r="V218" s="1266">
        <v>0</v>
      </c>
      <c r="W218" s="1264">
        <v>0</v>
      </c>
      <c r="X218" s="1269">
        <v>8.8854497139977937</v>
      </c>
      <c r="Y218"/>
      <c r="Z218"/>
      <c r="AA218"/>
      <c r="AB218"/>
    </row>
    <row r="219" spans="1:28">
      <c r="A219" s="1207"/>
      <c r="B219" s="1205" t="s">
        <v>111</v>
      </c>
      <c r="C219" s="1264"/>
      <c r="D219" s="1268"/>
      <c r="E219" s="1268"/>
      <c r="F219" s="1268"/>
      <c r="G219" s="1268"/>
      <c r="H219" s="1268"/>
      <c r="I219" s="1352"/>
      <c r="J219" s="1266"/>
      <c r="K219" s="1268"/>
      <c r="L219" s="1268"/>
      <c r="M219" s="1268"/>
      <c r="N219" s="1268"/>
      <c r="O219" s="1352"/>
      <c r="P219" s="1264"/>
      <c r="Q219" s="1268"/>
      <c r="R219" s="1268"/>
      <c r="S219" s="1264"/>
      <c r="T219" s="1264"/>
      <c r="U219" s="1264"/>
      <c r="V219" s="1266">
        <v>208531295</v>
      </c>
      <c r="W219" s="1262">
        <v>208531295</v>
      </c>
      <c r="X219" s="1269">
        <v>208531295</v>
      </c>
      <c r="Y219"/>
      <c r="Z219"/>
      <c r="AA219"/>
      <c r="AB219"/>
    </row>
    <row r="220" spans="1:28" s="205" customFormat="1">
      <c r="A220" s="1207"/>
      <c r="B220" s="1205" t="s">
        <v>113</v>
      </c>
      <c r="C220" s="1264"/>
      <c r="D220" s="1268"/>
      <c r="E220" s="1268"/>
      <c r="F220" s="1268"/>
      <c r="G220" s="1268"/>
      <c r="H220" s="1268"/>
      <c r="I220" s="1352"/>
      <c r="J220" s="1266"/>
      <c r="K220" s="1268"/>
      <c r="L220" s="1268"/>
      <c r="M220" s="1268"/>
      <c r="N220" s="1268"/>
      <c r="O220" s="1352"/>
      <c r="P220" s="1264"/>
      <c r="Q220" s="1268"/>
      <c r="R220" s="1268"/>
      <c r="S220" s="1264"/>
      <c r="T220" s="1264"/>
      <c r="U220" s="1264"/>
      <c r="V220" s="1266">
        <v>215818616</v>
      </c>
      <c r="W220" s="1267">
        <v>215818616</v>
      </c>
      <c r="X220" s="1269">
        <v>215818616</v>
      </c>
      <c r="Y220"/>
      <c r="Z220"/>
      <c r="AA220"/>
      <c r="AB220"/>
    </row>
    <row r="221" spans="1:28" s="204" customFormat="1" ht="13.5" thickBot="1">
      <c r="A221" s="1207"/>
      <c r="B221" s="1205" t="s">
        <v>115</v>
      </c>
      <c r="C221" s="1264">
        <v>0</v>
      </c>
      <c r="D221" s="1268">
        <v>0</v>
      </c>
      <c r="E221" s="1268">
        <v>0</v>
      </c>
      <c r="F221" s="1268">
        <v>0</v>
      </c>
      <c r="G221" s="1268">
        <v>0</v>
      </c>
      <c r="H221" s="1268">
        <v>0</v>
      </c>
      <c r="I221" s="1352">
        <v>0</v>
      </c>
      <c r="J221" s="1266">
        <v>0</v>
      </c>
      <c r="K221" s="1268">
        <v>0</v>
      </c>
      <c r="L221" s="1268">
        <v>0</v>
      </c>
      <c r="M221" s="1268">
        <v>0</v>
      </c>
      <c r="N221" s="1268">
        <v>0</v>
      </c>
      <c r="O221" s="1352">
        <v>0</v>
      </c>
      <c r="P221" s="1264">
        <v>0</v>
      </c>
      <c r="Q221" s="1268">
        <v>0</v>
      </c>
      <c r="R221" s="1268">
        <v>0</v>
      </c>
      <c r="S221" s="1264">
        <v>0</v>
      </c>
      <c r="T221" s="1264">
        <v>0</v>
      </c>
      <c r="U221" s="1264">
        <v>0</v>
      </c>
      <c r="V221" s="1266">
        <v>3.4945934613795018</v>
      </c>
      <c r="W221" s="1281">
        <v>3.4945934613795018</v>
      </c>
      <c r="X221" s="1269">
        <v>3.4945934613795018</v>
      </c>
      <c r="Y221"/>
      <c r="Z221"/>
      <c r="AA221"/>
      <c r="AB221"/>
    </row>
    <row r="222" spans="1:28">
      <c r="A222" s="1207"/>
      <c r="B222" s="1205" t="s">
        <v>339</v>
      </c>
      <c r="C222" s="1264"/>
      <c r="D222" s="1268"/>
      <c r="E222" s="1268"/>
      <c r="F222" s="1268"/>
      <c r="G222" s="1268"/>
      <c r="H222" s="1268"/>
      <c r="I222" s="1352"/>
      <c r="J222" s="1266"/>
      <c r="K222" s="1268"/>
      <c r="L222" s="1268"/>
      <c r="M222" s="1268"/>
      <c r="N222" s="1268"/>
      <c r="O222" s="1352"/>
      <c r="P222" s="1264"/>
      <c r="Q222" s="1268"/>
      <c r="R222" s="1268"/>
      <c r="S222" s="1264"/>
      <c r="T222" s="1264"/>
      <c r="U222" s="1264"/>
      <c r="V222" s="1266"/>
      <c r="W222" s="1264"/>
      <c r="X222" s="1269"/>
      <c r="Y222"/>
      <c r="Z222"/>
      <c r="AA222"/>
      <c r="AB222"/>
    </row>
    <row r="223" spans="1:28" s="205" customFormat="1">
      <c r="A223" s="1207"/>
      <c r="B223" s="1205" t="s">
        <v>223</v>
      </c>
      <c r="C223" s="1264"/>
      <c r="D223" s="1268"/>
      <c r="E223" s="1268"/>
      <c r="F223" s="1268"/>
      <c r="G223" s="1268"/>
      <c r="H223" s="1268"/>
      <c r="I223" s="1352"/>
      <c r="J223" s="1266"/>
      <c r="K223" s="1268"/>
      <c r="L223" s="1268"/>
      <c r="M223" s="1268"/>
      <c r="N223" s="1268"/>
      <c r="O223" s="1352"/>
      <c r="P223" s="1264"/>
      <c r="Q223" s="1268"/>
      <c r="R223" s="1268"/>
      <c r="S223" s="1264"/>
      <c r="T223" s="1264"/>
      <c r="U223" s="1264"/>
      <c r="V223" s="1266"/>
      <c r="W223" s="1264"/>
      <c r="X223" s="1269"/>
      <c r="Y223"/>
      <c r="Z223"/>
      <c r="AA223"/>
      <c r="AB223"/>
    </row>
    <row r="224" spans="1:28" s="204" customFormat="1">
      <c r="A224" s="1207"/>
      <c r="B224" s="1205" t="s">
        <v>85</v>
      </c>
      <c r="C224" s="1264">
        <v>0</v>
      </c>
      <c r="D224" s="1268">
        <v>0</v>
      </c>
      <c r="E224" s="1268">
        <v>0</v>
      </c>
      <c r="F224" s="1268">
        <v>0</v>
      </c>
      <c r="G224" s="1268">
        <v>0</v>
      </c>
      <c r="H224" s="1268">
        <v>0</v>
      </c>
      <c r="I224" s="1352">
        <v>0</v>
      </c>
      <c r="J224" s="1266">
        <v>0</v>
      </c>
      <c r="K224" s="1268">
        <v>0</v>
      </c>
      <c r="L224" s="1268">
        <v>0</v>
      </c>
      <c r="M224" s="1268">
        <v>0</v>
      </c>
      <c r="N224" s="1268">
        <v>0</v>
      </c>
      <c r="O224" s="1352">
        <v>0</v>
      </c>
      <c r="P224" s="1264">
        <v>0</v>
      </c>
      <c r="Q224" s="1268">
        <v>0</v>
      </c>
      <c r="R224" s="1268">
        <v>0</v>
      </c>
      <c r="S224" s="1264">
        <v>0</v>
      </c>
      <c r="T224" s="1264">
        <v>0</v>
      </c>
      <c r="U224" s="1264">
        <v>0</v>
      </c>
      <c r="V224" s="1266">
        <v>0</v>
      </c>
      <c r="W224" s="1264">
        <v>0</v>
      </c>
      <c r="X224" s="1269">
        <v>0</v>
      </c>
      <c r="Y224"/>
      <c r="Z224"/>
      <c r="AA224"/>
      <c r="AB224"/>
    </row>
    <row r="225" spans="1:28">
      <c r="A225" s="1207"/>
      <c r="B225" s="1205" t="s">
        <v>219</v>
      </c>
      <c r="C225" s="1264"/>
      <c r="D225" s="1268"/>
      <c r="E225" s="1268"/>
      <c r="F225" s="1268"/>
      <c r="G225" s="1268"/>
      <c r="H225" s="1268"/>
      <c r="I225" s="1352"/>
      <c r="J225" s="1266"/>
      <c r="K225" s="1268"/>
      <c r="L225" s="1268"/>
      <c r="M225" s="1268"/>
      <c r="N225" s="1268"/>
      <c r="O225" s="1352"/>
      <c r="P225" s="1264"/>
      <c r="Q225" s="1268"/>
      <c r="R225" s="1268"/>
      <c r="S225" s="1264"/>
      <c r="T225" s="1264"/>
      <c r="U225" s="1264"/>
      <c r="V225" s="1266"/>
      <c r="W225" s="1264"/>
      <c r="X225" s="1269"/>
      <c r="Y225"/>
      <c r="Z225"/>
      <c r="AA225"/>
      <c r="AB225"/>
    </row>
    <row r="226" spans="1:28" s="205" customFormat="1">
      <c r="A226" s="1207"/>
      <c r="B226" s="1205" t="s">
        <v>141</v>
      </c>
      <c r="C226" s="1264"/>
      <c r="D226" s="1268"/>
      <c r="E226" s="1268"/>
      <c r="F226" s="1268"/>
      <c r="G226" s="1268"/>
      <c r="H226" s="1268"/>
      <c r="I226" s="1352"/>
      <c r="J226" s="1266"/>
      <c r="K226" s="1268"/>
      <c r="L226" s="1268"/>
      <c r="M226" s="1268"/>
      <c r="N226" s="1268"/>
      <c r="O226" s="1352"/>
      <c r="P226" s="1264"/>
      <c r="Q226" s="1268"/>
      <c r="R226" s="1268"/>
      <c r="S226" s="1264"/>
      <c r="T226" s="1264"/>
      <c r="U226" s="1264"/>
      <c r="V226" s="1266"/>
      <c r="W226" s="1264"/>
      <c r="X226" s="1269"/>
      <c r="Y226"/>
      <c r="Z226"/>
      <c r="AA226"/>
      <c r="AB226"/>
    </row>
    <row r="227" spans="1:28" s="204" customFormat="1">
      <c r="A227" s="1207"/>
      <c r="B227" s="1205" t="s">
        <v>169</v>
      </c>
      <c r="C227" s="1264">
        <v>0</v>
      </c>
      <c r="D227" s="1268">
        <v>0</v>
      </c>
      <c r="E227" s="1268">
        <v>0</v>
      </c>
      <c r="F227" s="1268">
        <v>0</v>
      </c>
      <c r="G227" s="1268">
        <v>0</v>
      </c>
      <c r="H227" s="1268">
        <v>0</v>
      </c>
      <c r="I227" s="1352">
        <v>0</v>
      </c>
      <c r="J227" s="1266">
        <v>0</v>
      </c>
      <c r="K227" s="1268">
        <v>0</v>
      </c>
      <c r="L227" s="1268">
        <v>0</v>
      </c>
      <c r="M227" s="1268">
        <v>0</v>
      </c>
      <c r="N227" s="1268">
        <v>0</v>
      </c>
      <c r="O227" s="1352">
        <v>0</v>
      </c>
      <c r="P227" s="1264">
        <v>0</v>
      </c>
      <c r="Q227" s="1268">
        <v>0</v>
      </c>
      <c r="R227" s="1268">
        <v>0</v>
      </c>
      <c r="S227" s="1264">
        <v>0</v>
      </c>
      <c r="T227" s="1264">
        <v>0</v>
      </c>
      <c r="U227" s="1264">
        <v>0</v>
      </c>
      <c r="V227" s="1266">
        <v>0</v>
      </c>
      <c r="W227" s="1264">
        <v>0</v>
      </c>
      <c r="X227" s="1269">
        <v>0</v>
      </c>
      <c r="Y227"/>
      <c r="Z227"/>
      <c r="AA227"/>
      <c r="AB227"/>
    </row>
    <row r="228" spans="1:28">
      <c r="A228" s="1207"/>
      <c r="B228" s="1205" t="s">
        <v>221</v>
      </c>
      <c r="C228" s="1264">
        <v>0</v>
      </c>
      <c r="D228" s="1268"/>
      <c r="E228" s="1268">
        <v>0</v>
      </c>
      <c r="F228" s="1268">
        <v>0</v>
      </c>
      <c r="G228" s="1268"/>
      <c r="H228" s="1268"/>
      <c r="I228" s="1352">
        <v>0</v>
      </c>
      <c r="J228" s="1266"/>
      <c r="K228" s="1268">
        <v>0</v>
      </c>
      <c r="L228" s="1268">
        <v>0</v>
      </c>
      <c r="M228" s="1268">
        <v>0</v>
      </c>
      <c r="N228" s="1268"/>
      <c r="O228" s="1352">
        <v>0</v>
      </c>
      <c r="P228" s="1264">
        <v>0</v>
      </c>
      <c r="Q228" s="1268"/>
      <c r="R228" s="1268"/>
      <c r="S228" s="1264">
        <v>0</v>
      </c>
      <c r="T228" s="1264"/>
      <c r="U228" s="1264"/>
      <c r="V228" s="1266">
        <v>0</v>
      </c>
      <c r="W228" s="1264">
        <v>0</v>
      </c>
      <c r="X228" s="1269">
        <v>0</v>
      </c>
      <c r="Y228"/>
      <c r="Z228"/>
      <c r="AA228"/>
      <c r="AB228"/>
    </row>
    <row r="229" spans="1:28" s="205" customFormat="1">
      <c r="A229" s="1207"/>
      <c r="B229" s="1205" t="s">
        <v>143</v>
      </c>
      <c r="C229" s="1264">
        <v>0</v>
      </c>
      <c r="D229" s="1268"/>
      <c r="E229" s="1268">
        <v>0</v>
      </c>
      <c r="F229" s="1268">
        <v>0</v>
      </c>
      <c r="G229" s="1268"/>
      <c r="H229" s="1268"/>
      <c r="I229" s="1352">
        <v>0</v>
      </c>
      <c r="J229" s="1266"/>
      <c r="K229" s="1268">
        <v>0</v>
      </c>
      <c r="L229" s="1268">
        <v>0</v>
      </c>
      <c r="M229" s="1268">
        <v>0</v>
      </c>
      <c r="N229" s="1268"/>
      <c r="O229" s="1352">
        <v>0</v>
      </c>
      <c r="P229" s="1264">
        <v>0</v>
      </c>
      <c r="Q229" s="1268"/>
      <c r="R229" s="1268"/>
      <c r="S229" s="1264">
        <v>0</v>
      </c>
      <c r="T229" s="1264"/>
      <c r="U229" s="1264"/>
      <c r="V229" s="1266">
        <v>0</v>
      </c>
      <c r="W229" s="1264">
        <v>0</v>
      </c>
      <c r="X229" s="1269">
        <v>0</v>
      </c>
      <c r="Y229"/>
      <c r="Z229"/>
      <c r="AA229"/>
      <c r="AB229"/>
    </row>
    <row r="230" spans="1:28" s="204" customFormat="1" ht="13.5" thickBot="1">
      <c r="A230" s="1207"/>
      <c r="B230" s="1205" t="s">
        <v>245</v>
      </c>
      <c r="C230" s="1264">
        <v>0</v>
      </c>
      <c r="D230" s="1268">
        <v>0</v>
      </c>
      <c r="E230" s="1268">
        <v>0</v>
      </c>
      <c r="F230" s="1268">
        <v>0</v>
      </c>
      <c r="G230" s="1268">
        <v>0</v>
      </c>
      <c r="H230" s="1268">
        <v>0</v>
      </c>
      <c r="I230" s="1352">
        <v>0</v>
      </c>
      <c r="J230" s="1266">
        <v>0</v>
      </c>
      <c r="K230" s="1268">
        <v>0</v>
      </c>
      <c r="L230" s="1268">
        <v>0</v>
      </c>
      <c r="M230" s="1268">
        <v>0</v>
      </c>
      <c r="N230" s="1268">
        <v>0</v>
      </c>
      <c r="O230" s="1352">
        <v>0</v>
      </c>
      <c r="P230" s="1264">
        <v>0</v>
      </c>
      <c r="Q230" s="1268">
        <v>0</v>
      </c>
      <c r="R230" s="1268">
        <v>0</v>
      </c>
      <c r="S230" s="1264">
        <v>0</v>
      </c>
      <c r="T230" s="1264">
        <v>0</v>
      </c>
      <c r="U230" s="1264">
        <v>0</v>
      </c>
      <c r="V230" s="1266">
        <v>0</v>
      </c>
      <c r="W230" s="1264">
        <v>0</v>
      </c>
      <c r="X230" s="1269">
        <v>0</v>
      </c>
      <c r="Y230"/>
      <c r="Z230"/>
      <c r="AA230"/>
      <c r="AB230"/>
    </row>
    <row r="231" spans="1:28">
      <c r="A231" s="1207"/>
      <c r="B231" s="1205" t="s">
        <v>117</v>
      </c>
      <c r="C231" s="1264">
        <v>95876700</v>
      </c>
      <c r="D231" s="1262"/>
      <c r="E231" s="1268"/>
      <c r="F231" s="1268"/>
      <c r="G231" s="1268"/>
      <c r="H231" s="1268"/>
      <c r="I231" s="1352">
        <v>95876700</v>
      </c>
      <c r="J231" s="1266"/>
      <c r="K231" s="1268"/>
      <c r="L231" s="1268"/>
      <c r="M231" s="1268"/>
      <c r="N231" s="1268"/>
      <c r="O231" s="1352"/>
      <c r="P231" s="1264"/>
      <c r="Q231" s="1268"/>
      <c r="R231" s="1268"/>
      <c r="S231" s="1264"/>
      <c r="T231" s="1264"/>
      <c r="U231" s="1264"/>
      <c r="V231" s="1266"/>
      <c r="W231" s="1264"/>
      <c r="X231" s="1269">
        <v>95876700</v>
      </c>
      <c r="Y231"/>
      <c r="Z231"/>
      <c r="AA231"/>
      <c r="AB231"/>
    </row>
    <row r="232" spans="1:28" s="205" customFormat="1">
      <c r="A232" s="1207"/>
      <c r="B232" s="1205" t="s">
        <v>119</v>
      </c>
      <c r="C232" s="1264">
        <v>97527000</v>
      </c>
      <c r="D232" s="1267"/>
      <c r="E232" s="1268"/>
      <c r="F232" s="1268"/>
      <c r="G232" s="1268"/>
      <c r="H232" s="1268"/>
      <c r="I232" s="1352">
        <v>97527000</v>
      </c>
      <c r="J232" s="1266"/>
      <c r="K232" s="1268"/>
      <c r="L232" s="1268"/>
      <c r="M232" s="1268"/>
      <c r="N232" s="1268"/>
      <c r="O232" s="1352"/>
      <c r="P232" s="1264"/>
      <c r="Q232" s="1268"/>
      <c r="R232" s="1268"/>
      <c r="S232" s="1264"/>
      <c r="T232" s="1264"/>
      <c r="U232" s="1264"/>
      <c r="V232" s="1266"/>
      <c r="W232" s="1264"/>
      <c r="X232" s="1269">
        <v>97527000</v>
      </c>
      <c r="Y232"/>
      <c r="Z232"/>
      <c r="AA232"/>
      <c r="AB232"/>
    </row>
    <row r="233" spans="1:28" s="204" customFormat="1" ht="13.5" thickBot="1">
      <c r="A233" s="1207"/>
      <c r="B233" s="1205" t="s">
        <v>301</v>
      </c>
      <c r="C233" s="1264">
        <v>1.7212732603437542</v>
      </c>
      <c r="D233" s="1281">
        <v>0</v>
      </c>
      <c r="E233" s="1268">
        <v>0</v>
      </c>
      <c r="F233" s="1268">
        <v>0</v>
      </c>
      <c r="G233" s="1268">
        <v>0</v>
      </c>
      <c r="H233" s="1268">
        <v>0</v>
      </c>
      <c r="I233" s="1352">
        <v>1.7212732603437542</v>
      </c>
      <c r="J233" s="1266">
        <v>0</v>
      </c>
      <c r="K233" s="1268">
        <v>0</v>
      </c>
      <c r="L233" s="1268">
        <v>0</v>
      </c>
      <c r="M233" s="1268">
        <v>0</v>
      </c>
      <c r="N233" s="1268">
        <v>0</v>
      </c>
      <c r="O233" s="1352">
        <v>0</v>
      </c>
      <c r="P233" s="1264">
        <v>0</v>
      </c>
      <c r="Q233" s="1268">
        <v>0</v>
      </c>
      <c r="R233" s="1268">
        <v>0</v>
      </c>
      <c r="S233" s="1264">
        <v>0</v>
      </c>
      <c r="T233" s="1264">
        <v>0</v>
      </c>
      <c r="U233" s="1264">
        <v>0</v>
      </c>
      <c r="V233" s="1266">
        <v>0</v>
      </c>
      <c r="W233" s="1264">
        <v>0</v>
      </c>
      <c r="X233" s="1269">
        <v>1.7212732603437542</v>
      </c>
      <c r="Y233"/>
      <c r="Z233"/>
      <c r="AA233"/>
      <c r="AB233"/>
    </row>
    <row r="234" spans="1:28">
      <c r="A234" s="1207"/>
      <c r="B234" s="1205" t="s">
        <v>120</v>
      </c>
      <c r="C234" s="1264">
        <v>48499092</v>
      </c>
      <c r="D234" s="1268"/>
      <c r="E234" s="1268"/>
      <c r="F234" s="1268"/>
      <c r="G234" s="1268"/>
      <c r="H234" s="1268"/>
      <c r="I234" s="1352">
        <v>48499092</v>
      </c>
      <c r="J234" s="1266"/>
      <c r="K234" s="1268"/>
      <c r="L234" s="1268"/>
      <c r="M234" s="1268"/>
      <c r="N234" s="1268"/>
      <c r="O234" s="1352"/>
      <c r="P234" s="1264"/>
      <c r="Q234" s="1268"/>
      <c r="R234" s="1268"/>
      <c r="S234" s="1264"/>
      <c r="T234" s="1264"/>
      <c r="U234" s="1264"/>
      <c r="V234" s="1266"/>
      <c r="W234" s="1264"/>
      <c r="X234" s="1269">
        <v>48499092</v>
      </c>
      <c r="Y234"/>
      <c r="Z234"/>
      <c r="AA234"/>
      <c r="AB234"/>
    </row>
    <row r="235" spans="1:28" s="205" customFormat="1">
      <c r="A235" s="1207"/>
      <c r="B235" s="1205" t="s">
        <v>450</v>
      </c>
      <c r="C235" s="1264">
        <v>54212792</v>
      </c>
      <c r="D235" s="1268"/>
      <c r="E235" s="1268"/>
      <c r="F235" s="1268"/>
      <c r="G235" s="1268"/>
      <c r="H235" s="1268"/>
      <c r="I235" s="1352">
        <v>54212792</v>
      </c>
      <c r="J235" s="1266"/>
      <c r="K235" s="1268"/>
      <c r="L235" s="1268"/>
      <c r="M235" s="1268"/>
      <c r="N235" s="1268"/>
      <c r="O235" s="1352"/>
      <c r="P235" s="1264"/>
      <c r="Q235" s="1268"/>
      <c r="R235" s="1268"/>
      <c r="S235" s="1264"/>
      <c r="T235" s="1264"/>
      <c r="U235" s="1264"/>
      <c r="V235" s="1266"/>
      <c r="W235" s="1264"/>
      <c r="X235" s="1269">
        <v>54212792</v>
      </c>
      <c r="Y235"/>
      <c r="Z235"/>
      <c r="AA235"/>
      <c r="AB235"/>
    </row>
    <row r="236" spans="1:28" s="204" customFormat="1">
      <c r="A236" s="1207"/>
      <c r="B236" s="1205" t="s">
        <v>335</v>
      </c>
      <c r="C236" s="1264">
        <v>11.781045302868764</v>
      </c>
      <c r="D236" s="1268">
        <v>0</v>
      </c>
      <c r="E236" s="1268">
        <v>0</v>
      </c>
      <c r="F236" s="1268">
        <v>0</v>
      </c>
      <c r="G236" s="1268">
        <v>0</v>
      </c>
      <c r="H236" s="1268">
        <v>0</v>
      </c>
      <c r="I236" s="1352">
        <v>11.781045302868764</v>
      </c>
      <c r="J236" s="1266">
        <v>0</v>
      </c>
      <c r="K236" s="1268">
        <v>0</v>
      </c>
      <c r="L236" s="1268">
        <v>0</v>
      </c>
      <c r="M236" s="1268">
        <v>0</v>
      </c>
      <c r="N236" s="1268">
        <v>0</v>
      </c>
      <c r="O236" s="1352">
        <v>0</v>
      </c>
      <c r="P236" s="1264">
        <v>0</v>
      </c>
      <c r="Q236" s="1268">
        <v>0</v>
      </c>
      <c r="R236" s="1268">
        <v>0</v>
      </c>
      <c r="S236" s="1264">
        <v>0</v>
      </c>
      <c r="T236" s="1264">
        <v>0</v>
      </c>
      <c r="U236" s="1264">
        <v>0</v>
      </c>
      <c r="V236" s="1266">
        <v>0</v>
      </c>
      <c r="W236" s="1264">
        <v>0</v>
      </c>
      <c r="X236" s="1269">
        <v>11.781045302868764</v>
      </c>
      <c r="Y236"/>
      <c r="Z236"/>
      <c r="AA236"/>
      <c r="AB236"/>
    </row>
    <row r="237" spans="1:28">
      <c r="A237" s="1207"/>
      <c r="B237" s="1205" t="s">
        <v>35</v>
      </c>
      <c r="C237" s="1264">
        <v>779196008</v>
      </c>
      <c r="D237" s="1268"/>
      <c r="E237" s="1268">
        <v>624630900</v>
      </c>
      <c r="F237" s="1268">
        <v>204124300</v>
      </c>
      <c r="G237" s="1268"/>
      <c r="H237" s="1268"/>
      <c r="I237" s="1352">
        <v>1607951208</v>
      </c>
      <c r="J237" s="1266"/>
      <c r="K237" s="1268">
        <v>95568282</v>
      </c>
      <c r="L237" s="1268">
        <v>184559425</v>
      </c>
      <c r="M237" s="1268">
        <v>43851822</v>
      </c>
      <c r="N237" s="1268"/>
      <c r="O237" s="1352">
        <v>323979529</v>
      </c>
      <c r="P237" s="1264">
        <v>27983973</v>
      </c>
      <c r="Q237" s="1268"/>
      <c r="R237" s="1268"/>
      <c r="S237" s="1264">
        <v>27983973</v>
      </c>
      <c r="T237" s="1264"/>
      <c r="U237" s="1264"/>
      <c r="V237" s="1266">
        <v>62008700</v>
      </c>
      <c r="W237" s="1264">
        <v>62008700</v>
      </c>
      <c r="X237" s="1269">
        <v>2021923410</v>
      </c>
      <c r="Y237"/>
      <c r="Z237"/>
      <c r="AA237"/>
      <c r="AB237"/>
    </row>
    <row r="238" spans="1:28" s="205" customFormat="1">
      <c r="A238" s="1207"/>
      <c r="B238" s="1205" t="s">
        <v>37</v>
      </c>
      <c r="C238" s="1264">
        <v>810647808</v>
      </c>
      <c r="D238" s="1268"/>
      <c r="E238" s="1268">
        <v>654328000</v>
      </c>
      <c r="F238" s="1268">
        <v>209580472</v>
      </c>
      <c r="G238" s="1268"/>
      <c r="H238" s="1268"/>
      <c r="I238" s="1352">
        <v>1674556280</v>
      </c>
      <c r="J238" s="1266"/>
      <c r="K238" s="1268">
        <v>102334515.57051036</v>
      </c>
      <c r="L238" s="1268">
        <v>214699315.39480257</v>
      </c>
      <c r="M238" s="1268">
        <v>49964841.078660414</v>
      </c>
      <c r="N238" s="1268"/>
      <c r="O238" s="1352">
        <v>366998672.04397339</v>
      </c>
      <c r="P238" s="1264">
        <v>34556727.956026658</v>
      </c>
      <c r="Q238" s="1268"/>
      <c r="R238" s="1268"/>
      <c r="S238" s="1264">
        <v>34556727.956026658</v>
      </c>
      <c r="T238" s="1264"/>
      <c r="U238" s="1264"/>
      <c r="V238" s="1266">
        <v>54439100</v>
      </c>
      <c r="W238" s="1264">
        <v>54439100</v>
      </c>
      <c r="X238" s="1269">
        <v>2130550780</v>
      </c>
      <c r="Y238"/>
      <c r="Z238"/>
      <c r="AA238"/>
      <c r="AB238"/>
    </row>
    <row r="239" spans="1:28" s="214" customFormat="1" ht="13.5" thickBot="1">
      <c r="A239" s="1333"/>
      <c r="B239" s="1205" t="s">
        <v>39</v>
      </c>
      <c r="C239" s="1264">
        <v>4.0364426507688167</v>
      </c>
      <c r="D239" s="1268">
        <v>0</v>
      </c>
      <c r="E239" s="1268">
        <v>4.7543437252303722</v>
      </c>
      <c r="F239" s="1268">
        <v>2.672965443114808</v>
      </c>
      <c r="G239" s="1268">
        <v>0</v>
      </c>
      <c r="H239" s="1268">
        <v>0</v>
      </c>
      <c r="I239" s="1352">
        <v>4.1422321565866813</v>
      </c>
      <c r="J239" s="1266">
        <v>0</v>
      </c>
      <c r="K239" s="1268">
        <v>7.0799991680402474</v>
      </c>
      <c r="L239" s="1268">
        <v>16.330724044465661</v>
      </c>
      <c r="M239" s="1268">
        <v>13.940171240000959</v>
      </c>
      <c r="N239" s="1268">
        <v>0</v>
      </c>
      <c r="O239" s="1352">
        <v>13.278352239339601</v>
      </c>
      <c r="P239" s="1264">
        <v>23.48756895965651</v>
      </c>
      <c r="Q239" s="1268">
        <v>0</v>
      </c>
      <c r="R239" s="1268">
        <v>0</v>
      </c>
      <c r="S239" s="1264">
        <v>23.48756895965651</v>
      </c>
      <c r="T239" s="1264">
        <v>0</v>
      </c>
      <c r="U239" s="1264">
        <v>0</v>
      </c>
      <c r="V239" s="1266">
        <v>-12.207319295518209</v>
      </c>
      <c r="W239" s="1264">
        <v>-12.207319295518209</v>
      </c>
      <c r="X239" s="1269">
        <v>5.372476992093361</v>
      </c>
      <c r="Y239"/>
      <c r="Z239"/>
      <c r="AA239"/>
      <c r="AB239"/>
    </row>
    <row r="240" spans="1:28">
      <c r="A240" s="1206" t="s">
        <v>205</v>
      </c>
      <c r="B240" s="1204" t="s">
        <v>253</v>
      </c>
      <c r="C240" s="1259">
        <v>154679107</v>
      </c>
      <c r="D240" s="1262">
        <v>160695358</v>
      </c>
      <c r="E240" s="1260">
        <v>134558562</v>
      </c>
      <c r="F240" s="1260">
        <v>130991807</v>
      </c>
      <c r="G240" s="1262"/>
      <c r="H240" s="1260"/>
      <c r="I240" s="1355">
        <v>580924834</v>
      </c>
      <c r="J240" s="1261">
        <v>8184804</v>
      </c>
      <c r="K240" s="1262">
        <v>46523814</v>
      </c>
      <c r="L240" s="1260">
        <v>23100749</v>
      </c>
      <c r="M240" s="1262">
        <v>15820269</v>
      </c>
      <c r="N240" s="1260"/>
      <c r="O240" s="1355">
        <v>93629636</v>
      </c>
      <c r="P240" s="1259">
        <v>5996044</v>
      </c>
      <c r="Q240" s="1260">
        <v>3567232</v>
      </c>
      <c r="R240" s="1260">
        <v>58951919</v>
      </c>
      <c r="S240" s="1259">
        <v>68515195</v>
      </c>
      <c r="T240" s="1259"/>
      <c r="U240" s="1259"/>
      <c r="V240" s="1261"/>
      <c r="W240" s="1259"/>
      <c r="X240" s="1263">
        <v>743069665</v>
      </c>
      <c r="Y240"/>
      <c r="Z240"/>
      <c r="AA240"/>
      <c r="AB240"/>
    </row>
    <row r="241" spans="1:28" s="205" customFormat="1">
      <c r="A241" s="1207"/>
      <c r="B241" s="1205" t="s">
        <v>4</v>
      </c>
      <c r="C241" s="1264">
        <v>147614782</v>
      </c>
      <c r="D241" s="1267">
        <v>165644767</v>
      </c>
      <c r="E241" s="1268">
        <v>133256804</v>
      </c>
      <c r="F241" s="1268">
        <v>133938263</v>
      </c>
      <c r="G241" s="1267"/>
      <c r="H241" s="1268"/>
      <c r="I241" s="1352">
        <v>580454616</v>
      </c>
      <c r="J241" s="1266">
        <v>8368498</v>
      </c>
      <c r="K241" s="1267">
        <v>48972729</v>
      </c>
      <c r="L241" s="1268">
        <v>23125473</v>
      </c>
      <c r="M241" s="1267">
        <v>20129567</v>
      </c>
      <c r="N241" s="1268"/>
      <c r="O241" s="1352">
        <v>100596267</v>
      </c>
      <c r="P241" s="1264">
        <v>60166539</v>
      </c>
      <c r="Q241" s="1268">
        <v>3573003</v>
      </c>
      <c r="R241" s="1268"/>
      <c r="S241" s="1264">
        <v>63739542</v>
      </c>
      <c r="T241" s="1264"/>
      <c r="U241" s="1264"/>
      <c r="V241" s="1266"/>
      <c r="W241" s="1264"/>
      <c r="X241" s="1269">
        <v>744790425</v>
      </c>
      <c r="Y241"/>
      <c r="Z241"/>
      <c r="AA241"/>
      <c r="AB241"/>
    </row>
    <row r="242" spans="1:28" s="204" customFormat="1" ht="13.5" thickBot="1">
      <c r="A242" s="1207"/>
      <c r="B242" s="1205" t="s">
        <v>175</v>
      </c>
      <c r="C242" s="1264">
        <v>-4.5670841634739983</v>
      </c>
      <c r="D242" s="1281">
        <v>3.0799950052073068</v>
      </c>
      <c r="E242" s="1268">
        <v>-0.96742859068306641</v>
      </c>
      <c r="F242" s="1268">
        <v>2.2493437318564515</v>
      </c>
      <c r="G242" s="1281">
        <v>0</v>
      </c>
      <c r="H242" s="1268">
        <v>0</v>
      </c>
      <c r="I242" s="1352">
        <v>-8.0943001999463499E-2</v>
      </c>
      <c r="J242" s="1266">
        <v>2.2443298581126681</v>
      </c>
      <c r="K242" s="1281">
        <v>5.2637881322455637</v>
      </c>
      <c r="L242" s="1268">
        <v>0.10702683276633151</v>
      </c>
      <c r="M242" s="1281">
        <v>27.239094354211048</v>
      </c>
      <c r="N242" s="1268">
        <v>0</v>
      </c>
      <c r="O242" s="1352">
        <v>7.4406259573624745</v>
      </c>
      <c r="P242" s="1264">
        <v>903.437249626587</v>
      </c>
      <c r="Q242" s="1268">
        <v>0.16177809573361082</v>
      </c>
      <c r="R242" s="1268">
        <v>-100</v>
      </c>
      <c r="S242" s="1264">
        <v>-6.9702100388096389</v>
      </c>
      <c r="T242" s="1264">
        <v>0</v>
      </c>
      <c r="U242" s="1264">
        <v>0</v>
      </c>
      <c r="V242" s="1266">
        <v>0</v>
      </c>
      <c r="W242" s="1264">
        <v>0</v>
      </c>
      <c r="X242" s="1269">
        <v>0.23157451865566331</v>
      </c>
      <c r="Y242"/>
      <c r="Z242"/>
      <c r="AA242"/>
      <c r="AB242"/>
    </row>
    <row r="243" spans="1:28">
      <c r="A243" s="1207"/>
      <c r="B243" s="1205" t="s">
        <v>269</v>
      </c>
      <c r="C243" s="1264">
        <v>79179097</v>
      </c>
      <c r="D243" s="1268"/>
      <c r="E243" s="1262">
        <v>4582677</v>
      </c>
      <c r="F243" s="1268"/>
      <c r="G243" s="1268"/>
      <c r="H243" s="1268"/>
      <c r="I243" s="1352">
        <v>83761774</v>
      </c>
      <c r="J243" s="1266"/>
      <c r="K243" s="1268"/>
      <c r="L243" s="1268"/>
      <c r="M243" s="1268"/>
      <c r="N243" s="1268"/>
      <c r="O243" s="1352"/>
      <c r="P243" s="1264"/>
      <c r="Q243" s="1268"/>
      <c r="R243" s="1268"/>
      <c r="S243" s="1264"/>
      <c r="T243" s="1264"/>
      <c r="U243" s="1264"/>
      <c r="V243" s="1266">
        <v>53177337</v>
      </c>
      <c r="W243" s="1262">
        <v>53177337</v>
      </c>
      <c r="X243" s="1269">
        <v>136939111</v>
      </c>
      <c r="Y243"/>
      <c r="Z243"/>
      <c r="AA243"/>
      <c r="AB243"/>
    </row>
    <row r="244" spans="1:28" s="205" customFormat="1">
      <c r="A244" s="1207"/>
      <c r="B244" s="1205" t="s">
        <v>342</v>
      </c>
      <c r="C244" s="1264">
        <v>68952566</v>
      </c>
      <c r="D244" s="1268"/>
      <c r="E244" s="1267">
        <v>4054950</v>
      </c>
      <c r="F244" s="1268"/>
      <c r="G244" s="1268"/>
      <c r="H244" s="1268"/>
      <c r="I244" s="1352">
        <v>73007516</v>
      </c>
      <c r="J244" s="1266"/>
      <c r="K244" s="1268"/>
      <c r="L244" s="1268"/>
      <c r="M244" s="1268"/>
      <c r="N244" s="1268"/>
      <c r="O244" s="1352"/>
      <c r="P244" s="1264"/>
      <c r="Q244" s="1268"/>
      <c r="R244" s="1268"/>
      <c r="S244" s="1264"/>
      <c r="T244" s="1264"/>
      <c r="U244" s="1264"/>
      <c r="V244" s="1266">
        <v>26499973</v>
      </c>
      <c r="W244" s="1267">
        <v>26499973</v>
      </c>
      <c r="X244" s="1269">
        <v>99507489</v>
      </c>
      <c r="Y244"/>
      <c r="Z244"/>
      <c r="AA244"/>
      <c r="AB244"/>
    </row>
    <row r="245" spans="1:28" s="204" customFormat="1" ht="13.5" thickBot="1">
      <c r="A245" s="1207"/>
      <c r="B245" s="1205" t="s">
        <v>344</v>
      </c>
      <c r="C245" s="1264">
        <v>-12.915695413904505</v>
      </c>
      <c r="D245" s="1268">
        <v>0</v>
      </c>
      <c r="E245" s="1281">
        <v>-11.515692683555921</v>
      </c>
      <c r="F245" s="1268">
        <v>0</v>
      </c>
      <c r="G245" s="1268">
        <v>0</v>
      </c>
      <c r="H245" s="1268">
        <v>0</v>
      </c>
      <c r="I245" s="1352">
        <v>-12.839100088782743</v>
      </c>
      <c r="J245" s="1266">
        <v>0</v>
      </c>
      <c r="K245" s="1268">
        <v>0</v>
      </c>
      <c r="L245" s="1268">
        <v>0</v>
      </c>
      <c r="M245" s="1268">
        <v>0</v>
      </c>
      <c r="N245" s="1268">
        <v>0</v>
      </c>
      <c r="O245" s="1352">
        <v>0</v>
      </c>
      <c r="P245" s="1264">
        <v>0</v>
      </c>
      <c r="Q245" s="1268">
        <v>0</v>
      </c>
      <c r="R245" s="1268">
        <v>0</v>
      </c>
      <c r="S245" s="1264">
        <v>0</v>
      </c>
      <c r="T245" s="1264">
        <v>0</v>
      </c>
      <c r="U245" s="1264">
        <v>0</v>
      </c>
      <c r="V245" s="1266">
        <v>-50.166791917391429</v>
      </c>
      <c r="W245" s="1281">
        <v>-50.166791917391429</v>
      </c>
      <c r="X245" s="1269">
        <v>-27.334500513881675</v>
      </c>
      <c r="Y245"/>
      <c r="Z245"/>
      <c r="AA245"/>
      <c r="AB245"/>
    </row>
    <row r="246" spans="1:28">
      <c r="A246" s="1207"/>
      <c r="B246" s="1205" t="s">
        <v>5</v>
      </c>
      <c r="C246" s="1264"/>
      <c r="D246" s="1268"/>
      <c r="E246" s="1268"/>
      <c r="F246" s="1268"/>
      <c r="G246" s="1268"/>
      <c r="H246" s="1268"/>
      <c r="I246" s="1352"/>
      <c r="J246" s="1266"/>
      <c r="K246" s="1268"/>
      <c r="L246" s="1268"/>
      <c r="M246" s="1268"/>
      <c r="N246" s="1268"/>
      <c r="O246" s="1352"/>
      <c r="P246" s="1264"/>
      <c r="Q246" s="1268"/>
      <c r="R246" s="1268"/>
      <c r="S246" s="1264"/>
      <c r="T246" s="1264"/>
      <c r="U246" s="1264"/>
      <c r="V246" s="1266"/>
      <c r="W246" s="1264"/>
      <c r="X246" s="1269"/>
      <c r="Y246"/>
      <c r="Z246"/>
      <c r="AA246"/>
      <c r="AB246"/>
    </row>
    <row r="247" spans="1:28" s="205" customFormat="1">
      <c r="A247" s="1207"/>
      <c r="B247" s="1205" t="s">
        <v>6</v>
      </c>
      <c r="C247" s="1264"/>
      <c r="D247" s="1268"/>
      <c r="E247" s="1268"/>
      <c r="F247" s="1268"/>
      <c r="G247" s="1268"/>
      <c r="H247" s="1268"/>
      <c r="I247" s="1352"/>
      <c r="J247" s="1266"/>
      <c r="K247" s="1268"/>
      <c r="L247" s="1268"/>
      <c r="M247" s="1268"/>
      <c r="N247" s="1268"/>
      <c r="O247" s="1352"/>
      <c r="P247" s="1264"/>
      <c r="Q247" s="1268"/>
      <c r="R247" s="1268"/>
      <c r="S247" s="1264"/>
      <c r="T247" s="1264"/>
      <c r="U247" s="1264"/>
      <c r="V247" s="1266"/>
      <c r="W247" s="1264"/>
      <c r="X247" s="1269"/>
      <c r="Y247"/>
      <c r="Z247"/>
      <c r="AA247"/>
      <c r="AB247"/>
    </row>
    <row r="248" spans="1:28" s="204" customFormat="1" ht="13.5" thickBot="1">
      <c r="A248" s="1207"/>
      <c r="B248" s="1205" t="s">
        <v>426</v>
      </c>
      <c r="C248" s="1264">
        <v>0</v>
      </c>
      <c r="D248" s="1268">
        <v>0</v>
      </c>
      <c r="E248" s="1268">
        <v>0</v>
      </c>
      <c r="F248" s="1268">
        <v>0</v>
      </c>
      <c r="G248" s="1268">
        <v>0</v>
      </c>
      <c r="H248" s="1268">
        <v>0</v>
      </c>
      <c r="I248" s="1352">
        <v>0</v>
      </c>
      <c r="J248" s="1266">
        <v>0</v>
      </c>
      <c r="K248" s="1268">
        <v>0</v>
      </c>
      <c r="L248" s="1268">
        <v>0</v>
      </c>
      <c r="M248" s="1268">
        <v>0</v>
      </c>
      <c r="N248" s="1268">
        <v>0</v>
      </c>
      <c r="O248" s="1352">
        <v>0</v>
      </c>
      <c r="P248" s="1264">
        <v>0</v>
      </c>
      <c r="Q248" s="1268">
        <v>0</v>
      </c>
      <c r="R248" s="1268">
        <v>0</v>
      </c>
      <c r="S248" s="1264">
        <v>0</v>
      </c>
      <c r="T248" s="1264">
        <v>0</v>
      </c>
      <c r="U248" s="1264">
        <v>0</v>
      </c>
      <c r="V248" s="1266">
        <v>0</v>
      </c>
      <c r="W248" s="1264">
        <v>0</v>
      </c>
      <c r="X248" s="1269">
        <v>0</v>
      </c>
      <c r="Y248"/>
      <c r="Z248"/>
      <c r="AA248"/>
      <c r="AB248"/>
    </row>
    <row r="249" spans="1:28">
      <c r="A249" s="1207"/>
      <c r="B249" s="1205" t="s">
        <v>322</v>
      </c>
      <c r="C249" s="1262">
        <v>177112911</v>
      </c>
      <c r="D249" s="1268">
        <v>135066397</v>
      </c>
      <c r="E249" s="1340">
        <v>112284839</v>
      </c>
      <c r="F249" s="1268">
        <v>125696373</v>
      </c>
      <c r="G249" s="1268"/>
      <c r="H249" s="1268"/>
      <c r="I249" s="1352">
        <v>550160520</v>
      </c>
      <c r="J249" s="1288">
        <v>8001183</v>
      </c>
      <c r="K249" s="1262">
        <v>44109614</v>
      </c>
      <c r="L249" s="1268">
        <v>19204896</v>
      </c>
      <c r="M249" s="1262">
        <v>12743249</v>
      </c>
      <c r="N249" s="1268"/>
      <c r="O249" s="1352">
        <v>84058942</v>
      </c>
      <c r="P249" s="1264">
        <v>3277031</v>
      </c>
      <c r="Q249" s="1268">
        <v>2072331</v>
      </c>
      <c r="R249" s="1268">
        <v>13188894</v>
      </c>
      <c r="S249" s="1264">
        <v>18538256</v>
      </c>
      <c r="T249" s="1264"/>
      <c r="U249" s="1264"/>
      <c r="V249" s="1266"/>
      <c r="W249" s="1264"/>
      <c r="X249" s="1269">
        <v>652757718</v>
      </c>
      <c r="Y249"/>
      <c r="Z249"/>
      <c r="AA249"/>
      <c r="AB249"/>
    </row>
    <row r="250" spans="1:28" s="205" customFormat="1">
      <c r="A250" s="1207"/>
      <c r="B250" s="1205" t="s">
        <v>22</v>
      </c>
      <c r="C250" s="1267">
        <v>203065947</v>
      </c>
      <c r="D250" s="1268">
        <v>139849525</v>
      </c>
      <c r="E250" s="1340">
        <v>110530416</v>
      </c>
      <c r="F250" s="1268">
        <v>126961973</v>
      </c>
      <c r="G250" s="1268"/>
      <c r="H250" s="1268"/>
      <c r="I250" s="1352">
        <v>580407861</v>
      </c>
      <c r="J250" s="1289">
        <v>8234749</v>
      </c>
      <c r="K250" s="1267">
        <v>52082335</v>
      </c>
      <c r="L250" s="1268">
        <v>23683105</v>
      </c>
      <c r="M250" s="1267">
        <v>13758680</v>
      </c>
      <c r="N250" s="1268"/>
      <c r="O250" s="1352">
        <v>97758869</v>
      </c>
      <c r="P250" s="1264">
        <v>12766067</v>
      </c>
      <c r="Q250" s="1268">
        <v>3100633</v>
      </c>
      <c r="R250" s="1268"/>
      <c r="S250" s="1264">
        <v>15866700</v>
      </c>
      <c r="T250" s="1264"/>
      <c r="U250" s="1264"/>
      <c r="V250" s="1266"/>
      <c r="W250" s="1264"/>
      <c r="X250" s="1269">
        <v>694033430</v>
      </c>
      <c r="Y250"/>
      <c r="Z250"/>
      <c r="AA250"/>
      <c r="AB250"/>
    </row>
    <row r="251" spans="1:28" s="204" customFormat="1" ht="13.5" thickBot="1">
      <c r="A251" s="1207"/>
      <c r="B251" s="1205" t="s">
        <v>375</v>
      </c>
      <c r="C251" s="1335">
        <v>14.653384585836321</v>
      </c>
      <c r="D251" s="1341">
        <v>3.541316053614727</v>
      </c>
      <c r="E251" s="1341">
        <v>-1.5624754113064185</v>
      </c>
      <c r="F251" s="1341">
        <v>1.0068707392217275</v>
      </c>
      <c r="G251" s="1268">
        <v>0</v>
      </c>
      <c r="H251" s="1268">
        <v>0</v>
      </c>
      <c r="I251" s="1352">
        <v>5.4979119548600108</v>
      </c>
      <c r="J251" s="1290">
        <v>2.9191433316798276</v>
      </c>
      <c r="K251" s="1281">
        <v>18.074792039667361</v>
      </c>
      <c r="L251" s="1335">
        <v>23.318059103262001</v>
      </c>
      <c r="M251" s="1281">
        <v>7.968383887029125</v>
      </c>
      <c r="N251" s="1268">
        <v>0</v>
      </c>
      <c r="O251" s="1352">
        <v>16.29800075285268</v>
      </c>
      <c r="P251" s="1264">
        <v>289.56198461351141</v>
      </c>
      <c r="Q251" s="1268">
        <v>49.620548068817193</v>
      </c>
      <c r="R251" s="1268">
        <v>-100</v>
      </c>
      <c r="S251" s="1264">
        <v>-14.411042764756296</v>
      </c>
      <c r="T251" s="1264">
        <v>0</v>
      </c>
      <c r="U251" s="1264">
        <v>0</v>
      </c>
      <c r="V251" s="1266">
        <v>0</v>
      </c>
      <c r="W251" s="1264">
        <v>0</v>
      </c>
      <c r="X251" s="1269">
        <v>6.3232821093966747</v>
      </c>
      <c r="Y251"/>
      <c r="Z251"/>
      <c r="AA251"/>
      <c r="AB251"/>
    </row>
    <row r="252" spans="1:28">
      <c r="A252" s="1207"/>
      <c r="B252" s="1205" t="s">
        <v>324</v>
      </c>
      <c r="C252" s="1264"/>
      <c r="D252" s="1268"/>
      <c r="E252" s="1268"/>
      <c r="F252" s="1268"/>
      <c r="G252" s="1268"/>
      <c r="H252" s="1268"/>
      <c r="I252" s="1352"/>
      <c r="J252" s="1266"/>
      <c r="K252" s="1268"/>
      <c r="L252" s="1268"/>
      <c r="M252" s="1268"/>
      <c r="N252" s="1268"/>
      <c r="O252" s="1352"/>
      <c r="P252" s="1264"/>
      <c r="Q252" s="1268"/>
      <c r="R252" s="1268"/>
      <c r="S252" s="1264"/>
      <c r="T252" s="1264"/>
      <c r="U252" s="1264"/>
      <c r="V252" s="1266"/>
      <c r="W252" s="1264"/>
      <c r="X252" s="1269"/>
      <c r="Y252"/>
      <c r="Z252"/>
      <c r="AA252"/>
      <c r="AB252"/>
    </row>
    <row r="253" spans="1:28" s="205" customFormat="1">
      <c r="A253" s="1207"/>
      <c r="B253" s="1205" t="s">
        <v>226</v>
      </c>
      <c r="C253" s="1264"/>
      <c r="D253" s="1268"/>
      <c r="E253" s="1268"/>
      <c r="F253" s="1268"/>
      <c r="G253" s="1268"/>
      <c r="H253" s="1268"/>
      <c r="I253" s="1352"/>
      <c r="J253" s="1266"/>
      <c r="K253" s="1268"/>
      <c r="L253" s="1268"/>
      <c r="M253" s="1268"/>
      <c r="N253" s="1268"/>
      <c r="O253" s="1352"/>
      <c r="P253" s="1264"/>
      <c r="Q253" s="1268"/>
      <c r="R253" s="1268"/>
      <c r="S253" s="1264"/>
      <c r="T253" s="1264"/>
      <c r="U253" s="1264"/>
      <c r="V253" s="1266"/>
      <c r="W253" s="1264"/>
      <c r="X253" s="1269"/>
      <c r="Y253"/>
      <c r="Z253"/>
      <c r="AA253"/>
      <c r="AB253"/>
    </row>
    <row r="254" spans="1:28" s="204" customFormat="1">
      <c r="A254" s="1207"/>
      <c r="B254" s="1205" t="s">
        <v>236</v>
      </c>
      <c r="C254" s="1264">
        <v>0</v>
      </c>
      <c r="D254" s="1268">
        <v>0</v>
      </c>
      <c r="E254" s="1268">
        <v>0</v>
      </c>
      <c r="F254" s="1268">
        <v>0</v>
      </c>
      <c r="G254" s="1268">
        <v>0</v>
      </c>
      <c r="H254" s="1268">
        <v>0</v>
      </c>
      <c r="I254" s="1352">
        <v>0</v>
      </c>
      <c r="J254" s="1266">
        <v>0</v>
      </c>
      <c r="K254" s="1268">
        <v>0</v>
      </c>
      <c r="L254" s="1268">
        <v>0</v>
      </c>
      <c r="M254" s="1268">
        <v>0</v>
      </c>
      <c r="N254" s="1268">
        <v>0</v>
      </c>
      <c r="O254" s="1352">
        <v>0</v>
      </c>
      <c r="P254" s="1264">
        <v>0</v>
      </c>
      <c r="Q254" s="1268">
        <v>0</v>
      </c>
      <c r="R254" s="1268">
        <v>0</v>
      </c>
      <c r="S254" s="1264">
        <v>0</v>
      </c>
      <c r="T254" s="1264">
        <v>0</v>
      </c>
      <c r="U254" s="1264">
        <v>0</v>
      </c>
      <c r="V254" s="1266">
        <v>0</v>
      </c>
      <c r="W254" s="1264">
        <v>0</v>
      </c>
      <c r="X254" s="1269">
        <v>0</v>
      </c>
      <c r="Y254"/>
      <c r="Z254"/>
      <c r="AA254"/>
      <c r="AB254"/>
    </row>
    <row r="255" spans="1:28">
      <c r="A255" s="1207"/>
      <c r="B255" s="1205" t="s">
        <v>449</v>
      </c>
      <c r="C255" s="1264">
        <v>177112911</v>
      </c>
      <c r="D255" s="1268">
        <v>135066397</v>
      </c>
      <c r="E255" s="1268">
        <v>112284839</v>
      </c>
      <c r="F255" s="1268">
        <v>125696373</v>
      </c>
      <c r="G255" s="1268"/>
      <c r="H255" s="1268"/>
      <c r="I255" s="1352">
        <v>550160520</v>
      </c>
      <c r="J255" s="1266">
        <v>8001183</v>
      </c>
      <c r="K255" s="1268">
        <v>44109614</v>
      </c>
      <c r="L255" s="1268">
        <v>19204896</v>
      </c>
      <c r="M255" s="1268">
        <v>12743249</v>
      </c>
      <c r="N255" s="1268"/>
      <c r="O255" s="1352">
        <v>84058942</v>
      </c>
      <c r="P255" s="1264">
        <v>3277031</v>
      </c>
      <c r="Q255" s="1268">
        <v>2072331</v>
      </c>
      <c r="R255" s="1268">
        <v>13188894</v>
      </c>
      <c r="S255" s="1264">
        <v>18538256</v>
      </c>
      <c r="T255" s="1264">
        <v>0</v>
      </c>
      <c r="U255" s="1264">
        <v>0</v>
      </c>
      <c r="V255" s="1266">
        <v>0</v>
      </c>
      <c r="W255" s="1264">
        <v>0</v>
      </c>
      <c r="X255" s="1269">
        <v>652757718</v>
      </c>
      <c r="Y255"/>
      <c r="Z255"/>
      <c r="AA255"/>
      <c r="AB255"/>
    </row>
    <row r="256" spans="1:28" s="205" customFormat="1">
      <c r="A256" s="1207"/>
      <c r="B256" s="1205" t="s">
        <v>109</v>
      </c>
      <c r="C256" s="1264">
        <v>203065947</v>
      </c>
      <c r="D256" s="1268">
        <v>139849525</v>
      </c>
      <c r="E256" s="1268">
        <v>110530416</v>
      </c>
      <c r="F256" s="1268">
        <v>126961973</v>
      </c>
      <c r="G256" s="1268"/>
      <c r="H256" s="1268"/>
      <c r="I256" s="1352">
        <v>580407861</v>
      </c>
      <c r="J256" s="1266">
        <v>8234749</v>
      </c>
      <c r="K256" s="1268">
        <v>52082335</v>
      </c>
      <c r="L256" s="1268">
        <v>23683105</v>
      </c>
      <c r="M256" s="1268">
        <v>13758680</v>
      </c>
      <c r="N256" s="1268"/>
      <c r="O256" s="1352">
        <v>97758869</v>
      </c>
      <c r="P256" s="1264">
        <v>12766067</v>
      </c>
      <c r="Q256" s="1268">
        <v>3100633</v>
      </c>
      <c r="R256" s="1268">
        <v>0</v>
      </c>
      <c r="S256" s="1264">
        <v>15866700</v>
      </c>
      <c r="T256" s="1264">
        <v>0</v>
      </c>
      <c r="U256" s="1264">
        <v>0</v>
      </c>
      <c r="V256" s="1266">
        <v>0</v>
      </c>
      <c r="W256" s="1264">
        <v>0</v>
      </c>
      <c r="X256" s="1269">
        <v>694033430</v>
      </c>
      <c r="Y256"/>
      <c r="Z256"/>
      <c r="AA256"/>
      <c r="AB256"/>
    </row>
    <row r="257" spans="1:28" s="204" customFormat="1">
      <c r="A257" s="1207"/>
      <c r="B257" s="1205" t="s">
        <v>83</v>
      </c>
      <c r="C257" s="1264">
        <v>14.653384585836321</v>
      </c>
      <c r="D257" s="1268">
        <v>3.541316053614727</v>
      </c>
      <c r="E257" s="1268">
        <v>-1.5624754113064185</v>
      </c>
      <c r="F257" s="1268">
        <v>1.0068707392217275</v>
      </c>
      <c r="G257" s="1268">
        <v>0</v>
      </c>
      <c r="H257" s="1268">
        <v>0</v>
      </c>
      <c r="I257" s="1352">
        <v>5.4979119548600108</v>
      </c>
      <c r="J257" s="1266">
        <v>2.9191433316798276</v>
      </c>
      <c r="K257" s="1268">
        <v>18.074792039667361</v>
      </c>
      <c r="L257" s="1268">
        <v>23.318059103262001</v>
      </c>
      <c r="M257" s="1268">
        <v>7.968383887029125</v>
      </c>
      <c r="N257" s="1268">
        <v>0</v>
      </c>
      <c r="O257" s="1352">
        <v>16.29800075285268</v>
      </c>
      <c r="P257" s="1264">
        <v>289.56198461351141</v>
      </c>
      <c r="Q257" s="1268">
        <v>49.620548068817193</v>
      </c>
      <c r="R257" s="1268">
        <v>-100</v>
      </c>
      <c r="S257" s="1264">
        <v>-14.411042764756296</v>
      </c>
      <c r="T257" s="1264">
        <v>0</v>
      </c>
      <c r="U257" s="1264">
        <v>0</v>
      </c>
      <c r="V257" s="1266">
        <v>0</v>
      </c>
      <c r="W257" s="1264">
        <v>0</v>
      </c>
      <c r="X257" s="1269">
        <v>6.3232821093966747</v>
      </c>
      <c r="Y257"/>
      <c r="Z257"/>
      <c r="AA257"/>
      <c r="AB257"/>
    </row>
    <row r="258" spans="1:28">
      <c r="A258" s="1207"/>
      <c r="B258" s="1205" t="s">
        <v>111</v>
      </c>
      <c r="C258" s="1264"/>
      <c r="D258" s="1268"/>
      <c r="E258" s="1268"/>
      <c r="F258" s="1268"/>
      <c r="G258" s="1268"/>
      <c r="H258" s="1268"/>
      <c r="I258" s="1352"/>
      <c r="J258" s="1266"/>
      <c r="K258" s="1268"/>
      <c r="L258" s="1268"/>
      <c r="M258" s="1268"/>
      <c r="N258" s="1268"/>
      <c r="O258" s="1352"/>
      <c r="P258" s="1264"/>
      <c r="Q258" s="1268"/>
      <c r="R258" s="1268"/>
      <c r="S258" s="1264"/>
      <c r="T258" s="1264"/>
      <c r="U258" s="1264"/>
      <c r="V258" s="1266">
        <v>197709553</v>
      </c>
      <c r="W258" s="1264">
        <v>197709553</v>
      </c>
      <c r="X258" s="1269">
        <v>197709553</v>
      </c>
      <c r="Y258"/>
      <c r="Z258"/>
      <c r="AA258"/>
      <c r="AB258"/>
    </row>
    <row r="259" spans="1:28" s="205" customFormat="1">
      <c r="A259" s="1207"/>
      <c r="B259" s="1205" t="s">
        <v>113</v>
      </c>
      <c r="C259" s="1264"/>
      <c r="D259" s="1268"/>
      <c r="E259" s="1268"/>
      <c r="F259" s="1268"/>
      <c r="G259" s="1268"/>
      <c r="H259" s="1268"/>
      <c r="I259" s="1352"/>
      <c r="J259" s="1266"/>
      <c r="K259" s="1268"/>
      <c r="L259" s="1268"/>
      <c r="M259" s="1268"/>
      <c r="N259" s="1268"/>
      <c r="O259" s="1352"/>
      <c r="P259" s="1264"/>
      <c r="Q259" s="1268"/>
      <c r="R259" s="1268"/>
      <c r="S259" s="1264"/>
      <c r="T259" s="1264"/>
      <c r="U259" s="1264"/>
      <c r="V259" s="1266">
        <v>212069852</v>
      </c>
      <c r="W259" s="1264">
        <v>212069852</v>
      </c>
      <c r="X259" s="1269">
        <v>212069852</v>
      </c>
      <c r="Y259"/>
      <c r="Z259"/>
      <c r="AA259"/>
      <c r="AB259"/>
    </row>
    <row r="260" spans="1:28" s="204" customFormat="1">
      <c r="A260" s="1207"/>
      <c r="B260" s="1205" t="s">
        <v>115</v>
      </c>
      <c r="C260" s="1264">
        <v>0</v>
      </c>
      <c r="D260" s="1268">
        <v>0</v>
      </c>
      <c r="E260" s="1268">
        <v>0</v>
      </c>
      <c r="F260" s="1268">
        <v>0</v>
      </c>
      <c r="G260" s="1268">
        <v>0</v>
      </c>
      <c r="H260" s="1268">
        <v>0</v>
      </c>
      <c r="I260" s="1352">
        <v>0</v>
      </c>
      <c r="J260" s="1266">
        <v>0</v>
      </c>
      <c r="K260" s="1268">
        <v>0</v>
      </c>
      <c r="L260" s="1268">
        <v>0</v>
      </c>
      <c r="M260" s="1268">
        <v>0</v>
      </c>
      <c r="N260" s="1268">
        <v>0</v>
      </c>
      <c r="O260" s="1352">
        <v>0</v>
      </c>
      <c r="P260" s="1264">
        <v>0</v>
      </c>
      <c r="Q260" s="1268">
        <v>0</v>
      </c>
      <c r="R260" s="1268">
        <v>0</v>
      </c>
      <c r="S260" s="1264">
        <v>0</v>
      </c>
      <c r="T260" s="1264">
        <v>0</v>
      </c>
      <c r="U260" s="1264">
        <v>0</v>
      </c>
      <c r="V260" s="1266">
        <v>7.2633308720292336</v>
      </c>
      <c r="W260" s="1264">
        <v>7.2633308720292336</v>
      </c>
      <c r="X260" s="1269">
        <v>7.2633308720292336</v>
      </c>
      <c r="Y260"/>
      <c r="Z260"/>
      <c r="AA260"/>
      <c r="AB260"/>
    </row>
    <row r="261" spans="1:28">
      <c r="A261" s="1207"/>
      <c r="B261" s="1205" t="s">
        <v>339</v>
      </c>
      <c r="C261" s="1264"/>
      <c r="D261" s="1268"/>
      <c r="E261" s="1268"/>
      <c r="F261" s="1268"/>
      <c r="G261" s="1268"/>
      <c r="H261" s="1268"/>
      <c r="I261" s="1352"/>
      <c r="J261" s="1266"/>
      <c r="K261" s="1268"/>
      <c r="L261" s="1268"/>
      <c r="M261" s="1268"/>
      <c r="N261" s="1268"/>
      <c r="O261" s="1352"/>
      <c r="P261" s="1264"/>
      <c r="Q261" s="1268"/>
      <c r="R261" s="1268"/>
      <c r="S261" s="1264"/>
      <c r="T261" s="1264"/>
      <c r="U261" s="1264"/>
      <c r="V261" s="1266"/>
      <c r="W261" s="1264"/>
      <c r="X261" s="1269"/>
      <c r="Y261"/>
      <c r="Z261"/>
      <c r="AA261"/>
      <c r="AB261"/>
    </row>
    <row r="262" spans="1:28" s="205" customFormat="1">
      <c r="A262" s="1207"/>
      <c r="B262" s="1205" t="s">
        <v>223</v>
      </c>
      <c r="C262" s="1264"/>
      <c r="D262" s="1268"/>
      <c r="E262" s="1268"/>
      <c r="F262" s="1268"/>
      <c r="G262" s="1268"/>
      <c r="H262" s="1268"/>
      <c r="I262" s="1352"/>
      <c r="J262" s="1266"/>
      <c r="K262" s="1268"/>
      <c r="L262" s="1268"/>
      <c r="M262" s="1268"/>
      <c r="N262" s="1268"/>
      <c r="O262" s="1352"/>
      <c r="P262" s="1264"/>
      <c r="Q262" s="1268"/>
      <c r="R262" s="1268"/>
      <c r="S262" s="1264"/>
      <c r="T262" s="1264"/>
      <c r="U262" s="1264"/>
      <c r="V262" s="1266"/>
      <c r="W262" s="1264"/>
      <c r="X262" s="1269"/>
      <c r="Y262"/>
      <c r="Z262"/>
      <c r="AA262"/>
      <c r="AB262"/>
    </row>
    <row r="263" spans="1:28" s="204" customFormat="1">
      <c r="A263" s="1207"/>
      <c r="B263" s="1205" t="s">
        <v>85</v>
      </c>
      <c r="C263" s="1264">
        <v>0</v>
      </c>
      <c r="D263" s="1268">
        <v>0</v>
      </c>
      <c r="E263" s="1268">
        <v>0</v>
      </c>
      <c r="F263" s="1268">
        <v>0</v>
      </c>
      <c r="G263" s="1268">
        <v>0</v>
      </c>
      <c r="H263" s="1268">
        <v>0</v>
      </c>
      <c r="I263" s="1352">
        <v>0</v>
      </c>
      <c r="J263" s="1266">
        <v>0</v>
      </c>
      <c r="K263" s="1268">
        <v>0</v>
      </c>
      <c r="L263" s="1268">
        <v>0</v>
      </c>
      <c r="M263" s="1268">
        <v>0</v>
      </c>
      <c r="N263" s="1268">
        <v>0</v>
      </c>
      <c r="O263" s="1352">
        <v>0</v>
      </c>
      <c r="P263" s="1264">
        <v>0</v>
      </c>
      <c r="Q263" s="1268">
        <v>0</v>
      </c>
      <c r="R263" s="1268">
        <v>0</v>
      </c>
      <c r="S263" s="1264">
        <v>0</v>
      </c>
      <c r="T263" s="1264">
        <v>0</v>
      </c>
      <c r="U263" s="1264">
        <v>0</v>
      </c>
      <c r="V263" s="1266">
        <v>0</v>
      </c>
      <c r="W263" s="1264">
        <v>0</v>
      </c>
      <c r="X263" s="1269">
        <v>0</v>
      </c>
      <c r="Y263"/>
      <c r="Z263"/>
      <c r="AA263"/>
      <c r="AB263"/>
    </row>
    <row r="264" spans="1:28">
      <c r="A264" s="1207"/>
      <c r="B264" s="1205" t="s">
        <v>219</v>
      </c>
      <c r="C264" s="1264"/>
      <c r="D264" s="1268"/>
      <c r="E264" s="1268"/>
      <c r="F264" s="1268"/>
      <c r="G264" s="1268"/>
      <c r="H264" s="1268"/>
      <c r="I264" s="1352"/>
      <c r="J264" s="1266"/>
      <c r="K264" s="1268"/>
      <c r="L264" s="1268"/>
      <c r="M264" s="1268"/>
      <c r="N264" s="1268"/>
      <c r="O264" s="1352"/>
      <c r="P264" s="1264"/>
      <c r="Q264" s="1268"/>
      <c r="R264" s="1268"/>
      <c r="S264" s="1264"/>
      <c r="T264" s="1264"/>
      <c r="U264" s="1264"/>
      <c r="V264" s="1266"/>
      <c r="W264" s="1264"/>
      <c r="X264" s="1269"/>
      <c r="Y264"/>
      <c r="Z264"/>
      <c r="AA264"/>
      <c r="AB264"/>
    </row>
    <row r="265" spans="1:28" s="205" customFormat="1">
      <c r="A265" s="1207"/>
      <c r="B265" s="1205" t="s">
        <v>141</v>
      </c>
      <c r="C265" s="1264"/>
      <c r="D265" s="1268"/>
      <c r="E265" s="1268"/>
      <c r="F265" s="1268"/>
      <c r="G265" s="1268"/>
      <c r="H265" s="1268"/>
      <c r="I265" s="1352"/>
      <c r="J265" s="1266"/>
      <c r="K265" s="1268"/>
      <c r="L265" s="1268"/>
      <c r="M265" s="1268"/>
      <c r="N265" s="1268"/>
      <c r="O265" s="1352"/>
      <c r="P265" s="1264"/>
      <c r="Q265" s="1268"/>
      <c r="R265" s="1268"/>
      <c r="S265" s="1264"/>
      <c r="T265" s="1264"/>
      <c r="U265" s="1264"/>
      <c r="V265" s="1266"/>
      <c r="W265" s="1264"/>
      <c r="X265" s="1269"/>
      <c r="Y265"/>
      <c r="Z265"/>
      <c r="AA265"/>
      <c r="AB265"/>
    </row>
    <row r="266" spans="1:28" s="204" customFormat="1">
      <c r="A266" s="1207"/>
      <c r="B266" s="1205" t="s">
        <v>169</v>
      </c>
      <c r="C266" s="1264">
        <v>0</v>
      </c>
      <c r="D266" s="1268">
        <v>0</v>
      </c>
      <c r="E266" s="1268">
        <v>0</v>
      </c>
      <c r="F266" s="1268">
        <v>0</v>
      </c>
      <c r="G266" s="1268">
        <v>0</v>
      </c>
      <c r="H266" s="1268">
        <v>0</v>
      </c>
      <c r="I266" s="1352">
        <v>0</v>
      </c>
      <c r="J266" s="1266">
        <v>0</v>
      </c>
      <c r="K266" s="1268">
        <v>0</v>
      </c>
      <c r="L266" s="1268">
        <v>0</v>
      </c>
      <c r="M266" s="1268">
        <v>0</v>
      </c>
      <c r="N266" s="1268">
        <v>0</v>
      </c>
      <c r="O266" s="1352">
        <v>0</v>
      </c>
      <c r="P266" s="1264">
        <v>0</v>
      </c>
      <c r="Q266" s="1268">
        <v>0</v>
      </c>
      <c r="R266" s="1268">
        <v>0</v>
      </c>
      <c r="S266" s="1264">
        <v>0</v>
      </c>
      <c r="T266" s="1264">
        <v>0</v>
      </c>
      <c r="U266" s="1264">
        <v>0</v>
      </c>
      <c r="V266" s="1266">
        <v>0</v>
      </c>
      <c r="W266" s="1264">
        <v>0</v>
      </c>
      <c r="X266" s="1269">
        <v>0</v>
      </c>
      <c r="Y266"/>
      <c r="Z266"/>
      <c r="AA266"/>
      <c r="AB266"/>
    </row>
    <row r="267" spans="1:28">
      <c r="A267" s="1207"/>
      <c r="B267" s="1205" t="s">
        <v>221</v>
      </c>
      <c r="C267" s="1264">
        <v>0</v>
      </c>
      <c r="D267" s="1268">
        <v>0</v>
      </c>
      <c r="E267" s="1268">
        <v>0</v>
      </c>
      <c r="F267" s="1268">
        <v>0</v>
      </c>
      <c r="G267" s="1268"/>
      <c r="H267" s="1268"/>
      <c r="I267" s="1352">
        <v>0</v>
      </c>
      <c r="J267" s="1266">
        <v>0</v>
      </c>
      <c r="K267" s="1268">
        <v>0</v>
      </c>
      <c r="L267" s="1268">
        <v>0</v>
      </c>
      <c r="M267" s="1268">
        <v>0</v>
      </c>
      <c r="N267" s="1268"/>
      <c r="O267" s="1352">
        <v>0</v>
      </c>
      <c r="P267" s="1264">
        <v>0</v>
      </c>
      <c r="Q267" s="1268">
        <v>0</v>
      </c>
      <c r="R267" s="1268">
        <v>0</v>
      </c>
      <c r="S267" s="1264">
        <v>0</v>
      </c>
      <c r="T267" s="1264">
        <v>0</v>
      </c>
      <c r="U267" s="1264">
        <v>0</v>
      </c>
      <c r="V267" s="1266">
        <v>0</v>
      </c>
      <c r="W267" s="1264">
        <v>0</v>
      </c>
      <c r="X267" s="1269">
        <v>0</v>
      </c>
      <c r="Y267"/>
      <c r="Z267"/>
      <c r="AA267"/>
      <c r="AB267"/>
    </row>
    <row r="268" spans="1:28" s="205" customFormat="1">
      <c r="A268" s="1207"/>
      <c r="B268" s="1205" t="s">
        <v>143</v>
      </c>
      <c r="C268" s="1264">
        <v>0</v>
      </c>
      <c r="D268" s="1268">
        <v>0</v>
      </c>
      <c r="E268" s="1268">
        <v>0</v>
      </c>
      <c r="F268" s="1268">
        <v>0</v>
      </c>
      <c r="G268" s="1268"/>
      <c r="H268" s="1268"/>
      <c r="I268" s="1352">
        <v>0</v>
      </c>
      <c r="J268" s="1266">
        <v>0</v>
      </c>
      <c r="K268" s="1268">
        <v>0</v>
      </c>
      <c r="L268" s="1268">
        <v>0</v>
      </c>
      <c r="M268" s="1268">
        <v>0</v>
      </c>
      <c r="N268" s="1268"/>
      <c r="O268" s="1352">
        <v>0</v>
      </c>
      <c r="P268" s="1264">
        <v>0</v>
      </c>
      <c r="Q268" s="1268">
        <v>0</v>
      </c>
      <c r="R268" s="1268">
        <v>0</v>
      </c>
      <c r="S268" s="1264">
        <v>0</v>
      </c>
      <c r="T268" s="1264">
        <v>0</v>
      </c>
      <c r="U268" s="1264">
        <v>0</v>
      </c>
      <c r="V268" s="1266">
        <v>0</v>
      </c>
      <c r="W268" s="1264">
        <v>0</v>
      </c>
      <c r="X268" s="1269">
        <v>0</v>
      </c>
      <c r="Y268"/>
      <c r="Z268"/>
      <c r="AA268"/>
      <c r="AB268"/>
    </row>
    <row r="269" spans="1:28" s="204" customFormat="1">
      <c r="A269" s="1207"/>
      <c r="B269" s="1205" t="s">
        <v>245</v>
      </c>
      <c r="C269" s="1264">
        <v>0</v>
      </c>
      <c r="D269" s="1268">
        <v>0</v>
      </c>
      <c r="E269" s="1268">
        <v>0</v>
      </c>
      <c r="F269" s="1268">
        <v>0</v>
      </c>
      <c r="G269" s="1268">
        <v>0</v>
      </c>
      <c r="H269" s="1268">
        <v>0</v>
      </c>
      <c r="I269" s="1352">
        <v>0</v>
      </c>
      <c r="J269" s="1266">
        <v>0</v>
      </c>
      <c r="K269" s="1268">
        <v>0</v>
      </c>
      <c r="L269" s="1268">
        <v>0</v>
      </c>
      <c r="M269" s="1268">
        <v>0</v>
      </c>
      <c r="N269" s="1268">
        <v>0</v>
      </c>
      <c r="O269" s="1352">
        <v>0</v>
      </c>
      <c r="P269" s="1264">
        <v>0</v>
      </c>
      <c r="Q269" s="1268">
        <v>0</v>
      </c>
      <c r="R269" s="1268">
        <v>0</v>
      </c>
      <c r="S269" s="1264">
        <v>0</v>
      </c>
      <c r="T269" s="1264">
        <v>0</v>
      </c>
      <c r="U269" s="1264">
        <v>0</v>
      </c>
      <c r="V269" s="1266">
        <v>0</v>
      </c>
      <c r="W269" s="1264">
        <v>0</v>
      </c>
      <c r="X269" s="1269">
        <v>0</v>
      </c>
      <c r="Y269"/>
      <c r="Z269"/>
      <c r="AA269"/>
      <c r="AB269"/>
    </row>
    <row r="270" spans="1:28">
      <c r="A270" s="1207"/>
      <c r="B270" s="1205" t="s">
        <v>117</v>
      </c>
      <c r="C270" s="1264">
        <v>17451721</v>
      </c>
      <c r="D270" s="1268"/>
      <c r="E270" s="1268"/>
      <c r="F270" s="1268"/>
      <c r="G270" s="1268"/>
      <c r="H270" s="1268"/>
      <c r="I270" s="1352">
        <v>17451721</v>
      </c>
      <c r="J270" s="1266"/>
      <c r="K270" s="1268"/>
      <c r="L270" s="1268"/>
      <c r="M270" s="1268"/>
      <c r="N270" s="1268"/>
      <c r="O270" s="1352"/>
      <c r="P270" s="1264"/>
      <c r="Q270" s="1268"/>
      <c r="R270" s="1268"/>
      <c r="S270" s="1264"/>
      <c r="T270" s="1264">
        <v>157666426</v>
      </c>
      <c r="U270" s="1264">
        <v>157666426</v>
      </c>
      <c r="V270" s="1266"/>
      <c r="W270" s="1264"/>
      <c r="X270" s="1269">
        <v>175118147</v>
      </c>
      <c r="Y270"/>
      <c r="Z270"/>
      <c r="AA270"/>
      <c r="AB270"/>
    </row>
    <row r="271" spans="1:28" s="205" customFormat="1">
      <c r="A271" s="1207"/>
      <c r="B271" s="1205" t="s">
        <v>119</v>
      </c>
      <c r="C271" s="1264">
        <v>18818006</v>
      </c>
      <c r="D271" s="1268"/>
      <c r="E271" s="1268"/>
      <c r="F271" s="1268"/>
      <c r="G271" s="1268"/>
      <c r="H271" s="1268"/>
      <c r="I271" s="1352">
        <v>18818006</v>
      </c>
      <c r="J271" s="1266"/>
      <c r="K271" s="1268"/>
      <c r="L271" s="1268"/>
      <c r="M271" s="1268"/>
      <c r="N271" s="1268"/>
      <c r="O271" s="1352"/>
      <c r="P271" s="1264"/>
      <c r="Q271" s="1268"/>
      <c r="R271" s="1268"/>
      <c r="S271" s="1264"/>
      <c r="T271" s="1264">
        <v>162297925</v>
      </c>
      <c r="U271" s="1264">
        <v>162297925</v>
      </c>
      <c r="V271" s="1266"/>
      <c r="W271" s="1264"/>
      <c r="X271" s="1269">
        <v>181115931</v>
      </c>
      <c r="Y271"/>
      <c r="Z271"/>
      <c r="AA271"/>
      <c r="AB271"/>
    </row>
    <row r="272" spans="1:28" s="204" customFormat="1" ht="13.5" thickBot="1">
      <c r="A272" s="1207"/>
      <c r="B272" s="1205" t="s">
        <v>301</v>
      </c>
      <c r="C272" s="1264">
        <v>7.8289413405130643</v>
      </c>
      <c r="D272" s="1268">
        <v>0</v>
      </c>
      <c r="E272" s="1268">
        <v>0</v>
      </c>
      <c r="F272" s="1268">
        <v>0</v>
      </c>
      <c r="G272" s="1268">
        <v>0</v>
      </c>
      <c r="H272" s="1268">
        <v>0</v>
      </c>
      <c r="I272" s="1352">
        <v>7.8289413405130643</v>
      </c>
      <c r="J272" s="1266">
        <v>0</v>
      </c>
      <c r="K272" s="1268">
        <v>0</v>
      </c>
      <c r="L272" s="1268">
        <v>0</v>
      </c>
      <c r="M272" s="1268">
        <v>0</v>
      </c>
      <c r="N272" s="1268">
        <v>0</v>
      </c>
      <c r="O272" s="1352">
        <v>0</v>
      </c>
      <c r="P272" s="1264">
        <v>0</v>
      </c>
      <c r="Q272" s="1268">
        <v>0</v>
      </c>
      <c r="R272" s="1268">
        <v>0</v>
      </c>
      <c r="S272" s="1264">
        <v>0</v>
      </c>
      <c r="T272" s="1264">
        <v>2.9375302767375473</v>
      </c>
      <c r="U272" s="1264">
        <v>2.9375302767375473</v>
      </c>
      <c r="V272" s="1266">
        <v>0</v>
      </c>
      <c r="W272" s="1264">
        <v>0</v>
      </c>
      <c r="X272" s="1269">
        <v>3.4249928421181846</v>
      </c>
      <c r="Y272"/>
      <c r="Z272"/>
      <c r="AA272"/>
      <c r="AB272"/>
    </row>
    <row r="273" spans="1:28">
      <c r="A273" s="1207"/>
      <c r="B273" s="1205" t="s">
        <v>120</v>
      </c>
      <c r="C273" s="1262">
        <v>8388912</v>
      </c>
      <c r="D273" s="1268"/>
      <c r="E273" s="1268"/>
      <c r="F273" s="1268"/>
      <c r="G273" s="1268"/>
      <c r="H273" s="1268"/>
      <c r="I273" s="1352">
        <v>8388912</v>
      </c>
      <c r="J273" s="1266"/>
      <c r="K273" s="1268"/>
      <c r="L273" s="1268"/>
      <c r="M273" s="1268"/>
      <c r="N273" s="1268"/>
      <c r="O273" s="1352"/>
      <c r="P273" s="1264"/>
      <c r="Q273" s="1268"/>
      <c r="R273" s="1268"/>
      <c r="S273" s="1264"/>
      <c r="T273" s="1264">
        <v>28881048</v>
      </c>
      <c r="U273" s="1264">
        <v>28881048</v>
      </c>
      <c r="V273" s="1266"/>
      <c r="W273" s="1264"/>
      <c r="X273" s="1269">
        <v>37269960</v>
      </c>
      <c r="Y273"/>
      <c r="Z273"/>
      <c r="AA273"/>
      <c r="AB273"/>
    </row>
    <row r="274" spans="1:28" s="205" customFormat="1">
      <c r="A274" s="1207"/>
      <c r="B274" s="1205" t="s">
        <v>450</v>
      </c>
      <c r="C274" s="1267">
        <v>9445248</v>
      </c>
      <c r="D274" s="1268"/>
      <c r="E274" s="1268"/>
      <c r="F274" s="1268"/>
      <c r="G274" s="1268"/>
      <c r="H274" s="1268"/>
      <c r="I274" s="1352">
        <v>9445248</v>
      </c>
      <c r="J274" s="1266"/>
      <c r="K274" s="1268"/>
      <c r="L274" s="1268"/>
      <c r="M274" s="1268"/>
      <c r="N274" s="1268"/>
      <c r="O274" s="1352"/>
      <c r="P274" s="1264"/>
      <c r="Q274" s="1268"/>
      <c r="R274" s="1268"/>
      <c r="S274" s="1264"/>
      <c r="T274" s="1264">
        <v>32276468</v>
      </c>
      <c r="U274" s="1264">
        <v>32276468</v>
      </c>
      <c r="V274" s="1266"/>
      <c r="W274" s="1264"/>
      <c r="X274" s="1269">
        <v>41721716</v>
      </c>
      <c r="Y274"/>
      <c r="Z274"/>
      <c r="AA274"/>
      <c r="AB274"/>
    </row>
    <row r="275" spans="1:28" s="204" customFormat="1" ht="13.5" thickBot="1">
      <c r="A275" s="1207"/>
      <c r="B275" s="1205" t="s">
        <v>335</v>
      </c>
      <c r="C275" s="1281">
        <v>12.592050077530912</v>
      </c>
      <c r="D275" s="1268">
        <v>0</v>
      </c>
      <c r="E275" s="1268">
        <v>0</v>
      </c>
      <c r="F275" s="1268">
        <v>0</v>
      </c>
      <c r="G275" s="1268">
        <v>0</v>
      </c>
      <c r="H275" s="1268">
        <v>0</v>
      </c>
      <c r="I275" s="1352">
        <v>12.592050077530912</v>
      </c>
      <c r="J275" s="1266">
        <v>0</v>
      </c>
      <c r="K275" s="1268">
        <v>0</v>
      </c>
      <c r="L275" s="1268">
        <v>0</v>
      </c>
      <c r="M275" s="1268">
        <v>0</v>
      </c>
      <c r="N275" s="1268">
        <v>0</v>
      </c>
      <c r="O275" s="1352">
        <v>0</v>
      </c>
      <c r="P275" s="1264">
        <v>0</v>
      </c>
      <c r="Q275" s="1268">
        <v>0</v>
      </c>
      <c r="R275" s="1268">
        <v>0</v>
      </c>
      <c r="S275" s="1264">
        <v>0</v>
      </c>
      <c r="T275" s="1264">
        <v>11.756567836458013</v>
      </c>
      <c r="U275" s="1264">
        <v>11.756567836458013</v>
      </c>
      <c r="V275" s="1266">
        <v>0</v>
      </c>
      <c r="W275" s="1264">
        <v>0</v>
      </c>
      <c r="X275" s="1269">
        <v>11.9446224251381</v>
      </c>
      <c r="Y275"/>
      <c r="Z275"/>
      <c r="AA275"/>
      <c r="AB275"/>
    </row>
    <row r="276" spans="1:28">
      <c r="A276" s="1207"/>
      <c r="B276" s="1205" t="s">
        <v>35</v>
      </c>
      <c r="C276" s="1264">
        <v>410971115</v>
      </c>
      <c r="D276" s="1268">
        <v>295761755</v>
      </c>
      <c r="E276" s="1268">
        <v>251426078</v>
      </c>
      <c r="F276" s="1268">
        <v>256688180</v>
      </c>
      <c r="G276" s="1268"/>
      <c r="H276" s="1268"/>
      <c r="I276" s="1352">
        <v>1214847128</v>
      </c>
      <c r="J276" s="1266">
        <v>16185987</v>
      </c>
      <c r="K276" s="1268">
        <v>90633428</v>
      </c>
      <c r="L276" s="1268">
        <v>42305645</v>
      </c>
      <c r="M276" s="1268">
        <v>28563518</v>
      </c>
      <c r="N276" s="1268"/>
      <c r="O276" s="1352">
        <v>177688578</v>
      </c>
      <c r="P276" s="1264">
        <v>9273075</v>
      </c>
      <c r="Q276" s="1268">
        <v>5639563</v>
      </c>
      <c r="R276" s="1268">
        <v>72140813</v>
      </c>
      <c r="S276" s="1264">
        <v>87053451</v>
      </c>
      <c r="T276" s="1264">
        <v>0</v>
      </c>
      <c r="U276" s="1264">
        <v>0</v>
      </c>
      <c r="V276" s="1266">
        <v>53177337</v>
      </c>
      <c r="W276" s="1264">
        <v>53177337</v>
      </c>
      <c r="X276" s="1269">
        <v>1532766494</v>
      </c>
      <c r="Y276"/>
      <c r="Z276"/>
      <c r="AA276"/>
      <c r="AB276"/>
    </row>
    <row r="277" spans="1:28" s="205" customFormat="1">
      <c r="A277" s="1207"/>
      <c r="B277" s="1205" t="s">
        <v>37</v>
      </c>
      <c r="C277" s="1264">
        <v>419633295</v>
      </c>
      <c r="D277" s="1268">
        <v>305494292</v>
      </c>
      <c r="E277" s="1268">
        <v>247842170</v>
      </c>
      <c r="F277" s="1268">
        <v>260900236</v>
      </c>
      <c r="G277" s="1268"/>
      <c r="H277" s="1268"/>
      <c r="I277" s="1352">
        <v>1233869993</v>
      </c>
      <c r="J277" s="1266">
        <v>16603247</v>
      </c>
      <c r="K277" s="1268">
        <v>101055064</v>
      </c>
      <c r="L277" s="1268">
        <v>46808578</v>
      </c>
      <c r="M277" s="1268">
        <v>33888247</v>
      </c>
      <c r="N277" s="1268"/>
      <c r="O277" s="1352">
        <v>198355136</v>
      </c>
      <c r="P277" s="1264">
        <v>72932606</v>
      </c>
      <c r="Q277" s="1268">
        <v>6673636</v>
      </c>
      <c r="R277" s="1268">
        <v>0</v>
      </c>
      <c r="S277" s="1264">
        <v>79606242</v>
      </c>
      <c r="T277" s="1264">
        <v>0</v>
      </c>
      <c r="U277" s="1264">
        <v>0</v>
      </c>
      <c r="V277" s="1266">
        <v>26499973</v>
      </c>
      <c r="W277" s="1264">
        <v>26499973</v>
      </c>
      <c r="X277" s="1269">
        <v>1538331344</v>
      </c>
      <c r="Y277"/>
      <c r="Z277"/>
      <c r="AA277"/>
      <c r="AB277"/>
    </row>
    <row r="278" spans="1:28" s="214" customFormat="1" ht="13.5" thickBot="1">
      <c r="A278" s="1333"/>
      <c r="B278" s="1205" t="s">
        <v>39</v>
      </c>
      <c r="C278" s="1264">
        <v>2.1077345058666714</v>
      </c>
      <c r="D278" s="1268">
        <v>3.290667855281018</v>
      </c>
      <c r="E278" s="1268">
        <v>-1.4254320906202897</v>
      </c>
      <c r="F278" s="1268">
        <v>1.6409232400182976</v>
      </c>
      <c r="G278" s="1268">
        <v>0</v>
      </c>
      <c r="H278" s="1268">
        <v>0</v>
      </c>
      <c r="I278" s="1352">
        <v>1.5658649192608536</v>
      </c>
      <c r="J278" s="1266">
        <v>2.5779089035472476</v>
      </c>
      <c r="K278" s="1268">
        <v>11.49866691569914</v>
      </c>
      <c r="L278" s="1268">
        <v>10.643811245520544</v>
      </c>
      <c r="M278" s="1268">
        <v>18.64171283103153</v>
      </c>
      <c r="N278" s="1268">
        <v>0</v>
      </c>
      <c r="O278" s="1352">
        <v>11.630774601617894</v>
      </c>
      <c r="P278" s="1264">
        <v>686.49861022368532</v>
      </c>
      <c r="Q278" s="1268">
        <v>18.336048378216539</v>
      </c>
      <c r="R278" s="1268">
        <v>-100</v>
      </c>
      <c r="S278" s="1264">
        <v>-8.5547544806695832</v>
      </c>
      <c r="T278" s="1264">
        <v>0</v>
      </c>
      <c r="U278" s="1264">
        <v>0</v>
      </c>
      <c r="V278" s="1266">
        <v>-50.166791917391429</v>
      </c>
      <c r="W278" s="1264">
        <v>-50.166791917391429</v>
      </c>
      <c r="X278" s="1269">
        <v>0.36305921494132032</v>
      </c>
      <c r="Y278"/>
      <c r="Z278"/>
      <c r="AA278"/>
      <c r="AB278"/>
    </row>
    <row r="279" spans="1:28">
      <c r="A279" s="1206" t="s">
        <v>211</v>
      </c>
      <c r="B279" s="1204" t="s">
        <v>253</v>
      </c>
      <c r="C279" s="1259">
        <v>380317317</v>
      </c>
      <c r="D279" s="1260">
        <v>88737822</v>
      </c>
      <c r="E279" s="1260">
        <v>160153613</v>
      </c>
      <c r="F279" s="1278">
        <v>208011489</v>
      </c>
      <c r="G279" s="1262"/>
      <c r="H279" s="1260">
        <v>17214772</v>
      </c>
      <c r="I279" s="1355">
        <v>854435013</v>
      </c>
      <c r="J279" s="1261"/>
      <c r="K279" s="1260">
        <v>121491638</v>
      </c>
      <c r="L279" s="1260">
        <v>106216863</v>
      </c>
      <c r="M279" s="1260">
        <v>12296479</v>
      </c>
      <c r="N279" s="1260"/>
      <c r="O279" s="1355">
        <v>240004980</v>
      </c>
      <c r="P279" s="1259"/>
      <c r="Q279" s="1260"/>
      <c r="R279" s="1260"/>
      <c r="S279" s="1259"/>
      <c r="T279" s="1259"/>
      <c r="U279" s="1259"/>
      <c r="V279" s="1261"/>
      <c r="W279" s="1259"/>
      <c r="X279" s="1263">
        <v>1094439993</v>
      </c>
      <c r="Y279"/>
      <c r="Z279"/>
      <c r="AA279"/>
      <c r="AB279"/>
    </row>
    <row r="280" spans="1:28" s="205" customFormat="1">
      <c r="A280" s="1207"/>
      <c r="B280" s="1205" t="s">
        <v>4</v>
      </c>
      <c r="C280" s="1264">
        <v>367696216</v>
      </c>
      <c r="D280" s="1268">
        <v>89306609</v>
      </c>
      <c r="E280" s="1268">
        <v>162516200</v>
      </c>
      <c r="F280" s="1280">
        <v>206588583</v>
      </c>
      <c r="G280" s="1267"/>
      <c r="H280" s="1268">
        <v>17517752</v>
      </c>
      <c r="I280" s="1352">
        <v>843625360</v>
      </c>
      <c r="J280" s="1266"/>
      <c r="K280" s="1268">
        <v>116785963</v>
      </c>
      <c r="L280" s="1268">
        <v>106187692</v>
      </c>
      <c r="M280" s="1268">
        <v>12335861</v>
      </c>
      <c r="N280" s="1268"/>
      <c r="O280" s="1352">
        <v>235309516</v>
      </c>
      <c r="P280" s="1264"/>
      <c r="Q280" s="1268"/>
      <c r="R280" s="1268"/>
      <c r="S280" s="1264"/>
      <c r="T280" s="1264"/>
      <c r="U280" s="1264"/>
      <c r="V280" s="1266"/>
      <c r="W280" s="1264"/>
      <c r="X280" s="1269">
        <v>1078934876</v>
      </c>
      <c r="Y280"/>
      <c r="Z280"/>
      <c r="AA280"/>
      <c r="AB280"/>
    </row>
    <row r="281" spans="1:28" s="204" customFormat="1" ht="13.5" thickBot="1">
      <c r="A281" s="1207"/>
      <c r="B281" s="1205" t="s">
        <v>175</v>
      </c>
      <c r="C281" s="1264">
        <v>-3.3185712129958049</v>
      </c>
      <c r="D281" s="1268">
        <v>0.64097471312739673</v>
      </c>
      <c r="E281" s="1268">
        <v>1.4752005625998585</v>
      </c>
      <c r="F281" s="1284">
        <v>-0.68405163908999278</v>
      </c>
      <c r="G281" s="1281">
        <v>0</v>
      </c>
      <c r="H281" s="1268">
        <v>1.7600000743547461</v>
      </c>
      <c r="I281" s="1352">
        <v>-1.2651228982349767</v>
      </c>
      <c r="J281" s="1266">
        <v>0</v>
      </c>
      <c r="K281" s="1268">
        <v>-3.8732501079621633</v>
      </c>
      <c r="L281" s="1268">
        <v>-2.7463624113997793E-2</v>
      </c>
      <c r="M281" s="1268">
        <v>0.32027054248618653</v>
      </c>
      <c r="N281" s="1268">
        <v>0</v>
      </c>
      <c r="O281" s="1352">
        <v>-1.9564027379765203</v>
      </c>
      <c r="P281" s="1264">
        <v>0</v>
      </c>
      <c r="Q281" s="1268">
        <v>0</v>
      </c>
      <c r="R281" s="1268">
        <v>0</v>
      </c>
      <c r="S281" s="1264">
        <v>0</v>
      </c>
      <c r="T281" s="1264">
        <v>0</v>
      </c>
      <c r="U281" s="1264">
        <v>0</v>
      </c>
      <c r="V281" s="1266">
        <v>0</v>
      </c>
      <c r="W281" s="1264">
        <v>0</v>
      </c>
      <c r="X281" s="1269">
        <v>-1.4167169601960992</v>
      </c>
      <c r="Y281"/>
      <c r="Z281"/>
      <c r="AA281"/>
      <c r="AB281"/>
    </row>
    <row r="282" spans="1:28">
      <c r="A282" s="1207"/>
      <c r="B282" s="1205" t="s">
        <v>269</v>
      </c>
      <c r="C282" s="1264">
        <v>71633580</v>
      </c>
      <c r="D282" s="1268"/>
      <c r="E282" s="1268"/>
      <c r="F282" s="1268"/>
      <c r="G282" s="1268"/>
      <c r="H282" s="1268"/>
      <c r="I282" s="1352">
        <v>71633580</v>
      </c>
      <c r="J282" s="1266"/>
      <c r="K282" s="1268"/>
      <c r="L282" s="1268"/>
      <c r="M282" s="1268"/>
      <c r="N282" s="1268"/>
      <c r="O282" s="1352"/>
      <c r="P282" s="1264"/>
      <c r="Q282" s="1268"/>
      <c r="R282" s="1268"/>
      <c r="S282" s="1264"/>
      <c r="T282" s="1264"/>
      <c r="U282" s="1264"/>
      <c r="V282" s="1288"/>
      <c r="W282" s="1264"/>
      <c r="X282" s="1269">
        <v>71633580</v>
      </c>
      <c r="Y282"/>
      <c r="Z282"/>
      <c r="AA282"/>
      <c r="AB282"/>
    </row>
    <row r="283" spans="1:28" s="205" customFormat="1">
      <c r="A283" s="1207"/>
      <c r="B283" s="1205" t="s">
        <v>342</v>
      </c>
      <c r="C283" s="1264">
        <v>54095197</v>
      </c>
      <c r="D283" s="1268"/>
      <c r="E283" s="1268"/>
      <c r="F283" s="1268"/>
      <c r="G283" s="1268"/>
      <c r="H283" s="1268"/>
      <c r="I283" s="1352">
        <v>54095197</v>
      </c>
      <c r="J283" s="1266"/>
      <c r="K283" s="1268"/>
      <c r="L283" s="1268"/>
      <c r="M283" s="1268"/>
      <c r="N283" s="1268"/>
      <c r="O283" s="1352"/>
      <c r="P283" s="1264"/>
      <c r="Q283" s="1268"/>
      <c r="R283" s="1268"/>
      <c r="S283" s="1264"/>
      <c r="T283" s="1264"/>
      <c r="U283" s="1264"/>
      <c r="V283" s="1289"/>
      <c r="W283" s="1264"/>
      <c r="X283" s="1269">
        <v>54095197</v>
      </c>
      <c r="Y283"/>
      <c r="Z283"/>
      <c r="AA283"/>
      <c r="AB283"/>
    </row>
    <row r="284" spans="1:28" s="204" customFormat="1" ht="13.5" thickBot="1">
      <c r="A284" s="1207"/>
      <c r="B284" s="1205" t="s">
        <v>344</v>
      </c>
      <c r="C284" s="1264">
        <v>-24.483465715380969</v>
      </c>
      <c r="D284" s="1268">
        <v>0</v>
      </c>
      <c r="E284" s="1268">
        <v>0</v>
      </c>
      <c r="F284" s="1268">
        <v>0</v>
      </c>
      <c r="G284" s="1268">
        <v>0</v>
      </c>
      <c r="H284" s="1268">
        <v>0</v>
      </c>
      <c r="I284" s="1352">
        <v>-24.483465715380969</v>
      </c>
      <c r="J284" s="1266">
        <v>0</v>
      </c>
      <c r="K284" s="1268">
        <v>0</v>
      </c>
      <c r="L284" s="1268">
        <v>0</v>
      </c>
      <c r="M284" s="1268">
        <v>0</v>
      </c>
      <c r="N284" s="1268">
        <v>0</v>
      </c>
      <c r="O284" s="1352">
        <v>0</v>
      </c>
      <c r="P284" s="1264">
        <v>0</v>
      </c>
      <c r="Q284" s="1268">
        <v>0</v>
      </c>
      <c r="R284" s="1268">
        <v>0</v>
      </c>
      <c r="S284" s="1264">
        <v>0</v>
      </c>
      <c r="T284" s="1264">
        <v>0</v>
      </c>
      <c r="U284" s="1264">
        <v>0</v>
      </c>
      <c r="V284" s="1290">
        <v>0</v>
      </c>
      <c r="W284" s="1264">
        <v>0</v>
      </c>
      <c r="X284" s="1269">
        <v>-24.483465715380969</v>
      </c>
      <c r="Y284"/>
      <c r="Z284"/>
      <c r="AA284"/>
      <c r="AB284"/>
    </row>
    <row r="285" spans="1:28">
      <c r="A285" s="1207"/>
      <c r="B285" s="1205" t="s">
        <v>5</v>
      </c>
      <c r="C285" s="1264"/>
      <c r="D285" s="1268"/>
      <c r="E285" s="1268"/>
      <c r="F285" s="1268"/>
      <c r="G285" s="1268"/>
      <c r="H285" s="1268"/>
      <c r="I285" s="1352"/>
      <c r="J285" s="1266"/>
      <c r="K285" s="1265">
        <v>209161706</v>
      </c>
      <c r="L285" s="1265">
        <v>101813733</v>
      </c>
      <c r="M285" s="1265">
        <v>18283514</v>
      </c>
      <c r="N285" s="1268"/>
      <c r="O285" s="1352">
        <v>329258953</v>
      </c>
      <c r="P285" s="1264"/>
      <c r="Q285" s="1268"/>
      <c r="R285" s="1268"/>
      <c r="S285" s="1264"/>
      <c r="T285" s="1264"/>
      <c r="U285" s="1264"/>
      <c r="V285" s="1266"/>
      <c r="W285" s="1264"/>
      <c r="X285" s="1269">
        <v>329258953</v>
      </c>
      <c r="Y285"/>
      <c r="Z285"/>
      <c r="AA285"/>
      <c r="AB285"/>
    </row>
    <row r="286" spans="1:28" s="205" customFormat="1">
      <c r="A286" s="1207"/>
      <c r="B286" s="1205" t="s">
        <v>6</v>
      </c>
      <c r="C286" s="1264"/>
      <c r="D286" s="1268"/>
      <c r="E286" s="1268"/>
      <c r="F286" s="1268"/>
      <c r="G286" s="1268"/>
      <c r="H286" s="1268"/>
      <c r="I286" s="1352"/>
      <c r="J286" s="1266"/>
      <c r="K286" s="1265">
        <v>202120625</v>
      </c>
      <c r="L286" s="1265">
        <v>99036297</v>
      </c>
      <c r="M286" s="1265">
        <v>18328617</v>
      </c>
      <c r="N286" s="1268"/>
      <c r="O286" s="1352">
        <v>319485539</v>
      </c>
      <c r="P286" s="1264"/>
      <c r="Q286" s="1268"/>
      <c r="R286" s="1268"/>
      <c r="S286" s="1264"/>
      <c r="T286" s="1264"/>
      <c r="U286" s="1264"/>
      <c r="V286" s="1266"/>
      <c r="W286" s="1264"/>
      <c r="X286" s="1269">
        <v>319485539</v>
      </c>
      <c r="Y286"/>
      <c r="Z286"/>
      <c r="AA286"/>
      <c r="AB286"/>
    </row>
    <row r="287" spans="1:28" s="204" customFormat="1" ht="13.5" thickBot="1">
      <c r="A287" s="1207"/>
      <c r="B287" s="1205" t="s">
        <v>426</v>
      </c>
      <c r="C287" s="1264">
        <v>0</v>
      </c>
      <c r="D287" s="1268">
        <v>0</v>
      </c>
      <c r="E287" s="1268">
        <v>0</v>
      </c>
      <c r="F287" s="1268">
        <v>0</v>
      </c>
      <c r="G287" s="1268">
        <v>0</v>
      </c>
      <c r="H287" s="1268">
        <v>0</v>
      </c>
      <c r="I287" s="1352">
        <v>0</v>
      </c>
      <c r="J287" s="1266">
        <v>0</v>
      </c>
      <c r="K287" s="1265">
        <v>-3.3663337016384824</v>
      </c>
      <c r="L287" s="1265">
        <v>-2.7279581232916779</v>
      </c>
      <c r="M287" s="1265">
        <v>0.24668671459983021</v>
      </c>
      <c r="N287" s="1268">
        <v>0</v>
      </c>
      <c r="O287" s="1352">
        <v>-2.9683062255257795</v>
      </c>
      <c r="P287" s="1264">
        <v>0</v>
      </c>
      <c r="Q287" s="1268">
        <v>0</v>
      </c>
      <c r="R287" s="1268">
        <v>0</v>
      </c>
      <c r="S287" s="1264">
        <v>0</v>
      </c>
      <c r="T287" s="1264">
        <v>0</v>
      </c>
      <c r="U287" s="1264">
        <v>0</v>
      </c>
      <c r="V287" s="1266">
        <v>0</v>
      </c>
      <c r="W287" s="1264">
        <v>0</v>
      </c>
      <c r="X287" s="1269">
        <v>-2.9683062255257795</v>
      </c>
      <c r="Y287"/>
      <c r="Z287"/>
      <c r="AA287"/>
      <c r="AB287"/>
    </row>
    <row r="288" spans="1:28">
      <c r="A288" s="1207"/>
      <c r="B288" s="1205" t="s">
        <v>322</v>
      </c>
      <c r="C288" s="1264">
        <v>418864892</v>
      </c>
      <c r="D288" s="1268">
        <v>94330396</v>
      </c>
      <c r="E288" s="1268">
        <v>196058348</v>
      </c>
      <c r="F288" s="1268">
        <v>213899127</v>
      </c>
      <c r="G288" s="1262"/>
      <c r="H288" s="1268">
        <v>28550901</v>
      </c>
      <c r="I288" s="1352">
        <v>951703664</v>
      </c>
      <c r="J288" s="1266"/>
      <c r="K288" s="1268">
        <v>226963155</v>
      </c>
      <c r="L288" s="1262">
        <v>154337187</v>
      </c>
      <c r="M288" s="1268">
        <v>18263702</v>
      </c>
      <c r="N288" s="1268"/>
      <c r="O288" s="1352">
        <v>399564044</v>
      </c>
      <c r="P288" s="1264"/>
      <c r="Q288" s="1268"/>
      <c r="R288" s="1268"/>
      <c r="S288" s="1264"/>
      <c r="T288" s="1264"/>
      <c r="U288" s="1264"/>
      <c r="V288" s="1266"/>
      <c r="W288" s="1264"/>
      <c r="X288" s="1269">
        <v>1351267708</v>
      </c>
      <c r="Y288"/>
      <c r="Z288"/>
      <c r="AA288"/>
      <c r="AB288"/>
    </row>
    <row r="289" spans="1:28" s="205" customFormat="1">
      <c r="A289" s="1207"/>
      <c r="B289" s="1205" t="s">
        <v>22</v>
      </c>
      <c r="C289" s="1264">
        <v>417706873</v>
      </c>
      <c r="D289" s="1268">
        <v>93990242</v>
      </c>
      <c r="E289" s="1268">
        <v>205762359</v>
      </c>
      <c r="F289" s="1268">
        <v>221082117</v>
      </c>
      <c r="G289" s="1267"/>
      <c r="H289" s="1268">
        <v>28669244</v>
      </c>
      <c r="I289" s="1352">
        <v>967210835</v>
      </c>
      <c r="J289" s="1266"/>
      <c r="K289" s="1268">
        <v>235406714</v>
      </c>
      <c r="L289" s="1267">
        <v>166836596</v>
      </c>
      <c r="M289" s="1268">
        <v>18085706</v>
      </c>
      <c r="N289" s="1268"/>
      <c r="O289" s="1352">
        <v>420329016</v>
      </c>
      <c r="P289" s="1264"/>
      <c r="Q289" s="1268"/>
      <c r="R289" s="1268"/>
      <c r="S289" s="1264"/>
      <c r="T289" s="1264"/>
      <c r="U289" s="1264"/>
      <c r="V289" s="1266"/>
      <c r="W289" s="1264"/>
      <c r="X289" s="1269">
        <v>1387539851</v>
      </c>
      <c r="Y289"/>
      <c r="Z289"/>
      <c r="AA289"/>
      <c r="AB289"/>
    </row>
    <row r="290" spans="1:28" s="204" customFormat="1" ht="13.5" thickBot="1">
      <c r="A290" s="1207"/>
      <c r="B290" s="1205" t="s">
        <v>375</v>
      </c>
      <c r="C290" s="1335">
        <v>-0.27646599705950048</v>
      </c>
      <c r="D290" s="1268">
        <v>-0.36059850739946009</v>
      </c>
      <c r="E290" s="1268">
        <v>4.9495525689117814</v>
      </c>
      <c r="F290" s="1268">
        <v>3.3581202975176234</v>
      </c>
      <c r="G290" s="1281">
        <v>0</v>
      </c>
      <c r="H290" s="1268">
        <v>0.41449830252292214</v>
      </c>
      <c r="I290" s="1352">
        <v>1.6294117157039756</v>
      </c>
      <c r="J290" s="1266">
        <v>0</v>
      </c>
      <c r="K290" s="1268">
        <v>3.7202333568195245</v>
      </c>
      <c r="L290" s="1281">
        <v>8.0987668901857077</v>
      </c>
      <c r="M290" s="1268">
        <v>-0.97458883199035995</v>
      </c>
      <c r="N290" s="1268">
        <v>0</v>
      </c>
      <c r="O290" s="1352">
        <v>5.196907057032389</v>
      </c>
      <c r="P290" s="1264">
        <v>0</v>
      </c>
      <c r="Q290" s="1268">
        <v>0</v>
      </c>
      <c r="R290" s="1268">
        <v>0</v>
      </c>
      <c r="S290" s="1264">
        <v>0</v>
      </c>
      <c r="T290" s="1264">
        <v>0</v>
      </c>
      <c r="U290" s="1264">
        <v>0</v>
      </c>
      <c r="V290" s="1266">
        <v>0</v>
      </c>
      <c r="W290" s="1264">
        <v>0</v>
      </c>
      <c r="X290" s="1269">
        <v>2.6843047299403087</v>
      </c>
      <c r="Y290"/>
      <c r="Z290"/>
      <c r="AA290"/>
      <c r="AB290"/>
    </row>
    <row r="291" spans="1:28">
      <c r="A291" s="1207"/>
      <c r="B291" s="1205" t="s">
        <v>324</v>
      </c>
      <c r="C291" s="1264"/>
      <c r="D291" s="1268"/>
      <c r="E291" s="1268"/>
      <c r="F291" s="1268"/>
      <c r="G291" s="1268"/>
      <c r="H291" s="1268"/>
      <c r="I291" s="1352"/>
      <c r="J291" s="1266"/>
      <c r="K291" s="1268"/>
      <c r="L291" s="1268"/>
      <c r="M291" s="1268"/>
      <c r="N291" s="1268"/>
      <c r="O291" s="1352"/>
      <c r="P291" s="1264"/>
      <c r="Q291" s="1268"/>
      <c r="R291" s="1268"/>
      <c r="S291" s="1264"/>
      <c r="T291" s="1264"/>
      <c r="U291" s="1264"/>
      <c r="V291" s="1266"/>
      <c r="W291" s="1264"/>
      <c r="X291" s="1269"/>
      <c r="Y291"/>
      <c r="Z291"/>
      <c r="AA291"/>
      <c r="AB291"/>
    </row>
    <row r="292" spans="1:28" s="205" customFormat="1">
      <c r="A292" s="1207"/>
      <c r="B292" s="1205" t="s">
        <v>226</v>
      </c>
      <c r="C292" s="1264"/>
      <c r="D292" s="1268"/>
      <c r="E292" s="1268"/>
      <c r="F292" s="1268"/>
      <c r="G292" s="1268"/>
      <c r="H292" s="1268"/>
      <c r="I292" s="1352"/>
      <c r="J292" s="1266"/>
      <c r="K292" s="1268"/>
      <c r="L292" s="1268"/>
      <c r="M292" s="1268"/>
      <c r="N292" s="1268"/>
      <c r="O292" s="1352"/>
      <c r="P292" s="1264"/>
      <c r="Q292" s="1268"/>
      <c r="R292" s="1268"/>
      <c r="S292" s="1264"/>
      <c r="T292" s="1264"/>
      <c r="U292" s="1264"/>
      <c r="V292" s="1266"/>
      <c r="W292" s="1264"/>
      <c r="X292" s="1269"/>
      <c r="Y292"/>
      <c r="Z292"/>
      <c r="AA292"/>
      <c r="AB292"/>
    </row>
    <row r="293" spans="1:28" s="204" customFormat="1">
      <c r="A293" s="1207"/>
      <c r="B293" s="1205" t="s">
        <v>236</v>
      </c>
      <c r="C293" s="1264">
        <v>0</v>
      </c>
      <c r="D293" s="1268">
        <v>0</v>
      </c>
      <c r="E293" s="1268">
        <v>0</v>
      </c>
      <c r="F293" s="1268">
        <v>0</v>
      </c>
      <c r="G293" s="1268">
        <v>0</v>
      </c>
      <c r="H293" s="1268">
        <v>0</v>
      </c>
      <c r="I293" s="1352">
        <v>0</v>
      </c>
      <c r="J293" s="1266">
        <v>0</v>
      </c>
      <c r="K293" s="1268">
        <v>0</v>
      </c>
      <c r="L293" s="1268">
        <v>0</v>
      </c>
      <c r="M293" s="1268">
        <v>0</v>
      </c>
      <c r="N293" s="1268">
        <v>0</v>
      </c>
      <c r="O293" s="1352">
        <v>0</v>
      </c>
      <c r="P293" s="1264">
        <v>0</v>
      </c>
      <c r="Q293" s="1268">
        <v>0</v>
      </c>
      <c r="R293" s="1268">
        <v>0</v>
      </c>
      <c r="S293" s="1264">
        <v>0</v>
      </c>
      <c r="T293" s="1264">
        <v>0</v>
      </c>
      <c r="U293" s="1264">
        <v>0</v>
      </c>
      <c r="V293" s="1266">
        <v>0</v>
      </c>
      <c r="W293" s="1264">
        <v>0</v>
      </c>
      <c r="X293" s="1269">
        <v>0</v>
      </c>
      <c r="Y293"/>
      <c r="Z293"/>
      <c r="AA293"/>
      <c r="AB293"/>
    </row>
    <row r="294" spans="1:28">
      <c r="A294" s="1207"/>
      <c r="B294" s="1205" t="s">
        <v>449</v>
      </c>
      <c r="C294" s="1264">
        <v>418864892</v>
      </c>
      <c r="D294" s="1268">
        <v>94330396</v>
      </c>
      <c r="E294" s="1268">
        <v>196058348</v>
      </c>
      <c r="F294" s="1268">
        <v>213899127</v>
      </c>
      <c r="G294" s="1268"/>
      <c r="H294" s="1268">
        <v>28550901</v>
      </c>
      <c r="I294" s="1352">
        <v>951703664</v>
      </c>
      <c r="J294" s="1266"/>
      <c r="K294" s="1268">
        <v>226963155</v>
      </c>
      <c r="L294" s="1268">
        <v>154337187</v>
      </c>
      <c r="M294" s="1268">
        <v>18263702</v>
      </c>
      <c r="N294" s="1268"/>
      <c r="O294" s="1352">
        <v>399564044</v>
      </c>
      <c r="P294" s="1264"/>
      <c r="Q294" s="1268"/>
      <c r="R294" s="1268"/>
      <c r="S294" s="1264"/>
      <c r="T294" s="1264">
        <v>0</v>
      </c>
      <c r="U294" s="1264">
        <v>0</v>
      </c>
      <c r="V294" s="1266">
        <v>0</v>
      </c>
      <c r="W294" s="1264">
        <v>0</v>
      </c>
      <c r="X294" s="1269">
        <v>1351267708</v>
      </c>
      <c r="Y294"/>
      <c r="Z294"/>
      <c r="AA294"/>
      <c r="AB294"/>
    </row>
    <row r="295" spans="1:28" s="205" customFormat="1">
      <c r="A295" s="1207"/>
      <c r="B295" s="1205" t="s">
        <v>109</v>
      </c>
      <c r="C295" s="1264">
        <v>417706873</v>
      </c>
      <c r="D295" s="1268">
        <v>93990242</v>
      </c>
      <c r="E295" s="1268">
        <v>205762359</v>
      </c>
      <c r="F295" s="1268">
        <v>221082117</v>
      </c>
      <c r="G295" s="1268"/>
      <c r="H295" s="1268">
        <v>28669244</v>
      </c>
      <c r="I295" s="1352">
        <v>967210835</v>
      </c>
      <c r="J295" s="1266"/>
      <c r="K295" s="1268">
        <v>235406714</v>
      </c>
      <c r="L295" s="1268">
        <v>166836596</v>
      </c>
      <c r="M295" s="1268">
        <v>18085706</v>
      </c>
      <c r="N295" s="1268"/>
      <c r="O295" s="1352">
        <v>420329016</v>
      </c>
      <c r="P295" s="1264"/>
      <c r="Q295" s="1268"/>
      <c r="R295" s="1268"/>
      <c r="S295" s="1264"/>
      <c r="T295" s="1264">
        <v>0</v>
      </c>
      <c r="U295" s="1264">
        <v>0</v>
      </c>
      <c r="V295" s="1266">
        <v>0</v>
      </c>
      <c r="W295" s="1264">
        <v>0</v>
      </c>
      <c r="X295" s="1269">
        <v>1387539851</v>
      </c>
      <c r="Y295"/>
      <c r="Z295"/>
      <c r="AA295"/>
      <c r="AB295"/>
    </row>
    <row r="296" spans="1:28" s="204" customFormat="1" ht="13.5" thickBot="1">
      <c r="A296" s="1207"/>
      <c r="B296" s="1205" t="s">
        <v>83</v>
      </c>
      <c r="C296" s="1264">
        <v>-0.27646599705950048</v>
      </c>
      <c r="D296" s="1268">
        <v>-0.36059850739946009</v>
      </c>
      <c r="E296" s="1268">
        <v>4.9495525689117814</v>
      </c>
      <c r="F296" s="1268">
        <v>3.3581202975176234</v>
      </c>
      <c r="G296" s="1268">
        <v>0</v>
      </c>
      <c r="H296" s="1268">
        <v>0.41449830252292214</v>
      </c>
      <c r="I296" s="1352">
        <v>1.6294117157039756</v>
      </c>
      <c r="J296" s="1266">
        <v>0</v>
      </c>
      <c r="K296" s="1268">
        <v>3.7202333568195245</v>
      </c>
      <c r="L296" s="1268">
        <v>8.0987668901857077</v>
      </c>
      <c r="M296" s="1268">
        <v>-0.97458883199035995</v>
      </c>
      <c r="N296" s="1268">
        <v>0</v>
      </c>
      <c r="O296" s="1352">
        <v>5.196907057032389</v>
      </c>
      <c r="P296" s="1264">
        <v>0</v>
      </c>
      <c r="Q296" s="1268">
        <v>0</v>
      </c>
      <c r="R296" s="1268">
        <v>0</v>
      </c>
      <c r="S296" s="1264">
        <v>0</v>
      </c>
      <c r="T296" s="1264">
        <v>0</v>
      </c>
      <c r="U296" s="1264">
        <v>0</v>
      </c>
      <c r="V296" s="1266">
        <v>0</v>
      </c>
      <c r="W296" s="1264">
        <v>0</v>
      </c>
      <c r="X296" s="1269">
        <v>2.6843047299403087</v>
      </c>
      <c r="Y296"/>
      <c r="Z296"/>
      <c r="AA296"/>
      <c r="AB296"/>
    </row>
    <row r="297" spans="1:28">
      <c r="A297" s="1207"/>
      <c r="B297" s="1205" t="s">
        <v>111</v>
      </c>
      <c r="C297" s="1264"/>
      <c r="D297" s="1268"/>
      <c r="E297" s="1268"/>
      <c r="F297" s="1268"/>
      <c r="G297" s="1268"/>
      <c r="H297" s="1268"/>
      <c r="I297" s="1352"/>
      <c r="J297" s="1266"/>
      <c r="K297" s="1268"/>
      <c r="L297" s="1268"/>
      <c r="M297" s="1268"/>
      <c r="N297" s="1268"/>
      <c r="O297" s="1352"/>
      <c r="P297" s="1264"/>
      <c r="Q297" s="1268"/>
      <c r="R297" s="1268"/>
      <c r="S297" s="1264"/>
      <c r="T297" s="1264">
        <v>29804848</v>
      </c>
      <c r="U297" s="1264">
        <v>29804848</v>
      </c>
      <c r="V297" s="1266">
        <v>187664087</v>
      </c>
      <c r="W297" s="1262">
        <v>187664087</v>
      </c>
      <c r="X297" s="1269">
        <v>217468935</v>
      </c>
      <c r="Y297"/>
      <c r="Z297"/>
      <c r="AA297"/>
      <c r="AB297"/>
    </row>
    <row r="298" spans="1:28" s="205" customFormat="1">
      <c r="A298" s="1207"/>
      <c r="B298" s="1205" t="s">
        <v>113</v>
      </c>
      <c r="C298" s="1264"/>
      <c r="D298" s="1268"/>
      <c r="E298" s="1268"/>
      <c r="F298" s="1268"/>
      <c r="G298" s="1268"/>
      <c r="H298" s="1268"/>
      <c r="I298" s="1352"/>
      <c r="J298" s="1266"/>
      <c r="K298" s="1268"/>
      <c r="L298" s="1268"/>
      <c r="M298" s="1268"/>
      <c r="N298" s="1268"/>
      <c r="O298" s="1352"/>
      <c r="P298" s="1264"/>
      <c r="Q298" s="1268"/>
      <c r="R298" s="1268"/>
      <c r="S298" s="1264"/>
      <c r="T298" s="1264">
        <v>31429876</v>
      </c>
      <c r="U298" s="1264">
        <v>31429876</v>
      </c>
      <c r="V298" s="1266">
        <v>142795211</v>
      </c>
      <c r="W298" s="1267">
        <v>142795211</v>
      </c>
      <c r="X298" s="1269">
        <v>174225087</v>
      </c>
      <c r="Y298"/>
      <c r="Z298"/>
      <c r="AA298"/>
      <c r="AB298"/>
    </row>
    <row r="299" spans="1:28" s="204" customFormat="1" ht="13.5" thickBot="1">
      <c r="A299" s="1207"/>
      <c r="B299" s="1205" t="s">
        <v>115</v>
      </c>
      <c r="C299" s="1264">
        <v>0</v>
      </c>
      <c r="D299" s="1268">
        <v>0</v>
      </c>
      <c r="E299" s="1268">
        <v>0</v>
      </c>
      <c r="F299" s="1268">
        <v>0</v>
      </c>
      <c r="G299" s="1268">
        <v>0</v>
      </c>
      <c r="H299" s="1268">
        <v>0</v>
      </c>
      <c r="I299" s="1352">
        <v>0</v>
      </c>
      <c r="J299" s="1266">
        <v>0</v>
      </c>
      <c r="K299" s="1268">
        <v>0</v>
      </c>
      <c r="L299" s="1268">
        <v>0</v>
      </c>
      <c r="M299" s="1268">
        <v>0</v>
      </c>
      <c r="N299" s="1268">
        <v>0</v>
      </c>
      <c r="O299" s="1352">
        <v>0</v>
      </c>
      <c r="P299" s="1264">
        <v>0</v>
      </c>
      <c r="Q299" s="1268">
        <v>0</v>
      </c>
      <c r="R299" s="1268">
        <v>0</v>
      </c>
      <c r="S299" s="1264">
        <v>0</v>
      </c>
      <c r="T299" s="1264">
        <v>5.4522271007723306</v>
      </c>
      <c r="U299" s="1264">
        <v>5.4522271007723306</v>
      </c>
      <c r="V299" s="1266">
        <v>-23.909143575243569</v>
      </c>
      <c r="W299" s="1281">
        <v>-23.909143575243569</v>
      </c>
      <c r="X299" s="1269">
        <v>-19.88506910193863</v>
      </c>
      <c r="Y299"/>
      <c r="Z299"/>
      <c r="AA299"/>
      <c r="AB299"/>
    </row>
    <row r="300" spans="1:28">
      <c r="A300" s="1207"/>
      <c r="B300" s="1205" t="s">
        <v>339</v>
      </c>
      <c r="C300" s="1264"/>
      <c r="D300" s="1268"/>
      <c r="E300" s="1268"/>
      <c r="F300" s="1268"/>
      <c r="G300" s="1268"/>
      <c r="H300" s="1268"/>
      <c r="I300" s="1352"/>
      <c r="J300" s="1266"/>
      <c r="K300" s="1268"/>
      <c r="L300" s="1268"/>
      <c r="M300" s="1268"/>
      <c r="N300" s="1268"/>
      <c r="O300" s="1352"/>
      <c r="P300" s="1264"/>
      <c r="Q300" s="1268"/>
      <c r="R300" s="1268"/>
      <c r="S300" s="1264"/>
      <c r="T300" s="1339">
        <v>267347042</v>
      </c>
      <c r="U300" s="1264">
        <v>267347042</v>
      </c>
      <c r="V300" s="1266"/>
      <c r="W300" s="1264"/>
      <c r="X300" s="1269">
        <v>267347042</v>
      </c>
      <c r="Y300"/>
      <c r="Z300"/>
      <c r="AA300"/>
      <c r="AB300"/>
    </row>
    <row r="301" spans="1:28" s="205" customFormat="1">
      <c r="A301" s="1207"/>
      <c r="B301" s="1205" t="s">
        <v>223</v>
      </c>
      <c r="C301" s="1264"/>
      <c r="D301" s="1268"/>
      <c r="E301" s="1268"/>
      <c r="F301" s="1268"/>
      <c r="G301" s="1268"/>
      <c r="H301" s="1268"/>
      <c r="I301" s="1352"/>
      <c r="J301" s="1266"/>
      <c r="K301" s="1268"/>
      <c r="L301" s="1268"/>
      <c r="M301" s="1268"/>
      <c r="N301" s="1268"/>
      <c r="O301" s="1352"/>
      <c r="P301" s="1264"/>
      <c r="Q301" s="1268"/>
      <c r="R301" s="1268"/>
      <c r="S301" s="1264"/>
      <c r="T301" s="1339">
        <v>238241134</v>
      </c>
      <c r="U301" s="1264">
        <v>238241134</v>
      </c>
      <c r="V301" s="1266"/>
      <c r="W301" s="1264"/>
      <c r="X301" s="1269">
        <v>238241134</v>
      </c>
      <c r="Y301"/>
      <c r="Z301"/>
      <c r="AA301"/>
      <c r="AB301"/>
    </row>
    <row r="302" spans="1:28" s="204" customFormat="1">
      <c r="A302" s="1207"/>
      <c r="B302" s="1205" t="s">
        <v>85</v>
      </c>
      <c r="C302" s="1264">
        <v>0</v>
      </c>
      <c r="D302" s="1268">
        <v>0</v>
      </c>
      <c r="E302" s="1268">
        <v>0</v>
      </c>
      <c r="F302" s="1268">
        <v>0</v>
      </c>
      <c r="G302" s="1268">
        <v>0</v>
      </c>
      <c r="H302" s="1268">
        <v>0</v>
      </c>
      <c r="I302" s="1352">
        <v>0</v>
      </c>
      <c r="J302" s="1266">
        <v>0</v>
      </c>
      <c r="K302" s="1268">
        <v>0</v>
      </c>
      <c r="L302" s="1268">
        <v>0</v>
      </c>
      <c r="M302" s="1268">
        <v>0</v>
      </c>
      <c r="N302" s="1268">
        <v>0</v>
      </c>
      <c r="O302" s="1352">
        <v>0</v>
      </c>
      <c r="P302" s="1264">
        <v>0</v>
      </c>
      <c r="Q302" s="1268">
        <v>0</v>
      </c>
      <c r="R302" s="1268">
        <v>0</v>
      </c>
      <c r="S302" s="1264">
        <v>0</v>
      </c>
      <c r="T302" s="1339">
        <v>-10.886938483501156</v>
      </c>
      <c r="U302" s="1264">
        <v>-10.886938483501156</v>
      </c>
      <c r="V302" s="1266">
        <v>0</v>
      </c>
      <c r="W302" s="1264">
        <v>0</v>
      </c>
      <c r="X302" s="1269">
        <v>-10.886938483501156</v>
      </c>
      <c r="Y302"/>
      <c r="Z302"/>
      <c r="AA302"/>
      <c r="AB302"/>
    </row>
    <row r="303" spans="1:28">
      <c r="A303" s="1207"/>
      <c r="B303" s="1205" t="s">
        <v>219</v>
      </c>
      <c r="C303" s="1264"/>
      <c r="D303" s="1268"/>
      <c r="E303" s="1268"/>
      <c r="F303" s="1268"/>
      <c r="G303" s="1268"/>
      <c r="H303" s="1268"/>
      <c r="I303" s="1352"/>
      <c r="J303" s="1266"/>
      <c r="K303" s="1268"/>
      <c r="L303" s="1268"/>
      <c r="M303" s="1268"/>
      <c r="N303" s="1268"/>
      <c r="O303" s="1352"/>
      <c r="P303" s="1264"/>
      <c r="Q303" s="1268"/>
      <c r="R303" s="1268"/>
      <c r="S303" s="1264"/>
      <c r="T303" s="1264"/>
      <c r="U303" s="1264"/>
      <c r="V303" s="1266"/>
      <c r="W303" s="1264"/>
      <c r="X303" s="1269"/>
      <c r="Y303"/>
      <c r="Z303"/>
      <c r="AA303"/>
      <c r="AB303"/>
    </row>
    <row r="304" spans="1:28" s="205" customFormat="1">
      <c r="A304" s="1207"/>
      <c r="B304" s="1205" t="s">
        <v>141</v>
      </c>
      <c r="C304" s="1264"/>
      <c r="D304" s="1268"/>
      <c r="E304" s="1268"/>
      <c r="F304" s="1268"/>
      <c r="G304" s="1268"/>
      <c r="H304" s="1268"/>
      <c r="I304" s="1352"/>
      <c r="J304" s="1266"/>
      <c r="K304" s="1268"/>
      <c r="L304" s="1268"/>
      <c r="M304" s="1268"/>
      <c r="N304" s="1268"/>
      <c r="O304" s="1352"/>
      <c r="P304" s="1264"/>
      <c r="Q304" s="1268"/>
      <c r="R304" s="1268"/>
      <c r="S304" s="1264"/>
      <c r="T304" s="1264"/>
      <c r="U304" s="1264"/>
      <c r="V304" s="1266"/>
      <c r="W304" s="1264"/>
      <c r="X304" s="1269"/>
      <c r="Y304"/>
      <c r="Z304"/>
      <c r="AA304"/>
      <c r="AB304"/>
    </row>
    <row r="305" spans="1:28" s="204" customFormat="1">
      <c r="A305" s="1207"/>
      <c r="B305" s="1205" t="s">
        <v>169</v>
      </c>
      <c r="C305" s="1264">
        <v>0</v>
      </c>
      <c r="D305" s="1268">
        <v>0</v>
      </c>
      <c r="E305" s="1268">
        <v>0</v>
      </c>
      <c r="F305" s="1268">
        <v>0</v>
      </c>
      <c r="G305" s="1268">
        <v>0</v>
      </c>
      <c r="H305" s="1268">
        <v>0</v>
      </c>
      <c r="I305" s="1352">
        <v>0</v>
      </c>
      <c r="J305" s="1266">
        <v>0</v>
      </c>
      <c r="K305" s="1268">
        <v>0</v>
      </c>
      <c r="L305" s="1268">
        <v>0</v>
      </c>
      <c r="M305" s="1268">
        <v>0</v>
      </c>
      <c r="N305" s="1268">
        <v>0</v>
      </c>
      <c r="O305" s="1352">
        <v>0</v>
      </c>
      <c r="P305" s="1264">
        <v>0</v>
      </c>
      <c r="Q305" s="1268">
        <v>0</v>
      </c>
      <c r="R305" s="1268">
        <v>0</v>
      </c>
      <c r="S305" s="1264">
        <v>0</v>
      </c>
      <c r="T305" s="1264">
        <v>0</v>
      </c>
      <c r="U305" s="1264">
        <v>0</v>
      </c>
      <c r="V305" s="1266">
        <v>0</v>
      </c>
      <c r="W305" s="1264">
        <v>0</v>
      </c>
      <c r="X305" s="1269">
        <v>0</v>
      </c>
      <c r="Y305"/>
      <c r="Z305"/>
      <c r="AA305"/>
      <c r="AB305"/>
    </row>
    <row r="306" spans="1:28">
      <c r="A306" s="1207"/>
      <c r="B306" s="1205" t="s">
        <v>221</v>
      </c>
      <c r="C306" s="1264">
        <v>0</v>
      </c>
      <c r="D306" s="1268">
        <v>0</v>
      </c>
      <c r="E306" s="1268">
        <v>0</v>
      </c>
      <c r="F306" s="1268">
        <v>0</v>
      </c>
      <c r="G306" s="1268"/>
      <c r="H306" s="1268">
        <v>0</v>
      </c>
      <c r="I306" s="1352">
        <v>0</v>
      </c>
      <c r="J306" s="1266"/>
      <c r="K306" s="1268">
        <v>0</v>
      </c>
      <c r="L306" s="1268">
        <v>0</v>
      </c>
      <c r="M306" s="1268">
        <v>0</v>
      </c>
      <c r="N306" s="1268"/>
      <c r="O306" s="1352">
        <v>0</v>
      </c>
      <c r="P306" s="1264"/>
      <c r="Q306" s="1268"/>
      <c r="R306" s="1268"/>
      <c r="S306" s="1264"/>
      <c r="T306" s="1264">
        <v>267347042</v>
      </c>
      <c r="U306" s="1264">
        <v>267347042</v>
      </c>
      <c r="V306" s="1266">
        <v>0</v>
      </c>
      <c r="W306" s="1264">
        <v>0</v>
      </c>
      <c r="X306" s="1269">
        <v>267347042</v>
      </c>
      <c r="Y306"/>
      <c r="Z306"/>
      <c r="AA306"/>
      <c r="AB306"/>
    </row>
    <row r="307" spans="1:28" s="205" customFormat="1">
      <c r="A307" s="1207"/>
      <c r="B307" s="1205" t="s">
        <v>143</v>
      </c>
      <c r="C307" s="1264">
        <v>0</v>
      </c>
      <c r="D307" s="1268">
        <v>0</v>
      </c>
      <c r="E307" s="1268">
        <v>0</v>
      </c>
      <c r="F307" s="1268">
        <v>0</v>
      </c>
      <c r="G307" s="1268"/>
      <c r="H307" s="1268">
        <v>0</v>
      </c>
      <c r="I307" s="1352">
        <v>0</v>
      </c>
      <c r="J307" s="1266"/>
      <c r="K307" s="1268">
        <v>0</v>
      </c>
      <c r="L307" s="1268">
        <v>0</v>
      </c>
      <c r="M307" s="1268">
        <v>0</v>
      </c>
      <c r="N307" s="1268"/>
      <c r="O307" s="1352">
        <v>0</v>
      </c>
      <c r="P307" s="1264"/>
      <c r="Q307" s="1268"/>
      <c r="R307" s="1268"/>
      <c r="S307" s="1264"/>
      <c r="T307" s="1264">
        <v>238241134</v>
      </c>
      <c r="U307" s="1264">
        <v>238241134</v>
      </c>
      <c r="V307" s="1266">
        <v>0</v>
      </c>
      <c r="W307" s="1264">
        <v>0</v>
      </c>
      <c r="X307" s="1269">
        <v>238241134</v>
      </c>
      <c r="Y307"/>
      <c r="Z307"/>
      <c r="AA307"/>
      <c r="AB307"/>
    </row>
    <row r="308" spans="1:28" s="204" customFormat="1">
      <c r="A308" s="1207"/>
      <c r="B308" s="1205" t="s">
        <v>245</v>
      </c>
      <c r="C308" s="1264">
        <v>0</v>
      </c>
      <c r="D308" s="1268">
        <v>0</v>
      </c>
      <c r="E308" s="1268">
        <v>0</v>
      </c>
      <c r="F308" s="1268">
        <v>0</v>
      </c>
      <c r="G308" s="1268">
        <v>0</v>
      </c>
      <c r="H308" s="1268">
        <v>0</v>
      </c>
      <c r="I308" s="1352">
        <v>0</v>
      </c>
      <c r="J308" s="1266">
        <v>0</v>
      </c>
      <c r="K308" s="1268">
        <v>0</v>
      </c>
      <c r="L308" s="1268">
        <v>0</v>
      </c>
      <c r="M308" s="1268">
        <v>0</v>
      </c>
      <c r="N308" s="1268">
        <v>0</v>
      </c>
      <c r="O308" s="1352">
        <v>0</v>
      </c>
      <c r="P308" s="1264">
        <v>0</v>
      </c>
      <c r="Q308" s="1268">
        <v>0</v>
      </c>
      <c r="R308" s="1268">
        <v>0</v>
      </c>
      <c r="S308" s="1264">
        <v>0</v>
      </c>
      <c r="T308" s="1264">
        <v>-10.886938483501156</v>
      </c>
      <c r="U308" s="1264">
        <v>-10.886938483501156</v>
      </c>
      <c r="V308" s="1266">
        <v>0</v>
      </c>
      <c r="W308" s="1264">
        <v>0</v>
      </c>
      <c r="X308" s="1269">
        <v>-10.886938483501156</v>
      </c>
      <c r="Y308"/>
      <c r="Z308"/>
      <c r="AA308"/>
      <c r="AB308"/>
    </row>
    <row r="309" spans="1:28">
      <c r="A309" s="1207"/>
      <c r="B309" s="1205" t="s">
        <v>117</v>
      </c>
      <c r="C309" s="1264"/>
      <c r="D309" s="1268"/>
      <c r="E309" s="1268"/>
      <c r="F309" s="1268"/>
      <c r="G309" s="1268"/>
      <c r="H309" s="1268"/>
      <c r="I309" s="1352"/>
      <c r="J309" s="1266"/>
      <c r="K309" s="1268"/>
      <c r="L309" s="1268"/>
      <c r="M309" s="1268"/>
      <c r="N309" s="1268"/>
      <c r="O309" s="1352"/>
      <c r="P309" s="1264"/>
      <c r="Q309" s="1268"/>
      <c r="R309" s="1268"/>
      <c r="S309" s="1264"/>
      <c r="T309" s="1264">
        <v>180473559</v>
      </c>
      <c r="U309" s="1264">
        <v>180473559</v>
      </c>
      <c r="V309" s="1266"/>
      <c r="W309" s="1264"/>
      <c r="X309" s="1269">
        <v>180473559</v>
      </c>
      <c r="Y309"/>
      <c r="Z309"/>
      <c r="AA309"/>
      <c r="AB309"/>
    </row>
    <row r="310" spans="1:28" s="205" customFormat="1">
      <c r="A310" s="1207"/>
      <c r="B310" s="1205" t="s">
        <v>119</v>
      </c>
      <c r="C310" s="1264"/>
      <c r="D310" s="1268"/>
      <c r="E310" s="1268"/>
      <c r="F310" s="1268"/>
      <c r="G310" s="1268"/>
      <c r="H310" s="1268"/>
      <c r="I310" s="1352"/>
      <c r="J310" s="1266"/>
      <c r="K310" s="1268"/>
      <c r="L310" s="1268"/>
      <c r="M310" s="1268"/>
      <c r="N310" s="1268"/>
      <c r="O310" s="1352"/>
      <c r="P310" s="1264"/>
      <c r="Q310" s="1268"/>
      <c r="R310" s="1268"/>
      <c r="S310" s="1264"/>
      <c r="T310" s="1264">
        <v>178589273</v>
      </c>
      <c r="U310" s="1264">
        <v>178589273</v>
      </c>
      <c r="V310" s="1266"/>
      <c r="W310" s="1264"/>
      <c r="X310" s="1269">
        <v>178589273</v>
      </c>
      <c r="Y310"/>
      <c r="Z310"/>
      <c r="AA310"/>
      <c r="AB310"/>
    </row>
    <row r="311" spans="1:28" s="204" customFormat="1">
      <c r="A311" s="1207"/>
      <c r="B311" s="1205" t="s">
        <v>301</v>
      </c>
      <c r="C311" s="1264">
        <v>0</v>
      </c>
      <c r="D311" s="1268">
        <v>0</v>
      </c>
      <c r="E311" s="1268">
        <v>0</v>
      </c>
      <c r="F311" s="1268">
        <v>0</v>
      </c>
      <c r="G311" s="1268">
        <v>0</v>
      </c>
      <c r="H311" s="1268">
        <v>0</v>
      </c>
      <c r="I311" s="1352">
        <v>0</v>
      </c>
      <c r="J311" s="1266">
        <v>0</v>
      </c>
      <c r="K311" s="1268">
        <v>0</v>
      </c>
      <c r="L311" s="1268">
        <v>0</v>
      </c>
      <c r="M311" s="1268">
        <v>0</v>
      </c>
      <c r="N311" s="1268">
        <v>0</v>
      </c>
      <c r="O311" s="1352">
        <v>0</v>
      </c>
      <c r="P311" s="1264">
        <v>0</v>
      </c>
      <c r="Q311" s="1268">
        <v>0</v>
      </c>
      <c r="R311" s="1268">
        <v>0</v>
      </c>
      <c r="S311" s="1264">
        <v>0</v>
      </c>
      <c r="T311" s="1264">
        <v>-1.0440787062884931</v>
      </c>
      <c r="U311" s="1264">
        <v>-1.0440787062884931</v>
      </c>
      <c r="V311" s="1266">
        <v>0</v>
      </c>
      <c r="W311" s="1264">
        <v>0</v>
      </c>
      <c r="X311" s="1269">
        <v>-1.0440787062884931</v>
      </c>
      <c r="Y311"/>
      <c r="Z311"/>
      <c r="AA311"/>
      <c r="AB311"/>
    </row>
    <row r="312" spans="1:28">
      <c r="A312" s="1207"/>
      <c r="B312" s="1205" t="s">
        <v>120</v>
      </c>
      <c r="C312" s="1264"/>
      <c r="D312" s="1268"/>
      <c r="E312" s="1268"/>
      <c r="F312" s="1268"/>
      <c r="G312" s="1268"/>
      <c r="H312" s="1268"/>
      <c r="I312" s="1352"/>
      <c r="J312" s="1266"/>
      <c r="K312" s="1268"/>
      <c r="L312" s="1268"/>
      <c r="M312" s="1268"/>
      <c r="N312" s="1268"/>
      <c r="O312" s="1352"/>
      <c r="P312" s="1264"/>
      <c r="Q312" s="1268"/>
      <c r="R312" s="1268"/>
      <c r="S312" s="1264"/>
      <c r="T312" s="1264">
        <v>101793051</v>
      </c>
      <c r="U312" s="1264">
        <v>101793051</v>
      </c>
      <c r="V312" s="1266"/>
      <c r="W312" s="1264"/>
      <c r="X312" s="1269">
        <v>101793051</v>
      </c>
      <c r="Y312"/>
      <c r="Z312"/>
      <c r="AA312"/>
      <c r="AB312"/>
    </row>
    <row r="313" spans="1:28" s="205" customFormat="1">
      <c r="A313" s="1207"/>
      <c r="B313" s="1205" t="s">
        <v>450</v>
      </c>
      <c r="C313" s="1264"/>
      <c r="D313" s="1268"/>
      <c r="E313" s="1268"/>
      <c r="F313" s="1268"/>
      <c r="G313" s="1268"/>
      <c r="H313" s="1268"/>
      <c r="I313" s="1352"/>
      <c r="J313" s="1266"/>
      <c r="K313" s="1268"/>
      <c r="L313" s="1268"/>
      <c r="M313" s="1268"/>
      <c r="N313" s="1268"/>
      <c r="O313" s="1352"/>
      <c r="P313" s="1264"/>
      <c r="Q313" s="1268"/>
      <c r="R313" s="1268"/>
      <c r="S313" s="1264"/>
      <c r="T313" s="1264">
        <v>104033790</v>
      </c>
      <c r="U313" s="1264">
        <v>104033790</v>
      </c>
      <c r="V313" s="1266"/>
      <c r="W313" s="1264"/>
      <c r="X313" s="1269">
        <v>104033790</v>
      </c>
      <c r="Y313"/>
      <c r="Z313"/>
      <c r="AA313"/>
      <c r="AB313"/>
    </row>
    <row r="314" spans="1:28" s="204" customFormat="1">
      <c r="A314" s="1207"/>
      <c r="B314" s="1205" t="s">
        <v>335</v>
      </c>
      <c r="C314" s="1264">
        <v>0</v>
      </c>
      <c r="D314" s="1268">
        <v>0</v>
      </c>
      <c r="E314" s="1268">
        <v>0</v>
      </c>
      <c r="F314" s="1268">
        <v>0</v>
      </c>
      <c r="G314" s="1268">
        <v>0</v>
      </c>
      <c r="H314" s="1268">
        <v>0</v>
      </c>
      <c r="I314" s="1352">
        <v>0</v>
      </c>
      <c r="J314" s="1266">
        <v>0</v>
      </c>
      <c r="K314" s="1268">
        <v>0</v>
      </c>
      <c r="L314" s="1268">
        <v>0</v>
      </c>
      <c r="M314" s="1268">
        <v>0</v>
      </c>
      <c r="N314" s="1268">
        <v>0</v>
      </c>
      <c r="O314" s="1352">
        <v>0</v>
      </c>
      <c r="P314" s="1264">
        <v>0</v>
      </c>
      <c r="Q314" s="1268">
        <v>0</v>
      </c>
      <c r="R314" s="1268">
        <v>0</v>
      </c>
      <c r="S314" s="1264">
        <v>0</v>
      </c>
      <c r="T314" s="1264">
        <v>2.2012691219953711</v>
      </c>
      <c r="U314" s="1264">
        <v>2.2012691219953711</v>
      </c>
      <c r="V314" s="1266">
        <v>0</v>
      </c>
      <c r="W314" s="1264">
        <v>0</v>
      </c>
      <c r="X314" s="1269">
        <v>2.2012691219953711</v>
      </c>
      <c r="Y314"/>
      <c r="Z314"/>
      <c r="AA314"/>
      <c r="AB314"/>
    </row>
    <row r="315" spans="1:28">
      <c r="A315" s="1207"/>
      <c r="B315" s="1205" t="s">
        <v>35</v>
      </c>
      <c r="C315" s="1264">
        <v>870815789</v>
      </c>
      <c r="D315" s="1268">
        <v>183068218</v>
      </c>
      <c r="E315" s="1268">
        <v>356211961</v>
      </c>
      <c r="F315" s="1268">
        <v>421910616</v>
      </c>
      <c r="G315" s="1268"/>
      <c r="H315" s="1268">
        <v>45765673</v>
      </c>
      <c r="I315" s="1352">
        <v>1877772257</v>
      </c>
      <c r="J315" s="1266"/>
      <c r="K315" s="1268">
        <v>557616499</v>
      </c>
      <c r="L315" s="1268">
        <v>362367783</v>
      </c>
      <c r="M315" s="1268">
        <v>48843695</v>
      </c>
      <c r="N315" s="1268"/>
      <c r="O315" s="1352">
        <v>968827977</v>
      </c>
      <c r="P315" s="1264"/>
      <c r="Q315" s="1268"/>
      <c r="R315" s="1268"/>
      <c r="S315" s="1264"/>
      <c r="T315" s="1264">
        <v>0</v>
      </c>
      <c r="U315" s="1264">
        <v>0</v>
      </c>
      <c r="V315" s="1266">
        <v>0</v>
      </c>
      <c r="W315" s="1264">
        <v>0</v>
      </c>
      <c r="X315" s="1269">
        <v>2846600234</v>
      </c>
      <c r="Y315"/>
      <c r="Z315"/>
      <c r="AA315"/>
      <c r="AB315"/>
    </row>
    <row r="316" spans="1:28" s="205" customFormat="1">
      <c r="A316" s="1207"/>
      <c r="B316" s="1205" t="s">
        <v>37</v>
      </c>
      <c r="C316" s="1264">
        <v>839498286</v>
      </c>
      <c r="D316" s="1268">
        <v>183296851</v>
      </c>
      <c r="E316" s="1268">
        <v>368278559</v>
      </c>
      <c r="F316" s="1268">
        <v>427670700</v>
      </c>
      <c r="G316" s="1268"/>
      <c r="H316" s="1268">
        <v>46186996</v>
      </c>
      <c r="I316" s="1352">
        <v>1864931392</v>
      </c>
      <c r="J316" s="1266"/>
      <c r="K316" s="1268">
        <v>554313302</v>
      </c>
      <c r="L316" s="1268">
        <v>372060585</v>
      </c>
      <c r="M316" s="1268">
        <v>48750184</v>
      </c>
      <c r="N316" s="1268"/>
      <c r="O316" s="1352">
        <v>975124071</v>
      </c>
      <c r="P316" s="1264"/>
      <c r="Q316" s="1268"/>
      <c r="R316" s="1268"/>
      <c r="S316" s="1264"/>
      <c r="T316" s="1264">
        <v>0</v>
      </c>
      <c r="U316" s="1264">
        <v>0</v>
      </c>
      <c r="V316" s="1266">
        <v>0</v>
      </c>
      <c r="W316" s="1264">
        <v>0</v>
      </c>
      <c r="X316" s="1269">
        <v>2840055463</v>
      </c>
      <c r="Y316"/>
      <c r="Z316"/>
      <c r="AA316"/>
      <c r="AB316"/>
    </row>
    <row r="317" spans="1:28" s="214" customFormat="1" ht="13.5" thickBot="1">
      <c r="A317" s="1333"/>
      <c r="B317" s="1205" t="s">
        <v>39</v>
      </c>
      <c r="C317" s="1264">
        <v>-3.5963407411300392</v>
      </c>
      <c r="D317" s="1268">
        <v>0.12488950976733712</v>
      </c>
      <c r="E317" s="1268">
        <v>3.3874769297822653</v>
      </c>
      <c r="F317" s="1268">
        <v>1.3652379868061912</v>
      </c>
      <c r="G317" s="1268">
        <v>0</v>
      </c>
      <c r="H317" s="1268">
        <v>0.92060920856555528</v>
      </c>
      <c r="I317" s="1352">
        <v>-0.68383505785281173</v>
      </c>
      <c r="J317" s="1266">
        <v>0</v>
      </c>
      <c r="K317" s="1268">
        <v>-0.59237791670866613</v>
      </c>
      <c r="L317" s="1268">
        <v>2.674852030098934</v>
      </c>
      <c r="M317" s="1268">
        <v>-0.19144947981515323</v>
      </c>
      <c r="N317" s="1268">
        <v>0</v>
      </c>
      <c r="O317" s="1352">
        <v>0.64986707129329724</v>
      </c>
      <c r="P317" s="1264">
        <v>0</v>
      </c>
      <c r="Q317" s="1268">
        <v>0</v>
      </c>
      <c r="R317" s="1268">
        <v>0</v>
      </c>
      <c r="S317" s="1264">
        <v>0</v>
      </c>
      <c r="T317" s="1264">
        <v>0</v>
      </c>
      <c r="U317" s="1264">
        <v>0</v>
      </c>
      <c r="V317" s="1266">
        <v>0</v>
      </c>
      <c r="W317" s="1264">
        <v>0</v>
      </c>
      <c r="X317" s="1269">
        <v>-0.22991535382554878</v>
      </c>
      <c r="Y317"/>
      <c r="Z317"/>
      <c r="AA317"/>
      <c r="AB317"/>
    </row>
    <row r="318" spans="1:28">
      <c r="A318" s="1206" t="s">
        <v>212</v>
      </c>
      <c r="B318" s="1204" t="s">
        <v>253</v>
      </c>
      <c r="C318" s="1262">
        <v>182055359.13496673</v>
      </c>
      <c r="D318" s="1260">
        <v>130191817.3270511</v>
      </c>
      <c r="E318" s="1260"/>
      <c r="F318" s="1260">
        <v>66125881.860843666</v>
      </c>
      <c r="G318" s="1262">
        <v>15144679.677138524</v>
      </c>
      <c r="H318" s="1260"/>
      <c r="I318" s="1355">
        <v>393517738</v>
      </c>
      <c r="J318" s="1261"/>
      <c r="K318" s="1260">
        <v>91698275</v>
      </c>
      <c r="L318" s="1260">
        <v>107360846</v>
      </c>
      <c r="M318" s="1262">
        <v>14178362</v>
      </c>
      <c r="N318" s="1260"/>
      <c r="O318" s="1355">
        <v>213237483</v>
      </c>
      <c r="P318" s="1259"/>
      <c r="Q318" s="1260"/>
      <c r="R318" s="1260"/>
      <c r="S318" s="1259"/>
      <c r="T318" s="1259"/>
      <c r="U318" s="1259"/>
      <c r="V318" s="1261"/>
      <c r="W318" s="1259"/>
      <c r="X318" s="1263">
        <v>606755221</v>
      </c>
      <c r="Y318"/>
      <c r="Z318"/>
      <c r="AA318"/>
      <c r="AB318"/>
    </row>
    <row r="319" spans="1:28" s="205" customFormat="1">
      <c r="A319" s="1207"/>
      <c r="B319" s="1205" t="s">
        <v>4</v>
      </c>
      <c r="C319" s="1267">
        <v>145347126</v>
      </c>
      <c r="D319" s="1268">
        <v>106327861</v>
      </c>
      <c r="E319" s="1268"/>
      <c r="F319" s="1268">
        <v>54643886</v>
      </c>
      <c r="G319" s="1267">
        <v>12092589</v>
      </c>
      <c r="H319" s="1268"/>
      <c r="I319" s="1352">
        <v>318411462</v>
      </c>
      <c r="J319" s="1266"/>
      <c r="K319" s="1268">
        <v>85281472</v>
      </c>
      <c r="L319" s="1268">
        <v>100119208</v>
      </c>
      <c r="M319" s="1267">
        <v>13294397</v>
      </c>
      <c r="N319" s="1268"/>
      <c r="O319" s="1352">
        <v>198695077</v>
      </c>
      <c r="P319" s="1264"/>
      <c r="Q319" s="1268"/>
      <c r="R319" s="1268"/>
      <c r="S319" s="1264"/>
      <c r="T319" s="1264"/>
      <c r="U319" s="1264"/>
      <c r="V319" s="1266"/>
      <c r="W319" s="1264"/>
      <c r="X319" s="1269">
        <v>517106539</v>
      </c>
      <c r="Y319"/>
      <c r="Z319"/>
      <c r="AA319"/>
      <c r="AB319"/>
    </row>
    <row r="320" spans="1:28" s="204" customFormat="1" ht="13.5" thickBot="1">
      <c r="A320" s="1207"/>
      <c r="B320" s="1205" t="s">
        <v>175</v>
      </c>
      <c r="C320" s="1281">
        <v>-20.163225795376384</v>
      </c>
      <c r="D320" s="1268">
        <v>-18.329843470195325</v>
      </c>
      <c r="E320" s="1268">
        <v>0</v>
      </c>
      <c r="F320" s="1268">
        <v>-17.36384534728256</v>
      </c>
      <c r="G320" s="1281">
        <v>-20.152890270408111</v>
      </c>
      <c r="H320" s="1268">
        <v>0</v>
      </c>
      <c r="I320" s="1352">
        <v>-19.085867992054784</v>
      </c>
      <c r="J320" s="1266">
        <v>0</v>
      </c>
      <c r="K320" s="1268">
        <v>-6.9977357807439677</v>
      </c>
      <c r="L320" s="1268">
        <v>-6.7451387259001292</v>
      </c>
      <c r="M320" s="1281">
        <v>-6.2346059439024053</v>
      </c>
      <c r="N320" s="1268">
        <v>0</v>
      </c>
      <c r="O320" s="1352">
        <v>-6.8198169455976929</v>
      </c>
      <c r="P320" s="1264">
        <v>0</v>
      </c>
      <c r="Q320" s="1268">
        <v>0</v>
      </c>
      <c r="R320" s="1268">
        <v>0</v>
      </c>
      <c r="S320" s="1264">
        <v>0</v>
      </c>
      <c r="T320" s="1264">
        <v>0</v>
      </c>
      <c r="U320" s="1264">
        <v>0</v>
      </c>
      <c r="V320" s="1266">
        <v>0</v>
      </c>
      <c r="W320" s="1264">
        <v>0</v>
      </c>
      <c r="X320" s="1269">
        <v>-14.775098573070212</v>
      </c>
      <c r="Y320"/>
      <c r="Z320"/>
      <c r="AA320"/>
      <c r="AB320"/>
    </row>
    <row r="321" spans="1:28">
      <c r="A321" s="1207"/>
      <c r="B321" s="1205" t="s">
        <v>269</v>
      </c>
      <c r="C321" s="1264">
        <v>67453181</v>
      </c>
      <c r="D321" s="1268">
        <v>7343559</v>
      </c>
      <c r="E321" s="1268"/>
      <c r="F321" s="1262">
        <v>5326762</v>
      </c>
      <c r="G321" s="1268"/>
      <c r="H321" s="1268"/>
      <c r="I321" s="1352">
        <v>80123502</v>
      </c>
      <c r="J321" s="1266"/>
      <c r="K321" s="1268">
        <v>10371028</v>
      </c>
      <c r="L321" s="1268">
        <v>11562349</v>
      </c>
      <c r="M321" s="1268">
        <v>1851036</v>
      </c>
      <c r="N321" s="1268"/>
      <c r="O321" s="1352">
        <v>23784413</v>
      </c>
      <c r="P321" s="1264"/>
      <c r="Q321" s="1268"/>
      <c r="R321" s="1268"/>
      <c r="S321" s="1264"/>
      <c r="T321" s="1264"/>
      <c r="U321" s="1264"/>
      <c r="V321" s="1266">
        <v>6629918.4699999997</v>
      </c>
      <c r="W321" s="1262">
        <v>6629918.4699999997</v>
      </c>
      <c r="X321" s="1269">
        <v>110537833.47</v>
      </c>
      <c r="Y321"/>
      <c r="Z321"/>
      <c r="AA321"/>
      <c r="AB321"/>
    </row>
    <row r="322" spans="1:28" s="205" customFormat="1">
      <c r="A322" s="1207"/>
      <c r="B322" s="1205" t="s">
        <v>342</v>
      </c>
      <c r="C322" s="1264">
        <v>65142591</v>
      </c>
      <c r="D322" s="1268">
        <v>6768657</v>
      </c>
      <c r="E322" s="1268"/>
      <c r="F322" s="1267">
        <v>5213674</v>
      </c>
      <c r="G322" s="1268"/>
      <c r="H322" s="1268"/>
      <c r="I322" s="1352">
        <v>77124922</v>
      </c>
      <c r="J322" s="1266"/>
      <c r="K322" s="1268">
        <v>11852720</v>
      </c>
      <c r="L322" s="1268">
        <v>12628835</v>
      </c>
      <c r="M322" s="1268">
        <v>2261918</v>
      </c>
      <c r="N322" s="1268"/>
      <c r="O322" s="1352">
        <v>26743473</v>
      </c>
      <c r="P322" s="1264"/>
      <c r="Q322" s="1268"/>
      <c r="R322" s="1268"/>
      <c r="S322" s="1264"/>
      <c r="T322" s="1264"/>
      <c r="U322" s="1264"/>
      <c r="V322" s="1266">
        <v>6673800</v>
      </c>
      <c r="W322" s="1267">
        <v>6673800</v>
      </c>
      <c r="X322" s="1269">
        <v>110542195</v>
      </c>
      <c r="Y322"/>
      <c r="Z322"/>
      <c r="AA322"/>
      <c r="AB322"/>
    </row>
    <row r="323" spans="1:28" s="204" customFormat="1" ht="13.5" thickBot="1">
      <c r="A323" s="1207"/>
      <c r="B323" s="1205" t="s">
        <v>344</v>
      </c>
      <c r="C323" s="1264">
        <v>-3.425472254599824</v>
      </c>
      <c r="D323" s="1268">
        <v>-7.8286563776501286</v>
      </c>
      <c r="E323" s="1268">
        <v>0</v>
      </c>
      <c r="F323" s="1281">
        <v>-2.1230158208682872</v>
      </c>
      <c r="G323" s="1268">
        <v>0</v>
      </c>
      <c r="H323" s="1268">
        <v>0</v>
      </c>
      <c r="I323" s="1352">
        <v>-3.7424475031058924</v>
      </c>
      <c r="J323" s="1266">
        <v>0</v>
      </c>
      <c r="K323" s="1268">
        <v>14.286838296068623</v>
      </c>
      <c r="L323" s="1268">
        <v>9.2237831603249489</v>
      </c>
      <c r="M323" s="1268">
        <v>22.197407289755574</v>
      </c>
      <c r="N323" s="1268">
        <v>0</v>
      </c>
      <c r="O323" s="1352">
        <v>12.441173133009421</v>
      </c>
      <c r="P323" s="1264">
        <v>0</v>
      </c>
      <c r="Q323" s="1268">
        <v>0</v>
      </c>
      <c r="R323" s="1268">
        <v>0</v>
      </c>
      <c r="S323" s="1264">
        <v>0</v>
      </c>
      <c r="T323" s="1264">
        <v>0</v>
      </c>
      <c r="U323" s="1264">
        <v>0</v>
      </c>
      <c r="V323" s="1266">
        <v>0.66187133670740694</v>
      </c>
      <c r="W323" s="1281">
        <v>0.66187133670740694</v>
      </c>
      <c r="X323" s="1269">
        <v>3.9457350149574924E-3</v>
      </c>
      <c r="Y323"/>
      <c r="Z323"/>
      <c r="AA323"/>
      <c r="AB323"/>
    </row>
    <row r="324" spans="1:28">
      <c r="A324" s="1207"/>
      <c r="B324" s="1205" t="s">
        <v>5</v>
      </c>
      <c r="C324" s="1264"/>
      <c r="D324" s="1268"/>
      <c r="E324" s="1268"/>
      <c r="F324" s="1268"/>
      <c r="G324" s="1268"/>
      <c r="H324" s="1268"/>
      <c r="I324" s="1352"/>
      <c r="J324" s="1266"/>
      <c r="K324" s="1262">
        <v>29100205</v>
      </c>
      <c r="L324" s="1268">
        <v>18574683</v>
      </c>
      <c r="M324" s="1262">
        <v>2443374</v>
      </c>
      <c r="N324" s="1268"/>
      <c r="O324" s="1352">
        <v>50118262</v>
      </c>
      <c r="P324" s="1264"/>
      <c r="Q324" s="1268"/>
      <c r="R324" s="1268"/>
      <c r="S324" s="1264"/>
      <c r="T324" s="1264"/>
      <c r="U324" s="1264"/>
      <c r="V324" s="1266"/>
      <c r="W324" s="1264"/>
      <c r="X324" s="1269">
        <v>50118262</v>
      </c>
      <c r="Y324"/>
      <c r="Z324"/>
      <c r="AA324"/>
      <c r="AB324"/>
    </row>
    <row r="325" spans="1:28" s="205" customFormat="1">
      <c r="A325" s="1207"/>
      <c r="B325" s="1205" t="s">
        <v>6</v>
      </c>
      <c r="C325" s="1264"/>
      <c r="D325" s="1268"/>
      <c r="E325" s="1268"/>
      <c r="F325" s="1268"/>
      <c r="G325" s="1268"/>
      <c r="H325" s="1268"/>
      <c r="I325" s="1352"/>
      <c r="J325" s="1266"/>
      <c r="K325" s="1267">
        <v>29792676</v>
      </c>
      <c r="L325" s="1268">
        <v>18469473</v>
      </c>
      <c r="M325" s="1267">
        <v>2546097</v>
      </c>
      <c r="N325" s="1268"/>
      <c r="O325" s="1352">
        <v>50808246</v>
      </c>
      <c r="P325" s="1264"/>
      <c r="Q325" s="1268"/>
      <c r="R325" s="1268"/>
      <c r="S325" s="1264"/>
      <c r="T325" s="1264"/>
      <c r="U325" s="1264"/>
      <c r="V325" s="1266"/>
      <c r="W325" s="1264"/>
      <c r="X325" s="1269">
        <v>50808246</v>
      </c>
      <c r="Y325"/>
      <c r="Z325"/>
      <c r="AA325"/>
      <c r="AB325"/>
    </row>
    <row r="326" spans="1:28" s="204" customFormat="1" ht="13.5" thickBot="1">
      <c r="A326" s="1207"/>
      <c r="B326" s="1205" t="s">
        <v>426</v>
      </c>
      <c r="C326" s="1264">
        <v>0</v>
      </c>
      <c r="D326" s="1268">
        <v>0</v>
      </c>
      <c r="E326" s="1268">
        <v>0</v>
      </c>
      <c r="F326" s="1268">
        <v>0</v>
      </c>
      <c r="G326" s="1268">
        <v>0</v>
      </c>
      <c r="H326" s="1268">
        <v>0</v>
      </c>
      <c r="I326" s="1352">
        <v>0</v>
      </c>
      <c r="J326" s="1266">
        <v>0</v>
      </c>
      <c r="K326" s="1281">
        <v>2.3796086659870612</v>
      </c>
      <c r="L326" s="1268">
        <v>-0.56641612672474684</v>
      </c>
      <c r="M326" s="1281">
        <v>4.2041455790231055</v>
      </c>
      <c r="N326" s="1268">
        <v>0</v>
      </c>
      <c r="O326" s="1352">
        <v>1.3767117463091596</v>
      </c>
      <c r="P326" s="1264">
        <v>0</v>
      </c>
      <c r="Q326" s="1268">
        <v>0</v>
      </c>
      <c r="R326" s="1268">
        <v>0</v>
      </c>
      <c r="S326" s="1264">
        <v>0</v>
      </c>
      <c r="T326" s="1264">
        <v>0</v>
      </c>
      <c r="U326" s="1264">
        <v>0</v>
      </c>
      <c r="V326" s="1266">
        <v>0</v>
      </c>
      <c r="W326" s="1264">
        <v>0</v>
      </c>
      <c r="X326" s="1269">
        <v>1.3767117463091596</v>
      </c>
      <c r="Y326"/>
      <c r="Z326"/>
      <c r="AA326"/>
      <c r="AB326"/>
    </row>
    <row r="327" spans="1:28">
      <c r="A327" s="1207"/>
      <c r="B327" s="1205" t="s">
        <v>322</v>
      </c>
      <c r="C327" s="1278">
        <v>192356616</v>
      </c>
      <c r="D327" s="1276">
        <v>159964875</v>
      </c>
      <c r="E327" s="1276"/>
      <c r="F327" s="1276">
        <v>50724186</v>
      </c>
      <c r="G327" s="1276">
        <v>12103627</v>
      </c>
      <c r="H327" s="1277"/>
      <c r="I327" s="1352">
        <v>415149304</v>
      </c>
      <c r="J327" s="1266"/>
      <c r="K327" s="1262">
        <v>78305596</v>
      </c>
      <c r="L327" s="1276">
        <v>84409845</v>
      </c>
      <c r="M327" s="1262">
        <v>9908057</v>
      </c>
      <c r="N327" s="1268"/>
      <c r="O327" s="1352">
        <v>172623498</v>
      </c>
      <c r="P327" s="1264"/>
      <c r="Q327" s="1268"/>
      <c r="R327" s="1268"/>
      <c r="S327" s="1264"/>
      <c r="T327" s="1264"/>
      <c r="U327" s="1264"/>
      <c r="V327" s="1266"/>
      <c r="W327" s="1264"/>
      <c r="X327" s="1269">
        <v>587772802</v>
      </c>
      <c r="Y327"/>
      <c r="Z327"/>
      <c r="AA327"/>
      <c r="AB327"/>
    </row>
    <row r="328" spans="1:28" s="205" customFormat="1">
      <c r="A328" s="1207"/>
      <c r="B328" s="1205" t="s">
        <v>22</v>
      </c>
      <c r="C328" s="1280">
        <v>215178415</v>
      </c>
      <c r="D328" s="1265">
        <v>176556799</v>
      </c>
      <c r="E328" s="1265"/>
      <c r="F328" s="1265">
        <v>54773184</v>
      </c>
      <c r="G328" s="1265">
        <v>13025563</v>
      </c>
      <c r="H328" s="1279"/>
      <c r="I328" s="1352">
        <v>459533961</v>
      </c>
      <c r="J328" s="1266"/>
      <c r="K328" s="1267">
        <v>89328543</v>
      </c>
      <c r="L328" s="1265">
        <v>96719695</v>
      </c>
      <c r="M328" s="1267">
        <v>10816377</v>
      </c>
      <c r="N328" s="1268"/>
      <c r="O328" s="1352">
        <v>196864615</v>
      </c>
      <c r="P328" s="1264"/>
      <c r="Q328" s="1268"/>
      <c r="R328" s="1268"/>
      <c r="S328" s="1264"/>
      <c r="T328" s="1264"/>
      <c r="U328" s="1264"/>
      <c r="V328" s="1266"/>
      <c r="W328" s="1264"/>
      <c r="X328" s="1269">
        <v>656398576</v>
      </c>
      <c r="Y328"/>
      <c r="Z328"/>
      <c r="AA328"/>
      <c r="AB328"/>
    </row>
    <row r="329" spans="1:28" s="204" customFormat="1" ht="13.5" thickBot="1">
      <c r="A329" s="1207"/>
      <c r="B329" s="1205" t="s">
        <v>375</v>
      </c>
      <c r="C329" s="1284">
        <v>11.864317159748746</v>
      </c>
      <c r="D329" s="1282">
        <v>10.372229528513682</v>
      </c>
      <c r="E329" s="1282">
        <v>0</v>
      </c>
      <c r="F329" s="1335">
        <v>7.9823814225426908</v>
      </c>
      <c r="G329" s="1282">
        <v>7.6170225668718974</v>
      </c>
      <c r="H329" s="1283">
        <v>0</v>
      </c>
      <c r="I329" s="1352">
        <v>10.691251694836035</v>
      </c>
      <c r="J329" s="1266">
        <v>0</v>
      </c>
      <c r="K329" s="1281">
        <v>14.07683175031322</v>
      </c>
      <c r="L329" s="1282">
        <v>14.583429219660339</v>
      </c>
      <c r="M329" s="1281">
        <v>9.1674886408102001</v>
      </c>
      <c r="N329" s="1268">
        <v>0</v>
      </c>
      <c r="O329" s="1352">
        <v>14.042767804415595</v>
      </c>
      <c r="P329" s="1264">
        <v>0</v>
      </c>
      <c r="Q329" s="1268">
        <v>0</v>
      </c>
      <c r="R329" s="1268">
        <v>0</v>
      </c>
      <c r="S329" s="1264">
        <v>0</v>
      </c>
      <c r="T329" s="1264">
        <v>0</v>
      </c>
      <c r="U329" s="1264">
        <v>0</v>
      </c>
      <c r="V329" s="1266">
        <v>0</v>
      </c>
      <c r="W329" s="1264">
        <v>0</v>
      </c>
      <c r="X329" s="1269">
        <v>11.675561333646058</v>
      </c>
      <c r="Y329"/>
      <c r="Z329"/>
      <c r="AA329"/>
      <c r="AB329"/>
    </row>
    <row r="330" spans="1:28">
      <c r="A330" s="1207"/>
      <c r="B330" s="1205" t="s">
        <v>324</v>
      </c>
      <c r="C330" s="1264"/>
      <c r="D330" s="1268"/>
      <c r="E330" s="1268"/>
      <c r="F330" s="1268"/>
      <c r="G330" s="1268"/>
      <c r="H330" s="1268"/>
      <c r="I330" s="1352"/>
      <c r="J330" s="1266"/>
      <c r="K330" s="1268"/>
      <c r="L330" s="1268">
        <v>0</v>
      </c>
      <c r="M330" s="1268"/>
      <c r="N330" s="1268"/>
      <c r="O330" s="1352">
        <v>0</v>
      </c>
      <c r="P330" s="1264"/>
      <c r="Q330" s="1268"/>
      <c r="R330" s="1268"/>
      <c r="S330" s="1264"/>
      <c r="T330" s="1264"/>
      <c r="U330" s="1264"/>
      <c r="V330" s="1266"/>
      <c r="W330" s="1264"/>
      <c r="X330" s="1269">
        <v>0</v>
      </c>
      <c r="Y330"/>
      <c r="Z330"/>
      <c r="AA330"/>
      <c r="AB330"/>
    </row>
    <row r="331" spans="1:28" s="205" customFormat="1">
      <c r="A331" s="1207"/>
      <c r="B331" s="1205" t="s">
        <v>226</v>
      </c>
      <c r="C331" s="1264"/>
      <c r="D331" s="1268"/>
      <c r="E331" s="1268"/>
      <c r="F331" s="1268"/>
      <c r="G331" s="1268"/>
      <c r="H331" s="1268"/>
      <c r="I331" s="1352"/>
      <c r="J331" s="1266"/>
      <c r="K331" s="1268">
        <v>0</v>
      </c>
      <c r="L331" s="1268"/>
      <c r="M331" s="1268"/>
      <c r="N331" s="1268"/>
      <c r="O331" s="1352">
        <v>0</v>
      </c>
      <c r="P331" s="1264"/>
      <c r="Q331" s="1268"/>
      <c r="R331" s="1268"/>
      <c r="S331" s="1264"/>
      <c r="T331" s="1264"/>
      <c r="U331" s="1264"/>
      <c r="V331" s="1266"/>
      <c r="W331" s="1264"/>
      <c r="X331" s="1269">
        <v>0</v>
      </c>
      <c r="Y331"/>
      <c r="Z331"/>
      <c r="AA331"/>
      <c r="AB331"/>
    </row>
    <row r="332" spans="1:28" s="204" customFormat="1">
      <c r="A332" s="1207"/>
      <c r="B332" s="1205" t="s">
        <v>236</v>
      </c>
      <c r="C332" s="1264">
        <v>0</v>
      </c>
      <c r="D332" s="1268">
        <v>0</v>
      </c>
      <c r="E332" s="1268">
        <v>0</v>
      </c>
      <c r="F332" s="1268">
        <v>0</v>
      </c>
      <c r="G332" s="1268">
        <v>0</v>
      </c>
      <c r="H332" s="1268">
        <v>0</v>
      </c>
      <c r="I332" s="1352">
        <v>0</v>
      </c>
      <c r="J332" s="1266">
        <v>0</v>
      </c>
      <c r="K332" s="1268">
        <v>0</v>
      </c>
      <c r="L332" s="1268">
        <v>0</v>
      </c>
      <c r="M332" s="1268">
        <v>0</v>
      </c>
      <c r="N332" s="1268">
        <v>0</v>
      </c>
      <c r="O332" s="1352">
        <v>0</v>
      </c>
      <c r="P332" s="1264">
        <v>0</v>
      </c>
      <c r="Q332" s="1268">
        <v>0</v>
      </c>
      <c r="R332" s="1268">
        <v>0</v>
      </c>
      <c r="S332" s="1264">
        <v>0</v>
      </c>
      <c r="T332" s="1264">
        <v>0</v>
      </c>
      <c r="U332" s="1264">
        <v>0</v>
      </c>
      <c r="V332" s="1266">
        <v>0</v>
      </c>
      <c r="W332" s="1264">
        <v>0</v>
      </c>
      <c r="X332" s="1269">
        <v>0</v>
      </c>
      <c r="Y332"/>
      <c r="Z332"/>
      <c r="AA332"/>
      <c r="AB332"/>
    </row>
    <row r="333" spans="1:28">
      <c r="A333" s="1207"/>
      <c r="B333" s="1205" t="s">
        <v>449</v>
      </c>
      <c r="C333" s="1264">
        <v>192356616</v>
      </c>
      <c r="D333" s="1268">
        <v>159964875</v>
      </c>
      <c r="E333" s="1268"/>
      <c r="F333" s="1268">
        <v>50724186</v>
      </c>
      <c r="G333" s="1268">
        <v>12103627</v>
      </c>
      <c r="H333" s="1268"/>
      <c r="I333" s="1352">
        <v>415149304</v>
      </c>
      <c r="J333" s="1266"/>
      <c r="K333" s="1268">
        <v>78305596</v>
      </c>
      <c r="L333" s="1268">
        <v>84409845</v>
      </c>
      <c r="M333" s="1268">
        <v>9908057</v>
      </c>
      <c r="N333" s="1268"/>
      <c r="O333" s="1352">
        <v>172623498</v>
      </c>
      <c r="P333" s="1264"/>
      <c r="Q333" s="1268"/>
      <c r="R333" s="1268"/>
      <c r="S333" s="1264"/>
      <c r="T333" s="1264">
        <v>0</v>
      </c>
      <c r="U333" s="1264">
        <v>0</v>
      </c>
      <c r="V333" s="1266">
        <v>0</v>
      </c>
      <c r="W333" s="1264">
        <v>0</v>
      </c>
      <c r="X333" s="1269">
        <v>587772802</v>
      </c>
      <c r="Y333"/>
      <c r="Z333"/>
      <c r="AA333"/>
      <c r="AB333"/>
    </row>
    <row r="334" spans="1:28" s="205" customFormat="1">
      <c r="A334" s="1207"/>
      <c r="B334" s="1205" t="s">
        <v>109</v>
      </c>
      <c r="C334" s="1264">
        <v>215178415</v>
      </c>
      <c r="D334" s="1268">
        <v>176556799</v>
      </c>
      <c r="E334" s="1268"/>
      <c r="F334" s="1268">
        <v>54773184</v>
      </c>
      <c r="G334" s="1268">
        <v>13025563</v>
      </c>
      <c r="H334" s="1268"/>
      <c r="I334" s="1352">
        <v>459533961</v>
      </c>
      <c r="J334" s="1266"/>
      <c r="K334" s="1268">
        <v>89328543</v>
      </c>
      <c r="L334" s="1268">
        <v>96719695</v>
      </c>
      <c r="M334" s="1268">
        <v>10816377</v>
      </c>
      <c r="N334" s="1268"/>
      <c r="O334" s="1352">
        <v>196864615</v>
      </c>
      <c r="P334" s="1264"/>
      <c r="Q334" s="1268"/>
      <c r="R334" s="1268"/>
      <c r="S334" s="1264"/>
      <c r="T334" s="1264">
        <v>0</v>
      </c>
      <c r="U334" s="1264">
        <v>0</v>
      </c>
      <c r="V334" s="1266">
        <v>0</v>
      </c>
      <c r="W334" s="1264">
        <v>0</v>
      </c>
      <c r="X334" s="1269">
        <v>656398576</v>
      </c>
      <c r="Y334"/>
      <c r="Z334"/>
      <c r="AA334"/>
      <c r="AB334"/>
    </row>
    <row r="335" spans="1:28" s="204" customFormat="1">
      <c r="A335" s="1207"/>
      <c r="B335" s="1205" t="s">
        <v>83</v>
      </c>
      <c r="C335" s="1264">
        <v>11.864317159748746</v>
      </c>
      <c r="D335" s="1268">
        <v>10.372229528513682</v>
      </c>
      <c r="E335" s="1268">
        <v>0</v>
      </c>
      <c r="F335" s="1268">
        <v>7.9823814225426908</v>
      </c>
      <c r="G335" s="1268">
        <v>7.6170225668718974</v>
      </c>
      <c r="H335" s="1268">
        <v>0</v>
      </c>
      <c r="I335" s="1352">
        <v>10.691251694836035</v>
      </c>
      <c r="J335" s="1266">
        <v>0</v>
      </c>
      <c r="K335" s="1268">
        <v>14.07683175031322</v>
      </c>
      <c r="L335" s="1268">
        <v>14.583429219660339</v>
      </c>
      <c r="M335" s="1268">
        <v>9.1674886408102001</v>
      </c>
      <c r="N335" s="1268">
        <v>0</v>
      </c>
      <c r="O335" s="1352">
        <v>14.042767804415595</v>
      </c>
      <c r="P335" s="1264">
        <v>0</v>
      </c>
      <c r="Q335" s="1268">
        <v>0</v>
      </c>
      <c r="R335" s="1268">
        <v>0</v>
      </c>
      <c r="S335" s="1264">
        <v>0</v>
      </c>
      <c r="T335" s="1264">
        <v>0</v>
      </c>
      <c r="U335" s="1264">
        <v>0</v>
      </c>
      <c r="V335" s="1266">
        <v>0</v>
      </c>
      <c r="W335" s="1264">
        <v>0</v>
      </c>
      <c r="X335" s="1269">
        <v>11.675561333646058</v>
      </c>
      <c r="Y335"/>
      <c r="Z335"/>
      <c r="AA335"/>
      <c r="AB335"/>
    </row>
    <row r="336" spans="1:28">
      <c r="A336" s="1207"/>
      <c r="B336" s="1205" t="s">
        <v>111</v>
      </c>
      <c r="C336" s="1264"/>
      <c r="D336" s="1268"/>
      <c r="E336" s="1268"/>
      <c r="F336" s="1268"/>
      <c r="G336" s="1268"/>
      <c r="H336" s="1268"/>
      <c r="I336" s="1352"/>
      <c r="J336" s="1266"/>
      <c r="K336" s="1268"/>
      <c r="L336" s="1268"/>
      <c r="M336" s="1268"/>
      <c r="N336" s="1268"/>
      <c r="O336" s="1352"/>
      <c r="P336" s="1264"/>
      <c r="Q336" s="1268"/>
      <c r="R336" s="1268"/>
      <c r="S336" s="1264"/>
      <c r="T336" s="1264"/>
      <c r="U336" s="1264"/>
      <c r="V336" s="1266">
        <v>38706313.899999999</v>
      </c>
      <c r="W336" s="1264">
        <v>38706313.899999999</v>
      </c>
      <c r="X336" s="1269">
        <v>38706313.899999999</v>
      </c>
      <c r="Y336"/>
      <c r="Z336"/>
      <c r="AA336"/>
      <c r="AB336"/>
    </row>
    <row r="337" spans="1:28" s="205" customFormat="1">
      <c r="A337" s="1207"/>
      <c r="B337" s="1205" t="s">
        <v>113</v>
      </c>
      <c r="C337" s="1264"/>
      <c r="D337" s="1268"/>
      <c r="E337" s="1268"/>
      <c r="F337" s="1268"/>
      <c r="G337" s="1268"/>
      <c r="H337" s="1268"/>
      <c r="I337" s="1352"/>
      <c r="J337" s="1266"/>
      <c r="K337" s="1268"/>
      <c r="L337" s="1268"/>
      <c r="M337" s="1268"/>
      <c r="N337" s="1268"/>
      <c r="O337" s="1352"/>
      <c r="P337" s="1264"/>
      <c r="Q337" s="1268"/>
      <c r="R337" s="1268"/>
      <c r="S337" s="1264"/>
      <c r="T337" s="1264"/>
      <c r="U337" s="1264"/>
      <c r="V337" s="1266">
        <v>39759779</v>
      </c>
      <c r="W337" s="1264">
        <v>39759779</v>
      </c>
      <c r="X337" s="1269">
        <v>39759779</v>
      </c>
      <c r="Y337"/>
      <c r="Z337"/>
      <c r="AA337"/>
      <c r="AB337"/>
    </row>
    <row r="338" spans="1:28" s="204" customFormat="1">
      <c r="A338" s="1207"/>
      <c r="B338" s="1205" t="s">
        <v>115</v>
      </c>
      <c r="C338" s="1264">
        <v>0</v>
      </c>
      <c r="D338" s="1268">
        <v>0</v>
      </c>
      <c r="E338" s="1268">
        <v>0</v>
      </c>
      <c r="F338" s="1268">
        <v>0</v>
      </c>
      <c r="G338" s="1268">
        <v>0</v>
      </c>
      <c r="H338" s="1268">
        <v>0</v>
      </c>
      <c r="I338" s="1352">
        <v>0</v>
      </c>
      <c r="J338" s="1266">
        <v>0</v>
      </c>
      <c r="K338" s="1268">
        <v>0</v>
      </c>
      <c r="L338" s="1268">
        <v>0</v>
      </c>
      <c r="M338" s="1268">
        <v>0</v>
      </c>
      <c r="N338" s="1268">
        <v>0</v>
      </c>
      <c r="O338" s="1352">
        <v>0</v>
      </c>
      <c r="P338" s="1264">
        <v>0</v>
      </c>
      <c r="Q338" s="1268">
        <v>0</v>
      </c>
      <c r="R338" s="1268">
        <v>0</v>
      </c>
      <c r="S338" s="1264">
        <v>0</v>
      </c>
      <c r="T338" s="1264">
        <v>0</v>
      </c>
      <c r="U338" s="1264">
        <v>0</v>
      </c>
      <c r="V338" s="1266">
        <v>2.7216879982983904</v>
      </c>
      <c r="W338" s="1264">
        <v>2.7216879982983904</v>
      </c>
      <c r="X338" s="1269">
        <v>2.7216879982983904</v>
      </c>
      <c r="Y338"/>
      <c r="Z338"/>
      <c r="AA338"/>
      <c r="AB338"/>
    </row>
    <row r="339" spans="1:28">
      <c r="A339" s="1207"/>
      <c r="B339" s="1205" t="s">
        <v>339</v>
      </c>
      <c r="C339" s="1264"/>
      <c r="D339" s="1268"/>
      <c r="E339" s="1268"/>
      <c r="F339" s="1268"/>
      <c r="G339" s="1268"/>
      <c r="H339" s="1268"/>
      <c r="I339" s="1352"/>
      <c r="J339" s="1266"/>
      <c r="K339" s="1268"/>
      <c r="L339" s="1268"/>
      <c r="M339" s="1268"/>
      <c r="N339" s="1268"/>
      <c r="O339" s="1352"/>
      <c r="P339" s="1264"/>
      <c r="Q339" s="1268"/>
      <c r="R339" s="1268"/>
      <c r="S339" s="1264"/>
      <c r="T339" s="1264"/>
      <c r="U339" s="1264"/>
      <c r="V339" s="1266"/>
      <c r="W339" s="1264"/>
      <c r="X339" s="1269"/>
      <c r="Y339"/>
      <c r="Z339"/>
      <c r="AA339"/>
      <c r="AB339"/>
    </row>
    <row r="340" spans="1:28" s="205" customFormat="1">
      <c r="A340" s="1207"/>
      <c r="B340" s="1205" t="s">
        <v>223</v>
      </c>
      <c r="C340" s="1264"/>
      <c r="D340" s="1268"/>
      <c r="E340" s="1268"/>
      <c r="F340" s="1268"/>
      <c r="G340" s="1268"/>
      <c r="H340" s="1268"/>
      <c r="I340" s="1352"/>
      <c r="J340" s="1266"/>
      <c r="K340" s="1268"/>
      <c r="L340" s="1268"/>
      <c r="M340" s="1268"/>
      <c r="N340" s="1268"/>
      <c r="O340" s="1352"/>
      <c r="P340" s="1264"/>
      <c r="Q340" s="1268"/>
      <c r="R340" s="1268"/>
      <c r="S340" s="1264"/>
      <c r="T340" s="1264"/>
      <c r="U340" s="1264"/>
      <c r="V340" s="1266"/>
      <c r="W340" s="1264"/>
      <c r="X340" s="1269"/>
      <c r="Y340"/>
      <c r="Z340"/>
      <c r="AA340"/>
      <c r="AB340"/>
    </row>
    <row r="341" spans="1:28" s="204" customFormat="1">
      <c r="A341" s="1207"/>
      <c r="B341" s="1205" t="s">
        <v>85</v>
      </c>
      <c r="C341" s="1264">
        <v>0</v>
      </c>
      <c r="D341" s="1268">
        <v>0</v>
      </c>
      <c r="E341" s="1268">
        <v>0</v>
      </c>
      <c r="F341" s="1268">
        <v>0</v>
      </c>
      <c r="G341" s="1268">
        <v>0</v>
      </c>
      <c r="H341" s="1268">
        <v>0</v>
      </c>
      <c r="I341" s="1352">
        <v>0</v>
      </c>
      <c r="J341" s="1266">
        <v>0</v>
      </c>
      <c r="K341" s="1268">
        <v>0</v>
      </c>
      <c r="L341" s="1268">
        <v>0</v>
      </c>
      <c r="M341" s="1268">
        <v>0</v>
      </c>
      <c r="N341" s="1268">
        <v>0</v>
      </c>
      <c r="O341" s="1352">
        <v>0</v>
      </c>
      <c r="P341" s="1264">
        <v>0</v>
      </c>
      <c r="Q341" s="1268">
        <v>0</v>
      </c>
      <c r="R341" s="1268">
        <v>0</v>
      </c>
      <c r="S341" s="1264">
        <v>0</v>
      </c>
      <c r="T341" s="1264">
        <v>0</v>
      </c>
      <c r="U341" s="1264">
        <v>0</v>
      </c>
      <c r="V341" s="1266">
        <v>0</v>
      </c>
      <c r="W341" s="1264">
        <v>0</v>
      </c>
      <c r="X341" s="1269">
        <v>0</v>
      </c>
      <c r="Y341"/>
      <c r="Z341"/>
      <c r="AA341"/>
      <c r="AB341"/>
    </row>
    <row r="342" spans="1:28">
      <c r="A342" s="1207"/>
      <c r="B342" s="1205" t="s">
        <v>219</v>
      </c>
      <c r="C342" s="1264"/>
      <c r="D342" s="1268"/>
      <c r="E342" s="1268"/>
      <c r="F342" s="1268"/>
      <c r="G342" s="1268"/>
      <c r="H342" s="1268"/>
      <c r="I342" s="1352"/>
      <c r="J342" s="1266"/>
      <c r="K342" s="1268"/>
      <c r="L342" s="1268"/>
      <c r="M342" s="1268"/>
      <c r="N342" s="1268"/>
      <c r="O342" s="1352"/>
      <c r="P342" s="1264"/>
      <c r="Q342" s="1268"/>
      <c r="R342" s="1268"/>
      <c r="S342" s="1264"/>
      <c r="T342" s="1264"/>
      <c r="U342" s="1264"/>
      <c r="V342" s="1266"/>
      <c r="W342" s="1264"/>
      <c r="X342" s="1269"/>
      <c r="Y342"/>
      <c r="Z342"/>
      <c r="AA342"/>
      <c r="AB342"/>
    </row>
    <row r="343" spans="1:28" s="205" customFormat="1">
      <c r="A343" s="1207"/>
      <c r="B343" s="1205" t="s">
        <v>141</v>
      </c>
      <c r="C343" s="1264"/>
      <c r="D343" s="1268"/>
      <c r="E343" s="1268"/>
      <c r="F343" s="1268"/>
      <c r="G343" s="1268"/>
      <c r="H343" s="1268"/>
      <c r="I343" s="1352"/>
      <c r="J343" s="1266"/>
      <c r="K343" s="1268"/>
      <c r="L343" s="1268"/>
      <c r="M343" s="1268"/>
      <c r="N343" s="1268"/>
      <c r="O343" s="1352"/>
      <c r="P343" s="1264"/>
      <c r="Q343" s="1268"/>
      <c r="R343" s="1268"/>
      <c r="S343" s="1264"/>
      <c r="T343" s="1264"/>
      <c r="U343" s="1264"/>
      <c r="V343" s="1266"/>
      <c r="W343" s="1264"/>
      <c r="X343" s="1269"/>
      <c r="Y343"/>
      <c r="Z343"/>
      <c r="AA343"/>
      <c r="AB343"/>
    </row>
    <row r="344" spans="1:28" s="204" customFormat="1">
      <c r="A344" s="1207"/>
      <c r="B344" s="1205" t="s">
        <v>169</v>
      </c>
      <c r="C344" s="1264">
        <v>0</v>
      </c>
      <c r="D344" s="1268">
        <v>0</v>
      </c>
      <c r="E344" s="1268">
        <v>0</v>
      </c>
      <c r="F344" s="1268">
        <v>0</v>
      </c>
      <c r="G344" s="1268">
        <v>0</v>
      </c>
      <c r="H344" s="1268">
        <v>0</v>
      </c>
      <c r="I344" s="1352">
        <v>0</v>
      </c>
      <c r="J344" s="1266">
        <v>0</v>
      </c>
      <c r="K344" s="1268">
        <v>0</v>
      </c>
      <c r="L344" s="1268">
        <v>0</v>
      </c>
      <c r="M344" s="1268">
        <v>0</v>
      </c>
      <c r="N344" s="1268">
        <v>0</v>
      </c>
      <c r="O344" s="1352">
        <v>0</v>
      </c>
      <c r="P344" s="1264">
        <v>0</v>
      </c>
      <c r="Q344" s="1268">
        <v>0</v>
      </c>
      <c r="R344" s="1268">
        <v>0</v>
      </c>
      <c r="S344" s="1264">
        <v>0</v>
      </c>
      <c r="T344" s="1264">
        <v>0</v>
      </c>
      <c r="U344" s="1264">
        <v>0</v>
      </c>
      <c r="V344" s="1266">
        <v>0</v>
      </c>
      <c r="W344" s="1264">
        <v>0</v>
      </c>
      <c r="X344" s="1269">
        <v>0</v>
      </c>
      <c r="Y344"/>
      <c r="Z344"/>
      <c r="AA344"/>
      <c r="AB344"/>
    </row>
    <row r="345" spans="1:28">
      <c r="A345" s="1207"/>
      <c r="B345" s="1205" t="s">
        <v>221</v>
      </c>
      <c r="C345" s="1264">
        <v>0</v>
      </c>
      <c r="D345" s="1268">
        <v>0</v>
      </c>
      <c r="E345" s="1268"/>
      <c r="F345" s="1268">
        <v>0</v>
      </c>
      <c r="G345" s="1268">
        <v>0</v>
      </c>
      <c r="H345" s="1268"/>
      <c r="I345" s="1352">
        <v>0</v>
      </c>
      <c r="J345" s="1266"/>
      <c r="K345" s="1268">
        <v>0</v>
      </c>
      <c r="L345" s="1268">
        <v>0</v>
      </c>
      <c r="M345" s="1268">
        <v>0</v>
      </c>
      <c r="N345" s="1268"/>
      <c r="O345" s="1352">
        <v>0</v>
      </c>
      <c r="P345" s="1264"/>
      <c r="Q345" s="1268"/>
      <c r="R345" s="1268"/>
      <c r="S345" s="1264"/>
      <c r="T345" s="1264">
        <v>0</v>
      </c>
      <c r="U345" s="1264">
        <v>0</v>
      </c>
      <c r="V345" s="1266">
        <v>0</v>
      </c>
      <c r="W345" s="1264">
        <v>0</v>
      </c>
      <c r="X345" s="1269">
        <v>0</v>
      </c>
      <c r="Y345"/>
      <c r="Z345"/>
      <c r="AA345"/>
      <c r="AB345"/>
    </row>
    <row r="346" spans="1:28" s="205" customFormat="1">
      <c r="A346" s="1207"/>
      <c r="B346" s="1205" t="s">
        <v>143</v>
      </c>
      <c r="C346" s="1264">
        <v>0</v>
      </c>
      <c r="D346" s="1268">
        <v>0</v>
      </c>
      <c r="E346" s="1268"/>
      <c r="F346" s="1268">
        <v>0</v>
      </c>
      <c r="G346" s="1268">
        <v>0</v>
      </c>
      <c r="H346" s="1268"/>
      <c r="I346" s="1352">
        <v>0</v>
      </c>
      <c r="J346" s="1266"/>
      <c r="K346" s="1268">
        <v>0</v>
      </c>
      <c r="L346" s="1268">
        <v>0</v>
      </c>
      <c r="M346" s="1268">
        <v>0</v>
      </c>
      <c r="N346" s="1268"/>
      <c r="O346" s="1352">
        <v>0</v>
      </c>
      <c r="P346" s="1264"/>
      <c r="Q346" s="1268"/>
      <c r="R346" s="1268"/>
      <c r="S346" s="1264"/>
      <c r="T346" s="1264">
        <v>0</v>
      </c>
      <c r="U346" s="1264">
        <v>0</v>
      </c>
      <c r="V346" s="1266">
        <v>0</v>
      </c>
      <c r="W346" s="1264">
        <v>0</v>
      </c>
      <c r="X346" s="1269">
        <v>0</v>
      </c>
      <c r="Y346"/>
      <c r="Z346"/>
      <c r="AA346"/>
      <c r="AB346"/>
    </row>
    <row r="347" spans="1:28" s="204" customFormat="1" ht="13.5" thickBot="1">
      <c r="A347" s="1207"/>
      <c r="B347" s="1205" t="s">
        <v>245</v>
      </c>
      <c r="C347" s="1264">
        <v>0</v>
      </c>
      <c r="D347" s="1268">
        <v>0</v>
      </c>
      <c r="E347" s="1268">
        <v>0</v>
      </c>
      <c r="F347" s="1268">
        <v>0</v>
      </c>
      <c r="G347" s="1268">
        <v>0</v>
      </c>
      <c r="H347" s="1268">
        <v>0</v>
      </c>
      <c r="I347" s="1352">
        <v>0</v>
      </c>
      <c r="J347" s="1266">
        <v>0</v>
      </c>
      <c r="K347" s="1268">
        <v>0</v>
      </c>
      <c r="L347" s="1268">
        <v>0</v>
      </c>
      <c r="M347" s="1268">
        <v>0</v>
      </c>
      <c r="N347" s="1268">
        <v>0</v>
      </c>
      <c r="O347" s="1352">
        <v>0</v>
      </c>
      <c r="P347" s="1264">
        <v>0</v>
      </c>
      <c r="Q347" s="1268">
        <v>0</v>
      </c>
      <c r="R347" s="1268">
        <v>0</v>
      </c>
      <c r="S347" s="1264">
        <v>0</v>
      </c>
      <c r="T347" s="1264">
        <v>0</v>
      </c>
      <c r="U347" s="1264">
        <v>0</v>
      </c>
      <c r="V347" s="1266">
        <v>0</v>
      </c>
      <c r="W347" s="1264">
        <v>0</v>
      </c>
      <c r="X347" s="1269">
        <v>0</v>
      </c>
      <c r="Y347"/>
      <c r="Z347"/>
      <c r="AA347"/>
      <c r="AB347"/>
    </row>
    <row r="348" spans="1:28">
      <c r="A348" s="1207"/>
      <c r="B348" s="1205" t="s">
        <v>117</v>
      </c>
      <c r="C348" s="1264">
        <v>16378789</v>
      </c>
      <c r="D348" s="1268"/>
      <c r="E348" s="1268"/>
      <c r="F348" s="1268"/>
      <c r="G348" s="1268"/>
      <c r="H348" s="1268"/>
      <c r="I348" s="1352">
        <v>16378789</v>
      </c>
      <c r="J348" s="1266"/>
      <c r="K348" s="1268"/>
      <c r="L348" s="1268"/>
      <c r="M348" s="1268"/>
      <c r="N348" s="1268"/>
      <c r="O348" s="1352"/>
      <c r="P348" s="1264"/>
      <c r="Q348" s="1268"/>
      <c r="R348" s="1268"/>
      <c r="S348" s="1264"/>
      <c r="T348" s="1264">
        <v>220361965</v>
      </c>
      <c r="U348" s="1262">
        <v>220361965</v>
      </c>
      <c r="V348" s="1266"/>
      <c r="W348" s="1264"/>
      <c r="X348" s="1269">
        <v>236740754</v>
      </c>
      <c r="Y348"/>
      <c r="Z348"/>
      <c r="AA348"/>
      <c r="AB348"/>
    </row>
    <row r="349" spans="1:28" s="205" customFormat="1">
      <c r="A349" s="1207"/>
      <c r="B349" s="1205" t="s">
        <v>119</v>
      </c>
      <c r="C349" s="1264">
        <v>14522186</v>
      </c>
      <c r="D349" s="1268"/>
      <c r="E349" s="1268"/>
      <c r="F349" s="1268"/>
      <c r="G349" s="1268"/>
      <c r="H349" s="1268"/>
      <c r="I349" s="1352">
        <v>14522186</v>
      </c>
      <c r="J349" s="1266"/>
      <c r="K349" s="1268"/>
      <c r="L349" s="1268"/>
      <c r="M349" s="1268"/>
      <c r="N349" s="1268"/>
      <c r="O349" s="1352"/>
      <c r="P349" s="1264"/>
      <c r="Q349" s="1268"/>
      <c r="R349" s="1268"/>
      <c r="S349" s="1264"/>
      <c r="T349" s="1264">
        <v>215332977</v>
      </c>
      <c r="U349" s="1267">
        <v>215332977</v>
      </c>
      <c r="V349" s="1266"/>
      <c r="W349" s="1264"/>
      <c r="X349" s="1269">
        <v>229855163</v>
      </c>
      <c r="Y349"/>
      <c r="Z349"/>
      <c r="AA349"/>
      <c r="AB349"/>
    </row>
    <row r="350" spans="1:28" s="204" customFormat="1" ht="13.5" thickBot="1">
      <c r="A350" s="1207"/>
      <c r="B350" s="1205" t="s">
        <v>301</v>
      </c>
      <c r="C350" s="1264">
        <v>-11.335410694893255</v>
      </c>
      <c r="D350" s="1268">
        <v>0</v>
      </c>
      <c r="E350" s="1268">
        <v>0</v>
      </c>
      <c r="F350" s="1268">
        <v>0</v>
      </c>
      <c r="G350" s="1268">
        <v>0</v>
      </c>
      <c r="H350" s="1268">
        <v>0</v>
      </c>
      <c r="I350" s="1352">
        <v>-11.335410694893255</v>
      </c>
      <c r="J350" s="1266">
        <v>0</v>
      </c>
      <c r="K350" s="1268">
        <v>0</v>
      </c>
      <c r="L350" s="1268">
        <v>0</v>
      </c>
      <c r="M350" s="1268">
        <v>0</v>
      </c>
      <c r="N350" s="1268">
        <v>0</v>
      </c>
      <c r="O350" s="1352">
        <v>0</v>
      </c>
      <c r="P350" s="1264">
        <v>0</v>
      </c>
      <c r="Q350" s="1268">
        <v>0</v>
      </c>
      <c r="R350" s="1268">
        <v>0</v>
      </c>
      <c r="S350" s="1264">
        <v>0</v>
      </c>
      <c r="T350" s="1264">
        <v>-2.2821488272715302</v>
      </c>
      <c r="U350" s="1281">
        <v>-2.2821488272715302</v>
      </c>
      <c r="V350" s="1266">
        <v>0</v>
      </c>
      <c r="W350" s="1264">
        <v>0</v>
      </c>
      <c r="X350" s="1269">
        <v>-2.9084941581287693</v>
      </c>
      <c r="Y350"/>
      <c r="Z350"/>
      <c r="AA350"/>
      <c r="AB350"/>
    </row>
    <row r="351" spans="1:28">
      <c r="A351" s="1207"/>
      <c r="B351" s="1205" t="s">
        <v>120</v>
      </c>
      <c r="C351" s="1264">
        <v>7500000</v>
      </c>
      <c r="D351" s="1262"/>
      <c r="E351" s="1268"/>
      <c r="F351" s="1268"/>
      <c r="G351" s="1268"/>
      <c r="H351" s="1268"/>
      <c r="I351" s="1352">
        <v>7500000</v>
      </c>
      <c r="J351" s="1266"/>
      <c r="K351" s="1268"/>
      <c r="L351" s="1268"/>
      <c r="M351" s="1268"/>
      <c r="N351" s="1268"/>
      <c r="O351" s="1352"/>
      <c r="P351" s="1264"/>
      <c r="Q351" s="1268"/>
      <c r="R351" s="1268"/>
      <c r="S351" s="1264"/>
      <c r="T351" s="1264">
        <v>12961305</v>
      </c>
      <c r="U351" s="1264">
        <v>12961305</v>
      </c>
      <c r="V351" s="1266"/>
      <c r="W351" s="1264"/>
      <c r="X351" s="1269">
        <v>20461305</v>
      </c>
      <c r="Y351"/>
      <c r="Z351"/>
      <c r="AA351"/>
      <c r="AB351"/>
    </row>
    <row r="352" spans="1:28" s="205" customFormat="1">
      <c r="A352" s="1207"/>
      <c r="B352" s="1205" t="s">
        <v>450</v>
      </c>
      <c r="C352" s="1264">
        <v>8500000</v>
      </c>
      <c r="D352" s="1267"/>
      <c r="E352" s="1268"/>
      <c r="F352" s="1268"/>
      <c r="G352" s="1268"/>
      <c r="H352" s="1268"/>
      <c r="I352" s="1352">
        <v>8500000</v>
      </c>
      <c r="J352" s="1266"/>
      <c r="K352" s="1268"/>
      <c r="L352" s="1268"/>
      <c r="M352" s="1268"/>
      <c r="N352" s="1268"/>
      <c r="O352" s="1352"/>
      <c r="P352" s="1264"/>
      <c r="Q352" s="1268"/>
      <c r="R352" s="1268"/>
      <c r="S352" s="1264"/>
      <c r="T352" s="1264">
        <v>15729542</v>
      </c>
      <c r="U352" s="1264">
        <v>15729542</v>
      </c>
      <c r="V352" s="1266"/>
      <c r="W352" s="1264"/>
      <c r="X352" s="1269">
        <v>24229542</v>
      </c>
      <c r="Y352"/>
      <c r="Z352"/>
      <c r="AA352"/>
      <c r="AB352"/>
    </row>
    <row r="353" spans="1:28" s="204" customFormat="1" ht="13.5" thickBot="1">
      <c r="A353" s="1207"/>
      <c r="B353" s="1205" t="s">
        <v>335</v>
      </c>
      <c r="C353" s="1264">
        <v>13.333333333333334</v>
      </c>
      <c r="D353" s="1281">
        <v>0</v>
      </c>
      <c r="E353" s="1268">
        <v>0</v>
      </c>
      <c r="F353" s="1268">
        <v>0</v>
      </c>
      <c r="G353" s="1268">
        <v>0</v>
      </c>
      <c r="H353" s="1268">
        <v>0</v>
      </c>
      <c r="I353" s="1352">
        <v>13.333333333333334</v>
      </c>
      <c r="J353" s="1266">
        <v>0</v>
      </c>
      <c r="K353" s="1268">
        <v>0</v>
      </c>
      <c r="L353" s="1268">
        <v>0</v>
      </c>
      <c r="M353" s="1268">
        <v>0</v>
      </c>
      <c r="N353" s="1268">
        <v>0</v>
      </c>
      <c r="O353" s="1352">
        <v>0</v>
      </c>
      <c r="P353" s="1264">
        <v>0</v>
      </c>
      <c r="Q353" s="1268">
        <v>0</v>
      </c>
      <c r="R353" s="1268">
        <v>0</v>
      </c>
      <c r="S353" s="1264">
        <v>0</v>
      </c>
      <c r="T353" s="1264">
        <v>21.357702793044371</v>
      </c>
      <c r="U353" s="1264">
        <v>21.357702793044371</v>
      </c>
      <c r="V353" s="1266">
        <v>0</v>
      </c>
      <c r="W353" s="1264">
        <v>0</v>
      </c>
      <c r="X353" s="1269">
        <v>18.416405991699943</v>
      </c>
      <c r="Y353"/>
      <c r="Z353"/>
      <c r="AA353"/>
      <c r="AB353"/>
    </row>
    <row r="354" spans="1:28">
      <c r="A354" s="1207"/>
      <c r="B354" s="1205" t="s">
        <v>35</v>
      </c>
      <c r="C354" s="1264">
        <v>441865156.13496673</v>
      </c>
      <c r="D354" s="1268">
        <v>297500251.3270511</v>
      </c>
      <c r="E354" s="1268"/>
      <c r="F354" s="1268">
        <v>122176829.86084366</v>
      </c>
      <c r="G354" s="1268">
        <v>27248306.677138522</v>
      </c>
      <c r="H354" s="1268"/>
      <c r="I354" s="1352">
        <v>888790544</v>
      </c>
      <c r="J354" s="1266"/>
      <c r="K354" s="1268">
        <v>209475104</v>
      </c>
      <c r="L354" s="1268">
        <v>221907723</v>
      </c>
      <c r="M354" s="1268">
        <v>28380829</v>
      </c>
      <c r="N354" s="1268"/>
      <c r="O354" s="1352">
        <v>459763656</v>
      </c>
      <c r="P354" s="1264"/>
      <c r="Q354" s="1268"/>
      <c r="R354" s="1268"/>
      <c r="S354" s="1264"/>
      <c r="T354" s="1264">
        <v>0</v>
      </c>
      <c r="U354" s="1264">
        <v>0</v>
      </c>
      <c r="V354" s="1266">
        <v>6629918.4699999997</v>
      </c>
      <c r="W354" s="1264">
        <v>6629918.4699999997</v>
      </c>
      <c r="X354" s="1269">
        <v>1355184118.47</v>
      </c>
      <c r="Y354"/>
      <c r="Z354"/>
      <c r="AA354"/>
      <c r="AB354"/>
    </row>
    <row r="355" spans="1:28" s="205" customFormat="1">
      <c r="A355" s="1207"/>
      <c r="B355" s="1205" t="s">
        <v>37</v>
      </c>
      <c r="C355" s="1264">
        <v>425668132</v>
      </c>
      <c r="D355" s="1268">
        <v>289653317</v>
      </c>
      <c r="E355" s="1268"/>
      <c r="F355" s="1268">
        <v>114630744</v>
      </c>
      <c r="G355" s="1268">
        <v>25118152</v>
      </c>
      <c r="H355" s="1268"/>
      <c r="I355" s="1352">
        <v>855070345</v>
      </c>
      <c r="J355" s="1266"/>
      <c r="K355" s="1268">
        <v>216255411</v>
      </c>
      <c r="L355" s="1268">
        <v>227937211</v>
      </c>
      <c r="M355" s="1268">
        <v>28918789</v>
      </c>
      <c r="N355" s="1268"/>
      <c r="O355" s="1352">
        <v>473111411</v>
      </c>
      <c r="P355" s="1264"/>
      <c r="Q355" s="1268"/>
      <c r="R355" s="1268"/>
      <c r="S355" s="1264"/>
      <c r="T355" s="1264">
        <v>0</v>
      </c>
      <c r="U355" s="1264">
        <v>0</v>
      </c>
      <c r="V355" s="1266">
        <v>6673800</v>
      </c>
      <c r="W355" s="1264">
        <v>6673800</v>
      </c>
      <c r="X355" s="1269">
        <v>1334855556</v>
      </c>
      <c r="Y355"/>
      <c r="Z355"/>
      <c r="AA355"/>
      <c r="AB355"/>
    </row>
    <row r="356" spans="1:28" s="214" customFormat="1" ht="13.5" thickBot="1">
      <c r="A356" s="1333"/>
      <c r="B356" s="1205" t="s">
        <v>39</v>
      </c>
      <c r="C356" s="1264">
        <v>-3.6656033882923746</v>
      </c>
      <c r="D356" s="1268">
        <v>-2.6376227556274325</v>
      </c>
      <c r="E356" s="1268">
        <v>0</v>
      </c>
      <c r="F356" s="1268">
        <v>-6.176364102292113</v>
      </c>
      <c r="G356" s="1268">
        <v>-7.8175671698738389</v>
      </c>
      <c r="H356" s="1268">
        <v>0</v>
      </c>
      <c r="I356" s="1352">
        <v>-3.7939421416706707</v>
      </c>
      <c r="J356" s="1266">
        <v>0</v>
      </c>
      <c r="K356" s="1268">
        <v>3.2368080361473406</v>
      </c>
      <c r="L356" s="1268">
        <v>2.7171149874761231</v>
      </c>
      <c r="M356" s="1268">
        <v>1.8955048846529468</v>
      </c>
      <c r="N356" s="1268">
        <v>0</v>
      </c>
      <c r="O356" s="1352">
        <v>2.9031774969181119</v>
      </c>
      <c r="P356" s="1264">
        <v>0</v>
      </c>
      <c r="Q356" s="1268">
        <v>0</v>
      </c>
      <c r="R356" s="1268">
        <v>0</v>
      </c>
      <c r="S356" s="1264">
        <v>0</v>
      </c>
      <c r="T356" s="1264">
        <v>0</v>
      </c>
      <c r="U356" s="1264">
        <v>0</v>
      </c>
      <c r="V356" s="1266">
        <v>0.66187133670740694</v>
      </c>
      <c r="W356" s="1264">
        <v>0.66187133670740694</v>
      </c>
      <c r="X356" s="1269">
        <v>-1.5000590837022894</v>
      </c>
      <c r="Y356"/>
      <c r="Z356"/>
      <c r="AA356"/>
      <c r="AB356"/>
    </row>
    <row r="357" spans="1:28">
      <c r="A357" s="1206" t="s">
        <v>213</v>
      </c>
      <c r="B357" s="1204" t="s">
        <v>253</v>
      </c>
      <c r="C357" s="1259">
        <v>604302577.49000001</v>
      </c>
      <c r="D357" s="1260">
        <v>328645382.76999998</v>
      </c>
      <c r="E357" s="1260">
        <v>678535907.67000008</v>
      </c>
      <c r="F357" s="1262">
        <v>51480393.290000007</v>
      </c>
      <c r="G357" s="1260">
        <v>117458233.94</v>
      </c>
      <c r="H357" s="1260">
        <v>66190177.88000001</v>
      </c>
      <c r="I357" s="1355">
        <v>1846612673.0400002</v>
      </c>
      <c r="J357" s="1261"/>
      <c r="K357" s="1260">
        <v>289728292</v>
      </c>
      <c r="L357" s="1260">
        <v>321163098</v>
      </c>
      <c r="M357" s="1260">
        <v>165298274</v>
      </c>
      <c r="N357" s="1260"/>
      <c r="O357" s="1355">
        <v>776189664</v>
      </c>
      <c r="P357" s="1259"/>
      <c r="Q357" s="1260"/>
      <c r="R357" s="1260"/>
      <c r="S357" s="1259"/>
      <c r="T357" s="1259"/>
      <c r="U357" s="1259"/>
      <c r="V357" s="1261"/>
      <c r="W357" s="1259"/>
      <c r="X357" s="1263">
        <v>2622802337.04</v>
      </c>
      <c r="Y357"/>
      <c r="Z357"/>
      <c r="AA357"/>
      <c r="AB357"/>
    </row>
    <row r="358" spans="1:28" s="205" customFormat="1">
      <c r="A358" s="1207"/>
      <c r="B358" s="1205" t="s">
        <v>4</v>
      </c>
      <c r="C358" s="1264">
        <v>642996335</v>
      </c>
      <c r="D358" s="1268">
        <v>357239169</v>
      </c>
      <c r="E358" s="1268">
        <v>722713198</v>
      </c>
      <c r="F358" s="1267">
        <v>53689445</v>
      </c>
      <c r="G358" s="1268">
        <v>125757430</v>
      </c>
      <c r="H358" s="1268">
        <v>71019496</v>
      </c>
      <c r="I358" s="1352">
        <v>1973415073</v>
      </c>
      <c r="J358" s="1266"/>
      <c r="K358" s="1268">
        <v>312759399</v>
      </c>
      <c r="L358" s="1268">
        <v>336356215</v>
      </c>
      <c r="M358" s="1268">
        <v>168255839</v>
      </c>
      <c r="N358" s="1268"/>
      <c r="O358" s="1352">
        <v>817371453</v>
      </c>
      <c r="P358" s="1264"/>
      <c r="Q358" s="1268"/>
      <c r="R358" s="1268"/>
      <c r="S358" s="1264"/>
      <c r="T358" s="1264"/>
      <c r="U358" s="1264"/>
      <c r="V358" s="1266"/>
      <c r="W358" s="1264"/>
      <c r="X358" s="1269">
        <v>2790786526</v>
      </c>
      <c r="Y358"/>
      <c r="Z358"/>
      <c r="AA358"/>
      <c r="AB358"/>
    </row>
    <row r="359" spans="1:28" s="204" customFormat="1" ht="13.5" thickBot="1">
      <c r="A359" s="1207"/>
      <c r="B359" s="1205" t="s">
        <v>175</v>
      </c>
      <c r="C359" s="1264">
        <v>6.4030435995683463</v>
      </c>
      <c r="D359" s="1268">
        <v>8.700498387957321</v>
      </c>
      <c r="E359" s="1268">
        <v>6.5106783341354362</v>
      </c>
      <c r="F359" s="1281">
        <v>4.2910544555398697</v>
      </c>
      <c r="G359" s="1268">
        <v>7.0656571119904603</v>
      </c>
      <c r="H359" s="1268">
        <v>7.2961250062741012</v>
      </c>
      <c r="I359" s="1352">
        <v>6.8667567276710164</v>
      </c>
      <c r="J359" s="1266">
        <v>0</v>
      </c>
      <c r="K359" s="1268">
        <v>7.9492088401225232</v>
      </c>
      <c r="L359" s="1268">
        <v>4.730654640776943</v>
      </c>
      <c r="M359" s="1268">
        <v>1.7892292087695965</v>
      </c>
      <c r="N359" s="1268">
        <v>0</v>
      </c>
      <c r="O359" s="1352">
        <v>5.305634809380817</v>
      </c>
      <c r="P359" s="1264">
        <v>0</v>
      </c>
      <c r="Q359" s="1268">
        <v>0</v>
      </c>
      <c r="R359" s="1268">
        <v>0</v>
      </c>
      <c r="S359" s="1264">
        <v>0</v>
      </c>
      <c r="T359" s="1264">
        <v>0</v>
      </c>
      <c r="U359" s="1264">
        <v>0</v>
      </c>
      <c r="V359" s="1266">
        <v>0</v>
      </c>
      <c r="W359" s="1264">
        <v>0</v>
      </c>
      <c r="X359" s="1269">
        <v>6.4047597711683046</v>
      </c>
      <c r="Y359"/>
      <c r="Z359"/>
      <c r="AA359"/>
      <c r="AB359"/>
    </row>
    <row r="360" spans="1:28">
      <c r="A360" s="1207"/>
      <c r="B360" s="1205" t="s">
        <v>269</v>
      </c>
      <c r="C360" s="1264">
        <v>99745722</v>
      </c>
      <c r="D360" s="1268"/>
      <c r="E360" s="1268"/>
      <c r="F360" s="1268"/>
      <c r="G360" s="1268"/>
      <c r="H360" s="1268"/>
      <c r="I360" s="1352">
        <v>99745722</v>
      </c>
      <c r="J360" s="1266"/>
      <c r="K360" s="1262">
        <v>24314122</v>
      </c>
      <c r="L360" s="1277">
        <v>37325160</v>
      </c>
      <c r="M360" s="1277">
        <v>22319561</v>
      </c>
      <c r="N360" s="1268"/>
      <c r="O360" s="1352">
        <v>83958843</v>
      </c>
      <c r="P360" s="1264"/>
      <c r="Q360" s="1268"/>
      <c r="R360" s="1268"/>
      <c r="S360" s="1264"/>
      <c r="T360" s="1264"/>
      <c r="U360" s="1264"/>
      <c r="V360" s="1288">
        <v>53392539.670000002</v>
      </c>
      <c r="W360" s="1264">
        <v>53392539.670000002</v>
      </c>
      <c r="X360" s="1269">
        <v>237097104.67000002</v>
      </c>
      <c r="Y360"/>
      <c r="Z360"/>
      <c r="AA360"/>
      <c r="AB360"/>
    </row>
    <row r="361" spans="1:28" s="205" customFormat="1">
      <c r="A361" s="1207"/>
      <c r="B361" s="1205" t="s">
        <v>342</v>
      </c>
      <c r="C361" s="1264">
        <v>103677703</v>
      </c>
      <c r="D361" s="1268"/>
      <c r="E361" s="1268"/>
      <c r="F361" s="1268"/>
      <c r="G361" s="1268"/>
      <c r="H361" s="1268"/>
      <c r="I361" s="1352">
        <v>103677703</v>
      </c>
      <c r="J361" s="1266"/>
      <c r="K361" s="1267">
        <v>23198754</v>
      </c>
      <c r="L361" s="1279">
        <v>35251656</v>
      </c>
      <c r="M361" s="1279">
        <v>21927231</v>
      </c>
      <c r="N361" s="1268"/>
      <c r="O361" s="1352">
        <v>80377641</v>
      </c>
      <c r="P361" s="1264"/>
      <c r="Q361" s="1268"/>
      <c r="R361" s="1268"/>
      <c r="S361" s="1264"/>
      <c r="T361" s="1264"/>
      <c r="U361" s="1264"/>
      <c r="V361" s="1289">
        <v>64420421</v>
      </c>
      <c r="W361" s="1264">
        <v>64420421</v>
      </c>
      <c r="X361" s="1269">
        <v>248475765</v>
      </c>
      <c r="Y361"/>
      <c r="Z361"/>
      <c r="AA361"/>
      <c r="AB361"/>
    </row>
    <row r="362" spans="1:28" s="204" customFormat="1" ht="13.5" thickBot="1">
      <c r="A362" s="1207"/>
      <c r="B362" s="1205" t="s">
        <v>344</v>
      </c>
      <c r="C362" s="1264">
        <v>3.9420046505854156</v>
      </c>
      <c r="D362" s="1268">
        <v>0</v>
      </c>
      <c r="E362" s="1268">
        <v>0</v>
      </c>
      <c r="F362" s="1268">
        <v>0</v>
      </c>
      <c r="G362" s="1268">
        <v>0</v>
      </c>
      <c r="H362" s="1268">
        <v>0</v>
      </c>
      <c r="I362" s="1352">
        <v>3.9420046505854156</v>
      </c>
      <c r="J362" s="1266">
        <v>0</v>
      </c>
      <c r="K362" s="1281">
        <v>-4.5873258347556209</v>
      </c>
      <c r="L362" s="1283">
        <v>-5.5552447732307106</v>
      </c>
      <c r="M362" s="1283">
        <v>-1.7577854689883912</v>
      </c>
      <c r="N362" s="1268">
        <v>0</v>
      </c>
      <c r="O362" s="1352">
        <v>-4.2654256205031311</v>
      </c>
      <c r="P362" s="1264">
        <v>0</v>
      </c>
      <c r="Q362" s="1268">
        <v>0</v>
      </c>
      <c r="R362" s="1268">
        <v>0</v>
      </c>
      <c r="S362" s="1264">
        <v>0</v>
      </c>
      <c r="T362" s="1264">
        <v>0</v>
      </c>
      <c r="U362" s="1264">
        <v>0</v>
      </c>
      <c r="V362" s="1290">
        <v>20.654348712684108</v>
      </c>
      <c r="W362" s="1264">
        <v>20.654348712684108</v>
      </c>
      <c r="X362" s="1269">
        <v>4.7991561709862287</v>
      </c>
      <c r="Y362"/>
      <c r="Z362"/>
      <c r="AA362"/>
      <c r="AB362"/>
    </row>
    <row r="363" spans="1:28">
      <c r="A363" s="1207"/>
      <c r="B363" s="1205" t="s">
        <v>5</v>
      </c>
      <c r="C363" s="1264"/>
      <c r="D363" s="1268"/>
      <c r="E363" s="1268"/>
      <c r="F363" s="1268"/>
      <c r="G363" s="1268"/>
      <c r="H363" s="1268"/>
      <c r="I363" s="1352"/>
      <c r="J363" s="1266"/>
      <c r="K363" s="1262">
        <v>96745856</v>
      </c>
      <c r="L363" s="1268">
        <v>68788476</v>
      </c>
      <c r="M363" s="1268">
        <v>32477353</v>
      </c>
      <c r="N363" s="1268"/>
      <c r="O363" s="1352">
        <v>198011685</v>
      </c>
      <c r="P363" s="1264"/>
      <c r="Q363" s="1268"/>
      <c r="R363" s="1268"/>
      <c r="S363" s="1264"/>
      <c r="T363" s="1264"/>
      <c r="U363" s="1264"/>
      <c r="V363" s="1266"/>
      <c r="W363" s="1264"/>
      <c r="X363" s="1269">
        <v>198011685</v>
      </c>
      <c r="Y363"/>
      <c r="Z363"/>
      <c r="AA363"/>
      <c r="AB363"/>
    </row>
    <row r="364" spans="1:28" s="205" customFormat="1">
      <c r="A364" s="1207"/>
      <c r="B364" s="1205" t="s">
        <v>6</v>
      </c>
      <c r="C364" s="1264"/>
      <c r="D364" s="1268"/>
      <c r="E364" s="1268"/>
      <c r="F364" s="1268"/>
      <c r="G364" s="1268"/>
      <c r="H364" s="1268"/>
      <c r="I364" s="1352"/>
      <c r="J364" s="1266"/>
      <c r="K364" s="1267">
        <v>96028683</v>
      </c>
      <c r="L364" s="1268">
        <v>69962603</v>
      </c>
      <c r="M364" s="1268">
        <v>32457446</v>
      </c>
      <c r="N364" s="1268"/>
      <c r="O364" s="1352">
        <v>198448732</v>
      </c>
      <c r="P364" s="1264"/>
      <c r="Q364" s="1268"/>
      <c r="R364" s="1268"/>
      <c r="S364" s="1264"/>
      <c r="T364" s="1264"/>
      <c r="U364" s="1264"/>
      <c r="V364" s="1266"/>
      <c r="W364" s="1264"/>
      <c r="X364" s="1269">
        <v>198448732</v>
      </c>
      <c r="Y364"/>
      <c r="Z364"/>
      <c r="AA364"/>
      <c r="AB364"/>
    </row>
    <row r="365" spans="1:28" s="204" customFormat="1" ht="13.5" thickBot="1">
      <c r="A365" s="1207"/>
      <c r="B365" s="1205" t="s">
        <v>426</v>
      </c>
      <c r="C365" s="1264">
        <v>0</v>
      </c>
      <c r="D365" s="1268">
        <v>0</v>
      </c>
      <c r="E365" s="1268">
        <v>0</v>
      </c>
      <c r="F365" s="1268">
        <v>0</v>
      </c>
      <c r="G365" s="1268">
        <v>0</v>
      </c>
      <c r="H365" s="1268">
        <v>0</v>
      </c>
      <c r="I365" s="1352">
        <v>0</v>
      </c>
      <c r="J365" s="1266">
        <v>0</v>
      </c>
      <c r="K365" s="1281">
        <v>-0.74129583390114406</v>
      </c>
      <c r="L365" s="1268">
        <v>1.7068658418889815</v>
      </c>
      <c r="M365" s="1268">
        <v>-6.1295019948208213E-2</v>
      </c>
      <c r="N365" s="1268">
        <v>0</v>
      </c>
      <c r="O365" s="1352">
        <v>0.22071778238743839</v>
      </c>
      <c r="P365" s="1264">
        <v>0</v>
      </c>
      <c r="Q365" s="1268">
        <v>0</v>
      </c>
      <c r="R365" s="1268">
        <v>0</v>
      </c>
      <c r="S365" s="1264">
        <v>0</v>
      </c>
      <c r="T365" s="1264">
        <v>0</v>
      </c>
      <c r="U365" s="1264">
        <v>0</v>
      </c>
      <c r="V365" s="1266">
        <v>0</v>
      </c>
      <c r="W365" s="1264">
        <v>0</v>
      </c>
      <c r="X365" s="1269">
        <v>0.22071778238743839</v>
      </c>
      <c r="Y365"/>
      <c r="Z365"/>
      <c r="AA365"/>
      <c r="AB365"/>
    </row>
    <row r="366" spans="1:28">
      <c r="A366" s="1207"/>
      <c r="B366" s="1205" t="s">
        <v>322</v>
      </c>
      <c r="C366" s="1264">
        <v>395066964.44</v>
      </c>
      <c r="D366" s="1268">
        <v>165871134.83000001</v>
      </c>
      <c r="E366" s="1268">
        <v>337090700.76999998</v>
      </c>
      <c r="F366" s="1262">
        <v>15588298.039999999</v>
      </c>
      <c r="G366" s="1262">
        <v>36893562.619999997</v>
      </c>
      <c r="H366" s="1268">
        <v>22146842.899999999</v>
      </c>
      <c r="I366" s="1352">
        <v>972657503.5999999</v>
      </c>
      <c r="J366" s="1266"/>
      <c r="K366" s="1268">
        <v>113856115</v>
      </c>
      <c r="L366" s="1268">
        <v>87957417</v>
      </c>
      <c r="M366" s="1268">
        <v>36253507</v>
      </c>
      <c r="N366" s="1268"/>
      <c r="O366" s="1352">
        <v>238067039</v>
      </c>
      <c r="P366" s="1264"/>
      <c r="Q366" s="1268"/>
      <c r="R366" s="1268"/>
      <c r="S366" s="1264"/>
      <c r="T366" s="1264"/>
      <c r="U366" s="1264"/>
      <c r="V366" s="1266"/>
      <c r="W366" s="1264"/>
      <c r="X366" s="1269">
        <v>1210724542.5999999</v>
      </c>
      <c r="Y366"/>
      <c r="Z366"/>
      <c r="AA366"/>
      <c r="AB366"/>
    </row>
    <row r="367" spans="1:28" s="205" customFormat="1">
      <c r="A367" s="1207"/>
      <c r="B367" s="1205" t="s">
        <v>22</v>
      </c>
      <c r="C367" s="1264">
        <v>457030188</v>
      </c>
      <c r="D367" s="1268">
        <v>193287754</v>
      </c>
      <c r="E367" s="1268">
        <v>404001375</v>
      </c>
      <c r="F367" s="1267">
        <v>19337756</v>
      </c>
      <c r="G367" s="1267">
        <v>43687341</v>
      </c>
      <c r="H367" s="1268">
        <v>29994298</v>
      </c>
      <c r="I367" s="1352">
        <v>1147338712</v>
      </c>
      <c r="J367" s="1266"/>
      <c r="K367" s="1268">
        <v>145287737</v>
      </c>
      <c r="L367" s="1268">
        <v>120551829</v>
      </c>
      <c r="M367" s="1268">
        <v>50498159</v>
      </c>
      <c r="N367" s="1268"/>
      <c r="O367" s="1352">
        <v>316337725</v>
      </c>
      <c r="P367" s="1264"/>
      <c r="Q367" s="1268"/>
      <c r="R367" s="1268"/>
      <c r="S367" s="1264"/>
      <c r="T367" s="1264"/>
      <c r="U367" s="1264"/>
      <c r="V367" s="1266"/>
      <c r="W367" s="1264"/>
      <c r="X367" s="1269">
        <v>1463676437</v>
      </c>
      <c r="Y367"/>
      <c r="Z367"/>
      <c r="AA367"/>
      <c r="AB367"/>
    </row>
    <row r="368" spans="1:28" s="204" customFormat="1" ht="13.5" thickBot="1">
      <c r="A368" s="1207"/>
      <c r="B368" s="1205" t="s">
        <v>375</v>
      </c>
      <c r="C368" s="1264">
        <v>15.684233088897145</v>
      </c>
      <c r="D368" s="1268">
        <v>16.528866941254762</v>
      </c>
      <c r="E368" s="1268">
        <v>19.84945715712691</v>
      </c>
      <c r="F368" s="1281">
        <v>24.053029717412315</v>
      </c>
      <c r="G368" s="1281">
        <v>18.414536026176815</v>
      </c>
      <c r="H368" s="1268">
        <v>35.433741664370601</v>
      </c>
      <c r="I368" s="1352">
        <v>17.959169363673251</v>
      </c>
      <c r="J368" s="1266">
        <v>0</v>
      </c>
      <c r="K368" s="1268">
        <v>27.606441691779139</v>
      </c>
      <c r="L368" s="1268">
        <v>37.057036361129157</v>
      </c>
      <c r="M368" s="1268">
        <v>39.291790446645621</v>
      </c>
      <c r="N368" s="1268">
        <v>0</v>
      </c>
      <c r="O368" s="1352">
        <v>32.877582015879149</v>
      </c>
      <c r="P368" s="1264">
        <v>0</v>
      </c>
      <c r="Q368" s="1268">
        <v>0</v>
      </c>
      <c r="R368" s="1268">
        <v>0</v>
      </c>
      <c r="S368" s="1264">
        <v>0</v>
      </c>
      <c r="T368" s="1264">
        <v>0</v>
      </c>
      <c r="U368" s="1264">
        <v>0</v>
      </c>
      <c r="V368" s="1266">
        <v>0</v>
      </c>
      <c r="W368" s="1264">
        <v>0</v>
      </c>
      <c r="X368" s="1269">
        <v>20.892604841130286</v>
      </c>
      <c r="Y368"/>
      <c r="Z368"/>
      <c r="AA368"/>
      <c r="AB368"/>
    </row>
    <row r="369" spans="1:28">
      <c r="A369" s="1207"/>
      <c r="B369" s="1205" t="s">
        <v>324</v>
      </c>
      <c r="C369" s="1264"/>
      <c r="D369" s="1268"/>
      <c r="E369" s="1268"/>
      <c r="F369" s="1268"/>
      <c r="G369" s="1268"/>
      <c r="H369" s="1268"/>
      <c r="I369" s="1352"/>
      <c r="J369" s="1266"/>
      <c r="K369" s="1268"/>
      <c r="L369" s="1268"/>
      <c r="M369" s="1268"/>
      <c r="N369" s="1268"/>
      <c r="O369" s="1352"/>
      <c r="P369" s="1264"/>
      <c r="Q369" s="1268"/>
      <c r="R369" s="1268"/>
      <c r="S369" s="1264"/>
      <c r="T369" s="1264"/>
      <c r="U369" s="1264"/>
      <c r="V369" s="1266"/>
      <c r="W369" s="1264"/>
      <c r="X369" s="1269"/>
      <c r="Y369"/>
      <c r="Z369"/>
      <c r="AA369"/>
      <c r="AB369"/>
    </row>
    <row r="370" spans="1:28" s="205" customFormat="1">
      <c r="A370" s="1207"/>
      <c r="B370" s="1205" t="s">
        <v>226</v>
      </c>
      <c r="C370" s="1264"/>
      <c r="D370" s="1268"/>
      <c r="E370" s="1268"/>
      <c r="F370" s="1268"/>
      <c r="G370" s="1268"/>
      <c r="H370" s="1268"/>
      <c r="I370" s="1352"/>
      <c r="J370" s="1266"/>
      <c r="K370" s="1268"/>
      <c r="L370" s="1268"/>
      <c r="M370" s="1268"/>
      <c r="N370" s="1268"/>
      <c r="O370" s="1352"/>
      <c r="P370" s="1264"/>
      <c r="Q370" s="1268"/>
      <c r="R370" s="1268"/>
      <c r="S370" s="1264"/>
      <c r="T370" s="1264"/>
      <c r="U370" s="1264"/>
      <c r="V370" s="1266"/>
      <c r="W370" s="1264"/>
      <c r="X370" s="1269"/>
      <c r="Y370"/>
      <c r="Z370"/>
      <c r="AA370"/>
      <c r="AB370"/>
    </row>
    <row r="371" spans="1:28" s="204" customFormat="1">
      <c r="A371" s="1207"/>
      <c r="B371" s="1205" t="s">
        <v>236</v>
      </c>
      <c r="C371" s="1264">
        <v>0</v>
      </c>
      <c r="D371" s="1268">
        <v>0</v>
      </c>
      <c r="E371" s="1268">
        <v>0</v>
      </c>
      <c r="F371" s="1268">
        <v>0</v>
      </c>
      <c r="G371" s="1268">
        <v>0</v>
      </c>
      <c r="H371" s="1268">
        <v>0</v>
      </c>
      <c r="I371" s="1352">
        <v>0</v>
      </c>
      <c r="J371" s="1266">
        <v>0</v>
      </c>
      <c r="K371" s="1268">
        <v>0</v>
      </c>
      <c r="L371" s="1268">
        <v>0</v>
      </c>
      <c r="M371" s="1268">
        <v>0</v>
      </c>
      <c r="N371" s="1268">
        <v>0</v>
      </c>
      <c r="O371" s="1352">
        <v>0</v>
      </c>
      <c r="P371" s="1264">
        <v>0</v>
      </c>
      <c r="Q371" s="1268">
        <v>0</v>
      </c>
      <c r="R371" s="1268">
        <v>0</v>
      </c>
      <c r="S371" s="1264">
        <v>0</v>
      </c>
      <c r="T371" s="1264">
        <v>0</v>
      </c>
      <c r="U371" s="1264">
        <v>0</v>
      </c>
      <c r="V371" s="1266">
        <v>0</v>
      </c>
      <c r="W371" s="1264">
        <v>0</v>
      </c>
      <c r="X371" s="1269">
        <v>0</v>
      </c>
      <c r="Y371"/>
      <c r="Z371"/>
      <c r="AA371"/>
      <c r="AB371"/>
    </row>
    <row r="372" spans="1:28">
      <c r="A372" s="1207"/>
      <c r="B372" s="1205" t="s">
        <v>449</v>
      </c>
      <c r="C372" s="1264">
        <v>395066964.44</v>
      </c>
      <c r="D372" s="1268">
        <v>165871134.83000001</v>
      </c>
      <c r="E372" s="1268">
        <v>337090700.76999998</v>
      </c>
      <c r="F372" s="1268">
        <v>15588298.039999999</v>
      </c>
      <c r="G372" s="1268">
        <v>36893562.619999997</v>
      </c>
      <c r="H372" s="1268">
        <v>22146842.899999999</v>
      </c>
      <c r="I372" s="1352">
        <v>972657503.5999999</v>
      </c>
      <c r="J372" s="1266"/>
      <c r="K372" s="1268">
        <v>113856115</v>
      </c>
      <c r="L372" s="1268">
        <v>87957417</v>
      </c>
      <c r="M372" s="1268">
        <v>36253507</v>
      </c>
      <c r="N372" s="1268"/>
      <c r="O372" s="1352">
        <v>238067039</v>
      </c>
      <c r="P372" s="1264"/>
      <c r="Q372" s="1268"/>
      <c r="R372" s="1268"/>
      <c r="S372" s="1264"/>
      <c r="T372" s="1264">
        <v>0</v>
      </c>
      <c r="U372" s="1264">
        <v>0</v>
      </c>
      <c r="V372" s="1266">
        <v>0</v>
      </c>
      <c r="W372" s="1264">
        <v>0</v>
      </c>
      <c r="X372" s="1269">
        <v>1210724542.5999999</v>
      </c>
      <c r="Y372"/>
      <c r="Z372"/>
      <c r="AA372"/>
      <c r="AB372"/>
    </row>
    <row r="373" spans="1:28" s="205" customFormat="1">
      <c r="A373" s="1207"/>
      <c r="B373" s="1205" t="s">
        <v>109</v>
      </c>
      <c r="C373" s="1264">
        <v>457030188</v>
      </c>
      <c r="D373" s="1268">
        <v>193287754</v>
      </c>
      <c r="E373" s="1268">
        <v>404001375</v>
      </c>
      <c r="F373" s="1268">
        <v>19337756</v>
      </c>
      <c r="G373" s="1268">
        <v>43687341</v>
      </c>
      <c r="H373" s="1268">
        <v>29994298</v>
      </c>
      <c r="I373" s="1352">
        <v>1147338712</v>
      </c>
      <c r="J373" s="1266"/>
      <c r="K373" s="1268">
        <v>145287737</v>
      </c>
      <c r="L373" s="1268">
        <v>120551829</v>
      </c>
      <c r="M373" s="1268">
        <v>50498159</v>
      </c>
      <c r="N373" s="1268"/>
      <c r="O373" s="1352">
        <v>316337725</v>
      </c>
      <c r="P373" s="1264"/>
      <c r="Q373" s="1268"/>
      <c r="R373" s="1268"/>
      <c r="S373" s="1264"/>
      <c r="T373" s="1264">
        <v>0</v>
      </c>
      <c r="U373" s="1264">
        <v>0</v>
      </c>
      <c r="V373" s="1266">
        <v>0</v>
      </c>
      <c r="W373" s="1264">
        <v>0</v>
      </c>
      <c r="X373" s="1269">
        <v>1463676437</v>
      </c>
      <c r="Y373"/>
      <c r="Z373"/>
      <c r="AA373"/>
      <c r="AB373"/>
    </row>
    <row r="374" spans="1:28" s="204" customFormat="1">
      <c r="A374" s="1207"/>
      <c r="B374" s="1205" t="s">
        <v>83</v>
      </c>
      <c r="C374" s="1264">
        <v>15.684233088897145</v>
      </c>
      <c r="D374" s="1268">
        <v>16.528866941254762</v>
      </c>
      <c r="E374" s="1268">
        <v>19.84945715712691</v>
      </c>
      <c r="F374" s="1268">
        <v>24.053029717412315</v>
      </c>
      <c r="G374" s="1268">
        <v>18.414536026176815</v>
      </c>
      <c r="H374" s="1268">
        <v>35.433741664370601</v>
      </c>
      <c r="I374" s="1352">
        <v>17.959169363673251</v>
      </c>
      <c r="J374" s="1266">
        <v>0</v>
      </c>
      <c r="K374" s="1268">
        <v>27.606441691779139</v>
      </c>
      <c r="L374" s="1268">
        <v>37.057036361129157</v>
      </c>
      <c r="M374" s="1268">
        <v>39.291790446645621</v>
      </c>
      <c r="N374" s="1268">
        <v>0</v>
      </c>
      <c r="O374" s="1352">
        <v>32.877582015879149</v>
      </c>
      <c r="P374" s="1264">
        <v>0</v>
      </c>
      <c r="Q374" s="1268">
        <v>0</v>
      </c>
      <c r="R374" s="1268">
        <v>0</v>
      </c>
      <c r="S374" s="1264">
        <v>0</v>
      </c>
      <c r="T374" s="1264">
        <v>0</v>
      </c>
      <c r="U374" s="1264">
        <v>0</v>
      </c>
      <c r="V374" s="1266">
        <v>0</v>
      </c>
      <c r="W374" s="1264">
        <v>0</v>
      </c>
      <c r="X374" s="1269">
        <v>20.892604841130286</v>
      </c>
      <c r="Y374"/>
      <c r="Z374"/>
      <c r="AA374"/>
      <c r="AB374"/>
    </row>
    <row r="375" spans="1:28">
      <c r="A375" s="1207"/>
      <c r="B375" s="1205" t="s">
        <v>111</v>
      </c>
      <c r="C375" s="1264"/>
      <c r="D375" s="1268"/>
      <c r="E375" s="1268"/>
      <c r="F375" s="1268"/>
      <c r="G375" s="1268"/>
      <c r="H375" s="1268"/>
      <c r="I375" s="1352"/>
      <c r="J375" s="1266"/>
      <c r="K375" s="1268"/>
      <c r="L375" s="1268"/>
      <c r="M375" s="1268"/>
      <c r="N375" s="1268"/>
      <c r="O375" s="1352"/>
      <c r="P375" s="1264"/>
      <c r="Q375" s="1268"/>
      <c r="R375" s="1268"/>
      <c r="S375" s="1264"/>
      <c r="T375" s="1264">
        <v>25858033.620000005</v>
      </c>
      <c r="U375" s="1264">
        <v>25858033.620000005</v>
      </c>
      <c r="V375" s="1266">
        <v>399464702.00999999</v>
      </c>
      <c r="W375" s="1264">
        <v>399464702.00999999</v>
      </c>
      <c r="X375" s="1269">
        <v>425322735.63</v>
      </c>
      <c r="Y375"/>
      <c r="Z375"/>
      <c r="AA375"/>
      <c r="AB375"/>
    </row>
    <row r="376" spans="1:28" s="205" customFormat="1">
      <c r="A376" s="1207"/>
      <c r="B376" s="1205" t="s">
        <v>113</v>
      </c>
      <c r="C376" s="1264"/>
      <c r="D376" s="1268"/>
      <c r="E376" s="1268"/>
      <c r="F376" s="1268"/>
      <c r="G376" s="1268"/>
      <c r="H376" s="1268"/>
      <c r="I376" s="1352"/>
      <c r="J376" s="1266"/>
      <c r="K376" s="1268"/>
      <c r="L376" s="1268"/>
      <c r="M376" s="1268"/>
      <c r="N376" s="1268"/>
      <c r="O376" s="1352"/>
      <c r="P376" s="1264"/>
      <c r="Q376" s="1268"/>
      <c r="R376" s="1268"/>
      <c r="S376" s="1264"/>
      <c r="T376" s="1264">
        <v>26831404</v>
      </c>
      <c r="U376" s="1264">
        <v>26831404</v>
      </c>
      <c r="V376" s="1266">
        <v>427723494</v>
      </c>
      <c r="W376" s="1264">
        <v>427723494</v>
      </c>
      <c r="X376" s="1269">
        <v>454554898</v>
      </c>
      <c r="Y376"/>
      <c r="Z376"/>
      <c r="AA376"/>
      <c r="AB376"/>
    </row>
    <row r="377" spans="1:28" s="204" customFormat="1">
      <c r="A377" s="1207"/>
      <c r="B377" s="1205" t="s">
        <v>115</v>
      </c>
      <c r="C377" s="1264">
        <v>0</v>
      </c>
      <c r="D377" s="1268">
        <v>0</v>
      </c>
      <c r="E377" s="1268">
        <v>0</v>
      </c>
      <c r="F377" s="1268">
        <v>0</v>
      </c>
      <c r="G377" s="1268">
        <v>0</v>
      </c>
      <c r="H377" s="1268">
        <v>0</v>
      </c>
      <c r="I377" s="1352">
        <v>0</v>
      </c>
      <c r="J377" s="1266">
        <v>0</v>
      </c>
      <c r="K377" s="1268">
        <v>0</v>
      </c>
      <c r="L377" s="1268">
        <v>0</v>
      </c>
      <c r="M377" s="1268">
        <v>0</v>
      </c>
      <c r="N377" s="1268">
        <v>0</v>
      </c>
      <c r="O377" s="1352">
        <v>0</v>
      </c>
      <c r="P377" s="1264">
        <v>0</v>
      </c>
      <c r="Q377" s="1268">
        <v>0</v>
      </c>
      <c r="R377" s="1268">
        <v>0</v>
      </c>
      <c r="S377" s="1264">
        <v>0</v>
      </c>
      <c r="T377" s="1264">
        <v>3.7642861568837076</v>
      </c>
      <c r="U377" s="1264">
        <v>3.7642861568837076</v>
      </c>
      <c r="V377" s="1266">
        <v>7.0741649632143453</v>
      </c>
      <c r="W377" s="1264">
        <v>7.0741649632143453</v>
      </c>
      <c r="X377" s="1269">
        <v>6.8729366951664375</v>
      </c>
      <c r="Y377"/>
      <c r="Z377"/>
      <c r="AA377"/>
      <c r="AB377"/>
    </row>
    <row r="378" spans="1:28">
      <c r="A378" s="1207"/>
      <c r="B378" s="1205" t="s">
        <v>339</v>
      </c>
      <c r="C378" s="1264"/>
      <c r="D378" s="1268"/>
      <c r="E378" s="1268"/>
      <c r="F378" s="1268"/>
      <c r="G378" s="1268"/>
      <c r="H378" s="1268"/>
      <c r="I378" s="1352"/>
      <c r="J378" s="1266"/>
      <c r="K378" s="1268"/>
      <c r="L378" s="1268"/>
      <c r="M378" s="1268"/>
      <c r="N378" s="1268"/>
      <c r="O378" s="1352"/>
      <c r="P378" s="1264"/>
      <c r="Q378" s="1268"/>
      <c r="R378" s="1268"/>
      <c r="S378" s="1264"/>
      <c r="T378" s="1264">
        <v>10598904.33</v>
      </c>
      <c r="U378" s="1264">
        <v>10598904.33</v>
      </c>
      <c r="V378" s="1266"/>
      <c r="W378" s="1264"/>
      <c r="X378" s="1269">
        <v>10598904.33</v>
      </c>
      <c r="Y378"/>
      <c r="Z378"/>
      <c r="AA378"/>
      <c r="AB378"/>
    </row>
    <row r="379" spans="1:28" s="205" customFormat="1">
      <c r="A379" s="1207"/>
      <c r="B379" s="1205" t="s">
        <v>223</v>
      </c>
      <c r="C379" s="1264"/>
      <c r="D379" s="1268"/>
      <c r="E379" s="1268"/>
      <c r="F379" s="1268"/>
      <c r="G379" s="1268"/>
      <c r="H379" s="1268"/>
      <c r="I379" s="1352"/>
      <c r="J379" s="1266"/>
      <c r="K379" s="1268"/>
      <c r="L379" s="1268"/>
      <c r="M379" s="1268"/>
      <c r="N379" s="1268"/>
      <c r="O379" s="1352"/>
      <c r="P379" s="1264"/>
      <c r="Q379" s="1268"/>
      <c r="R379" s="1268"/>
      <c r="S379" s="1264"/>
      <c r="T379" s="1264">
        <v>11412279</v>
      </c>
      <c r="U379" s="1264">
        <v>11412279</v>
      </c>
      <c r="V379" s="1266"/>
      <c r="W379" s="1264"/>
      <c r="X379" s="1269">
        <v>11412279</v>
      </c>
      <c r="Y379"/>
      <c r="Z379"/>
      <c r="AA379"/>
      <c r="AB379"/>
    </row>
    <row r="380" spans="1:28" s="204" customFormat="1">
      <c r="A380" s="1207"/>
      <c r="B380" s="1205" t="s">
        <v>85</v>
      </c>
      <c r="C380" s="1264">
        <v>0</v>
      </c>
      <c r="D380" s="1268">
        <v>0</v>
      </c>
      <c r="E380" s="1268">
        <v>0</v>
      </c>
      <c r="F380" s="1268">
        <v>0</v>
      </c>
      <c r="G380" s="1268">
        <v>0</v>
      </c>
      <c r="H380" s="1268">
        <v>0</v>
      </c>
      <c r="I380" s="1352">
        <v>0</v>
      </c>
      <c r="J380" s="1266">
        <v>0</v>
      </c>
      <c r="K380" s="1268">
        <v>0</v>
      </c>
      <c r="L380" s="1268">
        <v>0</v>
      </c>
      <c r="M380" s="1268">
        <v>0</v>
      </c>
      <c r="N380" s="1268">
        <v>0</v>
      </c>
      <c r="O380" s="1352">
        <v>0</v>
      </c>
      <c r="P380" s="1264">
        <v>0</v>
      </c>
      <c r="Q380" s="1268">
        <v>0</v>
      </c>
      <c r="R380" s="1268">
        <v>0</v>
      </c>
      <c r="S380" s="1264">
        <v>0</v>
      </c>
      <c r="T380" s="1264">
        <v>7.6741391815166979</v>
      </c>
      <c r="U380" s="1264">
        <v>7.6741391815166979</v>
      </c>
      <c r="V380" s="1266">
        <v>0</v>
      </c>
      <c r="W380" s="1264">
        <v>0</v>
      </c>
      <c r="X380" s="1269">
        <v>7.6741391815166979</v>
      </c>
      <c r="Y380"/>
      <c r="Z380"/>
      <c r="AA380"/>
      <c r="AB380"/>
    </row>
    <row r="381" spans="1:28">
      <c r="A381" s="1207"/>
      <c r="B381" s="1205" t="s">
        <v>219</v>
      </c>
      <c r="C381" s="1264"/>
      <c r="D381" s="1268"/>
      <c r="E381" s="1268"/>
      <c r="F381" s="1268"/>
      <c r="G381" s="1268"/>
      <c r="H381" s="1268"/>
      <c r="I381" s="1352"/>
      <c r="J381" s="1266"/>
      <c r="K381" s="1268"/>
      <c r="L381" s="1268"/>
      <c r="M381" s="1268"/>
      <c r="N381" s="1268"/>
      <c r="O381" s="1352"/>
      <c r="P381" s="1264"/>
      <c r="Q381" s="1268"/>
      <c r="R381" s="1268"/>
      <c r="S381" s="1264"/>
      <c r="T381" s="1264"/>
      <c r="U381" s="1264"/>
      <c r="V381" s="1266"/>
      <c r="W381" s="1264"/>
      <c r="X381" s="1269"/>
      <c r="Y381"/>
      <c r="Z381"/>
      <c r="AA381"/>
      <c r="AB381"/>
    </row>
    <row r="382" spans="1:28" s="205" customFormat="1">
      <c r="A382" s="1207"/>
      <c r="B382" s="1205" t="s">
        <v>141</v>
      </c>
      <c r="C382" s="1264"/>
      <c r="D382" s="1268"/>
      <c r="E382" s="1268"/>
      <c r="F382" s="1268"/>
      <c r="G382" s="1268"/>
      <c r="H382" s="1268"/>
      <c r="I382" s="1352"/>
      <c r="J382" s="1266"/>
      <c r="K382" s="1268"/>
      <c r="L382" s="1268"/>
      <c r="M382" s="1268"/>
      <c r="N382" s="1268"/>
      <c r="O382" s="1352"/>
      <c r="P382" s="1264"/>
      <c r="Q382" s="1268"/>
      <c r="R382" s="1268"/>
      <c r="S382" s="1264"/>
      <c r="T382" s="1264"/>
      <c r="U382" s="1264"/>
      <c r="V382" s="1266"/>
      <c r="W382" s="1264"/>
      <c r="X382" s="1269"/>
      <c r="Y382"/>
      <c r="Z382"/>
      <c r="AA382"/>
      <c r="AB382"/>
    </row>
    <row r="383" spans="1:28" s="204" customFormat="1">
      <c r="A383" s="1207"/>
      <c r="B383" s="1205" t="s">
        <v>169</v>
      </c>
      <c r="C383" s="1264">
        <v>0</v>
      </c>
      <c r="D383" s="1268">
        <v>0</v>
      </c>
      <c r="E383" s="1268">
        <v>0</v>
      </c>
      <c r="F383" s="1268">
        <v>0</v>
      </c>
      <c r="G383" s="1268">
        <v>0</v>
      </c>
      <c r="H383" s="1268">
        <v>0</v>
      </c>
      <c r="I383" s="1352">
        <v>0</v>
      </c>
      <c r="J383" s="1266">
        <v>0</v>
      </c>
      <c r="K383" s="1268">
        <v>0</v>
      </c>
      <c r="L383" s="1268">
        <v>0</v>
      </c>
      <c r="M383" s="1268">
        <v>0</v>
      </c>
      <c r="N383" s="1268">
        <v>0</v>
      </c>
      <c r="O383" s="1352">
        <v>0</v>
      </c>
      <c r="P383" s="1264">
        <v>0</v>
      </c>
      <c r="Q383" s="1268">
        <v>0</v>
      </c>
      <c r="R383" s="1268">
        <v>0</v>
      </c>
      <c r="S383" s="1264">
        <v>0</v>
      </c>
      <c r="T383" s="1264">
        <v>0</v>
      </c>
      <c r="U383" s="1264">
        <v>0</v>
      </c>
      <c r="V383" s="1266">
        <v>0</v>
      </c>
      <c r="W383" s="1264">
        <v>0</v>
      </c>
      <c r="X383" s="1269">
        <v>0</v>
      </c>
      <c r="Y383"/>
      <c r="Z383"/>
      <c r="AA383"/>
      <c r="AB383"/>
    </row>
    <row r="384" spans="1:28">
      <c r="A384" s="1207"/>
      <c r="B384" s="1205" t="s">
        <v>221</v>
      </c>
      <c r="C384" s="1264">
        <v>0</v>
      </c>
      <c r="D384" s="1268">
        <v>0</v>
      </c>
      <c r="E384" s="1268">
        <v>0</v>
      </c>
      <c r="F384" s="1268">
        <v>0</v>
      </c>
      <c r="G384" s="1268">
        <v>0</v>
      </c>
      <c r="H384" s="1268">
        <v>0</v>
      </c>
      <c r="I384" s="1352">
        <v>0</v>
      </c>
      <c r="J384" s="1266"/>
      <c r="K384" s="1268">
        <v>0</v>
      </c>
      <c r="L384" s="1268">
        <v>0</v>
      </c>
      <c r="M384" s="1268">
        <v>0</v>
      </c>
      <c r="N384" s="1268"/>
      <c r="O384" s="1352">
        <v>0</v>
      </c>
      <c r="P384" s="1264"/>
      <c r="Q384" s="1268"/>
      <c r="R384" s="1268"/>
      <c r="S384" s="1264"/>
      <c r="T384" s="1264">
        <v>10598904.33</v>
      </c>
      <c r="U384" s="1264">
        <v>10598904.33</v>
      </c>
      <c r="V384" s="1266">
        <v>0</v>
      </c>
      <c r="W384" s="1264">
        <v>0</v>
      </c>
      <c r="X384" s="1269">
        <v>10598904.33</v>
      </c>
      <c r="Y384"/>
      <c r="Z384"/>
      <c r="AA384"/>
      <c r="AB384"/>
    </row>
    <row r="385" spans="1:28" s="205" customFormat="1">
      <c r="A385" s="1207"/>
      <c r="B385" s="1205" t="s">
        <v>143</v>
      </c>
      <c r="C385" s="1264">
        <v>0</v>
      </c>
      <c r="D385" s="1268">
        <v>0</v>
      </c>
      <c r="E385" s="1268">
        <v>0</v>
      </c>
      <c r="F385" s="1268">
        <v>0</v>
      </c>
      <c r="G385" s="1268">
        <v>0</v>
      </c>
      <c r="H385" s="1268">
        <v>0</v>
      </c>
      <c r="I385" s="1352">
        <v>0</v>
      </c>
      <c r="J385" s="1266"/>
      <c r="K385" s="1268">
        <v>0</v>
      </c>
      <c r="L385" s="1268">
        <v>0</v>
      </c>
      <c r="M385" s="1268">
        <v>0</v>
      </c>
      <c r="N385" s="1268"/>
      <c r="O385" s="1352">
        <v>0</v>
      </c>
      <c r="P385" s="1264"/>
      <c r="Q385" s="1268"/>
      <c r="R385" s="1268"/>
      <c r="S385" s="1264"/>
      <c r="T385" s="1264">
        <v>11412279</v>
      </c>
      <c r="U385" s="1264">
        <v>11412279</v>
      </c>
      <c r="V385" s="1266">
        <v>0</v>
      </c>
      <c r="W385" s="1264">
        <v>0</v>
      </c>
      <c r="X385" s="1269">
        <v>11412279</v>
      </c>
      <c r="Y385"/>
      <c r="Z385"/>
      <c r="AA385"/>
      <c r="AB385"/>
    </row>
    <row r="386" spans="1:28" s="204" customFormat="1">
      <c r="A386" s="1207"/>
      <c r="B386" s="1205" t="s">
        <v>245</v>
      </c>
      <c r="C386" s="1264">
        <v>0</v>
      </c>
      <c r="D386" s="1268">
        <v>0</v>
      </c>
      <c r="E386" s="1268">
        <v>0</v>
      </c>
      <c r="F386" s="1268">
        <v>0</v>
      </c>
      <c r="G386" s="1268">
        <v>0</v>
      </c>
      <c r="H386" s="1268">
        <v>0</v>
      </c>
      <c r="I386" s="1352">
        <v>0</v>
      </c>
      <c r="J386" s="1266">
        <v>0</v>
      </c>
      <c r="K386" s="1268">
        <v>0</v>
      </c>
      <c r="L386" s="1268">
        <v>0</v>
      </c>
      <c r="M386" s="1268">
        <v>0</v>
      </c>
      <c r="N386" s="1268">
        <v>0</v>
      </c>
      <c r="O386" s="1352">
        <v>0</v>
      </c>
      <c r="P386" s="1264">
        <v>0</v>
      </c>
      <c r="Q386" s="1268">
        <v>0</v>
      </c>
      <c r="R386" s="1268">
        <v>0</v>
      </c>
      <c r="S386" s="1264">
        <v>0</v>
      </c>
      <c r="T386" s="1264">
        <v>7.6741391815166979</v>
      </c>
      <c r="U386" s="1264">
        <v>7.6741391815166979</v>
      </c>
      <c r="V386" s="1266">
        <v>0</v>
      </c>
      <c r="W386" s="1264">
        <v>0</v>
      </c>
      <c r="X386" s="1269">
        <v>7.6741391815166979</v>
      </c>
      <c r="Y386"/>
      <c r="Z386"/>
      <c r="AA386"/>
      <c r="AB386"/>
    </row>
    <row r="387" spans="1:28">
      <c r="A387" s="1207"/>
      <c r="B387" s="1205" t="s">
        <v>117</v>
      </c>
      <c r="C387" s="1264">
        <v>221476087.19</v>
      </c>
      <c r="D387" s="1268"/>
      <c r="E387" s="1268">
        <v>53893990.310000002</v>
      </c>
      <c r="F387" s="1268"/>
      <c r="G387" s="1268"/>
      <c r="H387" s="1268"/>
      <c r="I387" s="1352">
        <v>275370077.5</v>
      </c>
      <c r="J387" s="1266"/>
      <c r="K387" s="1268"/>
      <c r="L387" s="1268"/>
      <c r="M387" s="1268"/>
      <c r="N387" s="1268"/>
      <c r="O387" s="1352"/>
      <c r="P387" s="1264"/>
      <c r="Q387" s="1268"/>
      <c r="R387" s="1268"/>
      <c r="S387" s="1264"/>
      <c r="T387" s="1264"/>
      <c r="U387" s="1264"/>
      <c r="V387" s="1266"/>
      <c r="W387" s="1264"/>
      <c r="X387" s="1269">
        <v>275370077.5</v>
      </c>
      <c r="Y387"/>
      <c r="Z387"/>
      <c r="AA387"/>
      <c r="AB387"/>
    </row>
    <row r="388" spans="1:28" s="205" customFormat="1">
      <c r="A388" s="1207"/>
      <c r="B388" s="1205" t="s">
        <v>119</v>
      </c>
      <c r="C388" s="1264">
        <v>246365287</v>
      </c>
      <c r="D388" s="1268"/>
      <c r="E388" s="1268">
        <v>65223059</v>
      </c>
      <c r="F388" s="1268"/>
      <c r="G388" s="1268"/>
      <c r="H388" s="1268"/>
      <c r="I388" s="1352">
        <v>311588346</v>
      </c>
      <c r="J388" s="1266"/>
      <c r="K388" s="1268"/>
      <c r="L388" s="1268"/>
      <c r="M388" s="1268"/>
      <c r="N388" s="1268"/>
      <c r="O388" s="1352"/>
      <c r="P388" s="1264"/>
      <c r="Q388" s="1268"/>
      <c r="R388" s="1268"/>
      <c r="S388" s="1264"/>
      <c r="T388" s="1264"/>
      <c r="U388" s="1264"/>
      <c r="V388" s="1266"/>
      <c r="W388" s="1264"/>
      <c r="X388" s="1269">
        <v>311588346</v>
      </c>
      <c r="Y388"/>
      <c r="Z388"/>
      <c r="AA388"/>
      <c r="AB388"/>
    </row>
    <row r="389" spans="1:28" s="204" customFormat="1">
      <c r="A389" s="1207"/>
      <c r="B389" s="1205" t="s">
        <v>301</v>
      </c>
      <c r="C389" s="1264">
        <v>11.237872280382145</v>
      </c>
      <c r="D389" s="1268">
        <v>0</v>
      </c>
      <c r="E389" s="1268">
        <v>21.021024097185645</v>
      </c>
      <c r="F389" s="1268">
        <v>0</v>
      </c>
      <c r="G389" s="1268">
        <v>0</v>
      </c>
      <c r="H389" s="1268">
        <v>0</v>
      </c>
      <c r="I389" s="1352">
        <v>13.15257954996944</v>
      </c>
      <c r="J389" s="1266">
        <v>0</v>
      </c>
      <c r="K389" s="1268">
        <v>0</v>
      </c>
      <c r="L389" s="1268">
        <v>0</v>
      </c>
      <c r="M389" s="1268">
        <v>0</v>
      </c>
      <c r="N389" s="1268">
        <v>0</v>
      </c>
      <c r="O389" s="1352">
        <v>0</v>
      </c>
      <c r="P389" s="1264">
        <v>0</v>
      </c>
      <c r="Q389" s="1268">
        <v>0</v>
      </c>
      <c r="R389" s="1268">
        <v>0</v>
      </c>
      <c r="S389" s="1264">
        <v>0</v>
      </c>
      <c r="T389" s="1264">
        <v>0</v>
      </c>
      <c r="U389" s="1264">
        <v>0</v>
      </c>
      <c r="V389" s="1266">
        <v>0</v>
      </c>
      <c r="W389" s="1264">
        <v>0</v>
      </c>
      <c r="X389" s="1269">
        <v>13.15257954996944</v>
      </c>
      <c r="Y389"/>
      <c r="Z389"/>
      <c r="AA389"/>
      <c r="AB389"/>
    </row>
    <row r="390" spans="1:28">
      <c r="A390" s="1207"/>
      <c r="B390" s="1205" t="s">
        <v>120</v>
      </c>
      <c r="C390" s="1264">
        <v>53933353.149999999</v>
      </c>
      <c r="D390" s="1268"/>
      <c r="E390" s="1267">
        <v>2673190.2400000002</v>
      </c>
      <c r="F390" s="1268"/>
      <c r="G390" s="1268"/>
      <c r="H390" s="1268"/>
      <c r="I390" s="1352">
        <v>56606543.390000001</v>
      </c>
      <c r="J390" s="1266"/>
      <c r="K390" s="1268"/>
      <c r="L390" s="1268"/>
      <c r="M390" s="1268"/>
      <c r="N390" s="1268"/>
      <c r="O390" s="1352"/>
      <c r="P390" s="1264"/>
      <c r="Q390" s="1268"/>
      <c r="R390" s="1268"/>
      <c r="S390" s="1264"/>
      <c r="T390" s="1264"/>
      <c r="U390" s="1264"/>
      <c r="V390" s="1266"/>
      <c r="W390" s="1264"/>
      <c r="X390" s="1269">
        <v>56606543.390000001</v>
      </c>
      <c r="Y390"/>
      <c r="Z390"/>
      <c r="AA390"/>
      <c r="AB390"/>
    </row>
    <row r="391" spans="1:28" s="205" customFormat="1">
      <c r="A391" s="1207"/>
      <c r="B391" s="1205" t="s">
        <v>450</v>
      </c>
      <c r="C391" s="1264">
        <v>64232640</v>
      </c>
      <c r="D391" s="1268"/>
      <c r="E391" s="1267">
        <v>3058000</v>
      </c>
      <c r="F391" s="1268"/>
      <c r="G391" s="1268"/>
      <c r="H391" s="1268"/>
      <c r="I391" s="1352">
        <v>67290640</v>
      </c>
      <c r="J391" s="1266"/>
      <c r="K391" s="1268"/>
      <c r="L391" s="1268"/>
      <c r="M391" s="1268"/>
      <c r="N391" s="1268"/>
      <c r="O391" s="1352"/>
      <c r="P391" s="1264"/>
      <c r="Q391" s="1268"/>
      <c r="R391" s="1268"/>
      <c r="S391" s="1264"/>
      <c r="T391" s="1264"/>
      <c r="U391" s="1264"/>
      <c r="V391" s="1266"/>
      <c r="W391" s="1264"/>
      <c r="X391" s="1269">
        <v>67290640</v>
      </c>
      <c r="Y391"/>
      <c r="Z391"/>
      <c r="AA391"/>
      <c r="AB391"/>
    </row>
    <row r="392" spans="1:28" s="204" customFormat="1" ht="13.5" thickBot="1">
      <c r="A392" s="1207"/>
      <c r="B392" s="1205" t="s">
        <v>335</v>
      </c>
      <c r="C392" s="1264">
        <v>19.096322124373611</v>
      </c>
      <c r="D392" s="1268">
        <v>0</v>
      </c>
      <c r="E392" s="1281">
        <v>14.395150567361032</v>
      </c>
      <c r="F392" s="1268">
        <v>0</v>
      </c>
      <c r="G392" s="1268">
        <v>0</v>
      </c>
      <c r="H392" s="1268">
        <v>0</v>
      </c>
      <c r="I392" s="1352">
        <v>18.874313763322689</v>
      </c>
      <c r="J392" s="1266">
        <v>0</v>
      </c>
      <c r="K392" s="1268">
        <v>0</v>
      </c>
      <c r="L392" s="1268">
        <v>0</v>
      </c>
      <c r="M392" s="1268">
        <v>0</v>
      </c>
      <c r="N392" s="1268">
        <v>0</v>
      </c>
      <c r="O392" s="1352">
        <v>0</v>
      </c>
      <c r="P392" s="1264">
        <v>0</v>
      </c>
      <c r="Q392" s="1268">
        <v>0</v>
      </c>
      <c r="R392" s="1268">
        <v>0</v>
      </c>
      <c r="S392" s="1264">
        <v>0</v>
      </c>
      <c r="T392" s="1264">
        <v>0</v>
      </c>
      <c r="U392" s="1264">
        <v>0</v>
      </c>
      <c r="V392" s="1266">
        <v>0</v>
      </c>
      <c r="W392" s="1264">
        <v>0</v>
      </c>
      <c r="X392" s="1269">
        <v>18.874313763322689</v>
      </c>
      <c r="Y392"/>
      <c r="Z392"/>
      <c r="AA392"/>
      <c r="AB392"/>
    </row>
    <row r="393" spans="1:28">
      <c r="A393" s="1207"/>
      <c r="B393" s="1205" t="s">
        <v>35</v>
      </c>
      <c r="C393" s="1264">
        <v>1099115263.9300001</v>
      </c>
      <c r="D393" s="1268">
        <v>494516517.60000002</v>
      </c>
      <c r="E393" s="1268">
        <v>1015626608.4400001</v>
      </c>
      <c r="F393" s="1268">
        <v>67068691.330000006</v>
      </c>
      <c r="G393" s="1268">
        <v>154351796.56</v>
      </c>
      <c r="H393" s="1268">
        <v>88337020.780000016</v>
      </c>
      <c r="I393" s="1352">
        <v>2919015898.6400003</v>
      </c>
      <c r="J393" s="1266"/>
      <c r="K393" s="1268">
        <v>524644385</v>
      </c>
      <c r="L393" s="1268">
        <v>515234151</v>
      </c>
      <c r="M393" s="1268">
        <v>256348695</v>
      </c>
      <c r="N393" s="1268"/>
      <c r="O393" s="1352">
        <v>1296227231</v>
      </c>
      <c r="P393" s="1264"/>
      <c r="Q393" s="1268"/>
      <c r="R393" s="1268"/>
      <c r="S393" s="1264"/>
      <c r="T393" s="1264">
        <v>0</v>
      </c>
      <c r="U393" s="1264">
        <v>0</v>
      </c>
      <c r="V393" s="1266">
        <v>53392539.670000002</v>
      </c>
      <c r="W393" s="1264">
        <v>53392539.670000002</v>
      </c>
      <c r="X393" s="1269">
        <v>4268635669.3100004</v>
      </c>
      <c r="Y393"/>
      <c r="Z393"/>
      <c r="AA393"/>
      <c r="AB393"/>
    </row>
    <row r="394" spans="1:28" s="205" customFormat="1">
      <c r="A394" s="1207"/>
      <c r="B394" s="1205" t="s">
        <v>37</v>
      </c>
      <c r="C394" s="1264">
        <v>1203704226</v>
      </c>
      <c r="D394" s="1268">
        <v>550526923</v>
      </c>
      <c r="E394" s="1268">
        <v>1126714573</v>
      </c>
      <c r="F394" s="1268">
        <v>73027201</v>
      </c>
      <c r="G394" s="1268">
        <v>169444771</v>
      </c>
      <c r="H394" s="1268">
        <v>101013794</v>
      </c>
      <c r="I394" s="1352">
        <v>3224431488</v>
      </c>
      <c r="J394" s="1266"/>
      <c r="K394" s="1268">
        <v>577274573</v>
      </c>
      <c r="L394" s="1268">
        <v>562122303</v>
      </c>
      <c r="M394" s="1268">
        <v>273138675</v>
      </c>
      <c r="N394" s="1268"/>
      <c r="O394" s="1352">
        <v>1412535551</v>
      </c>
      <c r="P394" s="1264"/>
      <c r="Q394" s="1268"/>
      <c r="R394" s="1268"/>
      <c r="S394" s="1264"/>
      <c r="T394" s="1264">
        <v>0</v>
      </c>
      <c r="U394" s="1264">
        <v>0</v>
      </c>
      <c r="V394" s="1266">
        <v>64420421</v>
      </c>
      <c r="W394" s="1264">
        <v>64420421</v>
      </c>
      <c r="X394" s="1269">
        <v>4701387460</v>
      </c>
      <c r="Y394"/>
      <c r="Z394"/>
      <c r="AA394"/>
      <c r="AB394"/>
    </row>
    <row r="395" spans="1:28" s="214" customFormat="1" ht="13.5" thickBot="1">
      <c r="A395" s="1333"/>
      <c r="B395" s="1205" t="s">
        <v>39</v>
      </c>
      <c r="C395" s="1264">
        <v>9.5157410239242157</v>
      </c>
      <c r="D395" s="1268">
        <v>11.326296171426403</v>
      </c>
      <c r="E395" s="1268">
        <v>10.937874572883707</v>
      </c>
      <c r="F395" s="1268">
        <v>8.8841895552757517</v>
      </c>
      <c r="G395" s="1268">
        <v>9.7782952815408404</v>
      </c>
      <c r="H395" s="1268">
        <v>14.350464967084417</v>
      </c>
      <c r="I395" s="1352">
        <v>10.462964230592132</v>
      </c>
      <c r="J395" s="1266">
        <v>0</v>
      </c>
      <c r="K395" s="1268">
        <v>10.031592733047166</v>
      </c>
      <c r="L395" s="1268">
        <v>9.1003579457992885</v>
      </c>
      <c r="M395" s="1268">
        <v>6.5496647057243642</v>
      </c>
      <c r="N395" s="1268">
        <v>0</v>
      </c>
      <c r="O395" s="1352">
        <v>8.9728341774051188</v>
      </c>
      <c r="P395" s="1264">
        <v>0</v>
      </c>
      <c r="Q395" s="1268">
        <v>0</v>
      </c>
      <c r="R395" s="1268">
        <v>0</v>
      </c>
      <c r="S395" s="1264">
        <v>0</v>
      </c>
      <c r="T395" s="1264">
        <v>0</v>
      </c>
      <c r="U395" s="1264">
        <v>0</v>
      </c>
      <c r="V395" s="1266">
        <v>20.654348712684108</v>
      </c>
      <c r="W395" s="1264">
        <v>20.654348712684108</v>
      </c>
      <c r="X395" s="1269">
        <v>10.137941586379352</v>
      </c>
      <c r="Y395"/>
      <c r="Z395"/>
      <c r="AA395"/>
      <c r="AB395"/>
    </row>
    <row r="396" spans="1:28">
      <c r="A396" s="1206" t="s">
        <v>214</v>
      </c>
      <c r="B396" s="1204" t="s">
        <v>253</v>
      </c>
      <c r="C396" s="1262">
        <v>288139684</v>
      </c>
      <c r="D396" s="1260"/>
      <c r="E396" s="1260">
        <v>91553804</v>
      </c>
      <c r="F396" s="1260"/>
      <c r="G396" s="1260">
        <v>114174888</v>
      </c>
      <c r="H396" s="1260">
        <v>28726640</v>
      </c>
      <c r="I396" s="1355">
        <v>522595016</v>
      </c>
      <c r="J396" s="1261">
        <v>14784510</v>
      </c>
      <c r="K396" s="1260">
        <v>61877897</v>
      </c>
      <c r="L396" s="1260">
        <v>43028480</v>
      </c>
      <c r="M396" s="1260">
        <v>53011016</v>
      </c>
      <c r="N396" s="1260"/>
      <c r="O396" s="1355">
        <v>172701903</v>
      </c>
      <c r="P396" s="1259">
        <v>22691179</v>
      </c>
      <c r="Q396" s="1260">
        <v>84072434</v>
      </c>
      <c r="R396" s="1260"/>
      <c r="S396" s="1259">
        <v>106763613</v>
      </c>
      <c r="T396" s="1259"/>
      <c r="U396" s="1259"/>
      <c r="V396" s="1261"/>
      <c r="W396" s="1259"/>
      <c r="X396" s="1263">
        <v>802060532</v>
      </c>
      <c r="Y396"/>
      <c r="Z396"/>
      <c r="AA396"/>
      <c r="AB396"/>
    </row>
    <row r="397" spans="1:28" s="205" customFormat="1">
      <c r="A397" s="1207"/>
      <c r="B397" s="1205" t="s">
        <v>4</v>
      </c>
      <c r="C397" s="1267">
        <v>266472845</v>
      </c>
      <c r="D397" s="1268"/>
      <c r="E397" s="1268">
        <v>87577035</v>
      </c>
      <c r="F397" s="1268"/>
      <c r="G397" s="1268">
        <v>108576706</v>
      </c>
      <c r="H397" s="1268">
        <v>27795119</v>
      </c>
      <c r="I397" s="1352">
        <v>490421705</v>
      </c>
      <c r="J397" s="1266">
        <v>14038755</v>
      </c>
      <c r="K397" s="1268">
        <v>59439858</v>
      </c>
      <c r="L397" s="1268">
        <v>40810128</v>
      </c>
      <c r="M397" s="1268">
        <v>51033397</v>
      </c>
      <c r="N397" s="1268"/>
      <c r="O397" s="1352">
        <v>165322138</v>
      </c>
      <c r="P397" s="1264">
        <v>22222071</v>
      </c>
      <c r="Q397" s="1268">
        <v>83632857</v>
      </c>
      <c r="R397" s="1268"/>
      <c r="S397" s="1264">
        <v>105854928</v>
      </c>
      <c r="T397" s="1264"/>
      <c r="U397" s="1264"/>
      <c r="V397" s="1266"/>
      <c r="W397" s="1264"/>
      <c r="X397" s="1269">
        <v>761598771</v>
      </c>
      <c r="Y397"/>
      <c r="Z397"/>
      <c r="AA397"/>
      <c r="AB397"/>
    </row>
    <row r="398" spans="1:28" s="204" customFormat="1" ht="13.5" thickBot="1">
      <c r="A398" s="1207"/>
      <c r="B398" s="1205" t="s">
        <v>175</v>
      </c>
      <c r="C398" s="1281">
        <v>-7.5195608946388663</v>
      </c>
      <c r="D398" s="1268">
        <v>0</v>
      </c>
      <c r="E398" s="1268">
        <v>-4.3436414722866123</v>
      </c>
      <c r="F398" s="1268">
        <v>0</v>
      </c>
      <c r="G398" s="1268">
        <v>-4.9031639952210861</v>
      </c>
      <c r="H398" s="1268">
        <v>-3.2427078140708416</v>
      </c>
      <c r="I398" s="1352">
        <v>-6.1564519398325075</v>
      </c>
      <c r="J398" s="1266">
        <v>-5.0441644667290291</v>
      </c>
      <c r="K398" s="1268">
        <v>-3.9400805751365469</v>
      </c>
      <c r="L398" s="1268">
        <v>-5.1555434911946687</v>
      </c>
      <c r="M398" s="1268">
        <v>-3.7305812059893362</v>
      </c>
      <c r="N398" s="1268">
        <v>0</v>
      </c>
      <c r="O398" s="1352">
        <v>-4.2731231513992061</v>
      </c>
      <c r="P398" s="1264">
        <v>-2.0673584215258272</v>
      </c>
      <c r="Q398" s="1268">
        <v>-0.52285508945774073</v>
      </c>
      <c r="R398" s="1268">
        <v>0</v>
      </c>
      <c r="S398" s="1264">
        <v>-0.85111862971516339</v>
      </c>
      <c r="T398" s="1264">
        <v>0</v>
      </c>
      <c r="U398" s="1264">
        <v>0</v>
      </c>
      <c r="V398" s="1266">
        <v>0</v>
      </c>
      <c r="W398" s="1264">
        <v>0</v>
      </c>
      <c r="X398" s="1269">
        <v>-5.0447265992637078</v>
      </c>
      <c r="Y398"/>
      <c r="Z398"/>
      <c r="AA398"/>
      <c r="AB398"/>
    </row>
    <row r="399" spans="1:28">
      <c r="A399" s="1207"/>
      <c r="B399" s="1205" t="s">
        <v>269</v>
      </c>
      <c r="C399" s="1264">
        <v>56984196</v>
      </c>
      <c r="D399" s="1268"/>
      <c r="E399" s="1268"/>
      <c r="F399" s="1268"/>
      <c r="G399" s="1268"/>
      <c r="H399" s="1268"/>
      <c r="I399" s="1352">
        <v>56984196</v>
      </c>
      <c r="J399" s="1266"/>
      <c r="K399" s="1268"/>
      <c r="L399" s="1268"/>
      <c r="M399" s="1268"/>
      <c r="N399" s="1268"/>
      <c r="O399" s="1352"/>
      <c r="P399" s="1264"/>
      <c r="Q399" s="1268"/>
      <c r="R399" s="1268"/>
      <c r="S399" s="1264"/>
      <c r="T399" s="1264"/>
      <c r="U399" s="1264"/>
      <c r="V399" s="1266">
        <v>16239399</v>
      </c>
      <c r="W399" s="1262">
        <v>16239399</v>
      </c>
      <c r="X399" s="1269">
        <v>73223595</v>
      </c>
      <c r="Y399"/>
      <c r="Z399"/>
      <c r="AA399"/>
      <c r="AB399"/>
    </row>
    <row r="400" spans="1:28" s="205" customFormat="1">
      <c r="A400" s="1207"/>
      <c r="B400" s="1205" t="s">
        <v>342</v>
      </c>
      <c r="C400" s="1264">
        <v>54121838</v>
      </c>
      <c r="D400" s="1268"/>
      <c r="E400" s="1268"/>
      <c r="F400" s="1268"/>
      <c r="G400" s="1268"/>
      <c r="H400" s="1268"/>
      <c r="I400" s="1352">
        <v>54121838</v>
      </c>
      <c r="J400" s="1266"/>
      <c r="K400" s="1268"/>
      <c r="L400" s="1268"/>
      <c r="M400" s="1268"/>
      <c r="N400" s="1268"/>
      <c r="O400" s="1352"/>
      <c r="P400" s="1264"/>
      <c r="Q400" s="1268"/>
      <c r="R400" s="1268"/>
      <c r="S400" s="1264"/>
      <c r="T400" s="1264"/>
      <c r="U400" s="1264"/>
      <c r="V400" s="1266">
        <v>15533187</v>
      </c>
      <c r="W400" s="1267">
        <v>15533187</v>
      </c>
      <c r="X400" s="1269">
        <v>69655025</v>
      </c>
      <c r="Y400"/>
      <c r="Z400"/>
      <c r="AA400"/>
      <c r="AB400"/>
    </row>
    <row r="401" spans="1:28" s="204" customFormat="1" ht="13.5" thickBot="1">
      <c r="A401" s="1207"/>
      <c r="B401" s="1205" t="s">
        <v>344</v>
      </c>
      <c r="C401" s="1264">
        <v>-5.0230734149517522</v>
      </c>
      <c r="D401" s="1268">
        <v>0</v>
      </c>
      <c r="E401" s="1268">
        <v>0</v>
      </c>
      <c r="F401" s="1268">
        <v>0</v>
      </c>
      <c r="G401" s="1268">
        <v>0</v>
      </c>
      <c r="H401" s="1268">
        <v>0</v>
      </c>
      <c r="I401" s="1352">
        <v>-5.0230734149517522</v>
      </c>
      <c r="J401" s="1266">
        <v>0</v>
      </c>
      <c r="K401" s="1268">
        <v>0</v>
      </c>
      <c r="L401" s="1268">
        <v>0</v>
      </c>
      <c r="M401" s="1268">
        <v>0</v>
      </c>
      <c r="N401" s="1268">
        <v>0</v>
      </c>
      <c r="O401" s="1352">
        <v>0</v>
      </c>
      <c r="P401" s="1264">
        <v>0</v>
      </c>
      <c r="Q401" s="1268">
        <v>0</v>
      </c>
      <c r="R401" s="1268">
        <v>0</v>
      </c>
      <c r="S401" s="1264">
        <v>0</v>
      </c>
      <c r="T401" s="1264">
        <v>0</v>
      </c>
      <c r="U401" s="1264">
        <v>0</v>
      </c>
      <c r="V401" s="1266">
        <v>-4.3487569952557976</v>
      </c>
      <c r="W401" s="1281">
        <v>-4.3487569952557976</v>
      </c>
      <c r="X401" s="1269">
        <v>-4.8735247156329864</v>
      </c>
      <c r="Y401"/>
      <c r="Z401"/>
      <c r="AA401"/>
      <c r="AB401"/>
    </row>
    <row r="402" spans="1:28">
      <c r="A402" s="1207"/>
      <c r="B402" s="1205" t="s">
        <v>5</v>
      </c>
      <c r="C402" s="1264"/>
      <c r="D402" s="1268"/>
      <c r="E402" s="1268"/>
      <c r="F402" s="1268"/>
      <c r="G402" s="1268"/>
      <c r="H402" s="1268"/>
      <c r="I402" s="1352"/>
      <c r="J402" s="1266"/>
      <c r="K402" s="1262">
        <v>39589536</v>
      </c>
      <c r="L402" s="1268">
        <v>1900000</v>
      </c>
      <c r="M402" s="1268"/>
      <c r="N402" s="1268"/>
      <c r="O402" s="1352">
        <v>41489536</v>
      </c>
      <c r="P402" s="1264"/>
      <c r="Q402" s="1268"/>
      <c r="R402" s="1268"/>
      <c r="S402" s="1264"/>
      <c r="T402" s="1264"/>
      <c r="U402" s="1264"/>
      <c r="V402" s="1266"/>
      <c r="W402" s="1264"/>
      <c r="X402" s="1269">
        <v>41489536</v>
      </c>
      <c r="Y402"/>
      <c r="Z402"/>
      <c r="AA402"/>
      <c r="AB402"/>
    </row>
    <row r="403" spans="1:28" s="205" customFormat="1">
      <c r="A403" s="1207"/>
      <c r="B403" s="1205" t="s">
        <v>6</v>
      </c>
      <c r="C403" s="1264"/>
      <c r="D403" s="1268"/>
      <c r="E403" s="1268"/>
      <c r="F403" s="1268"/>
      <c r="G403" s="1268"/>
      <c r="H403" s="1268"/>
      <c r="I403" s="1352"/>
      <c r="J403" s="1266"/>
      <c r="K403" s="1267">
        <v>39589536</v>
      </c>
      <c r="L403" s="1268">
        <v>1330000</v>
      </c>
      <c r="M403" s="1268"/>
      <c r="N403" s="1268"/>
      <c r="O403" s="1352">
        <v>40919536</v>
      </c>
      <c r="P403" s="1264"/>
      <c r="Q403" s="1268"/>
      <c r="R403" s="1268"/>
      <c r="S403" s="1264"/>
      <c r="T403" s="1264"/>
      <c r="U403" s="1264"/>
      <c r="V403" s="1266"/>
      <c r="W403" s="1264"/>
      <c r="X403" s="1269">
        <v>40919536</v>
      </c>
      <c r="Y403"/>
      <c r="Z403"/>
      <c r="AA403"/>
      <c r="AB403"/>
    </row>
    <row r="404" spans="1:28" s="204" customFormat="1" ht="13.5" thickBot="1">
      <c r="A404" s="1207"/>
      <c r="B404" s="1205" t="s">
        <v>426</v>
      </c>
      <c r="C404" s="1264">
        <v>0</v>
      </c>
      <c r="D404" s="1268">
        <v>0</v>
      </c>
      <c r="E404" s="1268">
        <v>0</v>
      </c>
      <c r="F404" s="1268">
        <v>0</v>
      </c>
      <c r="G404" s="1268">
        <v>0</v>
      </c>
      <c r="H404" s="1268">
        <v>0</v>
      </c>
      <c r="I404" s="1352">
        <v>0</v>
      </c>
      <c r="J404" s="1266">
        <v>0</v>
      </c>
      <c r="K404" s="1281">
        <v>0</v>
      </c>
      <c r="L404" s="1268">
        <v>-30</v>
      </c>
      <c r="M404" s="1268">
        <v>0</v>
      </c>
      <c r="N404" s="1268">
        <v>0</v>
      </c>
      <c r="O404" s="1352">
        <v>-1.3738403823074812</v>
      </c>
      <c r="P404" s="1264">
        <v>0</v>
      </c>
      <c r="Q404" s="1268">
        <v>0</v>
      </c>
      <c r="R404" s="1268">
        <v>0</v>
      </c>
      <c r="S404" s="1264">
        <v>0</v>
      </c>
      <c r="T404" s="1264">
        <v>0</v>
      </c>
      <c r="U404" s="1264">
        <v>0</v>
      </c>
      <c r="V404" s="1266">
        <v>0</v>
      </c>
      <c r="W404" s="1264">
        <v>0</v>
      </c>
      <c r="X404" s="1269">
        <v>-1.3738403823074812</v>
      </c>
      <c r="Y404"/>
      <c r="Z404"/>
      <c r="AA404"/>
      <c r="AB404"/>
    </row>
    <row r="405" spans="1:28">
      <c r="A405" s="1207"/>
      <c r="B405" s="1205" t="s">
        <v>322</v>
      </c>
      <c r="C405" s="1264">
        <v>361475625</v>
      </c>
      <c r="D405" s="1268"/>
      <c r="E405" s="1262">
        <v>88374006</v>
      </c>
      <c r="F405" s="1268"/>
      <c r="G405" s="1268">
        <v>96299247</v>
      </c>
      <c r="H405" s="1268">
        <v>23931722</v>
      </c>
      <c r="I405" s="1352">
        <v>570080600</v>
      </c>
      <c r="J405" s="1288">
        <v>9252731</v>
      </c>
      <c r="K405" s="1268">
        <v>49358931</v>
      </c>
      <c r="L405" s="1268">
        <v>36327047</v>
      </c>
      <c r="M405" s="1268">
        <v>31485193</v>
      </c>
      <c r="N405" s="1268"/>
      <c r="O405" s="1352">
        <v>126423902</v>
      </c>
      <c r="P405" s="1264">
        <v>8288797</v>
      </c>
      <c r="Q405" s="1268">
        <v>18630424</v>
      </c>
      <c r="R405" s="1268"/>
      <c r="S405" s="1264">
        <v>26919221</v>
      </c>
      <c r="T405" s="1264"/>
      <c r="U405" s="1264"/>
      <c r="V405" s="1266"/>
      <c r="W405" s="1264"/>
      <c r="X405" s="1269">
        <v>723423723</v>
      </c>
      <c r="Y405"/>
      <c r="Z405"/>
      <c r="AA405"/>
      <c r="AB405"/>
    </row>
    <row r="406" spans="1:28" s="205" customFormat="1">
      <c r="A406" s="1207"/>
      <c r="B406" s="1205" t="s">
        <v>22</v>
      </c>
      <c r="C406" s="1264">
        <v>391751629</v>
      </c>
      <c r="D406" s="1268"/>
      <c r="E406" s="1267">
        <v>101081899</v>
      </c>
      <c r="F406" s="1268"/>
      <c r="G406" s="1268">
        <v>106779225</v>
      </c>
      <c r="H406" s="1268">
        <v>26538704</v>
      </c>
      <c r="I406" s="1352">
        <v>626151457</v>
      </c>
      <c r="J406" s="1289">
        <v>10881606</v>
      </c>
      <c r="K406" s="1268">
        <v>58580611</v>
      </c>
      <c r="L406" s="1268">
        <v>40245725</v>
      </c>
      <c r="M406" s="1268">
        <v>37787629</v>
      </c>
      <c r="N406" s="1268"/>
      <c r="O406" s="1352">
        <v>147495571</v>
      </c>
      <c r="P406" s="1264">
        <v>7556146</v>
      </c>
      <c r="Q406" s="1268">
        <v>19086443</v>
      </c>
      <c r="R406" s="1268"/>
      <c r="S406" s="1264">
        <v>26642589</v>
      </c>
      <c r="T406" s="1264"/>
      <c r="U406" s="1264"/>
      <c r="V406" s="1266"/>
      <c r="W406" s="1264"/>
      <c r="X406" s="1269">
        <v>800289617</v>
      </c>
      <c r="Y406"/>
      <c r="Z406"/>
      <c r="AA406"/>
      <c r="AB406"/>
    </row>
    <row r="407" spans="1:28" s="204" customFormat="1" ht="13.5" thickBot="1">
      <c r="A407" s="1207"/>
      <c r="B407" s="1205" t="s">
        <v>375</v>
      </c>
      <c r="C407" s="1264">
        <v>8.3756695904461047</v>
      </c>
      <c r="D407" s="1268">
        <v>0</v>
      </c>
      <c r="E407" s="1281">
        <v>14.379672909701524</v>
      </c>
      <c r="F407" s="1268">
        <v>0</v>
      </c>
      <c r="G407" s="1268">
        <v>10.882720609435296</v>
      </c>
      <c r="H407" s="1268">
        <v>10.893415860338006</v>
      </c>
      <c r="I407" s="1352">
        <v>9.835601667553675</v>
      </c>
      <c r="J407" s="1290">
        <v>17.604261920075274</v>
      </c>
      <c r="K407" s="1268">
        <v>18.682900567680445</v>
      </c>
      <c r="L407" s="1268">
        <v>10.787218680340299</v>
      </c>
      <c r="M407" s="1268">
        <v>20.017142661313844</v>
      </c>
      <c r="N407" s="1268">
        <v>0</v>
      </c>
      <c r="O407" s="1352">
        <v>16.667472421472958</v>
      </c>
      <c r="P407" s="1264">
        <v>-8.8390510709817107</v>
      </c>
      <c r="Q407" s="1268">
        <v>2.447711334964787</v>
      </c>
      <c r="R407" s="1268">
        <v>0</v>
      </c>
      <c r="S407" s="1264">
        <v>-1.0276374639518728</v>
      </c>
      <c r="T407" s="1264">
        <v>0</v>
      </c>
      <c r="U407" s="1264">
        <v>0</v>
      </c>
      <c r="V407" s="1266">
        <v>0</v>
      </c>
      <c r="W407" s="1264">
        <v>0</v>
      </c>
      <c r="X407" s="1269">
        <v>10.625293525244265</v>
      </c>
      <c r="Y407"/>
      <c r="Z407"/>
      <c r="AA407"/>
      <c r="AB407"/>
    </row>
    <row r="408" spans="1:28">
      <c r="A408" s="1207"/>
      <c r="B408" s="1205" t="s">
        <v>324</v>
      </c>
      <c r="C408" s="1264"/>
      <c r="D408" s="1268"/>
      <c r="E408" s="1268"/>
      <c r="F408" s="1268"/>
      <c r="G408" s="1268"/>
      <c r="H408" s="1268"/>
      <c r="I408" s="1352"/>
      <c r="J408" s="1266"/>
      <c r="K408" s="1268"/>
      <c r="L408" s="1268"/>
      <c r="M408" s="1268"/>
      <c r="N408" s="1268"/>
      <c r="O408" s="1352"/>
      <c r="P408" s="1264"/>
      <c r="Q408" s="1268"/>
      <c r="R408" s="1268"/>
      <c r="S408" s="1264"/>
      <c r="T408" s="1264"/>
      <c r="U408" s="1264"/>
      <c r="V408" s="1266"/>
      <c r="W408" s="1264"/>
      <c r="X408" s="1269"/>
      <c r="Y408"/>
      <c r="Z408"/>
      <c r="AA408"/>
      <c r="AB408"/>
    </row>
    <row r="409" spans="1:28" s="205" customFormat="1">
      <c r="A409" s="1207"/>
      <c r="B409" s="1205" t="s">
        <v>226</v>
      </c>
      <c r="C409" s="1264"/>
      <c r="D409" s="1268"/>
      <c r="E409" s="1268"/>
      <c r="F409" s="1268"/>
      <c r="G409" s="1268"/>
      <c r="H409" s="1268"/>
      <c r="I409" s="1352"/>
      <c r="J409" s="1266"/>
      <c r="K409" s="1268"/>
      <c r="L409" s="1268"/>
      <c r="M409" s="1268"/>
      <c r="N409" s="1268"/>
      <c r="O409" s="1352"/>
      <c r="P409" s="1264"/>
      <c r="Q409" s="1268"/>
      <c r="R409" s="1268"/>
      <c r="S409" s="1264"/>
      <c r="T409" s="1264"/>
      <c r="U409" s="1264"/>
      <c r="V409" s="1266"/>
      <c r="W409" s="1264"/>
      <c r="X409" s="1269"/>
      <c r="Y409"/>
      <c r="Z409"/>
      <c r="AA409"/>
      <c r="AB409"/>
    </row>
    <row r="410" spans="1:28" s="204" customFormat="1" ht="13.5" thickBot="1">
      <c r="A410" s="1207"/>
      <c r="B410" s="1205" t="s">
        <v>236</v>
      </c>
      <c r="C410" s="1264">
        <v>0</v>
      </c>
      <c r="D410" s="1268">
        <v>0</v>
      </c>
      <c r="E410" s="1268">
        <v>0</v>
      </c>
      <c r="F410" s="1268">
        <v>0</v>
      </c>
      <c r="G410" s="1268">
        <v>0</v>
      </c>
      <c r="H410" s="1268">
        <v>0</v>
      </c>
      <c r="I410" s="1352">
        <v>0</v>
      </c>
      <c r="J410" s="1266">
        <v>0</v>
      </c>
      <c r="K410" s="1268">
        <v>0</v>
      </c>
      <c r="L410" s="1268">
        <v>0</v>
      </c>
      <c r="M410" s="1268">
        <v>0</v>
      </c>
      <c r="N410" s="1268">
        <v>0</v>
      </c>
      <c r="O410" s="1352">
        <v>0</v>
      </c>
      <c r="P410" s="1264">
        <v>0</v>
      </c>
      <c r="Q410" s="1268">
        <v>0</v>
      </c>
      <c r="R410" s="1268">
        <v>0</v>
      </c>
      <c r="S410" s="1264">
        <v>0</v>
      </c>
      <c r="T410" s="1264">
        <v>0</v>
      </c>
      <c r="U410" s="1264">
        <v>0</v>
      </c>
      <c r="V410" s="1266">
        <v>0</v>
      </c>
      <c r="W410" s="1264">
        <v>0</v>
      </c>
      <c r="X410" s="1269">
        <v>0</v>
      </c>
      <c r="Y410"/>
      <c r="Z410"/>
      <c r="AA410"/>
      <c r="AB410"/>
    </row>
    <row r="411" spans="1:28">
      <c r="A411" s="1207"/>
      <c r="B411" s="1205" t="s">
        <v>449</v>
      </c>
      <c r="C411" s="1264">
        <v>361475625</v>
      </c>
      <c r="D411" s="1268"/>
      <c r="E411" s="1268">
        <v>88374006</v>
      </c>
      <c r="F411" s="1268"/>
      <c r="G411" s="1268">
        <v>96299247</v>
      </c>
      <c r="H411" s="1268">
        <v>23931722</v>
      </c>
      <c r="I411" s="1352">
        <v>570080600</v>
      </c>
      <c r="J411" s="1288">
        <v>9252731</v>
      </c>
      <c r="K411" s="1277">
        <v>49358931</v>
      </c>
      <c r="L411" s="1268">
        <v>36327047</v>
      </c>
      <c r="M411" s="1268">
        <v>31485193</v>
      </c>
      <c r="N411" s="1268"/>
      <c r="O411" s="1352">
        <v>126423902</v>
      </c>
      <c r="P411" s="1264">
        <v>8288797</v>
      </c>
      <c r="Q411" s="1268">
        <v>18630424</v>
      </c>
      <c r="R411" s="1268">
        <v>0</v>
      </c>
      <c r="S411" s="1264">
        <v>26919221</v>
      </c>
      <c r="T411" s="1264"/>
      <c r="U411" s="1264"/>
      <c r="V411" s="1266">
        <v>0</v>
      </c>
      <c r="W411" s="1264">
        <v>0</v>
      </c>
      <c r="X411" s="1269">
        <v>723423723</v>
      </c>
      <c r="Y411"/>
      <c r="Z411"/>
      <c r="AA411"/>
      <c r="AB411"/>
    </row>
    <row r="412" spans="1:28" s="205" customFormat="1">
      <c r="A412" s="1207"/>
      <c r="B412" s="1205" t="s">
        <v>109</v>
      </c>
      <c r="C412" s="1264">
        <v>391751629</v>
      </c>
      <c r="D412" s="1268"/>
      <c r="E412" s="1268">
        <v>101081899</v>
      </c>
      <c r="F412" s="1268"/>
      <c r="G412" s="1268">
        <v>106779225</v>
      </c>
      <c r="H412" s="1268">
        <v>26538704</v>
      </c>
      <c r="I412" s="1352">
        <v>626151457</v>
      </c>
      <c r="J412" s="1289">
        <v>10881606</v>
      </c>
      <c r="K412" s="1279">
        <v>58580611</v>
      </c>
      <c r="L412" s="1268">
        <v>40245725</v>
      </c>
      <c r="M412" s="1268">
        <v>37787629</v>
      </c>
      <c r="N412" s="1268"/>
      <c r="O412" s="1352">
        <v>147495571</v>
      </c>
      <c r="P412" s="1264">
        <v>7556146</v>
      </c>
      <c r="Q412" s="1268">
        <v>19086443</v>
      </c>
      <c r="R412" s="1268">
        <v>0</v>
      </c>
      <c r="S412" s="1264">
        <v>26642589</v>
      </c>
      <c r="T412" s="1264"/>
      <c r="U412" s="1264"/>
      <c r="V412" s="1266">
        <v>0</v>
      </c>
      <c r="W412" s="1264">
        <v>0</v>
      </c>
      <c r="X412" s="1269">
        <v>800289617</v>
      </c>
      <c r="Y412"/>
      <c r="Z412"/>
      <c r="AA412"/>
      <c r="AB412"/>
    </row>
    <row r="413" spans="1:28" s="204" customFormat="1" ht="13.5" thickBot="1">
      <c r="A413" s="1207"/>
      <c r="B413" s="1205" t="s">
        <v>83</v>
      </c>
      <c r="C413" s="1264">
        <v>8.3756695904461047</v>
      </c>
      <c r="D413" s="1268">
        <v>0</v>
      </c>
      <c r="E413" s="1268">
        <v>14.379672909701524</v>
      </c>
      <c r="F413" s="1268">
        <v>0</v>
      </c>
      <c r="G413" s="1268">
        <v>10.882720609435296</v>
      </c>
      <c r="H413" s="1268">
        <v>10.893415860338006</v>
      </c>
      <c r="I413" s="1352">
        <v>9.835601667553675</v>
      </c>
      <c r="J413" s="1290">
        <v>17.604261920075274</v>
      </c>
      <c r="K413" s="1283">
        <v>18.682900567680445</v>
      </c>
      <c r="L413" s="1268">
        <v>10.787218680340299</v>
      </c>
      <c r="M413" s="1268">
        <v>20.017142661313844</v>
      </c>
      <c r="N413" s="1268">
        <v>0</v>
      </c>
      <c r="O413" s="1352">
        <v>16.667472421472958</v>
      </c>
      <c r="P413" s="1264">
        <v>-8.8390510709817107</v>
      </c>
      <c r="Q413" s="1268">
        <v>2.447711334964787</v>
      </c>
      <c r="R413" s="1268">
        <v>0</v>
      </c>
      <c r="S413" s="1264">
        <v>-1.0276374639518728</v>
      </c>
      <c r="T413" s="1264">
        <v>0</v>
      </c>
      <c r="U413" s="1264">
        <v>0</v>
      </c>
      <c r="V413" s="1266">
        <v>0</v>
      </c>
      <c r="W413" s="1264">
        <v>0</v>
      </c>
      <c r="X413" s="1269">
        <v>10.625293525244265</v>
      </c>
      <c r="Y413"/>
      <c r="Z413"/>
      <c r="AA413"/>
      <c r="AB413"/>
    </row>
    <row r="414" spans="1:28">
      <c r="A414" s="1207"/>
      <c r="B414" s="1205" t="s">
        <v>111</v>
      </c>
      <c r="C414" s="1264"/>
      <c r="D414" s="1268"/>
      <c r="E414" s="1268"/>
      <c r="F414" s="1268"/>
      <c r="G414" s="1268"/>
      <c r="H414" s="1268"/>
      <c r="I414" s="1352"/>
      <c r="J414" s="1266"/>
      <c r="K414" s="1268"/>
      <c r="L414" s="1268"/>
      <c r="M414" s="1268"/>
      <c r="N414" s="1268"/>
      <c r="O414" s="1352"/>
      <c r="P414" s="1264"/>
      <c r="Q414" s="1268"/>
      <c r="R414" s="1268"/>
      <c r="S414" s="1264"/>
      <c r="T414" s="1264"/>
      <c r="U414" s="1264"/>
      <c r="V414" s="1266">
        <v>88518742</v>
      </c>
      <c r="W414" s="1264">
        <v>88518742</v>
      </c>
      <c r="X414" s="1269">
        <v>88518742</v>
      </c>
      <c r="Y414"/>
      <c r="Z414"/>
      <c r="AA414"/>
      <c r="AB414"/>
    </row>
    <row r="415" spans="1:28" s="205" customFormat="1">
      <c r="A415" s="1207"/>
      <c r="B415" s="1205" t="s">
        <v>113</v>
      </c>
      <c r="C415" s="1264"/>
      <c r="D415" s="1268"/>
      <c r="E415" s="1268"/>
      <c r="F415" s="1268"/>
      <c r="G415" s="1268"/>
      <c r="H415" s="1268"/>
      <c r="I415" s="1352"/>
      <c r="J415" s="1266"/>
      <c r="K415" s="1268"/>
      <c r="L415" s="1268"/>
      <c r="M415" s="1268"/>
      <c r="N415" s="1268"/>
      <c r="O415" s="1352"/>
      <c r="P415" s="1264"/>
      <c r="Q415" s="1268"/>
      <c r="R415" s="1268"/>
      <c r="S415" s="1264"/>
      <c r="T415" s="1264"/>
      <c r="U415" s="1264"/>
      <c r="V415" s="1266">
        <v>91331007</v>
      </c>
      <c r="W415" s="1264">
        <v>91331007</v>
      </c>
      <c r="X415" s="1269">
        <v>91331007</v>
      </c>
      <c r="Y415"/>
      <c r="Z415"/>
      <c r="AA415"/>
      <c r="AB415"/>
    </row>
    <row r="416" spans="1:28" s="204" customFormat="1">
      <c r="A416" s="1207"/>
      <c r="B416" s="1205" t="s">
        <v>115</v>
      </c>
      <c r="C416" s="1264">
        <v>0</v>
      </c>
      <c r="D416" s="1268">
        <v>0</v>
      </c>
      <c r="E416" s="1268">
        <v>0</v>
      </c>
      <c r="F416" s="1268">
        <v>0</v>
      </c>
      <c r="G416" s="1268">
        <v>0</v>
      </c>
      <c r="H416" s="1268">
        <v>0</v>
      </c>
      <c r="I416" s="1352">
        <v>0</v>
      </c>
      <c r="J416" s="1266">
        <v>0</v>
      </c>
      <c r="K416" s="1268">
        <v>0</v>
      </c>
      <c r="L416" s="1268">
        <v>0</v>
      </c>
      <c r="M416" s="1268">
        <v>0</v>
      </c>
      <c r="N416" s="1268">
        <v>0</v>
      </c>
      <c r="O416" s="1352">
        <v>0</v>
      </c>
      <c r="P416" s="1264">
        <v>0</v>
      </c>
      <c r="Q416" s="1268">
        <v>0</v>
      </c>
      <c r="R416" s="1268">
        <v>0</v>
      </c>
      <c r="S416" s="1264">
        <v>0</v>
      </c>
      <c r="T416" s="1264">
        <v>0</v>
      </c>
      <c r="U416" s="1264">
        <v>0</v>
      </c>
      <c r="V416" s="1266">
        <v>3.177027753060476</v>
      </c>
      <c r="W416" s="1264">
        <v>3.177027753060476</v>
      </c>
      <c r="X416" s="1269">
        <v>3.177027753060476</v>
      </c>
      <c r="Y416"/>
      <c r="Z416"/>
      <c r="AA416"/>
      <c r="AB416"/>
    </row>
    <row r="417" spans="1:28">
      <c r="A417" s="1207"/>
      <c r="B417" s="1205" t="s">
        <v>339</v>
      </c>
      <c r="C417" s="1264"/>
      <c r="D417" s="1268"/>
      <c r="E417" s="1268"/>
      <c r="F417" s="1268"/>
      <c r="G417" s="1268"/>
      <c r="H417" s="1268"/>
      <c r="I417" s="1352"/>
      <c r="J417" s="1266"/>
      <c r="K417" s="1268"/>
      <c r="L417" s="1268"/>
      <c r="M417" s="1268"/>
      <c r="N417" s="1268"/>
      <c r="O417" s="1352"/>
      <c r="P417" s="1264"/>
      <c r="Q417" s="1268"/>
      <c r="R417" s="1268"/>
      <c r="S417" s="1264"/>
      <c r="T417" s="1264"/>
      <c r="U417" s="1264"/>
      <c r="V417" s="1266"/>
      <c r="W417" s="1264"/>
      <c r="X417" s="1269"/>
      <c r="Y417"/>
      <c r="Z417"/>
      <c r="AA417"/>
      <c r="AB417"/>
    </row>
    <row r="418" spans="1:28" s="205" customFormat="1">
      <c r="A418" s="1207"/>
      <c r="B418" s="1205" t="s">
        <v>223</v>
      </c>
      <c r="C418" s="1264"/>
      <c r="D418" s="1268"/>
      <c r="E418" s="1268"/>
      <c r="F418" s="1268"/>
      <c r="G418" s="1268"/>
      <c r="H418" s="1268"/>
      <c r="I418" s="1352"/>
      <c r="J418" s="1266"/>
      <c r="K418" s="1268"/>
      <c r="L418" s="1268"/>
      <c r="M418" s="1268"/>
      <c r="N418" s="1268"/>
      <c r="O418" s="1352"/>
      <c r="P418" s="1264"/>
      <c r="Q418" s="1268"/>
      <c r="R418" s="1268"/>
      <c r="S418" s="1264"/>
      <c r="T418" s="1264"/>
      <c r="U418" s="1264"/>
      <c r="V418" s="1266"/>
      <c r="W418" s="1264"/>
      <c r="X418" s="1269"/>
      <c r="Y418"/>
      <c r="Z418"/>
      <c r="AA418"/>
      <c r="AB418"/>
    </row>
    <row r="419" spans="1:28" s="204" customFormat="1">
      <c r="A419" s="1207"/>
      <c r="B419" s="1205" t="s">
        <v>85</v>
      </c>
      <c r="C419" s="1264">
        <v>0</v>
      </c>
      <c r="D419" s="1268">
        <v>0</v>
      </c>
      <c r="E419" s="1268">
        <v>0</v>
      </c>
      <c r="F419" s="1268">
        <v>0</v>
      </c>
      <c r="G419" s="1268">
        <v>0</v>
      </c>
      <c r="H419" s="1268">
        <v>0</v>
      </c>
      <c r="I419" s="1352">
        <v>0</v>
      </c>
      <c r="J419" s="1266">
        <v>0</v>
      </c>
      <c r="K419" s="1268">
        <v>0</v>
      </c>
      <c r="L419" s="1268">
        <v>0</v>
      </c>
      <c r="M419" s="1268">
        <v>0</v>
      </c>
      <c r="N419" s="1268">
        <v>0</v>
      </c>
      <c r="O419" s="1352">
        <v>0</v>
      </c>
      <c r="P419" s="1264">
        <v>0</v>
      </c>
      <c r="Q419" s="1268">
        <v>0</v>
      </c>
      <c r="R419" s="1268">
        <v>0</v>
      </c>
      <c r="S419" s="1264">
        <v>0</v>
      </c>
      <c r="T419" s="1264">
        <v>0</v>
      </c>
      <c r="U419" s="1264">
        <v>0</v>
      </c>
      <c r="V419" s="1266">
        <v>0</v>
      </c>
      <c r="W419" s="1264">
        <v>0</v>
      </c>
      <c r="X419" s="1269">
        <v>0</v>
      </c>
      <c r="Y419"/>
      <c r="Z419"/>
      <c r="AA419"/>
      <c r="AB419"/>
    </row>
    <row r="420" spans="1:28">
      <c r="A420" s="1207"/>
      <c r="B420" s="1205" t="s">
        <v>219</v>
      </c>
      <c r="C420" s="1264"/>
      <c r="D420" s="1268"/>
      <c r="E420" s="1268"/>
      <c r="F420" s="1268"/>
      <c r="G420" s="1268"/>
      <c r="H420" s="1268"/>
      <c r="I420" s="1352"/>
      <c r="J420" s="1266"/>
      <c r="K420" s="1268"/>
      <c r="L420" s="1268"/>
      <c r="M420" s="1268"/>
      <c r="N420" s="1268"/>
      <c r="O420" s="1352"/>
      <c r="P420" s="1264"/>
      <c r="Q420" s="1268"/>
      <c r="R420" s="1268"/>
      <c r="S420" s="1264"/>
      <c r="T420" s="1264"/>
      <c r="U420" s="1264"/>
      <c r="V420" s="1266"/>
      <c r="W420" s="1264"/>
      <c r="X420" s="1269"/>
      <c r="Y420"/>
      <c r="Z420"/>
      <c r="AA420"/>
      <c r="AB420"/>
    </row>
    <row r="421" spans="1:28" s="205" customFormat="1">
      <c r="A421" s="1207"/>
      <c r="B421" s="1205" t="s">
        <v>141</v>
      </c>
      <c r="C421" s="1264"/>
      <c r="D421" s="1268"/>
      <c r="E421" s="1268"/>
      <c r="F421" s="1268"/>
      <c r="G421" s="1268"/>
      <c r="H421" s="1268"/>
      <c r="I421" s="1352"/>
      <c r="J421" s="1266"/>
      <c r="K421" s="1268"/>
      <c r="L421" s="1268"/>
      <c r="M421" s="1268"/>
      <c r="N421" s="1268"/>
      <c r="O421" s="1352"/>
      <c r="P421" s="1264"/>
      <c r="Q421" s="1268"/>
      <c r="R421" s="1268"/>
      <c r="S421" s="1264"/>
      <c r="T421" s="1264"/>
      <c r="U421" s="1264"/>
      <c r="V421" s="1266"/>
      <c r="W421" s="1264"/>
      <c r="X421" s="1269"/>
      <c r="Y421"/>
      <c r="Z421"/>
      <c r="AA421"/>
      <c r="AB421"/>
    </row>
    <row r="422" spans="1:28" s="204" customFormat="1">
      <c r="A422" s="1207"/>
      <c r="B422" s="1205" t="s">
        <v>169</v>
      </c>
      <c r="C422" s="1264">
        <v>0</v>
      </c>
      <c r="D422" s="1268">
        <v>0</v>
      </c>
      <c r="E422" s="1268">
        <v>0</v>
      </c>
      <c r="F422" s="1268">
        <v>0</v>
      </c>
      <c r="G422" s="1268">
        <v>0</v>
      </c>
      <c r="H422" s="1268">
        <v>0</v>
      </c>
      <c r="I422" s="1352">
        <v>0</v>
      </c>
      <c r="J422" s="1266">
        <v>0</v>
      </c>
      <c r="K422" s="1268">
        <v>0</v>
      </c>
      <c r="L422" s="1268">
        <v>0</v>
      </c>
      <c r="M422" s="1268">
        <v>0</v>
      </c>
      <c r="N422" s="1268">
        <v>0</v>
      </c>
      <c r="O422" s="1352">
        <v>0</v>
      </c>
      <c r="P422" s="1264">
        <v>0</v>
      </c>
      <c r="Q422" s="1268">
        <v>0</v>
      </c>
      <c r="R422" s="1268">
        <v>0</v>
      </c>
      <c r="S422" s="1264">
        <v>0</v>
      </c>
      <c r="T422" s="1264">
        <v>0</v>
      </c>
      <c r="U422" s="1264">
        <v>0</v>
      </c>
      <c r="V422" s="1266">
        <v>0</v>
      </c>
      <c r="W422" s="1264">
        <v>0</v>
      </c>
      <c r="X422" s="1269">
        <v>0</v>
      </c>
      <c r="Y422"/>
      <c r="Z422"/>
      <c r="AA422"/>
      <c r="AB422"/>
    </row>
    <row r="423" spans="1:28">
      <c r="A423" s="1207"/>
      <c r="B423" s="1205" t="s">
        <v>221</v>
      </c>
      <c r="C423" s="1264">
        <v>0</v>
      </c>
      <c r="D423" s="1268"/>
      <c r="E423" s="1268">
        <v>0</v>
      </c>
      <c r="F423" s="1268"/>
      <c r="G423" s="1268">
        <v>0</v>
      </c>
      <c r="H423" s="1268">
        <v>0</v>
      </c>
      <c r="I423" s="1352">
        <v>0</v>
      </c>
      <c r="J423" s="1266">
        <v>0</v>
      </c>
      <c r="K423" s="1268">
        <v>0</v>
      </c>
      <c r="L423" s="1268">
        <v>0</v>
      </c>
      <c r="M423" s="1268">
        <v>0</v>
      </c>
      <c r="N423" s="1268"/>
      <c r="O423" s="1352">
        <v>0</v>
      </c>
      <c r="P423" s="1264">
        <v>0</v>
      </c>
      <c r="Q423" s="1268">
        <v>0</v>
      </c>
      <c r="R423" s="1268">
        <v>0</v>
      </c>
      <c r="S423" s="1264">
        <v>0</v>
      </c>
      <c r="T423" s="1264"/>
      <c r="U423" s="1264"/>
      <c r="V423" s="1266">
        <v>0</v>
      </c>
      <c r="W423" s="1264">
        <v>0</v>
      </c>
      <c r="X423" s="1269">
        <v>0</v>
      </c>
      <c r="Y423"/>
      <c r="Z423"/>
      <c r="AA423"/>
      <c r="AB423"/>
    </row>
    <row r="424" spans="1:28" s="205" customFormat="1">
      <c r="A424" s="1207"/>
      <c r="B424" s="1205" t="s">
        <v>143</v>
      </c>
      <c r="C424" s="1264">
        <v>0</v>
      </c>
      <c r="D424" s="1268"/>
      <c r="E424" s="1268">
        <v>0</v>
      </c>
      <c r="F424" s="1268"/>
      <c r="G424" s="1268">
        <v>0</v>
      </c>
      <c r="H424" s="1268">
        <v>0</v>
      </c>
      <c r="I424" s="1352">
        <v>0</v>
      </c>
      <c r="J424" s="1266">
        <v>0</v>
      </c>
      <c r="K424" s="1268">
        <v>0</v>
      </c>
      <c r="L424" s="1268">
        <v>0</v>
      </c>
      <c r="M424" s="1268">
        <v>0</v>
      </c>
      <c r="N424" s="1268"/>
      <c r="O424" s="1352">
        <v>0</v>
      </c>
      <c r="P424" s="1264">
        <v>0</v>
      </c>
      <c r="Q424" s="1268">
        <v>0</v>
      </c>
      <c r="R424" s="1268">
        <v>0</v>
      </c>
      <c r="S424" s="1264">
        <v>0</v>
      </c>
      <c r="T424" s="1264"/>
      <c r="U424" s="1264"/>
      <c r="V424" s="1266">
        <v>0</v>
      </c>
      <c r="W424" s="1264">
        <v>0</v>
      </c>
      <c r="X424" s="1269">
        <v>0</v>
      </c>
      <c r="Y424"/>
      <c r="Z424"/>
      <c r="AA424"/>
      <c r="AB424"/>
    </row>
    <row r="425" spans="1:28" s="204" customFormat="1">
      <c r="A425" s="1207"/>
      <c r="B425" s="1205" t="s">
        <v>245</v>
      </c>
      <c r="C425" s="1264">
        <v>0</v>
      </c>
      <c r="D425" s="1268">
        <v>0</v>
      </c>
      <c r="E425" s="1268">
        <v>0</v>
      </c>
      <c r="F425" s="1268">
        <v>0</v>
      </c>
      <c r="G425" s="1268">
        <v>0</v>
      </c>
      <c r="H425" s="1268">
        <v>0</v>
      </c>
      <c r="I425" s="1352">
        <v>0</v>
      </c>
      <c r="J425" s="1266">
        <v>0</v>
      </c>
      <c r="K425" s="1268">
        <v>0</v>
      </c>
      <c r="L425" s="1268">
        <v>0</v>
      </c>
      <c r="M425" s="1268">
        <v>0</v>
      </c>
      <c r="N425" s="1268">
        <v>0</v>
      </c>
      <c r="O425" s="1352">
        <v>0</v>
      </c>
      <c r="P425" s="1264">
        <v>0</v>
      </c>
      <c r="Q425" s="1268">
        <v>0</v>
      </c>
      <c r="R425" s="1268">
        <v>0</v>
      </c>
      <c r="S425" s="1264">
        <v>0</v>
      </c>
      <c r="T425" s="1264">
        <v>0</v>
      </c>
      <c r="U425" s="1264">
        <v>0</v>
      </c>
      <c r="V425" s="1266">
        <v>0</v>
      </c>
      <c r="W425" s="1264">
        <v>0</v>
      </c>
      <c r="X425" s="1269">
        <v>0</v>
      </c>
      <c r="Y425"/>
      <c r="Z425"/>
      <c r="AA425"/>
      <c r="AB425"/>
    </row>
    <row r="426" spans="1:28">
      <c r="A426" s="1207"/>
      <c r="B426" s="1205" t="s">
        <v>117</v>
      </c>
      <c r="C426" s="1264">
        <v>120437806</v>
      </c>
      <c r="D426" s="1268"/>
      <c r="E426" s="1268"/>
      <c r="F426" s="1268"/>
      <c r="G426" s="1268"/>
      <c r="H426" s="1268"/>
      <c r="I426" s="1352">
        <v>120437806</v>
      </c>
      <c r="J426" s="1266"/>
      <c r="K426" s="1268"/>
      <c r="L426" s="1268"/>
      <c r="M426" s="1268"/>
      <c r="N426" s="1268"/>
      <c r="O426" s="1352"/>
      <c r="P426" s="1264"/>
      <c r="Q426" s="1268"/>
      <c r="R426" s="1268"/>
      <c r="S426" s="1264"/>
      <c r="T426" s="1264"/>
      <c r="U426" s="1264"/>
      <c r="V426" s="1266"/>
      <c r="W426" s="1264"/>
      <c r="X426" s="1269">
        <v>120437806</v>
      </c>
      <c r="Y426"/>
      <c r="Z426"/>
      <c r="AA426"/>
      <c r="AB426"/>
    </row>
    <row r="427" spans="1:28" s="205" customFormat="1">
      <c r="A427" s="1207"/>
      <c r="B427" s="1205" t="s">
        <v>119</v>
      </c>
      <c r="C427" s="1264">
        <v>114541148</v>
      </c>
      <c r="D427" s="1268"/>
      <c r="E427" s="1268"/>
      <c r="F427" s="1268"/>
      <c r="G427" s="1268"/>
      <c r="H427" s="1268"/>
      <c r="I427" s="1352">
        <v>114541148</v>
      </c>
      <c r="J427" s="1266"/>
      <c r="K427" s="1268"/>
      <c r="L427" s="1268"/>
      <c r="M427" s="1268"/>
      <c r="N427" s="1268"/>
      <c r="O427" s="1352"/>
      <c r="P427" s="1264"/>
      <c r="Q427" s="1268"/>
      <c r="R427" s="1268"/>
      <c r="S427" s="1264"/>
      <c r="T427" s="1264"/>
      <c r="U427" s="1264"/>
      <c r="V427" s="1266"/>
      <c r="W427" s="1264"/>
      <c r="X427" s="1269">
        <v>114541148</v>
      </c>
      <c r="Y427"/>
      <c r="Z427"/>
      <c r="AA427"/>
      <c r="AB427"/>
    </row>
    <row r="428" spans="1:28" s="204" customFormat="1">
      <c r="A428" s="1207"/>
      <c r="B428" s="1205" t="s">
        <v>301</v>
      </c>
      <c r="C428" s="1264">
        <v>-4.8960191121382595</v>
      </c>
      <c r="D428" s="1268">
        <v>0</v>
      </c>
      <c r="E428" s="1268">
        <v>0</v>
      </c>
      <c r="F428" s="1268">
        <v>0</v>
      </c>
      <c r="G428" s="1268">
        <v>0</v>
      </c>
      <c r="H428" s="1268">
        <v>0</v>
      </c>
      <c r="I428" s="1352">
        <v>-4.8960191121382595</v>
      </c>
      <c r="J428" s="1266">
        <v>0</v>
      </c>
      <c r="K428" s="1268">
        <v>0</v>
      </c>
      <c r="L428" s="1268">
        <v>0</v>
      </c>
      <c r="M428" s="1268">
        <v>0</v>
      </c>
      <c r="N428" s="1268">
        <v>0</v>
      </c>
      <c r="O428" s="1352">
        <v>0</v>
      </c>
      <c r="P428" s="1264">
        <v>0</v>
      </c>
      <c r="Q428" s="1268">
        <v>0</v>
      </c>
      <c r="R428" s="1268">
        <v>0</v>
      </c>
      <c r="S428" s="1264">
        <v>0</v>
      </c>
      <c r="T428" s="1264">
        <v>0</v>
      </c>
      <c r="U428" s="1264">
        <v>0</v>
      </c>
      <c r="V428" s="1266">
        <v>0</v>
      </c>
      <c r="W428" s="1264">
        <v>0</v>
      </c>
      <c r="X428" s="1269">
        <v>-4.8960191121382595</v>
      </c>
      <c r="Y428"/>
      <c r="Z428"/>
      <c r="AA428"/>
      <c r="AB428"/>
    </row>
    <row r="429" spans="1:28">
      <c r="A429" s="1207"/>
      <c r="B429" s="1205" t="s">
        <v>120</v>
      </c>
      <c r="C429" s="1339">
        <v>62813209</v>
      </c>
      <c r="D429" s="1268"/>
      <c r="E429" s="1268"/>
      <c r="F429" s="1268"/>
      <c r="G429" s="1268"/>
      <c r="H429" s="1268"/>
      <c r="I429" s="1352">
        <v>62813209</v>
      </c>
      <c r="J429" s="1266"/>
      <c r="K429" s="1268"/>
      <c r="L429" s="1268"/>
      <c r="M429" s="1268"/>
      <c r="N429" s="1268"/>
      <c r="O429" s="1352"/>
      <c r="P429" s="1264"/>
      <c r="Q429" s="1268"/>
      <c r="R429" s="1268"/>
      <c r="S429" s="1264"/>
      <c r="T429" s="1264"/>
      <c r="U429" s="1264"/>
      <c r="V429" s="1266"/>
      <c r="W429" s="1264"/>
      <c r="X429" s="1269">
        <v>62813209</v>
      </c>
      <c r="Y429"/>
      <c r="Z429"/>
      <c r="AA429"/>
      <c r="AB429"/>
    </row>
    <row r="430" spans="1:28" s="205" customFormat="1">
      <c r="A430" s="1207"/>
      <c r="B430" s="1205" t="s">
        <v>450</v>
      </c>
      <c r="C430" s="1339">
        <v>66249871</v>
      </c>
      <c r="D430" s="1268"/>
      <c r="E430" s="1268"/>
      <c r="F430" s="1268"/>
      <c r="G430" s="1268"/>
      <c r="H430" s="1268"/>
      <c r="I430" s="1352">
        <v>66249871</v>
      </c>
      <c r="J430" s="1266"/>
      <c r="K430" s="1268"/>
      <c r="L430" s="1268"/>
      <c r="M430" s="1268"/>
      <c r="N430" s="1268"/>
      <c r="O430" s="1352"/>
      <c r="P430" s="1264"/>
      <c r="Q430" s="1268"/>
      <c r="R430" s="1268"/>
      <c r="S430" s="1264"/>
      <c r="T430" s="1264"/>
      <c r="U430" s="1264"/>
      <c r="V430" s="1266"/>
      <c r="W430" s="1264"/>
      <c r="X430" s="1269">
        <v>66249871</v>
      </c>
      <c r="Y430"/>
      <c r="Z430"/>
      <c r="AA430"/>
      <c r="AB430"/>
    </row>
    <row r="431" spans="1:28" s="204" customFormat="1">
      <c r="A431" s="1207"/>
      <c r="B431" s="1205" t="s">
        <v>335</v>
      </c>
      <c r="C431" s="1339">
        <v>5.47124092959492</v>
      </c>
      <c r="D431" s="1268">
        <v>0</v>
      </c>
      <c r="E431" s="1268">
        <v>0</v>
      </c>
      <c r="F431" s="1268">
        <v>0</v>
      </c>
      <c r="G431" s="1268">
        <v>0</v>
      </c>
      <c r="H431" s="1268">
        <v>0</v>
      </c>
      <c r="I431" s="1352">
        <v>5.47124092959492</v>
      </c>
      <c r="J431" s="1266">
        <v>0</v>
      </c>
      <c r="K431" s="1268">
        <v>0</v>
      </c>
      <c r="L431" s="1268">
        <v>0</v>
      </c>
      <c r="M431" s="1268">
        <v>0</v>
      </c>
      <c r="N431" s="1268">
        <v>0</v>
      </c>
      <c r="O431" s="1352">
        <v>0</v>
      </c>
      <c r="P431" s="1264">
        <v>0</v>
      </c>
      <c r="Q431" s="1268">
        <v>0</v>
      </c>
      <c r="R431" s="1268">
        <v>0</v>
      </c>
      <c r="S431" s="1264">
        <v>0</v>
      </c>
      <c r="T431" s="1264">
        <v>0</v>
      </c>
      <c r="U431" s="1264">
        <v>0</v>
      </c>
      <c r="V431" s="1266">
        <v>0</v>
      </c>
      <c r="W431" s="1264">
        <v>0</v>
      </c>
      <c r="X431" s="1269">
        <v>5.47124092959492</v>
      </c>
      <c r="Y431"/>
      <c r="Z431"/>
      <c r="AA431"/>
      <c r="AB431"/>
    </row>
    <row r="432" spans="1:28">
      <c r="A432" s="1207"/>
      <c r="B432" s="1205" t="s">
        <v>35</v>
      </c>
      <c r="C432" s="1264">
        <v>706599505</v>
      </c>
      <c r="D432" s="1268"/>
      <c r="E432" s="1268">
        <v>179927810</v>
      </c>
      <c r="F432" s="1268"/>
      <c r="G432" s="1268">
        <v>210474135</v>
      </c>
      <c r="H432" s="1268">
        <v>52658362</v>
      </c>
      <c r="I432" s="1352">
        <v>1149659812</v>
      </c>
      <c r="J432" s="1266">
        <v>24037241</v>
      </c>
      <c r="K432" s="1268">
        <v>150826364</v>
      </c>
      <c r="L432" s="1268">
        <v>81255527</v>
      </c>
      <c r="M432" s="1268">
        <v>84496209</v>
      </c>
      <c r="N432" s="1268"/>
      <c r="O432" s="1352">
        <v>340615341</v>
      </c>
      <c r="P432" s="1264">
        <v>30979976</v>
      </c>
      <c r="Q432" s="1268">
        <v>102702858</v>
      </c>
      <c r="R432" s="1268">
        <v>0</v>
      </c>
      <c r="S432" s="1264">
        <v>133682834</v>
      </c>
      <c r="T432" s="1264"/>
      <c r="U432" s="1264"/>
      <c r="V432" s="1266">
        <v>16239399</v>
      </c>
      <c r="W432" s="1264">
        <v>16239399</v>
      </c>
      <c r="X432" s="1269">
        <v>1640197386</v>
      </c>
      <c r="Y432"/>
      <c r="Z432"/>
      <c r="AA432"/>
      <c r="AB432"/>
    </row>
    <row r="433" spans="1:28" s="205" customFormat="1">
      <c r="A433" s="1207"/>
      <c r="B433" s="1205" t="s">
        <v>37</v>
      </c>
      <c r="C433" s="1264">
        <v>712346312</v>
      </c>
      <c r="D433" s="1268"/>
      <c r="E433" s="1268">
        <v>188658934</v>
      </c>
      <c r="F433" s="1268"/>
      <c r="G433" s="1268">
        <v>215355931</v>
      </c>
      <c r="H433" s="1268">
        <v>54333823</v>
      </c>
      <c r="I433" s="1352">
        <v>1170695000</v>
      </c>
      <c r="J433" s="1266">
        <v>24920361</v>
      </c>
      <c r="K433" s="1268">
        <v>157610005</v>
      </c>
      <c r="L433" s="1268">
        <v>82385853</v>
      </c>
      <c r="M433" s="1268">
        <v>88821026</v>
      </c>
      <c r="N433" s="1268"/>
      <c r="O433" s="1352">
        <v>353737245</v>
      </c>
      <c r="P433" s="1264">
        <v>29778217</v>
      </c>
      <c r="Q433" s="1268">
        <v>102719300</v>
      </c>
      <c r="R433" s="1268">
        <v>0</v>
      </c>
      <c r="S433" s="1264">
        <v>132497517</v>
      </c>
      <c r="T433" s="1264"/>
      <c r="U433" s="1264"/>
      <c r="V433" s="1266">
        <v>15533187</v>
      </c>
      <c r="W433" s="1264">
        <v>15533187</v>
      </c>
      <c r="X433" s="1269">
        <v>1672462949</v>
      </c>
      <c r="Y433"/>
      <c r="Z433"/>
      <c r="AA433"/>
      <c r="AB433"/>
    </row>
    <row r="434" spans="1:28" s="214" customFormat="1" ht="13.5" thickBot="1">
      <c r="A434" s="1333"/>
      <c r="B434" s="1205" t="s">
        <v>39</v>
      </c>
      <c r="C434" s="1264">
        <v>0.81330470221600282</v>
      </c>
      <c r="D434" s="1268">
        <v>0</v>
      </c>
      <c r="E434" s="1268">
        <v>4.8525705948402305</v>
      </c>
      <c r="F434" s="1268">
        <v>0</v>
      </c>
      <c r="G434" s="1268">
        <v>2.319427990522446</v>
      </c>
      <c r="H434" s="1268">
        <v>3.1817567739763728</v>
      </c>
      <c r="I434" s="1352">
        <v>1.8296880329674428</v>
      </c>
      <c r="J434" s="1266">
        <v>3.6739657434062418</v>
      </c>
      <c r="K434" s="1268">
        <v>4.4976493632107974</v>
      </c>
      <c r="L434" s="1268">
        <v>1.3910758341398732</v>
      </c>
      <c r="M434" s="1268">
        <v>5.1183562566694558</v>
      </c>
      <c r="N434" s="1268">
        <v>0</v>
      </c>
      <c r="O434" s="1352">
        <v>3.8524113334049743</v>
      </c>
      <c r="P434" s="1264">
        <v>-3.8791476145752983</v>
      </c>
      <c r="Q434" s="1268">
        <v>1.6009291581739624E-2</v>
      </c>
      <c r="R434" s="1268">
        <v>0</v>
      </c>
      <c r="S434" s="1264">
        <v>-0.88666357866111667</v>
      </c>
      <c r="T434" s="1264">
        <v>0</v>
      </c>
      <c r="U434" s="1264">
        <v>0</v>
      </c>
      <c r="V434" s="1266">
        <v>-4.3487569952557976</v>
      </c>
      <c r="W434" s="1264">
        <v>-4.3487569952557976</v>
      </c>
      <c r="X434" s="1269">
        <v>1.9671756140696592</v>
      </c>
      <c r="Y434"/>
      <c r="Z434"/>
      <c r="AA434"/>
      <c r="AB434"/>
    </row>
    <row r="435" spans="1:28">
      <c r="A435" s="1206" t="s">
        <v>206</v>
      </c>
      <c r="B435" s="1204" t="s">
        <v>253</v>
      </c>
      <c r="C435" s="1259">
        <v>187156382</v>
      </c>
      <c r="D435" s="1260"/>
      <c r="E435" s="1260">
        <v>40015281</v>
      </c>
      <c r="F435" s="1260">
        <v>11256224</v>
      </c>
      <c r="G435" s="1260">
        <v>40157223</v>
      </c>
      <c r="H435" s="1260">
        <v>27273896</v>
      </c>
      <c r="I435" s="1355">
        <v>305859006</v>
      </c>
      <c r="J435" s="1261"/>
      <c r="K435" s="1260">
        <v>45674736</v>
      </c>
      <c r="L435" s="1260">
        <v>53185553</v>
      </c>
      <c r="M435" s="1260">
        <v>16678685</v>
      </c>
      <c r="N435" s="1260"/>
      <c r="O435" s="1355">
        <v>115538974</v>
      </c>
      <c r="P435" s="1259"/>
      <c r="Q435" s="1260"/>
      <c r="R435" s="1260"/>
      <c r="S435" s="1259"/>
      <c r="T435" s="1259"/>
      <c r="U435" s="1259"/>
      <c r="V435" s="1288"/>
      <c r="W435" s="1259"/>
      <c r="X435" s="1263">
        <v>421397980</v>
      </c>
      <c r="Y435"/>
      <c r="Z435"/>
      <c r="AA435"/>
      <c r="AB435"/>
    </row>
    <row r="436" spans="1:28" s="205" customFormat="1">
      <c r="A436" s="1207"/>
      <c r="B436" s="1205" t="s">
        <v>4</v>
      </c>
      <c r="C436" s="1264">
        <v>146485677</v>
      </c>
      <c r="D436" s="1268"/>
      <c r="E436" s="1268">
        <v>31984661</v>
      </c>
      <c r="F436" s="1268">
        <v>8992401</v>
      </c>
      <c r="G436" s="1268">
        <v>31817715</v>
      </c>
      <c r="H436" s="1268">
        <v>21829088</v>
      </c>
      <c r="I436" s="1352">
        <v>241109542</v>
      </c>
      <c r="J436" s="1266"/>
      <c r="K436" s="1268">
        <v>39236862</v>
      </c>
      <c r="L436" s="1268">
        <v>46289442</v>
      </c>
      <c r="M436" s="1268">
        <v>14020164</v>
      </c>
      <c r="N436" s="1268"/>
      <c r="O436" s="1352">
        <v>99546468</v>
      </c>
      <c r="P436" s="1264"/>
      <c r="Q436" s="1268"/>
      <c r="R436" s="1268"/>
      <c r="S436" s="1264"/>
      <c r="T436" s="1264"/>
      <c r="U436" s="1264"/>
      <c r="V436" s="1289"/>
      <c r="W436" s="1264"/>
      <c r="X436" s="1269">
        <v>340656010</v>
      </c>
      <c r="Y436"/>
      <c r="Z436"/>
      <c r="AA436"/>
      <c r="AB436"/>
    </row>
    <row r="437" spans="1:28" s="204" customFormat="1" ht="13.5" thickBot="1">
      <c r="A437" s="1207"/>
      <c r="B437" s="1205" t="s">
        <v>175</v>
      </c>
      <c r="C437" s="1264">
        <v>-21.730867291503849</v>
      </c>
      <c r="D437" s="1268">
        <v>0</v>
      </c>
      <c r="E437" s="1268">
        <v>-20.068883184901289</v>
      </c>
      <c r="F437" s="1268">
        <v>-20.111744400253585</v>
      </c>
      <c r="G437" s="1268">
        <v>-20.767143186171015</v>
      </c>
      <c r="H437" s="1268">
        <v>-19.963440500029773</v>
      </c>
      <c r="I437" s="1352">
        <v>-21.169709810670085</v>
      </c>
      <c r="J437" s="1266">
        <v>0</v>
      </c>
      <c r="K437" s="1268">
        <v>-14.095043702058835</v>
      </c>
      <c r="L437" s="1268">
        <v>-12.966135747427501</v>
      </c>
      <c r="M437" s="1268">
        <v>-15.939631931414258</v>
      </c>
      <c r="N437" s="1268">
        <v>0</v>
      </c>
      <c r="O437" s="1352">
        <v>-13.841654851461637</v>
      </c>
      <c r="P437" s="1264">
        <v>0</v>
      </c>
      <c r="Q437" s="1268">
        <v>0</v>
      </c>
      <c r="R437" s="1268">
        <v>0</v>
      </c>
      <c r="S437" s="1264">
        <v>0</v>
      </c>
      <c r="T437" s="1264">
        <v>0</v>
      </c>
      <c r="U437" s="1264">
        <v>0</v>
      </c>
      <c r="V437" s="1290">
        <v>0</v>
      </c>
      <c r="W437" s="1264">
        <v>0</v>
      </c>
      <c r="X437" s="1269">
        <v>-19.160502383044172</v>
      </c>
      <c r="Y437"/>
      <c r="Z437"/>
      <c r="AA437"/>
      <c r="AB437"/>
    </row>
    <row r="438" spans="1:28">
      <c r="A438" s="1207"/>
      <c r="B438" s="1205" t="s">
        <v>269</v>
      </c>
      <c r="C438" s="1262">
        <v>38471950</v>
      </c>
      <c r="D438" s="1268"/>
      <c r="E438" s="1262">
        <v>1866283</v>
      </c>
      <c r="F438" s="1262">
        <v>531978</v>
      </c>
      <c r="G438" s="1262">
        <v>9958253</v>
      </c>
      <c r="H438" s="1268">
        <v>2083658</v>
      </c>
      <c r="I438" s="1352">
        <v>52912122</v>
      </c>
      <c r="J438" s="1266"/>
      <c r="K438" s="1268">
        <v>5318470</v>
      </c>
      <c r="L438" s="1268">
        <v>8437534</v>
      </c>
      <c r="M438" s="1268">
        <v>2184428</v>
      </c>
      <c r="N438" s="1268"/>
      <c r="O438" s="1352">
        <v>15940432</v>
      </c>
      <c r="P438" s="1264"/>
      <c r="Q438" s="1268"/>
      <c r="R438" s="1268"/>
      <c r="S438" s="1264"/>
      <c r="T438" s="1264"/>
      <c r="U438" s="1264"/>
      <c r="V438" s="1266">
        <v>5841282</v>
      </c>
      <c r="W438" s="1264">
        <v>5841282</v>
      </c>
      <c r="X438" s="1269">
        <v>74693836</v>
      </c>
      <c r="Y438"/>
      <c r="Z438"/>
      <c r="AA438"/>
      <c r="AB438"/>
    </row>
    <row r="439" spans="1:28" s="205" customFormat="1">
      <c r="A439" s="1207"/>
      <c r="B439" s="1205" t="s">
        <v>342</v>
      </c>
      <c r="C439" s="1267">
        <v>28793741</v>
      </c>
      <c r="D439" s="1268"/>
      <c r="E439" s="1267">
        <v>1037814</v>
      </c>
      <c r="F439" s="1267">
        <v>298908</v>
      </c>
      <c r="G439" s="1267">
        <v>6658620</v>
      </c>
      <c r="H439" s="1268">
        <v>1062465</v>
      </c>
      <c r="I439" s="1352">
        <v>37851548</v>
      </c>
      <c r="J439" s="1266"/>
      <c r="K439" s="1268">
        <v>2227847</v>
      </c>
      <c r="L439" s="1268">
        <v>3960358</v>
      </c>
      <c r="M439" s="1268">
        <v>823714</v>
      </c>
      <c r="N439" s="1268"/>
      <c r="O439" s="1352">
        <v>7011919</v>
      </c>
      <c r="P439" s="1264"/>
      <c r="Q439" s="1268"/>
      <c r="R439" s="1268"/>
      <c r="S439" s="1264"/>
      <c r="T439" s="1264"/>
      <c r="U439" s="1264"/>
      <c r="V439" s="1266">
        <v>4090057</v>
      </c>
      <c r="W439" s="1264">
        <v>4090057</v>
      </c>
      <c r="X439" s="1269">
        <v>48953524</v>
      </c>
      <c r="Y439"/>
      <c r="Z439"/>
      <c r="AA439"/>
      <c r="AB439"/>
    </row>
    <row r="440" spans="1:28" s="204" customFormat="1" ht="13.5" thickBot="1">
      <c r="A440" s="1207"/>
      <c r="B440" s="1205" t="s">
        <v>344</v>
      </c>
      <c r="C440" s="1281">
        <v>-25.156533526374407</v>
      </c>
      <c r="D440" s="1268">
        <v>0</v>
      </c>
      <c r="E440" s="1281">
        <v>-44.391391873579735</v>
      </c>
      <c r="F440" s="1281">
        <v>-43.811962148810665</v>
      </c>
      <c r="G440" s="1281">
        <v>-33.13465725363676</v>
      </c>
      <c r="H440" s="1268">
        <v>-49.0096263398312</v>
      </c>
      <c r="I440" s="1352">
        <v>-28.463371777075956</v>
      </c>
      <c r="J440" s="1266">
        <v>0</v>
      </c>
      <c r="K440" s="1268">
        <v>-58.111129704595498</v>
      </c>
      <c r="L440" s="1268">
        <v>-53.062612843989719</v>
      </c>
      <c r="M440" s="1268">
        <v>-62.291547260884769</v>
      </c>
      <c r="N440" s="1268">
        <v>0</v>
      </c>
      <c r="O440" s="1352">
        <v>-56.011737950389296</v>
      </c>
      <c r="P440" s="1264">
        <v>0</v>
      </c>
      <c r="Q440" s="1268">
        <v>0</v>
      </c>
      <c r="R440" s="1268">
        <v>0</v>
      </c>
      <c r="S440" s="1264">
        <v>0</v>
      </c>
      <c r="T440" s="1264">
        <v>0</v>
      </c>
      <c r="U440" s="1264">
        <v>0</v>
      </c>
      <c r="V440" s="1266">
        <v>-29.980148193495882</v>
      </c>
      <c r="W440" s="1264">
        <v>-29.980148193495882</v>
      </c>
      <c r="X440" s="1269">
        <v>-34.461092612782664</v>
      </c>
      <c r="Y440"/>
      <c r="Z440"/>
      <c r="AA440"/>
      <c r="AB440"/>
    </row>
    <row r="441" spans="1:28">
      <c r="A441" s="1207"/>
      <c r="B441" s="1205" t="s">
        <v>5</v>
      </c>
      <c r="C441" s="1264"/>
      <c r="D441" s="1268"/>
      <c r="E441" s="1268"/>
      <c r="F441" s="1268"/>
      <c r="G441" s="1268">
        <v>209658</v>
      </c>
      <c r="H441" s="1268"/>
      <c r="I441" s="1352">
        <v>209658</v>
      </c>
      <c r="J441" s="1266"/>
      <c r="K441" s="1278">
        <v>27440319</v>
      </c>
      <c r="L441" s="1276">
        <v>28501339</v>
      </c>
      <c r="M441" s="1277">
        <v>3790287</v>
      </c>
      <c r="N441" s="1268"/>
      <c r="O441" s="1352">
        <v>59731945</v>
      </c>
      <c r="P441" s="1264"/>
      <c r="Q441" s="1268"/>
      <c r="R441" s="1268"/>
      <c r="S441" s="1264"/>
      <c r="T441" s="1264"/>
      <c r="U441" s="1264"/>
      <c r="V441" s="1266"/>
      <c r="W441" s="1264"/>
      <c r="X441" s="1269">
        <v>59941603</v>
      </c>
      <c r="Y441"/>
      <c r="Z441"/>
      <c r="AA441"/>
      <c r="AB441"/>
    </row>
    <row r="442" spans="1:28" s="205" customFormat="1">
      <c r="A442" s="1207"/>
      <c r="B442" s="1205" t="s">
        <v>6</v>
      </c>
      <c r="C442" s="1264"/>
      <c r="D442" s="1268"/>
      <c r="E442" s="1268"/>
      <c r="F442" s="1268"/>
      <c r="G442" s="1268">
        <v>224737</v>
      </c>
      <c r="H442" s="1268"/>
      <c r="I442" s="1352">
        <v>224737</v>
      </c>
      <c r="J442" s="1266"/>
      <c r="K442" s="1280">
        <v>28993125</v>
      </c>
      <c r="L442" s="1265">
        <v>30940049</v>
      </c>
      <c r="M442" s="1279">
        <v>3673143</v>
      </c>
      <c r="N442" s="1268"/>
      <c r="O442" s="1352">
        <v>63606317</v>
      </c>
      <c r="P442" s="1264"/>
      <c r="Q442" s="1268"/>
      <c r="R442" s="1268"/>
      <c r="S442" s="1264"/>
      <c r="T442" s="1264"/>
      <c r="U442" s="1264"/>
      <c r="V442" s="1266"/>
      <c r="W442" s="1264"/>
      <c r="X442" s="1269">
        <v>63831054</v>
      </c>
      <c r="Y442"/>
      <c r="Z442"/>
      <c r="AA442"/>
      <c r="AB442"/>
    </row>
    <row r="443" spans="1:28" s="204" customFormat="1" ht="13.5" thickBot="1">
      <c r="A443" s="1207"/>
      <c r="B443" s="1205" t="s">
        <v>426</v>
      </c>
      <c r="C443" s="1264">
        <v>0</v>
      </c>
      <c r="D443" s="1268">
        <v>0</v>
      </c>
      <c r="E443" s="1268">
        <v>0</v>
      </c>
      <c r="F443" s="1268">
        <v>0</v>
      </c>
      <c r="G443" s="1268">
        <v>7.1921891842906067</v>
      </c>
      <c r="H443" s="1268">
        <v>0</v>
      </c>
      <c r="I443" s="1352">
        <v>7.1921891842906067</v>
      </c>
      <c r="J443" s="1266">
        <v>0</v>
      </c>
      <c r="K443" s="1284">
        <v>5.6588482079964155</v>
      </c>
      <c r="L443" s="1282">
        <v>8.5564751887621853</v>
      </c>
      <c r="M443" s="1283">
        <v>-3.09063667210425</v>
      </c>
      <c r="N443" s="1268">
        <v>0</v>
      </c>
      <c r="O443" s="1352">
        <v>6.4862645942635879</v>
      </c>
      <c r="P443" s="1264">
        <v>0</v>
      </c>
      <c r="Q443" s="1268">
        <v>0</v>
      </c>
      <c r="R443" s="1268">
        <v>0</v>
      </c>
      <c r="S443" s="1264">
        <v>0</v>
      </c>
      <c r="T443" s="1264">
        <v>0</v>
      </c>
      <c r="U443" s="1264">
        <v>0</v>
      </c>
      <c r="V443" s="1266">
        <v>0</v>
      </c>
      <c r="W443" s="1264">
        <v>0</v>
      </c>
      <c r="X443" s="1269">
        <v>6.4887337097074296</v>
      </c>
      <c r="Y443"/>
      <c r="Z443"/>
      <c r="AA443"/>
      <c r="AB443"/>
    </row>
    <row r="444" spans="1:28">
      <c r="A444" s="1207"/>
      <c r="B444" s="1205" t="s">
        <v>322</v>
      </c>
      <c r="C444" s="1339">
        <v>632710058</v>
      </c>
      <c r="D444" s="1340"/>
      <c r="E444" s="1340">
        <v>186278925.65647319</v>
      </c>
      <c r="F444" s="1340">
        <v>37953448</v>
      </c>
      <c r="G444" s="1340">
        <v>166223321</v>
      </c>
      <c r="H444" s="1340">
        <v>104841131</v>
      </c>
      <c r="I444" s="1352">
        <v>1128006883.6564732</v>
      </c>
      <c r="J444" s="1266"/>
      <c r="K444" s="1340">
        <v>170535134</v>
      </c>
      <c r="L444" s="1367">
        <v>169719943</v>
      </c>
      <c r="M444" s="1340">
        <v>35504785</v>
      </c>
      <c r="N444" s="1268"/>
      <c r="O444" s="1352">
        <v>375759862</v>
      </c>
      <c r="P444" s="1264"/>
      <c r="Q444" s="1268"/>
      <c r="R444" s="1268"/>
      <c r="S444" s="1264"/>
      <c r="T444" s="1264"/>
      <c r="U444" s="1264"/>
      <c r="V444" s="1266"/>
      <c r="W444" s="1264"/>
      <c r="X444" s="1269">
        <v>1503766745.6564732</v>
      </c>
      <c r="Y444"/>
      <c r="Z444"/>
      <c r="AA444"/>
      <c r="AB444"/>
    </row>
    <row r="445" spans="1:28" s="205" customFormat="1">
      <c r="A445" s="1207"/>
      <c r="B445" s="1205" t="s">
        <v>22</v>
      </c>
      <c r="C445" s="1339">
        <v>695502411</v>
      </c>
      <c r="D445" s="1340"/>
      <c r="E445" s="1340">
        <v>199881398</v>
      </c>
      <c r="F445" s="1340">
        <v>42355789</v>
      </c>
      <c r="G445" s="1340">
        <v>177639267</v>
      </c>
      <c r="H445" s="1340">
        <v>108374954</v>
      </c>
      <c r="I445" s="1352">
        <v>1223753819</v>
      </c>
      <c r="J445" s="1266"/>
      <c r="K445" s="1340">
        <v>168163836</v>
      </c>
      <c r="L445" s="1367">
        <v>157092894</v>
      </c>
      <c r="M445" s="1340">
        <v>35444729</v>
      </c>
      <c r="N445" s="1268"/>
      <c r="O445" s="1352">
        <v>360701459</v>
      </c>
      <c r="P445" s="1264"/>
      <c r="Q445" s="1268"/>
      <c r="R445" s="1268"/>
      <c r="S445" s="1264"/>
      <c r="T445" s="1264"/>
      <c r="U445" s="1264"/>
      <c r="V445" s="1266"/>
      <c r="W445" s="1264"/>
      <c r="X445" s="1269">
        <v>1584455278</v>
      </c>
      <c r="Y445"/>
      <c r="Z445"/>
      <c r="AA445"/>
      <c r="AB445"/>
    </row>
    <row r="446" spans="1:28" s="204" customFormat="1" ht="13.5" thickBot="1">
      <c r="A446" s="1207"/>
      <c r="B446" s="1205" t="s">
        <v>375</v>
      </c>
      <c r="C446" s="1339">
        <v>9.9243487923183924</v>
      </c>
      <c r="D446" s="1340">
        <v>0</v>
      </c>
      <c r="E446" s="1340">
        <v>7.3022067824311216</v>
      </c>
      <c r="F446" s="1340">
        <v>11.599317669372226</v>
      </c>
      <c r="G446" s="1340">
        <v>6.8678365534520873</v>
      </c>
      <c r="H446" s="1340">
        <v>3.3706456295287386</v>
      </c>
      <c r="I446" s="1352">
        <v>8.4881516886811763</v>
      </c>
      <c r="J446" s="1266">
        <v>0</v>
      </c>
      <c r="K446" s="1340">
        <v>-1.3905040822848858</v>
      </c>
      <c r="L446" s="1338">
        <v>-7.4399323831967106</v>
      </c>
      <c r="M446" s="1340">
        <v>-0.16914903160236006</v>
      </c>
      <c r="N446" s="1268">
        <v>0</v>
      </c>
      <c r="O446" s="1366">
        <v>-4.0074538349708044</v>
      </c>
      <c r="P446" s="1264">
        <v>0</v>
      </c>
      <c r="Q446" s="1268">
        <v>0</v>
      </c>
      <c r="R446" s="1268">
        <v>0</v>
      </c>
      <c r="S446" s="1264">
        <v>0</v>
      </c>
      <c r="T446" s="1264">
        <v>0</v>
      </c>
      <c r="U446" s="1264">
        <v>0</v>
      </c>
      <c r="V446" s="1266">
        <v>0</v>
      </c>
      <c r="W446" s="1264">
        <v>0</v>
      </c>
      <c r="X446" s="1269">
        <v>5.3657611844782522</v>
      </c>
      <c r="Y446"/>
      <c r="Z446"/>
      <c r="AA446"/>
      <c r="AB446"/>
    </row>
    <row r="447" spans="1:28">
      <c r="A447" s="1207"/>
      <c r="B447" s="1205" t="s">
        <v>324</v>
      </c>
      <c r="C447" s="1264">
        <v>40984221</v>
      </c>
      <c r="D447" s="1268"/>
      <c r="E447" s="1262">
        <v>12120063</v>
      </c>
      <c r="F447" s="1268">
        <v>681467</v>
      </c>
      <c r="G447" s="1268">
        <v>8942913</v>
      </c>
      <c r="H447" s="1262">
        <v>5839595</v>
      </c>
      <c r="I447" s="1352">
        <v>68568259</v>
      </c>
      <c r="J447" s="1266"/>
      <c r="K447" s="1278">
        <v>10541231</v>
      </c>
      <c r="L447" s="1276">
        <v>6562878</v>
      </c>
      <c r="M447" s="1277">
        <v>274676</v>
      </c>
      <c r="N447" s="1268"/>
      <c r="O447" s="1352">
        <v>17378785</v>
      </c>
      <c r="P447" s="1264"/>
      <c r="Q447" s="1268"/>
      <c r="R447" s="1268"/>
      <c r="S447" s="1264"/>
      <c r="T447" s="1264"/>
      <c r="U447" s="1264"/>
      <c r="V447" s="1266"/>
      <c r="W447" s="1264"/>
      <c r="X447" s="1269">
        <v>85947044</v>
      </c>
      <c r="Y447"/>
      <c r="Z447"/>
      <c r="AA447"/>
      <c r="AB447"/>
    </row>
    <row r="448" spans="1:28" s="205" customFormat="1">
      <c r="A448" s="1207"/>
      <c r="B448" s="1205" t="s">
        <v>226</v>
      </c>
      <c r="C448" s="1264">
        <v>41972852</v>
      </c>
      <c r="D448" s="1268"/>
      <c r="E448" s="1267">
        <v>12127898</v>
      </c>
      <c r="F448" s="1268">
        <v>686640</v>
      </c>
      <c r="G448" s="1268">
        <v>9955403</v>
      </c>
      <c r="H448" s="1267">
        <v>5968736</v>
      </c>
      <c r="I448" s="1352">
        <v>70711529</v>
      </c>
      <c r="J448" s="1266"/>
      <c r="K448" s="1280">
        <v>9911267</v>
      </c>
      <c r="L448" s="1265">
        <v>6389110</v>
      </c>
      <c r="M448" s="1279">
        <v>253834</v>
      </c>
      <c r="N448" s="1268"/>
      <c r="O448" s="1352">
        <v>16554211</v>
      </c>
      <c r="P448" s="1264"/>
      <c r="Q448" s="1268"/>
      <c r="R448" s="1268"/>
      <c r="S448" s="1264"/>
      <c r="T448" s="1264"/>
      <c r="U448" s="1264"/>
      <c r="V448" s="1266"/>
      <c r="W448" s="1264"/>
      <c r="X448" s="1269">
        <v>87265740</v>
      </c>
      <c r="Y448"/>
      <c r="Z448"/>
      <c r="AA448"/>
      <c r="AB448"/>
    </row>
    <row r="449" spans="1:28" s="204" customFormat="1" ht="13.5" thickBot="1">
      <c r="A449" s="1207"/>
      <c r="B449" s="1205" t="s">
        <v>236</v>
      </c>
      <c r="C449" s="1264">
        <v>2.4122234749807738</v>
      </c>
      <c r="D449" s="1268">
        <v>0</v>
      </c>
      <c r="E449" s="1281">
        <v>6.4644878496093627E-2</v>
      </c>
      <c r="F449" s="1268">
        <v>0.75909765256424744</v>
      </c>
      <c r="G449" s="1268">
        <v>11.321702447513466</v>
      </c>
      <c r="H449" s="1281">
        <v>2.2114718572092755</v>
      </c>
      <c r="I449" s="1352">
        <v>3.1257465644563034</v>
      </c>
      <c r="J449" s="1266">
        <v>0</v>
      </c>
      <c r="K449" s="1284">
        <v>-5.9761900673649979</v>
      </c>
      <c r="L449" s="1282">
        <v>-2.647740823461902</v>
      </c>
      <c r="M449" s="1283">
        <v>-7.5878489565888536</v>
      </c>
      <c r="N449" s="1268">
        <v>0</v>
      </c>
      <c r="O449" s="1352">
        <v>-4.7447160431526134</v>
      </c>
      <c r="P449" s="1264">
        <v>0</v>
      </c>
      <c r="Q449" s="1268">
        <v>0</v>
      </c>
      <c r="R449" s="1268">
        <v>0</v>
      </c>
      <c r="S449" s="1264">
        <v>0</v>
      </c>
      <c r="T449" s="1264">
        <v>0</v>
      </c>
      <c r="U449" s="1264">
        <v>0</v>
      </c>
      <c r="V449" s="1266">
        <v>0</v>
      </c>
      <c r="W449" s="1264">
        <v>0</v>
      </c>
      <c r="X449" s="1269">
        <v>1.5343122213720346</v>
      </c>
      <c r="Y449"/>
      <c r="Z449"/>
      <c r="AA449"/>
      <c r="AB449"/>
    </row>
    <row r="450" spans="1:28">
      <c r="A450" s="1207"/>
      <c r="B450" s="1205" t="s">
        <v>449</v>
      </c>
      <c r="C450" s="1264">
        <v>673694279</v>
      </c>
      <c r="D450" s="1268"/>
      <c r="E450" s="1268">
        <v>198398988.65647319</v>
      </c>
      <c r="F450" s="1268">
        <v>38634915</v>
      </c>
      <c r="G450" s="1268">
        <v>175166234</v>
      </c>
      <c r="H450" s="1268">
        <v>110680726</v>
      </c>
      <c r="I450" s="1352">
        <v>1196575142.6564732</v>
      </c>
      <c r="J450" s="1266"/>
      <c r="K450" s="1268">
        <v>181076365</v>
      </c>
      <c r="L450" s="1268">
        <v>176282821</v>
      </c>
      <c r="M450" s="1268">
        <v>35779461</v>
      </c>
      <c r="N450" s="1268"/>
      <c r="O450" s="1352">
        <v>393138647</v>
      </c>
      <c r="P450" s="1264"/>
      <c r="Q450" s="1268"/>
      <c r="R450" s="1268"/>
      <c r="S450" s="1264"/>
      <c r="T450" s="1264">
        <v>0</v>
      </c>
      <c r="U450" s="1264">
        <v>0</v>
      </c>
      <c r="V450" s="1266">
        <v>0</v>
      </c>
      <c r="W450" s="1264">
        <v>0</v>
      </c>
      <c r="X450" s="1269">
        <v>1589713789.6564732</v>
      </c>
      <c r="Y450"/>
      <c r="Z450"/>
      <c r="AA450"/>
      <c r="AB450"/>
    </row>
    <row r="451" spans="1:28" s="205" customFormat="1">
      <c r="A451" s="1207"/>
      <c r="B451" s="1205" t="s">
        <v>109</v>
      </c>
      <c r="C451" s="1264">
        <v>737475263</v>
      </c>
      <c r="D451" s="1268"/>
      <c r="E451" s="1268">
        <v>212009296</v>
      </c>
      <c r="F451" s="1268">
        <v>43042429</v>
      </c>
      <c r="G451" s="1268">
        <v>187594670</v>
      </c>
      <c r="H451" s="1268">
        <v>114343690</v>
      </c>
      <c r="I451" s="1352">
        <v>1294465348</v>
      </c>
      <c r="J451" s="1266"/>
      <c r="K451" s="1268">
        <v>178075103</v>
      </c>
      <c r="L451" s="1268">
        <v>163482004</v>
      </c>
      <c r="M451" s="1268">
        <v>35698563</v>
      </c>
      <c r="N451" s="1268"/>
      <c r="O451" s="1352">
        <v>377255670</v>
      </c>
      <c r="P451" s="1264"/>
      <c r="Q451" s="1268"/>
      <c r="R451" s="1268"/>
      <c r="S451" s="1264"/>
      <c r="T451" s="1264">
        <v>0</v>
      </c>
      <c r="U451" s="1264">
        <v>0</v>
      </c>
      <c r="V451" s="1266">
        <v>0</v>
      </c>
      <c r="W451" s="1264">
        <v>0</v>
      </c>
      <c r="X451" s="1269">
        <v>1671721018</v>
      </c>
      <c r="Y451"/>
      <c r="Z451"/>
      <c r="AA451"/>
      <c r="AB451"/>
    </row>
    <row r="452" spans="1:28" s="204" customFormat="1">
      <c r="A452" s="1207"/>
      <c r="B452" s="1205" t="s">
        <v>83</v>
      </c>
      <c r="C452" s="1264">
        <v>9.4673483192811858</v>
      </c>
      <c r="D452" s="1268">
        <v>0</v>
      </c>
      <c r="E452" s="1268">
        <v>6.8600689124948042</v>
      </c>
      <c r="F452" s="1268">
        <v>11.40811103117478</v>
      </c>
      <c r="G452" s="1268">
        <v>7.0952236148434862</v>
      </c>
      <c r="H452" s="1268">
        <v>3.3094867845373548</v>
      </c>
      <c r="I452" s="1352">
        <v>8.180865693583133</v>
      </c>
      <c r="J452" s="1266">
        <v>0</v>
      </c>
      <c r="K452" s="1268">
        <v>-1.6574565101304082</v>
      </c>
      <c r="L452" s="1268">
        <v>-7.2615226641965309</v>
      </c>
      <c r="M452" s="1268">
        <v>-0.22610178504365955</v>
      </c>
      <c r="N452" s="1268">
        <v>0</v>
      </c>
      <c r="O452" s="1352">
        <v>-4.0400446817430291</v>
      </c>
      <c r="P452" s="1264">
        <v>0</v>
      </c>
      <c r="Q452" s="1268">
        <v>0</v>
      </c>
      <c r="R452" s="1268">
        <v>0</v>
      </c>
      <c r="S452" s="1264">
        <v>0</v>
      </c>
      <c r="T452" s="1264">
        <v>0</v>
      </c>
      <c r="U452" s="1264">
        <v>0</v>
      </c>
      <c r="V452" s="1266">
        <v>0</v>
      </c>
      <c r="W452" s="1264">
        <v>0</v>
      </c>
      <c r="X452" s="1269">
        <v>5.1586159016239064</v>
      </c>
      <c r="Y452"/>
      <c r="Z452"/>
      <c r="AA452"/>
      <c r="AB452"/>
    </row>
    <row r="453" spans="1:28">
      <c r="A453" s="1207"/>
      <c r="B453" s="1205" t="s">
        <v>111</v>
      </c>
      <c r="C453" s="1264"/>
      <c r="D453" s="1268"/>
      <c r="E453" s="1268"/>
      <c r="F453" s="1268"/>
      <c r="G453" s="1268"/>
      <c r="H453" s="1268"/>
      <c r="I453" s="1352"/>
      <c r="J453" s="1266"/>
      <c r="K453" s="1268"/>
      <c r="L453" s="1268"/>
      <c r="M453" s="1268"/>
      <c r="N453" s="1268"/>
      <c r="O453" s="1352"/>
      <c r="P453" s="1264"/>
      <c r="Q453" s="1268"/>
      <c r="R453" s="1268"/>
      <c r="S453" s="1264"/>
      <c r="T453" s="1264"/>
      <c r="U453" s="1264"/>
      <c r="V453" s="1266">
        <v>331915217</v>
      </c>
      <c r="W453" s="1264">
        <v>331915217</v>
      </c>
      <c r="X453" s="1269">
        <v>331915217</v>
      </c>
      <c r="Y453"/>
      <c r="Z453"/>
      <c r="AA453"/>
      <c r="AB453"/>
    </row>
    <row r="454" spans="1:28" s="205" customFormat="1">
      <c r="A454" s="1207"/>
      <c r="B454" s="1205" t="s">
        <v>113</v>
      </c>
      <c r="C454" s="1264"/>
      <c r="D454" s="1268"/>
      <c r="E454" s="1268"/>
      <c r="F454" s="1268"/>
      <c r="G454" s="1268"/>
      <c r="H454" s="1268"/>
      <c r="I454" s="1352"/>
      <c r="J454" s="1266"/>
      <c r="K454" s="1268"/>
      <c r="L454" s="1268"/>
      <c r="M454" s="1268"/>
      <c r="N454" s="1268"/>
      <c r="O454" s="1352"/>
      <c r="P454" s="1264"/>
      <c r="Q454" s="1268"/>
      <c r="R454" s="1268"/>
      <c r="S454" s="1264"/>
      <c r="T454" s="1264"/>
      <c r="U454" s="1264"/>
      <c r="V454" s="1266">
        <v>351259321</v>
      </c>
      <c r="W454" s="1264">
        <v>351259321</v>
      </c>
      <c r="X454" s="1269">
        <v>351259321</v>
      </c>
      <c r="Y454"/>
      <c r="Z454"/>
      <c r="AA454"/>
      <c r="AB454"/>
    </row>
    <row r="455" spans="1:28" s="204" customFormat="1">
      <c r="A455" s="1207"/>
      <c r="B455" s="1205" t="s">
        <v>115</v>
      </c>
      <c r="C455" s="1264">
        <v>0</v>
      </c>
      <c r="D455" s="1268">
        <v>0</v>
      </c>
      <c r="E455" s="1268">
        <v>0</v>
      </c>
      <c r="F455" s="1268">
        <v>0</v>
      </c>
      <c r="G455" s="1268">
        <v>0</v>
      </c>
      <c r="H455" s="1268">
        <v>0</v>
      </c>
      <c r="I455" s="1352">
        <v>0</v>
      </c>
      <c r="J455" s="1266">
        <v>0</v>
      </c>
      <c r="K455" s="1268">
        <v>0</v>
      </c>
      <c r="L455" s="1268">
        <v>0</v>
      </c>
      <c r="M455" s="1268">
        <v>0</v>
      </c>
      <c r="N455" s="1268">
        <v>0</v>
      </c>
      <c r="O455" s="1352">
        <v>0</v>
      </c>
      <c r="P455" s="1264">
        <v>0</v>
      </c>
      <c r="Q455" s="1268">
        <v>0</v>
      </c>
      <c r="R455" s="1268">
        <v>0</v>
      </c>
      <c r="S455" s="1264">
        <v>0</v>
      </c>
      <c r="T455" s="1264">
        <v>0</v>
      </c>
      <c r="U455" s="1264">
        <v>0</v>
      </c>
      <c r="V455" s="1266">
        <v>5.8280256551178251</v>
      </c>
      <c r="W455" s="1264">
        <v>5.8280256551178251</v>
      </c>
      <c r="X455" s="1269">
        <v>5.8280256551178251</v>
      </c>
      <c r="Y455"/>
      <c r="Z455"/>
      <c r="AA455"/>
      <c r="AB455"/>
    </row>
    <row r="456" spans="1:28">
      <c r="A456" s="1207"/>
      <c r="B456" s="1205" t="s">
        <v>339</v>
      </c>
      <c r="C456" s="1264"/>
      <c r="D456" s="1268"/>
      <c r="E456" s="1268"/>
      <c r="F456" s="1268"/>
      <c r="G456" s="1268"/>
      <c r="H456" s="1268"/>
      <c r="I456" s="1352"/>
      <c r="J456" s="1266"/>
      <c r="K456" s="1268"/>
      <c r="L456" s="1268"/>
      <c r="M456" s="1268"/>
      <c r="N456" s="1268"/>
      <c r="O456" s="1352"/>
      <c r="P456" s="1264"/>
      <c r="Q456" s="1268"/>
      <c r="R456" s="1268"/>
      <c r="S456" s="1264"/>
      <c r="T456" s="1264"/>
      <c r="U456" s="1264"/>
      <c r="V456" s="1266"/>
      <c r="W456" s="1264"/>
      <c r="X456" s="1269"/>
      <c r="Y456"/>
      <c r="Z456"/>
      <c r="AA456"/>
      <c r="AB456"/>
    </row>
    <row r="457" spans="1:28" s="205" customFormat="1">
      <c r="A457" s="1207"/>
      <c r="B457" s="1205" t="s">
        <v>223</v>
      </c>
      <c r="C457" s="1264"/>
      <c r="D457" s="1268"/>
      <c r="E457" s="1268"/>
      <c r="F457" s="1268"/>
      <c r="G457" s="1268"/>
      <c r="H457" s="1268"/>
      <c r="I457" s="1352"/>
      <c r="J457" s="1266"/>
      <c r="K457" s="1268"/>
      <c r="L457" s="1268"/>
      <c r="M457" s="1268"/>
      <c r="N457" s="1268"/>
      <c r="O457" s="1352"/>
      <c r="P457" s="1264"/>
      <c r="Q457" s="1268"/>
      <c r="R457" s="1268"/>
      <c r="S457" s="1264"/>
      <c r="T457" s="1264"/>
      <c r="U457" s="1264"/>
      <c r="V457" s="1266"/>
      <c r="W457" s="1264"/>
      <c r="X457" s="1269"/>
      <c r="Y457"/>
      <c r="Z457"/>
      <c r="AA457"/>
      <c r="AB457"/>
    </row>
    <row r="458" spans="1:28" s="204" customFormat="1">
      <c r="A458" s="1207"/>
      <c r="B458" s="1205" t="s">
        <v>85</v>
      </c>
      <c r="C458" s="1264">
        <v>0</v>
      </c>
      <c r="D458" s="1268">
        <v>0</v>
      </c>
      <c r="E458" s="1268">
        <v>0</v>
      </c>
      <c r="F458" s="1268">
        <v>0</v>
      </c>
      <c r="G458" s="1268">
        <v>0</v>
      </c>
      <c r="H458" s="1268">
        <v>0</v>
      </c>
      <c r="I458" s="1352">
        <v>0</v>
      </c>
      <c r="J458" s="1266">
        <v>0</v>
      </c>
      <c r="K458" s="1268">
        <v>0</v>
      </c>
      <c r="L458" s="1268">
        <v>0</v>
      </c>
      <c r="M458" s="1268">
        <v>0</v>
      </c>
      <c r="N458" s="1268">
        <v>0</v>
      </c>
      <c r="O458" s="1352">
        <v>0</v>
      </c>
      <c r="P458" s="1264">
        <v>0</v>
      </c>
      <c r="Q458" s="1268">
        <v>0</v>
      </c>
      <c r="R458" s="1268">
        <v>0</v>
      </c>
      <c r="S458" s="1264">
        <v>0</v>
      </c>
      <c r="T458" s="1264">
        <v>0</v>
      </c>
      <c r="U458" s="1264">
        <v>0</v>
      </c>
      <c r="V458" s="1266">
        <v>0</v>
      </c>
      <c r="W458" s="1264">
        <v>0</v>
      </c>
      <c r="X458" s="1269">
        <v>0</v>
      </c>
      <c r="Y458"/>
      <c r="Z458"/>
      <c r="AA458"/>
      <c r="AB458"/>
    </row>
    <row r="459" spans="1:28">
      <c r="A459" s="1207"/>
      <c r="B459" s="1205" t="s">
        <v>219</v>
      </c>
      <c r="C459" s="1264"/>
      <c r="D459" s="1268"/>
      <c r="E459" s="1268"/>
      <c r="F459" s="1268"/>
      <c r="G459" s="1268"/>
      <c r="H459" s="1268"/>
      <c r="I459" s="1352"/>
      <c r="J459" s="1266"/>
      <c r="K459" s="1268"/>
      <c r="L459" s="1268"/>
      <c r="M459" s="1268"/>
      <c r="N459" s="1268"/>
      <c r="O459" s="1352"/>
      <c r="P459" s="1264"/>
      <c r="Q459" s="1268"/>
      <c r="R459" s="1268"/>
      <c r="S459" s="1264"/>
      <c r="T459" s="1264"/>
      <c r="U459" s="1264"/>
      <c r="V459" s="1266"/>
      <c r="W459" s="1264"/>
      <c r="X459" s="1269"/>
      <c r="Y459"/>
      <c r="Z459"/>
      <c r="AA459"/>
      <c r="AB459"/>
    </row>
    <row r="460" spans="1:28" s="205" customFormat="1">
      <c r="A460" s="1207"/>
      <c r="B460" s="1205" t="s">
        <v>141</v>
      </c>
      <c r="C460" s="1264"/>
      <c r="D460" s="1268"/>
      <c r="E460" s="1268"/>
      <c r="F460" s="1268"/>
      <c r="G460" s="1268"/>
      <c r="H460" s="1268"/>
      <c r="I460" s="1352"/>
      <c r="J460" s="1266"/>
      <c r="K460" s="1268"/>
      <c r="L460" s="1268"/>
      <c r="M460" s="1268"/>
      <c r="N460" s="1268"/>
      <c r="O460" s="1352"/>
      <c r="P460" s="1264"/>
      <c r="Q460" s="1268"/>
      <c r="R460" s="1268"/>
      <c r="S460" s="1264"/>
      <c r="T460" s="1264"/>
      <c r="U460" s="1264"/>
      <c r="V460" s="1266"/>
      <c r="W460" s="1264"/>
      <c r="X460" s="1269"/>
      <c r="Y460"/>
      <c r="Z460"/>
      <c r="AA460"/>
      <c r="AB460"/>
    </row>
    <row r="461" spans="1:28" s="204" customFormat="1">
      <c r="A461" s="1207"/>
      <c r="B461" s="1205" t="s">
        <v>169</v>
      </c>
      <c r="C461" s="1264">
        <v>0</v>
      </c>
      <c r="D461" s="1268">
        <v>0</v>
      </c>
      <c r="E461" s="1268">
        <v>0</v>
      </c>
      <c r="F461" s="1268">
        <v>0</v>
      </c>
      <c r="G461" s="1268">
        <v>0</v>
      </c>
      <c r="H461" s="1268">
        <v>0</v>
      </c>
      <c r="I461" s="1352">
        <v>0</v>
      </c>
      <c r="J461" s="1266">
        <v>0</v>
      </c>
      <c r="K461" s="1268">
        <v>0</v>
      </c>
      <c r="L461" s="1268">
        <v>0</v>
      </c>
      <c r="M461" s="1268">
        <v>0</v>
      </c>
      <c r="N461" s="1268">
        <v>0</v>
      </c>
      <c r="O461" s="1352">
        <v>0</v>
      </c>
      <c r="P461" s="1264">
        <v>0</v>
      </c>
      <c r="Q461" s="1268">
        <v>0</v>
      </c>
      <c r="R461" s="1268">
        <v>0</v>
      </c>
      <c r="S461" s="1264">
        <v>0</v>
      </c>
      <c r="T461" s="1264">
        <v>0</v>
      </c>
      <c r="U461" s="1264">
        <v>0</v>
      </c>
      <c r="V461" s="1266">
        <v>0</v>
      </c>
      <c r="W461" s="1264">
        <v>0</v>
      </c>
      <c r="X461" s="1269">
        <v>0</v>
      </c>
      <c r="Y461"/>
      <c r="Z461"/>
      <c r="AA461"/>
      <c r="AB461"/>
    </row>
    <row r="462" spans="1:28">
      <c r="A462" s="1207"/>
      <c r="B462" s="1205" t="s">
        <v>221</v>
      </c>
      <c r="C462" s="1264">
        <v>0</v>
      </c>
      <c r="D462" s="1268"/>
      <c r="E462" s="1268">
        <v>0</v>
      </c>
      <c r="F462" s="1268">
        <v>0</v>
      </c>
      <c r="G462" s="1268">
        <v>0</v>
      </c>
      <c r="H462" s="1268">
        <v>0</v>
      </c>
      <c r="I462" s="1352">
        <v>0</v>
      </c>
      <c r="J462" s="1266"/>
      <c r="K462" s="1268">
        <v>0</v>
      </c>
      <c r="L462" s="1268">
        <v>0</v>
      </c>
      <c r="M462" s="1268">
        <v>0</v>
      </c>
      <c r="N462" s="1268"/>
      <c r="O462" s="1352">
        <v>0</v>
      </c>
      <c r="P462" s="1264"/>
      <c r="Q462" s="1268"/>
      <c r="R462" s="1268"/>
      <c r="S462" s="1264"/>
      <c r="T462" s="1264">
        <v>0</v>
      </c>
      <c r="U462" s="1264">
        <v>0</v>
      </c>
      <c r="V462" s="1266">
        <v>0</v>
      </c>
      <c r="W462" s="1264">
        <v>0</v>
      </c>
      <c r="X462" s="1269">
        <v>0</v>
      </c>
      <c r="Y462"/>
      <c r="Z462"/>
      <c r="AA462"/>
      <c r="AB462"/>
    </row>
    <row r="463" spans="1:28" s="205" customFormat="1">
      <c r="A463" s="1207"/>
      <c r="B463" s="1205" t="s">
        <v>143</v>
      </c>
      <c r="C463" s="1264">
        <v>0</v>
      </c>
      <c r="D463" s="1268"/>
      <c r="E463" s="1268">
        <v>0</v>
      </c>
      <c r="F463" s="1268">
        <v>0</v>
      </c>
      <c r="G463" s="1268">
        <v>0</v>
      </c>
      <c r="H463" s="1268">
        <v>0</v>
      </c>
      <c r="I463" s="1352">
        <v>0</v>
      </c>
      <c r="J463" s="1266"/>
      <c r="K463" s="1268">
        <v>0</v>
      </c>
      <c r="L463" s="1268">
        <v>0</v>
      </c>
      <c r="M463" s="1268">
        <v>0</v>
      </c>
      <c r="N463" s="1268"/>
      <c r="O463" s="1352">
        <v>0</v>
      </c>
      <c r="P463" s="1264"/>
      <c r="Q463" s="1268"/>
      <c r="R463" s="1268"/>
      <c r="S463" s="1264"/>
      <c r="T463" s="1264">
        <v>0</v>
      </c>
      <c r="U463" s="1264">
        <v>0</v>
      </c>
      <c r="V463" s="1266">
        <v>0</v>
      </c>
      <c r="W463" s="1264">
        <v>0</v>
      </c>
      <c r="X463" s="1269">
        <v>0</v>
      </c>
      <c r="Y463"/>
      <c r="Z463"/>
      <c r="AA463"/>
      <c r="AB463"/>
    </row>
    <row r="464" spans="1:28" s="204" customFormat="1">
      <c r="A464" s="1207"/>
      <c r="B464" s="1205" t="s">
        <v>245</v>
      </c>
      <c r="C464" s="1264">
        <v>0</v>
      </c>
      <c r="D464" s="1268">
        <v>0</v>
      </c>
      <c r="E464" s="1268">
        <v>0</v>
      </c>
      <c r="F464" s="1268">
        <v>0</v>
      </c>
      <c r="G464" s="1268">
        <v>0</v>
      </c>
      <c r="H464" s="1268">
        <v>0</v>
      </c>
      <c r="I464" s="1352">
        <v>0</v>
      </c>
      <c r="J464" s="1266">
        <v>0</v>
      </c>
      <c r="K464" s="1268">
        <v>0</v>
      </c>
      <c r="L464" s="1268">
        <v>0</v>
      </c>
      <c r="M464" s="1268">
        <v>0</v>
      </c>
      <c r="N464" s="1268">
        <v>0</v>
      </c>
      <c r="O464" s="1352">
        <v>0</v>
      </c>
      <c r="P464" s="1264">
        <v>0</v>
      </c>
      <c r="Q464" s="1268">
        <v>0</v>
      </c>
      <c r="R464" s="1268">
        <v>0</v>
      </c>
      <c r="S464" s="1264">
        <v>0</v>
      </c>
      <c r="T464" s="1264">
        <v>0</v>
      </c>
      <c r="U464" s="1264">
        <v>0</v>
      </c>
      <c r="V464" s="1266">
        <v>0</v>
      </c>
      <c r="W464" s="1264">
        <v>0</v>
      </c>
      <c r="X464" s="1269">
        <v>0</v>
      </c>
      <c r="Y464"/>
      <c r="Z464"/>
      <c r="AA464"/>
      <c r="AB464"/>
    </row>
    <row r="465" spans="1:28">
      <c r="A465" s="1207"/>
      <c r="B465" s="1205" t="s">
        <v>117</v>
      </c>
      <c r="C465" s="1264">
        <v>19685737</v>
      </c>
      <c r="D465" s="1268"/>
      <c r="E465" s="1268"/>
      <c r="F465" s="1268"/>
      <c r="G465" s="1268"/>
      <c r="H465" s="1268"/>
      <c r="I465" s="1352">
        <v>19685737</v>
      </c>
      <c r="J465" s="1266"/>
      <c r="K465" s="1268"/>
      <c r="L465" s="1268"/>
      <c r="M465" s="1268"/>
      <c r="N465" s="1268"/>
      <c r="O465" s="1352"/>
      <c r="P465" s="1264"/>
      <c r="Q465" s="1268"/>
      <c r="R465" s="1268"/>
      <c r="S465" s="1264"/>
      <c r="T465" s="1264">
        <v>87581748</v>
      </c>
      <c r="U465" s="1264">
        <v>87581748</v>
      </c>
      <c r="V465" s="1266"/>
      <c r="W465" s="1264"/>
      <c r="X465" s="1269">
        <v>107267485</v>
      </c>
      <c r="Y465"/>
      <c r="Z465"/>
      <c r="AA465"/>
      <c r="AB465"/>
    </row>
    <row r="466" spans="1:28" s="205" customFormat="1">
      <c r="A466" s="1207"/>
      <c r="B466" s="1205" t="s">
        <v>119</v>
      </c>
      <c r="C466" s="1264">
        <v>16671729</v>
      </c>
      <c r="D466" s="1268"/>
      <c r="E466" s="1268"/>
      <c r="F466" s="1268"/>
      <c r="G466" s="1268"/>
      <c r="H466" s="1268"/>
      <c r="I466" s="1352">
        <v>16671729</v>
      </c>
      <c r="J466" s="1266"/>
      <c r="K466" s="1268"/>
      <c r="L466" s="1268"/>
      <c r="M466" s="1268"/>
      <c r="N466" s="1268"/>
      <c r="O466" s="1352"/>
      <c r="P466" s="1264"/>
      <c r="Q466" s="1268"/>
      <c r="R466" s="1268"/>
      <c r="S466" s="1264"/>
      <c r="T466" s="1264">
        <v>62805482</v>
      </c>
      <c r="U466" s="1264">
        <v>62805482</v>
      </c>
      <c r="V466" s="1266"/>
      <c r="W466" s="1264"/>
      <c r="X466" s="1269">
        <v>79477211</v>
      </c>
      <c r="Y466"/>
      <c r="Z466"/>
      <c r="AA466"/>
      <c r="AB466"/>
    </row>
    <row r="467" spans="1:28" s="204" customFormat="1">
      <c r="A467" s="1207"/>
      <c r="B467" s="1205" t="s">
        <v>301</v>
      </c>
      <c r="C467" s="1264">
        <v>-15.310618037820985</v>
      </c>
      <c r="D467" s="1268">
        <v>0</v>
      </c>
      <c r="E467" s="1268">
        <v>0</v>
      </c>
      <c r="F467" s="1268">
        <v>0</v>
      </c>
      <c r="G467" s="1268">
        <v>0</v>
      </c>
      <c r="H467" s="1268">
        <v>0</v>
      </c>
      <c r="I467" s="1352">
        <v>-15.310618037820985</v>
      </c>
      <c r="J467" s="1266">
        <v>0</v>
      </c>
      <c r="K467" s="1268">
        <v>0</v>
      </c>
      <c r="L467" s="1268">
        <v>0</v>
      </c>
      <c r="M467" s="1268">
        <v>0</v>
      </c>
      <c r="N467" s="1268">
        <v>0</v>
      </c>
      <c r="O467" s="1352">
        <v>0</v>
      </c>
      <c r="P467" s="1264">
        <v>0</v>
      </c>
      <c r="Q467" s="1268">
        <v>0</v>
      </c>
      <c r="R467" s="1268">
        <v>0</v>
      </c>
      <c r="S467" s="1264">
        <v>0</v>
      </c>
      <c r="T467" s="1264">
        <v>-28.289302926449928</v>
      </c>
      <c r="U467" s="1264">
        <v>-28.289302926449928</v>
      </c>
      <c r="V467" s="1266">
        <v>0</v>
      </c>
      <c r="W467" s="1264">
        <v>0</v>
      </c>
      <c r="X467" s="1269">
        <v>-25.907453689251685</v>
      </c>
      <c r="Y467"/>
      <c r="Z467"/>
      <c r="AA467"/>
      <c r="AB467"/>
    </row>
    <row r="468" spans="1:28">
      <c r="A468" s="1207"/>
      <c r="B468" s="1205" t="s">
        <v>120</v>
      </c>
      <c r="C468" s="1264">
        <v>11990303</v>
      </c>
      <c r="D468" s="1268"/>
      <c r="E468" s="1268"/>
      <c r="F468" s="1268"/>
      <c r="G468" s="1268"/>
      <c r="H468" s="1268"/>
      <c r="I468" s="1352">
        <v>11990303</v>
      </c>
      <c r="J468" s="1266"/>
      <c r="K468" s="1268"/>
      <c r="L468" s="1268"/>
      <c r="M468" s="1268"/>
      <c r="N468" s="1268"/>
      <c r="O468" s="1352"/>
      <c r="P468" s="1264"/>
      <c r="Q468" s="1268"/>
      <c r="R468" s="1268"/>
      <c r="S468" s="1264"/>
      <c r="T468" s="1339">
        <v>56151713</v>
      </c>
      <c r="U468" s="1264">
        <v>56151713</v>
      </c>
      <c r="V468" s="1266"/>
      <c r="W468" s="1264"/>
      <c r="X468" s="1269">
        <v>68142016</v>
      </c>
      <c r="Y468"/>
      <c r="Z468"/>
      <c r="AA468"/>
      <c r="AB468"/>
    </row>
    <row r="469" spans="1:28" s="205" customFormat="1">
      <c r="A469" s="1207"/>
      <c r="B469" s="1205" t="s">
        <v>450</v>
      </c>
      <c r="C469" s="1264">
        <v>12106904</v>
      </c>
      <c r="D469" s="1268"/>
      <c r="E469" s="1268"/>
      <c r="F469" s="1268"/>
      <c r="G469" s="1268"/>
      <c r="H469" s="1268"/>
      <c r="I469" s="1352">
        <v>12106904</v>
      </c>
      <c r="J469" s="1266"/>
      <c r="K469" s="1268"/>
      <c r="L469" s="1268"/>
      <c r="M469" s="1268"/>
      <c r="N469" s="1268"/>
      <c r="O469" s="1352"/>
      <c r="P469" s="1264"/>
      <c r="Q469" s="1268"/>
      <c r="R469" s="1268"/>
      <c r="S469" s="1264"/>
      <c r="T469" s="1339">
        <v>61971854</v>
      </c>
      <c r="U469" s="1264">
        <v>61971854</v>
      </c>
      <c r="V469" s="1266"/>
      <c r="W469" s="1264"/>
      <c r="X469" s="1269">
        <v>74078758</v>
      </c>
      <c r="Y469"/>
      <c r="Z469"/>
      <c r="AA469"/>
      <c r="AB469"/>
    </row>
    <row r="470" spans="1:28" s="204" customFormat="1">
      <c r="A470" s="1207"/>
      <c r="B470" s="1205" t="s">
        <v>335</v>
      </c>
      <c r="C470" s="1264">
        <v>0.9724608293885485</v>
      </c>
      <c r="D470" s="1268">
        <v>0</v>
      </c>
      <c r="E470" s="1268">
        <v>0</v>
      </c>
      <c r="F470" s="1268">
        <v>0</v>
      </c>
      <c r="G470" s="1268">
        <v>0</v>
      </c>
      <c r="H470" s="1268">
        <v>0</v>
      </c>
      <c r="I470" s="1352">
        <v>0.9724608293885485</v>
      </c>
      <c r="J470" s="1266">
        <v>0</v>
      </c>
      <c r="K470" s="1268">
        <v>0</v>
      </c>
      <c r="L470" s="1268">
        <v>0</v>
      </c>
      <c r="M470" s="1268">
        <v>0</v>
      </c>
      <c r="N470" s="1268">
        <v>0</v>
      </c>
      <c r="O470" s="1352">
        <v>0</v>
      </c>
      <c r="P470" s="1264">
        <v>0</v>
      </c>
      <c r="Q470" s="1268">
        <v>0</v>
      </c>
      <c r="R470" s="1268">
        <v>0</v>
      </c>
      <c r="S470" s="1264">
        <v>0</v>
      </c>
      <c r="T470" s="1339">
        <v>10.365028400825455</v>
      </c>
      <c r="U470" s="1264">
        <v>10.365028400825455</v>
      </c>
      <c r="V470" s="1266">
        <v>0</v>
      </c>
      <c r="W470" s="1264">
        <v>0</v>
      </c>
      <c r="X470" s="1269">
        <v>8.7123075431170101</v>
      </c>
      <c r="Y470"/>
      <c r="Z470"/>
      <c r="AA470"/>
      <c r="AB470"/>
    </row>
    <row r="471" spans="1:28">
      <c r="A471" s="1207"/>
      <c r="B471" s="1205" t="s">
        <v>35</v>
      </c>
      <c r="C471" s="1264">
        <v>858338390</v>
      </c>
      <c r="D471" s="1268"/>
      <c r="E471" s="1268">
        <v>228160489.65647319</v>
      </c>
      <c r="F471" s="1268">
        <v>49741650</v>
      </c>
      <c r="G471" s="1268">
        <v>216548455</v>
      </c>
      <c r="H471" s="1268">
        <v>134198685</v>
      </c>
      <c r="I471" s="1352">
        <v>1486987669.6564732</v>
      </c>
      <c r="J471" s="1266"/>
      <c r="K471" s="1268">
        <v>248968659</v>
      </c>
      <c r="L471" s="1268">
        <v>259844369</v>
      </c>
      <c r="M471" s="1268">
        <v>58158185</v>
      </c>
      <c r="N471" s="1268"/>
      <c r="O471" s="1352">
        <v>566971213</v>
      </c>
      <c r="P471" s="1264"/>
      <c r="Q471" s="1268"/>
      <c r="R471" s="1268"/>
      <c r="S471" s="1264"/>
      <c r="T471" s="1264">
        <v>0</v>
      </c>
      <c r="U471" s="1264">
        <v>0</v>
      </c>
      <c r="V471" s="1266">
        <v>5841282</v>
      </c>
      <c r="W471" s="1264">
        <v>5841282</v>
      </c>
      <c r="X471" s="1269">
        <v>2059800164.6564732</v>
      </c>
      <c r="Y471"/>
      <c r="Z471"/>
      <c r="AA471"/>
      <c r="AB471"/>
    </row>
    <row r="472" spans="1:28" s="205" customFormat="1">
      <c r="A472" s="1207"/>
      <c r="B472" s="1205" t="s">
        <v>37</v>
      </c>
      <c r="C472" s="1264">
        <v>870781829</v>
      </c>
      <c r="D472" s="1268"/>
      <c r="E472" s="1268">
        <v>232903873</v>
      </c>
      <c r="F472" s="1268">
        <v>51647098</v>
      </c>
      <c r="G472" s="1268">
        <v>216340339</v>
      </c>
      <c r="H472" s="1268">
        <v>131266507</v>
      </c>
      <c r="I472" s="1352">
        <v>1502939646</v>
      </c>
      <c r="J472" s="1266"/>
      <c r="K472" s="1268">
        <v>238621670</v>
      </c>
      <c r="L472" s="1268">
        <v>238282743</v>
      </c>
      <c r="M472" s="1268">
        <v>53961750</v>
      </c>
      <c r="N472" s="1268"/>
      <c r="O472" s="1352">
        <v>530866163</v>
      </c>
      <c r="P472" s="1264"/>
      <c r="Q472" s="1268"/>
      <c r="R472" s="1268"/>
      <c r="S472" s="1264"/>
      <c r="T472" s="1264">
        <v>0</v>
      </c>
      <c r="U472" s="1264">
        <v>0</v>
      </c>
      <c r="V472" s="1266">
        <v>4090057</v>
      </c>
      <c r="W472" s="1264">
        <v>4090057</v>
      </c>
      <c r="X472" s="1269">
        <v>2037895866</v>
      </c>
      <c r="Y472"/>
      <c r="Z472"/>
      <c r="AA472"/>
      <c r="AB472"/>
    </row>
    <row r="473" spans="1:28" s="214" customFormat="1">
      <c r="A473" s="1333"/>
      <c r="B473" s="1205" t="s">
        <v>39</v>
      </c>
      <c r="C473" s="1264">
        <v>1.4497125079072835</v>
      </c>
      <c r="D473" s="1268">
        <v>0</v>
      </c>
      <c r="E473" s="1268">
        <v>2.0789679013525184</v>
      </c>
      <c r="F473" s="1268">
        <v>3.8306891709462798</v>
      </c>
      <c r="G473" s="1268">
        <v>-9.6105973141207585E-2</v>
      </c>
      <c r="H473" s="1268">
        <v>-2.1849528555365501</v>
      </c>
      <c r="I473" s="1352">
        <v>1.0727712589043927</v>
      </c>
      <c r="J473" s="1266">
        <v>0</v>
      </c>
      <c r="K473" s="1268">
        <v>-4.1559403667752415</v>
      </c>
      <c r="L473" s="1268">
        <v>-8.2979000403122072</v>
      </c>
      <c r="M473" s="1268">
        <v>-7.2155535802914077</v>
      </c>
      <c r="N473" s="1268">
        <v>0</v>
      </c>
      <c r="O473" s="1352">
        <v>-6.368056996925521</v>
      </c>
      <c r="P473" s="1264">
        <v>0</v>
      </c>
      <c r="Q473" s="1268">
        <v>0</v>
      </c>
      <c r="R473" s="1268">
        <v>0</v>
      </c>
      <c r="S473" s="1264">
        <v>0</v>
      </c>
      <c r="T473" s="1264">
        <v>0</v>
      </c>
      <c r="U473" s="1264">
        <v>0</v>
      </c>
      <c r="V473" s="1266">
        <v>-29.980148193495882</v>
      </c>
      <c r="W473" s="1264">
        <v>-29.980148193495882</v>
      </c>
      <c r="X473" s="1269">
        <v>-1.0634186282884528</v>
      </c>
      <c r="Y473"/>
      <c r="Z473"/>
      <c r="AA473"/>
      <c r="AB473"/>
    </row>
    <row r="474" spans="1:28">
      <c r="A474" s="1206" t="s">
        <v>215</v>
      </c>
      <c r="B474" s="1204" t="s">
        <v>253</v>
      </c>
      <c r="C474" s="1259">
        <v>285410644</v>
      </c>
      <c r="D474" s="1260"/>
      <c r="E474" s="1260">
        <v>294396974.31</v>
      </c>
      <c r="F474" s="1260"/>
      <c r="G474" s="1260">
        <v>29114100</v>
      </c>
      <c r="H474" s="1260"/>
      <c r="I474" s="1355">
        <v>608921718.30999994</v>
      </c>
      <c r="J474" s="1261"/>
      <c r="K474" s="1260">
        <v>78111524</v>
      </c>
      <c r="L474" s="1260">
        <v>122362007.59999999</v>
      </c>
      <c r="M474" s="1260">
        <v>6977000</v>
      </c>
      <c r="N474" s="1260"/>
      <c r="O474" s="1355">
        <v>207450531.59999999</v>
      </c>
      <c r="P474" s="1259"/>
      <c r="Q474" s="1260">
        <v>49657300</v>
      </c>
      <c r="R474" s="1260"/>
      <c r="S474" s="1259">
        <v>49657300</v>
      </c>
      <c r="T474" s="1259"/>
      <c r="U474" s="1259"/>
      <c r="V474" s="1261"/>
      <c r="W474" s="1259"/>
      <c r="X474" s="1263">
        <v>866029549.90999997</v>
      </c>
      <c r="Y474"/>
      <c r="Z474"/>
      <c r="AA474"/>
      <c r="AB474"/>
    </row>
    <row r="475" spans="1:28" s="205" customFormat="1">
      <c r="A475" s="1207"/>
      <c r="B475" s="1205" t="s">
        <v>4</v>
      </c>
      <c r="C475" s="1264">
        <v>337827395.13881433</v>
      </c>
      <c r="D475" s="1268"/>
      <c r="E475" s="1268">
        <v>348987135.15269578</v>
      </c>
      <c r="F475" s="1268"/>
      <c r="G475" s="1268">
        <v>34093355.342817701</v>
      </c>
      <c r="H475" s="1268"/>
      <c r="I475" s="1352">
        <v>720907885.63432777</v>
      </c>
      <c r="J475" s="1266"/>
      <c r="K475" s="1268">
        <v>88466882</v>
      </c>
      <c r="L475" s="1268">
        <v>138892049</v>
      </c>
      <c r="M475" s="1268">
        <v>7857000</v>
      </c>
      <c r="N475" s="1268"/>
      <c r="O475" s="1352">
        <v>235215931</v>
      </c>
      <c r="P475" s="1264"/>
      <c r="Q475" s="1268">
        <v>54452800</v>
      </c>
      <c r="R475" s="1268"/>
      <c r="S475" s="1264">
        <v>54452800</v>
      </c>
      <c r="T475" s="1264"/>
      <c r="U475" s="1264"/>
      <c r="V475" s="1266"/>
      <c r="W475" s="1264"/>
      <c r="X475" s="1269">
        <v>1010576616.6343278</v>
      </c>
      <c r="Y475"/>
      <c r="Z475"/>
      <c r="AA475"/>
      <c r="AB475"/>
    </row>
    <row r="476" spans="1:28" s="204" customFormat="1">
      <c r="A476" s="1207"/>
      <c r="B476" s="1205" t="s">
        <v>175</v>
      </c>
      <c r="C476" s="1264">
        <v>18.365380633391627</v>
      </c>
      <c r="D476" s="1268">
        <v>0</v>
      </c>
      <c r="E476" s="1268">
        <v>18.543044122869393</v>
      </c>
      <c r="F476" s="1268">
        <v>0</v>
      </c>
      <c r="G476" s="1268">
        <v>17.10255629683796</v>
      </c>
      <c r="H476" s="1268">
        <v>0</v>
      </c>
      <c r="I476" s="1352">
        <v>18.390897213378103</v>
      </c>
      <c r="J476" s="1266">
        <v>0</v>
      </c>
      <c r="K476" s="1268">
        <v>13.257145002061414</v>
      </c>
      <c r="L476" s="1268">
        <v>13.509128956135244</v>
      </c>
      <c r="M476" s="1268">
        <v>12.612870861401749</v>
      </c>
      <c r="N476" s="1268">
        <v>0</v>
      </c>
      <c r="O476" s="1352">
        <v>13.384106170205643</v>
      </c>
      <c r="P476" s="1264">
        <v>0</v>
      </c>
      <c r="Q476" s="1268">
        <v>9.6571903828842878</v>
      </c>
      <c r="R476" s="1268">
        <v>0</v>
      </c>
      <c r="S476" s="1264">
        <v>9.6571903828842878</v>
      </c>
      <c r="T476" s="1264">
        <v>0</v>
      </c>
      <c r="U476" s="1264">
        <v>0</v>
      </c>
      <c r="V476" s="1266">
        <v>0</v>
      </c>
      <c r="W476" s="1264">
        <v>0</v>
      </c>
      <c r="X476" s="1269">
        <v>16.690777669116429</v>
      </c>
      <c r="Y476"/>
      <c r="Z476"/>
      <c r="AA476"/>
      <c r="AB476"/>
    </row>
    <row r="477" spans="1:28">
      <c r="A477" s="1207"/>
      <c r="B477" s="1205" t="s">
        <v>269</v>
      </c>
      <c r="C477" s="1264">
        <v>62332200</v>
      </c>
      <c r="D477" s="1268"/>
      <c r="E477" s="1268">
        <v>5319300</v>
      </c>
      <c r="F477" s="1268"/>
      <c r="G477" s="1268"/>
      <c r="H477" s="1268"/>
      <c r="I477" s="1352">
        <v>67651500</v>
      </c>
      <c r="J477" s="1266"/>
      <c r="K477" s="1268"/>
      <c r="L477" s="1268"/>
      <c r="M477" s="1268"/>
      <c r="N477" s="1268"/>
      <c r="O477" s="1352"/>
      <c r="P477" s="1264"/>
      <c r="Q477" s="1268"/>
      <c r="R477" s="1268"/>
      <c r="S477" s="1264"/>
      <c r="T477" s="1264"/>
      <c r="U477" s="1264"/>
      <c r="V477" s="1266">
        <v>370700</v>
      </c>
      <c r="W477" s="1264">
        <v>370700</v>
      </c>
      <c r="X477" s="1269">
        <v>68022200</v>
      </c>
      <c r="Y477"/>
      <c r="Z477"/>
      <c r="AA477"/>
      <c r="AB477"/>
    </row>
    <row r="478" spans="1:28" s="205" customFormat="1">
      <c r="A478" s="1207"/>
      <c r="B478" s="1205" t="s">
        <v>342</v>
      </c>
      <c r="C478" s="1264">
        <v>65227026</v>
      </c>
      <c r="D478" s="1268"/>
      <c r="E478" s="1268">
        <v>6134900</v>
      </c>
      <c r="F478" s="1268"/>
      <c r="G478" s="1268"/>
      <c r="H478" s="1268"/>
      <c r="I478" s="1352">
        <v>71361926</v>
      </c>
      <c r="J478" s="1266"/>
      <c r="K478" s="1268"/>
      <c r="L478" s="1268"/>
      <c r="M478" s="1268"/>
      <c r="N478" s="1268"/>
      <c r="O478" s="1352"/>
      <c r="P478" s="1264"/>
      <c r="Q478" s="1268"/>
      <c r="R478" s="1268"/>
      <c r="S478" s="1264"/>
      <c r="T478" s="1264"/>
      <c r="U478" s="1264"/>
      <c r="V478" s="1266">
        <v>356100</v>
      </c>
      <c r="W478" s="1264">
        <v>356100</v>
      </c>
      <c r="X478" s="1269">
        <v>71718026</v>
      </c>
      <c r="Y478"/>
      <c r="Z478"/>
      <c r="AA478"/>
      <c r="AB478"/>
    </row>
    <row r="479" spans="1:28" s="204" customFormat="1">
      <c r="A479" s="1207"/>
      <c r="B479" s="1205" t="s">
        <v>344</v>
      </c>
      <c r="C479" s="1264">
        <v>4.6441903221769811</v>
      </c>
      <c r="D479" s="1268">
        <v>0</v>
      </c>
      <c r="E479" s="1268">
        <v>15.332844547214858</v>
      </c>
      <c r="F479" s="1268">
        <v>0</v>
      </c>
      <c r="G479" s="1268">
        <v>0</v>
      </c>
      <c r="H479" s="1268">
        <v>0</v>
      </c>
      <c r="I479" s="1352">
        <v>5.4846174881562124</v>
      </c>
      <c r="J479" s="1266">
        <v>0</v>
      </c>
      <c r="K479" s="1268">
        <v>0</v>
      </c>
      <c r="L479" s="1268">
        <v>0</v>
      </c>
      <c r="M479" s="1268">
        <v>0</v>
      </c>
      <c r="N479" s="1268">
        <v>0</v>
      </c>
      <c r="O479" s="1352">
        <v>0</v>
      </c>
      <c r="P479" s="1264">
        <v>0</v>
      </c>
      <c r="Q479" s="1268">
        <v>0</v>
      </c>
      <c r="R479" s="1268">
        <v>0</v>
      </c>
      <c r="S479" s="1264">
        <v>0</v>
      </c>
      <c r="T479" s="1264">
        <v>0</v>
      </c>
      <c r="U479" s="1264">
        <v>0</v>
      </c>
      <c r="V479" s="1266">
        <v>-3.9384947396816834</v>
      </c>
      <c r="W479" s="1264">
        <v>-3.9384947396816834</v>
      </c>
      <c r="X479" s="1269">
        <v>5.433264434258227</v>
      </c>
      <c r="Y479"/>
      <c r="Z479"/>
      <c r="AA479"/>
      <c r="AB479"/>
    </row>
    <row r="480" spans="1:28">
      <c r="A480" s="1207"/>
      <c r="B480" s="1205" t="s">
        <v>5</v>
      </c>
      <c r="C480" s="1264"/>
      <c r="D480" s="1268"/>
      <c r="E480" s="1268"/>
      <c r="F480" s="1268"/>
      <c r="G480" s="1268"/>
      <c r="H480" s="1268"/>
      <c r="I480" s="1352"/>
      <c r="J480" s="1266"/>
      <c r="K480" s="1268"/>
      <c r="L480" s="1268"/>
      <c r="M480" s="1268"/>
      <c r="N480" s="1268"/>
      <c r="O480" s="1352"/>
      <c r="P480" s="1264"/>
      <c r="Q480" s="1268"/>
      <c r="R480" s="1268"/>
      <c r="S480" s="1264"/>
      <c r="T480" s="1264"/>
      <c r="U480" s="1264"/>
      <c r="V480" s="1266"/>
      <c r="W480" s="1264"/>
      <c r="X480" s="1269"/>
      <c r="Y480"/>
      <c r="Z480"/>
      <c r="AA480"/>
      <c r="AB480"/>
    </row>
    <row r="481" spans="1:28" s="205" customFormat="1">
      <c r="A481" s="1207"/>
      <c r="B481" s="1205" t="s">
        <v>6</v>
      </c>
      <c r="C481" s="1264"/>
      <c r="D481" s="1268"/>
      <c r="E481" s="1268"/>
      <c r="F481" s="1268"/>
      <c r="G481" s="1268"/>
      <c r="H481" s="1268"/>
      <c r="I481" s="1352"/>
      <c r="J481" s="1266"/>
      <c r="K481" s="1268"/>
      <c r="L481" s="1268"/>
      <c r="M481" s="1268"/>
      <c r="N481" s="1268"/>
      <c r="O481" s="1352"/>
      <c r="P481" s="1264"/>
      <c r="Q481" s="1268"/>
      <c r="R481" s="1268"/>
      <c r="S481" s="1264"/>
      <c r="T481" s="1264"/>
      <c r="U481" s="1264"/>
      <c r="V481" s="1266"/>
      <c r="W481" s="1264"/>
      <c r="X481" s="1269"/>
      <c r="Y481"/>
      <c r="Z481"/>
      <c r="AA481"/>
      <c r="AB481"/>
    </row>
    <row r="482" spans="1:28" s="204" customFormat="1" ht="13.5" thickBot="1">
      <c r="A482" s="1207"/>
      <c r="B482" s="1205" t="s">
        <v>426</v>
      </c>
      <c r="C482" s="1264">
        <v>0</v>
      </c>
      <c r="D482" s="1268">
        <v>0</v>
      </c>
      <c r="E482" s="1268">
        <v>0</v>
      </c>
      <c r="F482" s="1268">
        <v>0</v>
      </c>
      <c r="G482" s="1268">
        <v>0</v>
      </c>
      <c r="H482" s="1268">
        <v>0</v>
      </c>
      <c r="I482" s="1352">
        <v>0</v>
      </c>
      <c r="J482" s="1266">
        <v>0</v>
      </c>
      <c r="K482" s="1268">
        <v>0</v>
      </c>
      <c r="L482" s="1268">
        <v>0</v>
      </c>
      <c r="M482" s="1268">
        <v>0</v>
      </c>
      <c r="N482" s="1268">
        <v>0</v>
      </c>
      <c r="O482" s="1352">
        <v>0</v>
      </c>
      <c r="P482" s="1264">
        <v>0</v>
      </c>
      <c r="Q482" s="1268">
        <v>0</v>
      </c>
      <c r="R482" s="1268">
        <v>0</v>
      </c>
      <c r="S482" s="1264">
        <v>0</v>
      </c>
      <c r="T482" s="1264">
        <v>0</v>
      </c>
      <c r="U482" s="1264">
        <v>0</v>
      </c>
      <c r="V482" s="1266">
        <v>0</v>
      </c>
      <c r="W482" s="1264">
        <v>0</v>
      </c>
      <c r="X482" s="1269">
        <v>0</v>
      </c>
      <c r="Y482"/>
      <c r="Z482"/>
      <c r="AA482"/>
      <c r="AB482"/>
    </row>
    <row r="483" spans="1:28">
      <c r="A483" s="1207"/>
      <c r="B483" s="1205" t="s">
        <v>322</v>
      </c>
      <c r="C483" s="1264">
        <v>323963948</v>
      </c>
      <c r="D483" s="1262"/>
      <c r="E483" s="1268">
        <v>408070474</v>
      </c>
      <c r="F483" s="1268"/>
      <c r="G483" s="1268">
        <v>39342000</v>
      </c>
      <c r="H483" s="1268"/>
      <c r="I483" s="1352">
        <v>771376422</v>
      </c>
      <c r="J483" s="1266"/>
      <c r="K483" s="1268">
        <v>82475500</v>
      </c>
      <c r="L483" s="1268">
        <v>129282875</v>
      </c>
      <c r="M483" s="1268">
        <v>7223700</v>
      </c>
      <c r="N483" s="1268"/>
      <c r="O483" s="1352">
        <v>218982075</v>
      </c>
      <c r="P483" s="1264"/>
      <c r="Q483" s="1268">
        <v>22134578.604621667</v>
      </c>
      <c r="R483" s="1268"/>
      <c r="S483" s="1264">
        <v>22134578.604621667</v>
      </c>
      <c r="T483" s="1264"/>
      <c r="U483" s="1264"/>
      <c r="V483" s="1266"/>
      <c r="W483" s="1264"/>
      <c r="X483" s="1269">
        <v>1012493075.6046216</v>
      </c>
      <c r="Y483"/>
      <c r="Z483"/>
      <c r="AA483"/>
      <c r="AB483"/>
    </row>
    <row r="484" spans="1:28" s="205" customFormat="1">
      <c r="A484" s="1207"/>
      <c r="B484" s="1205" t="s">
        <v>22</v>
      </c>
      <c r="C484" s="1264">
        <v>350737648</v>
      </c>
      <c r="D484" s="1267"/>
      <c r="E484" s="1268">
        <v>453896880</v>
      </c>
      <c r="F484" s="1268"/>
      <c r="G484" s="1268">
        <v>43458000</v>
      </c>
      <c r="H484" s="1268"/>
      <c r="I484" s="1352">
        <v>848092528</v>
      </c>
      <c r="J484" s="1266"/>
      <c r="K484" s="1268">
        <v>93932600</v>
      </c>
      <c r="L484" s="1268">
        <v>149103920</v>
      </c>
      <c r="M484" s="1268">
        <v>8993400</v>
      </c>
      <c r="N484" s="1268"/>
      <c r="O484" s="1352">
        <v>252029920</v>
      </c>
      <c r="P484" s="1264"/>
      <c r="Q484" s="1268">
        <v>25112000</v>
      </c>
      <c r="R484" s="1268"/>
      <c r="S484" s="1264">
        <v>25112000</v>
      </c>
      <c r="T484" s="1264"/>
      <c r="U484" s="1264"/>
      <c r="V484" s="1266"/>
      <c r="W484" s="1264"/>
      <c r="X484" s="1269">
        <v>1125234448</v>
      </c>
      <c r="Y484"/>
      <c r="Z484"/>
      <c r="AA484"/>
      <c r="AB484"/>
    </row>
    <row r="485" spans="1:28" s="204" customFormat="1" ht="13.5" thickBot="1">
      <c r="A485" s="1207"/>
      <c r="B485" s="1205" t="s">
        <v>375</v>
      </c>
      <c r="C485" s="1264">
        <v>8.2644072481793565</v>
      </c>
      <c r="D485" s="1281">
        <v>0</v>
      </c>
      <c r="E485" s="1268">
        <v>11.230022488713555</v>
      </c>
      <c r="F485" s="1268">
        <v>0</v>
      </c>
      <c r="G485" s="1268">
        <v>10.462101570840323</v>
      </c>
      <c r="H485" s="1268">
        <v>0</v>
      </c>
      <c r="I485" s="1352">
        <v>9.9453527243019622</v>
      </c>
      <c r="J485" s="1266">
        <v>0</v>
      </c>
      <c r="K485" s="1268">
        <v>13.891519299670813</v>
      </c>
      <c r="L485" s="1268">
        <v>15.331531728390168</v>
      </c>
      <c r="M485" s="1268">
        <v>24.498525686282651</v>
      </c>
      <c r="N485" s="1268">
        <v>0</v>
      </c>
      <c r="O485" s="1352">
        <v>15.09157541775965</v>
      </c>
      <c r="P485" s="1264">
        <v>0</v>
      </c>
      <c r="Q485" s="1268">
        <v>13.451448290760101</v>
      </c>
      <c r="R485" s="1268">
        <v>0</v>
      </c>
      <c r="S485" s="1264">
        <v>13.451448290760101</v>
      </c>
      <c r="T485" s="1264">
        <v>0</v>
      </c>
      <c r="U485" s="1264">
        <v>0</v>
      </c>
      <c r="V485" s="1266">
        <v>0</v>
      </c>
      <c r="W485" s="1264">
        <v>0</v>
      </c>
      <c r="X485" s="1269">
        <v>11.13502651147054</v>
      </c>
      <c r="Y485"/>
      <c r="Z485"/>
      <c r="AA485"/>
      <c r="AB485"/>
    </row>
    <row r="486" spans="1:28">
      <c r="A486" s="1207"/>
      <c r="B486" s="1205" t="s">
        <v>324</v>
      </c>
      <c r="C486" s="1262">
        <v>5075100</v>
      </c>
      <c r="D486" s="1277"/>
      <c r="E486" s="1268">
        <v>17421900</v>
      </c>
      <c r="F486" s="1262"/>
      <c r="G486" s="1268">
        <v>1800000</v>
      </c>
      <c r="H486" s="1268"/>
      <c r="I486" s="1352">
        <v>24297000</v>
      </c>
      <c r="J486" s="1266"/>
      <c r="K486" s="1268">
        <v>275000</v>
      </c>
      <c r="L486" s="1268"/>
      <c r="M486" s="1268"/>
      <c r="N486" s="1268"/>
      <c r="O486" s="1352">
        <v>275000</v>
      </c>
      <c r="P486" s="1264"/>
      <c r="Q486" s="1268"/>
      <c r="R486" s="1268"/>
      <c r="S486" s="1264"/>
      <c r="T486" s="1264"/>
      <c r="U486" s="1264"/>
      <c r="V486" s="1266"/>
      <c r="W486" s="1264"/>
      <c r="X486" s="1269">
        <v>24572000</v>
      </c>
      <c r="Y486"/>
      <c r="Z486"/>
      <c r="AA486"/>
      <c r="AB486"/>
    </row>
    <row r="487" spans="1:28" s="205" customFormat="1">
      <c r="A487" s="1207"/>
      <c r="B487" s="1205" t="s">
        <v>226</v>
      </c>
      <c r="C487" s="1267">
        <v>5355260</v>
      </c>
      <c r="D487" s="1279"/>
      <c r="E487" s="1268">
        <v>18447300</v>
      </c>
      <c r="F487" s="1267"/>
      <c r="G487" s="1268">
        <v>2500000</v>
      </c>
      <c r="H487" s="1268"/>
      <c r="I487" s="1352">
        <v>26302560</v>
      </c>
      <c r="J487" s="1266"/>
      <c r="K487" s="1268">
        <v>310000</v>
      </c>
      <c r="L487" s="1268"/>
      <c r="M487" s="1268"/>
      <c r="N487" s="1268"/>
      <c r="O487" s="1352">
        <v>310000</v>
      </c>
      <c r="P487" s="1264"/>
      <c r="Q487" s="1268"/>
      <c r="R487" s="1268"/>
      <c r="S487" s="1264"/>
      <c r="T487" s="1264"/>
      <c r="U487" s="1264"/>
      <c r="V487" s="1266"/>
      <c r="W487" s="1264"/>
      <c r="X487" s="1269">
        <v>26612560</v>
      </c>
      <c r="Y487"/>
      <c r="Z487"/>
      <c r="AA487"/>
      <c r="AB487"/>
    </row>
    <row r="488" spans="1:28" s="204" customFormat="1" ht="13.5" thickBot="1">
      <c r="A488" s="1207"/>
      <c r="B488" s="1205" t="s">
        <v>236</v>
      </c>
      <c r="C488" s="1281">
        <v>5.5202853145750828</v>
      </c>
      <c r="D488" s="1283">
        <v>0</v>
      </c>
      <c r="E488" s="1268">
        <v>5.8856955900332339</v>
      </c>
      <c r="F488" s="1281">
        <v>0</v>
      </c>
      <c r="G488" s="1268">
        <v>38.888888888888893</v>
      </c>
      <c r="H488" s="1268">
        <v>0</v>
      </c>
      <c r="I488" s="1352">
        <v>8.2543523891838504</v>
      </c>
      <c r="J488" s="1266">
        <v>0</v>
      </c>
      <c r="K488" s="1268">
        <v>12.727272727272727</v>
      </c>
      <c r="L488" s="1268">
        <v>0</v>
      </c>
      <c r="M488" s="1268">
        <v>0</v>
      </c>
      <c r="N488" s="1268">
        <v>0</v>
      </c>
      <c r="O488" s="1352">
        <v>12.727272727272727</v>
      </c>
      <c r="P488" s="1264">
        <v>0</v>
      </c>
      <c r="Q488" s="1268">
        <v>0</v>
      </c>
      <c r="R488" s="1268">
        <v>0</v>
      </c>
      <c r="S488" s="1264">
        <v>0</v>
      </c>
      <c r="T488" s="1264">
        <v>0</v>
      </c>
      <c r="U488" s="1264">
        <v>0</v>
      </c>
      <c r="V488" s="1266">
        <v>0</v>
      </c>
      <c r="W488" s="1264">
        <v>0</v>
      </c>
      <c r="X488" s="1269">
        <v>8.3044115253133661</v>
      </c>
      <c r="Y488"/>
      <c r="Z488"/>
      <c r="AA488"/>
      <c r="AB488"/>
    </row>
    <row r="489" spans="1:28">
      <c r="A489" s="1207"/>
      <c r="B489" s="1205" t="s">
        <v>449</v>
      </c>
      <c r="C489" s="1264">
        <v>329039048</v>
      </c>
      <c r="D489" s="1268"/>
      <c r="E489" s="1268">
        <v>425492374</v>
      </c>
      <c r="F489" s="1268"/>
      <c r="G489" s="1268">
        <v>41142000</v>
      </c>
      <c r="H489" s="1268"/>
      <c r="I489" s="1352">
        <v>795673422</v>
      </c>
      <c r="J489" s="1266"/>
      <c r="K489" s="1268">
        <v>82750500</v>
      </c>
      <c r="L489" s="1268">
        <v>129282875</v>
      </c>
      <c r="M489" s="1268">
        <v>7223700</v>
      </c>
      <c r="N489" s="1268"/>
      <c r="O489" s="1352">
        <v>219257075</v>
      </c>
      <c r="P489" s="1264"/>
      <c r="Q489" s="1268">
        <v>22134578.604621667</v>
      </c>
      <c r="R489" s="1268"/>
      <c r="S489" s="1264">
        <v>22134578.604621667</v>
      </c>
      <c r="T489" s="1264">
        <v>0</v>
      </c>
      <c r="U489" s="1264">
        <v>0</v>
      </c>
      <c r="V489" s="1266">
        <v>0</v>
      </c>
      <c r="W489" s="1264">
        <v>0</v>
      </c>
      <c r="X489" s="1269">
        <v>1037065075.6046216</v>
      </c>
      <c r="Y489"/>
      <c r="Z489"/>
      <c r="AA489"/>
      <c r="AB489"/>
    </row>
    <row r="490" spans="1:28" s="205" customFormat="1">
      <c r="A490" s="1207"/>
      <c r="B490" s="1205" t="s">
        <v>109</v>
      </c>
      <c r="C490" s="1264">
        <v>356092908</v>
      </c>
      <c r="D490" s="1268"/>
      <c r="E490" s="1268">
        <v>472344180</v>
      </c>
      <c r="F490" s="1268"/>
      <c r="G490" s="1268">
        <v>45958000</v>
      </c>
      <c r="H490" s="1268"/>
      <c r="I490" s="1352">
        <v>874395088</v>
      </c>
      <c r="J490" s="1266"/>
      <c r="K490" s="1268">
        <v>94242600</v>
      </c>
      <c r="L490" s="1268">
        <v>149103920</v>
      </c>
      <c r="M490" s="1268">
        <v>8993400</v>
      </c>
      <c r="N490" s="1268"/>
      <c r="O490" s="1352">
        <v>252339920</v>
      </c>
      <c r="P490" s="1264"/>
      <c r="Q490" s="1268">
        <v>25112000</v>
      </c>
      <c r="R490" s="1268"/>
      <c r="S490" s="1264">
        <v>25112000</v>
      </c>
      <c r="T490" s="1264">
        <v>0</v>
      </c>
      <c r="U490" s="1264">
        <v>0</v>
      </c>
      <c r="V490" s="1266">
        <v>0</v>
      </c>
      <c r="W490" s="1264">
        <v>0</v>
      </c>
      <c r="X490" s="1269">
        <v>1151847008</v>
      </c>
      <c r="Y490"/>
      <c r="Z490"/>
      <c r="AA490"/>
      <c r="AB490"/>
    </row>
    <row r="491" spans="1:28" s="204" customFormat="1" ht="13.5" thickBot="1">
      <c r="A491" s="1207"/>
      <c r="B491" s="1205" t="s">
        <v>83</v>
      </c>
      <c r="C491" s="1264">
        <v>8.2220818971005531</v>
      </c>
      <c r="D491" s="1268">
        <v>0</v>
      </c>
      <c r="E491" s="1268">
        <v>11.011197582591691</v>
      </c>
      <c r="F491" s="1268">
        <v>0</v>
      </c>
      <c r="G491" s="1268">
        <v>11.705799426376938</v>
      </c>
      <c r="H491" s="1268">
        <v>0</v>
      </c>
      <c r="I491" s="1352">
        <v>9.8937156656716887</v>
      </c>
      <c r="J491" s="1266">
        <v>0</v>
      </c>
      <c r="K491" s="1268">
        <v>13.887650225678394</v>
      </c>
      <c r="L491" s="1268">
        <v>15.331531728390168</v>
      </c>
      <c r="M491" s="1268">
        <v>24.498525686282651</v>
      </c>
      <c r="N491" s="1268">
        <v>0</v>
      </c>
      <c r="O491" s="1352">
        <v>15.088610025468963</v>
      </c>
      <c r="P491" s="1264">
        <v>0</v>
      </c>
      <c r="Q491" s="1268">
        <v>13.451448290760101</v>
      </c>
      <c r="R491" s="1268">
        <v>0</v>
      </c>
      <c r="S491" s="1264">
        <v>13.451448290760101</v>
      </c>
      <c r="T491" s="1264">
        <v>0</v>
      </c>
      <c r="U491" s="1264">
        <v>0</v>
      </c>
      <c r="V491" s="1266">
        <v>0</v>
      </c>
      <c r="W491" s="1264">
        <v>0</v>
      </c>
      <c r="X491" s="1269">
        <v>11.067958520197859</v>
      </c>
      <c r="Y491"/>
      <c r="Z491"/>
      <c r="AA491"/>
      <c r="AB491"/>
    </row>
    <row r="492" spans="1:28">
      <c r="A492" s="1207"/>
      <c r="B492" s="1205" t="s">
        <v>111</v>
      </c>
      <c r="C492" s="1264"/>
      <c r="D492" s="1268"/>
      <c r="E492" s="1268"/>
      <c r="F492" s="1268"/>
      <c r="G492" s="1268"/>
      <c r="H492" s="1268"/>
      <c r="I492" s="1352"/>
      <c r="J492" s="1266"/>
      <c r="K492" s="1268"/>
      <c r="L492" s="1268"/>
      <c r="M492" s="1268"/>
      <c r="N492" s="1268"/>
      <c r="O492" s="1352"/>
      <c r="P492" s="1264"/>
      <c r="Q492" s="1268"/>
      <c r="R492" s="1268"/>
      <c r="S492" s="1264"/>
      <c r="T492" s="1264">
        <v>8832100</v>
      </c>
      <c r="U492" s="1264">
        <v>8832100</v>
      </c>
      <c r="V492" s="1288">
        <v>355126734</v>
      </c>
      <c r="W492" s="1262">
        <v>355126734</v>
      </c>
      <c r="X492" s="1269">
        <v>363958834</v>
      </c>
      <c r="Y492"/>
      <c r="Z492"/>
      <c r="AA492"/>
      <c r="AB492"/>
    </row>
    <row r="493" spans="1:28" s="205" customFormat="1">
      <c r="A493" s="1207"/>
      <c r="B493" s="1205" t="s">
        <v>113</v>
      </c>
      <c r="C493" s="1264"/>
      <c r="D493" s="1268"/>
      <c r="E493" s="1268"/>
      <c r="F493" s="1268"/>
      <c r="G493" s="1268"/>
      <c r="H493" s="1268"/>
      <c r="I493" s="1352"/>
      <c r="J493" s="1266"/>
      <c r="K493" s="1268"/>
      <c r="L493" s="1268"/>
      <c r="M493" s="1268"/>
      <c r="N493" s="1268"/>
      <c r="O493" s="1352"/>
      <c r="P493" s="1264"/>
      <c r="Q493" s="1268"/>
      <c r="R493" s="1268"/>
      <c r="S493" s="1264"/>
      <c r="T493" s="1264">
        <v>9382381.3677429259</v>
      </c>
      <c r="U493" s="1264">
        <v>9382381.3677429259</v>
      </c>
      <c r="V493" s="1289">
        <v>369904394</v>
      </c>
      <c r="W493" s="1267">
        <v>369904394</v>
      </c>
      <c r="X493" s="1269">
        <v>379286775.3677429</v>
      </c>
      <c r="Y493"/>
      <c r="Z493"/>
      <c r="AA493"/>
      <c r="AB493"/>
    </row>
    <row r="494" spans="1:28" s="204" customFormat="1" ht="13.5" thickBot="1">
      <c r="A494" s="1207"/>
      <c r="B494" s="1205" t="s">
        <v>115</v>
      </c>
      <c r="C494" s="1264">
        <v>0</v>
      </c>
      <c r="D494" s="1268">
        <v>0</v>
      </c>
      <c r="E494" s="1268">
        <v>0</v>
      </c>
      <c r="F494" s="1268">
        <v>0</v>
      </c>
      <c r="G494" s="1268">
        <v>0</v>
      </c>
      <c r="H494" s="1268">
        <v>0</v>
      </c>
      <c r="I494" s="1352">
        <v>0</v>
      </c>
      <c r="J494" s="1266">
        <v>0</v>
      </c>
      <c r="K494" s="1268">
        <v>0</v>
      </c>
      <c r="L494" s="1268">
        <v>0</v>
      </c>
      <c r="M494" s="1268">
        <v>0</v>
      </c>
      <c r="N494" s="1268">
        <v>0</v>
      </c>
      <c r="O494" s="1352">
        <v>0</v>
      </c>
      <c r="P494" s="1264">
        <v>0</v>
      </c>
      <c r="Q494" s="1268">
        <v>0</v>
      </c>
      <c r="R494" s="1268">
        <v>0</v>
      </c>
      <c r="S494" s="1264">
        <v>0</v>
      </c>
      <c r="T494" s="1264">
        <v>6.2304703042642844</v>
      </c>
      <c r="U494" s="1264">
        <v>6.2304703042642844</v>
      </c>
      <c r="V494" s="1290">
        <v>4.1612355773812286</v>
      </c>
      <c r="W494" s="1281">
        <v>4.1612355773812286</v>
      </c>
      <c r="X494" s="1269">
        <v>4.2114491903617033</v>
      </c>
      <c r="Y494"/>
      <c r="Z494"/>
      <c r="AA494"/>
      <c r="AB494"/>
    </row>
    <row r="495" spans="1:28">
      <c r="A495" s="1207"/>
      <c r="B495" s="1205" t="s">
        <v>339</v>
      </c>
      <c r="C495" s="1264"/>
      <c r="D495" s="1268"/>
      <c r="E495" s="1268"/>
      <c r="F495" s="1268"/>
      <c r="G495" s="1268"/>
      <c r="H495" s="1268"/>
      <c r="I495" s="1352"/>
      <c r="J495" s="1266"/>
      <c r="K495" s="1268"/>
      <c r="L495" s="1268"/>
      <c r="M495" s="1268"/>
      <c r="N495" s="1268"/>
      <c r="O495" s="1352"/>
      <c r="P495" s="1264"/>
      <c r="Q495" s="1268"/>
      <c r="R495" s="1268"/>
      <c r="S495" s="1264"/>
      <c r="T495" s="1264">
        <v>1618000</v>
      </c>
      <c r="U495" s="1264">
        <v>1618000</v>
      </c>
      <c r="V495" s="1266"/>
      <c r="W495" s="1264"/>
      <c r="X495" s="1269">
        <v>1618000</v>
      </c>
      <c r="Y495"/>
      <c r="Z495"/>
      <c r="AA495"/>
      <c r="AB495"/>
    </row>
    <row r="496" spans="1:28" s="205" customFormat="1">
      <c r="A496" s="1207"/>
      <c r="B496" s="1205" t="s">
        <v>223</v>
      </c>
      <c r="C496" s="1264"/>
      <c r="D496" s="1268"/>
      <c r="E496" s="1268"/>
      <c r="F496" s="1268"/>
      <c r="G496" s="1268"/>
      <c r="H496" s="1268"/>
      <c r="I496" s="1352"/>
      <c r="J496" s="1266"/>
      <c r="K496" s="1268"/>
      <c r="L496" s="1268"/>
      <c r="M496" s="1268"/>
      <c r="N496" s="1268"/>
      <c r="O496" s="1352"/>
      <c r="P496" s="1264"/>
      <c r="Q496" s="1268"/>
      <c r="R496" s="1268"/>
      <c r="S496" s="1264"/>
      <c r="T496" s="1264">
        <v>1499381</v>
      </c>
      <c r="U496" s="1264">
        <v>1499381</v>
      </c>
      <c r="V496" s="1266"/>
      <c r="W496" s="1264"/>
      <c r="X496" s="1269">
        <v>1499381</v>
      </c>
      <c r="Y496"/>
      <c r="Z496"/>
      <c r="AA496"/>
      <c r="AB496"/>
    </row>
    <row r="497" spans="1:28" s="204" customFormat="1" ht="13.5" thickBot="1">
      <c r="A497" s="1207"/>
      <c r="B497" s="1205" t="s">
        <v>85</v>
      </c>
      <c r="C497" s="1264">
        <v>0</v>
      </c>
      <c r="D497" s="1268">
        <v>0</v>
      </c>
      <c r="E497" s="1268">
        <v>0</v>
      </c>
      <c r="F497" s="1268">
        <v>0</v>
      </c>
      <c r="G497" s="1268">
        <v>0</v>
      </c>
      <c r="H497" s="1268">
        <v>0</v>
      </c>
      <c r="I497" s="1352">
        <v>0</v>
      </c>
      <c r="J497" s="1266">
        <v>0</v>
      </c>
      <c r="K497" s="1268">
        <v>0</v>
      </c>
      <c r="L497" s="1268">
        <v>0</v>
      </c>
      <c r="M497" s="1268">
        <v>0</v>
      </c>
      <c r="N497" s="1268">
        <v>0</v>
      </c>
      <c r="O497" s="1352">
        <v>0</v>
      </c>
      <c r="P497" s="1264">
        <v>0</v>
      </c>
      <c r="Q497" s="1268">
        <v>0</v>
      </c>
      <c r="R497" s="1268">
        <v>0</v>
      </c>
      <c r="S497" s="1264">
        <v>0</v>
      </c>
      <c r="T497" s="1264">
        <v>-7.3312113720642769</v>
      </c>
      <c r="U497" s="1264">
        <v>-7.3312113720642769</v>
      </c>
      <c r="V497" s="1266">
        <v>0</v>
      </c>
      <c r="W497" s="1264">
        <v>0</v>
      </c>
      <c r="X497" s="1269">
        <v>-7.3312113720642769</v>
      </c>
      <c r="Y497"/>
      <c r="Z497"/>
      <c r="AA497"/>
      <c r="AB497"/>
    </row>
    <row r="498" spans="1:28">
      <c r="A498" s="1207"/>
      <c r="B498" s="1205" t="s">
        <v>219</v>
      </c>
      <c r="C498" s="1264"/>
      <c r="D498" s="1268"/>
      <c r="E498" s="1268"/>
      <c r="F498" s="1268"/>
      <c r="G498" s="1268"/>
      <c r="H498" s="1268"/>
      <c r="I498" s="1352"/>
      <c r="J498" s="1266"/>
      <c r="K498" s="1268"/>
      <c r="L498" s="1268"/>
      <c r="M498" s="1268"/>
      <c r="N498" s="1268"/>
      <c r="O498" s="1352"/>
      <c r="P498" s="1264"/>
      <c r="Q498" s="1268"/>
      <c r="R498" s="1268"/>
      <c r="S498" s="1264"/>
      <c r="T498" s="1264">
        <v>124200</v>
      </c>
      <c r="U498" s="1262">
        <v>124200</v>
      </c>
      <c r="V498" s="1266"/>
      <c r="W498" s="1264"/>
      <c r="X498" s="1269">
        <v>124200</v>
      </c>
      <c r="Y498"/>
      <c r="Z498"/>
      <c r="AA498"/>
      <c r="AB498"/>
    </row>
    <row r="499" spans="1:28" s="205" customFormat="1">
      <c r="A499" s="1207"/>
      <c r="B499" s="1205" t="s">
        <v>141</v>
      </c>
      <c r="C499" s="1264"/>
      <c r="D499" s="1268"/>
      <c r="E499" s="1268"/>
      <c r="F499" s="1268"/>
      <c r="G499" s="1268"/>
      <c r="H499" s="1268"/>
      <c r="I499" s="1352"/>
      <c r="J499" s="1266"/>
      <c r="K499" s="1268"/>
      <c r="L499" s="1268"/>
      <c r="M499" s="1268"/>
      <c r="N499" s="1268"/>
      <c r="O499" s="1352"/>
      <c r="P499" s="1264"/>
      <c r="Q499" s="1268"/>
      <c r="R499" s="1268"/>
      <c r="S499" s="1264"/>
      <c r="T499" s="1264">
        <v>126105</v>
      </c>
      <c r="U499" s="1267">
        <v>126105</v>
      </c>
      <c r="V499" s="1266"/>
      <c r="W499" s="1264"/>
      <c r="X499" s="1269">
        <v>126105</v>
      </c>
      <c r="Y499"/>
      <c r="Z499"/>
      <c r="AA499"/>
      <c r="AB499"/>
    </row>
    <row r="500" spans="1:28" s="204" customFormat="1" ht="13.5" thickBot="1">
      <c r="A500" s="1207"/>
      <c r="B500" s="1205" t="s">
        <v>169</v>
      </c>
      <c r="C500" s="1264">
        <v>0</v>
      </c>
      <c r="D500" s="1268">
        <v>0</v>
      </c>
      <c r="E500" s="1268">
        <v>0</v>
      </c>
      <c r="F500" s="1268">
        <v>0</v>
      </c>
      <c r="G500" s="1268">
        <v>0</v>
      </c>
      <c r="H500" s="1268">
        <v>0</v>
      </c>
      <c r="I500" s="1352">
        <v>0</v>
      </c>
      <c r="J500" s="1266">
        <v>0</v>
      </c>
      <c r="K500" s="1268">
        <v>0</v>
      </c>
      <c r="L500" s="1268">
        <v>0</v>
      </c>
      <c r="M500" s="1268">
        <v>0</v>
      </c>
      <c r="N500" s="1268">
        <v>0</v>
      </c>
      <c r="O500" s="1352">
        <v>0</v>
      </c>
      <c r="P500" s="1264">
        <v>0</v>
      </c>
      <c r="Q500" s="1268">
        <v>0</v>
      </c>
      <c r="R500" s="1268">
        <v>0</v>
      </c>
      <c r="S500" s="1264">
        <v>0</v>
      </c>
      <c r="T500" s="1264">
        <v>1.5338164251207729</v>
      </c>
      <c r="U500" s="1281">
        <v>1.5338164251207729</v>
      </c>
      <c r="V500" s="1266">
        <v>0</v>
      </c>
      <c r="W500" s="1264">
        <v>0</v>
      </c>
      <c r="X500" s="1269">
        <v>1.5338164251207729</v>
      </c>
      <c r="Y500"/>
      <c r="Z500"/>
      <c r="AA500"/>
      <c r="AB500"/>
    </row>
    <row r="501" spans="1:28">
      <c r="A501" s="1207"/>
      <c r="B501" s="1205" t="s">
        <v>221</v>
      </c>
      <c r="C501" s="1264">
        <v>0</v>
      </c>
      <c r="D501" s="1268"/>
      <c r="E501" s="1268">
        <v>0</v>
      </c>
      <c r="F501" s="1268"/>
      <c r="G501" s="1268">
        <v>0</v>
      </c>
      <c r="H501" s="1268"/>
      <c r="I501" s="1352">
        <v>0</v>
      </c>
      <c r="J501" s="1266"/>
      <c r="K501" s="1268">
        <v>0</v>
      </c>
      <c r="L501" s="1268">
        <v>0</v>
      </c>
      <c r="M501" s="1268">
        <v>0</v>
      </c>
      <c r="N501" s="1268"/>
      <c r="O501" s="1352">
        <v>0</v>
      </c>
      <c r="P501" s="1264"/>
      <c r="Q501" s="1268">
        <v>0</v>
      </c>
      <c r="R501" s="1268"/>
      <c r="S501" s="1264">
        <v>0</v>
      </c>
      <c r="T501" s="1264">
        <v>1742200</v>
      </c>
      <c r="U501" s="1264">
        <v>1742200</v>
      </c>
      <c r="V501" s="1266">
        <v>0</v>
      </c>
      <c r="W501" s="1264">
        <v>0</v>
      </c>
      <c r="X501" s="1269">
        <v>1742200</v>
      </c>
      <c r="Y501"/>
      <c r="Z501"/>
      <c r="AA501"/>
      <c r="AB501"/>
    </row>
    <row r="502" spans="1:28" s="205" customFormat="1">
      <c r="A502" s="1207"/>
      <c r="B502" s="1205" t="s">
        <v>143</v>
      </c>
      <c r="C502" s="1264">
        <v>0</v>
      </c>
      <c r="D502" s="1268"/>
      <c r="E502" s="1268">
        <v>0</v>
      </c>
      <c r="F502" s="1268"/>
      <c r="G502" s="1268">
        <v>0</v>
      </c>
      <c r="H502" s="1268"/>
      <c r="I502" s="1352">
        <v>0</v>
      </c>
      <c r="J502" s="1266"/>
      <c r="K502" s="1268">
        <v>0</v>
      </c>
      <c r="L502" s="1268">
        <v>0</v>
      </c>
      <c r="M502" s="1268">
        <v>0</v>
      </c>
      <c r="N502" s="1268"/>
      <c r="O502" s="1352">
        <v>0</v>
      </c>
      <c r="P502" s="1264"/>
      <c r="Q502" s="1268">
        <v>0</v>
      </c>
      <c r="R502" s="1268"/>
      <c r="S502" s="1264">
        <v>0</v>
      </c>
      <c r="T502" s="1264">
        <v>1625486</v>
      </c>
      <c r="U502" s="1264">
        <v>1625486</v>
      </c>
      <c r="V502" s="1266">
        <v>0</v>
      </c>
      <c r="W502" s="1264">
        <v>0</v>
      </c>
      <c r="X502" s="1269">
        <v>1625486</v>
      </c>
      <c r="Y502"/>
      <c r="Z502"/>
      <c r="AA502"/>
      <c r="AB502"/>
    </row>
    <row r="503" spans="1:28" s="204" customFormat="1" ht="13.5" thickBot="1">
      <c r="A503" s="1207"/>
      <c r="B503" s="1205" t="s">
        <v>245</v>
      </c>
      <c r="C503" s="1264">
        <v>0</v>
      </c>
      <c r="D503" s="1268">
        <v>0</v>
      </c>
      <c r="E503" s="1268">
        <v>0</v>
      </c>
      <c r="F503" s="1268">
        <v>0</v>
      </c>
      <c r="G503" s="1268">
        <v>0</v>
      </c>
      <c r="H503" s="1268">
        <v>0</v>
      </c>
      <c r="I503" s="1352">
        <v>0</v>
      </c>
      <c r="J503" s="1266">
        <v>0</v>
      </c>
      <c r="K503" s="1268">
        <v>0</v>
      </c>
      <c r="L503" s="1268">
        <v>0</v>
      </c>
      <c r="M503" s="1268">
        <v>0</v>
      </c>
      <c r="N503" s="1268">
        <v>0</v>
      </c>
      <c r="O503" s="1352">
        <v>0</v>
      </c>
      <c r="P503" s="1264">
        <v>0</v>
      </c>
      <c r="Q503" s="1268">
        <v>0</v>
      </c>
      <c r="R503" s="1268">
        <v>0</v>
      </c>
      <c r="S503" s="1264">
        <v>0</v>
      </c>
      <c r="T503" s="1264">
        <v>-6.6992308575364481</v>
      </c>
      <c r="U503" s="1264">
        <v>-6.6992308575364481</v>
      </c>
      <c r="V503" s="1266">
        <v>0</v>
      </c>
      <c r="W503" s="1264">
        <v>0</v>
      </c>
      <c r="X503" s="1269">
        <v>-6.6992308575364481</v>
      </c>
      <c r="Y503"/>
      <c r="Z503"/>
      <c r="AA503"/>
      <c r="AB503"/>
    </row>
    <row r="504" spans="1:28">
      <c r="A504" s="1207"/>
      <c r="B504" s="1205" t="s">
        <v>117</v>
      </c>
      <c r="C504" s="1264"/>
      <c r="D504" s="1268"/>
      <c r="E504" s="1262">
        <v>32847900</v>
      </c>
      <c r="F504" s="1268"/>
      <c r="G504" s="1268"/>
      <c r="H504" s="1268"/>
      <c r="I504" s="1352">
        <v>32847900</v>
      </c>
      <c r="J504" s="1266"/>
      <c r="K504" s="1268"/>
      <c r="L504" s="1268"/>
      <c r="M504" s="1268"/>
      <c r="N504" s="1268"/>
      <c r="O504" s="1352"/>
      <c r="P504" s="1264"/>
      <c r="Q504" s="1268"/>
      <c r="R504" s="1268"/>
      <c r="S504" s="1264"/>
      <c r="T504" s="1264">
        <v>141478100</v>
      </c>
      <c r="U504" s="1264">
        <v>141478100</v>
      </c>
      <c r="V504" s="1266"/>
      <c r="W504" s="1264"/>
      <c r="X504" s="1269">
        <v>174326000</v>
      </c>
      <c r="Y504"/>
      <c r="Z504"/>
      <c r="AA504"/>
      <c r="AB504"/>
    </row>
    <row r="505" spans="1:28" s="205" customFormat="1">
      <c r="A505" s="1207"/>
      <c r="B505" s="1205" t="s">
        <v>119</v>
      </c>
      <c r="C505" s="1264"/>
      <c r="D505" s="1268"/>
      <c r="E505" s="1267">
        <v>35148900</v>
      </c>
      <c r="F505" s="1268"/>
      <c r="G505" s="1268"/>
      <c r="H505" s="1268"/>
      <c r="I505" s="1352">
        <v>35148900</v>
      </c>
      <c r="J505" s="1266"/>
      <c r="K505" s="1268"/>
      <c r="L505" s="1268"/>
      <c r="M505" s="1268"/>
      <c r="N505" s="1268"/>
      <c r="O505" s="1352"/>
      <c r="P505" s="1264"/>
      <c r="Q505" s="1268"/>
      <c r="R505" s="1268"/>
      <c r="S505" s="1264"/>
      <c r="T505" s="1264">
        <v>153627480.70450187</v>
      </c>
      <c r="U505" s="1264">
        <v>153627480.70450187</v>
      </c>
      <c r="V505" s="1266"/>
      <c r="W505" s="1264"/>
      <c r="X505" s="1269">
        <v>188776380.70450187</v>
      </c>
      <c r="Y505"/>
      <c r="Z505"/>
      <c r="AA505"/>
      <c r="AB505"/>
    </row>
    <row r="506" spans="1:28" s="204" customFormat="1" ht="13.5" thickBot="1">
      <c r="A506" s="1207"/>
      <c r="B506" s="1205" t="s">
        <v>301</v>
      </c>
      <c r="C506" s="1264">
        <v>0</v>
      </c>
      <c r="D506" s="1268">
        <v>0</v>
      </c>
      <c r="E506" s="1281">
        <v>7.0050140191610417</v>
      </c>
      <c r="F506" s="1268">
        <v>0</v>
      </c>
      <c r="G506" s="1268">
        <v>0</v>
      </c>
      <c r="H506" s="1268">
        <v>0</v>
      </c>
      <c r="I506" s="1352">
        <v>7.0050140191610417</v>
      </c>
      <c r="J506" s="1266">
        <v>0</v>
      </c>
      <c r="K506" s="1268">
        <v>0</v>
      </c>
      <c r="L506" s="1268">
        <v>0</v>
      </c>
      <c r="M506" s="1268">
        <v>0</v>
      </c>
      <c r="N506" s="1268">
        <v>0</v>
      </c>
      <c r="O506" s="1352">
        <v>0</v>
      </c>
      <c r="P506" s="1264">
        <v>0</v>
      </c>
      <c r="Q506" s="1268">
        <v>0</v>
      </c>
      <c r="R506" s="1268">
        <v>0</v>
      </c>
      <c r="S506" s="1264">
        <v>0</v>
      </c>
      <c r="T506" s="1264">
        <v>8.5874638580118532</v>
      </c>
      <c r="U506" s="1264">
        <v>8.5874638580118532</v>
      </c>
      <c r="V506" s="1266">
        <v>0</v>
      </c>
      <c r="W506" s="1264">
        <v>0</v>
      </c>
      <c r="X506" s="1269">
        <v>8.2892859954922784</v>
      </c>
      <c r="Y506"/>
      <c r="Z506"/>
      <c r="AA506"/>
      <c r="AB506"/>
    </row>
    <row r="507" spans="1:28">
      <c r="A507" s="1207"/>
      <c r="B507" s="1205" t="s">
        <v>120</v>
      </c>
      <c r="C507" s="1264"/>
      <c r="D507" s="1268"/>
      <c r="E507" s="1267">
        <v>6722300</v>
      </c>
      <c r="F507" s="1268"/>
      <c r="G507" s="1268"/>
      <c r="H507" s="1268"/>
      <c r="I507" s="1352">
        <v>6722300</v>
      </c>
      <c r="J507" s="1266"/>
      <c r="K507" s="1268"/>
      <c r="L507" s="1268"/>
      <c r="M507" s="1268"/>
      <c r="N507" s="1268"/>
      <c r="O507" s="1352"/>
      <c r="P507" s="1264"/>
      <c r="Q507" s="1268"/>
      <c r="R507" s="1268"/>
      <c r="S507" s="1264"/>
      <c r="T507" s="1264">
        <v>57143195</v>
      </c>
      <c r="U507" s="1264">
        <v>57143195</v>
      </c>
      <c r="V507" s="1266"/>
      <c r="W507" s="1264"/>
      <c r="X507" s="1269">
        <v>63865495</v>
      </c>
      <c r="Y507"/>
      <c r="Z507"/>
      <c r="AA507"/>
      <c r="AB507"/>
    </row>
    <row r="508" spans="1:28" s="205" customFormat="1">
      <c r="A508" s="1207"/>
      <c r="B508" s="1205" t="s">
        <v>450</v>
      </c>
      <c r="C508" s="1264"/>
      <c r="D508" s="1268"/>
      <c r="E508" s="1267">
        <v>7530100</v>
      </c>
      <c r="F508" s="1268"/>
      <c r="G508" s="1268"/>
      <c r="H508" s="1268"/>
      <c r="I508" s="1352">
        <v>7530100</v>
      </c>
      <c r="J508" s="1266"/>
      <c r="K508" s="1268"/>
      <c r="L508" s="1268"/>
      <c r="M508" s="1268"/>
      <c r="N508" s="1268"/>
      <c r="O508" s="1352"/>
      <c r="P508" s="1264"/>
      <c r="Q508" s="1268"/>
      <c r="R508" s="1268"/>
      <c r="S508" s="1264"/>
      <c r="T508" s="1264">
        <v>63340054</v>
      </c>
      <c r="U508" s="1264">
        <v>63340054</v>
      </c>
      <c r="V508" s="1266"/>
      <c r="W508" s="1264"/>
      <c r="X508" s="1269">
        <v>70870154</v>
      </c>
      <c r="Y508"/>
      <c r="Z508"/>
      <c r="AA508"/>
      <c r="AB508"/>
    </row>
    <row r="509" spans="1:28" s="204" customFormat="1" ht="13.5" thickBot="1">
      <c r="A509" s="1207"/>
      <c r="B509" s="1205" t="s">
        <v>335</v>
      </c>
      <c r="C509" s="1264">
        <v>0</v>
      </c>
      <c r="D509" s="1268">
        <v>0</v>
      </c>
      <c r="E509" s="1281">
        <v>12.016720467697068</v>
      </c>
      <c r="F509" s="1268">
        <v>0</v>
      </c>
      <c r="G509" s="1268">
        <v>0</v>
      </c>
      <c r="H509" s="1268">
        <v>0</v>
      </c>
      <c r="I509" s="1352">
        <v>12.016720467697068</v>
      </c>
      <c r="J509" s="1266">
        <v>0</v>
      </c>
      <c r="K509" s="1268">
        <v>0</v>
      </c>
      <c r="L509" s="1268">
        <v>0</v>
      </c>
      <c r="M509" s="1268">
        <v>0</v>
      </c>
      <c r="N509" s="1268">
        <v>0</v>
      </c>
      <c r="O509" s="1352">
        <v>0</v>
      </c>
      <c r="P509" s="1264">
        <v>0</v>
      </c>
      <c r="Q509" s="1268">
        <v>0</v>
      </c>
      <c r="R509" s="1268">
        <v>0</v>
      </c>
      <c r="S509" s="1264">
        <v>0</v>
      </c>
      <c r="T509" s="1264">
        <v>10.84443913225363</v>
      </c>
      <c r="U509" s="1264">
        <v>10.84443913225363</v>
      </c>
      <c r="V509" s="1266">
        <v>0</v>
      </c>
      <c r="W509" s="1264">
        <v>0</v>
      </c>
      <c r="X509" s="1269">
        <v>10.967830124858502</v>
      </c>
      <c r="Y509"/>
      <c r="Z509"/>
      <c r="AA509"/>
      <c r="AB509"/>
    </row>
    <row r="510" spans="1:28">
      <c r="A510" s="1207"/>
      <c r="B510" s="1205" t="s">
        <v>35</v>
      </c>
      <c r="C510" s="1264">
        <v>671706792</v>
      </c>
      <c r="D510" s="1268"/>
      <c r="E510" s="1268">
        <v>707786748.30999994</v>
      </c>
      <c r="F510" s="1268"/>
      <c r="G510" s="1268">
        <v>68456100</v>
      </c>
      <c r="H510" s="1268"/>
      <c r="I510" s="1352">
        <v>1447949640.3099999</v>
      </c>
      <c r="J510" s="1266"/>
      <c r="K510" s="1268">
        <v>160587024</v>
      </c>
      <c r="L510" s="1268">
        <v>251644882.59999999</v>
      </c>
      <c r="M510" s="1268">
        <v>14200700</v>
      </c>
      <c r="N510" s="1268"/>
      <c r="O510" s="1352">
        <v>426432606.60000002</v>
      </c>
      <c r="P510" s="1264"/>
      <c r="Q510" s="1268">
        <v>71791878.604621664</v>
      </c>
      <c r="R510" s="1268"/>
      <c r="S510" s="1264">
        <v>71791878.604621664</v>
      </c>
      <c r="T510" s="1264">
        <v>0</v>
      </c>
      <c r="U510" s="1264">
        <v>0</v>
      </c>
      <c r="V510" s="1266">
        <v>370700</v>
      </c>
      <c r="W510" s="1264">
        <v>370700</v>
      </c>
      <c r="X510" s="1269">
        <v>1946544825.5146215</v>
      </c>
      <c r="Y510"/>
      <c r="Z510"/>
      <c r="AA510"/>
      <c r="AB510"/>
    </row>
    <row r="511" spans="1:28" s="205" customFormat="1">
      <c r="A511" s="1207"/>
      <c r="B511" s="1205" t="s">
        <v>37</v>
      </c>
      <c r="C511" s="1264">
        <v>753792069.13881433</v>
      </c>
      <c r="D511" s="1268"/>
      <c r="E511" s="1268">
        <v>809018915.15269578</v>
      </c>
      <c r="F511" s="1268"/>
      <c r="G511" s="1268">
        <v>77551355.342817694</v>
      </c>
      <c r="H511" s="1268"/>
      <c r="I511" s="1352">
        <v>1640362339.6343279</v>
      </c>
      <c r="J511" s="1266"/>
      <c r="K511" s="1268">
        <v>182399482</v>
      </c>
      <c r="L511" s="1268">
        <v>287995969</v>
      </c>
      <c r="M511" s="1268">
        <v>16850400</v>
      </c>
      <c r="N511" s="1268"/>
      <c r="O511" s="1352">
        <v>487245851</v>
      </c>
      <c r="P511" s="1264"/>
      <c r="Q511" s="1268">
        <v>79564800</v>
      </c>
      <c r="R511" s="1268"/>
      <c r="S511" s="1264">
        <v>79564800</v>
      </c>
      <c r="T511" s="1264">
        <v>0</v>
      </c>
      <c r="U511" s="1264">
        <v>0</v>
      </c>
      <c r="V511" s="1266">
        <v>356100</v>
      </c>
      <c r="W511" s="1264">
        <v>356100</v>
      </c>
      <c r="X511" s="1269">
        <v>2207529090.6343279</v>
      </c>
      <c r="Y511"/>
      <c r="Z511"/>
      <c r="AA511"/>
      <c r="AB511"/>
    </row>
    <row r="512" spans="1:28" s="214" customFormat="1" ht="13.5" thickBot="1">
      <c r="A512" s="1333"/>
      <c r="B512" s="1205" t="s">
        <v>39</v>
      </c>
      <c r="C512" s="1264">
        <v>12.220403026505995</v>
      </c>
      <c r="D512" s="1268">
        <v>0</v>
      </c>
      <c r="E512" s="1268">
        <v>14.302636646477263</v>
      </c>
      <c r="F512" s="1268">
        <v>0</v>
      </c>
      <c r="G512" s="1268">
        <v>13.286259869927871</v>
      </c>
      <c r="H512" s="1268">
        <v>0</v>
      </c>
      <c r="I512" s="1352">
        <v>13.288632005401322</v>
      </c>
      <c r="J512" s="1266">
        <v>0</v>
      </c>
      <c r="K512" s="1268">
        <v>13.582951758293996</v>
      </c>
      <c r="L512" s="1268">
        <v>14.4453906729276</v>
      </c>
      <c r="M512" s="1268">
        <v>18.658939348060308</v>
      </c>
      <c r="N512" s="1268">
        <v>0</v>
      </c>
      <c r="O512" s="1352">
        <v>14.260927391287337</v>
      </c>
      <c r="P512" s="1264">
        <v>0</v>
      </c>
      <c r="Q512" s="1268">
        <v>10.82702047426009</v>
      </c>
      <c r="R512" s="1268">
        <v>0</v>
      </c>
      <c r="S512" s="1264">
        <v>10.82702047426009</v>
      </c>
      <c r="T512" s="1264">
        <v>0</v>
      </c>
      <c r="U512" s="1264">
        <v>0</v>
      </c>
      <c r="V512" s="1266">
        <v>-3.9384947396816834</v>
      </c>
      <c r="W512" s="1264">
        <v>-3.9384947396816834</v>
      </c>
      <c r="X512" s="1269">
        <v>13.407565122509221</v>
      </c>
      <c r="Y512"/>
      <c r="Z512"/>
      <c r="AA512"/>
      <c r="AB512"/>
    </row>
    <row r="513" spans="1:28">
      <c r="A513" s="1206" t="s">
        <v>207</v>
      </c>
      <c r="B513" s="1204" t="s">
        <v>253</v>
      </c>
      <c r="C513" s="1265">
        <v>1643132438</v>
      </c>
      <c r="D513" s="1260">
        <v>274500240</v>
      </c>
      <c r="E513" s="1260">
        <v>961029517</v>
      </c>
      <c r="F513" s="1260">
        <v>51612658</v>
      </c>
      <c r="G513" s="1262">
        <v>42328592</v>
      </c>
      <c r="H513" s="1265">
        <v>15517097</v>
      </c>
      <c r="I513" s="1355">
        <v>2988120542</v>
      </c>
      <c r="J513" s="1261">
        <v>60002459</v>
      </c>
      <c r="K513" s="1260">
        <v>660430004</v>
      </c>
      <c r="L513" s="1260">
        <v>270064214</v>
      </c>
      <c r="M513" s="1260">
        <v>74666976</v>
      </c>
      <c r="N513" s="1260">
        <v>233688598</v>
      </c>
      <c r="O513" s="1355">
        <v>1298852251</v>
      </c>
      <c r="P513" s="1259"/>
      <c r="Q513" s="1260"/>
      <c r="R513" s="1260"/>
      <c r="S513" s="1259"/>
      <c r="T513" s="1259"/>
      <c r="U513" s="1259"/>
      <c r="V513" s="1261"/>
      <c r="W513" s="1259"/>
      <c r="X513" s="1263">
        <v>4286972793</v>
      </c>
      <c r="Y513"/>
      <c r="Z513"/>
      <c r="AA513"/>
      <c r="AB513"/>
    </row>
    <row r="514" spans="1:28" s="205" customFormat="1">
      <c r="A514" s="1207"/>
      <c r="B514" s="1205" t="s">
        <v>4</v>
      </c>
      <c r="C514" s="1265">
        <v>1633125007</v>
      </c>
      <c r="D514" s="1268">
        <v>254222207</v>
      </c>
      <c r="E514" s="1268">
        <v>905316373</v>
      </c>
      <c r="F514" s="1268">
        <v>48154317</v>
      </c>
      <c r="G514" s="1267">
        <v>40507722</v>
      </c>
      <c r="H514" s="1265">
        <v>14369320</v>
      </c>
      <c r="I514" s="1352">
        <v>2895694946</v>
      </c>
      <c r="J514" s="1266">
        <v>56597025</v>
      </c>
      <c r="K514" s="1268">
        <v>619249550</v>
      </c>
      <c r="L514" s="1268">
        <v>259282150</v>
      </c>
      <c r="M514" s="1268">
        <v>71304080</v>
      </c>
      <c r="N514" s="1268">
        <v>218027745</v>
      </c>
      <c r="O514" s="1352">
        <v>1224460550</v>
      </c>
      <c r="P514" s="1264"/>
      <c r="Q514" s="1268"/>
      <c r="R514" s="1268"/>
      <c r="S514" s="1264"/>
      <c r="T514" s="1264"/>
      <c r="U514" s="1264"/>
      <c r="V514" s="1266"/>
      <c r="W514" s="1264"/>
      <c r="X514" s="1269">
        <v>4120155496</v>
      </c>
      <c r="Y514"/>
      <c r="Z514"/>
      <c r="AA514"/>
      <c r="AB514"/>
    </row>
    <row r="515" spans="1:28" s="204" customFormat="1" ht="13.5" thickBot="1">
      <c r="A515" s="1207"/>
      <c r="B515" s="1205" t="s">
        <v>175</v>
      </c>
      <c r="C515" s="1265">
        <v>-0.6090459155064164</v>
      </c>
      <c r="D515" s="1268">
        <v>-7.3872551076822379</v>
      </c>
      <c r="E515" s="1268">
        <v>-5.7972354661818359</v>
      </c>
      <c r="F515" s="1268">
        <v>-6.7005675235714461</v>
      </c>
      <c r="G515" s="1281">
        <v>-4.3017495124808312</v>
      </c>
      <c r="H515" s="1265">
        <v>-7.396853934727611</v>
      </c>
      <c r="I515" s="1352">
        <v>-3.0931013224164636</v>
      </c>
      <c r="J515" s="1266">
        <v>-5.6754907328048008</v>
      </c>
      <c r="K515" s="1268">
        <v>-6.2354002317556727</v>
      </c>
      <c r="L515" s="1268">
        <v>-3.9924075242342179</v>
      </c>
      <c r="M515" s="1268">
        <v>-4.5038599125803627</v>
      </c>
      <c r="N515" s="1268">
        <v>-6.7015905500019306</v>
      </c>
      <c r="O515" s="1352">
        <v>-5.7274952514980093</v>
      </c>
      <c r="P515" s="1264">
        <v>0</v>
      </c>
      <c r="Q515" s="1268">
        <v>0</v>
      </c>
      <c r="R515" s="1268">
        <v>0</v>
      </c>
      <c r="S515" s="1264">
        <v>0</v>
      </c>
      <c r="T515" s="1264">
        <v>0</v>
      </c>
      <c r="U515" s="1264">
        <v>0</v>
      </c>
      <c r="V515" s="1266">
        <v>0</v>
      </c>
      <c r="W515" s="1264">
        <v>0</v>
      </c>
      <c r="X515" s="1269">
        <v>-3.8912609212819889</v>
      </c>
      <c r="Y515"/>
      <c r="Z515"/>
      <c r="AA515"/>
      <c r="AB515"/>
    </row>
    <row r="516" spans="1:28">
      <c r="A516" s="1207"/>
      <c r="B516" s="1205" t="s">
        <v>269</v>
      </c>
      <c r="C516" s="1264">
        <v>240113264</v>
      </c>
      <c r="D516" s="1268">
        <v>9294607</v>
      </c>
      <c r="E516" s="1268">
        <v>16238786</v>
      </c>
      <c r="F516" s="1340">
        <v>646405</v>
      </c>
      <c r="G516" s="1268">
        <v>1173879</v>
      </c>
      <c r="H516" s="1268">
        <v>58706</v>
      </c>
      <c r="I516" s="1352">
        <v>267525647</v>
      </c>
      <c r="J516" s="1266"/>
      <c r="K516" s="1268"/>
      <c r="L516" s="1268"/>
      <c r="M516" s="1268"/>
      <c r="N516" s="1268"/>
      <c r="O516" s="1352"/>
      <c r="P516" s="1264"/>
      <c r="Q516" s="1268"/>
      <c r="R516" s="1268"/>
      <c r="S516" s="1264"/>
      <c r="T516" s="1264"/>
      <c r="U516" s="1262"/>
      <c r="V516" s="1291">
        <v>1853029</v>
      </c>
      <c r="W516" s="1262">
        <v>1853029</v>
      </c>
      <c r="X516" s="1269">
        <v>269378676</v>
      </c>
      <c r="Y516"/>
      <c r="Z516"/>
      <c r="AA516"/>
      <c r="AB516"/>
    </row>
    <row r="517" spans="1:28" s="205" customFormat="1">
      <c r="A517" s="1207"/>
      <c r="B517" s="1205" t="s">
        <v>342</v>
      </c>
      <c r="C517" s="1264">
        <v>226612874</v>
      </c>
      <c r="D517" s="1268">
        <v>8639634</v>
      </c>
      <c r="E517" s="1268">
        <v>17205676</v>
      </c>
      <c r="F517" s="1340">
        <v>948392</v>
      </c>
      <c r="G517" s="1268">
        <v>1077577</v>
      </c>
      <c r="H517" s="1268">
        <v>48489</v>
      </c>
      <c r="I517" s="1352">
        <v>254532642</v>
      </c>
      <c r="J517" s="1266"/>
      <c r="K517" s="1268"/>
      <c r="L517" s="1268"/>
      <c r="M517" s="1268"/>
      <c r="N517" s="1268"/>
      <c r="O517" s="1352"/>
      <c r="P517" s="1264"/>
      <c r="Q517" s="1268"/>
      <c r="R517" s="1268"/>
      <c r="S517" s="1264"/>
      <c r="T517" s="1264"/>
      <c r="U517" s="1267"/>
      <c r="V517" s="1266">
        <v>1853029</v>
      </c>
      <c r="W517" s="1267">
        <v>1853029</v>
      </c>
      <c r="X517" s="1269">
        <v>256385671</v>
      </c>
      <c r="Y517"/>
      <c r="Z517"/>
      <c r="AA517"/>
      <c r="AB517"/>
    </row>
    <row r="518" spans="1:28" s="204" customFormat="1" ht="13.5" thickBot="1">
      <c r="A518" s="1207"/>
      <c r="B518" s="1205" t="s">
        <v>344</v>
      </c>
      <c r="C518" s="1264">
        <v>-5.6225090505620718</v>
      </c>
      <c r="D518" s="1268">
        <v>-7.0468068203421623</v>
      </c>
      <c r="E518" s="1268">
        <v>5.9542012561776474</v>
      </c>
      <c r="F518" s="1340">
        <v>46.717924521004633</v>
      </c>
      <c r="G518" s="1268">
        <v>-8.2037416122104574</v>
      </c>
      <c r="H518" s="1268">
        <v>-17.403672537730387</v>
      </c>
      <c r="I518" s="1352">
        <v>-4.8567324836709957</v>
      </c>
      <c r="J518" s="1266">
        <v>0</v>
      </c>
      <c r="K518" s="1268">
        <v>0</v>
      </c>
      <c r="L518" s="1268">
        <v>0</v>
      </c>
      <c r="M518" s="1268">
        <v>0</v>
      </c>
      <c r="N518" s="1268">
        <v>0</v>
      </c>
      <c r="O518" s="1352">
        <v>0</v>
      </c>
      <c r="P518" s="1264">
        <v>0</v>
      </c>
      <c r="Q518" s="1268">
        <v>0</v>
      </c>
      <c r="R518" s="1268">
        <v>0</v>
      </c>
      <c r="S518" s="1264">
        <v>0</v>
      </c>
      <c r="T518" s="1264">
        <v>0</v>
      </c>
      <c r="U518" s="1281">
        <v>0</v>
      </c>
      <c r="V518" s="1292">
        <v>0</v>
      </c>
      <c r="W518" s="1281">
        <v>0</v>
      </c>
      <c r="X518" s="1269">
        <v>-4.8233235061263722</v>
      </c>
      <c r="Y518"/>
      <c r="Z518"/>
      <c r="AA518"/>
      <c r="AB518"/>
    </row>
    <row r="519" spans="1:28">
      <c r="A519" s="1207"/>
      <c r="B519" s="1205" t="s">
        <v>5</v>
      </c>
      <c r="C519" s="1264"/>
      <c r="D519" s="1268"/>
      <c r="E519" s="1268"/>
      <c r="F519" s="1268"/>
      <c r="G519" s="1268"/>
      <c r="H519" s="1268"/>
      <c r="I519" s="1352"/>
      <c r="J519" s="1266">
        <v>74414455</v>
      </c>
      <c r="K519" s="1268">
        <v>815239397</v>
      </c>
      <c r="L519" s="1268">
        <v>135950893</v>
      </c>
      <c r="M519" s="1268">
        <v>23672529</v>
      </c>
      <c r="N519" s="1262">
        <v>295743983</v>
      </c>
      <c r="O519" s="1352">
        <v>1345021257</v>
      </c>
      <c r="P519" s="1264"/>
      <c r="Q519" s="1268"/>
      <c r="R519" s="1268"/>
      <c r="S519" s="1264"/>
      <c r="T519" s="1264"/>
      <c r="U519" s="1264"/>
      <c r="V519" s="1266"/>
      <c r="W519" s="1264"/>
      <c r="X519" s="1269">
        <v>1345021257</v>
      </c>
      <c r="Y519"/>
      <c r="Z519"/>
      <c r="AA519"/>
      <c r="AB519"/>
    </row>
    <row r="520" spans="1:28" s="205" customFormat="1">
      <c r="A520" s="1207"/>
      <c r="B520" s="1205" t="s">
        <v>6</v>
      </c>
      <c r="C520" s="1264"/>
      <c r="D520" s="1268"/>
      <c r="E520" s="1268"/>
      <c r="F520" s="1268"/>
      <c r="G520" s="1268"/>
      <c r="H520" s="1268"/>
      <c r="I520" s="1352"/>
      <c r="J520" s="1266">
        <v>76765608</v>
      </c>
      <c r="K520" s="1268">
        <v>853164962</v>
      </c>
      <c r="L520" s="1268">
        <v>140101046</v>
      </c>
      <c r="M520" s="1268">
        <v>23977047</v>
      </c>
      <c r="N520" s="1267">
        <v>299042055</v>
      </c>
      <c r="O520" s="1352">
        <v>1393050718</v>
      </c>
      <c r="P520" s="1264"/>
      <c r="Q520" s="1268"/>
      <c r="R520" s="1268"/>
      <c r="S520" s="1264"/>
      <c r="T520" s="1264"/>
      <c r="U520" s="1264"/>
      <c r="V520" s="1266"/>
      <c r="W520" s="1264"/>
      <c r="X520" s="1269">
        <v>1393050718</v>
      </c>
      <c r="Y520"/>
      <c r="Z520"/>
      <c r="AA520"/>
      <c r="AB520"/>
    </row>
    <row r="521" spans="1:28" s="204" customFormat="1" ht="13.5" thickBot="1">
      <c r="A521" s="1207"/>
      <c r="B521" s="1205" t="s">
        <v>426</v>
      </c>
      <c r="C521" s="1264">
        <v>0</v>
      </c>
      <c r="D521" s="1268">
        <v>0</v>
      </c>
      <c r="E521" s="1268">
        <v>0</v>
      </c>
      <c r="F521" s="1268">
        <v>0</v>
      </c>
      <c r="G521" s="1268">
        <v>0</v>
      </c>
      <c r="H521" s="1268">
        <v>0</v>
      </c>
      <c r="I521" s="1352">
        <v>0</v>
      </c>
      <c r="J521" s="1266">
        <v>3.1595380225522045</v>
      </c>
      <c r="K521" s="1268">
        <v>4.6520770634444695</v>
      </c>
      <c r="L521" s="1268">
        <v>3.0526853545566635</v>
      </c>
      <c r="M521" s="1268">
        <v>1.2863771335964991</v>
      </c>
      <c r="N521" s="1281">
        <v>1.1151780558795004</v>
      </c>
      <c r="O521" s="1352">
        <v>3.5709072068591108</v>
      </c>
      <c r="P521" s="1264">
        <v>0</v>
      </c>
      <c r="Q521" s="1268">
        <v>0</v>
      </c>
      <c r="R521" s="1268">
        <v>0</v>
      </c>
      <c r="S521" s="1264">
        <v>0</v>
      </c>
      <c r="T521" s="1264">
        <v>0</v>
      </c>
      <c r="U521" s="1264">
        <v>0</v>
      </c>
      <c r="V521" s="1266">
        <v>0</v>
      </c>
      <c r="W521" s="1264">
        <v>0</v>
      </c>
      <c r="X521" s="1269">
        <v>3.5709072068591108</v>
      </c>
      <c r="Y521"/>
      <c r="Z521"/>
      <c r="AA521"/>
      <c r="AB521"/>
    </row>
    <row r="522" spans="1:28">
      <c r="A522" s="1207"/>
      <c r="B522" s="1205" t="s">
        <v>322</v>
      </c>
      <c r="C522" s="1278">
        <v>2022173826</v>
      </c>
      <c r="D522" s="1276">
        <v>362778764</v>
      </c>
      <c r="E522" s="1276">
        <v>948286292</v>
      </c>
      <c r="F522" s="1276">
        <v>31241681</v>
      </c>
      <c r="G522" s="1276">
        <v>47686639</v>
      </c>
      <c r="H522" s="1277">
        <v>13250272</v>
      </c>
      <c r="I522" s="1352">
        <v>3425417474</v>
      </c>
      <c r="J522" s="1266">
        <v>62200466</v>
      </c>
      <c r="K522" s="1268">
        <v>615804697</v>
      </c>
      <c r="L522" s="1268">
        <v>180893858</v>
      </c>
      <c r="M522" s="1262">
        <v>41428661</v>
      </c>
      <c r="N522" s="1268">
        <v>185117750</v>
      </c>
      <c r="O522" s="1352">
        <v>1085445432</v>
      </c>
      <c r="P522" s="1264"/>
      <c r="Q522" s="1268"/>
      <c r="R522" s="1268"/>
      <c r="S522" s="1264"/>
      <c r="T522" s="1264"/>
      <c r="U522" s="1264"/>
      <c r="V522" s="1266"/>
      <c r="W522" s="1264"/>
      <c r="X522" s="1269">
        <v>4510862906</v>
      </c>
      <c r="Y522"/>
      <c r="Z522"/>
      <c r="AA522"/>
      <c r="AB522"/>
    </row>
    <row r="523" spans="1:28" s="205" customFormat="1">
      <c r="A523" s="1207"/>
      <c r="B523" s="1205" t="s">
        <v>22</v>
      </c>
      <c r="C523" s="1280">
        <v>2240901714</v>
      </c>
      <c r="D523" s="1265">
        <v>391169560</v>
      </c>
      <c r="E523" s="1265">
        <v>1078888429</v>
      </c>
      <c r="F523" s="1265">
        <v>39438108</v>
      </c>
      <c r="G523" s="1265">
        <v>51382247</v>
      </c>
      <c r="H523" s="1279">
        <v>15032688</v>
      </c>
      <c r="I523" s="1352">
        <v>3816812746</v>
      </c>
      <c r="J523" s="1266">
        <v>80026987</v>
      </c>
      <c r="K523" s="1268">
        <v>712497933</v>
      </c>
      <c r="L523" s="1268">
        <v>229123724</v>
      </c>
      <c r="M523" s="1267">
        <v>48336669</v>
      </c>
      <c r="N523" s="1268">
        <v>216215754</v>
      </c>
      <c r="O523" s="1352">
        <v>1286201067</v>
      </c>
      <c r="P523" s="1264"/>
      <c r="Q523" s="1268"/>
      <c r="R523" s="1268"/>
      <c r="S523" s="1264"/>
      <c r="T523" s="1264"/>
      <c r="U523" s="1264"/>
      <c r="V523" s="1266"/>
      <c r="W523" s="1264"/>
      <c r="X523" s="1269">
        <v>5103013813</v>
      </c>
      <c r="Y523"/>
      <c r="Z523"/>
      <c r="AA523"/>
      <c r="AB523"/>
    </row>
    <row r="524" spans="1:28" s="204" customFormat="1" ht="13.5" thickBot="1">
      <c r="A524" s="1207"/>
      <c r="B524" s="1205" t="s">
        <v>375</v>
      </c>
      <c r="C524" s="1284">
        <v>10.816473103732083</v>
      </c>
      <c r="D524" s="1282">
        <v>7.8259255550029936</v>
      </c>
      <c r="E524" s="1282">
        <v>13.772437511940749</v>
      </c>
      <c r="F524" s="1282">
        <v>26.235550513431079</v>
      </c>
      <c r="G524" s="1282">
        <v>7.7497766198200715</v>
      </c>
      <c r="H524" s="1283">
        <v>13.451920081338709</v>
      </c>
      <c r="I524" s="1352">
        <v>11.426206439676731</v>
      </c>
      <c r="J524" s="1266">
        <v>28.659786889699507</v>
      </c>
      <c r="K524" s="1268">
        <v>15.701932198805558</v>
      </c>
      <c r="L524" s="1268">
        <v>26.661969916081951</v>
      </c>
      <c r="M524" s="1281">
        <v>16.674466017620023</v>
      </c>
      <c r="N524" s="1268">
        <v>16.79903953024494</v>
      </c>
      <c r="O524" s="1352">
        <v>18.495230536840104</v>
      </c>
      <c r="P524" s="1264">
        <v>0</v>
      </c>
      <c r="Q524" s="1268">
        <v>0</v>
      </c>
      <c r="R524" s="1268">
        <v>0</v>
      </c>
      <c r="S524" s="1264">
        <v>0</v>
      </c>
      <c r="T524" s="1264">
        <v>0</v>
      </c>
      <c r="U524" s="1264">
        <v>0</v>
      </c>
      <c r="V524" s="1266">
        <v>0</v>
      </c>
      <c r="W524" s="1264">
        <v>0</v>
      </c>
      <c r="X524" s="1269">
        <v>13.127220209072787</v>
      </c>
      <c r="Y524"/>
      <c r="Z524"/>
      <c r="AA524"/>
      <c r="AB524"/>
    </row>
    <row r="525" spans="1:28">
      <c r="A525" s="1207"/>
      <c r="B525" s="1205" t="s">
        <v>324</v>
      </c>
      <c r="C525" s="1262">
        <v>422295</v>
      </c>
      <c r="D525" s="1268"/>
      <c r="E525" s="1268">
        <v>444550</v>
      </c>
      <c r="F525" s="1262"/>
      <c r="G525" s="1268"/>
      <c r="H525" s="1268"/>
      <c r="I525" s="1352">
        <v>866845</v>
      </c>
      <c r="J525" s="1266"/>
      <c r="K525" s="1268"/>
      <c r="L525" s="1268">
        <v>27000</v>
      </c>
      <c r="M525" s="1268">
        <v>52300</v>
      </c>
      <c r="N525" s="1268"/>
      <c r="O525" s="1352">
        <v>79300</v>
      </c>
      <c r="P525" s="1264"/>
      <c r="Q525" s="1268"/>
      <c r="R525" s="1268"/>
      <c r="S525" s="1264"/>
      <c r="T525" s="1264"/>
      <c r="U525" s="1264"/>
      <c r="V525" s="1266"/>
      <c r="W525" s="1264"/>
      <c r="X525" s="1269">
        <v>946145</v>
      </c>
      <c r="Y525"/>
      <c r="Z525"/>
      <c r="AA525"/>
      <c r="AB525"/>
    </row>
    <row r="526" spans="1:28" s="205" customFormat="1">
      <c r="A526" s="1207"/>
      <c r="B526" s="1205" t="s">
        <v>226</v>
      </c>
      <c r="C526" s="1267">
        <v>422295</v>
      </c>
      <c r="D526" s="1268"/>
      <c r="E526" s="1268">
        <v>299190</v>
      </c>
      <c r="F526" s="1267"/>
      <c r="G526" s="1268"/>
      <c r="H526" s="1268"/>
      <c r="I526" s="1352">
        <v>721485</v>
      </c>
      <c r="J526" s="1266"/>
      <c r="K526" s="1268"/>
      <c r="L526" s="1268">
        <v>0</v>
      </c>
      <c r="M526" s="1268">
        <v>0</v>
      </c>
      <c r="N526" s="1268"/>
      <c r="O526" s="1352">
        <v>0</v>
      </c>
      <c r="P526" s="1264"/>
      <c r="Q526" s="1268"/>
      <c r="R526" s="1268"/>
      <c r="S526" s="1264"/>
      <c r="T526" s="1264"/>
      <c r="U526" s="1264"/>
      <c r="V526" s="1266"/>
      <c r="W526" s="1264"/>
      <c r="X526" s="1269">
        <v>721485</v>
      </c>
      <c r="Y526"/>
      <c r="Z526"/>
      <c r="AA526"/>
      <c r="AB526"/>
    </row>
    <row r="527" spans="1:28" s="204" customFormat="1" ht="13.5" thickBot="1">
      <c r="A527" s="1207"/>
      <c r="B527" s="1205" t="s">
        <v>236</v>
      </c>
      <c r="C527" s="1281">
        <v>0</v>
      </c>
      <c r="D527" s="1268">
        <v>0</v>
      </c>
      <c r="E527" s="1268">
        <v>-32.698234169384769</v>
      </c>
      <c r="F527" s="1281">
        <v>0</v>
      </c>
      <c r="G527" s="1268">
        <v>0</v>
      </c>
      <c r="H527" s="1268">
        <v>0</v>
      </c>
      <c r="I527" s="1352">
        <v>-16.768857177465406</v>
      </c>
      <c r="J527" s="1266">
        <v>0</v>
      </c>
      <c r="K527" s="1268">
        <v>0</v>
      </c>
      <c r="L527" s="1268">
        <v>-100</v>
      </c>
      <c r="M527" s="1268">
        <v>-100</v>
      </c>
      <c r="N527" s="1268">
        <v>0</v>
      </c>
      <c r="O527" s="1352">
        <v>-100</v>
      </c>
      <c r="P527" s="1264">
        <v>0</v>
      </c>
      <c r="Q527" s="1268">
        <v>0</v>
      </c>
      <c r="R527" s="1268">
        <v>0</v>
      </c>
      <c r="S527" s="1264">
        <v>0</v>
      </c>
      <c r="T527" s="1264">
        <v>0</v>
      </c>
      <c r="U527" s="1264">
        <v>0</v>
      </c>
      <c r="V527" s="1266">
        <v>0</v>
      </c>
      <c r="W527" s="1264">
        <v>0</v>
      </c>
      <c r="X527" s="1269">
        <v>-23.744774849520951</v>
      </c>
      <c r="Y527"/>
      <c r="Z527"/>
      <c r="AA527"/>
      <c r="AB527"/>
    </row>
    <row r="528" spans="1:28">
      <c r="A528" s="1207"/>
      <c r="B528" s="1205" t="s">
        <v>449</v>
      </c>
      <c r="C528" s="1264">
        <v>2022596121</v>
      </c>
      <c r="D528" s="1268">
        <v>362778764</v>
      </c>
      <c r="E528" s="1268">
        <v>948730842</v>
      </c>
      <c r="F528" s="1268">
        <v>31241681</v>
      </c>
      <c r="G528" s="1268">
        <v>47686639</v>
      </c>
      <c r="H528" s="1268">
        <v>13250272</v>
      </c>
      <c r="I528" s="1352">
        <v>3426284319</v>
      </c>
      <c r="J528" s="1266">
        <v>62200466</v>
      </c>
      <c r="K528" s="1268">
        <v>615804697</v>
      </c>
      <c r="L528" s="1268">
        <v>180920858</v>
      </c>
      <c r="M528" s="1268">
        <v>41480961</v>
      </c>
      <c r="N528" s="1268">
        <v>180265653</v>
      </c>
      <c r="O528" s="1352">
        <v>1080672635</v>
      </c>
      <c r="P528" s="1264"/>
      <c r="Q528" s="1268"/>
      <c r="R528" s="1268"/>
      <c r="S528" s="1264"/>
      <c r="T528" s="1264">
        <v>0</v>
      </c>
      <c r="U528" s="1264">
        <v>0</v>
      </c>
      <c r="V528" s="1266">
        <v>0</v>
      </c>
      <c r="W528" s="1264">
        <v>0</v>
      </c>
      <c r="X528" s="1269">
        <v>4506956954</v>
      </c>
      <c r="Y528"/>
      <c r="Z528"/>
      <c r="AA528"/>
      <c r="AB528"/>
    </row>
    <row r="529" spans="1:28" s="205" customFormat="1">
      <c r="A529" s="1207"/>
      <c r="B529" s="1205" t="s">
        <v>109</v>
      </c>
      <c r="C529" s="1264">
        <v>2241324009</v>
      </c>
      <c r="D529" s="1268">
        <v>391169560</v>
      </c>
      <c r="E529" s="1268">
        <v>1079187619</v>
      </c>
      <c r="F529" s="1268">
        <v>39438108</v>
      </c>
      <c r="G529" s="1268">
        <v>51382247</v>
      </c>
      <c r="H529" s="1268">
        <v>15032688</v>
      </c>
      <c r="I529" s="1352">
        <v>3817534231</v>
      </c>
      <c r="J529" s="1266">
        <v>80026987</v>
      </c>
      <c r="K529" s="1268">
        <v>712497933</v>
      </c>
      <c r="L529" s="1268">
        <v>229123724</v>
      </c>
      <c r="M529" s="1268">
        <v>48336669</v>
      </c>
      <c r="N529" s="1268">
        <v>210594244</v>
      </c>
      <c r="O529" s="1352">
        <v>1280579557</v>
      </c>
      <c r="P529" s="1264"/>
      <c r="Q529" s="1268"/>
      <c r="R529" s="1268"/>
      <c r="S529" s="1264"/>
      <c r="T529" s="1264">
        <v>0</v>
      </c>
      <c r="U529" s="1264">
        <v>0</v>
      </c>
      <c r="V529" s="1266">
        <v>0</v>
      </c>
      <c r="W529" s="1264">
        <v>0</v>
      </c>
      <c r="X529" s="1269">
        <v>5098113788</v>
      </c>
      <c r="Y529"/>
      <c r="Z529"/>
      <c r="AA529"/>
      <c r="AB529"/>
    </row>
    <row r="530" spans="1:28" s="204" customFormat="1" ht="13.5" thickBot="1">
      <c r="A530" s="1207"/>
      <c r="B530" s="1205" t="s">
        <v>83</v>
      </c>
      <c r="C530" s="1264">
        <v>10.814214747522499</v>
      </c>
      <c r="D530" s="1268">
        <v>7.8259255550029936</v>
      </c>
      <c r="E530" s="1268">
        <v>13.75066259308981</v>
      </c>
      <c r="F530" s="1268">
        <v>26.235550513431079</v>
      </c>
      <c r="G530" s="1268">
        <v>7.7497766198200715</v>
      </c>
      <c r="H530" s="1268">
        <v>13.451920081338709</v>
      </c>
      <c r="I530" s="1352">
        <v>11.419073129173084</v>
      </c>
      <c r="J530" s="1266">
        <v>28.659786889699507</v>
      </c>
      <c r="K530" s="1268">
        <v>15.701932198805558</v>
      </c>
      <c r="L530" s="1268">
        <v>26.643067323945591</v>
      </c>
      <c r="M530" s="1268">
        <v>16.527360588391382</v>
      </c>
      <c r="N530" s="1268">
        <v>16.824386950740973</v>
      </c>
      <c r="O530" s="1352">
        <v>18.498379206206142</v>
      </c>
      <c r="P530" s="1264">
        <v>0</v>
      </c>
      <c r="Q530" s="1268">
        <v>0</v>
      </c>
      <c r="R530" s="1268">
        <v>0</v>
      </c>
      <c r="S530" s="1264">
        <v>0</v>
      </c>
      <c r="T530" s="1264">
        <v>0</v>
      </c>
      <c r="U530" s="1264">
        <v>0</v>
      </c>
      <c r="V530" s="1266">
        <v>0</v>
      </c>
      <c r="W530" s="1264">
        <v>0</v>
      </c>
      <c r="X530" s="1269">
        <v>13.116540495807008</v>
      </c>
      <c r="Y530"/>
      <c r="Z530"/>
      <c r="AA530"/>
      <c r="AB530"/>
    </row>
    <row r="531" spans="1:28">
      <c r="A531" s="1207"/>
      <c r="B531" s="1205" t="s">
        <v>111</v>
      </c>
      <c r="C531" s="1264"/>
      <c r="D531" s="1268"/>
      <c r="E531" s="1268"/>
      <c r="F531" s="1268"/>
      <c r="G531" s="1268"/>
      <c r="H531" s="1268"/>
      <c r="I531" s="1352"/>
      <c r="J531" s="1266"/>
      <c r="K531" s="1268"/>
      <c r="L531" s="1268"/>
      <c r="M531" s="1268"/>
      <c r="N531" s="1268"/>
      <c r="O531" s="1352"/>
      <c r="P531" s="1264"/>
      <c r="Q531" s="1268"/>
      <c r="R531" s="1268"/>
      <c r="S531" s="1264"/>
      <c r="T531" s="1262"/>
      <c r="U531" s="1264"/>
      <c r="V531" s="1266">
        <v>642359524</v>
      </c>
      <c r="W531" s="1262">
        <v>642359524</v>
      </c>
      <c r="X531" s="1269">
        <v>642359524</v>
      </c>
      <c r="Y531"/>
      <c r="Z531"/>
      <c r="AA531"/>
      <c r="AB531"/>
    </row>
    <row r="532" spans="1:28" s="205" customFormat="1">
      <c r="A532" s="1207"/>
      <c r="B532" s="1205" t="s">
        <v>113</v>
      </c>
      <c r="C532" s="1264"/>
      <c r="D532" s="1268"/>
      <c r="E532" s="1268"/>
      <c r="F532" s="1268"/>
      <c r="G532" s="1268"/>
      <c r="H532" s="1268"/>
      <c r="I532" s="1352"/>
      <c r="J532" s="1266"/>
      <c r="K532" s="1268"/>
      <c r="L532" s="1268"/>
      <c r="M532" s="1268"/>
      <c r="N532" s="1268"/>
      <c r="O532" s="1352"/>
      <c r="P532" s="1264"/>
      <c r="Q532" s="1268"/>
      <c r="R532" s="1268"/>
      <c r="S532" s="1264"/>
      <c r="T532" s="1267"/>
      <c r="U532" s="1264"/>
      <c r="V532" s="1266">
        <v>624039169</v>
      </c>
      <c r="W532" s="1267">
        <v>624039169</v>
      </c>
      <c r="X532" s="1269">
        <v>624039169</v>
      </c>
      <c r="Y532"/>
      <c r="Z532"/>
      <c r="AA532"/>
      <c r="AB532"/>
    </row>
    <row r="533" spans="1:28" s="204" customFormat="1" ht="13.5" thickBot="1">
      <c r="A533" s="1207"/>
      <c r="B533" s="1205" t="s">
        <v>115</v>
      </c>
      <c r="C533" s="1264">
        <v>0</v>
      </c>
      <c r="D533" s="1268">
        <v>0</v>
      </c>
      <c r="E533" s="1268">
        <v>0</v>
      </c>
      <c r="F533" s="1268">
        <v>0</v>
      </c>
      <c r="G533" s="1268">
        <v>0</v>
      </c>
      <c r="H533" s="1268">
        <v>0</v>
      </c>
      <c r="I533" s="1352">
        <v>0</v>
      </c>
      <c r="J533" s="1266">
        <v>0</v>
      </c>
      <c r="K533" s="1268">
        <v>0</v>
      </c>
      <c r="L533" s="1268">
        <v>0</v>
      </c>
      <c r="M533" s="1268">
        <v>0</v>
      </c>
      <c r="N533" s="1268">
        <v>0</v>
      </c>
      <c r="O533" s="1352">
        <v>0</v>
      </c>
      <c r="P533" s="1264">
        <v>0</v>
      </c>
      <c r="Q533" s="1268">
        <v>0</v>
      </c>
      <c r="R533" s="1268">
        <v>0</v>
      </c>
      <c r="S533" s="1264">
        <v>0</v>
      </c>
      <c r="T533" s="1281">
        <v>0</v>
      </c>
      <c r="U533" s="1264">
        <v>0</v>
      </c>
      <c r="V533" s="1266">
        <v>-2.8520406899112154</v>
      </c>
      <c r="W533" s="1281">
        <v>-2.8520406899112154</v>
      </c>
      <c r="X533" s="1269">
        <v>-2.8520406899112154</v>
      </c>
      <c r="Y533"/>
      <c r="Z533"/>
      <c r="AA533"/>
      <c r="AB533"/>
    </row>
    <row r="534" spans="1:28">
      <c r="A534" s="1207"/>
      <c r="B534" s="1205" t="s">
        <v>339</v>
      </c>
      <c r="C534" s="1264"/>
      <c r="D534" s="1268"/>
      <c r="E534" s="1268"/>
      <c r="F534" s="1268"/>
      <c r="G534" s="1268"/>
      <c r="H534" s="1268"/>
      <c r="I534" s="1352"/>
      <c r="J534" s="1266"/>
      <c r="K534" s="1268"/>
      <c r="L534" s="1268"/>
      <c r="M534" s="1268"/>
      <c r="N534" s="1268"/>
      <c r="O534" s="1352"/>
      <c r="P534" s="1264"/>
      <c r="Q534" s="1268"/>
      <c r="R534" s="1268"/>
      <c r="S534" s="1264"/>
      <c r="T534" s="1264"/>
      <c r="U534" s="1264"/>
      <c r="V534" s="1266"/>
      <c r="W534" s="1264"/>
      <c r="X534" s="1269"/>
      <c r="Y534"/>
      <c r="Z534"/>
      <c r="AA534"/>
      <c r="AB534"/>
    </row>
    <row r="535" spans="1:28" s="205" customFormat="1">
      <c r="A535" s="1207"/>
      <c r="B535" s="1205" t="s">
        <v>223</v>
      </c>
      <c r="C535" s="1264"/>
      <c r="D535" s="1268"/>
      <c r="E535" s="1268"/>
      <c r="F535" s="1268"/>
      <c r="G535" s="1268"/>
      <c r="H535" s="1268"/>
      <c r="I535" s="1352"/>
      <c r="J535" s="1266"/>
      <c r="K535" s="1268"/>
      <c r="L535" s="1268"/>
      <c r="M535" s="1268"/>
      <c r="N535" s="1268"/>
      <c r="O535" s="1352"/>
      <c r="P535" s="1264"/>
      <c r="Q535" s="1268"/>
      <c r="R535" s="1268"/>
      <c r="S535" s="1264"/>
      <c r="T535" s="1264"/>
      <c r="U535" s="1264"/>
      <c r="V535" s="1266"/>
      <c r="W535" s="1264"/>
      <c r="X535" s="1269"/>
      <c r="Y535"/>
      <c r="Z535"/>
      <c r="AA535"/>
      <c r="AB535"/>
    </row>
    <row r="536" spans="1:28" s="204" customFormat="1">
      <c r="A536" s="1207"/>
      <c r="B536" s="1205" t="s">
        <v>85</v>
      </c>
      <c r="C536" s="1264">
        <v>0</v>
      </c>
      <c r="D536" s="1268">
        <v>0</v>
      </c>
      <c r="E536" s="1268">
        <v>0</v>
      </c>
      <c r="F536" s="1268">
        <v>0</v>
      </c>
      <c r="G536" s="1268">
        <v>0</v>
      </c>
      <c r="H536" s="1268">
        <v>0</v>
      </c>
      <c r="I536" s="1352">
        <v>0</v>
      </c>
      <c r="J536" s="1266">
        <v>0</v>
      </c>
      <c r="K536" s="1268">
        <v>0</v>
      </c>
      <c r="L536" s="1268">
        <v>0</v>
      </c>
      <c r="M536" s="1268">
        <v>0</v>
      </c>
      <c r="N536" s="1268">
        <v>0</v>
      </c>
      <c r="O536" s="1352">
        <v>0</v>
      </c>
      <c r="P536" s="1264">
        <v>0</v>
      </c>
      <c r="Q536" s="1268">
        <v>0</v>
      </c>
      <c r="R536" s="1268">
        <v>0</v>
      </c>
      <c r="S536" s="1264">
        <v>0</v>
      </c>
      <c r="T536" s="1264">
        <v>0</v>
      </c>
      <c r="U536" s="1264">
        <v>0</v>
      </c>
      <c r="V536" s="1266">
        <v>0</v>
      </c>
      <c r="W536" s="1264">
        <v>0</v>
      </c>
      <c r="X536" s="1269">
        <v>0</v>
      </c>
      <c r="Y536"/>
      <c r="Z536"/>
      <c r="AA536"/>
      <c r="AB536"/>
    </row>
    <row r="537" spans="1:28">
      <c r="A537" s="1207"/>
      <c r="B537" s="1205" t="s">
        <v>219</v>
      </c>
      <c r="C537" s="1264"/>
      <c r="D537" s="1268"/>
      <c r="E537" s="1268"/>
      <c r="F537" s="1268"/>
      <c r="G537" s="1268"/>
      <c r="H537" s="1268"/>
      <c r="I537" s="1352"/>
      <c r="J537" s="1266"/>
      <c r="K537" s="1268"/>
      <c r="L537" s="1268"/>
      <c r="M537" s="1268"/>
      <c r="N537" s="1268"/>
      <c r="O537" s="1352"/>
      <c r="P537" s="1264"/>
      <c r="Q537" s="1268"/>
      <c r="R537" s="1268"/>
      <c r="S537" s="1264"/>
      <c r="T537" s="1264"/>
      <c r="U537" s="1264"/>
      <c r="V537" s="1266"/>
      <c r="W537" s="1264"/>
      <c r="X537" s="1269"/>
      <c r="Y537"/>
      <c r="Z537"/>
      <c r="AA537"/>
      <c r="AB537"/>
    </row>
    <row r="538" spans="1:28" s="205" customFormat="1">
      <c r="A538" s="1207"/>
      <c r="B538" s="1205" t="s">
        <v>141</v>
      </c>
      <c r="C538" s="1264"/>
      <c r="D538" s="1268"/>
      <c r="E538" s="1268"/>
      <c r="F538" s="1268"/>
      <c r="G538" s="1268"/>
      <c r="H538" s="1268"/>
      <c r="I538" s="1352"/>
      <c r="J538" s="1266"/>
      <c r="K538" s="1268"/>
      <c r="L538" s="1268"/>
      <c r="M538" s="1268"/>
      <c r="N538" s="1268"/>
      <c r="O538" s="1352"/>
      <c r="P538" s="1264"/>
      <c r="Q538" s="1268"/>
      <c r="R538" s="1268"/>
      <c r="S538" s="1264"/>
      <c r="T538" s="1264"/>
      <c r="U538" s="1264"/>
      <c r="V538" s="1266"/>
      <c r="W538" s="1264"/>
      <c r="X538" s="1269"/>
      <c r="Y538"/>
      <c r="Z538"/>
      <c r="AA538"/>
      <c r="AB538"/>
    </row>
    <row r="539" spans="1:28" s="204" customFormat="1">
      <c r="A539" s="1207"/>
      <c r="B539" s="1205" t="s">
        <v>169</v>
      </c>
      <c r="C539" s="1264">
        <v>0</v>
      </c>
      <c r="D539" s="1268">
        <v>0</v>
      </c>
      <c r="E539" s="1268">
        <v>0</v>
      </c>
      <c r="F539" s="1268">
        <v>0</v>
      </c>
      <c r="G539" s="1268">
        <v>0</v>
      </c>
      <c r="H539" s="1268">
        <v>0</v>
      </c>
      <c r="I539" s="1352">
        <v>0</v>
      </c>
      <c r="J539" s="1266">
        <v>0</v>
      </c>
      <c r="K539" s="1268">
        <v>0</v>
      </c>
      <c r="L539" s="1268">
        <v>0</v>
      </c>
      <c r="M539" s="1268">
        <v>0</v>
      </c>
      <c r="N539" s="1268">
        <v>0</v>
      </c>
      <c r="O539" s="1352">
        <v>0</v>
      </c>
      <c r="P539" s="1264">
        <v>0</v>
      </c>
      <c r="Q539" s="1268">
        <v>0</v>
      </c>
      <c r="R539" s="1268">
        <v>0</v>
      </c>
      <c r="S539" s="1264">
        <v>0</v>
      </c>
      <c r="T539" s="1264">
        <v>0</v>
      </c>
      <c r="U539" s="1264">
        <v>0</v>
      </c>
      <c r="V539" s="1266">
        <v>0</v>
      </c>
      <c r="W539" s="1264">
        <v>0</v>
      </c>
      <c r="X539" s="1269">
        <v>0</v>
      </c>
      <c r="Y539"/>
      <c r="Z539"/>
      <c r="AA539"/>
      <c r="AB539"/>
    </row>
    <row r="540" spans="1:28">
      <c r="A540" s="1207"/>
      <c r="B540" s="1205" t="s">
        <v>221</v>
      </c>
      <c r="C540" s="1264">
        <v>0</v>
      </c>
      <c r="D540" s="1268">
        <v>0</v>
      </c>
      <c r="E540" s="1268">
        <v>0</v>
      </c>
      <c r="F540" s="1268">
        <v>0</v>
      </c>
      <c r="G540" s="1268">
        <v>0</v>
      </c>
      <c r="H540" s="1268">
        <v>0</v>
      </c>
      <c r="I540" s="1352">
        <v>0</v>
      </c>
      <c r="J540" s="1266">
        <v>0</v>
      </c>
      <c r="K540" s="1268">
        <v>0</v>
      </c>
      <c r="L540" s="1268">
        <v>0</v>
      </c>
      <c r="M540" s="1268">
        <v>0</v>
      </c>
      <c r="N540" s="1268">
        <v>0</v>
      </c>
      <c r="O540" s="1352">
        <v>0</v>
      </c>
      <c r="P540" s="1264"/>
      <c r="Q540" s="1268"/>
      <c r="R540" s="1268"/>
      <c r="S540" s="1264"/>
      <c r="T540" s="1264">
        <v>0</v>
      </c>
      <c r="U540" s="1264">
        <v>0</v>
      </c>
      <c r="V540" s="1266">
        <v>0</v>
      </c>
      <c r="W540" s="1264">
        <v>0</v>
      </c>
      <c r="X540" s="1269">
        <v>0</v>
      </c>
      <c r="Y540"/>
      <c r="Z540"/>
      <c r="AA540"/>
      <c r="AB540"/>
    </row>
    <row r="541" spans="1:28" s="205" customFormat="1">
      <c r="A541" s="1207"/>
      <c r="B541" s="1205" t="s">
        <v>143</v>
      </c>
      <c r="C541" s="1264">
        <v>0</v>
      </c>
      <c r="D541" s="1268">
        <v>0</v>
      </c>
      <c r="E541" s="1268">
        <v>0</v>
      </c>
      <c r="F541" s="1268">
        <v>0</v>
      </c>
      <c r="G541" s="1268">
        <v>0</v>
      </c>
      <c r="H541" s="1268">
        <v>0</v>
      </c>
      <c r="I541" s="1352">
        <v>0</v>
      </c>
      <c r="J541" s="1266">
        <v>0</v>
      </c>
      <c r="K541" s="1268">
        <v>0</v>
      </c>
      <c r="L541" s="1268">
        <v>0</v>
      </c>
      <c r="M541" s="1268">
        <v>0</v>
      </c>
      <c r="N541" s="1268">
        <v>0</v>
      </c>
      <c r="O541" s="1352">
        <v>0</v>
      </c>
      <c r="P541" s="1264"/>
      <c r="Q541" s="1268"/>
      <c r="R541" s="1268"/>
      <c r="S541" s="1264"/>
      <c r="T541" s="1264">
        <v>0</v>
      </c>
      <c r="U541" s="1264">
        <v>0</v>
      </c>
      <c r="V541" s="1266">
        <v>0</v>
      </c>
      <c r="W541" s="1264">
        <v>0</v>
      </c>
      <c r="X541" s="1269">
        <v>0</v>
      </c>
      <c r="Y541"/>
      <c r="Z541"/>
      <c r="AA541"/>
      <c r="AB541"/>
    </row>
    <row r="542" spans="1:28" s="204" customFormat="1" ht="13.5" thickBot="1">
      <c r="A542" s="1207"/>
      <c r="B542" s="1205" t="s">
        <v>245</v>
      </c>
      <c r="C542" s="1264">
        <v>0</v>
      </c>
      <c r="D542" s="1268">
        <v>0</v>
      </c>
      <c r="E542" s="1268">
        <v>0</v>
      </c>
      <c r="F542" s="1268">
        <v>0</v>
      </c>
      <c r="G542" s="1268">
        <v>0</v>
      </c>
      <c r="H542" s="1268">
        <v>0</v>
      </c>
      <c r="I542" s="1352">
        <v>0</v>
      </c>
      <c r="J542" s="1266">
        <v>0</v>
      </c>
      <c r="K542" s="1268">
        <v>0</v>
      </c>
      <c r="L542" s="1268">
        <v>0</v>
      </c>
      <c r="M542" s="1268">
        <v>0</v>
      </c>
      <c r="N542" s="1268">
        <v>0</v>
      </c>
      <c r="O542" s="1352">
        <v>0</v>
      </c>
      <c r="P542" s="1264">
        <v>0</v>
      </c>
      <c r="Q542" s="1268">
        <v>0</v>
      </c>
      <c r="R542" s="1268">
        <v>0</v>
      </c>
      <c r="S542" s="1264">
        <v>0</v>
      </c>
      <c r="T542" s="1264">
        <v>0</v>
      </c>
      <c r="U542" s="1264">
        <v>0</v>
      </c>
      <c r="V542" s="1266">
        <v>0</v>
      </c>
      <c r="W542" s="1264">
        <v>0</v>
      </c>
      <c r="X542" s="1269">
        <v>0</v>
      </c>
      <c r="Y542"/>
      <c r="Z542"/>
      <c r="AA542"/>
      <c r="AB542"/>
    </row>
    <row r="543" spans="1:28">
      <c r="A543" s="1207"/>
      <c r="B543" s="1205" t="s">
        <v>117</v>
      </c>
      <c r="C543" s="1264">
        <v>26503246</v>
      </c>
      <c r="D543" s="1268"/>
      <c r="E543" s="1268"/>
      <c r="F543" s="1268"/>
      <c r="G543" s="1268"/>
      <c r="H543" s="1268"/>
      <c r="I543" s="1352">
        <v>26503246</v>
      </c>
      <c r="J543" s="1266"/>
      <c r="K543" s="1268"/>
      <c r="L543" s="1268"/>
      <c r="M543" s="1268"/>
      <c r="N543" s="1268"/>
      <c r="O543" s="1352"/>
      <c r="P543" s="1264"/>
      <c r="Q543" s="1268"/>
      <c r="R543" s="1268"/>
      <c r="S543" s="1264"/>
      <c r="T543" s="1264">
        <v>1542280503</v>
      </c>
      <c r="U543" s="1264">
        <v>1542280503</v>
      </c>
      <c r="V543" s="1266">
        <v>87393664</v>
      </c>
      <c r="W543" s="1262">
        <v>87393664</v>
      </c>
      <c r="X543" s="1269">
        <v>1656177413</v>
      </c>
      <c r="Y543"/>
      <c r="Z543"/>
      <c r="AA543"/>
      <c r="AB543"/>
    </row>
    <row r="544" spans="1:28" s="205" customFormat="1">
      <c r="A544" s="1207"/>
      <c r="B544" s="1205" t="s">
        <v>119</v>
      </c>
      <c r="C544" s="1264">
        <v>26503246</v>
      </c>
      <c r="D544" s="1268"/>
      <c r="E544" s="1268"/>
      <c r="F544" s="1268"/>
      <c r="G544" s="1268"/>
      <c r="H544" s="1268"/>
      <c r="I544" s="1352">
        <v>26503246</v>
      </c>
      <c r="J544" s="1266"/>
      <c r="K544" s="1268"/>
      <c r="L544" s="1268"/>
      <c r="M544" s="1268"/>
      <c r="N544" s="1268"/>
      <c r="O544" s="1352"/>
      <c r="P544" s="1264"/>
      <c r="Q544" s="1268"/>
      <c r="R544" s="1268"/>
      <c r="S544" s="1264"/>
      <c r="T544" s="1264">
        <v>1328835197</v>
      </c>
      <c r="U544" s="1264">
        <v>1328835197</v>
      </c>
      <c r="V544" s="1266">
        <v>78432834</v>
      </c>
      <c r="W544" s="1267">
        <v>78432834</v>
      </c>
      <c r="X544" s="1269">
        <v>1433771277</v>
      </c>
      <c r="Y544"/>
      <c r="Z544"/>
      <c r="AA544"/>
      <c r="AB544"/>
    </row>
    <row r="545" spans="1:28" s="204" customFormat="1" ht="13.5" thickBot="1">
      <c r="A545" s="1207"/>
      <c r="B545" s="1205" t="s">
        <v>301</v>
      </c>
      <c r="C545" s="1264">
        <v>0</v>
      </c>
      <c r="D545" s="1268">
        <v>0</v>
      </c>
      <c r="E545" s="1268">
        <v>0</v>
      </c>
      <c r="F545" s="1268">
        <v>0</v>
      </c>
      <c r="G545" s="1268">
        <v>0</v>
      </c>
      <c r="H545" s="1268">
        <v>0</v>
      </c>
      <c r="I545" s="1352">
        <v>0</v>
      </c>
      <c r="J545" s="1266">
        <v>0</v>
      </c>
      <c r="K545" s="1268">
        <v>0</v>
      </c>
      <c r="L545" s="1268">
        <v>0</v>
      </c>
      <c r="M545" s="1268">
        <v>0</v>
      </c>
      <c r="N545" s="1268">
        <v>0</v>
      </c>
      <c r="O545" s="1352">
        <v>0</v>
      </c>
      <c r="P545" s="1264">
        <v>0</v>
      </c>
      <c r="Q545" s="1268">
        <v>0</v>
      </c>
      <c r="R545" s="1268">
        <v>0</v>
      </c>
      <c r="S545" s="1264">
        <v>0</v>
      </c>
      <c r="T545" s="1264">
        <v>-13.83959050152111</v>
      </c>
      <c r="U545" s="1264">
        <v>-13.83959050152111</v>
      </c>
      <c r="V545" s="1266">
        <v>-10.253409217400474</v>
      </c>
      <c r="W545" s="1281">
        <v>-10.253409217400474</v>
      </c>
      <c r="X545" s="1269">
        <v>-13.42888353954384</v>
      </c>
      <c r="Y545"/>
      <c r="Z545"/>
      <c r="AA545"/>
      <c r="AB545"/>
    </row>
    <row r="546" spans="1:28">
      <c r="A546" s="1207"/>
      <c r="B546" s="1205" t="s">
        <v>120</v>
      </c>
      <c r="C546" s="1264">
        <v>8773012</v>
      </c>
      <c r="D546" s="1268"/>
      <c r="E546" s="1268"/>
      <c r="F546" s="1268"/>
      <c r="G546" s="1268"/>
      <c r="H546" s="1268"/>
      <c r="I546" s="1352">
        <v>8773012</v>
      </c>
      <c r="J546" s="1266"/>
      <c r="K546" s="1268"/>
      <c r="L546" s="1268"/>
      <c r="M546" s="1268"/>
      <c r="N546" s="1268"/>
      <c r="O546" s="1352"/>
      <c r="P546" s="1264"/>
      <c r="Q546" s="1268"/>
      <c r="R546" s="1268"/>
      <c r="S546" s="1264"/>
      <c r="T546" s="1262">
        <v>167008661</v>
      </c>
      <c r="U546" s="1264">
        <v>167008661</v>
      </c>
      <c r="V546" s="1266"/>
      <c r="W546" s="1264"/>
      <c r="X546" s="1269">
        <v>175781673</v>
      </c>
      <c r="Y546"/>
      <c r="Z546"/>
      <c r="AA546"/>
      <c r="AB546"/>
    </row>
    <row r="547" spans="1:28" s="205" customFormat="1">
      <c r="A547" s="1207"/>
      <c r="B547" s="1205" t="s">
        <v>450</v>
      </c>
      <c r="C547" s="1264">
        <v>7819584</v>
      </c>
      <c r="D547" s="1268"/>
      <c r="E547" s="1268"/>
      <c r="F547" s="1268"/>
      <c r="G547" s="1268"/>
      <c r="H547" s="1268"/>
      <c r="I547" s="1352">
        <v>7819584</v>
      </c>
      <c r="J547" s="1266"/>
      <c r="K547" s="1268"/>
      <c r="L547" s="1268"/>
      <c r="M547" s="1268"/>
      <c r="N547" s="1268"/>
      <c r="O547" s="1352"/>
      <c r="P547" s="1264"/>
      <c r="Q547" s="1268"/>
      <c r="R547" s="1268"/>
      <c r="S547" s="1264"/>
      <c r="T547" s="1267">
        <v>186953389</v>
      </c>
      <c r="U547" s="1264">
        <v>186953389</v>
      </c>
      <c r="V547" s="1266"/>
      <c r="W547" s="1264"/>
      <c r="X547" s="1269">
        <v>194772973</v>
      </c>
      <c r="Y547"/>
      <c r="Z547"/>
      <c r="AA547"/>
      <c r="AB547"/>
    </row>
    <row r="548" spans="1:28" s="204" customFormat="1" ht="13.5" thickBot="1">
      <c r="A548" s="1207"/>
      <c r="B548" s="1205" t="s">
        <v>335</v>
      </c>
      <c r="C548" s="1264">
        <v>-10.867738468840576</v>
      </c>
      <c r="D548" s="1268">
        <v>0</v>
      </c>
      <c r="E548" s="1268">
        <v>0</v>
      </c>
      <c r="F548" s="1268">
        <v>0</v>
      </c>
      <c r="G548" s="1268">
        <v>0</v>
      </c>
      <c r="H548" s="1268">
        <v>0</v>
      </c>
      <c r="I548" s="1352">
        <v>-10.867738468840576</v>
      </c>
      <c r="J548" s="1266">
        <v>0</v>
      </c>
      <c r="K548" s="1268">
        <v>0</v>
      </c>
      <c r="L548" s="1268">
        <v>0</v>
      </c>
      <c r="M548" s="1268">
        <v>0</v>
      </c>
      <c r="N548" s="1268">
        <v>0</v>
      </c>
      <c r="O548" s="1352">
        <v>0</v>
      </c>
      <c r="P548" s="1264">
        <v>0</v>
      </c>
      <c r="Q548" s="1268">
        <v>0</v>
      </c>
      <c r="R548" s="1268">
        <v>0</v>
      </c>
      <c r="S548" s="1264">
        <v>0</v>
      </c>
      <c r="T548" s="1281">
        <v>11.942331541715671</v>
      </c>
      <c r="U548" s="1264">
        <v>11.942331541715671</v>
      </c>
      <c r="V548" s="1266">
        <v>0</v>
      </c>
      <c r="W548" s="1264">
        <v>0</v>
      </c>
      <c r="X548" s="1269">
        <v>10.803913557017971</v>
      </c>
      <c r="Y548"/>
      <c r="Z548"/>
      <c r="AA548"/>
      <c r="AB548"/>
    </row>
    <row r="549" spans="1:28">
      <c r="A549" s="1207"/>
      <c r="B549" s="1205" t="s">
        <v>35</v>
      </c>
      <c r="C549" s="1264">
        <v>3905419528</v>
      </c>
      <c r="D549" s="1268">
        <v>646573611</v>
      </c>
      <c r="E549" s="1268">
        <v>1925554595</v>
      </c>
      <c r="F549" s="1268">
        <v>83500744</v>
      </c>
      <c r="G549" s="1268">
        <v>91189110</v>
      </c>
      <c r="H549" s="1268">
        <v>28826075</v>
      </c>
      <c r="I549" s="1352">
        <v>6681063663</v>
      </c>
      <c r="J549" s="1266">
        <v>196617380</v>
      </c>
      <c r="K549" s="1268">
        <v>2091474098</v>
      </c>
      <c r="L549" s="1268">
        <v>586908965</v>
      </c>
      <c r="M549" s="1268">
        <v>139768166</v>
      </c>
      <c r="N549" s="1268">
        <v>688888889</v>
      </c>
      <c r="O549" s="1352">
        <v>3703657498</v>
      </c>
      <c r="P549" s="1264"/>
      <c r="Q549" s="1268"/>
      <c r="R549" s="1268"/>
      <c r="S549" s="1264"/>
      <c r="T549" s="1264">
        <v>0</v>
      </c>
      <c r="U549" s="1264">
        <v>0</v>
      </c>
      <c r="V549" s="1266">
        <v>1853029</v>
      </c>
      <c r="W549" s="1264">
        <v>1853029</v>
      </c>
      <c r="X549" s="1269">
        <v>10386574190</v>
      </c>
      <c r="Y549"/>
      <c r="Z549"/>
      <c r="AA549"/>
      <c r="AB549"/>
    </row>
    <row r="550" spans="1:28" s="205" customFormat="1">
      <c r="A550" s="1207"/>
      <c r="B550" s="1205" t="s">
        <v>37</v>
      </c>
      <c r="C550" s="1264">
        <v>4100639595</v>
      </c>
      <c r="D550" s="1268">
        <v>654031401</v>
      </c>
      <c r="E550" s="1268">
        <v>2001410478</v>
      </c>
      <c r="F550" s="1268">
        <v>88540817</v>
      </c>
      <c r="G550" s="1268">
        <v>92967546</v>
      </c>
      <c r="H550" s="1268">
        <v>29450497</v>
      </c>
      <c r="I550" s="1352">
        <v>6967040334</v>
      </c>
      <c r="J550" s="1266">
        <v>213389620</v>
      </c>
      <c r="K550" s="1268">
        <v>2184912445</v>
      </c>
      <c r="L550" s="1268">
        <v>628506920</v>
      </c>
      <c r="M550" s="1268">
        <v>143617796</v>
      </c>
      <c r="N550" s="1268">
        <v>707474211</v>
      </c>
      <c r="O550" s="1352">
        <v>3877900992</v>
      </c>
      <c r="P550" s="1264"/>
      <c r="Q550" s="1268"/>
      <c r="R550" s="1268"/>
      <c r="S550" s="1264"/>
      <c r="T550" s="1264">
        <v>0</v>
      </c>
      <c r="U550" s="1264">
        <v>0</v>
      </c>
      <c r="V550" s="1266">
        <v>1853029</v>
      </c>
      <c r="W550" s="1264">
        <v>1853029</v>
      </c>
      <c r="X550" s="1269">
        <v>10846794355</v>
      </c>
      <c r="Y550"/>
      <c r="Z550"/>
      <c r="AA550"/>
      <c r="AB550"/>
    </row>
    <row r="551" spans="1:28" s="214" customFormat="1">
      <c r="A551" s="1333"/>
      <c r="B551" s="1205" t="s">
        <v>39</v>
      </c>
      <c r="C551" s="1264">
        <v>4.9986964422225322</v>
      </c>
      <c r="D551" s="1268">
        <v>1.1534324743729758</v>
      </c>
      <c r="E551" s="1268">
        <v>3.9394303956362244</v>
      </c>
      <c r="F551" s="1268">
        <v>6.0359617873584455</v>
      </c>
      <c r="G551" s="1268">
        <v>1.9502723515998786</v>
      </c>
      <c r="H551" s="1268">
        <v>2.1661707325745874</v>
      </c>
      <c r="I551" s="1352">
        <v>4.2804063158947327</v>
      </c>
      <c r="J551" s="1266">
        <v>8.5303954309634271</v>
      </c>
      <c r="K551" s="1268">
        <v>4.4675832748467537</v>
      </c>
      <c r="L551" s="1268">
        <v>7.0876332584219419</v>
      </c>
      <c r="M551" s="1268">
        <v>2.7542967115988342</v>
      </c>
      <c r="N551" s="1268">
        <v>2.6978693221455052</v>
      </c>
      <c r="O551" s="1352">
        <v>4.7046330308375612</v>
      </c>
      <c r="P551" s="1264">
        <v>0</v>
      </c>
      <c r="Q551" s="1268">
        <v>0</v>
      </c>
      <c r="R551" s="1268">
        <v>0</v>
      </c>
      <c r="S551" s="1264">
        <v>0</v>
      </c>
      <c r="T551" s="1264">
        <v>0</v>
      </c>
      <c r="U551" s="1264">
        <v>0</v>
      </c>
      <c r="V551" s="1266">
        <v>0</v>
      </c>
      <c r="W551" s="1264">
        <v>0</v>
      </c>
      <c r="X551" s="1269">
        <v>4.4309139527746444</v>
      </c>
      <c r="Y551"/>
      <c r="Z551"/>
      <c r="AA551"/>
      <c r="AB551"/>
    </row>
    <row r="552" spans="1:28">
      <c r="A552" s="1206" t="s">
        <v>216</v>
      </c>
      <c r="B552" s="1204" t="s">
        <v>253</v>
      </c>
      <c r="C552" s="1259">
        <v>444423331</v>
      </c>
      <c r="D552" s="1260">
        <v>174446036</v>
      </c>
      <c r="E552" s="1260">
        <v>104889828</v>
      </c>
      <c r="F552" s="1260">
        <v>73194106</v>
      </c>
      <c r="G552" s="1260">
        <v>67081714</v>
      </c>
      <c r="H552" s="1260">
        <v>12373725</v>
      </c>
      <c r="I552" s="1355">
        <v>876408740</v>
      </c>
      <c r="J552" s="1261"/>
      <c r="K552" s="1260"/>
      <c r="L552" s="1260"/>
      <c r="M552" s="1260">
        <v>5304163</v>
      </c>
      <c r="N552" s="1260">
        <v>331304087</v>
      </c>
      <c r="O552" s="1355">
        <v>336608250</v>
      </c>
      <c r="P552" s="1259"/>
      <c r="Q552" s="1260"/>
      <c r="R552" s="1260"/>
      <c r="S552" s="1259"/>
      <c r="T552" s="1259"/>
      <c r="U552" s="1259"/>
      <c r="V552" s="1261"/>
      <c r="W552" s="1259"/>
      <c r="X552" s="1263">
        <v>1213016990</v>
      </c>
      <c r="Y552"/>
      <c r="Z552"/>
      <c r="AA552"/>
      <c r="AB552"/>
    </row>
    <row r="553" spans="1:28" s="205" customFormat="1">
      <c r="A553" s="1207"/>
      <c r="B553" s="1205" t="s">
        <v>4</v>
      </c>
      <c r="C553" s="1264">
        <v>443846926</v>
      </c>
      <c r="D553" s="1268">
        <v>170661970</v>
      </c>
      <c r="E553" s="1268">
        <v>103385319</v>
      </c>
      <c r="F553" s="1268">
        <v>72516277</v>
      </c>
      <c r="G553" s="1268">
        <v>66224528</v>
      </c>
      <c r="H553" s="1268">
        <v>11829222</v>
      </c>
      <c r="I553" s="1352">
        <v>868464242</v>
      </c>
      <c r="J553" s="1266"/>
      <c r="K553" s="1268"/>
      <c r="L553" s="1268"/>
      <c r="M553" s="1268">
        <v>5234621</v>
      </c>
      <c r="N553" s="1268">
        <v>326922487</v>
      </c>
      <c r="O553" s="1352">
        <v>332157108</v>
      </c>
      <c r="P553" s="1264"/>
      <c r="Q553" s="1268"/>
      <c r="R553" s="1268"/>
      <c r="S553" s="1264"/>
      <c r="T553" s="1264"/>
      <c r="U553" s="1264"/>
      <c r="V553" s="1266"/>
      <c r="W553" s="1264"/>
      <c r="X553" s="1269">
        <v>1200621350</v>
      </c>
      <c r="Y553"/>
      <c r="Z553"/>
      <c r="AA553"/>
      <c r="AB553"/>
    </row>
    <row r="554" spans="1:28" s="204" customFormat="1" ht="13.5" thickBot="1">
      <c r="A554" s="1207"/>
      <c r="B554" s="1205" t="s">
        <v>175</v>
      </c>
      <c r="C554" s="1264">
        <v>-0.12969728630201008</v>
      </c>
      <c r="D554" s="1268">
        <v>-2.1691900181669936</v>
      </c>
      <c r="E554" s="1268">
        <v>-1.4343707380280954</v>
      </c>
      <c r="F554" s="1268">
        <v>-0.92607046802375048</v>
      </c>
      <c r="G554" s="1268">
        <v>-1.2778236405825885</v>
      </c>
      <c r="H554" s="1268">
        <v>-4.4004776249674205</v>
      </c>
      <c r="I554" s="1352">
        <v>-0.90648320097766255</v>
      </c>
      <c r="J554" s="1266">
        <v>0</v>
      </c>
      <c r="K554" s="1268">
        <v>0</v>
      </c>
      <c r="L554" s="1268">
        <v>0</v>
      </c>
      <c r="M554" s="1268">
        <v>-1.3110833886515176</v>
      </c>
      <c r="N554" s="1268">
        <v>-1.3225312249166428</v>
      </c>
      <c r="O554" s="1352">
        <v>-1.3223508336471255</v>
      </c>
      <c r="P554" s="1264">
        <v>0</v>
      </c>
      <c r="Q554" s="1268">
        <v>0</v>
      </c>
      <c r="R554" s="1268">
        <v>0</v>
      </c>
      <c r="S554" s="1264">
        <v>0</v>
      </c>
      <c r="T554" s="1264">
        <v>0</v>
      </c>
      <c r="U554" s="1264">
        <v>0</v>
      </c>
      <c r="V554" s="1266">
        <v>0</v>
      </c>
      <c r="W554" s="1264">
        <v>0</v>
      </c>
      <c r="X554" s="1269">
        <v>-1.0218851097872916</v>
      </c>
      <c r="Y554"/>
      <c r="Z554"/>
      <c r="AA554"/>
      <c r="AB554"/>
    </row>
    <row r="555" spans="1:28">
      <c r="A555" s="1207"/>
      <c r="B555" s="1205" t="s">
        <v>269</v>
      </c>
      <c r="C555" s="1264">
        <v>70155053</v>
      </c>
      <c r="D555" s="1268">
        <v>20323080</v>
      </c>
      <c r="E555" s="1268"/>
      <c r="F555" s="1262">
        <v>4693168</v>
      </c>
      <c r="G555" s="1268">
        <v>362500</v>
      </c>
      <c r="H555" s="1268"/>
      <c r="I555" s="1352">
        <v>95533801</v>
      </c>
      <c r="J555" s="1266"/>
      <c r="K555" s="1268"/>
      <c r="L555" s="1268"/>
      <c r="M555" s="1268"/>
      <c r="N555" s="1268"/>
      <c r="O555" s="1352"/>
      <c r="P555" s="1264"/>
      <c r="Q555" s="1268"/>
      <c r="R555" s="1268"/>
      <c r="S555" s="1264"/>
      <c r="T555" s="1264"/>
      <c r="U555" s="1264"/>
      <c r="V555" s="1266">
        <v>97438377</v>
      </c>
      <c r="W555" s="1262">
        <v>97438377</v>
      </c>
      <c r="X555" s="1269">
        <v>192972178</v>
      </c>
      <c r="Y555"/>
      <c r="Z555"/>
      <c r="AA555"/>
      <c r="AB555"/>
    </row>
    <row r="556" spans="1:28" s="205" customFormat="1">
      <c r="A556" s="1207"/>
      <c r="B556" s="1205" t="s">
        <v>342</v>
      </c>
      <c r="C556" s="1264">
        <v>73763213</v>
      </c>
      <c r="D556" s="1268">
        <v>21188465</v>
      </c>
      <c r="E556" s="1268"/>
      <c r="F556" s="1267">
        <v>5104160</v>
      </c>
      <c r="G556" s="1268">
        <v>26875</v>
      </c>
      <c r="H556" s="1268"/>
      <c r="I556" s="1352">
        <v>100082713</v>
      </c>
      <c r="J556" s="1266"/>
      <c r="K556" s="1268"/>
      <c r="L556" s="1268"/>
      <c r="M556" s="1268"/>
      <c r="N556" s="1268"/>
      <c r="O556" s="1352"/>
      <c r="P556" s="1264"/>
      <c r="Q556" s="1268"/>
      <c r="R556" s="1268"/>
      <c r="S556" s="1264"/>
      <c r="T556" s="1264"/>
      <c r="U556" s="1264"/>
      <c r="V556" s="1266">
        <v>79951266</v>
      </c>
      <c r="W556" s="1267">
        <v>79951266</v>
      </c>
      <c r="X556" s="1269">
        <v>180033979</v>
      </c>
      <c r="Y556"/>
      <c r="Z556"/>
      <c r="AA556"/>
      <c r="AB556"/>
    </row>
    <row r="557" spans="1:28" s="204" customFormat="1" ht="13.5" thickBot="1">
      <c r="A557" s="1207"/>
      <c r="B557" s="1205" t="s">
        <v>344</v>
      </c>
      <c r="C557" s="1264">
        <v>5.1431220499541208</v>
      </c>
      <c r="D557" s="1268">
        <v>4.2581390222348183</v>
      </c>
      <c r="E557" s="1268">
        <v>0</v>
      </c>
      <c r="F557" s="1281">
        <v>8.7572403118746234</v>
      </c>
      <c r="G557" s="1268">
        <v>-92.58620689655173</v>
      </c>
      <c r="H557" s="1268">
        <v>0</v>
      </c>
      <c r="I557" s="1352">
        <v>4.7615733409372041</v>
      </c>
      <c r="J557" s="1266">
        <v>0</v>
      </c>
      <c r="K557" s="1268">
        <v>0</v>
      </c>
      <c r="L557" s="1268">
        <v>0</v>
      </c>
      <c r="M557" s="1268">
        <v>0</v>
      </c>
      <c r="N557" s="1268">
        <v>0</v>
      </c>
      <c r="O557" s="1352">
        <v>0</v>
      </c>
      <c r="P557" s="1264">
        <v>0</v>
      </c>
      <c r="Q557" s="1268">
        <v>0</v>
      </c>
      <c r="R557" s="1268">
        <v>0</v>
      </c>
      <c r="S557" s="1264">
        <v>0</v>
      </c>
      <c r="T557" s="1264">
        <v>0</v>
      </c>
      <c r="U557" s="1264">
        <v>0</v>
      </c>
      <c r="V557" s="1266">
        <v>-17.946841417524841</v>
      </c>
      <c r="W557" s="1281">
        <v>-17.946841417524841</v>
      </c>
      <c r="X557" s="1269">
        <v>-6.7046965703004089</v>
      </c>
      <c r="Y557"/>
      <c r="Z557"/>
      <c r="AA557"/>
      <c r="AB557"/>
    </row>
    <row r="558" spans="1:28">
      <c r="A558" s="1207"/>
      <c r="B558" s="1205" t="s">
        <v>5</v>
      </c>
      <c r="C558" s="1264"/>
      <c r="D558" s="1268"/>
      <c r="E558" s="1268"/>
      <c r="F558" s="1268"/>
      <c r="G558" s="1268"/>
      <c r="H558" s="1268"/>
      <c r="I558" s="1352"/>
      <c r="J558" s="1266"/>
      <c r="K558" s="1268"/>
      <c r="L558" s="1268"/>
      <c r="M558" s="1268"/>
      <c r="N558" s="1268">
        <v>15452590</v>
      </c>
      <c r="O558" s="1352">
        <v>15452590</v>
      </c>
      <c r="P558" s="1264"/>
      <c r="Q558" s="1268"/>
      <c r="R558" s="1268"/>
      <c r="S558" s="1264"/>
      <c r="T558" s="1264"/>
      <c r="U558" s="1264"/>
      <c r="V558" s="1266"/>
      <c r="W558" s="1264"/>
      <c r="X558" s="1269">
        <v>15452590</v>
      </c>
      <c r="Y558"/>
      <c r="Z558"/>
      <c r="AA558"/>
      <c r="AB558"/>
    </row>
    <row r="559" spans="1:28" s="205" customFormat="1">
      <c r="A559" s="1207"/>
      <c r="B559" s="1205" t="s">
        <v>6</v>
      </c>
      <c r="C559" s="1264"/>
      <c r="D559" s="1268"/>
      <c r="E559" s="1268"/>
      <c r="F559" s="1268"/>
      <c r="G559" s="1268"/>
      <c r="H559" s="1268"/>
      <c r="I559" s="1352"/>
      <c r="J559" s="1266"/>
      <c r="K559" s="1268"/>
      <c r="L559" s="1268"/>
      <c r="M559" s="1268"/>
      <c r="N559" s="1268">
        <v>7592748</v>
      </c>
      <c r="O559" s="1352">
        <v>7592748</v>
      </c>
      <c r="P559" s="1264"/>
      <c r="Q559" s="1268"/>
      <c r="R559" s="1268"/>
      <c r="S559" s="1264"/>
      <c r="T559" s="1264"/>
      <c r="U559" s="1264"/>
      <c r="V559" s="1266"/>
      <c r="W559" s="1264"/>
      <c r="X559" s="1269">
        <v>7592748</v>
      </c>
      <c r="Y559"/>
      <c r="Z559"/>
      <c r="AA559"/>
      <c r="AB559"/>
    </row>
    <row r="560" spans="1:28" s="204" customFormat="1" ht="13.5" thickBot="1">
      <c r="A560" s="1207"/>
      <c r="B560" s="1205" t="s">
        <v>426</v>
      </c>
      <c r="C560" s="1264">
        <v>0</v>
      </c>
      <c r="D560" s="1268">
        <v>0</v>
      </c>
      <c r="E560" s="1268">
        <v>0</v>
      </c>
      <c r="F560" s="1268">
        <v>0</v>
      </c>
      <c r="G560" s="1268">
        <v>0</v>
      </c>
      <c r="H560" s="1268">
        <v>0</v>
      </c>
      <c r="I560" s="1352">
        <v>0</v>
      </c>
      <c r="J560" s="1266">
        <v>0</v>
      </c>
      <c r="K560" s="1268">
        <v>0</v>
      </c>
      <c r="L560" s="1268">
        <v>0</v>
      </c>
      <c r="M560" s="1268">
        <v>0</v>
      </c>
      <c r="N560" s="1268">
        <v>-50.864236998457869</v>
      </c>
      <c r="O560" s="1352">
        <v>-50.864236998457869</v>
      </c>
      <c r="P560" s="1264">
        <v>0</v>
      </c>
      <c r="Q560" s="1268">
        <v>0</v>
      </c>
      <c r="R560" s="1268">
        <v>0</v>
      </c>
      <c r="S560" s="1264">
        <v>0</v>
      </c>
      <c r="T560" s="1264">
        <v>0</v>
      </c>
      <c r="U560" s="1264">
        <v>0</v>
      </c>
      <c r="V560" s="1266">
        <v>0</v>
      </c>
      <c r="W560" s="1264">
        <v>0</v>
      </c>
      <c r="X560" s="1269">
        <v>-50.864236998457869</v>
      </c>
      <c r="Y560"/>
      <c r="Z560"/>
      <c r="AA560"/>
      <c r="AB560"/>
    </row>
    <row r="561" spans="1:28">
      <c r="A561" s="1207"/>
      <c r="B561" s="1205" t="s">
        <v>322</v>
      </c>
      <c r="C561" s="1264">
        <v>891573887</v>
      </c>
      <c r="D561" s="1268">
        <v>288378300</v>
      </c>
      <c r="E561" s="1262">
        <v>171407199</v>
      </c>
      <c r="F561" s="1268">
        <v>77581374</v>
      </c>
      <c r="G561" s="1262">
        <v>81918931</v>
      </c>
      <c r="H561" s="1268">
        <v>6082463</v>
      </c>
      <c r="I561" s="1352">
        <v>1516942154</v>
      </c>
      <c r="J561" s="1266"/>
      <c r="K561" s="1268"/>
      <c r="L561" s="1268"/>
      <c r="M561" s="1376">
        <v>3347500</v>
      </c>
      <c r="N561" s="1340">
        <v>346660249</v>
      </c>
      <c r="O561" s="1352">
        <v>350007749</v>
      </c>
      <c r="P561" s="1264"/>
      <c r="Q561" s="1268"/>
      <c r="R561" s="1268"/>
      <c r="S561" s="1264"/>
      <c r="T561" s="1264"/>
      <c r="U561" s="1264"/>
      <c r="V561" s="1266"/>
      <c r="W561" s="1264"/>
      <c r="X561" s="1269">
        <v>1866949903</v>
      </c>
      <c r="Y561"/>
      <c r="Z561"/>
      <c r="AA561"/>
      <c r="AB561"/>
    </row>
    <row r="562" spans="1:28" s="205" customFormat="1">
      <c r="A562" s="1207"/>
      <c r="B562" s="1205" t="s">
        <v>22</v>
      </c>
      <c r="C562" s="1264">
        <v>973836736</v>
      </c>
      <c r="D562" s="1268">
        <v>320889380</v>
      </c>
      <c r="E562" s="1267">
        <v>189426898</v>
      </c>
      <c r="F562" s="1268">
        <v>84765941</v>
      </c>
      <c r="G562" s="1267">
        <v>89973214</v>
      </c>
      <c r="H562" s="1268">
        <v>6727326</v>
      </c>
      <c r="I562" s="1352">
        <v>1665619495</v>
      </c>
      <c r="J562" s="1266"/>
      <c r="K562" s="1268"/>
      <c r="L562" s="1268"/>
      <c r="M562" s="1367">
        <v>4356500</v>
      </c>
      <c r="N562" s="1340">
        <v>463162634</v>
      </c>
      <c r="O562" s="1352">
        <v>467519134</v>
      </c>
      <c r="P562" s="1264"/>
      <c r="Q562" s="1268"/>
      <c r="R562" s="1268"/>
      <c r="S562" s="1264"/>
      <c r="T562" s="1264"/>
      <c r="U562" s="1264"/>
      <c r="V562" s="1266"/>
      <c r="W562" s="1264"/>
      <c r="X562" s="1269">
        <v>2133138629</v>
      </c>
      <c r="Y562"/>
      <c r="Z562"/>
      <c r="AA562"/>
      <c r="AB562"/>
    </row>
    <row r="563" spans="1:28" s="204" customFormat="1" ht="13.5" thickBot="1">
      <c r="A563" s="1207"/>
      <c r="B563" s="1205" t="s">
        <v>375</v>
      </c>
      <c r="C563" s="1264">
        <v>9.2267001310234651</v>
      </c>
      <c r="D563" s="1268">
        <v>11.273760889775687</v>
      </c>
      <c r="E563" s="1281">
        <v>10.512801740608339</v>
      </c>
      <c r="F563" s="1268">
        <v>9.260685432047131</v>
      </c>
      <c r="G563" s="1281">
        <v>9.8320167288315812</v>
      </c>
      <c r="H563" s="1268">
        <v>10.602004484038785</v>
      </c>
      <c r="I563" s="1352">
        <v>9.801121328717457</v>
      </c>
      <c r="J563" s="1266">
        <v>0</v>
      </c>
      <c r="K563" s="1268">
        <v>0</v>
      </c>
      <c r="L563" s="1268">
        <v>0</v>
      </c>
      <c r="M563" s="1338">
        <v>30.141896938013442</v>
      </c>
      <c r="N563" s="1340">
        <v>33.607079362595158</v>
      </c>
      <c r="O563" s="1352">
        <v>33.573938101581859</v>
      </c>
      <c r="P563" s="1264">
        <v>0</v>
      </c>
      <c r="Q563" s="1268">
        <v>0</v>
      </c>
      <c r="R563" s="1268">
        <v>0</v>
      </c>
      <c r="S563" s="1264">
        <v>0</v>
      </c>
      <c r="T563" s="1264">
        <v>0</v>
      </c>
      <c r="U563" s="1264">
        <v>0</v>
      </c>
      <c r="V563" s="1266">
        <v>0</v>
      </c>
      <c r="W563" s="1264">
        <v>0</v>
      </c>
      <c r="X563" s="1269">
        <v>14.257946909676667</v>
      </c>
      <c r="Y563"/>
      <c r="Z563"/>
      <c r="AA563"/>
      <c r="AB563"/>
    </row>
    <row r="564" spans="1:28">
      <c r="A564" s="1207"/>
      <c r="B564" s="1205" t="s">
        <v>324</v>
      </c>
      <c r="C564" s="1264">
        <v>7119880</v>
      </c>
      <c r="D564" s="1268">
        <v>2006805</v>
      </c>
      <c r="E564" s="1268">
        <v>1856550</v>
      </c>
      <c r="F564" s="1268">
        <v>611630</v>
      </c>
      <c r="G564" s="1268">
        <v>425790</v>
      </c>
      <c r="H564" s="1268">
        <v>26960</v>
      </c>
      <c r="I564" s="1352">
        <v>12047615</v>
      </c>
      <c r="J564" s="1266"/>
      <c r="K564" s="1268"/>
      <c r="L564" s="1268"/>
      <c r="M564" s="1268">
        <v>3440</v>
      </c>
      <c r="N564" s="1268">
        <v>1753660</v>
      </c>
      <c r="O564" s="1352">
        <v>1757100</v>
      </c>
      <c r="P564" s="1264"/>
      <c r="Q564" s="1268"/>
      <c r="R564" s="1268"/>
      <c r="S564" s="1264"/>
      <c r="T564" s="1264"/>
      <c r="U564" s="1264"/>
      <c r="V564" s="1266"/>
      <c r="W564" s="1264"/>
      <c r="X564" s="1269">
        <v>13804715</v>
      </c>
      <c r="Y564"/>
      <c r="Z564"/>
      <c r="AA564"/>
      <c r="AB564"/>
    </row>
    <row r="565" spans="1:28" s="205" customFormat="1">
      <c r="A565" s="1207"/>
      <c r="B565" s="1205" t="s">
        <v>226</v>
      </c>
      <c r="C565" s="1264">
        <v>10917775</v>
      </c>
      <c r="D565" s="1268">
        <v>3068242</v>
      </c>
      <c r="E565" s="1268">
        <v>2864460</v>
      </c>
      <c r="F565" s="1268">
        <v>1054455</v>
      </c>
      <c r="G565" s="1268">
        <v>643185</v>
      </c>
      <c r="H565" s="1268">
        <v>35108</v>
      </c>
      <c r="I565" s="1352">
        <v>18583225</v>
      </c>
      <c r="J565" s="1266"/>
      <c r="K565" s="1268"/>
      <c r="L565" s="1268"/>
      <c r="M565" s="1268">
        <v>5730</v>
      </c>
      <c r="N565" s="1268">
        <v>2336220</v>
      </c>
      <c r="O565" s="1352">
        <v>2341950</v>
      </c>
      <c r="P565" s="1264"/>
      <c r="Q565" s="1268"/>
      <c r="R565" s="1268"/>
      <c r="S565" s="1264"/>
      <c r="T565" s="1264"/>
      <c r="U565" s="1264"/>
      <c r="V565" s="1266"/>
      <c r="W565" s="1264"/>
      <c r="X565" s="1269">
        <v>20925175</v>
      </c>
      <c r="Y565"/>
      <c r="Z565"/>
      <c r="AA565"/>
      <c r="AB565"/>
    </row>
    <row r="566" spans="1:28" s="204" customFormat="1">
      <c r="A566" s="1207"/>
      <c r="B566" s="1205" t="s">
        <v>236</v>
      </c>
      <c r="C566" s="1264">
        <v>53.342120934622493</v>
      </c>
      <c r="D566" s="1268">
        <v>52.891885360062382</v>
      </c>
      <c r="E566" s="1268">
        <v>54.289407772481212</v>
      </c>
      <c r="F566" s="1268">
        <v>72.400797867992083</v>
      </c>
      <c r="G566" s="1268">
        <v>51.056859015007397</v>
      </c>
      <c r="H566" s="1268">
        <v>30.222551928783382</v>
      </c>
      <c r="I566" s="1352">
        <v>54.24816447072719</v>
      </c>
      <c r="J566" s="1266">
        <v>0</v>
      </c>
      <c r="K566" s="1268">
        <v>0</v>
      </c>
      <c r="L566" s="1268">
        <v>0</v>
      </c>
      <c r="M566" s="1268">
        <v>66.569767441860463</v>
      </c>
      <c r="N566" s="1268">
        <v>33.219666297914074</v>
      </c>
      <c r="O566" s="1352">
        <v>33.284958169711452</v>
      </c>
      <c r="P566" s="1264">
        <v>0</v>
      </c>
      <c r="Q566" s="1268">
        <v>0</v>
      </c>
      <c r="R566" s="1268">
        <v>0</v>
      </c>
      <c r="S566" s="1264">
        <v>0</v>
      </c>
      <c r="T566" s="1264">
        <v>0</v>
      </c>
      <c r="U566" s="1264">
        <v>0</v>
      </c>
      <c r="V566" s="1266">
        <v>0</v>
      </c>
      <c r="W566" s="1264">
        <v>0</v>
      </c>
      <c r="X566" s="1269">
        <v>51.579913094909969</v>
      </c>
      <c r="Y566"/>
      <c r="Z566"/>
      <c r="AA566"/>
      <c r="AB566"/>
    </row>
    <row r="567" spans="1:28">
      <c r="A567" s="1207"/>
      <c r="B567" s="1205" t="s">
        <v>449</v>
      </c>
      <c r="C567" s="1264">
        <v>898693767</v>
      </c>
      <c r="D567" s="1268">
        <v>290385105</v>
      </c>
      <c r="E567" s="1268">
        <v>173263749</v>
      </c>
      <c r="F567" s="1268">
        <v>78193004</v>
      </c>
      <c r="G567" s="1268">
        <v>82344721</v>
      </c>
      <c r="H567" s="1268">
        <v>6109423</v>
      </c>
      <c r="I567" s="1352">
        <v>1528989769</v>
      </c>
      <c r="J567" s="1266"/>
      <c r="K567" s="1268">
        <v>0</v>
      </c>
      <c r="L567" s="1268">
        <v>0</v>
      </c>
      <c r="M567" s="1268">
        <v>3350940</v>
      </c>
      <c r="N567" s="1268">
        <v>348413909</v>
      </c>
      <c r="O567" s="1352">
        <v>351764849</v>
      </c>
      <c r="P567" s="1264"/>
      <c r="Q567" s="1268"/>
      <c r="R567" s="1268"/>
      <c r="S567" s="1264"/>
      <c r="T567" s="1264">
        <v>0</v>
      </c>
      <c r="U567" s="1264">
        <v>0</v>
      </c>
      <c r="V567" s="1266">
        <v>0</v>
      </c>
      <c r="W567" s="1264">
        <v>0</v>
      </c>
      <c r="X567" s="1269">
        <v>1880754618</v>
      </c>
      <c r="Y567"/>
      <c r="Z567"/>
      <c r="AA567"/>
      <c r="AB567"/>
    </row>
    <row r="568" spans="1:28" s="205" customFormat="1">
      <c r="A568" s="1207"/>
      <c r="B568" s="1205" t="s">
        <v>109</v>
      </c>
      <c r="C568" s="1264">
        <v>984754511</v>
      </c>
      <c r="D568" s="1268">
        <v>323957622</v>
      </c>
      <c r="E568" s="1268">
        <v>192291358</v>
      </c>
      <c r="F568" s="1268">
        <v>85820396</v>
      </c>
      <c r="G568" s="1268">
        <v>90616399</v>
      </c>
      <c r="H568" s="1268">
        <v>6762434</v>
      </c>
      <c r="I568" s="1352">
        <v>1684202720</v>
      </c>
      <c r="J568" s="1266"/>
      <c r="K568" s="1268">
        <v>0</v>
      </c>
      <c r="L568" s="1268">
        <v>0</v>
      </c>
      <c r="M568" s="1268">
        <v>4362230</v>
      </c>
      <c r="N568" s="1268">
        <v>465498854</v>
      </c>
      <c r="O568" s="1352">
        <v>469861084</v>
      </c>
      <c r="P568" s="1264"/>
      <c r="Q568" s="1268"/>
      <c r="R568" s="1268"/>
      <c r="S568" s="1264"/>
      <c r="T568" s="1264">
        <v>0</v>
      </c>
      <c r="U568" s="1264">
        <v>0</v>
      </c>
      <c r="V568" s="1266">
        <v>0</v>
      </c>
      <c r="W568" s="1264">
        <v>0</v>
      </c>
      <c r="X568" s="1269">
        <v>2154063804</v>
      </c>
      <c r="Y568"/>
      <c r="Z568"/>
      <c r="AA568"/>
      <c r="AB568"/>
    </row>
    <row r="569" spans="1:28" s="204" customFormat="1">
      <c r="A569" s="1207"/>
      <c r="B569" s="1205" t="s">
        <v>83</v>
      </c>
      <c r="C569" s="1264">
        <v>9.5762035033675712</v>
      </c>
      <c r="D569" s="1268">
        <v>11.561377089227769</v>
      </c>
      <c r="E569" s="1268">
        <v>10.981875383522954</v>
      </c>
      <c r="F569" s="1268">
        <v>9.7545708820702171</v>
      </c>
      <c r="G569" s="1268">
        <v>10.045183102873104</v>
      </c>
      <c r="H569" s="1268">
        <v>10.688587121893507</v>
      </c>
      <c r="I569" s="1352">
        <v>10.151340064329757</v>
      </c>
      <c r="J569" s="1266">
        <v>0</v>
      </c>
      <c r="K569" s="1268">
        <v>0</v>
      </c>
      <c r="L569" s="1268">
        <v>0</v>
      </c>
      <c r="M569" s="1268">
        <v>30.179292974508648</v>
      </c>
      <c r="N569" s="1268">
        <v>33.605129409457646</v>
      </c>
      <c r="O569" s="1352">
        <v>33.572494618414815</v>
      </c>
      <c r="P569" s="1264">
        <v>0</v>
      </c>
      <c r="Q569" s="1268">
        <v>0</v>
      </c>
      <c r="R569" s="1268">
        <v>0</v>
      </c>
      <c r="S569" s="1264">
        <v>0</v>
      </c>
      <c r="T569" s="1264">
        <v>0</v>
      </c>
      <c r="U569" s="1264">
        <v>0</v>
      </c>
      <c r="V569" s="1266">
        <v>0</v>
      </c>
      <c r="W569" s="1264">
        <v>0</v>
      </c>
      <c r="X569" s="1269">
        <v>14.531889667278222</v>
      </c>
      <c r="Y569"/>
      <c r="Z569"/>
      <c r="AA569"/>
      <c r="AB569"/>
    </row>
    <row r="570" spans="1:28">
      <c r="A570" s="1207"/>
      <c r="B570" s="1205" t="s">
        <v>111</v>
      </c>
      <c r="C570" s="1264"/>
      <c r="D570" s="1268"/>
      <c r="E570" s="1268"/>
      <c r="F570" s="1268"/>
      <c r="G570" s="1268"/>
      <c r="H570" s="1268"/>
      <c r="I570" s="1352"/>
      <c r="J570" s="1266"/>
      <c r="K570" s="1268"/>
      <c r="L570" s="1268"/>
      <c r="M570" s="1268"/>
      <c r="N570" s="1268"/>
      <c r="O570" s="1352"/>
      <c r="P570" s="1264"/>
      <c r="Q570" s="1268"/>
      <c r="R570" s="1268"/>
      <c r="S570" s="1264"/>
      <c r="T570" s="1264">
        <v>11624418</v>
      </c>
      <c r="U570" s="1264">
        <v>11624418</v>
      </c>
      <c r="V570" s="1266">
        <v>252549629</v>
      </c>
      <c r="W570" s="1264">
        <v>252549629</v>
      </c>
      <c r="X570" s="1269">
        <v>264174047</v>
      </c>
      <c r="Y570"/>
      <c r="Z570"/>
      <c r="AA570"/>
      <c r="AB570"/>
    </row>
    <row r="571" spans="1:28" s="205" customFormat="1">
      <c r="A571" s="1207"/>
      <c r="B571" s="1205" t="s">
        <v>113</v>
      </c>
      <c r="C571" s="1264"/>
      <c r="D571" s="1268"/>
      <c r="E571" s="1268"/>
      <c r="F571" s="1268"/>
      <c r="G571" s="1268"/>
      <c r="H571" s="1268"/>
      <c r="I571" s="1352"/>
      <c r="J571" s="1266"/>
      <c r="K571" s="1268"/>
      <c r="L571" s="1268"/>
      <c r="M571" s="1268"/>
      <c r="N571" s="1268"/>
      <c r="O571" s="1352"/>
      <c r="P571" s="1264"/>
      <c r="Q571" s="1268"/>
      <c r="R571" s="1268"/>
      <c r="S571" s="1264"/>
      <c r="T571" s="1264">
        <v>11446268</v>
      </c>
      <c r="U571" s="1264">
        <v>11446268</v>
      </c>
      <c r="V571" s="1266">
        <v>228304658</v>
      </c>
      <c r="W571" s="1264">
        <v>228304658</v>
      </c>
      <c r="X571" s="1269">
        <v>239750926</v>
      </c>
      <c r="Y571"/>
      <c r="Z571"/>
      <c r="AA571"/>
      <c r="AB571"/>
    </row>
    <row r="572" spans="1:28" s="204" customFormat="1">
      <c r="A572" s="1207"/>
      <c r="B572" s="1205" t="s">
        <v>115</v>
      </c>
      <c r="C572" s="1264">
        <v>0</v>
      </c>
      <c r="D572" s="1268">
        <v>0</v>
      </c>
      <c r="E572" s="1268">
        <v>0</v>
      </c>
      <c r="F572" s="1268">
        <v>0</v>
      </c>
      <c r="G572" s="1268">
        <v>0</v>
      </c>
      <c r="H572" s="1268">
        <v>0</v>
      </c>
      <c r="I572" s="1352">
        <v>0</v>
      </c>
      <c r="J572" s="1266">
        <v>0</v>
      </c>
      <c r="K572" s="1268">
        <v>0</v>
      </c>
      <c r="L572" s="1268">
        <v>0</v>
      </c>
      <c r="M572" s="1268">
        <v>0</v>
      </c>
      <c r="N572" s="1268">
        <v>0</v>
      </c>
      <c r="O572" s="1352">
        <v>0</v>
      </c>
      <c r="P572" s="1264">
        <v>0</v>
      </c>
      <c r="Q572" s="1268">
        <v>0</v>
      </c>
      <c r="R572" s="1268">
        <v>0</v>
      </c>
      <c r="S572" s="1264">
        <v>0</v>
      </c>
      <c r="T572" s="1264">
        <v>-1.5325498446459858</v>
      </c>
      <c r="U572" s="1264">
        <v>-1.5325498446459858</v>
      </c>
      <c r="V572" s="1266">
        <v>-9.6000818120386153</v>
      </c>
      <c r="W572" s="1264">
        <v>-9.6000818120386153</v>
      </c>
      <c r="X572" s="1269">
        <v>-9.2450871981379752</v>
      </c>
      <c r="Y572"/>
      <c r="Z572"/>
      <c r="AA572"/>
      <c r="AB572"/>
    </row>
    <row r="573" spans="1:28">
      <c r="A573" s="1207"/>
      <c r="B573" s="1205" t="s">
        <v>339</v>
      </c>
      <c r="C573" s="1264"/>
      <c r="D573" s="1268"/>
      <c r="E573" s="1268"/>
      <c r="F573" s="1268"/>
      <c r="G573" s="1268"/>
      <c r="H573" s="1268"/>
      <c r="I573" s="1352"/>
      <c r="J573" s="1266"/>
      <c r="K573" s="1268"/>
      <c r="L573" s="1268"/>
      <c r="M573" s="1268"/>
      <c r="N573" s="1268"/>
      <c r="O573" s="1352"/>
      <c r="P573" s="1264"/>
      <c r="Q573" s="1268"/>
      <c r="R573" s="1268"/>
      <c r="S573" s="1264"/>
      <c r="T573" s="1264">
        <v>19764717</v>
      </c>
      <c r="U573" s="1264">
        <v>19764717</v>
      </c>
      <c r="V573" s="1266"/>
      <c r="W573" s="1264"/>
      <c r="X573" s="1269">
        <v>19764717</v>
      </c>
      <c r="Y573"/>
      <c r="Z573"/>
      <c r="AA573"/>
      <c r="AB573"/>
    </row>
    <row r="574" spans="1:28" s="205" customFormat="1">
      <c r="A574" s="1207"/>
      <c r="B574" s="1205" t="s">
        <v>223</v>
      </c>
      <c r="C574" s="1264"/>
      <c r="D574" s="1268"/>
      <c r="E574" s="1268"/>
      <c r="F574" s="1268"/>
      <c r="G574" s="1268"/>
      <c r="H574" s="1268"/>
      <c r="I574" s="1352"/>
      <c r="J574" s="1266"/>
      <c r="K574" s="1268"/>
      <c r="L574" s="1268"/>
      <c r="M574" s="1268"/>
      <c r="N574" s="1268"/>
      <c r="O574" s="1352"/>
      <c r="P574" s="1264"/>
      <c r="Q574" s="1268"/>
      <c r="R574" s="1268"/>
      <c r="S574" s="1264"/>
      <c r="T574" s="1264">
        <v>22459717</v>
      </c>
      <c r="U574" s="1264">
        <v>22459717</v>
      </c>
      <c r="V574" s="1266"/>
      <c r="W574" s="1264"/>
      <c r="X574" s="1269">
        <v>22459717</v>
      </c>
      <c r="Y574"/>
      <c r="Z574"/>
      <c r="AA574"/>
      <c r="AB574"/>
    </row>
    <row r="575" spans="1:28" s="204" customFormat="1">
      <c r="A575" s="1207"/>
      <c r="B575" s="1205" t="s">
        <v>85</v>
      </c>
      <c r="C575" s="1264">
        <v>0</v>
      </c>
      <c r="D575" s="1268">
        <v>0</v>
      </c>
      <c r="E575" s="1268">
        <v>0</v>
      </c>
      <c r="F575" s="1268">
        <v>0</v>
      </c>
      <c r="G575" s="1268">
        <v>0</v>
      </c>
      <c r="H575" s="1268">
        <v>0</v>
      </c>
      <c r="I575" s="1352">
        <v>0</v>
      </c>
      <c r="J575" s="1266">
        <v>0</v>
      </c>
      <c r="K575" s="1268">
        <v>0</v>
      </c>
      <c r="L575" s="1268">
        <v>0</v>
      </c>
      <c r="M575" s="1268">
        <v>0</v>
      </c>
      <c r="N575" s="1268">
        <v>0</v>
      </c>
      <c r="O575" s="1352">
        <v>0</v>
      </c>
      <c r="P575" s="1264">
        <v>0</v>
      </c>
      <c r="Q575" s="1268">
        <v>0</v>
      </c>
      <c r="R575" s="1268">
        <v>0</v>
      </c>
      <c r="S575" s="1264">
        <v>0</v>
      </c>
      <c r="T575" s="1264">
        <v>13.635408996749106</v>
      </c>
      <c r="U575" s="1264">
        <v>13.635408996749106</v>
      </c>
      <c r="V575" s="1266">
        <v>0</v>
      </c>
      <c r="W575" s="1264">
        <v>0</v>
      </c>
      <c r="X575" s="1269">
        <v>13.635408996749106</v>
      </c>
      <c r="Y575"/>
      <c r="Z575"/>
      <c r="AA575"/>
      <c r="AB575"/>
    </row>
    <row r="576" spans="1:28">
      <c r="A576" s="1207"/>
      <c r="B576" s="1205" t="s">
        <v>219</v>
      </c>
      <c r="C576" s="1264"/>
      <c r="D576" s="1268"/>
      <c r="E576" s="1268"/>
      <c r="F576" s="1268"/>
      <c r="G576" s="1268"/>
      <c r="H576" s="1268"/>
      <c r="I576" s="1352"/>
      <c r="J576" s="1266"/>
      <c r="K576" s="1268"/>
      <c r="L576" s="1268"/>
      <c r="M576" s="1268"/>
      <c r="N576" s="1268"/>
      <c r="O576" s="1352"/>
      <c r="P576" s="1264"/>
      <c r="Q576" s="1268"/>
      <c r="R576" s="1268"/>
      <c r="S576" s="1264"/>
      <c r="T576" s="1264">
        <v>191055</v>
      </c>
      <c r="U576" s="1264">
        <v>191055</v>
      </c>
      <c r="V576" s="1266"/>
      <c r="W576" s="1264"/>
      <c r="X576" s="1269">
        <v>191055</v>
      </c>
      <c r="Y576"/>
      <c r="Z576"/>
      <c r="AA576"/>
      <c r="AB576"/>
    </row>
    <row r="577" spans="1:28" s="205" customFormat="1">
      <c r="A577" s="1207"/>
      <c r="B577" s="1205" t="s">
        <v>141</v>
      </c>
      <c r="C577" s="1264"/>
      <c r="D577" s="1268"/>
      <c r="E577" s="1268"/>
      <c r="F577" s="1268"/>
      <c r="G577" s="1268"/>
      <c r="H577" s="1268"/>
      <c r="I577" s="1352"/>
      <c r="J577" s="1266"/>
      <c r="K577" s="1268"/>
      <c r="L577" s="1268"/>
      <c r="M577" s="1268"/>
      <c r="N577" s="1268"/>
      <c r="O577" s="1352"/>
      <c r="P577" s="1264"/>
      <c r="Q577" s="1268"/>
      <c r="R577" s="1268"/>
      <c r="S577" s="1264"/>
      <c r="T577" s="1264">
        <v>292118</v>
      </c>
      <c r="U577" s="1264">
        <v>292118</v>
      </c>
      <c r="V577" s="1266"/>
      <c r="W577" s="1264"/>
      <c r="X577" s="1269">
        <v>292118</v>
      </c>
      <c r="Y577"/>
      <c r="Z577"/>
      <c r="AA577"/>
      <c r="AB577"/>
    </row>
    <row r="578" spans="1:28" s="204" customFormat="1">
      <c r="A578" s="1207"/>
      <c r="B578" s="1205" t="s">
        <v>169</v>
      </c>
      <c r="C578" s="1264">
        <v>0</v>
      </c>
      <c r="D578" s="1268">
        <v>0</v>
      </c>
      <c r="E578" s="1268">
        <v>0</v>
      </c>
      <c r="F578" s="1268">
        <v>0</v>
      </c>
      <c r="G578" s="1268">
        <v>0</v>
      </c>
      <c r="H578" s="1268">
        <v>0</v>
      </c>
      <c r="I578" s="1352">
        <v>0</v>
      </c>
      <c r="J578" s="1266">
        <v>0</v>
      </c>
      <c r="K578" s="1268">
        <v>0</v>
      </c>
      <c r="L578" s="1268">
        <v>0</v>
      </c>
      <c r="M578" s="1268">
        <v>0</v>
      </c>
      <c r="N578" s="1268">
        <v>0</v>
      </c>
      <c r="O578" s="1352">
        <v>0</v>
      </c>
      <c r="P578" s="1264">
        <v>0</v>
      </c>
      <c r="Q578" s="1268">
        <v>0</v>
      </c>
      <c r="R578" s="1268">
        <v>0</v>
      </c>
      <c r="S578" s="1264">
        <v>0</v>
      </c>
      <c r="T578" s="1264">
        <v>52.897333228651434</v>
      </c>
      <c r="U578" s="1264">
        <v>52.897333228651434</v>
      </c>
      <c r="V578" s="1266">
        <v>0</v>
      </c>
      <c r="W578" s="1264">
        <v>0</v>
      </c>
      <c r="X578" s="1269">
        <v>52.897333228651434</v>
      </c>
      <c r="Y578"/>
      <c r="Z578"/>
      <c r="AA578"/>
      <c r="AB578"/>
    </row>
    <row r="579" spans="1:28">
      <c r="A579" s="1207"/>
      <c r="B579" s="1205" t="s">
        <v>221</v>
      </c>
      <c r="C579" s="1264">
        <v>0</v>
      </c>
      <c r="D579" s="1268">
        <v>0</v>
      </c>
      <c r="E579" s="1268">
        <v>0</v>
      </c>
      <c r="F579" s="1268">
        <v>0</v>
      </c>
      <c r="G579" s="1268">
        <v>0</v>
      </c>
      <c r="H579" s="1268">
        <v>0</v>
      </c>
      <c r="I579" s="1352">
        <v>0</v>
      </c>
      <c r="J579" s="1266"/>
      <c r="K579" s="1268">
        <v>0</v>
      </c>
      <c r="L579" s="1268">
        <v>0</v>
      </c>
      <c r="M579" s="1268">
        <v>0</v>
      </c>
      <c r="N579" s="1268">
        <v>0</v>
      </c>
      <c r="O579" s="1352">
        <v>0</v>
      </c>
      <c r="P579" s="1264"/>
      <c r="Q579" s="1268"/>
      <c r="R579" s="1268"/>
      <c r="S579" s="1264"/>
      <c r="T579" s="1264">
        <v>19955772</v>
      </c>
      <c r="U579" s="1264">
        <v>19955772</v>
      </c>
      <c r="V579" s="1266">
        <v>0</v>
      </c>
      <c r="W579" s="1264">
        <v>0</v>
      </c>
      <c r="X579" s="1269">
        <v>19955772</v>
      </c>
      <c r="Y579"/>
      <c r="Z579"/>
      <c r="AA579"/>
      <c r="AB579"/>
    </row>
    <row r="580" spans="1:28" s="205" customFormat="1">
      <c r="A580" s="1207"/>
      <c r="B580" s="1205" t="s">
        <v>143</v>
      </c>
      <c r="C580" s="1264">
        <v>0</v>
      </c>
      <c r="D580" s="1268">
        <v>0</v>
      </c>
      <c r="E580" s="1268">
        <v>0</v>
      </c>
      <c r="F580" s="1268">
        <v>0</v>
      </c>
      <c r="G580" s="1268">
        <v>0</v>
      </c>
      <c r="H580" s="1268">
        <v>0</v>
      </c>
      <c r="I580" s="1352">
        <v>0</v>
      </c>
      <c r="J580" s="1266"/>
      <c r="K580" s="1268">
        <v>0</v>
      </c>
      <c r="L580" s="1268">
        <v>0</v>
      </c>
      <c r="M580" s="1268">
        <v>0</v>
      </c>
      <c r="N580" s="1268">
        <v>0</v>
      </c>
      <c r="O580" s="1352">
        <v>0</v>
      </c>
      <c r="P580" s="1264"/>
      <c r="Q580" s="1268"/>
      <c r="R580" s="1268"/>
      <c r="S580" s="1264"/>
      <c r="T580" s="1264">
        <v>22751835</v>
      </c>
      <c r="U580" s="1264">
        <v>22751835</v>
      </c>
      <c r="V580" s="1266">
        <v>0</v>
      </c>
      <c r="W580" s="1264">
        <v>0</v>
      </c>
      <c r="X580" s="1269">
        <v>22751835</v>
      </c>
      <c r="Y580"/>
      <c r="Z580"/>
      <c r="AA580"/>
      <c r="AB580"/>
    </row>
    <row r="581" spans="1:28" s="204" customFormat="1" ht="13.5" thickBot="1">
      <c r="A581" s="1207"/>
      <c r="B581" s="1205" t="s">
        <v>245</v>
      </c>
      <c r="C581" s="1264">
        <v>0</v>
      </c>
      <c r="D581" s="1268">
        <v>0</v>
      </c>
      <c r="E581" s="1268">
        <v>0</v>
      </c>
      <c r="F581" s="1268">
        <v>0</v>
      </c>
      <c r="G581" s="1268">
        <v>0</v>
      </c>
      <c r="H581" s="1268">
        <v>0</v>
      </c>
      <c r="I581" s="1352">
        <v>0</v>
      </c>
      <c r="J581" s="1266">
        <v>0</v>
      </c>
      <c r="K581" s="1268">
        <v>0</v>
      </c>
      <c r="L581" s="1268">
        <v>0</v>
      </c>
      <c r="M581" s="1268">
        <v>0</v>
      </c>
      <c r="N581" s="1268">
        <v>0</v>
      </c>
      <c r="O581" s="1352">
        <v>0</v>
      </c>
      <c r="P581" s="1264">
        <v>0</v>
      </c>
      <c r="Q581" s="1268">
        <v>0</v>
      </c>
      <c r="R581" s="1268">
        <v>0</v>
      </c>
      <c r="S581" s="1264">
        <v>0</v>
      </c>
      <c r="T581" s="1264">
        <v>14.011299587908702</v>
      </c>
      <c r="U581" s="1264">
        <v>14.011299587908702</v>
      </c>
      <c r="V581" s="1266">
        <v>0</v>
      </c>
      <c r="W581" s="1264">
        <v>0</v>
      </c>
      <c r="X581" s="1269">
        <v>14.011299587908702</v>
      </c>
      <c r="Y581"/>
      <c r="Z581"/>
      <c r="AA581"/>
      <c r="AB581"/>
    </row>
    <row r="582" spans="1:28">
      <c r="A582" s="1207"/>
      <c r="B582" s="1205" t="s">
        <v>117</v>
      </c>
      <c r="C582" s="1262">
        <v>29966414</v>
      </c>
      <c r="D582" s="1268">
        <v>26966867</v>
      </c>
      <c r="E582" s="1268"/>
      <c r="F582" s="1268"/>
      <c r="G582" s="1268"/>
      <c r="H582" s="1268"/>
      <c r="I582" s="1352">
        <v>56933281</v>
      </c>
      <c r="J582" s="1266"/>
      <c r="K582" s="1268"/>
      <c r="L582" s="1268"/>
      <c r="M582" s="1268"/>
      <c r="N582" s="1268"/>
      <c r="O582" s="1352"/>
      <c r="P582" s="1264"/>
      <c r="Q582" s="1268"/>
      <c r="R582" s="1268"/>
      <c r="S582" s="1264"/>
      <c r="T582" s="1264"/>
      <c r="U582" s="1264"/>
      <c r="V582" s="1266">
        <v>16108599</v>
      </c>
      <c r="W582" s="1264">
        <v>16108599</v>
      </c>
      <c r="X582" s="1269">
        <v>73041880</v>
      </c>
      <c r="Y582"/>
      <c r="Z582"/>
      <c r="AA582"/>
      <c r="AB582"/>
    </row>
    <row r="583" spans="1:28" s="205" customFormat="1">
      <c r="A583" s="1207"/>
      <c r="B583" s="1205" t="s">
        <v>119</v>
      </c>
      <c r="C583" s="1267">
        <v>24734653</v>
      </c>
      <c r="D583" s="1268">
        <v>28281751</v>
      </c>
      <c r="E583" s="1268"/>
      <c r="F583" s="1268"/>
      <c r="G583" s="1268"/>
      <c r="H583" s="1268"/>
      <c r="I583" s="1352">
        <v>53016404</v>
      </c>
      <c r="J583" s="1266"/>
      <c r="K583" s="1268"/>
      <c r="L583" s="1268"/>
      <c r="M583" s="1268"/>
      <c r="N583" s="1268"/>
      <c r="O583" s="1352"/>
      <c r="P583" s="1264"/>
      <c r="Q583" s="1268"/>
      <c r="R583" s="1268"/>
      <c r="S583" s="1264"/>
      <c r="T583" s="1264"/>
      <c r="U583" s="1264"/>
      <c r="V583" s="1266">
        <v>16484299</v>
      </c>
      <c r="W583" s="1264">
        <v>16484299</v>
      </c>
      <c r="X583" s="1269">
        <v>69500703</v>
      </c>
      <c r="Y583"/>
      <c r="Z583"/>
      <c r="AA583"/>
      <c r="AB583"/>
    </row>
    <row r="584" spans="1:28" s="204" customFormat="1" ht="13.5" thickBot="1">
      <c r="A584" s="1207"/>
      <c r="B584" s="1205" t="s">
        <v>301</v>
      </c>
      <c r="C584" s="1338">
        <v>-17.458748984780094</v>
      </c>
      <c r="D584" s="1340">
        <v>4.8759242221204264</v>
      </c>
      <c r="E584" s="1268">
        <v>0</v>
      </c>
      <c r="F584" s="1268">
        <v>0</v>
      </c>
      <c r="G584" s="1268">
        <v>0</v>
      </c>
      <c r="H584" s="1268">
        <v>0</v>
      </c>
      <c r="I584" s="1352">
        <v>-6.8797668625491655</v>
      </c>
      <c r="J584" s="1266">
        <v>0</v>
      </c>
      <c r="K584" s="1268">
        <v>0</v>
      </c>
      <c r="L584" s="1268">
        <v>0</v>
      </c>
      <c r="M584" s="1268">
        <v>0</v>
      </c>
      <c r="N584" s="1268">
        <v>0</v>
      </c>
      <c r="O584" s="1352">
        <v>0</v>
      </c>
      <c r="P584" s="1264">
        <v>0</v>
      </c>
      <c r="Q584" s="1268">
        <v>0</v>
      </c>
      <c r="R584" s="1268">
        <v>0</v>
      </c>
      <c r="S584" s="1264">
        <v>0</v>
      </c>
      <c r="T584" s="1264">
        <v>0</v>
      </c>
      <c r="U584" s="1264">
        <v>0</v>
      </c>
      <c r="V584" s="1266">
        <v>2.3322946955225592</v>
      </c>
      <c r="W584" s="1264">
        <v>2.3322946955225592</v>
      </c>
      <c r="X584" s="1269">
        <v>-4.8481460225284456</v>
      </c>
      <c r="Y584"/>
      <c r="Z584"/>
      <c r="AA584"/>
      <c r="AB584"/>
    </row>
    <row r="585" spans="1:28">
      <c r="A585" s="1207"/>
      <c r="B585" s="1205" t="s">
        <v>120</v>
      </c>
      <c r="C585" s="1264">
        <v>47191723</v>
      </c>
      <c r="D585" s="1268">
        <v>34688941</v>
      </c>
      <c r="E585" s="1268"/>
      <c r="F585" s="1268"/>
      <c r="G585" s="1268"/>
      <c r="H585" s="1268"/>
      <c r="I585" s="1352">
        <v>81880664</v>
      </c>
      <c r="J585" s="1266"/>
      <c r="K585" s="1268"/>
      <c r="L585" s="1268"/>
      <c r="M585" s="1268"/>
      <c r="N585" s="1268"/>
      <c r="O585" s="1352"/>
      <c r="P585" s="1264"/>
      <c r="Q585" s="1268"/>
      <c r="R585" s="1268"/>
      <c r="S585" s="1264"/>
      <c r="T585" s="1264"/>
      <c r="U585" s="1264"/>
      <c r="V585" s="1266"/>
      <c r="W585" s="1264"/>
      <c r="X585" s="1269">
        <v>81880664</v>
      </c>
      <c r="Y585"/>
      <c r="Z585"/>
      <c r="AA585"/>
      <c r="AB585"/>
    </row>
    <row r="586" spans="1:28" s="205" customFormat="1">
      <c r="A586" s="1207"/>
      <c r="B586" s="1205" t="s">
        <v>450</v>
      </c>
      <c r="C586" s="1264">
        <v>51580467</v>
      </c>
      <c r="D586" s="1268">
        <v>36739080</v>
      </c>
      <c r="E586" s="1268"/>
      <c r="F586" s="1268"/>
      <c r="G586" s="1268"/>
      <c r="H586" s="1268"/>
      <c r="I586" s="1352">
        <v>88319547</v>
      </c>
      <c r="J586" s="1266"/>
      <c r="K586" s="1268"/>
      <c r="L586" s="1268"/>
      <c r="M586" s="1268"/>
      <c r="N586" s="1268"/>
      <c r="O586" s="1352"/>
      <c r="P586" s="1264"/>
      <c r="Q586" s="1268"/>
      <c r="R586" s="1268"/>
      <c r="S586" s="1264"/>
      <c r="T586" s="1264"/>
      <c r="U586" s="1264"/>
      <c r="V586" s="1266"/>
      <c r="W586" s="1264"/>
      <c r="X586" s="1269">
        <v>88319547</v>
      </c>
      <c r="Y586"/>
      <c r="Z586"/>
      <c r="AA586"/>
      <c r="AB586"/>
    </row>
    <row r="587" spans="1:28" s="204" customFormat="1">
      <c r="A587" s="1207"/>
      <c r="B587" s="1205" t="s">
        <v>335</v>
      </c>
      <c r="C587" s="1264">
        <v>9.2998172582086056</v>
      </c>
      <c r="D587" s="1268">
        <v>5.9100651126824539</v>
      </c>
      <c r="E587" s="1268">
        <v>0</v>
      </c>
      <c r="F587" s="1268">
        <v>0</v>
      </c>
      <c r="G587" s="1268">
        <v>0</v>
      </c>
      <c r="H587" s="1268">
        <v>0</v>
      </c>
      <c r="I587" s="1352">
        <v>7.8637405773846671</v>
      </c>
      <c r="J587" s="1266">
        <v>0</v>
      </c>
      <c r="K587" s="1268">
        <v>0</v>
      </c>
      <c r="L587" s="1268">
        <v>0</v>
      </c>
      <c r="M587" s="1268">
        <v>0</v>
      </c>
      <c r="N587" s="1268">
        <v>0</v>
      </c>
      <c r="O587" s="1352">
        <v>0</v>
      </c>
      <c r="P587" s="1264">
        <v>0</v>
      </c>
      <c r="Q587" s="1268">
        <v>0</v>
      </c>
      <c r="R587" s="1268">
        <v>0</v>
      </c>
      <c r="S587" s="1264">
        <v>0</v>
      </c>
      <c r="T587" s="1264">
        <v>0</v>
      </c>
      <c r="U587" s="1264">
        <v>0</v>
      </c>
      <c r="V587" s="1266">
        <v>0</v>
      </c>
      <c r="W587" s="1264">
        <v>0</v>
      </c>
      <c r="X587" s="1269">
        <v>7.8637405773846671</v>
      </c>
      <c r="Y587"/>
      <c r="Z587"/>
      <c r="AA587"/>
      <c r="AB587"/>
    </row>
    <row r="588" spans="1:28">
      <c r="A588" s="1207"/>
      <c r="B588" s="1205" t="s">
        <v>35</v>
      </c>
      <c r="C588" s="1264">
        <v>1406152271</v>
      </c>
      <c r="D588" s="1268">
        <v>483147416</v>
      </c>
      <c r="E588" s="1268">
        <v>276297027</v>
      </c>
      <c r="F588" s="1268">
        <v>155468648</v>
      </c>
      <c r="G588" s="1268">
        <v>149363145</v>
      </c>
      <c r="H588" s="1268">
        <v>18456188</v>
      </c>
      <c r="I588" s="1352">
        <v>2488884695</v>
      </c>
      <c r="J588" s="1266"/>
      <c r="K588" s="1268">
        <v>0</v>
      </c>
      <c r="L588" s="1268">
        <v>0</v>
      </c>
      <c r="M588" s="1268">
        <v>8651663</v>
      </c>
      <c r="N588" s="1268">
        <v>693416926</v>
      </c>
      <c r="O588" s="1352">
        <v>702068589</v>
      </c>
      <c r="P588" s="1264"/>
      <c r="Q588" s="1268"/>
      <c r="R588" s="1268"/>
      <c r="S588" s="1264"/>
      <c r="T588" s="1264">
        <v>0</v>
      </c>
      <c r="U588" s="1264">
        <v>0</v>
      </c>
      <c r="V588" s="1266">
        <v>97438377</v>
      </c>
      <c r="W588" s="1264">
        <v>97438377</v>
      </c>
      <c r="X588" s="1269">
        <v>3288391661</v>
      </c>
      <c r="Y588"/>
      <c r="Z588"/>
      <c r="AA588"/>
      <c r="AB588"/>
    </row>
    <row r="589" spans="1:28" s="205" customFormat="1">
      <c r="A589" s="1207"/>
      <c r="B589" s="1205" t="s">
        <v>37</v>
      </c>
      <c r="C589" s="1264">
        <v>1491446875</v>
      </c>
      <c r="D589" s="1268">
        <v>512739815</v>
      </c>
      <c r="E589" s="1268">
        <v>292812217</v>
      </c>
      <c r="F589" s="1268">
        <v>162386378</v>
      </c>
      <c r="G589" s="1268">
        <v>156224617</v>
      </c>
      <c r="H589" s="1268">
        <v>18556548</v>
      </c>
      <c r="I589" s="1352">
        <v>2634166450</v>
      </c>
      <c r="J589" s="1266"/>
      <c r="K589" s="1268">
        <v>0</v>
      </c>
      <c r="L589" s="1268">
        <v>0</v>
      </c>
      <c r="M589" s="1268">
        <v>9591121</v>
      </c>
      <c r="N589" s="1268">
        <v>797677869</v>
      </c>
      <c r="O589" s="1352">
        <v>807268990</v>
      </c>
      <c r="P589" s="1264"/>
      <c r="Q589" s="1268"/>
      <c r="R589" s="1268"/>
      <c r="S589" s="1264"/>
      <c r="T589" s="1264">
        <v>0</v>
      </c>
      <c r="U589" s="1264">
        <v>0</v>
      </c>
      <c r="V589" s="1266">
        <v>79951266</v>
      </c>
      <c r="W589" s="1264">
        <v>79951266</v>
      </c>
      <c r="X589" s="1269">
        <v>3521386706</v>
      </c>
      <c r="Y589"/>
      <c r="Z589"/>
      <c r="AA589"/>
      <c r="AB589"/>
    </row>
    <row r="590" spans="1:28" s="214" customFormat="1" ht="13.5" thickBot="1">
      <c r="A590" s="1333"/>
      <c r="B590" s="1205" t="s">
        <v>39</v>
      </c>
      <c r="C590" s="1264">
        <v>6.0658156132224459</v>
      </c>
      <c r="D590" s="1268">
        <v>6.1249213014522264</v>
      </c>
      <c r="E590" s="1268">
        <v>5.9773317792521885</v>
      </c>
      <c r="F590" s="1268">
        <v>4.4495980951735046</v>
      </c>
      <c r="G590" s="1268">
        <v>4.5938186424770313</v>
      </c>
      <c r="H590" s="1268">
        <v>0.54377426151055674</v>
      </c>
      <c r="I590" s="1352">
        <v>5.8372232065174074</v>
      </c>
      <c r="J590" s="1266">
        <v>0</v>
      </c>
      <c r="K590" s="1268">
        <v>0</v>
      </c>
      <c r="L590" s="1268">
        <v>0</v>
      </c>
      <c r="M590" s="1268">
        <v>10.858698495306625</v>
      </c>
      <c r="N590" s="1268">
        <v>15.035823195351306</v>
      </c>
      <c r="O590" s="1352">
        <v>14.984348060613776</v>
      </c>
      <c r="P590" s="1264">
        <v>0</v>
      </c>
      <c r="Q590" s="1268">
        <v>0</v>
      </c>
      <c r="R590" s="1268">
        <v>0</v>
      </c>
      <c r="S590" s="1264">
        <v>0</v>
      </c>
      <c r="T590" s="1264">
        <v>0</v>
      </c>
      <c r="U590" s="1264">
        <v>0</v>
      </c>
      <c r="V590" s="1266">
        <v>-17.946841417524841</v>
      </c>
      <c r="W590" s="1264">
        <v>-17.946841417524841</v>
      </c>
      <c r="X590" s="1269">
        <v>7.0853799978663794</v>
      </c>
      <c r="Y590"/>
      <c r="Z590"/>
      <c r="AA590"/>
      <c r="AB590"/>
    </row>
    <row r="591" spans="1:28">
      <c r="A591" s="1206" t="s">
        <v>217</v>
      </c>
      <c r="B591" s="1204" t="s">
        <v>253</v>
      </c>
      <c r="C591" s="1262">
        <v>70868714</v>
      </c>
      <c r="D591" s="1260"/>
      <c r="E591" s="1260">
        <v>44147691</v>
      </c>
      <c r="F591" s="1260"/>
      <c r="G591" s="1260">
        <v>23489822</v>
      </c>
      <c r="H591" s="1260">
        <v>49338742</v>
      </c>
      <c r="I591" s="1355">
        <v>187844969</v>
      </c>
      <c r="J591" s="1261">
        <v>13136460</v>
      </c>
      <c r="K591" s="1260"/>
      <c r="L591" s="1262"/>
      <c r="M591" s="1260">
        <v>45940031</v>
      </c>
      <c r="N591" s="1260"/>
      <c r="O591" s="1355">
        <v>59076491</v>
      </c>
      <c r="P591" s="1259"/>
      <c r="Q591" s="1260"/>
      <c r="R591" s="1260"/>
      <c r="S591" s="1259"/>
      <c r="T591" s="1259"/>
      <c r="U591" s="1259"/>
      <c r="V591" s="1261"/>
      <c r="W591" s="1259"/>
      <c r="X591" s="1263">
        <v>246921460</v>
      </c>
      <c r="Y591"/>
      <c r="Z591"/>
      <c r="AA591"/>
      <c r="AB591"/>
    </row>
    <row r="592" spans="1:28" s="205" customFormat="1">
      <c r="A592" s="1207"/>
      <c r="B592" s="1205" t="s">
        <v>4</v>
      </c>
      <c r="C592" s="1267">
        <v>68791992</v>
      </c>
      <c r="D592" s="1268"/>
      <c r="E592" s="1268">
        <v>45897948</v>
      </c>
      <c r="F592" s="1268"/>
      <c r="G592" s="1268">
        <v>25664875</v>
      </c>
      <c r="H592" s="1268">
        <v>48639906</v>
      </c>
      <c r="I592" s="1352">
        <v>188994721</v>
      </c>
      <c r="J592" s="1266">
        <v>12946249</v>
      </c>
      <c r="K592" s="1268"/>
      <c r="L592" s="1267"/>
      <c r="M592" s="1268">
        <v>45492309</v>
      </c>
      <c r="N592" s="1268"/>
      <c r="O592" s="1352">
        <v>58438558</v>
      </c>
      <c r="P592" s="1264"/>
      <c r="Q592" s="1268"/>
      <c r="R592" s="1268"/>
      <c r="S592" s="1264"/>
      <c r="T592" s="1264">
        <v>0</v>
      </c>
      <c r="U592" s="1264">
        <v>0</v>
      </c>
      <c r="V592" s="1266"/>
      <c r="W592" s="1264"/>
      <c r="X592" s="1269">
        <v>247433279</v>
      </c>
      <c r="Y592"/>
      <c r="Z592"/>
      <c r="AA592"/>
      <c r="AB592"/>
    </row>
    <row r="593" spans="1:28" s="204" customFormat="1" ht="13.5" thickBot="1">
      <c r="A593" s="1207"/>
      <c r="B593" s="1205" t="s">
        <v>175</v>
      </c>
      <c r="C593" s="1281">
        <v>-2.9303791232898622</v>
      </c>
      <c r="D593" s="1268">
        <v>0</v>
      </c>
      <c r="E593" s="1268">
        <v>3.9645493577455726</v>
      </c>
      <c r="F593" s="1268">
        <v>0</v>
      </c>
      <c r="G593" s="1268">
        <v>9.2595550532481674</v>
      </c>
      <c r="H593" s="1268">
        <v>-1.4164041717966787</v>
      </c>
      <c r="I593" s="1352">
        <v>0.61207494995514089</v>
      </c>
      <c r="J593" s="1266">
        <v>-1.4479623886496058</v>
      </c>
      <c r="K593" s="1268">
        <v>0</v>
      </c>
      <c r="L593" s="1281">
        <v>0</v>
      </c>
      <c r="M593" s="1268">
        <v>-0.97457922916943607</v>
      </c>
      <c r="N593" s="1268">
        <v>0</v>
      </c>
      <c r="O593" s="1352">
        <v>-1.0798424029619498</v>
      </c>
      <c r="P593" s="1264">
        <v>0</v>
      </c>
      <c r="Q593" s="1268">
        <v>0</v>
      </c>
      <c r="R593" s="1268">
        <v>0</v>
      </c>
      <c r="S593" s="1264">
        <v>0</v>
      </c>
      <c r="T593" s="1264">
        <v>0</v>
      </c>
      <c r="U593" s="1264">
        <v>0</v>
      </c>
      <c r="V593" s="1266">
        <v>0</v>
      </c>
      <c r="W593" s="1264">
        <v>0</v>
      </c>
      <c r="X593" s="1269">
        <v>0.20728008007080467</v>
      </c>
      <c r="Y593"/>
      <c r="Z593"/>
      <c r="AA593"/>
      <c r="AB593"/>
    </row>
    <row r="594" spans="1:28">
      <c r="A594" s="1207"/>
      <c r="B594" s="1205" t="s">
        <v>269</v>
      </c>
      <c r="C594" s="1264">
        <v>38047134</v>
      </c>
      <c r="D594" s="1268"/>
      <c r="E594" s="1262">
        <v>2972753</v>
      </c>
      <c r="F594" s="1268"/>
      <c r="G594" s="1268">
        <v>100000</v>
      </c>
      <c r="H594" s="1340">
        <v>300000</v>
      </c>
      <c r="I594" s="1352">
        <v>41419887</v>
      </c>
      <c r="J594" s="1266">
        <v>207500</v>
      </c>
      <c r="K594" s="1268"/>
      <c r="L594" s="1268"/>
      <c r="M594" s="1340"/>
      <c r="N594" s="1268"/>
      <c r="O594" s="1352">
        <v>207500</v>
      </c>
      <c r="P594" s="1264"/>
      <c r="Q594" s="1268"/>
      <c r="R594" s="1268"/>
      <c r="S594" s="1264"/>
      <c r="T594" s="1264"/>
      <c r="U594" s="1264"/>
      <c r="V594" s="1288">
        <v>333500</v>
      </c>
      <c r="W594" s="1262">
        <v>333500</v>
      </c>
      <c r="X594" s="1269">
        <v>41960887</v>
      </c>
      <c r="Y594"/>
      <c r="Z594"/>
      <c r="AA594"/>
      <c r="AB594"/>
    </row>
    <row r="595" spans="1:28" s="205" customFormat="1">
      <c r="A595" s="1207"/>
      <c r="B595" s="1205" t="s">
        <v>342</v>
      </c>
      <c r="C595" s="1264">
        <v>38216336</v>
      </c>
      <c r="D595" s="1268"/>
      <c r="E595" s="1267">
        <v>2863445</v>
      </c>
      <c r="F595" s="1268"/>
      <c r="G595" s="1268">
        <v>100000</v>
      </c>
      <c r="H595" s="1340">
        <v>500000</v>
      </c>
      <c r="I595" s="1352">
        <v>41679781</v>
      </c>
      <c r="J595" s="1266">
        <v>207500</v>
      </c>
      <c r="K595" s="1268"/>
      <c r="L595" s="1268"/>
      <c r="M595" s="1340">
        <v>400000</v>
      </c>
      <c r="N595" s="1268"/>
      <c r="O595" s="1352">
        <v>607500</v>
      </c>
      <c r="P595" s="1264"/>
      <c r="Q595" s="1268"/>
      <c r="R595" s="1268"/>
      <c r="S595" s="1264"/>
      <c r="T595" s="1264"/>
      <c r="U595" s="1264"/>
      <c r="V595" s="1289">
        <v>323500</v>
      </c>
      <c r="W595" s="1267">
        <v>323500</v>
      </c>
      <c r="X595" s="1269">
        <v>42610781</v>
      </c>
      <c r="Y595"/>
      <c r="Z595"/>
      <c r="AA595"/>
      <c r="AB595"/>
    </row>
    <row r="596" spans="1:28" s="204" customFormat="1" ht="13.5" thickBot="1">
      <c r="A596" s="1207"/>
      <c r="B596" s="1205" t="s">
        <v>344</v>
      </c>
      <c r="C596" s="1264">
        <v>0.44471680836722155</v>
      </c>
      <c r="D596" s="1268">
        <v>0</v>
      </c>
      <c r="E596" s="1281">
        <v>-3.6769957006182485</v>
      </c>
      <c r="F596" s="1268">
        <v>0</v>
      </c>
      <c r="G596" s="1268">
        <v>0</v>
      </c>
      <c r="H596" s="1340">
        <v>66.666666666666657</v>
      </c>
      <c r="I596" s="1352">
        <v>0.62746187598242364</v>
      </c>
      <c r="J596" s="1266">
        <v>0</v>
      </c>
      <c r="K596" s="1268">
        <v>0</v>
      </c>
      <c r="L596" s="1268">
        <v>0</v>
      </c>
      <c r="M596" s="1340">
        <v>0</v>
      </c>
      <c r="N596" s="1268">
        <v>0</v>
      </c>
      <c r="O596" s="1352">
        <v>192.77108433734941</v>
      </c>
      <c r="P596" s="1264">
        <v>0</v>
      </c>
      <c r="Q596" s="1268">
        <v>0</v>
      </c>
      <c r="R596" s="1268">
        <v>0</v>
      </c>
      <c r="S596" s="1264">
        <v>0</v>
      </c>
      <c r="T596" s="1264">
        <v>0</v>
      </c>
      <c r="U596" s="1264">
        <v>0</v>
      </c>
      <c r="V596" s="1290">
        <v>-2.9985007496251872</v>
      </c>
      <c r="W596" s="1281">
        <v>-2.9985007496251872</v>
      </c>
      <c r="X596" s="1269">
        <v>1.5488090134986898</v>
      </c>
      <c r="Y596"/>
      <c r="Z596"/>
      <c r="AA596"/>
      <c r="AB596"/>
    </row>
    <row r="597" spans="1:28">
      <c r="A597" s="1207"/>
      <c r="B597" s="1205" t="s">
        <v>5</v>
      </c>
      <c r="C597" s="1264"/>
      <c r="D597" s="1268"/>
      <c r="E597" s="1268"/>
      <c r="F597" s="1268"/>
      <c r="G597" s="1268"/>
      <c r="H597" s="1268"/>
      <c r="I597" s="1352"/>
      <c r="J597" s="1266"/>
      <c r="K597" s="1268"/>
      <c r="L597" s="1268"/>
      <c r="M597" s="1268"/>
      <c r="N597" s="1268"/>
      <c r="O597" s="1352"/>
      <c r="P597" s="1264"/>
      <c r="Q597" s="1268"/>
      <c r="R597" s="1268"/>
      <c r="S597" s="1264"/>
      <c r="T597" s="1264"/>
      <c r="U597" s="1264"/>
      <c r="V597" s="1266"/>
      <c r="W597" s="1264"/>
      <c r="X597" s="1269"/>
      <c r="Y597"/>
      <c r="Z597"/>
      <c r="AA597"/>
      <c r="AB597"/>
    </row>
    <row r="598" spans="1:28" s="205" customFormat="1">
      <c r="A598" s="1207"/>
      <c r="B598" s="1205" t="s">
        <v>6</v>
      </c>
      <c r="C598" s="1264"/>
      <c r="D598" s="1268"/>
      <c r="E598" s="1268"/>
      <c r="F598" s="1268"/>
      <c r="G598" s="1268"/>
      <c r="H598" s="1268"/>
      <c r="I598" s="1352"/>
      <c r="J598" s="1266"/>
      <c r="K598" s="1268"/>
      <c r="L598" s="1268"/>
      <c r="M598" s="1268"/>
      <c r="N598" s="1268"/>
      <c r="O598" s="1352"/>
      <c r="P598" s="1264"/>
      <c r="Q598" s="1268"/>
      <c r="R598" s="1268"/>
      <c r="S598" s="1264"/>
      <c r="T598" s="1264"/>
      <c r="U598" s="1264"/>
      <c r="V598" s="1266"/>
      <c r="W598" s="1264"/>
      <c r="X598" s="1269"/>
      <c r="Y598"/>
      <c r="Z598"/>
      <c r="AA598"/>
      <c r="AB598"/>
    </row>
    <row r="599" spans="1:28" s="204" customFormat="1" ht="13.5" thickBot="1">
      <c r="A599" s="1207"/>
      <c r="B599" s="1205" t="s">
        <v>426</v>
      </c>
      <c r="C599" s="1264">
        <v>0</v>
      </c>
      <c r="D599" s="1268">
        <v>0</v>
      </c>
      <c r="E599" s="1268">
        <v>0</v>
      </c>
      <c r="F599" s="1268">
        <v>0</v>
      </c>
      <c r="G599" s="1268">
        <v>0</v>
      </c>
      <c r="H599" s="1268">
        <v>0</v>
      </c>
      <c r="I599" s="1352">
        <v>0</v>
      </c>
      <c r="J599" s="1266">
        <v>0</v>
      </c>
      <c r="K599" s="1268">
        <v>0</v>
      </c>
      <c r="L599" s="1268">
        <v>0</v>
      </c>
      <c r="M599" s="1268">
        <v>0</v>
      </c>
      <c r="N599" s="1268">
        <v>0</v>
      </c>
      <c r="O599" s="1352">
        <v>0</v>
      </c>
      <c r="P599" s="1264">
        <v>0</v>
      </c>
      <c r="Q599" s="1268">
        <v>0</v>
      </c>
      <c r="R599" s="1268">
        <v>0</v>
      </c>
      <c r="S599" s="1264">
        <v>0</v>
      </c>
      <c r="T599" s="1264">
        <v>0</v>
      </c>
      <c r="U599" s="1264">
        <v>0</v>
      </c>
      <c r="V599" s="1266">
        <v>0</v>
      </c>
      <c r="W599" s="1264">
        <v>0</v>
      </c>
      <c r="X599" s="1269">
        <v>0</v>
      </c>
      <c r="Y599"/>
      <c r="Z599"/>
      <c r="AA599"/>
      <c r="AB599"/>
    </row>
    <row r="600" spans="1:28">
      <c r="A600" s="1207"/>
      <c r="B600" s="1205" t="s">
        <v>322</v>
      </c>
      <c r="C600" s="1264">
        <v>259411338</v>
      </c>
      <c r="D600" s="1268"/>
      <c r="E600" s="1268">
        <v>63660698</v>
      </c>
      <c r="F600" s="1268"/>
      <c r="G600" s="1268">
        <v>45023312</v>
      </c>
      <c r="H600" s="1262">
        <v>66424496</v>
      </c>
      <c r="I600" s="1352">
        <v>434519844</v>
      </c>
      <c r="J600" s="1288">
        <v>14365427</v>
      </c>
      <c r="K600" s="1276"/>
      <c r="L600" s="1276"/>
      <c r="M600" s="1277">
        <v>45058320</v>
      </c>
      <c r="N600" s="1268"/>
      <c r="O600" s="1352">
        <v>59423747</v>
      </c>
      <c r="P600" s="1264"/>
      <c r="Q600" s="1268"/>
      <c r="R600" s="1268"/>
      <c r="S600" s="1264"/>
      <c r="T600" s="1264"/>
      <c r="U600" s="1264"/>
      <c r="V600" s="1266"/>
      <c r="W600" s="1264"/>
      <c r="X600" s="1269">
        <v>493943591</v>
      </c>
      <c r="Y600"/>
      <c r="Z600"/>
      <c r="AA600"/>
      <c r="AB600"/>
    </row>
    <row r="601" spans="1:28" s="205" customFormat="1">
      <c r="A601" s="1207"/>
      <c r="B601" s="1205" t="s">
        <v>22</v>
      </c>
      <c r="C601" s="1264">
        <v>265351961</v>
      </c>
      <c r="D601" s="1268"/>
      <c r="E601" s="1268">
        <v>64363645</v>
      </c>
      <c r="F601" s="1268"/>
      <c r="G601" s="1268">
        <v>43174879</v>
      </c>
      <c r="H601" s="1267">
        <v>65886658</v>
      </c>
      <c r="I601" s="1352">
        <v>438777143</v>
      </c>
      <c r="J601" s="1289">
        <v>14365227</v>
      </c>
      <c r="K601" s="1265"/>
      <c r="L601" s="1265"/>
      <c r="M601" s="1279">
        <v>44955017</v>
      </c>
      <c r="N601" s="1268"/>
      <c r="O601" s="1352">
        <v>59320244</v>
      </c>
      <c r="P601" s="1264"/>
      <c r="Q601" s="1268"/>
      <c r="R601" s="1268"/>
      <c r="S601" s="1264"/>
      <c r="T601" s="1264"/>
      <c r="U601" s="1264"/>
      <c r="V601" s="1266"/>
      <c r="W601" s="1264"/>
      <c r="X601" s="1269">
        <v>498097387</v>
      </c>
      <c r="Y601"/>
      <c r="Z601"/>
      <c r="AA601"/>
      <c r="AB601"/>
    </row>
    <row r="602" spans="1:28" s="204" customFormat="1" ht="13.5" thickBot="1">
      <c r="A602" s="1207"/>
      <c r="B602" s="1205" t="s">
        <v>375</v>
      </c>
      <c r="C602" s="1264">
        <v>2.2900398439793714</v>
      </c>
      <c r="D602" s="1268">
        <v>0</v>
      </c>
      <c r="E602" s="1268">
        <v>1.1042087537274567</v>
      </c>
      <c r="F602" s="1268">
        <v>0</v>
      </c>
      <c r="G602" s="1268">
        <v>-4.1055020563569373</v>
      </c>
      <c r="H602" s="1281">
        <v>-0.80969827757518853</v>
      </c>
      <c r="I602" s="1352">
        <v>0.97977090316731308</v>
      </c>
      <c r="J602" s="1290">
        <v>-1.3922315013678327E-3</v>
      </c>
      <c r="K602" s="1282">
        <v>0</v>
      </c>
      <c r="L602" s="1282">
        <v>0</v>
      </c>
      <c r="M602" s="1283">
        <v>-0.22926509465954348</v>
      </c>
      <c r="N602" s="1268">
        <v>0</v>
      </c>
      <c r="O602" s="1352">
        <v>-0.17417784173051221</v>
      </c>
      <c r="P602" s="1264">
        <v>0</v>
      </c>
      <c r="Q602" s="1268">
        <v>0</v>
      </c>
      <c r="R602" s="1268">
        <v>0</v>
      </c>
      <c r="S602" s="1264">
        <v>0</v>
      </c>
      <c r="T602" s="1264">
        <v>0</v>
      </c>
      <c r="U602" s="1264">
        <v>0</v>
      </c>
      <c r="V602" s="1266">
        <v>0</v>
      </c>
      <c r="W602" s="1264">
        <v>0</v>
      </c>
      <c r="X602" s="1269">
        <v>0.84094541880592988</v>
      </c>
      <c r="Y602"/>
      <c r="Z602"/>
      <c r="AA602"/>
      <c r="AB602"/>
    </row>
    <row r="603" spans="1:28">
      <c r="A603" s="1207"/>
      <c r="B603" s="1205" t="s">
        <v>324</v>
      </c>
      <c r="C603" s="1264">
        <v>10000398</v>
      </c>
      <c r="D603" s="1268"/>
      <c r="E603" s="1268">
        <v>4308327</v>
      </c>
      <c r="F603" s="1268"/>
      <c r="G603" s="1268">
        <v>1572697</v>
      </c>
      <c r="H603" s="1262">
        <v>1768090</v>
      </c>
      <c r="I603" s="1352">
        <v>17649512</v>
      </c>
      <c r="J603" s="1266">
        <v>211825</v>
      </c>
      <c r="K603" s="1268"/>
      <c r="L603" s="1268"/>
      <c r="M603" s="1262">
        <v>808934</v>
      </c>
      <c r="N603" s="1268"/>
      <c r="O603" s="1352">
        <v>1020759</v>
      </c>
      <c r="P603" s="1264"/>
      <c r="Q603" s="1268"/>
      <c r="R603" s="1268"/>
      <c r="S603" s="1264"/>
      <c r="T603" s="1264"/>
      <c r="U603" s="1264"/>
      <c r="V603" s="1266"/>
      <c r="W603" s="1264"/>
      <c r="X603" s="1269">
        <v>18670271</v>
      </c>
      <c r="Y603"/>
      <c r="Z603"/>
      <c r="AA603"/>
      <c r="AB603"/>
    </row>
    <row r="604" spans="1:28" s="205" customFormat="1">
      <c r="A604" s="1207"/>
      <c r="B604" s="1205" t="s">
        <v>226</v>
      </c>
      <c r="C604" s="1264">
        <v>10008963</v>
      </c>
      <c r="D604" s="1268"/>
      <c r="E604" s="1268">
        <v>4310796</v>
      </c>
      <c r="F604" s="1268"/>
      <c r="G604" s="1268">
        <v>3421130</v>
      </c>
      <c r="H604" s="1267">
        <v>2305928</v>
      </c>
      <c r="I604" s="1352">
        <v>20046817</v>
      </c>
      <c r="J604" s="1266">
        <v>212025</v>
      </c>
      <c r="K604" s="1268"/>
      <c r="L604" s="1268"/>
      <c r="M604" s="1267">
        <v>804782</v>
      </c>
      <c r="N604" s="1268"/>
      <c r="O604" s="1352">
        <v>1016807</v>
      </c>
      <c r="P604" s="1264"/>
      <c r="Q604" s="1268"/>
      <c r="R604" s="1268"/>
      <c r="S604" s="1264"/>
      <c r="T604" s="1264"/>
      <c r="U604" s="1264"/>
      <c r="V604" s="1266"/>
      <c r="W604" s="1264"/>
      <c r="X604" s="1269">
        <v>21063624</v>
      </c>
      <c r="Y604"/>
      <c r="Z604"/>
      <c r="AA604"/>
      <c r="AB604"/>
    </row>
    <row r="605" spans="1:28" s="204" customFormat="1" ht="13.5" thickBot="1">
      <c r="A605" s="1207"/>
      <c r="B605" s="1205" t="s">
        <v>236</v>
      </c>
      <c r="C605" s="1264">
        <v>8.5646591265667635E-2</v>
      </c>
      <c r="D605" s="1268">
        <v>0</v>
      </c>
      <c r="E605" s="1268">
        <v>5.7307627763630756E-2</v>
      </c>
      <c r="F605" s="1268">
        <v>0</v>
      </c>
      <c r="G605" s="1268">
        <v>117.53268429964577</v>
      </c>
      <c r="H605" s="1281">
        <v>30.419152871177374</v>
      </c>
      <c r="I605" s="1352">
        <v>13.582840137449692</v>
      </c>
      <c r="J605" s="1266">
        <v>9.4417561666469974E-2</v>
      </c>
      <c r="K605" s="1268">
        <v>0</v>
      </c>
      <c r="L605" s="1268">
        <v>0</v>
      </c>
      <c r="M605" s="1281">
        <v>-0.51326807873077407</v>
      </c>
      <c r="N605" s="1268">
        <v>0</v>
      </c>
      <c r="O605" s="1352">
        <v>-0.38716288565665352</v>
      </c>
      <c r="P605" s="1264">
        <v>0</v>
      </c>
      <c r="Q605" s="1268">
        <v>0</v>
      </c>
      <c r="R605" s="1268">
        <v>0</v>
      </c>
      <c r="S605" s="1264">
        <v>0</v>
      </c>
      <c r="T605" s="1264">
        <v>0</v>
      </c>
      <c r="U605" s="1264">
        <v>0</v>
      </c>
      <c r="V605" s="1266">
        <v>0</v>
      </c>
      <c r="W605" s="1264">
        <v>0</v>
      </c>
      <c r="X605" s="1269">
        <v>12.819058705682417</v>
      </c>
      <c r="Y605"/>
      <c r="Z605"/>
      <c r="AA605"/>
      <c r="AB605"/>
    </row>
    <row r="606" spans="1:28">
      <c r="A606" s="1207"/>
      <c r="B606" s="1205" t="s">
        <v>449</v>
      </c>
      <c r="C606" s="1264">
        <v>269411736</v>
      </c>
      <c r="D606" s="1268"/>
      <c r="E606" s="1268">
        <v>67969025</v>
      </c>
      <c r="F606" s="1268"/>
      <c r="G606" s="1268">
        <v>46596009</v>
      </c>
      <c r="H606" s="1268">
        <v>68192586</v>
      </c>
      <c r="I606" s="1352">
        <v>452169356</v>
      </c>
      <c r="J606" s="1266">
        <v>14577252</v>
      </c>
      <c r="K606" s="1268"/>
      <c r="L606" s="1268"/>
      <c r="M606" s="1268">
        <v>45867254</v>
      </c>
      <c r="N606" s="1268"/>
      <c r="O606" s="1352">
        <v>60444506</v>
      </c>
      <c r="P606" s="1264"/>
      <c r="Q606" s="1268"/>
      <c r="R606" s="1268"/>
      <c r="S606" s="1264"/>
      <c r="T606" s="1264">
        <v>0</v>
      </c>
      <c r="U606" s="1264">
        <v>0</v>
      </c>
      <c r="V606" s="1266">
        <v>0</v>
      </c>
      <c r="W606" s="1264">
        <v>0</v>
      </c>
      <c r="X606" s="1269">
        <v>512613862</v>
      </c>
      <c r="Y606"/>
      <c r="Z606"/>
      <c r="AA606"/>
      <c r="AB606"/>
    </row>
    <row r="607" spans="1:28" s="205" customFormat="1">
      <c r="A607" s="1207"/>
      <c r="B607" s="1205" t="s">
        <v>109</v>
      </c>
      <c r="C607" s="1264">
        <v>275360924</v>
      </c>
      <c r="D607" s="1268"/>
      <c r="E607" s="1268">
        <v>68674441</v>
      </c>
      <c r="F607" s="1268"/>
      <c r="G607" s="1268">
        <v>46596009</v>
      </c>
      <c r="H607" s="1268">
        <v>68192586</v>
      </c>
      <c r="I607" s="1352">
        <v>458823960</v>
      </c>
      <c r="J607" s="1266">
        <v>14577252</v>
      </c>
      <c r="K607" s="1268"/>
      <c r="L607" s="1268"/>
      <c r="M607" s="1268">
        <v>45759799</v>
      </c>
      <c r="N607" s="1268"/>
      <c r="O607" s="1352">
        <v>60337051</v>
      </c>
      <c r="P607" s="1264"/>
      <c r="Q607" s="1268"/>
      <c r="R607" s="1268"/>
      <c r="S607" s="1264"/>
      <c r="T607" s="1264">
        <v>0</v>
      </c>
      <c r="U607" s="1264">
        <v>0</v>
      </c>
      <c r="V607" s="1266">
        <v>0</v>
      </c>
      <c r="W607" s="1264">
        <v>0</v>
      </c>
      <c r="X607" s="1269">
        <v>519161011</v>
      </c>
      <c r="Y607"/>
      <c r="Z607"/>
      <c r="AA607"/>
      <c r="AB607"/>
    </row>
    <row r="608" spans="1:28" s="204" customFormat="1" ht="13.5" thickBot="1">
      <c r="A608" s="1207"/>
      <c r="B608" s="1205" t="s">
        <v>83</v>
      </c>
      <c r="C608" s="1264">
        <v>2.2082141217485791</v>
      </c>
      <c r="D608" s="1268">
        <v>0</v>
      </c>
      <c r="E608" s="1268">
        <v>1.0378492261732459</v>
      </c>
      <c r="F608" s="1268">
        <v>0</v>
      </c>
      <c r="G608" s="1268">
        <v>0</v>
      </c>
      <c r="H608" s="1268">
        <v>0</v>
      </c>
      <c r="I608" s="1352">
        <v>1.4717061011980652</v>
      </c>
      <c r="J608" s="1266">
        <v>0</v>
      </c>
      <c r="K608" s="1268">
        <v>0</v>
      </c>
      <c r="L608" s="1268">
        <v>0</v>
      </c>
      <c r="M608" s="1268">
        <v>-0.23427388960324505</v>
      </c>
      <c r="N608" s="1268">
        <v>0</v>
      </c>
      <c r="O608" s="1352">
        <v>-0.17777463513391936</v>
      </c>
      <c r="P608" s="1264">
        <v>0</v>
      </c>
      <c r="Q608" s="1268">
        <v>0</v>
      </c>
      <c r="R608" s="1268">
        <v>0</v>
      </c>
      <c r="S608" s="1264">
        <v>0</v>
      </c>
      <c r="T608" s="1264">
        <v>0</v>
      </c>
      <c r="U608" s="1264">
        <v>0</v>
      </c>
      <c r="V608" s="1266">
        <v>0</v>
      </c>
      <c r="W608" s="1264">
        <v>0</v>
      </c>
      <c r="X608" s="1269">
        <v>1.2772087306527034</v>
      </c>
      <c r="Y608"/>
      <c r="Z608"/>
      <c r="AA608"/>
      <c r="AB608"/>
    </row>
    <row r="609" spans="1:28">
      <c r="A609" s="1207"/>
      <c r="B609" s="1205" t="s">
        <v>111</v>
      </c>
      <c r="C609" s="1264"/>
      <c r="D609" s="1268"/>
      <c r="E609" s="1268"/>
      <c r="F609" s="1268"/>
      <c r="G609" s="1268"/>
      <c r="H609" s="1268"/>
      <c r="I609" s="1352"/>
      <c r="J609" s="1266"/>
      <c r="K609" s="1268"/>
      <c r="L609" s="1268"/>
      <c r="M609" s="1268"/>
      <c r="N609" s="1268"/>
      <c r="O609" s="1352"/>
      <c r="P609" s="1264"/>
      <c r="Q609" s="1268"/>
      <c r="R609" s="1268"/>
      <c r="S609" s="1264"/>
      <c r="T609" s="1264"/>
      <c r="U609" s="1264"/>
      <c r="V609" s="1288">
        <v>104028584</v>
      </c>
      <c r="W609" s="1264">
        <v>104028584</v>
      </c>
      <c r="X609" s="1269">
        <v>104028584</v>
      </c>
      <c r="Y609"/>
      <c r="Z609"/>
      <c r="AA609"/>
      <c r="AB609"/>
    </row>
    <row r="610" spans="1:28" s="205" customFormat="1">
      <c r="A610" s="1207"/>
      <c r="B610" s="1205" t="s">
        <v>113</v>
      </c>
      <c r="C610" s="1264"/>
      <c r="D610" s="1268"/>
      <c r="E610" s="1268"/>
      <c r="F610" s="1268"/>
      <c r="G610" s="1268"/>
      <c r="H610" s="1268"/>
      <c r="I610" s="1352"/>
      <c r="J610" s="1266"/>
      <c r="K610" s="1268"/>
      <c r="L610" s="1268"/>
      <c r="M610" s="1268"/>
      <c r="N610" s="1268"/>
      <c r="O610" s="1352"/>
      <c r="P610" s="1264"/>
      <c r="Q610" s="1268"/>
      <c r="R610" s="1268"/>
      <c r="S610" s="1264"/>
      <c r="T610" s="1264"/>
      <c r="U610" s="1264"/>
      <c r="V610" s="1289">
        <v>107185887</v>
      </c>
      <c r="W610" s="1264">
        <v>107185887</v>
      </c>
      <c r="X610" s="1269">
        <v>107185887</v>
      </c>
      <c r="Y610"/>
      <c r="Z610"/>
      <c r="AA610"/>
      <c r="AB610"/>
    </row>
    <row r="611" spans="1:28" s="204" customFormat="1" ht="13.5" thickBot="1">
      <c r="A611" s="1207"/>
      <c r="B611" s="1205" t="s">
        <v>115</v>
      </c>
      <c r="C611" s="1264">
        <v>0</v>
      </c>
      <c r="D611" s="1268">
        <v>0</v>
      </c>
      <c r="E611" s="1268">
        <v>0</v>
      </c>
      <c r="F611" s="1268">
        <v>0</v>
      </c>
      <c r="G611" s="1268">
        <v>0</v>
      </c>
      <c r="H611" s="1268">
        <v>0</v>
      </c>
      <c r="I611" s="1352">
        <v>0</v>
      </c>
      <c r="J611" s="1266">
        <v>0</v>
      </c>
      <c r="K611" s="1268">
        <v>0</v>
      </c>
      <c r="L611" s="1268">
        <v>0</v>
      </c>
      <c r="M611" s="1268">
        <v>0</v>
      </c>
      <c r="N611" s="1268">
        <v>0</v>
      </c>
      <c r="O611" s="1352">
        <v>0</v>
      </c>
      <c r="P611" s="1264">
        <v>0</v>
      </c>
      <c r="Q611" s="1268">
        <v>0</v>
      </c>
      <c r="R611" s="1268">
        <v>0</v>
      </c>
      <c r="S611" s="1264">
        <v>0</v>
      </c>
      <c r="T611" s="1264">
        <v>0</v>
      </c>
      <c r="U611" s="1264">
        <v>0</v>
      </c>
      <c r="V611" s="1290">
        <v>3.0350341017811027</v>
      </c>
      <c r="W611" s="1264">
        <v>3.0350341017811027</v>
      </c>
      <c r="X611" s="1269">
        <v>3.0350341017811027</v>
      </c>
      <c r="Y611"/>
      <c r="Z611"/>
      <c r="AA611"/>
      <c r="AB611"/>
    </row>
    <row r="612" spans="1:28">
      <c r="A612" s="1207"/>
      <c r="B612" s="1205" t="s">
        <v>339</v>
      </c>
      <c r="C612" s="1264"/>
      <c r="D612" s="1268"/>
      <c r="E612" s="1268"/>
      <c r="F612" s="1268"/>
      <c r="G612" s="1268"/>
      <c r="H612" s="1268"/>
      <c r="I612" s="1352"/>
      <c r="J612" s="1266"/>
      <c r="K612" s="1268"/>
      <c r="L612" s="1268"/>
      <c r="M612" s="1268"/>
      <c r="N612" s="1268"/>
      <c r="O612" s="1352"/>
      <c r="P612" s="1264"/>
      <c r="Q612" s="1268"/>
      <c r="R612" s="1268"/>
      <c r="S612" s="1264"/>
      <c r="T612" s="1264"/>
      <c r="U612" s="1264"/>
      <c r="V612" s="1266"/>
      <c r="W612" s="1264"/>
      <c r="X612" s="1269"/>
      <c r="Y612"/>
      <c r="Z612"/>
      <c r="AA612"/>
      <c r="AB612"/>
    </row>
    <row r="613" spans="1:28" s="205" customFormat="1">
      <c r="A613" s="1207"/>
      <c r="B613" s="1205" t="s">
        <v>223</v>
      </c>
      <c r="C613" s="1264"/>
      <c r="D613" s="1268"/>
      <c r="E613" s="1268"/>
      <c r="F613" s="1268"/>
      <c r="G613" s="1268"/>
      <c r="H613" s="1268"/>
      <c r="I613" s="1352"/>
      <c r="J613" s="1266"/>
      <c r="K613" s="1268"/>
      <c r="L613" s="1268"/>
      <c r="M613" s="1268"/>
      <c r="N613" s="1268"/>
      <c r="O613" s="1352"/>
      <c r="P613" s="1264"/>
      <c r="Q613" s="1268"/>
      <c r="R613" s="1268"/>
      <c r="S613" s="1264"/>
      <c r="T613" s="1264"/>
      <c r="U613" s="1264"/>
      <c r="V613" s="1266"/>
      <c r="W613" s="1264"/>
      <c r="X613" s="1269"/>
      <c r="Y613"/>
      <c r="Z613"/>
      <c r="AA613"/>
      <c r="AB613"/>
    </row>
    <row r="614" spans="1:28" s="204" customFormat="1">
      <c r="A614" s="1207"/>
      <c r="B614" s="1205" t="s">
        <v>85</v>
      </c>
      <c r="C614" s="1264">
        <v>0</v>
      </c>
      <c r="D614" s="1268">
        <v>0</v>
      </c>
      <c r="E614" s="1268">
        <v>0</v>
      </c>
      <c r="F614" s="1268">
        <v>0</v>
      </c>
      <c r="G614" s="1268">
        <v>0</v>
      </c>
      <c r="H614" s="1268">
        <v>0</v>
      </c>
      <c r="I614" s="1352">
        <v>0</v>
      </c>
      <c r="J614" s="1266">
        <v>0</v>
      </c>
      <c r="K614" s="1268">
        <v>0</v>
      </c>
      <c r="L614" s="1268">
        <v>0</v>
      </c>
      <c r="M614" s="1268">
        <v>0</v>
      </c>
      <c r="N614" s="1268">
        <v>0</v>
      </c>
      <c r="O614" s="1352">
        <v>0</v>
      </c>
      <c r="P614" s="1264">
        <v>0</v>
      </c>
      <c r="Q614" s="1268">
        <v>0</v>
      </c>
      <c r="R614" s="1268">
        <v>0</v>
      </c>
      <c r="S614" s="1264">
        <v>0</v>
      </c>
      <c r="T614" s="1264">
        <v>0</v>
      </c>
      <c r="U614" s="1264">
        <v>0</v>
      </c>
      <c r="V614" s="1266">
        <v>0</v>
      </c>
      <c r="W614" s="1264">
        <v>0</v>
      </c>
      <c r="X614" s="1269">
        <v>0</v>
      </c>
      <c r="Y614"/>
      <c r="Z614"/>
      <c r="AA614"/>
      <c r="AB614"/>
    </row>
    <row r="615" spans="1:28">
      <c r="A615" s="1207"/>
      <c r="B615" s="1205" t="s">
        <v>219</v>
      </c>
      <c r="C615" s="1264"/>
      <c r="D615" s="1268"/>
      <c r="E615" s="1268"/>
      <c r="F615" s="1268"/>
      <c r="G615" s="1268"/>
      <c r="H615" s="1268"/>
      <c r="I615" s="1352"/>
      <c r="J615" s="1266"/>
      <c r="K615" s="1268"/>
      <c r="L615" s="1268"/>
      <c r="M615" s="1268"/>
      <c r="N615" s="1268"/>
      <c r="O615" s="1352"/>
      <c r="P615" s="1264"/>
      <c r="Q615" s="1268"/>
      <c r="R615" s="1268"/>
      <c r="S615" s="1264"/>
      <c r="T615" s="1264"/>
      <c r="U615" s="1264"/>
      <c r="V615" s="1266"/>
      <c r="W615" s="1264"/>
      <c r="X615" s="1269"/>
      <c r="Y615"/>
      <c r="Z615"/>
      <c r="AA615"/>
      <c r="AB615"/>
    </row>
    <row r="616" spans="1:28" s="205" customFormat="1">
      <c r="A616" s="1207"/>
      <c r="B616" s="1205" t="s">
        <v>141</v>
      </c>
      <c r="C616" s="1264"/>
      <c r="D616" s="1268"/>
      <c r="E616" s="1268"/>
      <c r="F616" s="1268"/>
      <c r="G616" s="1268"/>
      <c r="H616" s="1268"/>
      <c r="I616" s="1352"/>
      <c r="J616" s="1266"/>
      <c r="K616" s="1268"/>
      <c r="L616" s="1268"/>
      <c r="M616" s="1268"/>
      <c r="N616" s="1268"/>
      <c r="O616" s="1352"/>
      <c r="P616" s="1264"/>
      <c r="Q616" s="1268"/>
      <c r="R616" s="1268"/>
      <c r="S616" s="1264"/>
      <c r="T616" s="1264"/>
      <c r="U616" s="1264"/>
      <c r="V616" s="1266"/>
      <c r="W616" s="1264"/>
      <c r="X616" s="1269"/>
      <c r="Y616"/>
      <c r="Z616"/>
      <c r="AA616"/>
      <c r="AB616"/>
    </row>
    <row r="617" spans="1:28" s="204" customFormat="1">
      <c r="A617" s="1207"/>
      <c r="B617" s="1205" t="s">
        <v>169</v>
      </c>
      <c r="C617" s="1264">
        <v>0</v>
      </c>
      <c r="D617" s="1268">
        <v>0</v>
      </c>
      <c r="E617" s="1268">
        <v>0</v>
      </c>
      <c r="F617" s="1268">
        <v>0</v>
      </c>
      <c r="G617" s="1268">
        <v>0</v>
      </c>
      <c r="H617" s="1268">
        <v>0</v>
      </c>
      <c r="I617" s="1352">
        <v>0</v>
      </c>
      <c r="J617" s="1266">
        <v>0</v>
      </c>
      <c r="K617" s="1268">
        <v>0</v>
      </c>
      <c r="L617" s="1268">
        <v>0</v>
      </c>
      <c r="M617" s="1268">
        <v>0</v>
      </c>
      <c r="N617" s="1268">
        <v>0</v>
      </c>
      <c r="O617" s="1352">
        <v>0</v>
      </c>
      <c r="P617" s="1264">
        <v>0</v>
      </c>
      <c r="Q617" s="1268">
        <v>0</v>
      </c>
      <c r="R617" s="1268">
        <v>0</v>
      </c>
      <c r="S617" s="1264">
        <v>0</v>
      </c>
      <c r="T617" s="1264">
        <v>0</v>
      </c>
      <c r="U617" s="1264">
        <v>0</v>
      </c>
      <c r="V617" s="1266">
        <v>0</v>
      </c>
      <c r="W617" s="1264">
        <v>0</v>
      </c>
      <c r="X617" s="1269">
        <v>0</v>
      </c>
      <c r="Y617"/>
      <c r="Z617"/>
      <c r="AA617"/>
      <c r="AB617"/>
    </row>
    <row r="618" spans="1:28">
      <c r="A618" s="1207"/>
      <c r="B618" s="1205" t="s">
        <v>221</v>
      </c>
      <c r="C618" s="1264">
        <v>0</v>
      </c>
      <c r="D618" s="1268"/>
      <c r="E618" s="1268">
        <v>0</v>
      </c>
      <c r="F618" s="1268"/>
      <c r="G618" s="1268">
        <v>0</v>
      </c>
      <c r="H618" s="1268">
        <v>0</v>
      </c>
      <c r="I618" s="1352">
        <v>0</v>
      </c>
      <c r="J618" s="1266">
        <v>0</v>
      </c>
      <c r="K618" s="1268"/>
      <c r="L618" s="1268"/>
      <c r="M618" s="1268">
        <v>0</v>
      </c>
      <c r="N618" s="1268"/>
      <c r="O618" s="1352">
        <v>0</v>
      </c>
      <c r="P618" s="1264"/>
      <c r="Q618" s="1268"/>
      <c r="R618" s="1268"/>
      <c r="S618" s="1264"/>
      <c r="T618" s="1264">
        <v>0</v>
      </c>
      <c r="U618" s="1264">
        <v>0</v>
      </c>
      <c r="V618" s="1266">
        <v>0</v>
      </c>
      <c r="W618" s="1264">
        <v>0</v>
      </c>
      <c r="X618" s="1269">
        <v>0</v>
      </c>
      <c r="Y618"/>
      <c r="Z618"/>
      <c r="AA618"/>
      <c r="AB618"/>
    </row>
    <row r="619" spans="1:28" s="205" customFormat="1">
      <c r="A619" s="1207"/>
      <c r="B619" s="1205" t="s">
        <v>143</v>
      </c>
      <c r="C619" s="1264">
        <v>0</v>
      </c>
      <c r="D619" s="1268"/>
      <c r="E619" s="1268">
        <v>0</v>
      </c>
      <c r="F619" s="1268"/>
      <c r="G619" s="1268">
        <v>0</v>
      </c>
      <c r="H619" s="1268">
        <v>0</v>
      </c>
      <c r="I619" s="1352">
        <v>0</v>
      </c>
      <c r="J619" s="1266">
        <v>0</v>
      </c>
      <c r="K619" s="1268"/>
      <c r="L619" s="1268"/>
      <c r="M619" s="1268">
        <v>0</v>
      </c>
      <c r="N619" s="1268"/>
      <c r="O619" s="1352">
        <v>0</v>
      </c>
      <c r="P619" s="1264"/>
      <c r="Q619" s="1268"/>
      <c r="R619" s="1268"/>
      <c r="S619" s="1264"/>
      <c r="T619" s="1264">
        <v>0</v>
      </c>
      <c r="U619" s="1264">
        <v>0</v>
      </c>
      <c r="V619" s="1266">
        <v>0</v>
      </c>
      <c r="W619" s="1264">
        <v>0</v>
      </c>
      <c r="X619" s="1269">
        <v>0</v>
      </c>
      <c r="Y619"/>
      <c r="Z619"/>
      <c r="AA619"/>
      <c r="AB619"/>
    </row>
    <row r="620" spans="1:28" s="204" customFormat="1" ht="13.5" thickBot="1">
      <c r="A620" s="1207"/>
      <c r="B620" s="1205" t="s">
        <v>245</v>
      </c>
      <c r="C620" s="1264">
        <v>0</v>
      </c>
      <c r="D620" s="1268">
        <v>0</v>
      </c>
      <c r="E620" s="1268">
        <v>0</v>
      </c>
      <c r="F620" s="1268">
        <v>0</v>
      </c>
      <c r="G620" s="1268">
        <v>0</v>
      </c>
      <c r="H620" s="1268">
        <v>0</v>
      </c>
      <c r="I620" s="1352">
        <v>0</v>
      </c>
      <c r="J620" s="1266">
        <v>0</v>
      </c>
      <c r="K620" s="1268">
        <v>0</v>
      </c>
      <c r="L620" s="1268">
        <v>0</v>
      </c>
      <c r="M620" s="1268">
        <v>0</v>
      </c>
      <c r="N620" s="1268">
        <v>0</v>
      </c>
      <c r="O620" s="1352">
        <v>0</v>
      </c>
      <c r="P620" s="1264">
        <v>0</v>
      </c>
      <c r="Q620" s="1268">
        <v>0</v>
      </c>
      <c r="R620" s="1268">
        <v>0</v>
      </c>
      <c r="S620" s="1264">
        <v>0</v>
      </c>
      <c r="T620" s="1264">
        <v>0</v>
      </c>
      <c r="U620" s="1264">
        <v>0</v>
      </c>
      <c r="V620" s="1266">
        <v>0</v>
      </c>
      <c r="W620" s="1264">
        <v>0</v>
      </c>
      <c r="X620" s="1269">
        <v>0</v>
      </c>
      <c r="Y620"/>
      <c r="Z620"/>
      <c r="AA620"/>
      <c r="AB620"/>
    </row>
    <row r="621" spans="1:28">
      <c r="A621" s="1207"/>
      <c r="B621" s="1205" t="s">
        <v>117</v>
      </c>
      <c r="C621" s="1264">
        <v>68958633</v>
      </c>
      <c r="D621" s="1268"/>
      <c r="E621" s="1268">
        <v>19786362</v>
      </c>
      <c r="F621" s="1268"/>
      <c r="G621" s="1268"/>
      <c r="H621" s="1268"/>
      <c r="I621" s="1352">
        <v>88744995</v>
      </c>
      <c r="J621" s="1266"/>
      <c r="K621" s="1268"/>
      <c r="L621" s="1268"/>
      <c r="M621" s="1268"/>
      <c r="N621" s="1268"/>
      <c r="O621" s="1352"/>
      <c r="P621" s="1264"/>
      <c r="Q621" s="1268"/>
      <c r="R621" s="1268"/>
      <c r="S621" s="1264"/>
      <c r="T621" s="1262">
        <v>7218271</v>
      </c>
      <c r="U621" s="1264">
        <v>7218271</v>
      </c>
      <c r="V621" s="1266"/>
      <c r="W621" s="1264"/>
      <c r="X621" s="1269">
        <v>95963266</v>
      </c>
      <c r="Y621"/>
      <c r="Z621"/>
      <c r="AA621"/>
      <c r="AB621"/>
    </row>
    <row r="622" spans="1:28" s="205" customFormat="1">
      <c r="A622" s="1207"/>
      <c r="B622" s="1205" t="s">
        <v>119</v>
      </c>
      <c r="C622" s="1264">
        <v>68800371</v>
      </c>
      <c r="D622" s="1268"/>
      <c r="E622" s="1268">
        <v>19709422</v>
      </c>
      <c r="F622" s="1268"/>
      <c r="G622" s="1268"/>
      <c r="H622" s="1268"/>
      <c r="I622" s="1352">
        <v>88509793</v>
      </c>
      <c r="J622" s="1266"/>
      <c r="K622" s="1268"/>
      <c r="L622" s="1268"/>
      <c r="M622" s="1268"/>
      <c r="N622" s="1268"/>
      <c r="O622" s="1352"/>
      <c r="P622" s="1264"/>
      <c r="Q622" s="1268"/>
      <c r="R622" s="1268"/>
      <c r="S622" s="1264"/>
      <c r="T622" s="1267">
        <v>7061246</v>
      </c>
      <c r="U622" s="1264">
        <v>7061246</v>
      </c>
      <c r="V622" s="1266"/>
      <c r="W622" s="1264"/>
      <c r="X622" s="1269">
        <v>95571039</v>
      </c>
      <c r="Y622"/>
      <c r="Z622"/>
      <c r="AA622"/>
      <c r="AB622"/>
    </row>
    <row r="623" spans="1:28" s="204" customFormat="1" ht="13.5" thickBot="1">
      <c r="A623" s="1207"/>
      <c r="B623" s="1205" t="s">
        <v>301</v>
      </c>
      <c r="C623" s="1264">
        <v>-0.22950280931467998</v>
      </c>
      <c r="D623" s="1268">
        <v>0</v>
      </c>
      <c r="E623" s="1268">
        <v>-0.38885369629849087</v>
      </c>
      <c r="F623" s="1268">
        <v>0</v>
      </c>
      <c r="G623" s="1268">
        <v>0</v>
      </c>
      <c r="H623" s="1268">
        <v>0</v>
      </c>
      <c r="I623" s="1352">
        <v>-0.26503128429946948</v>
      </c>
      <c r="J623" s="1266">
        <v>0</v>
      </c>
      <c r="K623" s="1268">
        <v>0</v>
      </c>
      <c r="L623" s="1268">
        <v>0</v>
      </c>
      <c r="M623" s="1268">
        <v>0</v>
      </c>
      <c r="N623" s="1268">
        <v>0</v>
      </c>
      <c r="O623" s="1352">
        <v>0</v>
      </c>
      <c r="P623" s="1264">
        <v>0</v>
      </c>
      <c r="Q623" s="1268">
        <v>0</v>
      </c>
      <c r="R623" s="1268">
        <v>0</v>
      </c>
      <c r="S623" s="1264">
        <v>0</v>
      </c>
      <c r="T623" s="1281">
        <v>-2.1753824426929942</v>
      </c>
      <c r="U623" s="1264">
        <v>-2.1753824426929942</v>
      </c>
      <c r="V623" s="1266">
        <v>0</v>
      </c>
      <c r="W623" s="1264">
        <v>0</v>
      </c>
      <c r="X623" s="1269">
        <v>-0.40872618903987695</v>
      </c>
      <c r="Y623"/>
      <c r="Z623"/>
      <c r="AA623"/>
      <c r="AB623"/>
    </row>
    <row r="624" spans="1:28">
      <c r="A624" s="1207"/>
      <c r="B624" s="1205" t="s">
        <v>120</v>
      </c>
      <c r="C624" s="1262">
        <v>40441809</v>
      </c>
      <c r="D624" s="1268"/>
      <c r="E624" s="1268">
        <v>7075181</v>
      </c>
      <c r="F624" s="1268"/>
      <c r="G624" s="1268"/>
      <c r="H624" s="1268"/>
      <c r="I624" s="1352">
        <v>47516990</v>
      </c>
      <c r="J624" s="1266"/>
      <c r="K624" s="1268"/>
      <c r="L624" s="1268"/>
      <c r="M624" s="1268"/>
      <c r="N624" s="1268"/>
      <c r="O624" s="1352"/>
      <c r="P624" s="1264"/>
      <c r="Q624" s="1268"/>
      <c r="R624" s="1268"/>
      <c r="S624" s="1264"/>
      <c r="T624" s="1267">
        <v>31963161</v>
      </c>
      <c r="U624" s="1264">
        <v>31963161</v>
      </c>
      <c r="V624" s="1266"/>
      <c r="W624" s="1264"/>
      <c r="X624" s="1269">
        <v>79480151</v>
      </c>
      <c r="Y624"/>
      <c r="Z624"/>
      <c r="AA624"/>
      <c r="AB624"/>
    </row>
    <row r="625" spans="1:28" s="205" customFormat="1">
      <c r="A625" s="1207"/>
      <c r="B625" s="1205" t="s">
        <v>450</v>
      </c>
      <c r="C625" s="1267">
        <v>40441809</v>
      </c>
      <c r="D625" s="1268"/>
      <c r="E625" s="1268">
        <v>7075181</v>
      </c>
      <c r="F625" s="1268"/>
      <c r="G625" s="1268"/>
      <c r="H625" s="1268"/>
      <c r="I625" s="1352">
        <v>47516990</v>
      </c>
      <c r="J625" s="1266"/>
      <c r="K625" s="1268"/>
      <c r="L625" s="1268"/>
      <c r="M625" s="1268"/>
      <c r="N625" s="1268"/>
      <c r="O625" s="1352"/>
      <c r="P625" s="1264"/>
      <c r="Q625" s="1268"/>
      <c r="R625" s="1268"/>
      <c r="S625" s="1264"/>
      <c r="T625" s="1267">
        <v>31963161</v>
      </c>
      <c r="U625" s="1264">
        <v>31963161</v>
      </c>
      <c r="V625" s="1266"/>
      <c r="W625" s="1264"/>
      <c r="X625" s="1269">
        <v>79480151</v>
      </c>
      <c r="Y625"/>
      <c r="Z625"/>
      <c r="AA625"/>
      <c r="AB625"/>
    </row>
    <row r="626" spans="1:28" s="204" customFormat="1" ht="13.5" thickBot="1">
      <c r="A626" s="1207"/>
      <c r="B626" s="1205" t="s">
        <v>335</v>
      </c>
      <c r="C626" s="1281">
        <v>0</v>
      </c>
      <c r="D626" s="1268">
        <v>0</v>
      </c>
      <c r="E626" s="1268">
        <v>0</v>
      </c>
      <c r="F626" s="1268">
        <v>0</v>
      </c>
      <c r="G626" s="1268">
        <v>0</v>
      </c>
      <c r="H626" s="1268">
        <v>0</v>
      </c>
      <c r="I626" s="1352">
        <v>0</v>
      </c>
      <c r="J626" s="1266">
        <v>0</v>
      </c>
      <c r="K626" s="1268">
        <v>0</v>
      </c>
      <c r="L626" s="1268">
        <v>0</v>
      </c>
      <c r="M626" s="1268">
        <v>0</v>
      </c>
      <c r="N626" s="1268">
        <v>0</v>
      </c>
      <c r="O626" s="1352">
        <v>0</v>
      </c>
      <c r="P626" s="1264">
        <v>0</v>
      </c>
      <c r="Q626" s="1268">
        <v>0</v>
      </c>
      <c r="R626" s="1268">
        <v>0</v>
      </c>
      <c r="S626" s="1264">
        <v>0</v>
      </c>
      <c r="T626" s="1281">
        <v>0</v>
      </c>
      <c r="U626" s="1264">
        <v>0</v>
      </c>
      <c r="V626" s="1266">
        <v>0</v>
      </c>
      <c r="W626" s="1264">
        <v>0</v>
      </c>
      <c r="X626" s="1269">
        <v>0</v>
      </c>
      <c r="Y626"/>
      <c r="Z626"/>
      <c r="AA626"/>
      <c r="AB626"/>
    </row>
    <row r="627" spans="1:28">
      <c r="A627" s="1207"/>
      <c r="B627" s="1205" t="s">
        <v>35</v>
      </c>
      <c r="C627" s="1264">
        <v>368327186</v>
      </c>
      <c r="D627" s="1268"/>
      <c r="E627" s="1268">
        <v>110781142</v>
      </c>
      <c r="F627" s="1268"/>
      <c r="G627" s="1268">
        <v>68613134</v>
      </c>
      <c r="H627" s="1268">
        <v>116063238</v>
      </c>
      <c r="I627" s="1352">
        <v>663784700</v>
      </c>
      <c r="J627" s="1266">
        <v>27709387</v>
      </c>
      <c r="K627" s="1268"/>
      <c r="L627" s="1268"/>
      <c r="M627" s="1268">
        <v>90998351</v>
      </c>
      <c r="N627" s="1268"/>
      <c r="O627" s="1352">
        <v>118707738</v>
      </c>
      <c r="P627" s="1264"/>
      <c r="Q627" s="1268"/>
      <c r="R627" s="1268"/>
      <c r="S627" s="1264"/>
      <c r="T627" s="1264">
        <v>0</v>
      </c>
      <c r="U627" s="1264">
        <v>0</v>
      </c>
      <c r="V627" s="1266">
        <v>333500</v>
      </c>
      <c r="W627" s="1264">
        <v>333500</v>
      </c>
      <c r="X627" s="1269">
        <v>782825938</v>
      </c>
      <c r="Y627"/>
      <c r="Z627"/>
      <c r="AA627"/>
      <c r="AB627"/>
    </row>
    <row r="628" spans="1:28" s="205" customFormat="1">
      <c r="A628" s="1207"/>
      <c r="B628" s="1205" t="s">
        <v>37</v>
      </c>
      <c r="C628" s="1264">
        <v>372360289</v>
      </c>
      <c r="D628" s="1268"/>
      <c r="E628" s="1268">
        <v>113125038</v>
      </c>
      <c r="F628" s="1268"/>
      <c r="G628" s="1268">
        <v>68939754</v>
      </c>
      <c r="H628" s="1268">
        <v>115026564</v>
      </c>
      <c r="I628" s="1352">
        <v>669451645</v>
      </c>
      <c r="J628" s="1266">
        <v>27518976</v>
      </c>
      <c r="K628" s="1268"/>
      <c r="L628" s="1268"/>
      <c r="M628" s="1268">
        <v>90847326</v>
      </c>
      <c r="N628" s="1268"/>
      <c r="O628" s="1352">
        <v>118366302</v>
      </c>
      <c r="P628" s="1264"/>
      <c r="Q628" s="1268"/>
      <c r="R628" s="1268"/>
      <c r="S628" s="1264"/>
      <c r="T628" s="1264">
        <v>0</v>
      </c>
      <c r="U628" s="1264">
        <v>0</v>
      </c>
      <c r="V628" s="1266">
        <v>323500</v>
      </c>
      <c r="W628" s="1264">
        <v>323500</v>
      </c>
      <c r="X628" s="1269">
        <v>788141447</v>
      </c>
      <c r="Y628"/>
      <c r="Z628"/>
      <c r="AA628"/>
      <c r="AB628"/>
    </row>
    <row r="629" spans="1:28" s="214" customFormat="1">
      <c r="A629" s="1333"/>
      <c r="B629" s="1205" t="s">
        <v>39</v>
      </c>
      <c r="C629" s="1264">
        <v>1.0949783652407346</v>
      </c>
      <c r="D629" s="1268">
        <v>0</v>
      </c>
      <c r="E629" s="1268">
        <v>2.115789707240967</v>
      </c>
      <c r="F629" s="1268">
        <v>0</v>
      </c>
      <c r="G629" s="1268">
        <v>0.47603130910767028</v>
      </c>
      <c r="H629" s="1268">
        <v>-0.89319755149343671</v>
      </c>
      <c r="I629" s="1352">
        <v>0.85373239244592414</v>
      </c>
      <c r="J629" s="1266">
        <v>-0.68717146286924358</v>
      </c>
      <c r="K629" s="1268">
        <v>0</v>
      </c>
      <c r="L629" s="1268">
        <v>0</v>
      </c>
      <c r="M629" s="1268">
        <v>-0.1659645458850128</v>
      </c>
      <c r="N629" s="1268">
        <v>0</v>
      </c>
      <c r="O629" s="1352">
        <v>-0.28762741650422152</v>
      </c>
      <c r="P629" s="1264">
        <v>0</v>
      </c>
      <c r="Q629" s="1268">
        <v>0</v>
      </c>
      <c r="R629" s="1268">
        <v>0</v>
      </c>
      <c r="S629" s="1264">
        <v>0</v>
      </c>
      <c r="T629" s="1264">
        <v>0</v>
      </c>
      <c r="U629" s="1264">
        <v>0</v>
      </c>
      <c r="V629" s="1266">
        <v>-2.9985007496251872</v>
      </c>
      <c r="W629" s="1264">
        <v>-2.9985007496251872</v>
      </c>
      <c r="X629" s="1269">
        <v>0.6790154416166011</v>
      </c>
      <c r="Y629"/>
      <c r="Z629"/>
      <c r="AA629"/>
      <c r="AB629"/>
    </row>
    <row r="630" spans="1:28">
      <c r="A630" s="1206" t="s">
        <v>7</v>
      </c>
      <c r="B630" s="1201"/>
      <c r="C630" s="1259">
        <v>6748204820.6249666</v>
      </c>
      <c r="D630" s="1260">
        <v>1543957344.0970511</v>
      </c>
      <c r="E630" s="1260">
        <v>3424266613.98</v>
      </c>
      <c r="F630" s="1260">
        <v>1037084191.1508436</v>
      </c>
      <c r="G630" s="1260">
        <v>593438700.6171385</v>
      </c>
      <c r="H630" s="1260">
        <v>328047733.88</v>
      </c>
      <c r="I630" s="1355">
        <v>13674999404.35</v>
      </c>
      <c r="J630" s="1261">
        <v>434768846</v>
      </c>
      <c r="K630" s="1260">
        <v>2094248519</v>
      </c>
      <c r="L630" s="1260">
        <v>1525956579.5999999</v>
      </c>
      <c r="M630" s="1260">
        <v>645467789</v>
      </c>
      <c r="N630" s="1260">
        <v>564992685</v>
      </c>
      <c r="O630" s="1355">
        <v>5265434418.6000004</v>
      </c>
      <c r="P630" s="1259">
        <v>343870109.63</v>
      </c>
      <c r="Q630" s="1260">
        <v>159116966.37</v>
      </c>
      <c r="R630" s="1260">
        <v>58951919</v>
      </c>
      <c r="S630" s="1259">
        <v>561938995</v>
      </c>
      <c r="T630" s="1259"/>
      <c r="U630" s="1259"/>
      <c r="V630" s="1261"/>
      <c r="W630" s="1259"/>
      <c r="X630" s="1263">
        <v>19502372817.950001</v>
      </c>
      <c r="Y630"/>
      <c r="Z630"/>
      <c r="AA630"/>
      <c r="AB630"/>
    </row>
    <row r="631" spans="1:28">
      <c r="A631" s="1206" t="s">
        <v>8</v>
      </c>
      <c r="B631" s="1201"/>
      <c r="C631" s="1259">
        <v>6801540420.138814</v>
      </c>
      <c r="D631" s="1260">
        <v>1550170495</v>
      </c>
      <c r="E631" s="1260">
        <v>3493059857.1526957</v>
      </c>
      <c r="F631" s="1260">
        <v>1044790818</v>
      </c>
      <c r="G631" s="1260">
        <v>600799905.34281778</v>
      </c>
      <c r="H631" s="1260">
        <v>330757586</v>
      </c>
      <c r="I631" s="1355">
        <v>13821119081.634327</v>
      </c>
      <c r="J631" s="1261">
        <v>452722002</v>
      </c>
      <c r="K631" s="1260">
        <v>2116132326.5705104</v>
      </c>
      <c r="L631" s="1260">
        <v>1541719680.3948026</v>
      </c>
      <c r="M631" s="1260">
        <v>652078841.07866049</v>
      </c>
      <c r="N631" s="1260">
        <v>544950232</v>
      </c>
      <c r="O631" s="1355">
        <v>5307603082.0439739</v>
      </c>
      <c r="P631" s="1259">
        <v>367402198.95602667</v>
      </c>
      <c r="Q631" s="1260">
        <v>159146101</v>
      </c>
      <c r="R631" s="1260"/>
      <c r="S631" s="1259">
        <v>526548299.95602667</v>
      </c>
      <c r="T631" s="1259">
        <v>0</v>
      </c>
      <c r="U631" s="1259">
        <v>0</v>
      </c>
      <c r="V631" s="1261"/>
      <c r="W631" s="1259"/>
      <c r="X631" s="1263">
        <v>19655270463.634327</v>
      </c>
      <c r="Y631"/>
      <c r="Z631"/>
      <c r="AA631"/>
      <c r="AB631"/>
    </row>
    <row r="632" spans="1:28">
      <c r="A632" s="1206" t="s">
        <v>176</v>
      </c>
      <c r="B632" s="1201"/>
      <c r="C632" s="1259">
        <v>0.79036722997550957</v>
      </c>
      <c r="D632" s="1260">
        <v>0.40241726409758544</v>
      </c>
      <c r="E632" s="1260">
        <v>2.008992024506461</v>
      </c>
      <c r="F632" s="1260">
        <v>0.74310522857400818</v>
      </c>
      <c r="G632" s="1260">
        <v>1.2404321993196759</v>
      </c>
      <c r="H632" s="1260">
        <v>0.82605421105919596</v>
      </c>
      <c r="I632" s="1355">
        <v>1.0685168822592128</v>
      </c>
      <c r="J632" s="1261">
        <v>4.1293565914794179</v>
      </c>
      <c r="K632" s="1260">
        <v>1.044947978808163</v>
      </c>
      <c r="L632" s="1260">
        <v>1.0329979899516315</v>
      </c>
      <c r="M632" s="1260">
        <v>1.0242264898923543</v>
      </c>
      <c r="N632" s="1260">
        <v>-3.5473827417783292</v>
      </c>
      <c r="O632" s="1355">
        <v>0.8008582026017439</v>
      </c>
      <c r="P632" s="1259">
        <v>6.843307594064199</v>
      </c>
      <c r="Q632" s="1260">
        <v>1.8310196998255677E-2</v>
      </c>
      <c r="R632" s="1260">
        <v>-100</v>
      </c>
      <c r="S632" s="1259">
        <v>-6.297960340690242</v>
      </c>
      <c r="T632" s="1259">
        <v>0</v>
      </c>
      <c r="U632" s="1259">
        <v>0</v>
      </c>
      <c r="V632" s="1261">
        <v>0</v>
      </c>
      <c r="W632" s="1259">
        <v>0</v>
      </c>
      <c r="X632" s="1263">
        <v>0.78399509183620497</v>
      </c>
      <c r="Y632"/>
      <c r="Z632"/>
      <c r="AA632"/>
      <c r="AB632"/>
    </row>
    <row r="633" spans="1:28">
      <c r="A633" s="1206" t="s">
        <v>270</v>
      </c>
      <c r="B633" s="1201"/>
      <c r="C633" s="1259">
        <v>1315373253</v>
      </c>
      <c r="D633" s="1260">
        <v>68846193</v>
      </c>
      <c r="E633" s="1260">
        <v>59174535</v>
      </c>
      <c r="F633" s="1260">
        <v>26027124</v>
      </c>
      <c r="G633" s="1260">
        <v>17081658</v>
      </c>
      <c r="H633" s="1260">
        <v>3458206</v>
      </c>
      <c r="I633" s="1355">
        <v>1489960969</v>
      </c>
      <c r="J633" s="1261">
        <v>207500</v>
      </c>
      <c r="K633" s="1260">
        <v>41264807.789999999</v>
      </c>
      <c r="L633" s="1260">
        <v>66170648.18</v>
      </c>
      <c r="M633" s="1260">
        <v>32880320.990000002</v>
      </c>
      <c r="N633" s="1260"/>
      <c r="O633" s="1355">
        <v>140523276.96000001</v>
      </c>
      <c r="P633" s="1259">
        <v>57247</v>
      </c>
      <c r="Q633" s="1260">
        <v>872275.51</v>
      </c>
      <c r="R633" s="1260"/>
      <c r="S633" s="1259">
        <v>929522.51</v>
      </c>
      <c r="T633" s="1259"/>
      <c r="U633" s="1259"/>
      <c r="V633" s="1261">
        <v>447786891.67000002</v>
      </c>
      <c r="W633" s="1259">
        <v>447786891.67000002</v>
      </c>
      <c r="X633" s="1263">
        <v>2079200660.1400001</v>
      </c>
      <c r="Y633"/>
      <c r="Z633"/>
      <c r="AA633"/>
      <c r="AB633"/>
    </row>
    <row r="634" spans="1:28">
      <c r="A634" s="1206" t="s">
        <v>343</v>
      </c>
      <c r="B634" s="1201"/>
      <c r="C634" s="1259">
        <v>1261322544</v>
      </c>
      <c r="D634" s="1260">
        <v>67416489</v>
      </c>
      <c r="E634" s="1260">
        <v>60804156</v>
      </c>
      <c r="F634" s="1260">
        <v>23507509</v>
      </c>
      <c r="G634" s="1260">
        <v>13652630</v>
      </c>
      <c r="H634" s="1260">
        <v>2607741</v>
      </c>
      <c r="I634" s="1355">
        <v>1429311069</v>
      </c>
      <c r="J634" s="1261">
        <v>207500</v>
      </c>
      <c r="K634" s="1260">
        <v>38746381</v>
      </c>
      <c r="L634" s="1260">
        <v>60682744</v>
      </c>
      <c r="M634" s="1260">
        <v>32609309</v>
      </c>
      <c r="N634" s="1260"/>
      <c r="O634" s="1355">
        <v>132245934</v>
      </c>
      <c r="P634" s="1259">
        <v>145192</v>
      </c>
      <c r="Q634" s="1260">
        <v>529090</v>
      </c>
      <c r="R634" s="1260"/>
      <c r="S634" s="1259">
        <v>674282</v>
      </c>
      <c r="T634" s="1259"/>
      <c r="U634" s="1259"/>
      <c r="V634" s="1261">
        <v>393577304</v>
      </c>
      <c r="W634" s="1259">
        <v>393577304</v>
      </c>
      <c r="X634" s="1263">
        <v>1955808589</v>
      </c>
      <c r="Y634"/>
      <c r="Z634"/>
      <c r="AA634"/>
      <c r="AB634"/>
    </row>
    <row r="635" spans="1:28">
      <c r="A635" s="1206" t="s">
        <v>425</v>
      </c>
      <c r="B635" s="1201"/>
      <c r="C635" s="1259">
        <v>-4.1091537232283981</v>
      </c>
      <c r="D635" s="1260">
        <v>-2.0766638469029073</v>
      </c>
      <c r="E635" s="1260">
        <v>2.75392278114226</v>
      </c>
      <c r="F635" s="1260">
        <v>-9.6807276900820849</v>
      </c>
      <c r="G635" s="1260">
        <v>-20.074327679432525</v>
      </c>
      <c r="H635" s="1260">
        <v>-24.592664520274386</v>
      </c>
      <c r="I635" s="1355">
        <v>-4.070569717051427</v>
      </c>
      <c r="J635" s="1261">
        <v>0</v>
      </c>
      <c r="K635" s="1260">
        <v>-6.1030862007560538</v>
      </c>
      <c r="L635" s="1260">
        <v>-8.2935626761152257</v>
      </c>
      <c r="M635" s="1260">
        <v>-0.824237665083701</v>
      </c>
      <c r="N635" s="1260">
        <v>0</v>
      </c>
      <c r="O635" s="1355">
        <v>-5.890371431030716</v>
      </c>
      <c r="P635" s="1259">
        <v>153.62377067793946</v>
      </c>
      <c r="Q635" s="1260">
        <v>-39.343705751867319</v>
      </c>
      <c r="R635" s="1260">
        <v>0</v>
      </c>
      <c r="S635" s="1259">
        <v>-27.459314567863451</v>
      </c>
      <c r="T635" s="1259">
        <v>0</v>
      </c>
      <c r="U635" s="1259">
        <v>0</v>
      </c>
      <c r="V635" s="1261">
        <v>-12.106113126230186</v>
      </c>
      <c r="W635" s="1259">
        <v>-12.106113126230186</v>
      </c>
      <c r="X635" s="1263">
        <v>-5.9345917643029056</v>
      </c>
      <c r="Y635"/>
      <c r="Z635"/>
      <c r="AA635"/>
      <c r="AB635"/>
    </row>
    <row r="636" spans="1:28">
      <c r="A636" s="1206" t="s">
        <v>9</v>
      </c>
      <c r="B636" s="1201"/>
      <c r="C636" s="1259"/>
      <c r="D636" s="1260"/>
      <c r="E636" s="1260"/>
      <c r="F636" s="1260"/>
      <c r="G636" s="1260">
        <v>209658</v>
      </c>
      <c r="H636" s="1260">
        <v>5286908</v>
      </c>
      <c r="I636" s="1355">
        <v>5496566</v>
      </c>
      <c r="J636" s="1261">
        <v>74414455</v>
      </c>
      <c r="K636" s="1260">
        <v>1217308463.3800001</v>
      </c>
      <c r="L636" s="1260">
        <v>365718283.32999998</v>
      </c>
      <c r="M636" s="1260">
        <v>88576641.930000007</v>
      </c>
      <c r="N636" s="1260">
        <v>311196573</v>
      </c>
      <c r="O636" s="1355">
        <v>2057214416.6399999</v>
      </c>
      <c r="P636" s="1259"/>
      <c r="Q636" s="1260"/>
      <c r="R636" s="1260"/>
      <c r="S636" s="1259"/>
      <c r="T636" s="1259"/>
      <c r="U636" s="1259"/>
      <c r="V636" s="1261"/>
      <c r="W636" s="1259"/>
      <c r="X636" s="1263">
        <v>2062710982.6399999</v>
      </c>
      <c r="Y636"/>
      <c r="Z636"/>
      <c r="AA636"/>
      <c r="AB636"/>
    </row>
    <row r="637" spans="1:28">
      <c r="A637" s="1206" t="s">
        <v>10</v>
      </c>
      <c r="B637" s="1201"/>
      <c r="C637" s="1259"/>
      <c r="D637" s="1260"/>
      <c r="E637" s="1260"/>
      <c r="F637" s="1260"/>
      <c r="G637" s="1260">
        <v>224737</v>
      </c>
      <c r="H637" s="1260">
        <v>5200000</v>
      </c>
      <c r="I637" s="1355">
        <v>5424737</v>
      </c>
      <c r="J637" s="1261">
        <v>76765608</v>
      </c>
      <c r="K637" s="1260">
        <v>1249721051</v>
      </c>
      <c r="L637" s="1260">
        <v>369245468</v>
      </c>
      <c r="M637" s="1260">
        <v>88612350</v>
      </c>
      <c r="N637" s="1260">
        <v>306634803</v>
      </c>
      <c r="O637" s="1355">
        <v>2090979280</v>
      </c>
      <c r="P637" s="1259"/>
      <c r="Q637" s="1260"/>
      <c r="R637" s="1260"/>
      <c r="S637" s="1259"/>
      <c r="T637" s="1259"/>
      <c r="U637" s="1259"/>
      <c r="V637" s="1261"/>
      <c r="W637" s="1259"/>
      <c r="X637" s="1263">
        <v>2096404017</v>
      </c>
      <c r="Y637"/>
      <c r="Z637"/>
      <c r="AA637"/>
      <c r="AB637"/>
    </row>
    <row r="638" spans="1:28">
      <c r="A638" s="1206" t="s">
        <v>427</v>
      </c>
      <c r="B638" s="1201"/>
      <c r="C638" s="1259">
        <v>0</v>
      </c>
      <c r="D638" s="1260">
        <v>0</v>
      </c>
      <c r="E638" s="1260">
        <v>0</v>
      </c>
      <c r="F638" s="1260">
        <v>0</v>
      </c>
      <c r="G638" s="1260">
        <v>7.1921891842906067</v>
      </c>
      <c r="H638" s="1260">
        <v>-1.6438341654517159</v>
      </c>
      <c r="I638" s="1355">
        <v>-1.3067977351677393</v>
      </c>
      <c r="J638" s="1261">
        <v>3.1595380225522045</v>
      </c>
      <c r="K638" s="1260">
        <v>2.6626437419158759</v>
      </c>
      <c r="L638" s="1260">
        <v>0.96445401577512013</v>
      </c>
      <c r="M638" s="1260">
        <v>4.0313190048694866E-2</v>
      </c>
      <c r="N638" s="1260">
        <v>-1.4658805384723823</v>
      </c>
      <c r="O638" s="1355">
        <v>1.6412904307343663</v>
      </c>
      <c r="P638" s="1259">
        <v>0</v>
      </c>
      <c r="Q638" s="1260">
        <v>0</v>
      </c>
      <c r="R638" s="1260">
        <v>0</v>
      </c>
      <c r="S638" s="1259">
        <v>0</v>
      </c>
      <c r="T638" s="1259">
        <v>0</v>
      </c>
      <c r="U638" s="1259">
        <v>0</v>
      </c>
      <c r="V638" s="1261">
        <v>0</v>
      </c>
      <c r="W638" s="1259">
        <v>0</v>
      </c>
      <c r="X638" s="1263">
        <v>1.6334345743812089</v>
      </c>
      <c r="Y638"/>
      <c r="Z638"/>
      <c r="AA638"/>
      <c r="AB638"/>
    </row>
    <row r="639" spans="1:28">
      <c r="A639" s="1206" t="s">
        <v>323</v>
      </c>
      <c r="B639" s="1201"/>
      <c r="C639" s="1259">
        <v>8528375333.4400005</v>
      </c>
      <c r="D639" s="1260">
        <v>1550124086.8299999</v>
      </c>
      <c r="E639" s="1260">
        <v>3616058091.796473</v>
      </c>
      <c r="F639" s="1260">
        <v>1109974757.04</v>
      </c>
      <c r="G639" s="1260">
        <v>672916085.62</v>
      </c>
      <c r="H639" s="1260">
        <v>368362561.89999998</v>
      </c>
      <c r="I639" s="1355">
        <v>15845810916.626472</v>
      </c>
      <c r="J639" s="1261">
        <v>373926855</v>
      </c>
      <c r="K639" s="1260">
        <v>2080336086.8800001</v>
      </c>
      <c r="L639" s="1260">
        <v>1252985759.48</v>
      </c>
      <c r="M639" s="1260">
        <v>398910188.03999996</v>
      </c>
      <c r="N639" s="1260">
        <v>531777999</v>
      </c>
      <c r="O639" s="1355">
        <v>4637936888.3999996</v>
      </c>
      <c r="P639" s="1259">
        <v>277742971.05999994</v>
      </c>
      <c r="Q639" s="1260">
        <v>56436344.244621664</v>
      </c>
      <c r="R639" s="1260">
        <v>13188894</v>
      </c>
      <c r="S639" s="1259">
        <v>347368209.30462158</v>
      </c>
      <c r="T639" s="1259"/>
      <c r="U639" s="1259"/>
      <c r="V639" s="1261"/>
      <c r="W639" s="1259"/>
      <c r="X639" s="1263">
        <v>20831116014.331097</v>
      </c>
      <c r="Y639"/>
      <c r="Z639"/>
      <c r="AA639"/>
      <c r="AB639"/>
    </row>
    <row r="640" spans="1:28">
      <c r="A640" s="1206" t="s">
        <v>23</v>
      </c>
      <c r="B640" s="1201"/>
      <c r="C640" s="1259">
        <v>9260639999</v>
      </c>
      <c r="D640" s="1260">
        <v>1699486821</v>
      </c>
      <c r="E640" s="1260">
        <v>4001223376</v>
      </c>
      <c r="F640" s="1260">
        <v>1193305936</v>
      </c>
      <c r="G640" s="1260">
        <v>733779689</v>
      </c>
      <c r="H640" s="1260">
        <v>386474481</v>
      </c>
      <c r="I640" s="1355">
        <v>17274910302</v>
      </c>
      <c r="J640" s="1261">
        <v>418393562.26761633</v>
      </c>
      <c r="K640" s="1260">
        <v>2290663959.2459216</v>
      </c>
      <c r="L640" s="1260">
        <v>1420281366.7666688</v>
      </c>
      <c r="M640" s="1260">
        <v>439677066.60294479</v>
      </c>
      <c r="N640" s="1260">
        <v>679378388</v>
      </c>
      <c r="O640" s="1355">
        <v>5248394342.883152</v>
      </c>
      <c r="P640" s="1259">
        <v>298441560.56</v>
      </c>
      <c r="Q640" s="1260">
        <v>57891229.120000005</v>
      </c>
      <c r="R640" s="1260"/>
      <c r="S640" s="1259">
        <v>356332789.68000001</v>
      </c>
      <c r="T640" s="1259"/>
      <c r="U640" s="1259"/>
      <c r="V640" s="1261"/>
      <c r="W640" s="1259"/>
      <c r="X640" s="1263">
        <v>22879637434.563152</v>
      </c>
      <c r="Y640"/>
      <c r="Z640"/>
      <c r="AA640"/>
      <c r="AB640"/>
    </row>
    <row r="641" spans="1:28">
      <c r="A641" s="1206" t="s">
        <v>376</v>
      </c>
      <c r="B641" s="1201"/>
      <c r="C641" s="1259">
        <v>8.5862152746581053</v>
      </c>
      <c r="D641" s="1260">
        <v>9.6355340478223592</v>
      </c>
      <c r="E641" s="1260">
        <v>10.651523687557097</v>
      </c>
      <c r="F641" s="1260">
        <v>7.5074841505604661</v>
      </c>
      <c r="G641" s="1260">
        <v>9.0447538230450419</v>
      </c>
      <c r="H641" s="1260">
        <v>4.9168729326290492</v>
      </c>
      <c r="I641" s="1355">
        <v>9.0187835314507119</v>
      </c>
      <c r="J641" s="1261">
        <v>11.891819662863297</v>
      </c>
      <c r="K641" s="1260">
        <v>10.110283318757515</v>
      </c>
      <c r="L641" s="1260">
        <v>13.351756476154838</v>
      </c>
      <c r="M641" s="1260">
        <v>10.219563146092677</v>
      </c>
      <c r="N641" s="1260">
        <v>27.756016472580697</v>
      </c>
      <c r="O641" s="1355">
        <v>13.16226307455746</v>
      </c>
      <c r="P641" s="1259">
        <v>7.4524260401637825</v>
      </c>
      <c r="Q641" s="1260">
        <v>2.5779218956355368</v>
      </c>
      <c r="R641" s="1260">
        <v>-100</v>
      </c>
      <c r="S641" s="1259">
        <v>2.5807141054514338</v>
      </c>
      <c r="T641" s="1259">
        <v>0</v>
      </c>
      <c r="U641" s="1259">
        <v>0</v>
      </c>
      <c r="V641" s="1261">
        <v>0</v>
      </c>
      <c r="W641" s="1259">
        <v>0</v>
      </c>
      <c r="X641" s="1263">
        <v>9.8339494572577824</v>
      </c>
      <c r="Y641"/>
      <c r="Z641"/>
      <c r="AA641"/>
      <c r="AB641"/>
    </row>
    <row r="642" spans="1:28">
      <c r="A642" s="1206" t="s">
        <v>338</v>
      </c>
      <c r="B642" s="1201"/>
      <c r="C642" s="1259">
        <v>107645412</v>
      </c>
      <c r="D642" s="1260">
        <v>4225539</v>
      </c>
      <c r="E642" s="1260">
        <v>66841030</v>
      </c>
      <c r="F642" s="1260">
        <v>19903116</v>
      </c>
      <c r="G642" s="1260">
        <v>12741400</v>
      </c>
      <c r="H642" s="1260">
        <v>8813595</v>
      </c>
      <c r="I642" s="1355">
        <v>220170092</v>
      </c>
      <c r="J642" s="1261">
        <v>211825</v>
      </c>
      <c r="K642" s="1260">
        <v>18700412.91</v>
      </c>
      <c r="L642" s="1260">
        <v>21985795.609999999</v>
      </c>
      <c r="M642" s="1260">
        <v>5449982.9000000004</v>
      </c>
      <c r="N642" s="1260">
        <v>1753660</v>
      </c>
      <c r="O642" s="1355">
        <v>48101676.420000002</v>
      </c>
      <c r="P642" s="1259">
        <v>396932.42</v>
      </c>
      <c r="Q642" s="1260">
        <v>544044.59</v>
      </c>
      <c r="R642" s="1260"/>
      <c r="S642" s="1259">
        <v>940977.01</v>
      </c>
      <c r="T642" s="1259"/>
      <c r="U642" s="1259"/>
      <c r="V642" s="1261"/>
      <c r="W642" s="1259"/>
      <c r="X642" s="1263">
        <v>269212745.43000001</v>
      </c>
      <c r="Y642"/>
      <c r="Z642"/>
      <c r="AA642"/>
      <c r="AB642"/>
    </row>
    <row r="643" spans="1:28">
      <c r="A643" s="1206" t="s">
        <v>227</v>
      </c>
      <c r="B643" s="1201"/>
      <c r="C643" s="1259">
        <v>113604319</v>
      </c>
      <c r="D643" s="1260">
        <v>5691179</v>
      </c>
      <c r="E643" s="1260">
        <v>70711731</v>
      </c>
      <c r="F643" s="1260">
        <v>20648339</v>
      </c>
      <c r="G643" s="1260">
        <v>16519718</v>
      </c>
      <c r="H643" s="1260">
        <v>9615934</v>
      </c>
      <c r="I643" s="1355">
        <v>236791220</v>
      </c>
      <c r="J643" s="1261">
        <v>212025</v>
      </c>
      <c r="K643" s="1260">
        <v>18048427</v>
      </c>
      <c r="L643" s="1260">
        <v>22290049</v>
      </c>
      <c r="M643" s="1260">
        <v>4851926</v>
      </c>
      <c r="N643" s="1260">
        <v>2336220</v>
      </c>
      <c r="O643" s="1355">
        <v>47738647</v>
      </c>
      <c r="P643" s="1259">
        <v>393633</v>
      </c>
      <c r="Q643" s="1260">
        <v>544920</v>
      </c>
      <c r="R643" s="1260"/>
      <c r="S643" s="1259">
        <v>938553</v>
      </c>
      <c r="T643" s="1259"/>
      <c r="U643" s="1259"/>
      <c r="V643" s="1261"/>
      <c r="W643" s="1259"/>
      <c r="X643" s="1263">
        <v>285468420</v>
      </c>
      <c r="Y643"/>
      <c r="Z643"/>
      <c r="AA643"/>
      <c r="AB643"/>
    </row>
    <row r="644" spans="1:28">
      <c r="A644" s="1206" t="s">
        <v>237</v>
      </c>
      <c r="B644" s="1201"/>
      <c r="C644" s="1259">
        <v>5.5356813535164884</v>
      </c>
      <c r="D644" s="1260">
        <v>34.685279203434163</v>
      </c>
      <c r="E644" s="1260">
        <v>5.7909056757503592</v>
      </c>
      <c r="F644" s="1260">
        <v>3.7442529099463622</v>
      </c>
      <c r="G644" s="1260">
        <v>29.653868491688513</v>
      </c>
      <c r="H644" s="1260">
        <v>9.1034248794050558</v>
      </c>
      <c r="I644" s="1355">
        <v>7.5492215355026513</v>
      </c>
      <c r="J644" s="1261">
        <v>9.4417561666469974E-2</v>
      </c>
      <c r="K644" s="1260">
        <v>-3.4864786843896498</v>
      </c>
      <c r="L644" s="1260">
        <v>1.3838634516442712</v>
      </c>
      <c r="M644" s="1260">
        <v>-10.973555531706353</v>
      </c>
      <c r="N644" s="1260">
        <v>33.219666297914074</v>
      </c>
      <c r="O644" s="1355">
        <v>-0.75471261506605591</v>
      </c>
      <c r="P644" s="1259">
        <v>-0.83122965869101439</v>
      </c>
      <c r="Q644" s="1260">
        <v>0.16090776676963789</v>
      </c>
      <c r="R644" s="1260">
        <v>0</v>
      </c>
      <c r="S644" s="1259">
        <v>-0.25760565606166008</v>
      </c>
      <c r="T644" s="1259">
        <v>0</v>
      </c>
      <c r="U644" s="1259">
        <v>0</v>
      </c>
      <c r="V644" s="1261">
        <v>0</v>
      </c>
      <c r="W644" s="1259">
        <v>0</v>
      </c>
      <c r="X644" s="1263">
        <v>6.0382262154919966</v>
      </c>
      <c r="Y644"/>
      <c r="Z644"/>
      <c r="AA644"/>
      <c r="AB644"/>
    </row>
    <row r="645" spans="1:28">
      <c r="A645" s="1206" t="s">
        <v>145</v>
      </c>
      <c r="B645" s="1201"/>
      <c r="C645" s="1259">
        <v>8636020745.4400005</v>
      </c>
      <c r="D645" s="1260">
        <v>1554349625.8299999</v>
      </c>
      <c r="E645" s="1260">
        <v>3682899121.796473</v>
      </c>
      <c r="F645" s="1260">
        <v>1129877873.04</v>
      </c>
      <c r="G645" s="1260">
        <v>685657485.62</v>
      </c>
      <c r="H645" s="1260">
        <v>377176156.89999998</v>
      </c>
      <c r="I645" s="1355">
        <v>16065981008.626472</v>
      </c>
      <c r="J645" s="1261">
        <v>374138680</v>
      </c>
      <c r="K645" s="1260">
        <v>2099036499.79</v>
      </c>
      <c r="L645" s="1260">
        <v>1274971555.0900002</v>
      </c>
      <c r="M645" s="1260">
        <v>404360170.94</v>
      </c>
      <c r="N645" s="1260">
        <v>528679562</v>
      </c>
      <c r="O645" s="1355">
        <v>4681186467.8199997</v>
      </c>
      <c r="P645" s="1259">
        <v>278139903.47999996</v>
      </c>
      <c r="Q645" s="1260">
        <v>56980388.834621668</v>
      </c>
      <c r="R645" s="1260">
        <v>13188894</v>
      </c>
      <c r="S645" s="1259">
        <v>348309186.31462163</v>
      </c>
      <c r="T645" s="1259">
        <v>0</v>
      </c>
      <c r="U645" s="1259">
        <v>0</v>
      </c>
      <c r="V645" s="1261">
        <v>0</v>
      </c>
      <c r="W645" s="1259">
        <v>0</v>
      </c>
      <c r="X645" s="1263">
        <v>21095476662.761097</v>
      </c>
      <c r="Y645"/>
      <c r="Z645"/>
      <c r="AA645"/>
      <c r="AB645"/>
    </row>
    <row r="646" spans="1:28">
      <c r="A646" s="1206" t="s">
        <v>110</v>
      </c>
      <c r="B646" s="1201"/>
      <c r="C646" s="1259">
        <v>9374244318</v>
      </c>
      <c r="D646" s="1260">
        <v>1705178000</v>
      </c>
      <c r="E646" s="1260">
        <v>4071935107</v>
      </c>
      <c r="F646" s="1260">
        <v>1213954275</v>
      </c>
      <c r="G646" s="1260">
        <v>750299407</v>
      </c>
      <c r="H646" s="1260">
        <v>396090415</v>
      </c>
      <c r="I646" s="1355">
        <v>17511701522</v>
      </c>
      <c r="J646" s="1261">
        <v>418605587.26761633</v>
      </c>
      <c r="K646" s="1260">
        <v>2308712386.2459216</v>
      </c>
      <c r="L646" s="1260">
        <v>1442571415.7666688</v>
      </c>
      <c r="M646" s="1260">
        <v>444528992.60294479</v>
      </c>
      <c r="N646" s="1260">
        <v>676093098</v>
      </c>
      <c r="O646" s="1355">
        <v>5290511479.883152</v>
      </c>
      <c r="P646" s="1259">
        <v>298835193.56</v>
      </c>
      <c r="Q646" s="1260">
        <v>58436149.120000005</v>
      </c>
      <c r="R646" s="1260">
        <v>0</v>
      </c>
      <c r="S646" s="1259">
        <v>357271342.68000001</v>
      </c>
      <c r="T646" s="1259">
        <v>0</v>
      </c>
      <c r="U646" s="1259">
        <v>0</v>
      </c>
      <c r="V646" s="1261">
        <v>0</v>
      </c>
      <c r="W646" s="1259">
        <v>0</v>
      </c>
      <c r="X646" s="1263">
        <v>23159484344.563152</v>
      </c>
      <c r="Y646"/>
      <c r="Z646"/>
      <c r="AA646"/>
      <c r="AB646"/>
    </row>
    <row r="647" spans="1:28">
      <c r="A647" s="1206" t="s">
        <v>84</v>
      </c>
      <c r="B647" s="1201"/>
      <c r="C647" s="1259">
        <v>8.5481912830026143</v>
      </c>
      <c r="D647" s="1260">
        <v>9.7036324172857782</v>
      </c>
      <c r="E647" s="1260">
        <v>10.563308207414583</v>
      </c>
      <c r="F647" s="1260">
        <v>7.4411937755527289</v>
      </c>
      <c r="G647" s="1260">
        <v>9.4277277993323576</v>
      </c>
      <c r="H647" s="1260">
        <v>5.0147014210696055</v>
      </c>
      <c r="I647" s="1355">
        <v>8.9986444811385127</v>
      </c>
      <c r="J647" s="1261">
        <v>11.885140362289279</v>
      </c>
      <c r="K647" s="1260">
        <v>9.9891491394694132</v>
      </c>
      <c r="L647" s="1260">
        <v>13.145380381826463</v>
      </c>
      <c r="M647" s="1260">
        <v>9.9339214269214331</v>
      </c>
      <c r="N647" s="1260">
        <v>27.883343067459077</v>
      </c>
      <c r="O647" s="1355">
        <v>13.016465296818463</v>
      </c>
      <c r="P647" s="1259">
        <v>7.4406044659780957</v>
      </c>
      <c r="Q647" s="1260">
        <v>2.5548444213034482</v>
      </c>
      <c r="R647" s="1260">
        <v>-100</v>
      </c>
      <c r="S647" s="1259">
        <v>2.5730462237315268</v>
      </c>
      <c r="T647" s="1259">
        <v>0</v>
      </c>
      <c r="U647" s="1259">
        <v>0</v>
      </c>
      <c r="V647" s="1261">
        <v>0</v>
      </c>
      <c r="W647" s="1259">
        <v>0</v>
      </c>
      <c r="X647" s="1263">
        <v>9.7841244111139343</v>
      </c>
      <c r="Y647"/>
      <c r="Z647"/>
      <c r="AA647"/>
      <c r="AB647"/>
    </row>
    <row r="648" spans="1:28">
      <c r="A648" s="1206" t="s">
        <v>112</v>
      </c>
      <c r="B648" s="1201"/>
      <c r="C648" s="1259">
        <v>40098576</v>
      </c>
      <c r="D648" s="1260"/>
      <c r="E648" s="1260"/>
      <c r="F648" s="1260"/>
      <c r="G648" s="1260"/>
      <c r="H648" s="1260"/>
      <c r="I648" s="1355">
        <v>40098576</v>
      </c>
      <c r="J648" s="1261"/>
      <c r="K648" s="1260"/>
      <c r="L648" s="1260"/>
      <c r="M648" s="1260"/>
      <c r="N648" s="1260"/>
      <c r="O648" s="1355"/>
      <c r="P648" s="1259"/>
      <c r="Q648" s="1260"/>
      <c r="R648" s="1260"/>
      <c r="S648" s="1259"/>
      <c r="T648" s="1259">
        <v>99552279.620000005</v>
      </c>
      <c r="U648" s="1259">
        <v>99552279.620000005</v>
      </c>
      <c r="V648" s="1261">
        <v>4140740183.9099998</v>
      </c>
      <c r="W648" s="1259">
        <v>4140740183.9099998</v>
      </c>
      <c r="X648" s="1263">
        <v>4280391039.5300002</v>
      </c>
      <c r="Y648"/>
      <c r="Z648"/>
      <c r="AA648"/>
      <c r="AB648"/>
    </row>
    <row r="649" spans="1:28">
      <c r="A649" s="1206" t="s">
        <v>114</v>
      </c>
      <c r="B649" s="1201"/>
      <c r="C649" s="1259">
        <v>45945987</v>
      </c>
      <c r="D649" s="1260"/>
      <c r="E649" s="1260"/>
      <c r="F649" s="1260"/>
      <c r="G649" s="1260"/>
      <c r="H649" s="1260"/>
      <c r="I649" s="1355">
        <v>45945987</v>
      </c>
      <c r="J649" s="1261"/>
      <c r="K649" s="1260"/>
      <c r="L649" s="1260"/>
      <c r="M649" s="1260"/>
      <c r="N649" s="1260"/>
      <c r="O649" s="1355"/>
      <c r="P649" s="1259"/>
      <c r="Q649" s="1260"/>
      <c r="R649" s="1260"/>
      <c r="S649" s="1259"/>
      <c r="T649" s="1259">
        <v>105249400.36774293</v>
      </c>
      <c r="U649" s="1259">
        <v>105249400.36774293</v>
      </c>
      <c r="V649" s="1261">
        <v>4210944065</v>
      </c>
      <c r="W649" s="1259">
        <v>4210944065</v>
      </c>
      <c r="X649" s="1263">
        <v>4362139452.3677425</v>
      </c>
      <c r="Y649"/>
      <c r="Z649"/>
      <c r="AA649"/>
      <c r="AB649"/>
    </row>
    <row r="650" spans="1:28">
      <c r="A650" s="1206" t="s">
        <v>116</v>
      </c>
      <c r="B650" s="1201"/>
      <c r="C650" s="1259">
        <v>14.582590164797873</v>
      </c>
      <c r="D650" s="1260">
        <v>0</v>
      </c>
      <c r="E650" s="1260">
        <v>0</v>
      </c>
      <c r="F650" s="1260">
        <v>0</v>
      </c>
      <c r="G650" s="1260">
        <v>0</v>
      </c>
      <c r="H650" s="1260">
        <v>0</v>
      </c>
      <c r="I650" s="1355">
        <v>14.582590164797873</v>
      </c>
      <c r="J650" s="1261">
        <v>0</v>
      </c>
      <c r="K650" s="1260">
        <v>0</v>
      </c>
      <c r="L650" s="1260">
        <v>0</v>
      </c>
      <c r="M650" s="1260">
        <v>0</v>
      </c>
      <c r="N650" s="1260">
        <v>0</v>
      </c>
      <c r="O650" s="1355">
        <v>0</v>
      </c>
      <c r="P650" s="1259">
        <v>0</v>
      </c>
      <c r="Q650" s="1260">
        <v>0</v>
      </c>
      <c r="R650" s="1260">
        <v>0</v>
      </c>
      <c r="S650" s="1259">
        <v>0</v>
      </c>
      <c r="T650" s="1259">
        <v>5.7227426328049367</v>
      </c>
      <c r="U650" s="1259">
        <v>5.7227426328049367</v>
      </c>
      <c r="V650" s="1261">
        <v>1.695442794570809</v>
      </c>
      <c r="W650" s="1259">
        <v>1.695442794570809</v>
      </c>
      <c r="X650" s="1263">
        <v>1.9098351548441366</v>
      </c>
      <c r="Y650"/>
      <c r="Z650"/>
      <c r="AA650"/>
      <c r="AB650"/>
    </row>
    <row r="651" spans="1:28">
      <c r="A651" s="1206" t="s">
        <v>340</v>
      </c>
      <c r="B651" s="1201"/>
      <c r="C651" s="1259"/>
      <c r="D651" s="1260"/>
      <c r="E651" s="1260"/>
      <c r="F651" s="1260"/>
      <c r="G651" s="1260"/>
      <c r="H651" s="1260"/>
      <c r="I651" s="1355"/>
      <c r="J651" s="1261"/>
      <c r="K651" s="1260"/>
      <c r="L651" s="1260"/>
      <c r="M651" s="1260"/>
      <c r="N651" s="1260"/>
      <c r="O651" s="1355"/>
      <c r="P651" s="1259"/>
      <c r="Q651" s="1260"/>
      <c r="R651" s="1260"/>
      <c r="S651" s="1259"/>
      <c r="T651" s="1259">
        <v>327217080.24000001</v>
      </c>
      <c r="U651" s="1259">
        <v>327217080.24000001</v>
      </c>
      <c r="V651" s="1261"/>
      <c r="W651" s="1259"/>
      <c r="X651" s="1263">
        <v>327217080.24000001</v>
      </c>
      <c r="Y651"/>
      <c r="Z651"/>
      <c r="AA651"/>
      <c r="AB651"/>
    </row>
    <row r="652" spans="1:28">
      <c r="A652" s="1206" t="s">
        <v>224</v>
      </c>
      <c r="B652" s="1201"/>
      <c r="C652" s="1259"/>
      <c r="D652" s="1260"/>
      <c r="E652" s="1260"/>
      <c r="F652" s="1260"/>
      <c r="G652" s="1260"/>
      <c r="H652" s="1260"/>
      <c r="I652" s="1355"/>
      <c r="J652" s="1261"/>
      <c r="K652" s="1260"/>
      <c r="L652" s="1260"/>
      <c r="M652" s="1260"/>
      <c r="N652" s="1260"/>
      <c r="O652" s="1355"/>
      <c r="P652" s="1259"/>
      <c r="Q652" s="1260"/>
      <c r="R652" s="1260"/>
      <c r="S652" s="1259"/>
      <c r="T652" s="1259">
        <v>306107675</v>
      </c>
      <c r="U652" s="1259">
        <v>306107675</v>
      </c>
      <c r="V652" s="1261"/>
      <c r="W652" s="1259"/>
      <c r="X652" s="1263">
        <v>306107675</v>
      </c>
      <c r="Y652"/>
      <c r="Z652"/>
      <c r="AA652"/>
      <c r="AB652"/>
    </row>
    <row r="653" spans="1:28">
      <c r="A653" s="1206" t="s">
        <v>424</v>
      </c>
      <c r="B653" s="1201"/>
      <c r="C653" s="1259">
        <v>0</v>
      </c>
      <c r="D653" s="1260">
        <v>0</v>
      </c>
      <c r="E653" s="1260">
        <v>0</v>
      </c>
      <c r="F653" s="1260">
        <v>0</v>
      </c>
      <c r="G653" s="1260">
        <v>0</v>
      </c>
      <c r="H653" s="1260">
        <v>0</v>
      </c>
      <c r="I653" s="1355">
        <v>0</v>
      </c>
      <c r="J653" s="1261">
        <v>0</v>
      </c>
      <c r="K653" s="1260">
        <v>0</v>
      </c>
      <c r="L653" s="1260">
        <v>0</v>
      </c>
      <c r="M653" s="1260">
        <v>0</v>
      </c>
      <c r="N653" s="1260">
        <v>0</v>
      </c>
      <c r="O653" s="1355">
        <v>0</v>
      </c>
      <c r="P653" s="1259">
        <v>0</v>
      </c>
      <c r="Q653" s="1260">
        <v>0</v>
      </c>
      <c r="R653" s="1260">
        <v>0</v>
      </c>
      <c r="S653" s="1259">
        <v>0</v>
      </c>
      <c r="T653" s="1259">
        <v>-6.4511929586674217</v>
      </c>
      <c r="U653" s="1259">
        <v>-6.4511929586674217</v>
      </c>
      <c r="V653" s="1261">
        <v>0</v>
      </c>
      <c r="W653" s="1259">
        <v>0</v>
      </c>
      <c r="X653" s="1263">
        <v>-6.4511929586674217</v>
      </c>
      <c r="Y653"/>
      <c r="Z653"/>
      <c r="AA653"/>
      <c r="AB653"/>
    </row>
    <row r="654" spans="1:28">
      <c r="A654" s="1206" t="s">
        <v>220</v>
      </c>
      <c r="B654" s="1201"/>
      <c r="C654" s="1259"/>
      <c r="D654" s="1260"/>
      <c r="E654" s="1260"/>
      <c r="F654" s="1260"/>
      <c r="G654" s="1260"/>
      <c r="H654" s="1260"/>
      <c r="I654" s="1355"/>
      <c r="J654" s="1261"/>
      <c r="K654" s="1260"/>
      <c r="L654" s="1260"/>
      <c r="M654" s="1260"/>
      <c r="N654" s="1260"/>
      <c r="O654" s="1355"/>
      <c r="P654" s="1259"/>
      <c r="Q654" s="1260"/>
      <c r="R654" s="1260"/>
      <c r="S654" s="1259"/>
      <c r="T654" s="1259">
        <v>497084.22</v>
      </c>
      <c r="U654" s="1259">
        <v>497084.22</v>
      </c>
      <c r="V654" s="1261"/>
      <c r="W654" s="1259"/>
      <c r="X654" s="1263">
        <v>497084.22</v>
      </c>
      <c r="Y654"/>
      <c r="Z654"/>
      <c r="AA654"/>
      <c r="AB654"/>
    </row>
    <row r="655" spans="1:28">
      <c r="A655" s="1206" t="s">
        <v>142</v>
      </c>
      <c r="B655" s="1201"/>
      <c r="C655" s="1259"/>
      <c r="D655" s="1260"/>
      <c r="E655" s="1260"/>
      <c r="F655" s="1260"/>
      <c r="G655" s="1260"/>
      <c r="H655" s="1260"/>
      <c r="I655" s="1355"/>
      <c r="J655" s="1261"/>
      <c r="K655" s="1260"/>
      <c r="L655" s="1260"/>
      <c r="M655" s="1260"/>
      <c r="N655" s="1260"/>
      <c r="O655" s="1355"/>
      <c r="P655" s="1259"/>
      <c r="Q655" s="1260"/>
      <c r="R655" s="1260"/>
      <c r="S655" s="1259"/>
      <c r="T655" s="1259">
        <v>597523</v>
      </c>
      <c r="U655" s="1259">
        <v>597523</v>
      </c>
      <c r="V655" s="1261"/>
      <c r="W655" s="1259"/>
      <c r="X655" s="1263">
        <v>597523</v>
      </c>
      <c r="Y655"/>
      <c r="Z655"/>
      <c r="AA655"/>
      <c r="AB655"/>
    </row>
    <row r="656" spans="1:28">
      <c r="A656" s="1206" t="s">
        <v>244</v>
      </c>
      <c r="B656" s="1201"/>
      <c r="C656" s="1259">
        <v>0</v>
      </c>
      <c r="D656" s="1260">
        <v>0</v>
      </c>
      <c r="E656" s="1260">
        <v>0</v>
      </c>
      <c r="F656" s="1260">
        <v>0</v>
      </c>
      <c r="G656" s="1260">
        <v>0</v>
      </c>
      <c r="H656" s="1260">
        <v>0</v>
      </c>
      <c r="I656" s="1355">
        <v>0</v>
      </c>
      <c r="J656" s="1261">
        <v>0</v>
      </c>
      <c r="K656" s="1260">
        <v>0</v>
      </c>
      <c r="L656" s="1260">
        <v>0</v>
      </c>
      <c r="M656" s="1260">
        <v>0</v>
      </c>
      <c r="N656" s="1260">
        <v>0</v>
      </c>
      <c r="O656" s="1355">
        <v>0</v>
      </c>
      <c r="P656" s="1259">
        <v>0</v>
      </c>
      <c r="Q656" s="1260">
        <v>0</v>
      </c>
      <c r="R656" s="1260">
        <v>0</v>
      </c>
      <c r="S656" s="1259">
        <v>0</v>
      </c>
      <c r="T656" s="1259">
        <v>20.205586087605042</v>
      </c>
      <c r="U656" s="1259">
        <v>20.205586087605042</v>
      </c>
      <c r="V656" s="1261">
        <v>0</v>
      </c>
      <c r="W656" s="1259">
        <v>0</v>
      </c>
      <c r="X656" s="1263">
        <v>20.205586087605042</v>
      </c>
      <c r="Y656"/>
      <c r="Z656"/>
      <c r="AA656"/>
      <c r="AB656"/>
    </row>
    <row r="657" spans="1:28">
      <c r="A657" s="1206" t="s">
        <v>222</v>
      </c>
      <c r="B657" s="1201"/>
      <c r="C657" s="1259">
        <v>0</v>
      </c>
      <c r="D657" s="1260">
        <v>0</v>
      </c>
      <c r="E657" s="1260">
        <v>0</v>
      </c>
      <c r="F657" s="1260">
        <v>0</v>
      </c>
      <c r="G657" s="1260">
        <v>0</v>
      </c>
      <c r="H657" s="1260">
        <v>0</v>
      </c>
      <c r="I657" s="1355">
        <v>0</v>
      </c>
      <c r="J657" s="1261">
        <v>0</v>
      </c>
      <c r="K657" s="1260">
        <v>0</v>
      </c>
      <c r="L657" s="1260">
        <v>0</v>
      </c>
      <c r="M657" s="1260">
        <v>0</v>
      </c>
      <c r="N657" s="1260">
        <v>0</v>
      </c>
      <c r="O657" s="1355">
        <v>0</v>
      </c>
      <c r="P657" s="1259">
        <v>0</v>
      </c>
      <c r="Q657" s="1260">
        <v>0</v>
      </c>
      <c r="R657" s="1260">
        <v>0</v>
      </c>
      <c r="S657" s="1259">
        <v>0</v>
      </c>
      <c r="T657" s="1259">
        <v>327714164.45999998</v>
      </c>
      <c r="U657" s="1259">
        <v>327714164.45999998</v>
      </c>
      <c r="V657" s="1261">
        <v>0</v>
      </c>
      <c r="W657" s="1259">
        <v>0</v>
      </c>
      <c r="X657" s="1263">
        <v>327714164.45999998</v>
      </c>
      <c r="Y657"/>
      <c r="Z657"/>
      <c r="AA657"/>
      <c r="AB657"/>
    </row>
    <row r="658" spans="1:28">
      <c r="A658" s="1206" t="s">
        <v>297</v>
      </c>
      <c r="B658" s="1201"/>
      <c r="C658" s="1259">
        <v>0</v>
      </c>
      <c r="D658" s="1260">
        <v>0</v>
      </c>
      <c r="E658" s="1260">
        <v>0</v>
      </c>
      <c r="F658" s="1260">
        <v>0</v>
      </c>
      <c r="G658" s="1260">
        <v>0</v>
      </c>
      <c r="H658" s="1260">
        <v>0</v>
      </c>
      <c r="I658" s="1355">
        <v>0</v>
      </c>
      <c r="J658" s="1261">
        <v>0</v>
      </c>
      <c r="K658" s="1260">
        <v>0</v>
      </c>
      <c r="L658" s="1260">
        <v>0</v>
      </c>
      <c r="M658" s="1260">
        <v>0</v>
      </c>
      <c r="N658" s="1260">
        <v>0</v>
      </c>
      <c r="O658" s="1355">
        <v>0</v>
      </c>
      <c r="P658" s="1259">
        <v>0</v>
      </c>
      <c r="Q658" s="1260">
        <v>0</v>
      </c>
      <c r="R658" s="1260">
        <v>0</v>
      </c>
      <c r="S658" s="1259">
        <v>0</v>
      </c>
      <c r="T658" s="1259">
        <v>306705198</v>
      </c>
      <c r="U658" s="1259">
        <v>306705198</v>
      </c>
      <c r="V658" s="1261">
        <v>0</v>
      </c>
      <c r="W658" s="1259">
        <v>0</v>
      </c>
      <c r="X658" s="1263">
        <v>306705198</v>
      </c>
      <c r="Y658"/>
      <c r="Z658"/>
      <c r="AA658"/>
      <c r="AB658"/>
    </row>
    <row r="659" spans="1:28">
      <c r="A659" s="1206" t="s">
        <v>246</v>
      </c>
      <c r="B659" s="1201"/>
      <c r="C659" s="1259">
        <v>0</v>
      </c>
      <c r="D659" s="1260">
        <v>0</v>
      </c>
      <c r="E659" s="1260">
        <v>0</v>
      </c>
      <c r="F659" s="1260">
        <v>0</v>
      </c>
      <c r="G659" s="1260">
        <v>0</v>
      </c>
      <c r="H659" s="1260">
        <v>0</v>
      </c>
      <c r="I659" s="1355">
        <v>0</v>
      </c>
      <c r="J659" s="1261">
        <v>0</v>
      </c>
      <c r="K659" s="1260">
        <v>0</v>
      </c>
      <c r="L659" s="1260">
        <v>0</v>
      </c>
      <c r="M659" s="1260">
        <v>0</v>
      </c>
      <c r="N659" s="1260">
        <v>0</v>
      </c>
      <c r="O659" s="1355">
        <v>0</v>
      </c>
      <c r="P659" s="1259">
        <v>0</v>
      </c>
      <c r="Q659" s="1260">
        <v>0</v>
      </c>
      <c r="R659" s="1260">
        <v>0</v>
      </c>
      <c r="S659" s="1259">
        <v>0</v>
      </c>
      <c r="T659" s="1259">
        <v>-6.4107593562878424</v>
      </c>
      <c r="U659" s="1259">
        <v>-6.4107593562878424</v>
      </c>
      <c r="V659" s="1261">
        <v>0</v>
      </c>
      <c r="W659" s="1259">
        <v>0</v>
      </c>
      <c r="X659" s="1263">
        <v>-6.4107593562878424</v>
      </c>
      <c r="Y659"/>
      <c r="Z659"/>
      <c r="AA659"/>
      <c r="AB659"/>
    </row>
    <row r="660" spans="1:28">
      <c r="A660" s="1206" t="s">
        <v>118</v>
      </c>
      <c r="B660" s="1201"/>
      <c r="C660" s="1259">
        <v>1106813643.1900001</v>
      </c>
      <c r="D660" s="1260">
        <v>26966867</v>
      </c>
      <c r="E660" s="1260">
        <v>174393807.31</v>
      </c>
      <c r="F660" s="1260"/>
      <c r="G660" s="1260"/>
      <c r="H660" s="1260"/>
      <c r="I660" s="1355">
        <v>1308174317.5</v>
      </c>
      <c r="J660" s="1261"/>
      <c r="K660" s="1260"/>
      <c r="L660" s="1260"/>
      <c r="M660" s="1260"/>
      <c r="N660" s="1260"/>
      <c r="O660" s="1355"/>
      <c r="P660" s="1259"/>
      <c r="Q660" s="1260"/>
      <c r="R660" s="1260"/>
      <c r="S660" s="1259"/>
      <c r="T660" s="1259">
        <v>2609520724</v>
      </c>
      <c r="U660" s="1259">
        <v>2609520724</v>
      </c>
      <c r="V660" s="1261">
        <v>103502263</v>
      </c>
      <c r="W660" s="1259">
        <v>103502263</v>
      </c>
      <c r="X660" s="1263">
        <v>4021197304.5</v>
      </c>
      <c r="Y660"/>
      <c r="Z660"/>
      <c r="AA660"/>
      <c r="AB660"/>
    </row>
    <row r="661" spans="1:28">
      <c r="A661" s="1206" t="s">
        <v>300</v>
      </c>
      <c r="B661" s="1201"/>
      <c r="C661" s="1259">
        <v>1131991010</v>
      </c>
      <c r="D661" s="1260">
        <v>28281751</v>
      </c>
      <c r="E661" s="1260">
        <v>187987487</v>
      </c>
      <c r="F661" s="1260"/>
      <c r="G661" s="1260"/>
      <c r="H661" s="1260"/>
      <c r="I661" s="1355">
        <v>1348260248</v>
      </c>
      <c r="J661" s="1261"/>
      <c r="K661" s="1260"/>
      <c r="L661" s="1260"/>
      <c r="M661" s="1260"/>
      <c r="N661" s="1260"/>
      <c r="O661" s="1355"/>
      <c r="P661" s="1259"/>
      <c r="Q661" s="1260"/>
      <c r="R661" s="1260"/>
      <c r="S661" s="1259"/>
      <c r="T661" s="1259">
        <v>2391398149.7045021</v>
      </c>
      <c r="U661" s="1259">
        <v>2391398149.7045021</v>
      </c>
      <c r="V661" s="1261">
        <v>94917133</v>
      </c>
      <c r="W661" s="1259">
        <v>94917133</v>
      </c>
      <c r="X661" s="1263">
        <v>3834575530.7045021</v>
      </c>
      <c r="Y661"/>
      <c r="Z661"/>
      <c r="AA661"/>
      <c r="AB661"/>
    </row>
    <row r="662" spans="1:28">
      <c r="A662" s="1206" t="s">
        <v>302</v>
      </c>
      <c r="B662" s="1201"/>
      <c r="C662" s="1259">
        <v>2.2747611546813844</v>
      </c>
      <c r="D662" s="1260">
        <v>4.8759242221204264</v>
      </c>
      <c r="E662" s="1260">
        <v>7.7948178892820783</v>
      </c>
      <c r="F662" s="1260">
        <v>0</v>
      </c>
      <c r="G662" s="1260">
        <v>0</v>
      </c>
      <c r="H662" s="1260">
        <v>0</v>
      </c>
      <c r="I662" s="1355">
        <v>3.0642652102058259</v>
      </c>
      <c r="J662" s="1261">
        <v>0</v>
      </c>
      <c r="K662" s="1260">
        <v>0</v>
      </c>
      <c r="L662" s="1260">
        <v>0</v>
      </c>
      <c r="M662" s="1260">
        <v>0</v>
      </c>
      <c r="N662" s="1260">
        <v>0</v>
      </c>
      <c r="O662" s="1355">
        <v>0</v>
      </c>
      <c r="P662" s="1259">
        <v>0</v>
      </c>
      <c r="Q662" s="1260">
        <v>0</v>
      </c>
      <c r="R662" s="1260">
        <v>0</v>
      </c>
      <c r="S662" s="1259">
        <v>0</v>
      </c>
      <c r="T662" s="1259">
        <v>-8.3587216721218081</v>
      </c>
      <c r="U662" s="1259">
        <v>-8.3587216721218081</v>
      </c>
      <c r="V662" s="1261">
        <v>-8.2946302343167115</v>
      </c>
      <c r="W662" s="1259">
        <v>-8.2946302343167115</v>
      </c>
      <c r="X662" s="1263">
        <v>-4.6409504350024093</v>
      </c>
      <c r="Y662"/>
      <c r="Z662"/>
      <c r="AA662"/>
      <c r="AB662"/>
    </row>
    <row r="663" spans="1:28">
      <c r="A663" s="1206" t="s">
        <v>121</v>
      </c>
      <c r="B663" s="1201"/>
      <c r="C663" s="1259">
        <v>429804880.14999998</v>
      </c>
      <c r="D663" s="1260">
        <v>34688941</v>
      </c>
      <c r="E663" s="1260">
        <v>48434496.240000002</v>
      </c>
      <c r="F663" s="1260"/>
      <c r="G663" s="1260"/>
      <c r="H663" s="1260"/>
      <c r="I663" s="1355">
        <v>512928317.38999999</v>
      </c>
      <c r="J663" s="1261"/>
      <c r="K663" s="1260"/>
      <c r="L663" s="1260"/>
      <c r="M663" s="1260"/>
      <c r="N663" s="1260"/>
      <c r="O663" s="1355"/>
      <c r="P663" s="1259"/>
      <c r="Q663" s="1260"/>
      <c r="R663" s="1260"/>
      <c r="S663" s="1259"/>
      <c r="T663" s="1259">
        <v>512008395</v>
      </c>
      <c r="U663" s="1259">
        <v>512008395</v>
      </c>
      <c r="V663" s="1261"/>
      <c r="W663" s="1259"/>
      <c r="X663" s="1263">
        <v>1024936712.39</v>
      </c>
      <c r="Y663"/>
      <c r="Z663"/>
      <c r="AA663"/>
      <c r="AB663"/>
    </row>
    <row r="664" spans="1:28">
      <c r="A664" s="1206" t="s">
        <v>334</v>
      </c>
      <c r="B664" s="1201"/>
      <c r="C664" s="1259">
        <v>476916362</v>
      </c>
      <c r="D664" s="1260">
        <v>36739080</v>
      </c>
      <c r="E664" s="1260">
        <v>50757766</v>
      </c>
      <c r="F664" s="1260"/>
      <c r="G664" s="1260"/>
      <c r="H664" s="1260"/>
      <c r="I664" s="1355">
        <v>564413208</v>
      </c>
      <c r="J664" s="1261"/>
      <c r="K664" s="1260"/>
      <c r="L664" s="1260"/>
      <c r="M664" s="1260"/>
      <c r="N664" s="1260"/>
      <c r="O664" s="1355"/>
      <c r="P664" s="1259"/>
      <c r="Q664" s="1260"/>
      <c r="R664" s="1260"/>
      <c r="S664" s="1259"/>
      <c r="T664" s="1259">
        <v>533920308</v>
      </c>
      <c r="U664" s="1259">
        <v>533920308</v>
      </c>
      <c r="V664" s="1261"/>
      <c r="W664" s="1259"/>
      <c r="X664" s="1263">
        <v>1098333516</v>
      </c>
      <c r="Y664"/>
      <c r="Z664"/>
      <c r="AA664"/>
      <c r="AB664"/>
    </row>
    <row r="665" spans="1:28">
      <c r="A665" s="1206" t="s">
        <v>336</v>
      </c>
      <c r="B665" s="1201"/>
      <c r="C665" s="1259">
        <v>10.961132370939652</v>
      </c>
      <c r="D665" s="1260">
        <v>5.9100651126824539</v>
      </c>
      <c r="E665" s="1260">
        <v>4.7967253514682113</v>
      </c>
      <c r="F665" s="1260">
        <v>0</v>
      </c>
      <c r="G665" s="1260">
        <v>0</v>
      </c>
      <c r="H665" s="1260">
        <v>0</v>
      </c>
      <c r="I665" s="1355">
        <v>10.03744360849042</v>
      </c>
      <c r="J665" s="1261">
        <v>0</v>
      </c>
      <c r="K665" s="1260">
        <v>0</v>
      </c>
      <c r="L665" s="1260">
        <v>0</v>
      </c>
      <c r="M665" s="1260">
        <v>0</v>
      </c>
      <c r="N665" s="1260">
        <v>0</v>
      </c>
      <c r="O665" s="1355">
        <v>0</v>
      </c>
      <c r="P665" s="1259">
        <v>0</v>
      </c>
      <c r="Q665" s="1260">
        <v>0</v>
      </c>
      <c r="R665" s="1260">
        <v>0</v>
      </c>
      <c r="S665" s="1259">
        <v>0</v>
      </c>
      <c r="T665" s="1259">
        <v>4.2796003374124361</v>
      </c>
      <c r="U665" s="1259">
        <v>4.2796003374124361</v>
      </c>
      <c r="V665" s="1261">
        <v>0</v>
      </c>
      <c r="W665" s="1259">
        <v>0</v>
      </c>
      <c r="X665" s="1263">
        <v>7.1611059222231956</v>
      </c>
      <c r="Y665"/>
      <c r="Z665"/>
      <c r="AA665"/>
      <c r="AB665"/>
    </row>
    <row r="666" spans="1:28">
      <c r="A666" s="1206" t="s">
        <v>36</v>
      </c>
      <c r="B666" s="1201"/>
      <c r="C666" s="1259">
        <v>16591953407.064966</v>
      </c>
      <c r="D666" s="1260">
        <v>3162927623.9270511</v>
      </c>
      <c r="E666" s="1260">
        <v>7099499240.776473</v>
      </c>
      <c r="F666" s="1260">
        <v>2173086072.1908436</v>
      </c>
      <c r="G666" s="1260">
        <v>1283646102.2371385</v>
      </c>
      <c r="H666" s="1260">
        <v>705155409.77999997</v>
      </c>
      <c r="I666" s="1355">
        <v>31016267855.976475</v>
      </c>
      <c r="J666" s="1261">
        <v>883317656</v>
      </c>
      <c r="K666" s="1260">
        <v>5433157877.0500002</v>
      </c>
      <c r="L666" s="1260">
        <v>3210831270.5899997</v>
      </c>
      <c r="M666" s="1260">
        <v>1165834939.96</v>
      </c>
      <c r="N666" s="1260">
        <v>1382305815</v>
      </c>
      <c r="O666" s="1355">
        <v>12075447558.6</v>
      </c>
      <c r="P666" s="1259">
        <v>621670327.69000006</v>
      </c>
      <c r="Q666" s="1260">
        <v>216425586.12462163</v>
      </c>
      <c r="R666" s="1260">
        <v>72140813</v>
      </c>
      <c r="S666" s="1259">
        <v>910236726.81462169</v>
      </c>
      <c r="T666" s="1259">
        <v>0</v>
      </c>
      <c r="U666" s="1259">
        <v>0</v>
      </c>
      <c r="V666" s="1261">
        <v>447786891.67000002</v>
      </c>
      <c r="W666" s="1259">
        <v>447786891.67000002</v>
      </c>
      <c r="X666" s="1263">
        <v>44449739033.061096</v>
      </c>
      <c r="Y666"/>
      <c r="Z666"/>
      <c r="AA666"/>
      <c r="AB666"/>
    </row>
    <row r="667" spans="1:28">
      <c r="A667" s="1206" t="s">
        <v>38</v>
      </c>
      <c r="B667" s="1201"/>
      <c r="C667" s="1259">
        <v>17323502963.138817</v>
      </c>
      <c r="D667" s="1260">
        <v>3317073805</v>
      </c>
      <c r="E667" s="1260">
        <v>7555087389.1526957</v>
      </c>
      <c r="F667" s="1260">
        <v>2261604263</v>
      </c>
      <c r="G667" s="1260">
        <v>1348456961.3428178</v>
      </c>
      <c r="H667" s="1260">
        <v>725039808</v>
      </c>
      <c r="I667" s="1355">
        <v>32530765189.634327</v>
      </c>
      <c r="J667" s="1261">
        <v>948088672.26761639</v>
      </c>
      <c r="K667" s="1260">
        <v>5695263717.816432</v>
      </c>
      <c r="L667" s="1260">
        <v>3391929259.1614714</v>
      </c>
      <c r="M667" s="1260">
        <v>1212977566.6816053</v>
      </c>
      <c r="N667" s="1260">
        <v>1505152080</v>
      </c>
      <c r="O667" s="1355">
        <v>12753411295.927124</v>
      </c>
      <c r="P667" s="1259">
        <v>665988951.51602685</v>
      </c>
      <c r="Q667" s="1260">
        <v>217566420.12</v>
      </c>
      <c r="R667" s="1260">
        <v>0</v>
      </c>
      <c r="S667" s="1259">
        <v>883555371.63602686</v>
      </c>
      <c r="T667" s="1259">
        <v>0</v>
      </c>
      <c r="U667" s="1259">
        <v>0</v>
      </c>
      <c r="V667" s="1261">
        <v>393577304</v>
      </c>
      <c r="W667" s="1259">
        <v>393577304</v>
      </c>
      <c r="X667" s="1263">
        <v>46561309161.197479</v>
      </c>
      <c r="Y667"/>
      <c r="Z667"/>
      <c r="AA667"/>
      <c r="AB667"/>
    </row>
    <row r="668" spans="1:28">
      <c r="A668" s="1328" t="s">
        <v>40</v>
      </c>
      <c r="B668" s="1329"/>
      <c r="C668" s="1293">
        <v>4.4090622612425481</v>
      </c>
      <c r="D668" s="1294">
        <v>4.8735285596438329</v>
      </c>
      <c r="E668" s="1294">
        <v>6.4171870849639658</v>
      </c>
      <c r="F668" s="1294">
        <v>4.0733863210450245</v>
      </c>
      <c r="G668" s="1294">
        <v>5.0489662994128137</v>
      </c>
      <c r="H668" s="1294">
        <v>2.8198604086727097</v>
      </c>
      <c r="I668" s="1359">
        <v>4.882912865888299</v>
      </c>
      <c r="J668" s="1295">
        <v>7.3326980195238383</v>
      </c>
      <c r="K668" s="1294">
        <v>4.8241896646070845</v>
      </c>
      <c r="L668" s="1294">
        <v>5.6402212794630726</v>
      </c>
      <c r="M668" s="1294">
        <v>4.043679349944922</v>
      </c>
      <c r="N668" s="1294">
        <v>8.887054056124331</v>
      </c>
      <c r="O668" s="1359">
        <v>5.6143984232227258</v>
      </c>
      <c r="P668" s="1293">
        <v>7.1289591688742009</v>
      </c>
      <c r="Q668" s="1294">
        <v>0.52712528856061081</v>
      </c>
      <c r="R668" s="1294">
        <v>-100</v>
      </c>
      <c r="S668" s="1293">
        <v>-2.9312545179281408</v>
      </c>
      <c r="T668" s="1293">
        <v>0</v>
      </c>
      <c r="U668" s="1293">
        <v>0</v>
      </c>
      <c r="V668" s="1295">
        <v>-12.106113126230186</v>
      </c>
      <c r="W668" s="1293">
        <v>-12.106113126230186</v>
      </c>
      <c r="X668" s="1296">
        <v>4.7504668735306339</v>
      </c>
      <c r="Y668"/>
      <c r="Z668"/>
      <c r="AA668"/>
      <c r="AB668"/>
    </row>
    <row r="669" spans="1:28">
      <c r="A669" s="1146"/>
      <c r="B669" s="1146"/>
      <c r="C669" s="1146"/>
      <c r="D669" s="1146"/>
      <c r="E669" s="1146"/>
      <c r="F669" s="1146"/>
      <c r="G669" s="1146"/>
      <c r="H669" s="1146"/>
      <c r="I669" s="1146"/>
      <c r="J669" s="1146"/>
      <c r="K669" s="1146"/>
      <c r="L669" s="1146"/>
      <c r="M669" s="1146"/>
      <c r="N669" s="1146"/>
      <c r="O669" s="1146"/>
      <c r="P669" s="1146"/>
      <c r="Q669" s="1146"/>
      <c r="R669" s="1146"/>
      <c r="S669" s="1146"/>
      <c r="T669" s="1146"/>
      <c r="U669" s="1146"/>
      <c r="V669" s="1146"/>
      <c r="W669" s="1146"/>
      <c r="X669" s="1146"/>
      <c r="Y669" s="1146"/>
      <c r="Z669" s="1146"/>
      <c r="AA669" s="1146"/>
      <c r="AB669" s="1146"/>
    </row>
    <row r="670" spans="1:28">
      <c r="A670" s="1146"/>
      <c r="B670" s="1146"/>
      <c r="C670" s="1146"/>
      <c r="D670" s="1146"/>
      <c r="E670" s="1146"/>
      <c r="F670" s="1146"/>
      <c r="G670" s="1146"/>
      <c r="H670" s="1146"/>
      <c r="I670" s="1146"/>
      <c r="J670" s="1146"/>
      <c r="K670" s="1146"/>
      <c r="L670" s="1146"/>
      <c r="M670" s="1146"/>
      <c r="N670" s="1146"/>
      <c r="O670" s="1146"/>
      <c r="P670" s="1146"/>
      <c r="Q670" s="1146"/>
      <c r="R670" s="1146"/>
      <c r="S670" s="1146"/>
      <c r="T670" s="1146"/>
      <c r="U670" s="1146"/>
      <c r="V670" s="1146"/>
      <c r="W670" s="1146"/>
      <c r="X670" s="1146"/>
      <c r="Y670" s="1146"/>
      <c r="Z670" s="1146"/>
      <c r="AA670" s="1146"/>
      <c r="AB670" s="1146"/>
    </row>
    <row r="671" spans="1:28">
      <c r="A671" s="1146"/>
      <c r="B671" s="1146"/>
      <c r="C671" s="1146"/>
      <c r="D671" s="1146"/>
      <c r="E671" s="1146"/>
      <c r="F671" s="1146"/>
      <c r="G671" s="1146"/>
      <c r="H671" s="1146"/>
      <c r="I671" s="1146"/>
      <c r="J671" s="1146"/>
      <c r="K671" s="1146"/>
      <c r="L671" s="1146"/>
      <c r="M671" s="1146"/>
      <c r="N671" s="1146"/>
      <c r="O671" s="1146"/>
      <c r="P671" s="1146"/>
      <c r="Q671" s="1146"/>
      <c r="R671" s="1146"/>
      <c r="S671" s="1146"/>
      <c r="T671" s="1146"/>
      <c r="U671" s="1146"/>
      <c r="V671" s="1146"/>
      <c r="W671" s="1146"/>
      <c r="X671" s="1146"/>
      <c r="Y671" s="1146"/>
      <c r="Z671" s="1146"/>
      <c r="AA671" s="1146"/>
      <c r="AB671" s="1146"/>
    </row>
    <row r="672" spans="1:28">
      <c r="A672" s="1146"/>
      <c r="B672" s="1146"/>
      <c r="C672" s="1146"/>
      <c r="D672" s="1146"/>
      <c r="E672" s="1146"/>
      <c r="F672" s="1146"/>
      <c r="G672" s="1146"/>
      <c r="H672" s="1146"/>
      <c r="I672" s="1146"/>
      <c r="J672" s="1146"/>
      <c r="K672" s="1146"/>
      <c r="L672" s="1146"/>
      <c r="M672" s="1146"/>
      <c r="N672" s="1146"/>
      <c r="O672" s="1146"/>
      <c r="P672" s="1146"/>
      <c r="Q672" s="1146"/>
      <c r="R672" s="1146"/>
      <c r="S672" s="1146"/>
      <c r="T672" s="1146"/>
      <c r="U672" s="1146"/>
      <c r="V672" s="1146"/>
      <c r="W672" s="1146"/>
      <c r="X672" s="1146"/>
      <c r="Y672" s="1146"/>
      <c r="Z672" s="1146"/>
      <c r="AA672" s="1146"/>
      <c r="AB672" s="1146"/>
    </row>
    <row r="673" spans="1:28">
      <c r="A673" s="1146"/>
      <c r="B673" s="1146"/>
      <c r="C673" s="1146"/>
      <c r="D673" s="1146"/>
      <c r="E673" s="1146"/>
      <c r="F673" s="1146"/>
      <c r="G673" s="1146"/>
      <c r="H673" s="1146"/>
      <c r="I673" s="1146"/>
      <c r="J673" s="1146"/>
      <c r="K673" s="1146"/>
      <c r="L673" s="1146"/>
      <c r="M673" s="1146"/>
      <c r="N673" s="1146"/>
      <c r="O673" s="1146"/>
      <c r="P673" s="1146"/>
      <c r="Q673" s="1146"/>
      <c r="R673" s="1146"/>
      <c r="S673" s="1146"/>
      <c r="T673" s="1146"/>
      <c r="U673" s="1146"/>
      <c r="V673" s="1146"/>
      <c r="W673" s="1146"/>
      <c r="X673" s="1146"/>
      <c r="Y673" s="1146"/>
      <c r="Z673" s="1146"/>
      <c r="AA673" s="1146"/>
      <c r="AB673" s="1146"/>
    </row>
    <row r="674" spans="1:28">
      <c r="A674" s="1146"/>
      <c r="B674" s="1146"/>
      <c r="C674" s="1146"/>
      <c r="D674" s="1146"/>
      <c r="E674" s="1146"/>
      <c r="F674" s="1146"/>
      <c r="G674" s="1146"/>
      <c r="H674" s="1146"/>
      <c r="I674" s="1146"/>
      <c r="J674" s="1146"/>
      <c r="K674" s="1146"/>
      <c r="L674" s="1146"/>
      <c r="M674" s="1146"/>
      <c r="N674" s="1146"/>
      <c r="O674" s="1146"/>
      <c r="P674" s="1146"/>
      <c r="Q674" s="1146"/>
      <c r="R674" s="1146"/>
      <c r="S674" s="1146"/>
      <c r="T674" s="1146"/>
      <c r="U674" s="1146"/>
      <c r="V674" s="1146"/>
      <c r="W674" s="1146"/>
      <c r="X674" s="1146"/>
      <c r="Y674" s="1146"/>
      <c r="Z674" s="1146"/>
      <c r="AA674" s="1146"/>
      <c r="AB674" s="1146"/>
    </row>
    <row r="675" spans="1:28">
      <c r="A675" s="1146"/>
      <c r="B675" s="1146"/>
      <c r="C675" s="1146"/>
      <c r="D675" s="1146"/>
      <c r="E675" s="1146"/>
      <c r="F675" s="1146"/>
      <c r="G675" s="1146"/>
      <c r="H675" s="1146"/>
      <c r="I675" s="1146"/>
      <c r="J675" s="1146"/>
      <c r="K675" s="1146"/>
      <c r="L675" s="1146"/>
      <c r="M675" s="1146"/>
      <c r="N675" s="1146"/>
      <c r="O675" s="1146"/>
      <c r="P675" s="1146"/>
      <c r="Q675" s="1146"/>
      <c r="R675" s="1146"/>
      <c r="S675" s="1146"/>
      <c r="T675" s="1146"/>
      <c r="U675" s="1146"/>
      <c r="V675" s="1146"/>
      <c r="W675" s="1146"/>
      <c r="X675" s="1146"/>
      <c r="Y675" s="1146"/>
      <c r="Z675" s="1146"/>
      <c r="AA675" s="1146"/>
      <c r="AB675" s="1146"/>
    </row>
    <row r="676" spans="1:28">
      <c r="A676" s="1146"/>
      <c r="B676" s="1146"/>
      <c r="C676" s="1146"/>
      <c r="D676" s="1146"/>
      <c r="E676" s="1146"/>
      <c r="F676" s="1146"/>
      <c r="G676" s="1146"/>
      <c r="H676" s="1146"/>
      <c r="I676" s="1146"/>
      <c r="J676" s="1146"/>
      <c r="K676" s="1146"/>
      <c r="L676" s="1146"/>
      <c r="M676" s="1146"/>
      <c r="N676" s="1146"/>
      <c r="O676" s="1146"/>
      <c r="P676" s="1146"/>
      <c r="Q676" s="1146"/>
      <c r="R676" s="1146"/>
      <c r="S676" s="1146"/>
      <c r="T676" s="1146"/>
      <c r="U676" s="1146"/>
      <c r="V676" s="1146"/>
      <c r="W676" s="1146"/>
      <c r="X676" s="1146"/>
      <c r="Y676" s="1146"/>
      <c r="Z676" s="1146"/>
      <c r="AA676" s="1146"/>
      <c r="AB676" s="1146"/>
    </row>
    <row r="677" spans="1:28">
      <c r="A677" s="1146"/>
      <c r="B677" s="1146"/>
      <c r="C677" s="1146"/>
      <c r="D677" s="1146"/>
      <c r="E677" s="1146"/>
      <c r="F677" s="1146"/>
      <c r="G677" s="1146"/>
      <c r="H677" s="1146"/>
      <c r="I677" s="1146"/>
      <c r="J677" s="1146"/>
      <c r="K677" s="1146"/>
      <c r="L677" s="1146"/>
      <c r="M677" s="1146"/>
      <c r="N677" s="1146"/>
      <c r="O677" s="1146"/>
      <c r="P677" s="1146"/>
      <c r="Q677" s="1146"/>
      <c r="R677" s="1146"/>
      <c r="S677" s="1146"/>
      <c r="T677" s="1146"/>
      <c r="U677" s="1146"/>
      <c r="V677" s="1146"/>
      <c r="W677" s="1146"/>
      <c r="X677" s="1146"/>
      <c r="Y677" s="1146"/>
      <c r="Z677" s="1146"/>
      <c r="AA677" s="1146"/>
      <c r="AB677" s="1146"/>
    </row>
    <row r="678" spans="1:28">
      <c r="A678" s="1146"/>
      <c r="B678" s="1146"/>
      <c r="C678" s="1146"/>
      <c r="D678" s="1146"/>
      <c r="E678" s="1146"/>
      <c r="F678" s="1146"/>
      <c r="G678" s="1146"/>
      <c r="H678" s="1146"/>
      <c r="I678" s="1146"/>
      <c r="J678" s="1146"/>
      <c r="K678" s="1146"/>
      <c r="L678" s="1146"/>
      <c r="M678" s="1146"/>
      <c r="N678" s="1146"/>
      <c r="O678" s="1146"/>
      <c r="P678" s="1146"/>
      <c r="Q678" s="1146"/>
      <c r="R678" s="1146"/>
      <c r="S678" s="1146"/>
      <c r="T678" s="1146"/>
      <c r="U678" s="1146"/>
      <c r="V678" s="1146"/>
      <c r="W678" s="1146"/>
      <c r="X678" s="1146"/>
      <c r="Y678" s="1146"/>
      <c r="Z678" s="1146"/>
      <c r="AA678" s="1146"/>
      <c r="AB678" s="1146"/>
    </row>
    <row r="679" spans="1:28">
      <c r="A679" s="1146"/>
      <c r="B679" s="1146"/>
      <c r="C679" s="1146"/>
      <c r="D679" s="1146"/>
      <c r="E679" s="1146"/>
      <c r="F679" s="1146"/>
      <c r="G679" s="1146"/>
      <c r="H679" s="1146"/>
      <c r="I679" s="1146"/>
      <c r="J679" s="1146"/>
      <c r="K679" s="1146"/>
      <c r="L679" s="1146"/>
      <c r="M679" s="1146"/>
      <c r="N679" s="1146"/>
      <c r="O679" s="1146"/>
      <c r="P679" s="1146"/>
      <c r="Q679" s="1146"/>
      <c r="R679" s="1146"/>
      <c r="S679" s="1146"/>
      <c r="T679" s="1146"/>
      <c r="U679" s="1146"/>
      <c r="V679" s="1146"/>
      <c r="W679" s="1146"/>
      <c r="X679" s="1146"/>
      <c r="Y679" s="1146"/>
      <c r="Z679" s="1146"/>
      <c r="AA679" s="1146"/>
      <c r="AB679" s="1146"/>
    </row>
    <row r="680" spans="1:28">
      <c r="A680" s="1146"/>
      <c r="B680" s="1146"/>
      <c r="C680" s="1146"/>
      <c r="D680" s="1146"/>
      <c r="E680" s="1146"/>
      <c r="F680" s="1146"/>
      <c r="G680" s="1146"/>
      <c r="H680" s="1146"/>
      <c r="I680" s="1146"/>
      <c r="J680" s="1146"/>
      <c r="K680" s="1146"/>
      <c r="L680" s="1146"/>
      <c r="M680" s="1146"/>
      <c r="N680" s="1146"/>
      <c r="O680" s="1146"/>
      <c r="P680" s="1146"/>
      <c r="Q680" s="1146"/>
      <c r="R680" s="1146"/>
      <c r="S680" s="1146"/>
      <c r="T680" s="1146"/>
      <c r="U680" s="1146"/>
      <c r="V680" s="1146"/>
      <c r="W680" s="1146"/>
      <c r="X680" s="1146"/>
      <c r="Y680" s="1146"/>
      <c r="Z680" s="1146"/>
      <c r="AA680" s="1146"/>
      <c r="AB680" s="1146"/>
    </row>
    <row r="681" spans="1:28">
      <c r="A681" s="1146"/>
      <c r="B681" s="1146"/>
      <c r="C681" s="1146"/>
      <c r="D681" s="1146"/>
      <c r="E681" s="1146"/>
      <c r="F681" s="1146"/>
      <c r="G681" s="1146"/>
      <c r="H681" s="1146"/>
      <c r="I681" s="1146"/>
      <c r="J681" s="1146"/>
      <c r="K681" s="1146"/>
      <c r="L681" s="1146"/>
      <c r="M681" s="1146"/>
      <c r="N681" s="1146"/>
      <c r="O681" s="1146"/>
      <c r="P681" s="1146"/>
      <c r="Q681" s="1146"/>
      <c r="R681" s="1146"/>
      <c r="S681" s="1146"/>
      <c r="T681" s="1146"/>
      <c r="U681" s="1146"/>
      <c r="V681" s="1146"/>
      <c r="W681" s="1146"/>
      <c r="X681" s="1146"/>
      <c r="Y681" s="1146"/>
      <c r="Z681" s="1146"/>
      <c r="AA681" s="1146"/>
      <c r="AB681" s="1146"/>
    </row>
    <row r="682" spans="1:28">
      <c r="A682" s="1146"/>
      <c r="B682" s="1146"/>
      <c r="C682" s="1146"/>
      <c r="D682" s="1146"/>
      <c r="E682" s="1146"/>
      <c r="F682" s="1146"/>
      <c r="G682" s="1146"/>
      <c r="H682" s="1146"/>
      <c r="I682" s="1146"/>
      <c r="J682" s="1146"/>
      <c r="K682" s="1146"/>
      <c r="L682" s="1146"/>
      <c r="M682" s="1146"/>
      <c r="N682" s="1146"/>
      <c r="O682" s="1146"/>
      <c r="P682" s="1146"/>
      <c r="Q682" s="1146"/>
      <c r="R682" s="1146"/>
      <c r="S682" s="1146"/>
      <c r="T682" s="1146"/>
      <c r="U682" s="1146"/>
      <c r="V682" s="1146"/>
      <c r="W682" s="1146"/>
      <c r="X682" s="1146"/>
      <c r="Y682" s="1146"/>
      <c r="Z682" s="1146"/>
      <c r="AA682" s="1146"/>
      <c r="AB682" s="1146"/>
    </row>
    <row r="683" spans="1:28">
      <c r="A683" s="1146"/>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row>
    <row r="684" spans="1:28">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row>
    <row r="685" spans="1:28">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row>
    <row r="686" spans="1:28">
      <c r="A686" s="1146"/>
      <c r="B686" s="1146"/>
      <c r="C686" s="1146"/>
      <c r="D686" s="1146"/>
      <c r="E686" s="1146"/>
      <c r="F686" s="1146"/>
      <c r="G686" s="1146"/>
      <c r="H686" s="1146"/>
      <c r="I686" s="1146"/>
      <c r="J686" s="1146"/>
      <c r="K686" s="1146"/>
      <c r="L686" s="1146"/>
      <c r="M686" s="1146"/>
      <c r="N686" s="1146"/>
      <c r="O686" s="1146"/>
      <c r="P686" s="1146"/>
      <c r="Q686" s="1146"/>
      <c r="R686" s="1146"/>
      <c r="S686" s="1146"/>
      <c r="T686" s="1146"/>
      <c r="U686" s="1146"/>
      <c r="V686" s="1146"/>
      <c r="W686" s="1146"/>
      <c r="X686" s="1146"/>
      <c r="Y686" s="1146"/>
      <c r="Z686" s="1146"/>
      <c r="AA686" s="1146"/>
      <c r="AB686" s="1146"/>
    </row>
    <row r="687" spans="1:28">
      <c r="A687" s="1146"/>
      <c r="B687" s="1146"/>
      <c r="C687" s="1146"/>
      <c r="D687" s="1146"/>
      <c r="E687" s="1146"/>
      <c r="F687" s="1146"/>
      <c r="G687" s="1146"/>
      <c r="H687" s="1146"/>
      <c r="I687" s="1146"/>
      <c r="J687" s="1146"/>
      <c r="K687" s="1146"/>
      <c r="L687" s="1146"/>
      <c r="M687" s="1146"/>
      <c r="N687" s="1146"/>
      <c r="O687" s="1146"/>
      <c r="P687" s="1146"/>
      <c r="Q687" s="1146"/>
      <c r="R687" s="1146"/>
      <c r="S687" s="1146"/>
      <c r="T687" s="1146"/>
      <c r="U687" s="1146"/>
      <c r="V687" s="1146"/>
      <c r="W687" s="1146"/>
      <c r="X687" s="1146"/>
      <c r="Y687" s="1146"/>
      <c r="Z687" s="1146"/>
      <c r="AA687" s="1146"/>
      <c r="AB687" s="1146"/>
    </row>
    <row r="688" spans="1:28">
      <c r="A688" s="1146"/>
      <c r="B688" s="1146"/>
      <c r="C688" s="1146"/>
      <c r="D688" s="1146"/>
      <c r="E688" s="1146"/>
      <c r="F688" s="1146"/>
      <c r="G688" s="1146"/>
      <c r="H688" s="1146"/>
      <c r="I688" s="1146"/>
      <c r="J688" s="1146"/>
      <c r="K688" s="1146"/>
      <c r="L688" s="1146"/>
      <c r="M688" s="1146"/>
      <c r="N688" s="1146"/>
      <c r="O688" s="1146"/>
      <c r="P688" s="1146"/>
      <c r="Q688" s="1146"/>
      <c r="R688" s="1146"/>
      <c r="S688" s="1146"/>
      <c r="T688" s="1146"/>
      <c r="U688" s="1146"/>
      <c r="V688" s="1146"/>
      <c r="W688" s="1146"/>
      <c r="X688" s="1146"/>
      <c r="Y688" s="1146"/>
      <c r="Z688" s="1146"/>
      <c r="AA688" s="1146"/>
      <c r="AB688" s="1146"/>
    </row>
    <row r="689" spans="1:28">
      <c r="A689" s="1146"/>
      <c r="B689" s="1146"/>
      <c r="C689" s="1146"/>
      <c r="D689" s="1146"/>
      <c r="E689" s="1146"/>
      <c r="F689" s="1146"/>
      <c r="G689" s="1146"/>
      <c r="H689" s="1146"/>
      <c r="I689" s="1146"/>
      <c r="J689" s="1146"/>
      <c r="K689" s="1146"/>
      <c r="L689" s="1146"/>
      <c r="M689" s="1146"/>
      <c r="N689" s="1146"/>
      <c r="O689" s="1146"/>
      <c r="P689" s="1146"/>
      <c r="Q689" s="1146"/>
      <c r="R689" s="1146"/>
      <c r="S689" s="1146"/>
      <c r="T689" s="1146"/>
      <c r="U689" s="1146"/>
      <c r="V689" s="1146"/>
      <c r="W689" s="1146"/>
      <c r="X689" s="1146"/>
      <c r="Y689" s="1146"/>
      <c r="Z689" s="1146"/>
      <c r="AA689" s="1146"/>
      <c r="AB689" s="1146"/>
    </row>
    <row r="690" spans="1:28">
      <c r="A690" s="1146"/>
      <c r="B690" s="1146"/>
      <c r="C690" s="1146"/>
      <c r="D690" s="1146"/>
      <c r="E690" s="1146"/>
      <c r="F690" s="1146"/>
      <c r="G690" s="1146"/>
      <c r="H690" s="1146"/>
      <c r="I690" s="1146"/>
      <c r="J690" s="1146"/>
      <c r="K690" s="1146"/>
      <c r="L690" s="1146"/>
      <c r="M690" s="1146"/>
      <c r="N690" s="1146"/>
      <c r="O690" s="1146"/>
      <c r="P690" s="1146"/>
      <c r="Q690" s="1146"/>
      <c r="R690" s="1146"/>
      <c r="S690" s="1146"/>
      <c r="T690" s="1146"/>
      <c r="U690" s="1146"/>
      <c r="V690" s="1146"/>
      <c r="W690" s="1146"/>
      <c r="X690" s="1146"/>
      <c r="Y690" s="1146"/>
      <c r="Z690" s="1146"/>
      <c r="AA690" s="1146"/>
      <c r="AB690" s="1146"/>
    </row>
    <row r="691" spans="1:28">
      <c r="A691" s="1146"/>
      <c r="B691" s="1146"/>
      <c r="C691" s="1146"/>
      <c r="D691" s="1146"/>
      <c r="E691" s="1146"/>
      <c r="F691" s="1146"/>
      <c r="G691" s="1146"/>
      <c r="H691" s="1146"/>
      <c r="I691" s="1146"/>
      <c r="J691" s="1146"/>
      <c r="K691" s="1146"/>
      <c r="L691" s="1146"/>
      <c r="M691" s="1146"/>
      <c r="N691" s="1146"/>
      <c r="O691" s="1146"/>
      <c r="P691" s="1146"/>
      <c r="Q691" s="1146"/>
      <c r="R691" s="1146"/>
      <c r="S691" s="1146"/>
      <c r="T691" s="1146"/>
      <c r="U691" s="1146"/>
      <c r="V691" s="1146"/>
      <c r="W691" s="1146"/>
      <c r="X691" s="1146"/>
      <c r="Y691" s="1146"/>
      <c r="Z691" s="1146"/>
      <c r="AA691" s="1146"/>
      <c r="AB691" s="1146"/>
    </row>
    <row r="692" spans="1:28">
      <c r="A692" s="1146"/>
      <c r="B692" s="1146"/>
      <c r="C692" s="1146"/>
      <c r="D692" s="1146"/>
      <c r="E692" s="1146"/>
      <c r="F692" s="1146"/>
      <c r="G692" s="1146"/>
      <c r="H692" s="1146"/>
      <c r="I692" s="1146"/>
      <c r="J692" s="1146"/>
      <c r="K692" s="1146"/>
      <c r="L692" s="1146"/>
      <c r="M692" s="1146"/>
      <c r="N692" s="1146"/>
      <c r="O692" s="1146"/>
      <c r="P692" s="1146"/>
      <c r="Q692" s="1146"/>
      <c r="R692" s="1146"/>
      <c r="S692" s="1146"/>
      <c r="T692" s="1146"/>
      <c r="U692" s="1146"/>
      <c r="V692" s="1146"/>
      <c r="W692" s="1146"/>
      <c r="X692" s="1146"/>
      <c r="Y692" s="1146"/>
      <c r="Z692" s="1146"/>
      <c r="AA692" s="1146"/>
      <c r="AB692" s="1146"/>
    </row>
    <row r="693" spans="1:28">
      <c r="A693" s="1146"/>
      <c r="B693" s="1146"/>
      <c r="C693" s="1146"/>
      <c r="D693" s="1146"/>
      <c r="E693" s="1146"/>
      <c r="F693" s="1146"/>
      <c r="G693" s="1146"/>
      <c r="H693" s="1146"/>
      <c r="I693" s="1146"/>
      <c r="J693" s="1146"/>
      <c r="K693" s="1146"/>
      <c r="L693" s="1146"/>
      <c r="M693" s="1146"/>
      <c r="N693" s="1146"/>
      <c r="O693" s="1146"/>
      <c r="P693" s="1146"/>
      <c r="Q693" s="1146"/>
      <c r="R693" s="1146"/>
      <c r="S693" s="1146"/>
      <c r="T693" s="1146"/>
      <c r="U693" s="1146"/>
      <c r="V693" s="1146"/>
      <c r="W693" s="1146"/>
      <c r="X693" s="1146"/>
      <c r="Y693" s="1146"/>
      <c r="Z693" s="1146"/>
      <c r="AA693" s="1146"/>
      <c r="AB693" s="1146"/>
    </row>
    <row r="694" spans="1:28">
      <c r="A694" s="1146"/>
      <c r="B694" s="1146"/>
      <c r="C694" s="1146"/>
      <c r="D694" s="1146"/>
      <c r="E694" s="1146"/>
      <c r="F694" s="1146"/>
      <c r="G694" s="1146"/>
      <c r="H694" s="1146"/>
      <c r="I694" s="1146"/>
      <c r="J694" s="1146"/>
      <c r="K694" s="1146"/>
      <c r="L694" s="1146"/>
      <c r="M694" s="1146"/>
      <c r="N694" s="1146"/>
      <c r="O694" s="1146"/>
      <c r="P694" s="1146"/>
      <c r="Q694" s="1146"/>
      <c r="R694" s="1146"/>
      <c r="S694" s="1146"/>
      <c r="T694" s="1146"/>
      <c r="U694" s="1146"/>
      <c r="V694" s="1146"/>
      <c r="W694" s="1146"/>
      <c r="X694" s="1146"/>
      <c r="Y694" s="1146"/>
      <c r="Z694" s="1146"/>
      <c r="AA694" s="1146"/>
      <c r="AB694" s="1146"/>
    </row>
    <row r="695" spans="1:28">
      <c r="A695" s="1146"/>
      <c r="B695" s="1146"/>
      <c r="C695" s="1146"/>
      <c r="D695" s="1146"/>
      <c r="E695" s="1146"/>
      <c r="F695" s="1146"/>
      <c r="G695" s="1146"/>
      <c r="H695" s="1146"/>
      <c r="I695" s="1146"/>
      <c r="J695" s="1146"/>
      <c r="K695" s="1146"/>
      <c r="L695" s="1146"/>
      <c r="M695" s="1146"/>
      <c r="N695" s="1146"/>
      <c r="O695" s="1146"/>
      <c r="P695" s="1146"/>
      <c r="Q695" s="1146"/>
      <c r="R695" s="1146"/>
      <c r="S695" s="1146"/>
      <c r="T695" s="1146"/>
      <c r="U695" s="1146"/>
      <c r="V695" s="1146"/>
      <c r="W695" s="1146"/>
      <c r="X695" s="1146"/>
      <c r="Y695" s="1146"/>
      <c r="Z695" s="1146"/>
      <c r="AA695" s="1146"/>
      <c r="AB695" s="1146"/>
    </row>
    <row r="696" spans="1:28">
      <c r="A696" s="1146"/>
      <c r="B696" s="1146"/>
      <c r="C696" s="1146"/>
      <c r="D696" s="1146"/>
      <c r="E696" s="1146"/>
      <c r="F696" s="1146"/>
      <c r="G696" s="1146"/>
      <c r="H696" s="1146"/>
      <c r="I696" s="1146"/>
      <c r="J696" s="1146"/>
      <c r="K696" s="1146"/>
      <c r="L696" s="1146"/>
      <c r="M696" s="1146"/>
      <c r="N696" s="1146"/>
      <c r="O696" s="1146"/>
      <c r="P696" s="1146"/>
      <c r="Q696" s="1146"/>
      <c r="R696" s="1146"/>
      <c r="S696" s="1146"/>
      <c r="T696" s="1146"/>
      <c r="U696" s="1146"/>
      <c r="V696" s="1146"/>
      <c r="W696" s="1146"/>
      <c r="X696" s="1146"/>
      <c r="Y696" s="1146"/>
      <c r="Z696" s="1146"/>
      <c r="AA696" s="1146"/>
      <c r="AB696" s="1146"/>
    </row>
    <row r="697" spans="1:28">
      <c r="A697" s="1146"/>
      <c r="B697" s="1146"/>
      <c r="C697" s="1146"/>
      <c r="D697" s="1146"/>
      <c r="E697" s="1146"/>
      <c r="F697" s="1146"/>
      <c r="G697" s="1146"/>
      <c r="H697" s="1146"/>
      <c r="I697" s="1146"/>
      <c r="J697" s="1146"/>
      <c r="K697" s="1146"/>
      <c r="L697" s="1146"/>
      <c r="M697" s="1146"/>
      <c r="N697" s="1146"/>
      <c r="O697" s="1146"/>
      <c r="P697" s="1146"/>
      <c r="Q697" s="1146"/>
      <c r="R697" s="1146"/>
      <c r="S697" s="1146"/>
      <c r="T697" s="1146"/>
      <c r="U697" s="1146"/>
      <c r="V697" s="1146"/>
      <c r="W697" s="1146"/>
      <c r="X697" s="1146"/>
      <c r="Y697" s="1146"/>
      <c r="Z697" s="1146"/>
      <c r="AA697" s="1146"/>
      <c r="AB697" s="1146"/>
    </row>
    <row r="698" spans="1:28">
      <c r="A698" s="1146"/>
      <c r="B698" s="1146"/>
      <c r="C698" s="1146"/>
      <c r="D698" s="1146"/>
      <c r="E698" s="1146"/>
      <c r="F698" s="1146"/>
      <c r="G698" s="1146"/>
      <c r="H698" s="1146"/>
      <c r="I698" s="1146"/>
      <c r="J698" s="1146"/>
      <c r="K698" s="1146"/>
      <c r="L698" s="1146"/>
      <c r="M698" s="1146"/>
      <c r="N698" s="1146"/>
      <c r="O698" s="1146"/>
      <c r="P698" s="1146"/>
      <c r="Q698" s="1146"/>
      <c r="R698" s="1146"/>
      <c r="S698" s="1146"/>
      <c r="T698" s="1146"/>
      <c r="U698" s="1146"/>
      <c r="V698" s="1146"/>
      <c r="W698" s="1146"/>
      <c r="X698" s="1146"/>
      <c r="Y698" s="1146"/>
      <c r="Z698" s="1146"/>
      <c r="AA698" s="1146"/>
      <c r="AB698" s="1146"/>
    </row>
    <row r="699" spans="1:28">
      <c r="A699" s="1146"/>
      <c r="B699" s="1146"/>
      <c r="C699" s="1146"/>
      <c r="D699" s="1146"/>
      <c r="E699" s="1146"/>
      <c r="F699" s="1146"/>
      <c r="G699" s="1146"/>
      <c r="H699" s="1146"/>
      <c r="I699" s="1146"/>
      <c r="J699" s="1146"/>
      <c r="K699" s="1146"/>
      <c r="L699" s="1146"/>
      <c r="M699" s="1146"/>
      <c r="N699" s="1146"/>
      <c r="O699" s="1146"/>
      <c r="P699" s="1146"/>
      <c r="Q699" s="1146"/>
      <c r="R699" s="1146"/>
      <c r="S699" s="1146"/>
      <c r="T699" s="1146"/>
      <c r="U699" s="1146"/>
      <c r="V699" s="1146"/>
      <c r="W699" s="1146"/>
      <c r="X699" s="1146"/>
      <c r="Y699" s="1146"/>
      <c r="Z699" s="1146"/>
      <c r="AA699" s="1146"/>
      <c r="AB699" s="1146"/>
    </row>
    <row r="700" spans="1:28">
      <c r="A700" s="1146"/>
      <c r="B700" s="1146"/>
      <c r="C700" s="1146"/>
      <c r="D700" s="1146"/>
      <c r="E700" s="1146"/>
      <c r="F700" s="1146"/>
      <c r="G700" s="1146"/>
      <c r="H700" s="1146"/>
      <c r="I700" s="1146"/>
      <c r="J700" s="1146"/>
      <c r="K700" s="1146"/>
      <c r="L700" s="1146"/>
      <c r="M700" s="1146"/>
      <c r="N700" s="1146"/>
      <c r="O700" s="1146"/>
      <c r="P700" s="1146"/>
      <c r="Q700" s="1146"/>
      <c r="R700" s="1146"/>
      <c r="S700" s="1146"/>
      <c r="T700" s="1146"/>
      <c r="U700" s="1146"/>
      <c r="V700" s="1146"/>
      <c r="W700" s="1146"/>
      <c r="X700" s="1146"/>
      <c r="Y700" s="1146"/>
      <c r="Z700" s="1146"/>
      <c r="AA700" s="1146"/>
      <c r="AB700" s="1146"/>
    </row>
    <row r="701" spans="1:28">
      <c r="A701" s="1146"/>
      <c r="B701" s="1146"/>
      <c r="C701" s="1146"/>
      <c r="D701" s="1146"/>
      <c r="E701" s="1146"/>
      <c r="F701" s="1146"/>
      <c r="G701" s="1146"/>
      <c r="H701" s="1146"/>
      <c r="I701" s="1146"/>
      <c r="J701" s="1146"/>
      <c r="K701" s="1146"/>
      <c r="L701" s="1146"/>
      <c r="M701" s="1146"/>
      <c r="N701" s="1146"/>
      <c r="O701" s="1146"/>
      <c r="P701" s="1146"/>
      <c r="Q701" s="1146"/>
      <c r="R701" s="1146"/>
      <c r="S701" s="1146"/>
      <c r="T701" s="1146"/>
      <c r="U701" s="1146"/>
      <c r="V701" s="1146"/>
      <c r="W701" s="1146"/>
      <c r="X701" s="1146"/>
      <c r="Y701" s="1146"/>
      <c r="Z701" s="1146"/>
      <c r="AA701" s="1146"/>
      <c r="AB701" s="1146"/>
    </row>
    <row r="702" spans="1:28">
      <c r="A702" s="1146"/>
      <c r="B702" s="1146"/>
      <c r="C702" s="1146"/>
      <c r="D702" s="1146"/>
      <c r="E702" s="1146"/>
      <c r="F702" s="1146"/>
      <c r="G702" s="1146"/>
      <c r="H702" s="1146"/>
      <c r="I702" s="1146"/>
      <c r="J702" s="1146"/>
      <c r="K702" s="1146"/>
      <c r="L702" s="1146"/>
      <c r="M702" s="1146"/>
      <c r="N702" s="1146"/>
      <c r="O702" s="1146"/>
      <c r="P702" s="1146"/>
      <c r="Q702" s="1146"/>
      <c r="R702" s="1146"/>
      <c r="S702" s="1146"/>
      <c r="T702" s="1146"/>
      <c r="U702" s="1146"/>
      <c r="V702" s="1146"/>
      <c r="W702" s="1146"/>
      <c r="X702" s="1146"/>
      <c r="Y702" s="1146"/>
      <c r="Z702" s="1146"/>
      <c r="AA702" s="1146"/>
      <c r="AB702" s="1146"/>
    </row>
    <row r="703" spans="1:28">
      <c r="A703" s="1146"/>
      <c r="B703" s="1146"/>
      <c r="C703" s="1146"/>
      <c r="D703" s="1146"/>
      <c r="E703" s="1146"/>
      <c r="F703" s="1146"/>
      <c r="G703" s="1146"/>
      <c r="H703" s="1146"/>
      <c r="I703" s="1146"/>
      <c r="J703" s="1146"/>
      <c r="K703" s="1146"/>
      <c r="L703" s="1146"/>
      <c r="M703" s="1146"/>
      <c r="N703" s="1146"/>
      <c r="O703" s="1146"/>
      <c r="P703" s="1146"/>
      <c r="Q703" s="1146"/>
      <c r="R703" s="1146"/>
      <c r="S703" s="1146"/>
      <c r="T703" s="1146"/>
      <c r="U703" s="1146"/>
      <c r="V703" s="1146"/>
      <c r="W703" s="1146"/>
      <c r="X703" s="1146"/>
      <c r="Y703" s="1146"/>
      <c r="Z703" s="1146"/>
      <c r="AA703" s="1146"/>
      <c r="AB703" s="1146"/>
    </row>
    <row r="704" spans="1:28">
      <c r="A704" s="1146"/>
      <c r="B704" s="1146"/>
      <c r="C704" s="1146"/>
      <c r="D704" s="1146"/>
      <c r="E704" s="1146"/>
      <c r="F704" s="1146"/>
      <c r="G704" s="1146"/>
      <c r="H704" s="1146"/>
      <c r="I704" s="1146"/>
      <c r="J704" s="1146"/>
      <c r="K704" s="1146"/>
      <c r="L704" s="1146"/>
      <c r="M704" s="1146"/>
      <c r="N704" s="1146"/>
      <c r="O704" s="1146"/>
      <c r="P704" s="1146"/>
      <c r="Q704" s="1146"/>
      <c r="R704" s="1146"/>
      <c r="S704" s="1146"/>
      <c r="T704" s="1146"/>
      <c r="U704" s="1146"/>
      <c r="V704" s="1146"/>
      <c r="W704" s="1146"/>
      <c r="X704" s="1146"/>
      <c r="Y704" s="1146"/>
      <c r="Z704" s="1146"/>
      <c r="AA704" s="1146"/>
      <c r="AB704" s="1146"/>
    </row>
    <row r="705" spans="1:28">
      <c r="A705" s="1146"/>
      <c r="B705" s="1146"/>
      <c r="C705" s="1146"/>
      <c r="D705" s="1146"/>
      <c r="E705" s="1146"/>
      <c r="F705" s="1146"/>
      <c r="G705" s="1146"/>
      <c r="H705" s="1146"/>
      <c r="I705" s="1146"/>
      <c r="J705" s="1146"/>
      <c r="K705" s="1146"/>
      <c r="L705" s="1146"/>
      <c r="M705" s="1146"/>
      <c r="N705" s="1146"/>
      <c r="O705" s="1146"/>
      <c r="P705" s="1146"/>
      <c r="Q705" s="1146"/>
      <c r="R705" s="1146"/>
      <c r="S705" s="1146"/>
      <c r="T705" s="1146"/>
      <c r="U705" s="1146"/>
      <c r="V705" s="1146"/>
      <c r="W705" s="1146"/>
      <c r="X705" s="1146"/>
      <c r="Y705" s="1146"/>
      <c r="Z705" s="1146"/>
      <c r="AA705" s="1146"/>
      <c r="AB705" s="1146"/>
    </row>
    <row r="706" spans="1:28">
      <c r="A706" s="1146"/>
      <c r="B706" s="1146"/>
      <c r="C706" s="1146"/>
      <c r="D706" s="1146"/>
      <c r="E706" s="1146"/>
      <c r="F706" s="1146"/>
      <c r="G706" s="1146"/>
      <c r="H706" s="1146"/>
      <c r="I706" s="1146"/>
      <c r="J706" s="1146"/>
      <c r="K706" s="1146"/>
      <c r="L706" s="1146"/>
      <c r="M706" s="1146"/>
      <c r="N706" s="1146"/>
      <c r="O706" s="1146"/>
      <c r="P706" s="1146"/>
      <c r="Q706" s="1146"/>
      <c r="R706" s="1146"/>
      <c r="S706" s="1146"/>
      <c r="T706" s="1146"/>
      <c r="U706" s="1146"/>
      <c r="V706" s="1146"/>
      <c r="W706" s="1146"/>
      <c r="X706" s="1146"/>
      <c r="Y706" s="1146"/>
      <c r="Z706" s="1146"/>
      <c r="AA706" s="1146"/>
      <c r="AB706" s="1146"/>
    </row>
    <row r="707" spans="1:28">
      <c r="A707" s="1146"/>
      <c r="B707" s="1146"/>
      <c r="C707" s="1146"/>
      <c r="D707" s="1146"/>
      <c r="E707" s="1146"/>
      <c r="F707" s="1146"/>
      <c r="G707" s="1146"/>
      <c r="H707" s="1146"/>
      <c r="I707" s="1146"/>
      <c r="J707" s="1146"/>
      <c r="K707" s="1146"/>
      <c r="L707" s="1146"/>
      <c r="M707" s="1146"/>
      <c r="N707" s="1146"/>
      <c r="O707" s="1146"/>
      <c r="P707" s="1146"/>
      <c r="Q707" s="1146"/>
      <c r="R707" s="1146"/>
      <c r="S707" s="1146"/>
      <c r="T707" s="1146"/>
      <c r="U707" s="1146"/>
      <c r="V707" s="1146"/>
      <c r="W707" s="1146"/>
      <c r="X707" s="1146"/>
      <c r="Y707" s="1146"/>
      <c r="Z707" s="1146"/>
      <c r="AA707" s="1146"/>
      <c r="AB707" s="1146"/>
    </row>
  </sheetData>
  <phoneticPr fontId="6"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xl/worksheets/sheet11.xml><?xml version="1.0" encoding="utf-8"?>
<worksheet xmlns="http://schemas.openxmlformats.org/spreadsheetml/2006/main" xmlns:r="http://schemas.openxmlformats.org/officeDocument/2006/relationships">
  <sheetPr>
    <tabColor rgb="FF92D050"/>
  </sheetPr>
  <dimension ref="A1:AA707"/>
  <sheetViews>
    <sheetView zoomScale="80" zoomScaleNormal="80" workbookViewId="0">
      <selection activeCell="C5" sqref="C5"/>
    </sheetView>
  </sheetViews>
  <sheetFormatPr defaultColWidth="10.25" defaultRowHeight="12.75"/>
  <cols>
    <col min="1" max="1" width="6.125" style="644" customWidth="1"/>
    <col min="2" max="2" width="13.25" style="644" customWidth="1"/>
    <col min="3" max="3" width="12.5" style="645" customWidth="1"/>
    <col min="4" max="5" width="10.875" style="644" customWidth="1"/>
    <col min="6" max="7" width="11.5" style="644" customWidth="1"/>
    <col min="8" max="8" width="12.5" style="644" customWidth="1"/>
    <col min="9" max="9" width="16" style="644" customWidth="1"/>
    <col min="10" max="10" width="10.25" style="644" customWidth="1"/>
    <col min="11" max="11" width="12.25" style="644" customWidth="1"/>
    <col min="12" max="12" width="12.375" style="644" customWidth="1"/>
    <col min="13" max="13" width="11.625" style="644" bestFit="1" customWidth="1"/>
    <col min="14" max="14" width="11.375" style="644" bestFit="1" customWidth="1"/>
    <col min="15" max="15" width="13.75" style="644" customWidth="1"/>
    <col min="16" max="16" width="13.875" style="644" customWidth="1"/>
    <col min="17" max="18" width="10.25" style="644" customWidth="1"/>
    <col min="19" max="19" width="14.625" style="644" customWidth="1"/>
    <col min="20" max="20" width="1.625" style="644" hidden="1" customWidth="1"/>
    <col min="21" max="21" width="15.75" style="644" customWidth="1"/>
    <col min="22" max="22" width="2" style="646" hidden="1" customWidth="1"/>
    <col min="23" max="23" width="12.375" style="644" customWidth="1"/>
    <col min="24" max="24" width="13.875" style="644" customWidth="1"/>
    <col min="25" max="25" width="10.25" style="644"/>
    <col min="26" max="26" width="12" style="644" bestFit="1" customWidth="1"/>
    <col min="27" max="16384" width="10.25" style="644"/>
  </cols>
  <sheetData>
    <row r="1" spans="1:26">
      <c r="A1" s="1380" t="s">
        <v>185</v>
      </c>
      <c r="B1" s="1296" t="s">
        <v>571</v>
      </c>
      <c r="C1" s="644"/>
      <c r="D1" s="649"/>
      <c r="V1" s="644"/>
    </row>
    <row r="2" spans="1:26">
      <c r="C2" s="644"/>
      <c r="V2" s="644"/>
    </row>
    <row r="3" spans="1:26" s="217" customFormat="1">
      <c r="A3" s="1381"/>
      <c r="B3" s="1382" t="s">
        <v>177</v>
      </c>
      <c r="C3" s="1383"/>
      <c r="D3" s="1383"/>
      <c r="E3" s="1383"/>
      <c r="F3" s="1383"/>
      <c r="G3" s="1383"/>
      <c r="H3" s="1383"/>
      <c r="I3" s="1384"/>
      <c r="J3"/>
      <c r="K3"/>
      <c r="L3" s="650"/>
      <c r="M3" s="650"/>
      <c r="N3" s="650"/>
      <c r="O3" s="650"/>
      <c r="P3" s="650"/>
      <c r="Q3" s="650"/>
      <c r="R3" s="650"/>
      <c r="S3" s="650"/>
      <c r="T3" s="650"/>
      <c r="U3" s="650"/>
      <c r="V3" s="650"/>
      <c r="W3" s="650"/>
      <c r="X3" s="650"/>
      <c r="Y3" s="650"/>
      <c r="Z3" s="650"/>
    </row>
    <row r="4" spans="1:26" s="217" customFormat="1" ht="38.25">
      <c r="A4" s="1382" t="s">
        <v>182</v>
      </c>
      <c r="B4" s="1385" t="s">
        <v>253</v>
      </c>
      <c r="C4" s="1386" t="s">
        <v>4</v>
      </c>
      <c r="D4" s="1387" t="s">
        <v>269</v>
      </c>
      <c r="E4" s="1387" t="s">
        <v>342</v>
      </c>
      <c r="F4" s="1390" t="s">
        <v>5</v>
      </c>
      <c r="G4" s="1390" t="s">
        <v>6</v>
      </c>
      <c r="H4" s="1387" t="s">
        <v>322</v>
      </c>
      <c r="I4" s="1388" t="s">
        <v>22</v>
      </c>
      <c r="J4"/>
      <c r="K4"/>
      <c r="L4" s="650"/>
      <c r="M4" s="650"/>
      <c r="N4" s="650"/>
      <c r="O4" s="650"/>
      <c r="P4" s="650"/>
      <c r="Q4" s="650"/>
      <c r="R4" s="650"/>
      <c r="S4" s="650"/>
      <c r="T4" s="650"/>
      <c r="U4" s="650"/>
      <c r="V4" s="650"/>
      <c r="W4" s="650"/>
      <c r="X4" s="650"/>
      <c r="Y4" s="650"/>
      <c r="Z4" s="650"/>
    </row>
    <row r="5" spans="1:26" s="217" customFormat="1">
      <c r="A5" s="1389" t="s">
        <v>467</v>
      </c>
      <c r="B5" s="1389"/>
      <c r="C5" s="1391"/>
      <c r="D5" s="1391"/>
      <c r="E5" s="1391"/>
      <c r="F5" s="1391"/>
      <c r="G5" s="1391"/>
      <c r="H5" s="1391"/>
      <c r="I5" s="1392"/>
      <c r="J5"/>
      <c r="K5"/>
      <c r="L5" s="651"/>
      <c r="M5" s="651"/>
      <c r="N5" s="651"/>
      <c r="O5" s="651"/>
      <c r="P5" s="651"/>
      <c r="Q5" s="651"/>
      <c r="R5" s="651"/>
      <c r="S5" s="651"/>
      <c r="T5" s="651"/>
      <c r="U5" s="651"/>
      <c r="V5" s="651"/>
      <c r="W5" s="651"/>
      <c r="X5" s="651"/>
      <c r="Y5" s="651"/>
      <c r="Z5" s="651"/>
    </row>
    <row r="6" spans="1:26">
      <c r="A6"/>
      <c r="B6"/>
      <c r="C6"/>
      <c r="D6"/>
      <c r="E6"/>
      <c r="F6"/>
      <c r="G6"/>
      <c r="H6"/>
      <c r="I6"/>
      <c r="J6"/>
      <c r="K6"/>
      <c r="L6" s="650"/>
      <c r="M6" s="650"/>
      <c r="N6" s="650"/>
      <c r="O6" s="650"/>
      <c r="P6" s="650"/>
      <c r="Q6" s="650"/>
      <c r="R6" s="650"/>
      <c r="S6" s="650"/>
      <c r="T6" s="650"/>
      <c r="U6" s="650"/>
      <c r="V6" s="650"/>
      <c r="W6" s="650"/>
      <c r="X6" s="650"/>
      <c r="Y6" s="650"/>
      <c r="Z6" s="650"/>
    </row>
    <row r="7" spans="1:26" s="205" customFormat="1">
      <c r="A7"/>
      <c r="B7"/>
      <c r="C7"/>
      <c r="D7"/>
      <c r="E7"/>
      <c r="F7"/>
      <c r="G7"/>
      <c r="H7"/>
      <c r="I7"/>
      <c r="J7"/>
      <c r="K7"/>
      <c r="L7" s="650"/>
      <c r="M7" s="650"/>
      <c r="N7" s="650"/>
      <c r="O7" s="650"/>
      <c r="P7" s="650"/>
      <c r="Q7" s="650"/>
      <c r="R7" s="650"/>
      <c r="S7" s="650"/>
      <c r="T7" s="650"/>
      <c r="U7" s="650"/>
      <c r="V7" s="650"/>
      <c r="W7" s="650"/>
      <c r="X7" s="650"/>
      <c r="Y7" s="650"/>
      <c r="Z7" s="650"/>
    </row>
    <row r="8" spans="1:26" s="204" customFormat="1" ht="13.5" thickBot="1">
      <c r="A8"/>
      <c r="B8"/>
      <c r="C8"/>
      <c r="D8"/>
      <c r="E8"/>
      <c r="F8"/>
      <c r="G8"/>
      <c r="H8"/>
      <c r="I8"/>
      <c r="J8"/>
      <c r="K8"/>
      <c r="L8" s="650"/>
      <c r="M8" s="650"/>
      <c r="N8" s="650"/>
      <c r="O8" s="650"/>
      <c r="P8" s="650"/>
      <c r="Q8" s="650"/>
      <c r="R8" s="650"/>
      <c r="S8" s="650"/>
      <c r="T8" s="650"/>
      <c r="U8" s="650"/>
      <c r="V8" s="650"/>
      <c r="W8" s="650"/>
      <c r="X8" s="650"/>
      <c r="Y8" s="650"/>
      <c r="Z8" s="650"/>
    </row>
    <row r="9" spans="1:26">
      <c r="A9"/>
      <c r="B9"/>
      <c r="C9"/>
      <c r="D9"/>
      <c r="E9"/>
      <c r="F9"/>
      <c r="G9"/>
      <c r="H9"/>
      <c r="I9"/>
      <c r="J9"/>
      <c r="K9"/>
      <c r="L9" s="650"/>
      <c r="M9" s="650"/>
      <c r="N9" s="650"/>
      <c r="O9" s="650"/>
      <c r="P9" s="650"/>
      <c r="Q9" s="650"/>
      <c r="R9" s="650"/>
      <c r="S9" s="650"/>
      <c r="T9" s="650"/>
      <c r="U9" s="650"/>
      <c r="V9" s="650"/>
      <c r="W9" s="650"/>
      <c r="X9" s="650"/>
      <c r="Y9" s="650"/>
      <c r="Z9" s="650"/>
    </row>
    <row r="10" spans="1:26" s="205" customFormat="1">
      <c r="A10"/>
      <c r="B10"/>
      <c r="C10"/>
      <c r="D10"/>
      <c r="E10"/>
      <c r="F10"/>
      <c r="G10"/>
      <c r="H10"/>
      <c r="I10"/>
      <c r="J10"/>
      <c r="K10"/>
      <c r="L10" s="650"/>
      <c r="M10" s="650"/>
      <c r="N10" s="650"/>
      <c r="O10" s="650"/>
      <c r="P10" s="650"/>
      <c r="Q10" s="650"/>
      <c r="R10" s="650"/>
      <c r="S10" s="650"/>
      <c r="T10" s="650"/>
      <c r="U10" s="650"/>
      <c r="V10" s="650"/>
      <c r="W10" s="650"/>
      <c r="X10" s="650"/>
      <c r="Y10" s="650"/>
      <c r="Z10" s="650"/>
    </row>
    <row r="11" spans="1:26" s="204" customFormat="1" ht="13.5" thickBot="1">
      <c r="A11"/>
      <c r="B11"/>
      <c r="C11"/>
      <c r="D11"/>
      <c r="E11"/>
      <c r="F11"/>
      <c r="G11"/>
      <c r="H11"/>
      <c r="I11"/>
      <c r="J11"/>
      <c r="K11"/>
      <c r="L11" s="650"/>
      <c r="M11" s="650"/>
      <c r="N11" s="650"/>
      <c r="O11" s="650"/>
      <c r="P11" s="650"/>
      <c r="Q11" s="650"/>
      <c r="R11" s="650"/>
      <c r="S11" s="650"/>
      <c r="T11" s="650"/>
      <c r="U11" s="650"/>
      <c r="V11" s="650"/>
      <c r="W11" s="650"/>
      <c r="X11" s="650"/>
      <c r="Y11" s="650"/>
      <c r="Z11" s="650"/>
    </row>
    <row r="12" spans="1:26">
      <c r="A12"/>
      <c r="B12"/>
      <c r="C12"/>
      <c r="D12"/>
      <c r="E12"/>
      <c r="F12"/>
      <c r="G12"/>
      <c r="H12"/>
      <c r="I12"/>
      <c r="J12"/>
      <c r="K12"/>
      <c r="L12" s="650"/>
      <c r="M12" s="650"/>
      <c r="N12" s="650"/>
      <c r="O12" s="650"/>
      <c r="P12" s="650"/>
      <c r="Q12" s="650"/>
      <c r="R12" s="650"/>
      <c r="S12" s="650"/>
      <c r="T12" s="650"/>
      <c r="U12" s="650"/>
      <c r="V12" s="650"/>
      <c r="W12" s="650"/>
      <c r="X12" s="650"/>
      <c r="Y12" s="650"/>
      <c r="Z12" s="650"/>
    </row>
    <row r="13" spans="1:26" s="205" customFormat="1">
      <c r="A13"/>
      <c r="B13"/>
      <c r="C13"/>
      <c r="D13"/>
      <c r="E13"/>
      <c r="F13"/>
      <c r="G13"/>
      <c r="H13"/>
      <c r="I13"/>
      <c r="J13"/>
      <c r="K13"/>
      <c r="L13" s="650"/>
      <c r="M13" s="650"/>
      <c r="N13" s="650"/>
      <c r="O13" s="650"/>
      <c r="P13" s="650"/>
      <c r="Q13" s="650"/>
      <c r="R13" s="650"/>
      <c r="S13" s="650"/>
      <c r="T13" s="650"/>
      <c r="U13" s="650"/>
      <c r="V13" s="650"/>
      <c r="W13" s="650"/>
      <c r="X13" s="650"/>
      <c r="Y13" s="650"/>
      <c r="Z13" s="650"/>
    </row>
    <row r="14" spans="1:26" s="204" customFormat="1" ht="13.5" thickBot="1">
      <c r="A14"/>
      <c r="B14"/>
      <c r="C14"/>
      <c r="D14"/>
      <c r="E14"/>
      <c r="F14"/>
      <c r="G14"/>
      <c r="H14"/>
      <c r="I14"/>
      <c r="J14"/>
      <c r="K14"/>
      <c r="L14" s="650"/>
      <c r="M14" s="650"/>
      <c r="N14" s="650"/>
      <c r="O14" s="650"/>
      <c r="P14" s="650"/>
      <c r="Q14" s="650"/>
      <c r="R14" s="650"/>
      <c r="S14" s="650"/>
      <c r="T14" s="650"/>
      <c r="U14" s="650"/>
      <c r="V14" s="650"/>
      <c r="W14" s="650"/>
      <c r="X14" s="650"/>
      <c r="Y14" s="650"/>
      <c r="Z14" s="650"/>
    </row>
    <row r="15" spans="1:26">
      <c r="A15"/>
      <c r="B15"/>
      <c r="C15"/>
      <c r="D15"/>
      <c r="E15"/>
      <c r="F15"/>
      <c r="G15"/>
      <c r="H15"/>
      <c r="I15"/>
      <c r="J15"/>
      <c r="K15"/>
      <c r="L15" s="650"/>
      <c r="M15" s="650"/>
      <c r="N15" s="650"/>
      <c r="O15" s="650"/>
      <c r="P15" s="650"/>
      <c r="Q15" s="650"/>
      <c r="R15" s="650"/>
      <c r="S15" s="650"/>
      <c r="T15" s="650"/>
      <c r="U15" s="650"/>
      <c r="V15" s="650"/>
      <c r="W15" s="650"/>
      <c r="X15" s="650"/>
      <c r="Y15" s="650"/>
      <c r="Z15" s="650"/>
    </row>
    <row r="16" spans="1:26" s="647" customFormat="1">
      <c r="A16"/>
      <c r="B16"/>
      <c r="C16"/>
      <c r="D16"/>
      <c r="E16"/>
      <c r="F16"/>
      <c r="G16"/>
      <c r="H16"/>
      <c r="I16"/>
      <c r="J16"/>
      <c r="K16"/>
      <c r="L16" s="650"/>
      <c r="M16" s="650"/>
      <c r="N16" s="650"/>
      <c r="O16" s="650"/>
      <c r="P16" s="650"/>
      <c r="Q16" s="650"/>
      <c r="R16" s="650"/>
      <c r="S16" s="650"/>
      <c r="T16" s="650"/>
      <c r="U16" s="650"/>
      <c r="V16" s="650"/>
      <c r="W16" s="650"/>
      <c r="X16" s="650"/>
      <c r="Y16" s="650"/>
      <c r="Z16" s="650"/>
    </row>
    <row r="17" spans="1:26" s="204" customFormat="1" ht="13.5" thickBot="1">
      <c r="A17"/>
      <c r="B17"/>
      <c r="C17"/>
      <c r="D17"/>
      <c r="E17"/>
      <c r="F17"/>
      <c r="G17"/>
      <c r="H17"/>
      <c r="I17"/>
      <c r="J17"/>
      <c r="K17"/>
      <c r="L17" s="650"/>
      <c r="M17" s="650"/>
      <c r="N17" s="650"/>
      <c r="O17" s="650"/>
      <c r="P17" s="650"/>
      <c r="Q17" s="650"/>
      <c r="R17" s="650"/>
      <c r="S17" s="650"/>
      <c r="T17" s="650"/>
      <c r="U17" s="650"/>
      <c r="V17" s="650"/>
      <c r="W17" s="650"/>
      <c r="X17" s="650"/>
      <c r="Y17" s="650"/>
      <c r="Z17" s="650"/>
    </row>
    <row r="18" spans="1:26">
      <c r="A18"/>
      <c r="B18"/>
      <c r="C18"/>
      <c r="D18"/>
      <c r="E18"/>
      <c r="F18"/>
      <c r="G18"/>
      <c r="H18"/>
      <c r="I18"/>
      <c r="J18"/>
      <c r="K18"/>
      <c r="L18" s="650"/>
      <c r="M18" s="650"/>
      <c r="N18" s="650"/>
      <c r="O18" s="650"/>
      <c r="P18" s="650"/>
      <c r="Q18" s="650"/>
      <c r="R18" s="650"/>
      <c r="S18" s="650"/>
      <c r="T18" s="650"/>
      <c r="U18" s="650"/>
      <c r="V18" s="650"/>
      <c r="W18" s="650"/>
      <c r="X18" s="650"/>
      <c r="Y18" s="650"/>
      <c r="Z18" s="650"/>
    </row>
    <row r="19" spans="1:26" s="647" customFormat="1">
      <c r="A19"/>
      <c r="B19"/>
      <c r="C19"/>
      <c r="D19"/>
      <c r="E19"/>
      <c r="F19"/>
      <c r="G19"/>
      <c r="H19"/>
      <c r="I19"/>
      <c r="J19"/>
      <c r="K19"/>
      <c r="L19" s="650"/>
      <c r="M19" s="650"/>
      <c r="N19" s="650"/>
      <c r="O19" s="650"/>
      <c r="P19" s="650"/>
      <c r="Q19" s="650"/>
      <c r="R19" s="650"/>
      <c r="S19" s="650"/>
      <c r="T19" s="650"/>
      <c r="U19" s="650"/>
      <c r="V19" s="650"/>
      <c r="W19" s="650"/>
      <c r="X19" s="650"/>
      <c r="Y19" s="650"/>
      <c r="Z19" s="650"/>
    </row>
    <row r="20" spans="1:26" s="204" customFormat="1" ht="13.5" thickBot="1">
      <c r="A20"/>
      <c r="B20"/>
      <c r="C20"/>
      <c r="D20"/>
      <c r="E20"/>
      <c r="F20"/>
      <c r="G20"/>
      <c r="H20"/>
      <c r="I20"/>
      <c r="J20"/>
      <c r="K20"/>
      <c r="L20" s="650"/>
      <c r="M20" s="650"/>
      <c r="N20" s="650"/>
      <c r="O20" s="650"/>
      <c r="P20" s="650"/>
      <c r="Q20" s="650"/>
      <c r="R20" s="650"/>
      <c r="S20" s="650"/>
      <c r="T20" s="650"/>
      <c r="U20" s="650"/>
      <c r="V20" s="650"/>
      <c r="W20" s="650"/>
      <c r="X20" s="650"/>
      <c r="Y20" s="650"/>
      <c r="Z20" s="650"/>
    </row>
    <row r="21" spans="1:26" s="217" customFormat="1">
      <c r="A21"/>
      <c r="B21"/>
      <c r="C21"/>
      <c r="D21"/>
      <c r="E21"/>
      <c r="F21"/>
      <c r="G21"/>
      <c r="H21"/>
      <c r="I21"/>
      <c r="J21"/>
      <c r="K21"/>
      <c r="L21" s="652"/>
      <c r="M21" s="652"/>
      <c r="N21" s="652"/>
      <c r="O21" s="652"/>
      <c r="P21" s="652"/>
      <c r="Q21" s="652"/>
      <c r="R21" s="652"/>
      <c r="S21" s="652"/>
      <c r="T21" s="652"/>
      <c r="U21" s="652"/>
      <c r="V21" s="652"/>
      <c r="W21" s="652"/>
      <c r="X21" s="652"/>
      <c r="Y21" s="652"/>
      <c r="Z21" s="652"/>
    </row>
    <row r="22" spans="1:26" s="205" customFormat="1">
      <c r="A22"/>
      <c r="B22"/>
      <c r="C22"/>
      <c r="D22"/>
      <c r="E22"/>
      <c r="F22"/>
      <c r="G22"/>
      <c r="H22"/>
      <c r="I22"/>
      <c r="J22"/>
      <c r="K22"/>
      <c r="L22" s="650"/>
      <c r="M22" s="650"/>
      <c r="N22" s="650"/>
      <c r="O22" s="650"/>
      <c r="P22" s="650"/>
      <c r="Q22" s="650"/>
      <c r="R22" s="650"/>
      <c r="S22" s="650"/>
      <c r="T22" s="650"/>
      <c r="U22" s="650"/>
      <c r="V22" s="650"/>
      <c r="W22" s="650"/>
      <c r="X22" s="650"/>
      <c r="Y22" s="650"/>
      <c r="Z22" s="650"/>
    </row>
    <row r="23" spans="1:26" s="204" customFormat="1" ht="13.5" thickBot="1">
      <c r="A23"/>
      <c r="B23"/>
      <c r="C23"/>
      <c r="D23"/>
      <c r="E23"/>
      <c r="F23"/>
      <c r="G23"/>
      <c r="H23"/>
      <c r="I23"/>
      <c r="J23"/>
      <c r="K23"/>
      <c r="L23" s="650"/>
      <c r="M23" s="650"/>
      <c r="N23" s="650"/>
      <c r="O23" s="650"/>
      <c r="P23" s="650"/>
      <c r="Q23" s="650"/>
      <c r="R23" s="650"/>
      <c r="S23" s="650"/>
      <c r="T23" s="650"/>
      <c r="U23" s="650"/>
      <c r="V23" s="650"/>
      <c r="W23" s="650"/>
      <c r="X23" s="650"/>
      <c r="Y23" s="650"/>
      <c r="Z23" s="650"/>
    </row>
    <row r="24" spans="1:26">
      <c r="A24"/>
      <c r="B24"/>
      <c r="C24"/>
      <c r="D24"/>
      <c r="E24"/>
      <c r="F24"/>
      <c r="G24"/>
      <c r="H24"/>
      <c r="I24"/>
      <c r="J24"/>
      <c r="K24"/>
      <c r="L24" s="650"/>
      <c r="M24" s="650"/>
      <c r="N24" s="650"/>
      <c r="O24" s="650"/>
      <c r="P24" s="650"/>
      <c r="Q24" s="650"/>
      <c r="R24" s="650"/>
      <c r="S24" s="650"/>
      <c r="T24" s="650"/>
      <c r="U24" s="650"/>
      <c r="V24" s="650"/>
      <c r="W24" s="650"/>
      <c r="X24" s="650"/>
      <c r="Y24" s="650"/>
      <c r="Z24" s="650"/>
    </row>
    <row r="25" spans="1:26" s="205" customFormat="1">
      <c r="A25"/>
      <c r="B25"/>
      <c r="C25"/>
      <c r="D25"/>
      <c r="E25"/>
      <c r="F25"/>
      <c r="G25"/>
      <c r="H25"/>
      <c r="I25"/>
      <c r="J25"/>
      <c r="K25"/>
      <c r="L25" s="650"/>
      <c r="M25" s="650"/>
      <c r="N25" s="650"/>
      <c r="O25" s="650"/>
      <c r="P25" s="650"/>
      <c r="Q25" s="650"/>
      <c r="R25" s="650"/>
      <c r="S25" s="650"/>
      <c r="T25" s="650"/>
      <c r="U25" s="650"/>
      <c r="V25" s="650"/>
      <c r="W25" s="650"/>
      <c r="X25" s="650"/>
      <c r="Y25" s="650"/>
      <c r="Z25" s="650"/>
    </row>
    <row r="26" spans="1:26" s="204" customFormat="1" ht="13.5" thickBot="1">
      <c r="A26"/>
      <c r="B26"/>
      <c r="C26"/>
      <c r="D26"/>
      <c r="E26"/>
      <c r="F26"/>
      <c r="G26"/>
      <c r="H26"/>
      <c r="I26"/>
      <c r="J26"/>
      <c r="K26"/>
      <c r="L26" s="650"/>
      <c r="M26" s="650"/>
      <c r="N26" s="650"/>
      <c r="O26" s="650"/>
      <c r="P26" s="650"/>
      <c r="Q26" s="650"/>
      <c r="R26" s="650"/>
      <c r="S26" s="650"/>
      <c r="T26" s="650"/>
      <c r="U26" s="650"/>
      <c r="V26" s="650"/>
      <c r="W26" s="650"/>
      <c r="X26" s="650"/>
      <c r="Y26" s="650"/>
      <c r="Z26" s="650"/>
    </row>
    <row r="27" spans="1:26">
      <c r="A27"/>
      <c r="B27"/>
      <c r="C27"/>
      <c r="D27"/>
      <c r="E27"/>
      <c r="F27"/>
      <c r="G27"/>
      <c r="H27"/>
      <c r="I27"/>
      <c r="J27"/>
      <c r="K27"/>
      <c r="L27" s="650"/>
      <c r="M27" s="650"/>
      <c r="N27" s="650"/>
      <c r="O27" s="650"/>
      <c r="P27" s="650"/>
      <c r="Q27" s="650"/>
      <c r="R27" s="650"/>
      <c r="S27" s="650"/>
      <c r="T27" s="650"/>
      <c r="U27" s="650"/>
      <c r="V27" s="650"/>
      <c r="W27" s="650"/>
      <c r="X27" s="650"/>
      <c r="Y27" s="650"/>
      <c r="Z27" s="650"/>
    </row>
    <row r="28" spans="1:26" s="205" customFormat="1">
      <c r="A28"/>
      <c r="B28"/>
      <c r="C28"/>
      <c r="D28"/>
      <c r="E28"/>
      <c r="F28"/>
      <c r="G28"/>
      <c r="H28"/>
      <c r="I28"/>
      <c r="J28"/>
      <c r="K28"/>
      <c r="L28" s="650"/>
      <c r="M28" s="650"/>
      <c r="N28" s="650"/>
      <c r="O28" s="650"/>
      <c r="P28" s="650"/>
      <c r="Q28" s="650"/>
      <c r="R28" s="650"/>
      <c r="S28" s="650"/>
      <c r="T28" s="650"/>
      <c r="U28" s="650"/>
      <c r="V28" s="650"/>
      <c r="W28" s="650"/>
      <c r="X28" s="650"/>
      <c r="Y28" s="650"/>
      <c r="Z28" s="650"/>
    </row>
    <row r="29" spans="1:26" s="204" customFormat="1">
      <c r="A29"/>
      <c r="B29"/>
      <c r="C29"/>
      <c r="D29"/>
      <c r="E29"/>
      <c r="F29"/>
      <c r="G29"/>
      <c r="H29"/>
      <c r="I29"/>
      <c r="J29"/>
      <c r="K29"/>
      <c r="L29" s="650"/>
      <c r="M29" s="650"/>
      <c r="N29" s="650"/>
      <c r="O29" s="650"/>
      <c r="P29" s="650"/>
      <c r="Q29" s="650"/>
      <c r="R29" s="650"/>
      <c r="S29" s="650"/>
      <c r="T29" s="650"/>
      <c r="U29" s="650"/>
      <c r="V29" s="650"/>
      <c r="W29" s="650"/>
      <c r="X29" s="650"/>
      <c r="Y29" s="650"/>
      <c r="Z29" s="650"/>
    </row>
    <row r="30" spans="1:26">
      <c r="A30"/>
      <c r="B30"/>
      <c r="C30"/>
      <c r="D30"/>
      <c r="E30"/>
      <c r="F30"/>
      <c r="G30"/>
      <c r="H30"/>
      <c r="I30"/>
      <c r="J30"/>
      <c r="K30"/>
      <c r="L30" s="650"/>
      <c r="M30" s="650"/>
      <c r="N30" s="650"/>
      <c r="O30" s="650"/>
      <c r="P30" s="650"/>
      <c r="Q30" s="650"/>
      <c r="R30" s="650"/>
      <c r="S30" s="650"/>
      <c r="T30" s="650"/>
      <c r="U30" s="650"/>
      <c r="V30" s="650"/>
      <c r="W30" s="650"/>
      <c r="X30" s="650"/>
      <c r="Y30" s="650"/>
      <c r="Z30" s="650"/>
    </row>
    <row r="31" spans="1:26" s="205" customFormat="1">
      <c r="A31"/>
      <c r="B31"/>
      <c r="C31"/>
      <c r="D31"/>
      <c r="E31"/>
      <c r="F31"/>
      <c r="G31"/>
      <c r="H31"/>
      <c r="I31"/>
      <c r="J31"/>
      <c r="K31"/>
      <c r="L31" s="650"/>
      <c r="M31" s="650"/>
      <c r="N31" s="650"/>
      <c r="O31" s="650"/>
      <c r="P31" s="650"/>
      <c r="Q31" s="650"/>
      <c r="R31" s="650"/>
      <c r="S31" s="650"/>
      <c r="T31" s="650"/>
      <c r="U31" s="650"/>
      <c r="V31" s="650"/>
      <c r="W31" s="650"/>
      <c r="X31" s="650"/>
      <c r="Y31" s="650"/>
      <c r="Z31" s="650"/>
    </row>
    <row r="32" spans="1:26" s="204" customFormat="1" ht="13.5" thickBot="1">
      <c r="A32"/>
      <c r="B32"/>
      <c r="C32"/>
      <c r="D32"/>
      <c r="E32"/>
      <c r="F32"/>
      <c r="G32"/>
      <c r="H32"/>
      <c r="I32"/>
      <c r="J32"/>
      <c r="K32"/>
      <c r="L32" s="650"/>
      <c r="M32" s="650"/>
      <c r="N32" s="650"/>
      <c r="O32" s="650"/>
      <c r="P32" s="650"/>
      <c r="Q32" s="650"/>
      <c r="R32" s="650"/>
      <c r="S32" s="650"/>
      <c r="T32" s="650"/>
      <c r="U32" s="650"/>
      <c r="V32" s="650"/>
      <c r="W32" s="650"/>
      <c r="X32" s="650"/>
      <c r="Y32" s="650"/>
      <c r="Z32" s="650"/>
    </row>
    <row r="33" spans="1:26">
      <c r="A33"/>
      <c r="B33"/>
      <c r="C33"/>
      <c r="D33"/>
      <c r="E33"/>
      <c r="F33"/>
      <c r="G33"/>
      <c r="H33"/>
      <c r="I33"/>
      <c r="J33"/>
      <c r="K33"/>
      <c r="L33" s="650"/>
      <c r="M33" s="650"/>
      <c r="N33" s="650"/>
      <c r="O33" s="650"/>
      <c r="P33" s="650"/>
      <c r="Q33" s="650"/>
      <c r="R33" s="650"/>
      <c r="S33" s="650"/>
      <c r="T33" s="650"/>
      <c r="U33" s="650"/>
      <c r="V33" s="650"/>
      <c r="W33" s="650"/>
      <c r="X33" s="650"/>
      <c r="Y33" s="650"/>
      <c r="Z33" s="650"/>
    </row>
    <row r="34" spans="1:26" s="205" customFormat="1">
      <c r="A34"/>
      <c r="B34"/>
      <c r="C34"/>
      <c r="D34"/>
      <c r="E34"/>
      <c r="F34"/>
      <c r="G34"/>
      <c r="H34"/>
      <c r="I34"/>
      <c r="J34"/>
      <c r="K34"/>
      <c r="L34" s="650"/>
      <c r="M34" s="650"/>
      <c r="N34" s="650"/>
      <c r="O34" s="650"/>
      <c r="P34" s="650"/>
      <c r="Q34" s="650"/>
      <c r="R34" s="650"/>
      <c r="S34" s="650"/>
      <c r="T34" s="650"/>
      <c r="U34" s="650"/>
      <c r="V34" s="650"/>
      <c r="W34" s="650"/>
      <c r="X34" s="650"/>
      <c r="Y34" s="650"/>
      <c r="Z34" s="650"/>
    </row>
    <row r="35" spans="1:26" s="204" customFormat="1" ht="13.5" thickBot="1">
      <c r="A35"/>
      <c r="B35"/>
      <c r="C35"/>
      <c r="D35"/>
      <c r="E35"/>
      <c r="F35"/>
      <c r="G35"/>
      <c r="H35"/>
      <c r="I35"/>
      <c r="J35"/>
      <c r="K35"/>
      <c r="L35" s="650"/>
      <c r="M35" s="650"/>
      <c r="N35" s="650"/>
      <c r="O35" s="650"/>
      <c r="P35" s="650"/>
      <c r="Q35" s="650"/>
      <c r="R35" s="650"/>
      <c r="S35" s="650"/>
      <c r="T35" s="650"/>
      <c r="U35" s="650"/>
      <c r="V35" s="650"/>
      <c r="W35" s="650"/>
      <c r="X35" s="650"/>
      <c r="Y35" s="650"/>
      <c r="Z35" s="650"/>
    </row>
    <row r="36" spans="1:26">
      <c r="A36"/>
      <c r="B36"/>
      <c r="C36"/>
      <c r="D36"/>
      <c r="E36"/>
      <c r="F36"/>
      <c r="G36"/>
      <c r="H36"/>
      <c r="I36"/>
      <c r="J36"/>
      <c r="K36"/>
      <c r="L36" s="650"/>
      <c r="M36" s="650"/>
      <c r="N36" s="650"/>
      <c r="O36" s="650"/>
      <c r="P36" s="650"/>
      <c r="Q36" s="650"/>
      <c r="R36" s="650"/>
      <c r="S36" s="650"/>
      <c r="T36" s="650"/>
      <c r="U36" s="650"/>
      <c r="V36" s="650"/>
      <c r="W36" s="650"/>
      <c r="X36" s="650"/>
      <c r="Y36" s="650"/>
      <c r="Z36" s="650"/>
    </row>
    <row r="37" spans="1:26" s="205" customFormat="1">
      <c r="A37"/>
      <c r="B37"/>
      <c r="C37"/>
      <c r="D37"/>
      <c r="E37"/>
      <c r="F37"/>
      <c r="G37"/>
      <c r="H37"/>
      <c r="I37"/>
      <c r="J37"/>
      <c r="K37"/>
      <c r="L37" s="650"/>
      <c r="M37" s="650"/>
      <c r="N37" s="650"/>
      <c r="O37" s="650"/>
      <c r="P37" s="650"/>
      <c r="Q37" s="650"/>
      <c r="R37" s="650"/>
      <c r="S37" s="650"/>
      <c r="T37" s="650"/>
      <c r="U37" s="650"/>
      <c r="V37" s="650"/>
      <c r="W37" s="650"/>
      <c r="X37" s="650"/>
      <c r="Y37" s="650"/>
      <c r="Z37" s="650"/>
    </row>
    <row r="38" spans="1:26" s="204" customFormat="1" ht="13.5" thickBot="1">
      <c r="A38"/>
      <c r="B38"/>
      <c r="C38"/>
      <c r="D38"/>
      <c r="E38"/>
      <c r="F38"/>
      <c r="G38"/>
      <c r="H38"/>
      <c r="I38"/>
      <c r="J38"/>
      <c r="K38"/>
      <c r="L38" s="650"/>
      <c r="M38" s="650"/>
      <c r="N38" s="650"/>
      <c r="O38" s="650"/>
      <c r="P38" s="650"/>
      <c r="Q38" s="650"/>
      <c r="R38" s="650"/>
      <c r="S38" s="650"/>
      <c r="T38" s="650"/>
      <c r="U38" s="650"/>
      <c r="V38" s="650"/>
      <c r="W38" s="650"/>
      <c r="X38" s="650"/>
      <c r="Y38" s="650"/>
      <c r="Z38" s="650"/>
    </row>
    <row r="39" spans="1:26">
      <c r="A39"/>
      <c r="B39"/>
      <c r="C39"/>
      <c r="D39"/>
      <c r="E39"/>
      <c r="F39"/>
      <c r="G39"/>
      <c r="H39"/>
      <c r="I39"/>
      <c r="J39"/>
      <c r="K39"/>
      <c r="L39" s="650"/>
      <c r="M39" s="650"/>
      <c r="N39" s="650"/>
      <c r="O39" s="650"/>
      <c r="P39" s="650"/>
      <c r="Q39" s="650"/>
      <c r="R39" s="650"/>
      <c r="S39" s="650"/>
      <c r="T39" s="650"/>
      <c r="U39" s="650"/>
      <c r="V39" s="650"/>
      <c r="W39" s="650"/>
      <c r="X39" s="650"/>
      <c r="Y39" s="650"/>
      <c r="Z39" s="650"/>
    </row>
    <row r="40" spans="1:26" s="205" customFormat="1" ht="13.5" thickBot="1">
      <c r="A40"/>
      <c r="B40"/>
      <c r="C40"/>
      <c r="D40"/>
      <c r="E40"/>
      <c r="F40"/>
      <c r="G40"/>
      <c r="H40"/>
      <c r="I40"/>
      <c r="J40"/>
      <c r="K40"/>
      <c r="L40" s="650"/>
      <c r="M40" s="650"/>
      <c r="N40" s="650"/>
      <c r="O40" s="650"/>
      <c r="P40" s="650"/>
      <c r="Q40" s="650"/>
      <c r="R40" s="650"/>
      <c r="S40" s="650"/>
      <c r="T40" s="650"/>
      <c r="U40" s="650"/>
      <c r="V40" s="650"/>
      <c r="W40" s="650"/>
      <c r="X40" s="650"/>
      <c r="Y40" s="650"/>
      <c r="Z40" s="650"/>
    </row>
    <row r="41" spans="1:26" s="204" customFormat="1">
      <c r="A41" s="650"/>
      <c r="B41" s="650"/>
      <c r="C41" s="650"/>
      <c r="D41" s="650"/>
      <c r="E41" s="650"/>
      <c r="F41" s="650"/>
      <c r="G41" s="650"/>
      <c r="H41" s="650"/>
      <c r="I41" s="650"/>
      <c r="J41" s="650"/>
      <c r="K41" s="650"/>
      <c r="L41" s="650"/>
      <c r="M41" s="650"/>
      <c r="N41" s="650"/>
      <c r="O41" s="650"/>
      <c r="P41" s="650"/>
      <c r="Q41" s="650"/>
      <c r="R41" s="650"/>
      <c r="S41" s="650"/>
      <c r="T41" s="650"/>
      <c r="U41" s="650"/>
      <c r="V41" s="650"/>
      <c r="W41" s="650"/>
      <c r="X41" s="650"/>
      <c r="Y41" s="650"/>
      <c r="Z41" s="650"/>
    </row>
    <row r="42" spans="1:26">
      <c r="A42" s="650"/>
      <c r="B42" s="650"/>
      <c r="C42" s="650"/>
      <c r="D42" s="650"/>
      <c r="E42" s="650"/>
      <c r="F42" s="650"/>
      <c r="G42" s="650"/>
      <c r="H42" s="650"/>
      <c r="I42" s="650"/>
      <c r="J42" s="650"/>
      <c r="K42" s="650"/>
      <c r="L42" s="650"/>
      <c r="M42" s="650"/>
      <c r="N42" s="650"/>
      <c r="O42" s="650"/>
      <c r="P42" s="650"/>
      <c r="Q42" s="650"/>
      <c r="R42" s="650"/>
      <c r="S42" s="650"/>
      <c r="T42" s="650"/>
      <c r="U42" s="650"/>
      <c r="V42" s="650"/>
      <c r="W42" s="650"/>
      <c r="X42" s="650"/>
      <c r="Y42" s="650"/>
      <c r="Z42" s="650"/>
    </row>
    <row r="43" spans="1:26" s="205" customFormat="1" ht="13.5" thickBot="1">
      <c r="A43" s="650"/>
      <c r="B43" s="650"/>
      <c r="C43" s="650"/>
      <c r="D43" s="650"/>
      <c r="E43" s="650"/>
      <c r="F43" s="650"/>
      <c r="G43" s="650"/>
      <c r="H43" s="650"/>
      <c r="I43" s="650"/>
      <c r="J43" s="650"/>
      <c r="K43" s="650"/>
      <c r="L43" s="650"/>
      <c r="M43" s="650"/>
      <c r="N43" s="650"/>
      <c r="O43" s="650"/>
      <c r="P43" s="650"/>
      <c r="Q43" s="650"/>
      <c r="R43" s="650"/>
      <c r="S43" s="650"/>
      <c r="T43" s="650"/>
      <c r="U43" s="650"/>
      <c r="V43" s="650"/>
      <c r="W43" s="650"/>
      <c r="X43" s="650"/>
      <c r="Y43" s="650"/>
      <c r="Z43" s="650"/>
    </row>
    <row r="44" spans="1:26" s="218" customFormat="1">
      <c r="A44" s="650"/>
      <c r="B44" s="650"/>
      <c r="C44" s="650"/>
      <c r="D44" s="650"/>
      <c r="E44" s="650"/>
      <c r="F44" s="650"/>
      <c r="G44" s="650"/>
      <c r="H44" s="650"/>
      <c r="I44" s="650"/>
      <c r="J44" s="650"/>
      <c r="K44" s="650"/>
      <c r="L44" s="650"/>
      <c r="M44" s="650"/>
      <c r="N44" s="650"/>
      <c r="O44" s="650"/>
      <c r="P44" s="650"/>
      <c r="Q44" s="650"/>
      <c r="R44" s="650"/>
      <c r="S44" s="650"/>
      <c r="T44" s="650"/>
      <c r="U44" s="650"/>
      <c r="V44" s="650"/>
      <c r="W44" s="650"/>
      <c r="X44" s="650"/>
      <c r="Y44" s="650"/>
      <c r="Z44" s="650"/>
    </row>
    <row r="45" spans="1:26">
      <c r="A45" s="650"/>
      <c r="B45" s="650"/>
      <c r="C45" s="650"/>
      <c r="D45" s="650"/>
      <c r="E45" s="650"/>
      <c r="F45" s="650"/>
      <c r="G45" s="650"/>
      <c r="H45" s="650"/>
      <c r="I45" s="650"/>
      <c r="J45" s="650"/>
      <c r="K45" s="650"/>
      <c r="L45" s="650"/>
      <c r="M45" s="650"/>
      <c r="N45" s="650"/>
      <c r="O45" s="650"/>
      <c r="P45" s="650"/>
      <c r="Q45" s="650"/>
      <c r="R45" s="650"/>
      <c r="S45" s="650"/>
      <c r="T45" s="650"/>
      <c r="U45" s="650"/>
      <c r="V45" s="650"/>
      <c r="W45" s="650"/>
      <c r="X45" s="650"/>
      <c r="Y45" s="650"/>
      <c r="Z45" s="650"/>
    </row>
    <row r="46" spans="1:26" s="205" customFormat="1" ht="13.5" thickBot="1">
      <c r="A46" s="650"/>
      <c r="B46" s="650"/>
      <c r="C46" s="650"/>
      <c r="D46" s="650"/>
      <c r="E46" s="650"/>
      <c r="F46" s="650"/>
      <c r="G46" s="650"/>
      <c r="H46" s="650"/>
      <c r="I46" s="650"/>
      <c r="J46" s="650"/>
      <c r="K46" s="650"/>
      <c r="L46" s="650"/>
      <c r="M46" s="650"/>
      <c r="N46" s="650"/>
      <c r="O46" s="650"/>
      <c r="P46" s="650"/>
      <c r="Q46" s="650"/>
      <c r="R46" s="650"/>
      <c r="S46" s="650"/>
      <c r="T46" s="650"/>
      <c r="U46" s="650"/>
      <c r="V46" s="650"/>
      <c r="W46" s="650"/>
      <c r="X46" s="650"/>
      <c r="Y46" s="650"/>
      <c r="Z46" s="650"/>
    </row>
    <row r="47" spans="1:26" s="204" customFormat="1">
      <c r="A47" s="650"/>
      <c r="B47" s="650"/>
      <c r="C47" s="650"/>
      <c r="D47" s="650"/>
      <c r="E47" s="650"/>
      <c r="F47" s="650"/>
      <c r="G47" s="650"/>
      <c r="H47" s="650"/>
      <c r="I47" s="650"/>
      <c r="J47" s="650"/>
      <c r="K47" s="650"/>
      <c r="L47" s="650"/>
      <c r="M47" s="650"/>
      <c r="N47" s="650"/>
      <c r="O47" s="650"/>
      <c r="P47" s="650"/>
      <c r="Q47" s="650"/>
      <c r="R47" s="650"/>
      <c r="S47" s="650"/>
      <c r="T47" s="650"/>
      <c r="U47" s="650"/>
      <c r="V47" s="650"/>
      <c r="W47" s="650"/>
      <c r="X47" s="650"/>
      <c r="Y47" s="650"/>
      <c r="Z47" s="650"/>
    </row>
    <row r="48" spans="1:26">
      <c r="A48" s="650"/>
      <c r="B48" s="650"/>
      <c r="C48" s="650"/>
      <c r="D48" s="650"/>
      <c r="E48" s="650"/>
      <c r="F48" s="650"/>
      <c r="G48" s="650"/>
      <c r="H48" s="650"/>
      <c r="I48" s="650"/>
      <c r="J48" s="650"/>
      <c r="K48" s="650"/>
      <c r="L48" s="650"/>
      <c r="M48" s="650"/>
      <c r="N48" s="650"/>
      <c r="O48" s="650"/>
      <c r="P48" s="650"/>
      <c r="Q48" s="650"/>
      <c r="R48" s="650"/>
      <c r="S48" s="650"/>
      <c r="T48" s="650"/>
      <c r="U48" s="650"/>
      <c r="V48" s="650"/>
      <c r="W48" s="650"/>
      <c r="X48" s="650"/>
      <c r="Y48" s="650"/>
      <c r="Z48" s="650"/>
    </row>
    <row r="49" spans="1:27" s="205" customFormat="1" ht="13.5" thickBot="1">
      <c r="A49" s="650"/>
      <c r="B49" s="650"/>
      <c r="C49" s="650"/>
      <c r="D49" s="650"/>
      <c r="E49" s="650"/>
      <c r="F49" s="650"/>
      <c r="G49" s="650"/>
      <c r="H49" s="650"/>
      <c r="I49" s="650"/>
      <c r="J49" s="650"/>
      <c r="K49" s="650"/>
      <c r="L49" s="650"/>
      <c r="M49" s="650"/>
      <c r="N49" s="650"/>
      <c r="O49" s="650"/>
      <c r="P49" s="650"/>
      <c r="Q49" s="650"/>
      <c r="R49" s="650"/>
      <c r="S49" s="650"/>
      <c r="T49" s="650"/>
      <c r="U49" s="650"/>
      <c r="V49" s="650"/>
      <c r="W49" s="650"/>
      <c r="X49" s="650"/>
      <c r="Y49" s="650"/>
      <c r="Z49" s="650"/>
    </row>
    <row r="50" spans="1:27" s="204" customFormat="1">
      <c r="A50" s="650"/>
      <c r="B50" s="650"/>
      <c r="C50" s="650"/>
      <c r="D50" s="650"/>
      <c r="E50" s="650"/>
      <c r="F50" s="650"/>
      <c r="G50" s="650"/>
      <c r="H50" s="650"/>
      <c r="I50" s="650"/>
      <c r="J50" s="650"/>
      <c r="K50" s="650"/>
      <c r="L50" s="650"/>
      <c r="M50" s="650"/>
      <c r="N50" s="650"/>
      <c r="O50" s="650"/>
      <c r="P50" s="650"/>
      <c r="Q50" s="650"/>
      <c r="R50" s="650"/>
      <c r="S50" s="650"/>
      <c r="T50" s="650"/>
      <c r="U50" s="650"/>
      <c r="V50" s="650"/>
      <c r="W50" s="650"/>
      <c r="X50" s="650"/>
      <c r="Y50" s="650"/>
      <c r="Z50" s="650"/>
    </row>
    <row r="51" spans="1:27">
      <c r="A51" s="650"/>
      <c r="B51" s="650"/>
      <c r="C51" s="650"/>
      <c r="D51" s="650"/>
      <c r="E51" s="650"/>
      <c r="F51" s="650"/>
      <c r="G51" s="650"/>
      <c r="H51" s="650"/>
      <c r="I51" s="650"/>
      <c r="J51" s="650"/>
      <c r="K51" s="650"/>
      <c r="L51" s="650"/>
      <c r="M51" s="650"/>
      <c r="N51" s="650"/>
      <c r="O51" s="650"/>
      <c r="P51" s="650"/>
      <c r="Q51" s="650"/>
      <c r="R51" s="650"/>
      <c r="S51" s="650"/>
      <c r="T51" s="650"/>
      <c r="U51" s="650"/>
      <c r="V51" s="650"/>
      <c r="W51" s="650"/>
      <c r="X51" s="650"/>
      <c r="Y51" s="650"/>
      <c r="Z51" s="650"/>
    </row>
    <row r="52" spans="1:27" s="205" customFormat="1" ht="13.5" thickBot="1">
      <c r="A52" s="650"/>
      <c r="B52" s="650"/>
      <c r="C52" s="650"/>
      <c r="D52" s="650"/>
      <c r="E52" s="650"/>
      <c r="F52" s="650"/>
      <c r="G52" s="650"/>
      <c r="H52" s="650"/>
      <c r="I52" s="650"/>
      <c r="J52" s="650"/>
      <c r="K52" s="650"/>
      <c r="L52" s="650"/>
      <c r="M52" s="650"/>
      <c r="N52" s="650"/>
      <c r="O52" s="650"/>
      <c r="P52" s="650"/>
      <c r="Q52" s="650"/>
      <c r="R52" s="650"/>
      <c r="S52" s="650"/>
      <c r="T52" s="650"/>
      <c r="U52" s="650"/>
      <c r="V52" s="650"/>
      <c r="W52" s="650"/>
      <c r="X52" s="650"/>
      <c r="Y52" s="650"/>
      <c r="Z52" s="650"/>
    </row>
    <row r="53" spans="1:27" s="204" customFormat="1">
      <c r="A53" s="650"/>
      <c r="B53" s="650"/>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row>
    <row r="54" spans="1:27" ht="13.5" hidden="1" thickBot="1">
      <c r="A54" s="650"/>
      <c r="B54" s="650"/>
      <c r="C54" s="650"/>
      <c r="D54" s="650"/>
      <c r="E54" s="650"/>
      <c r="F54" s="650"/>
      <c r="G54" s="650"/>
      <c r="H54" s="650"/>
      <c r="I54" s="650"/>
      <c r="J54" s="650"/>
      <c r="K54" s="650"/>
      <c r="L54" s="650"/>
      <c r="M54" s="650"/>
      <c r="N54" s="650"/>
      <c r="O54" s="650"/>
      <c r="P54" s="650"/>
      <c r="Q54" s="650"/>
      <c r="R54" s="650"/>
      <c r="S54" s="650"/>
      <c r="T54" s="650"/>
      <c r="U54" s="650"/>
      <c r="V54" s="650"/>
      <c r="W54" s="650"/>
      <c r="X54" s="650"/>
      <c r="Y54" s="650"/>
      <c r="Z54" s="650"/>
    </row>
    <row r="55" spans="1:27" s="205" customFormat="1" ht="13.5" hidden="1" thickBot="1">
      <c r="A55" s="650"/>
      <c r="B55" s="650"/>
      <c r="C55" s="650"/>
      <c r="D55" s="650"/>
      <c r="E55" s="650"/>
      <c r="F55" s="650"/>
      <c r="G55" s="650"/>
      <c r="H55" s="650"/>
      <c r="I55" s="650"/>
      <c r="J55" s="650"/>
      <c r="K55" s="650"/>
      <c r="L55" s="650"/>
      <c r="M55" s="650"/>
      <c r="N55" s="650"/>
      <c r="O55" s="650"/>
      <c r="P55" s="650"/>
      <c r="Q55" s="650"/>
      <c r="R55" s="650"/>
      <c r="S55" s="650"/>
      <c r="T55" s="650"/>
      <c r="U55" s="650"/>
      <c r="V55" s="650"/>
      <c r="W55" s="650"/>
      <c r="X55" s="650"/>
      <c r="Y55" s="650"/>
      <c r="Z55" s="650"/>
      <c r="AA55" s="644"/>
    </row>
    <row r="56" spans="1:27" s="204" customFormat="1" hidden="1">
      <c r="A56" s="650"/>
      <c r="B56" s="650"/>
      <c r="C56" s="650"/>
      <c r="D56" s="650"/>
      <c r="E56" s="650"/>
      <c r="F56" s="650"/>
      <c r="G56" s="650"/>
      <c r="H56" s="650"/>
      <c r="I56" s="650"/>
      <c r="J56" s="650"/>
      <c r="K56" s="650"/>
      <c r="L56" s="650"/>
      <c r="M56" s="650"/>
      <c r="N56" s="650"/>
      <c r="O56" s="650"/>
      <c r="P56" s="650"/>
      <c r="Q56" s="650"/>
      <c r="R56" s="650"/>
      <c r="S56" s="650"/>
      <c r="T56" s="650"/>
      <c r="U56" s="650"/>
      <c r="V56" s="650"/>
      <c r="W56" s="650"/>
      <c r="X56" s="650"/>
      <c r="Y56" s="650"/>
      <c r="Z56" s="650"/>
      <c r="AA56" s="644"/>
    </row>
    <row r="57" spans="1:27" hidden="1">
      <c r="A57" s="650"/>
      <c r="B57" s="650"/>
      <c r="C57" s="650"/>
      <c r="D57" s="650"/>
      <c r="E57" s="650"/>
      <c r="F57" s="650"/>
      <c r="G57" s="650"/>
      <c r="H57" s="650"/>
      <c r="I57" s="650"/>
      <c r="J57" s="650"/>
      <c r="K57" s="650"/>
      <c r="L57" s="650"/>
      <c r="M57" s="650"/>
      <c r="N57" s="650"/>
      <c r="O57" s="650"/>
      <c r="P57" s="650"/>
      <c r="Q57" s="650"/>
      <c r="R57" s="650"/>
      <c r="S57" s="650"/>
      <c r="T57" s="650"/>
      <c r="U57" s="650"/>
      <c r="V57" s="650"/>
      <c r="W57" s="650"/>
      <c r="X57" s="650"/>
      <c r="Y57" s="650"/>
      <c r="Z57" s="650"/>
    </row>
    <row r="58" spans="1:27" s="205" customFormat="1" ht="13.5" hidden="1" thickBot="1">
      <c r="A58" s="650"/>
      <c r="B58" s="650"/>
      <c r="C58" s="650"/>
      <c r="D58" s="650"/>
      <c r="E58" s="650"/>
      <c r="F58" s="650"/>
      <c r="G58" s="650"/>
      <c r="H58" s="650"/>
      <c r="I58" s="650"/>
      <c r="J58" s="650"/>
      <c r="K58" s="650"/>
      <c r="L58" s="650"/>
      <c r="M58" s="650"/>
      <c r="N58" s="650"/>
      <c r="O58" s="650"/>
      <c r="P58" s="650"/>
      <c r="Q58" s="650"/>
      <c r="R58" s="650"/>
      <c r="S58" s="650"/>
      <c r="T58" s="650"/>
      <c r="U58" s="650"/>
      <c r="V58" s="650"/>
      <c r="W58" s="650"/>
      <c r="X58" s="650"/>
      <c r="Y58" s="650"/>
      <c r="Z58" s="650"/>
    </row>
    <row r="59" spans="1:27" s="204" customFormat="1" ht="13.5" hidden="1" thickBot="1">
      <c r="A59" s="650"/>
      <c r="B59" s="650"/>
      <c r="C59" s="650"/>
      <c r="D59" s="650"/>
      <c r="E59" s="650"/>
      <c r="F59" s="650"/>
      <c r="G59" s="650"/>
      <c r="H59" s="650"/>
      <c r="I59" s="650"/>
      <c r="J59" s="650"/>
      <c r="K59" s="650"/>
      <c r="L59" s="650"/>
      <c r="M59" s="650"/>
      <c r="N59" s="650"/>
      <c r="O59" s="650"/>
      <c r="P59" s="650"/>
      <c r="Q59" s="650"/>
      <c r="R59" s="650"/>
      <c r="S59" s="650"/>
      <c r="T59" s="650"/>
      <c r="U59" s="650"/>
      <c r="V59" s="650"/>
      <c r="W59" s="650"/>
      <c r="X59" s="650"/>
      <c r="Y59" s="650"/>
      <c r="Z59" s="650"/>
    </row>
    <row r="60" spans="1:27" ht="13.5" hidden="1" thickBot="1">
      <c r="A60" s="650"/>
      <c r="B60" s="650"/>
      <c r="C60" s="650"/>
      <c r="D60" s="650"/>
      <c r="E60" s="650"/>
      <c r="F60" s="650"/>
      <c r="G60" s="650"/>
      <c r="H60" s="650"/>
      <c r="I60" s="650"/>
      <c r="J60" s="650"/>
      <c r="K60" s="650"/>
      <c r="L60" s="650"/>
      <c r="M60" s="650"/>
      <c r="N60" s="650"/>
      <c r="O60" s="650"/>
      <c r="P60" s="650"/>
      <c r="Q60" s="650"/>
      <c r="R60" s="650"/>
      <c r="S60" s="650"/>
      <c r="T60" s="650"/>
      <c r="U60" s="650"/>
      <c r="V60" s="650"/>
      <c r="W60" s="650"/>
      <c r="X60" s="650"/>
      <c r="Y60" s="650"/>
      <c r="Z60" s="650"/>
    </row>
    <row r="61" spans="1:27" s="205" customFormat="1" ht="13.5" hidden="1" thickBot="1">
      <c r="A61" s="650"/>
      <c r="B61" s="650"/>
      <c r="C61" s="650"/>
      <c r="D61" s="650"/>
      <c r="E61" s="650"/>
      <c r="F61" s="650"/>
      <c r="G61" s="650"/>
      <c r="H61" s="650"/>
      <c r="I61" s="650"/>
      <c r="J61" s="650"/>
      <c r="K61" s="650"/>
      <c r="L61" s="650"/>
      <c r="M61" s="650"/>
      <c r="N61" s="650"/>
      <c r="O61" s="650"/>
      <c r="P61" s="650"/>
      <c r="Q61" s="650"/>
      <c r="R61" s="650"/>
      <c r="S61" s="650"/>
      <c r="T61" s="650"/>
      <c r="U61" s="650"/>
      <c r="V61" s="650"/>
      <c r="W61" s="650"/>
      <c r="X61" s="650"/>
      <c r="Y61" s="650"/>
      <c r="Z61" s="650"/>
    </row>
    <row r="62" spans="1:27" s="204" customFormat="1" ht="13.5" hidden="1" thickBot="1">
      <c r="A62" s="650"/>
      <c r="B62" s="650"/>
      <c r="C62" s="650"/>
      <c r="D62" s="650"/>
      <c r="E62" s="650"/>
      <c r="F62" s="650"/>
      <c r="G62" s="650"/>
      <c r="H62" s="650"/>
      <c r="I62" s="650"/>
      <c r="J62" s="650"/>
      <c r="K62" s="650"/>
      <c r="L62" s="650"/>
      <c r="M62" s="650"/>
      <c r="N62" s="650"/>
      <c r="O62" s="650"/>
      <c r="P62" s="650"/>
      <c r="Q62" s="650"/>
      <c r="R62" s="650"/>
      <c r="S62" s="650"/>
      <c r="T62" s="650"/>
      <c r="U62" s="650"/>
      <c r="V62" s="650"/>
      <c r="W62" s="650"/>
      <c r="X62" s="650"/>
      <c r="Y62" s="650"/>
      <c r="Z62" s="650"/>
    </row>
    <row r="63" spans="1:27" hidden="1">
      <c r="A63" s="650"/>
      <c r="B63" s="650"/>
      <c r="C63" s="650"/>
      <c r="D63" s="650"/>
      <c r="E63" s="650"/>
      <c r="F63" s="650"/>
      <c r="G63" s="650"/>
      <c r="H63" s="650"/>
      <c r="I63" s="650"/>
      <c r="J63" s="650"/>
      <c r="K63" s="650"/>
      <c r="L63" s="650"/>
      <c r="M63" s="650"/>
      <c r="N63" s="650"/>
      <c r="O63" s="650"/>
      <c r="P63" s="650"/>
      <c r="Q63" s="650"/>
      <c r="R63" s="650"/>
      <c r="S63" s="650"/>
      <c r="T63" s="650"/>
      <c r="U63" s="650"/>
      <c r="V63" s="650"/>
      <c r="W63" s="650"/>
      <c r="X63" s="650"/>
      <c r="Y63" s="650"/>
      <c r="Z63" s="650"/>
    </row>
    <row r="64" spans="1:27" s="205" customFormat="1" hidden="1">
      <c r="A64" s="650"/>
      <c r="B64" s="650"/>
      <c r="C64" s="650"/>
      <c r="D64" s="650"/>
      <c r="E64" s="650"/>
      <c r="F64" s="650"/>
      <c r="G64" s="650"/>
      <c r="H64" s="650"/>
      <c r="I64" s="650"/>
      <c r="J64" s="650"/>
      <c r="K64" s="650"/>
      <c r="L64" s="650"/>
      <c r="M64" s="650"/>
      <c r="N64" s="650"/>
      <c r="O64" s="650"/>
      <c r="P64" s="650"/>
      <c r="Q64" s="650"/>
      <c r="R64" s="650"/>
      <c r="S64" s="650"/>
      <c r="T64" s="650"/>
      <c r="U64" s="650"/>
      <c r="V64" s="650"/>
      <c r="W64" s="650"/>
      <c r="X64" s="650"/>
      <c r="Y64" s="650"/>
      <c r="Z64" s="650"/>
    </row>
    <row r="65" spans="1:26" s="204" customFormat="1">
      <c r="A65" s="650"/>
      <c r="B65" s="650"/>
      <c r="C65" s="650"/>
      <c r="D65" s="650"/>
      <c r="E65" s="650"/>
      <c r="F65" s="650"/>
      <c r="G65" s="650"/>
      <c r="H65" s="650"/>
      <c r="I65" s="650"/>
      <c r="J65" s="650"/>
      <c r="K65" s="650"/>
      <c r="L65" s="650"/>
      <c r="M65" s="650"/>
      <c r="N65" s="650"/>
      <c r="O65" s="650"/>
      <c r="P65" s="650"/>
      <c r="Q65" s="650"/>
      <c r="R65" s="650"/>
      <c r="S65" s="650"/>
      <c r="T65" s="650"/>
      <c r="U65" s="650"/>
      <c r="V65" s="650"/>
      <c r="W65" s="650"/>
      <c r="X65" s="650"/>
      <c r="Y65" s="650"/>
      <c r="Z65" s="650"/>
    </row>
    <row r="66" spans="1:26">
      <c r="A66" s="650"/>
      <c r="B66" s="650"/>
      <c r="C66" s="650"/>
      <c r="D66" s="650"/>
      <c r="E66" s="650"/>
      <c r="F66" s="650"/>
      <c r="G66" s="650"/>
      <c r="H66" s="650"/>
      <c r="I66" s="650"/>
      <c r="J66" s="650"/>
      <c r="K66" s="650"/>
      <c r="L66" s="650"/>
      <c r="M66" s="650"/>
      <c r="N66" s="650"/>
      <c r="O66" s="650"/>
      <c r="P66" s="650"/>
      <c r="Q66" s="650"/>
      <c r="R66" s="650"/>
      <c r="S66" s="650"/>
      <c r="T66" s="650"/>
      <c r="U66" s="650"/>
      <c r="V66" s="650"/>
      <c r="W66" s="650"/>
      <c r="X66" s="650"/>
      <c r="Y66" s="650"/>
      <c r="Z66" s="650"/>
    </row>
    <row r="67" spans="1:26" s="205" customFormat="1">
      <c r="A67" s="650"/>
      <c r="B67" s="650"/>
      <c r="C67" s="650"/>
      <c r="D67" s="650"/>
      <c r="E67" s="650"/>
      <c r="F67" s="650"/>
      <c r="G67" s="650"/>
      <c r="H67" s="650"/>
      <c r="I67" s="650"/>
      <c r="J67" s="650"/>
      <c r="K67" s="650"/>
      <c r="L67" s="650"/>
      <c r="M67" s="650"/>
      <c r="N67" s="650"/>
      <c r="O67" s="650"/>
      <c r="P67" s="650"/>
      <c r="Q67" s="650"/>
      <c r="R67" s="650"/>
      <c r="S67" s="650"/>
      <c r="T67" s="650"/>
      <c r="U67" s="650"/>
      <c r="V67" s="650"/>
      <c r="W67" s="650"/>
      <c r="X67" s="650"/>
      <c r="Y67" s="650"/>
      <c r="Z67" s="650"/>
    </row>
    <row r="68" spans="1:26" s="204" customFormat="1">
      <c r="A68" s="650"/>
      <c r="B68" s="650"/>
      <c r="C68" s="650"/>
      <c r="D68" s="650"/>
      <c r="E68" s="650"/>
      <c r="F68" s="650"/>
      <c r="G68" s="650"/>
      <c r="H68" s="650"/>
      <c r="I68" s="650"/>
      <c r="J68" s="650"/>
      <c r="K68" s="650"/>
      <c r="L68" s="650"/>
      <c r="M68" s="650"/>
      <c r="N68" s="650"/>
      <c r="O68" s="650"/>
      <c r="P68" s="650"/>
      <c r="Q68" s="650"/>
      <c r="R68" s="650"/>
      <c r="S68" s="650"/>
      <c r="T68" s="650"/>
      <c r="U68" s="650"/>
      <c r="V68" s="650"/>
      <c r="W68" s="650"/>
      <c r="X68" s="650"/>
      <c r="Y68" s="650"/>
      <c r="Z68" s="650"/>
    </row>
    <row r="69" spans="1:26">
      <c r="A69" s="650"/>
      <c r="B69" s="650"/>
      <c r="C69" s="650"/>
      <c r="D69" s="650"/>
      <c r="E69" s="650"/>
      <c r="F69" s="650"/>
      <c r="G69" s="650"/>
      <c r="H69" s="650"/>
      <c r="I69" s="650"/>
      <c r="J69" s="650"/>
      <c r="K69" s="650"/>
      <c r="L69" s="650"/>
      <c r="M69" s="650"/>
      <c r="N69" s="650"/>
      <c r="O69" s="650"/>
      <c r="P69" s="650"/>
      <c r="Q69" s="650"/>
      <c r="R69" s="650"/>
      <c r="S69" s="650"/>
      <c r="T69" s="650"/>
      <c r="U69" s="650"/>
      <c r="V69" s="650"/>
      <c r="W69" s="650"/>
      <c r="X69" s="650"/>
      <c r="Y69" s="650"/>
      <c r="Z69" s="650"/>
    </row>
    <row r="70" spans="1:26" s="205" customFormat="1" ht="13.5" thickBot="1">
      <c r="A70" s="650"/>
      <c r="B70" s="650"/>
      <c r="C70" s="650"/>
      <c r="D70" s="650"/>
      <c r="E70" s="650"/>
      <c r="F70" s="650"/>
      <c r="G70" s="650"/>
      <c r="H70" s="650"/>
      <c r="I70" s="650"/>
      <c r="J70" s="650"/>
      <c r="K70" s="650"/>
      <c r="L70" s="650"/>
      <c r="M70" s="650"/>
      <c r="N70" s="650"/>
      <c r="O70" s="650"/>
      <c r="P70" s="650"/>
      <c r="Q70" s="650"/>
      <c r="R70" s="650"/>
      <c r="S70" s="650"/>
      <c r="T70" s="650"/>
      <c r="U70" s="650"/>
      <c r="V70" s="650"/>
      <c r="W70" s="650"/>
      <c r="X70" s="650"/>
      <c r="Y70" s="650"/>
      <c r="Z70" s="650"/>
    </row>
    <row r="71" spans="1:26" s="204" customFormat="1">
      <c r="A71" s="650"/>
      <c r="B71" s="650"/>
      <c r="C71" s="650"/>
      <c r="D71" s="650"/>
      <c r="E71" s="650"/>
      <c r="F71" s="650"/>
      <c r="G71" s="650"/>
      <c r="H71" s="650"/>
      <c r="I71" s="650"/>
      <c r="J71" s="650"/>
      <c r="K71" s="650"/>
      <c r="L71" s="650"/>
      <c r="M71" s="650"/>
      <c r="N71" s="650"/>
      <c r="O71" s="650"/>
      <c r="P71" s="650"/>
      <c r="Q71" s="650"/>
      <c r="R71" s="650"/>
      <c r="S71" s="650"/>
      <c r="T71" s="650"/>
      <c r="U71" s="650"/>
      <c r="V71" s="650"/>
      <c r="W71" s="650"/>
      <c r="X71" s="650"/>
      <c r="Y71" s="650"/>
      <c r="Z71" s="650"/>
    </row>
    <row r="72" spans="1:26">
      <c r="A72" s="650"/>
      <c r="B72" s="650"/>
      <c r="C72" s="650"/>
      <c r="D72" s="650"/>
      <c r="E72" s="650"/>
      <c r="F72" s="650"/>
      <c r="G72" s="650"/>
      <c r="H72" s="650"/>
      <c r="I72" s="650"/>
      <c r="J72" s="650"/>
      <c r="K72" s="650"/>
      <c r="L72" s="650"/>
      <c r="M72" s="650"/>
      <c r="N72" s="650"/>
      <c r="O72" s="650"/>
      <c r="P72" s="650"/>
      <c r="Q72" s="650"/>
      <c r="R72" s="650"/>
      <c r="S72" s="650"/>
      <c r="T72" s="650"/>
      <c r="U72" s="650"/>
      <c r="V72" s="650"/>
      <c r="W72" s="650"/>
      <c r="X72" s="650"/>
      <c r="Y72" s="650"/>
      <c r="Z72" s="650"/>
    </row>
    <row r="73" spans="1:26" s="205" customFormat="1" ht="13.5" thickBot="1">
      <c r="A73" s="650"/>
      <c r="B73" s="650"/>
      <c r="C73" s="650"/>
      <c r="D73" s="650"/>
      <c r="E73" s="650"/>
      <c r="F73" s="650"/>
      <c r="G73" s="650"/>
      <c r="H73" s="650"/>
      <c r="I73" s="650"/>
      <c r="J73" s="650"/>
      <c r="K73" s="650"/>
      <c r="L73" s="650"/>
      <c r="M73" s="650"/>
      <c r="N73" s="650"/>
      <c r="O73" s="650"/>
      <c r="P73" s="650"/>
      <c r="Q73" s="650"/>
      <c r="R73" s="650"/>
      <c r="S73" s="650"/>
      <c r="T73" s="650"/>
      <c r="U73" s="650"/>
      <c r="V73" s="650"/>
      <c r="W73" s="650"/>
      <c r="X73" s="650"/>
      <c r="Y73" s="650"/>
      <c r="Z73" s="650"/>
    </row>
    <row r="74" spans="1:26" s="204" customFormat="1">
      <c r="A74" s="650"/>
      <c r="B74" s="650"/>
      <c r="C74" s="650"/>
      <c r="D74" s="650"/>
      <c r="E74" s="650"/>
      <c r="F74" s="650"/>
      <c r="G74" s="650"/>
      <c r="H74" s="650"/>
      <c r="I74" s="650"/>
      <c r="J74" s="650"/>
      <c r="K74" s="650"/>
      <c r="L74" s="650"/>
      <c r="M74" s="650"/>
      <c r="N74" s="650"/>
      <c r="O74" s="650"/>
      <c r="P74" s="650"/>
      <c r="Q74" s="650"/>
      <c r="R74" s="650"/>
      <c r="S74" s="650"/>
      <c r="T74" s="650"/>
      <c r="U74" s="650"/>
      <c r="V74" s="650"/>
      <c r="W74" s="650"/>
      <c r="X74" s="650"/>
      <c r="Y74" s="650"/>
      <c r="Z74" s="650"/>
    </row>
    <row r="75" spans="1:26" ht="13.5" thickBot="1">
      <c r="A75" s="650"/>
      <c r="B75" s="650"/>
      <c r="C75" s="650"/>
      <c r="D75" s="650"/>
      <c r="E75" s="650"/>
      <c r="F75" s="650"/>
      <c r="G75" s="650"/>
      <c r="H75" s="650"/>
      <c r="I75" s="650"/>
      <c r="J75" s="650"/>
      <c r="K75" s="650"/>
      <c r="L75" s="650"/>
      <c r="M75" s="650"/>
      <c r="N75" s="650"/>
      <c r="O75" s="650"/>
      <c r="P75" s="650"/>
      <c r="Q75" s="650"/>
      <c r="R75" s="650"/>
      <c r="S75" s="650"/>
      <c r="T75" s="650"/>
      <c r="U75" s="650"/>
      <c r="V75" s="650"/>
      <c r="W75" s="650"/>
      <c r="X75" s="650"/>
      <c r="Y75" s="650"/>
      <c r="Z75" s="650"/>
    </row>
    <row r="76" spans="1:26" s="205" customFormat="1">
      <c r="A76" s="650"/>
      <c r="B76" s="650"/>
      <c r="C76" s="650"/>
      <c r="D76" s="650"/>
      <c r="E76" s="650"/>
      <c r="F76" s="650"/>
      <c r="G76" s="650"/>
      <c r="H76" s="650"/>
      <c r="I76" s="650"/>
      <c r="J76" s="650"/>
      <c r="K76" s="650"/>
      <c r="L76" s="650"/>
      <c r="M76" s="650"/>
      <c r="N76" s="650"/>
      <c r="O76" s="650"/>
      <c r="P76" s="650"/>
      <c r="Q76" s="650"/>
      <c r="R76" s="650"/>
      <c r="S76" s="650"/>
      <c r="T76" s="650"/>
      <c r="U76" s="650"/>
      <c r="V76" s="650"/>
      <c r="W76" s="650"/>
      <c r="X76" s="650"/>
      <c r="Y76" s="650"/>
      <c r="Z76" s="650"/>
    </row>
    <row r="77" spans="1:26" s="204" customFormat="1" ht="13.5" thickBot="1">
      <c r="A77" s="650"/>
      <c r="B77" s="650"/>
      <c r="C77" s="650"/>
      <c r="D77" s="650"/>
      <c r="E77" s="650"/>
      <c r="F77" s="650"/>
      <c r="G77" s="650"/>
      <c r="H77" s="650"/>
      <c r="I77" s="650"/>
      <c r="J77" s="650"/>
      <c r="K77" s="650"/>
      <c r="L77" s="650"/>
      <c r="M77" s="650"/>
      <c r="N77" s="650"/>
      <c r="O77" s="650"/>
      <c r="P77" s="650"/>
      <c r="Q77" s="650"/>
      <c r="R77" s="650"/>
      <c r="S77" s="650"/>
      <c r="T77" s="650"/>
      <c r="U77" s="650"/>
      <c r="V77" s="650"/>
      <c r="W77" s="650"/>
      <c r="X77" s="650"/>
      <c r="Y77" s="650"/>
      <c r="Z77" s="650"/>
    </row>
    <row r="78" spans="1:26" ht="13.5" thickBot="1">
      <c r="A78" s="650"/>
      <c r="B78" s="650"/>
      <c r="C78" s="650"/>
      <c r="D78" s="650"/>
      <c r="E78" s="650"/>
      <c r="F78" s="650"/>
      <c r="G78" s="650"/>
      <c r="H78" s="650"/>
      <c r="I78" s="650"/>
      <c r="J78" s="650"/>
      <c r="K78" s="650"/>
      <c r="L78" s="650"/>
      <c r="M78" s="650"/>
      <c r="N78" s="650"/>
      <c r="O78" s="650"/>
      <c r="P78" s="650"/>
      <c r="Q78" s="650"/>
      <c r="R78" s="650"/>
      <c r="S78" s="650"/>
      <c r="T78" s="650"/>
      <c r="U78" s="650"/>
      <c r="V78" s="650"/>
      <c r="W78" s="650"/>
      <c r="X78" s="650"/>
      <c r="Y78" s="650"/>
      <c r="Z78" s="650"/>
    </row>
    <row r="79" spans="1:26" s="205" customFormat="1">
      <c r="A79" s="650"/>
      <c r="B79" s="650"/>
      <c r="C79" s="650"/>
      <c r="D79" s="650"/>
      <c r="E79" s="650"/>
      <c r="F79" s="650"/>
      <c r="G79" s="650"/>
      <c r="H79" s="650"/>
      <c r="I79" s="650"/>
      <c r="J79" s="650"/>
      <c r="K79" s="650"/>
      <c r="L79" s="650"/>
      <c r="M79" s="650"/>
      <c r="N79" s="650"/>
      <c r="O79" s="650"/>
      <c r="P79" s="650"/>
      <c r="Q79" s="650"/>
      <c r="R79" s="650"/>
      <c r="S79" s="650"/>
      <c r="T79" s="650"/>
      <c r="U79" s="650"/>
      <c r="V79" s="650"/>
      <c r="W79" s="650"/>
      <c r="X79" s="650"/>
      <c r="Y79" s="650"/>
      <c r="Z79" s="650"/>
    </row>
    <row r="80" spans="1:26" s="204" customFormat="1">
      <c r="A80" s="650"/>
      <c r="B80" s="650"/>
      <c r="C80" s="650"/>
      <c r="D80" s="650"/>
      <c r="E80" s="650"/>
      <c r="F80" s="650"/>
      <c r="G80" s="650"/>
      <c r="H80" s="650"/>
      <c r="I80" s="650"/>
      <c r="J80" s="650"/>
      <c r="K80" s="650"/>
      <c r="L80" s="650"/>
      <c r="M80" s="650"/>
      <c r="N80" s="650"/>
      <c r="O80" s="650"/>
      <c r="P80" s="650"/>
      <c r="Q80" s="650"/>
      <c r="R80" s="650"/>
      <c r="S80" s="650"/>
      <c r="T80" s="650"/>
      <c r="U80" s="650"/>
      <c r="V80" s="650"/>
      <c r="W80" s="650"/>
      <c r="X80" s="650"/>
      <c r="Y80" s="650"/>
      <c r="Z80" s="650"/>
    </row>
    <row r="81" spans="1:26" ht="13.5" thickBot="1">
      <c r="A81" s="650"/>
      <c r="B81" s="650"/>
      <c r="C81" s="650"/>
      <c r="D81" s="650"/>
      <c r="E81" s="650"/>
      <c r="F81" s="650"/>
      <c r="G81" s="650"/>
      <c r="H81" s="650"/>
      <c r="I81" s="650"/>
      <c r="J81" s="650"/>
      <c r="K81" s="650"/>
      <c r="L81" s="650"/>
      <c r="M81" s="650"/>
      <c r="N81" s="650"/>
      <c r="O81" s="650"/>
      <c r="P81" s="650"/>
      <c r="Q81" s="650"/>
      <c r="R81" s="650"/>
      <c r="S81" s="650"/>
      <c r="T81" s="650"/>
      <c r="U81" s="650"/>
      <c r="V81" s="650"/>
      <c r="W81" s="650"/>
      <c r="X81" s="650"/>
      <c r="Y81" s="650"/>
      <c r="Z81" s="650"/>
    </row>
    <row r="82" spans="1:26" s="205" customFormat="1">
      <c r="A82" s="650"/>
      <c r="B82" s="650"/>
      <c r="C82" s="650"/>
      <c r="D82" s="650"/>
      <c r="E82" s="650"/>
      <c r="F82" s="650"/>
      <c r="G82" s="650"/>
      <c r="H82" s="650"/>
      <c r="I82" s="650"/>
      <c r="J82" s="650"/>
      <c r="K82" s="650"/>
      <c r="L82" s="650"/>
      <c r="M82" s="650"/>
      <c r="N82" s="650"/>
      <c r="O82" s="650"/>
      <c r="P82" s="650"/>
      <c r="Q82" s="650"/>
      <c r="R82" s="650"/>
      <c r="S82" s="650"/>
      <c r="T82" s="650"/>
      <c r="U82" s="650"/>
      <c r="V82" s="650"/>
      <c r="W82" s="650"/>
      <c r="X82" s="650"/>
      <c r="Y82" s="650"/>
      <c r="Z82" s="650"/>
    </row>
    <row r="83" spans="1:26" s="214" customFormat="1" ht="13.5" thickBot="1">
      <c r="A83" s="650"/>
      <c r="B83" s="650"/>
      <c r="C83" s="650"/>
      <c r="D83" s="650"/>
      <c r="E83" s="650"/>
      <c r="F83" s="650"/>
      <c r="G83" s="650"/>
      <c r="H83" s="650"/>
      <c r="I83" s="650"/>
      <c r="J83" s="650"/>
      <c r="K83" s="650"/>
      <c r="L83" s="650"/>
      <c r="M83" s="650"/>
      <c r="N83" s="650"/>
      <c r="O83" s="650"/>
      <c r="P83" s="650"/>
      <c r="Q83" s="650"/>
      <c r="R83" s="650"/>
      <c r="S83" s="650"/>
      <c r="T83" s="650"/>
      <c r="U83" s="650"/>
      <c r="V83" s="650"/>
      <c r="W83" s="650"/>
      <c r="X83" s="650"/>
      <c r="Y83" s="650"/>
      <c r="Z83" s="650"/>
    </row>
    <row r="84" spans="1:26" ht="13.5" thickBot="1">
      <c r="A84" s="650"/>
      <c r="B84" s="650"/>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row>
    <row r="85" spans="1:26" s="205" customFormat="1">
      <c r="A85" s="650"/>
      <c r="B85" s="650"/>
      <c r="C85" s="650"/>
      <c r="D85" s="650"/>
      <c r="E85" s="650"/>
      <c r="F85" s="650"/>
      <c r="G85" s="650"/>
      <c r="H85" s="650"/>
      <c r="I85" s="650"/>
      <c r="J85" s="650"/>
      <c r="K85" s="650"/>
      <c r="L85" s="650"/>
      <c r="M85" s="650"/>
      <c r="N85" s="650"/>
      <c r="O85" s="650"/>
      <c r="P85" s="650"/>
      <c r="Q85" s="650"/>
      <c r="R85" s="650"/>
      <c r="S85" s="650"/>
      <c r="T85" s="650"/>
      <c r="U85" s="650"/>
      <c r="V85" s="650"/>
      <c r="W85" s="650"/>
      <c r="X85" s="650"/>
      <c r="Y85" s="650"/>
      <c r="Z85" s="650"/>
    </row>
    <row r="86" spans="1:26" s="204" customFormat="1">
      <c r="A86" s="650"/>
      <c r="B86" s="650"/>
      <c r="C86" s="650"/>
      <c r="D86" s="650"/>
      <c r="E86" s="650"/>
      <c r="F86" s="650"/>
      <c r="G86" s="650"/>
      <c r="H86" s="650"/>
      <c r="I86" s="650"/>
      <c r="J86" s="650"/>
      <c r="K86" s="650"/>
      <c r="L86" s="650"/>
      <c r="M86" s="650"/>
      <c r="N86" s="650"/>
      <c r="O86" s="650"/>
      <c r="P86" s="650"/>
      <c r="Q86" s="650"/>
      <c r="R86" s="650"/>
      <c r="S86" s="650"/>
      <c r="T86" s="650"/>
      <c r="U86" s="650"/>
      <c r="V86" s="650"/>
      <c r="W86" s="650"/>
      <c r="X86" s="650"/>
      <c r="Y86" s="650"/>
      <c r="Z86" s="650"/>
    </row>
    <row r="87" spans="1:26" ht="13.5" thickBot="1">
      <c r="A87" s="650"/>
      <c r="B87" s="650"/>
      <c r="C87" s="650"/>
      <c r="D87" s="650"/>
      <c r="E87" s="650"/>
      <c r="F87" s="650"/>
      <c r="G87" s="650"/>
      <c r="H87" s="650"/>
      <c r="I87" s="650"/>
      <c r="J87" s="650"/>
      <c r="K87" s="650"/>
      <c r="L87" s="650"/>
      <c r="M87" s="650"/>
      <c r="N87" s="650"/>
      <c r="O87" s="650"/>
      <c r="P87" s="650"/>
      <c r="Q87" s="650"/>
      <c r="R87" s="650"/>
      <c r="S87" s="650"/>
      <c r="T87" s="650"/>
      <c r="U87" s="650"/>
      <c r="V87" s="650"/>
      <c r="W87" s="650"/>
      <c r="X87" s="650"/>
      <c r="Y87" s="650"/>
      <c r="Z87" s="650"/>
    </row>
    <row r="88" spans="1:26" s="205" customFormat="1">
      <c r="A88" s="650"/>
      <c r="B88" s="650"/>
      <c r="C88" s="650"/>
      <c r="D88" s="650"/>
      <c r="E88" s="650"/>
      <c r="F88" s="650"/>
      <c r="G88" s="650"/>
      <c r="H88" s="650"/>
      <c r="I88" s="650"/>
      <c r="J88" s="650"/>
      <c r="K88" s="650"/>
      <c r="L88" s="650"/>
      <c r="M88" s="650"/>
      <c r="N88" s="650"/>
      <c r="O88" s="650"/>
      <c r="P88" s="650"/>
      <c r="Q88" s="650"/>
      <c r="R88" s="650"/>
      <c r="S88" s="650"/>
      <c r="T88" s="650"/>
      <c r="U88" s="650"/>
      <c r="V88" s="650"/>
      <c r="W88" s="650"/>
      <c r="X88" s="650"/>
      <c r="Y88" s="650"/>
      <c r="Z88" s="650"/>
    </row>
    <row r="89" spans="1:26" s="204" customFormat="1">
      <c r="A89" s="650"/>
      <c r="B89" s="650"/>
      <c r="C89" s="650"/>
      <c r="D89" s="650"/>
      <c r="E89" s="650"/>
      <c r="F89" s="650"/>
      <c r="G89" s="650"/>
      <c r="H89" s="650"/>
      <c r="I89" s="650"/>
      <c r="J89" s="650"/>
      <c r="K89" s="650"/>
      <c r="L89" s="650"/>
      <c r="M89" s="650"/>
      <c r="N89" s="650"/>
      <c r="O89" s="650"/>
      <c r="P89" s="650"/>
      <c r="Q89" s="650"/>
      <c r="R89" s="650"/>
      <c r="S89" s="650"/>
      <c r="T89" s="650"/>
      <c r="U89" s="650"/>
      <c r="V89" s="650"/>
      <c r="W89" s="650"/>
      <c r="X89" s="650"/>
      <c r="Y89" s="650"/>
      <c r="Z89" s="650"/>
    </row>
    <row r="90" spans="1:26" ht="13.5" thickBot="1">
      <c r="A90" s="650"/>
      <c r="B90" s="650"/>
      <c r="C90" s="650"/>
      <c r="D90" s="650"/>
      <c r="E90" s="650"/>
      <c r="F90" s="650"/>
      <c r="G90" s="650"/>
      <c r="H90" s="650"/>
      <c r="I90" s="650"/>
      <c r="J90" s="650"/>
      <c r="K90" s="650"/>
      <c r="L90" s="650"/>
      <c r="M90" s="650"/>
      <c r="N90" s="650"/>
      <c r="O90" s="650"/>
      <c r="P90" s="650"/>
      <c r="Q90" s="650"/>
      <c r="R90" s="650"/>
      <c r="S90" s="650"/>
      <c r="T90" s="650"/>
      <c r="U90" s="650"/>
      <c r="V90" s="650"/>
      <c r="W90" s="650"/>
      <c r="X90" s="650"/>
      <c r="Y90" s="650"/>
      <c r="Z90" s="650"/>
    </row>
    <row r="91" spans="1:26" s="205" customFormat="1">
      <c r="A91" s="650"/>
      <c r="B91" s="650"/>
      <c r="C91" s="650"/>
      <c r="D91" s="650"/>
      <c r="E91" s="650"/>
      <c r="F91" s="650"/>
      <c r="G91" s="650"/>
      <c r="H91" s="650"/>
      <c r="I91" s="650"/>
      <c r="J91" s="650"/>
      <c r="K91" s="650"/>
      <c r="L91" s="650"/>
      <c r="M91" s="650"/>
      <c r="N91" s="650"/>
      <c r="O91" s="650"/>
      <c r="P91" s="650"/>
      <c r="Q91" s="650"/>
      <c r="R91" s="650"/>
      <c r="S91" s="650"/>
      <c r="T91" s="650"/>
      <c r="U91" s="650"/>
      <c r="V91" s="650"/>
      <c r="W91" s="650"/>
      <c r="X91" s="650"/>
      <c r="Y91" s="650"/>
      <c r="Z91" s="650"/>
    </row>
    <row r="92" spans="1:26" s="204" customFormat="1">
      <c r="A92" s="650"/>
      <c r="B92" s="650"/>
      <c r="C92" s="650"/>
      <c r="D92" s="650"/>
      <c r="E92" s="650"/>
      <c r="F92" s="650"/>
      <c r="G92" s="650"/>
      <c r="H92" s="650"/>
      <c r="I92" s="650"/>
      <c r="J92" s="650"/>
      <c r="K92" s="650"/>
      <c r="L92" s="650"/>
      <c r="M92" s="650"/>
      <c r="N92" s="650"/>
      <c r="O92" s="650"/>
      <c r="P92" s="650"/>
      <c r="Q92" s="650"/>
      <c r="R92" s="650"/>
      <c r="S92" s="650"/>
      <c r="T92" s="650"/>
      <c r="U92" s="650"/>
      <c r="V92" s="650"/>
      <c r="W92" s="650"/>
      <c r="X92" s="650"/>
      <c r="Y92" s="650"/>
      <c r="Z92" s="650"/>
    </row>
    <row r="93" spans="1:26" ht="13.5" thickBot="1">
      <c r="A93" s="650"/>
      <c r="B93" s="650"/>
      <c r="C93" s="650"/>
      <c r="D93" s="650"/>
      <c r="E93" s="650"/>
      <c r="F93" s="650"/>
      <c r="G93" s="650"/>
      <c r="H93" s="650"/>
      <c r="I93" s="650"/>
      <c r="J93" s="650"/>
      <c r="K93" s="650"/>
      <c r="L93" s="650"/>
      <c r="M93" s="650"/>
      <c r="N93" s="650"/>
      <c r="O93" s="650"/>
      <c r="P93" s="650"/>
      <c r="Q93" s="650"/>
      <c r="R93" s="650"/>
      <c r="S93" s="650"/>
      <c r="T93" s="650"/>
      <c r="U93" s="650"/>
      <c r="V93" s="650"/>
      <c r="W93" s="650"/>
      <c r="X93" s="650"/>
      <c r="Y93" s="650"/>
      <c r="Z93" s="650"/>
    </row>
    <row r="94" spans="1:26" s="205" customFormat="1">
      <c r="A94" s="650"/>
      <c r="B94" s="650"/>
      <c r="C94" s="650"/>
      <c r="D94" s="650"/>
      <c r="E94" s="650"/>
      <c r="F94" s="650"/>
      <c r="G94" s="650"/>
      <c r="H94" s="650"/>
      <c r="I94" s="650"/>
      <c r="J94" s="650"/>
      <c r="K94" s="650"/>
      <c r="L94" s="650"/>
      <c r="M94" s="650"/>
      <c r="N94" s="650"/>
      <c r="O94" s="650"/>
      <c r="P94" s="650"/>
      <c r="Q94" s="650"/>
      <c r="R94" s="650"/>
      <c r="S94" s="650"/>
      <c r="T94" s="650"/>
      <c r="U94" s="650"/>
      <c r="V94" s="650"/>
      <c r="W94" s="650"/>
      <c r="X94" s="650"/>
      <c r="Y94" s="650"/>
      <c r="Z94" s="650"/>
    </row>
    <row r="95" spans="1:26" s="204" customFormat="1">
      <c r="A95" s="650"/>
      <c r="B95" s="650"/>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row>
    <row r="96" spans="1:26" ht="13.5" thickBot="1">
      <c r="A96" s="650"/>
      <c r="B96" s="650"/>
      <c r="C96" s="650"/>
      <c r="D96" s="650"/>
      <c r="E96" s="650"/>
      <c r="F96" s="650"/>
      <c r="G96" s="650"/>
      <c r="H96" s="650"/>
      <c r="I96" s="650"/>
      <c r="J96" s="650"/>
      <c r="K96" s="650"/>
      <c r="L96" s="650"/>
      <c r="M96" s="650"/>
      <c r="N96" s="650"/>
      <c r="O96" s="650"/>
      <c r="P96" s="650"/>
      <c r="Q96" s="650"/>
      <c r="R96" s="650"/>
      <c r="S96" s="650"/>
      <c r="T96" s="650"/>
      <c r="U96" s="650"/>
      <c r="V96" s="650"/>
      <c r="W96" s="650"/>
      <c r="X96" s="650"/>
      <c r="Y96" s="650"/>
      <c r="Z96" s="650"/>
    </row>
    <row r="97" spans="1:26" s="205" customFormat="1">
      <c r="A97" s="650"/>
      <c r="B97" s="650"/>
      <c r="C97" s="650"/>
      <c r="D97" s="650"/>
      <c r="E97" s="650"/>
      <c r="F97" s="650"/>
      <c r="G97" s="650"/>
      <c r="H97" s="650"/>
      <c r="I97" s="650"/>
      <c r="J97" s="650"/>
      <c r="K97" s="650"/>
      <c r="L97" s="650"/>
      <c r="M97" s="650"/>
      <c r="N97" s="650"/>
      <c r="O97" s="650"/>
      <c r="P97" s="650"/>
      <c r="Q97" s="650"/>
      <c r="R97" s="650"/>
      <c r="S97" s="650"/>
      <c r="T97" s="650"/>
      <c r="U97" s="650"/>
      <c r="V97" s="650"/>
      <c r="W97" s="650"/>
      <c r="X97" s="650"/>
      <c r="Y97" s="650"/>
      <c r="Z97" s="650"/>
    </row>
    <row r="98" spans="1:26" s="204" customFormat="1" ht="13.5" thickBot="1">
      <c r="A98" s="650"/>
      <c r="B98" s="650"/>
      <c r="C98" s="650"/>
      <c r="D98" s="650"/>
      <c r="E98" s="650"/>
      <c r="F98" s="650"/>
      <c r="G98" s="650"/>
      <c r="H98" s="650"/>
      <c r="I98" s="650"/>
      <c r="J98" s="650"/>
      <c r="K98" s="650"/>
      <c r="L98" s="650"/>
      <c r="M98" s="650"/>
      <c r="N98" s="650"/>
      <c r="O98" s="650"/>
      <c r="P98" s="650"/>
      <c r="Q98" s="650"/>
      <c r="R98" s="650"/>
      <c r="S98" s="650"/>
      <c r="T98" s="650"/>
      <c r="U98" s="650"/>
      <c r="V98" s="650"/>
      <c r="W98" s="650"/>
      <c r="X98" s="650"/>
      <c r="Y98" s="650"/>
      <c r="Z98" s="650"/>
    </row>
    <row r="99" spans="1:26">
      <c r="A99" s="650"/>
      <c r="B99" s="650"/>
      <c r="C99" s="650"/>
      <c r="D99" s="650"/>
      <c r="E99" s="650"/>
      <c r="F99" s="650"/>
      <c r="G99" s="650"/>
      <c r="H99" s="650"/>
      <c r="I99" s="650"/>
      <c r="J99" s="650"/>
      <c r="K99" s="650"/>
      <c r="L99" s="650"/>
      <c r="M99" s="650"/>
      <c r="N99" s="650"/>
      <c r="O99" s="650"/>
      <c r="P99" s="650"/>
      <c r="Q99" s="650"/>
      <c r="R99" s="650"/>
      <c r="S99" s="650"/>
      <c r="T99" s="650"/>
      <c r="U99" s="650"/>
      <c r="V99" s="650"/>
      <c r="W99" s="650"/>
      <c r="X99" s="650"/>
      <c r="Y99" s="650"/>
      <c r="Z99" s="650"/>
    </row>
    <row r="100" spans="1:26" s="205" customFormat="1" ht="13.5" thickBot="1">
      <c r="A100" s="650"/>
      <c r="B100" s="650"/>
      <c r="C100" s="650"/>
      <c r="D100" s="650"/>
      <c r="E100" s="650"/>
      <c r="F100" s="650"/>
      <c r="G100" s="650"/>
      <c r="H100" s="650"/>
      <c r="I100" s="650"/>
      <c r="J100" s="650"/>
      <c r="K100" s="650"/>
      <c r="L100" s="650"/>
      <c r="M100" s="650"/>
      <c r="N100" s="650"/>
      <c r="O100" s="650"/>
      <c r="P100" s="650"/>
      <c r="Q100" s="650"/>
      <c r="R100" s="650"/>
      <c r="S100" s="650"/>
      <c r="T100" s="650"/>
      <c r="U100" s="650"/>
      <c r="V100" s="650"/>
      <c r="W100" s="650"/>
      <c r="X100" s="650"/>
      <c r="Y100" s="650"/>
      <c r="Z100" s="650"/>
    </row>
    <row r="101" spans="1:26" s="204" customFormat="1">
      <c r="A101" s="650"/>
      <c r="B101" s="650"/>
      <c r="C101" s="650"/>
      <c r="D101" s="650"/>
      <c r="E101" s="650"/>
      <c r="F101" s="650"/>
      <c r="G101" s="650"/>
      <c r="H101" s="650"/>
      <c r="I101" s="650"/>
      <c r="J101" s="650"/>
      <c r="K101" s="650"/>
      <c r="L101" s="650"/>
      <c r="M101" s="650"/>
      <c r="N101" s="650"/>
      <c r="O101" s="650"/>
      <c r="P101" s="650"/>
      <c r="Q101" s="650"/>
      <c r="R101" s="650"/>
      <c r="S101" s="650"/>
      <c r="T101" s="650"/>
      <c r="U101" s="650"/>
      <c r="V101" s="650"/>
      <c r="W101" s="650"/>
      <c r="X101" s="650"/>
      <c r="Y101" s="650"/>
      <c r="Z101" s="650"/>
    </row>
    <row r="102" spans="1:26" ht="13.5" thickBot="1">
      <c r="A102" s="650"/>
      <c r="B102" s="650"/>
      <c r="C102" s="650"/>
      <c r="D102" s="65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row>
    <row r="103" spans="1:26" s="205" customFormat="1">
      <c r="A103" s="650"/>
      <c r="B103" s="650"/>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c r="Y103" s="650"/>
      <c r="Z103" s="650"/>
    </row>
    <row r="104" spans="1:26" s="204" customFormat="1" ht="13.5" thickBot="1">
      <c r="A104" s="650"/>
      <c r="B104" s="650"/>
      <c r="C104" s="650"/>
      <c r="D104" s="650"/>
      <c r="E104" s="650"/>
      <c r="F104" s="650"/>
      <c r="G104" s="650"/>
      <c r="H104" s="650"/>
      <c r="I104" s="650"/>
      <c r="J104" s="650"/>
      <c r="K104" s="650"/>
      <c r="L104" s="650"/>
      <c r="M104" s="650"/>
      <c r="N104" s="650"/>
      <c r="O104" s="650"/>
      <c r="P104" s="650"/>
      <c r="Q104" s="650"/>
      <c r="R104" s="650"/>
      <c r="S104" s="650"/>
      <c r="T104" s="650"/>
      <c r="U104" s="650"/>
      <c r="V104" s="650"/>
      <c r="W104" s="650"/>
      <c r="X104" s="650"/>
      <c r="Y104" s="650"/>
      <c r="Z104" s="650"/>
    </row>
    <row r="105" spans="1:26">
      <c r="A105" s="650"/>
      <c r="B105" s="650"/>
      <c r="C105" s="650"/>
      <c r="D105" s="650"/>
      <c r="E105" s="650"/>
      <c r="F105" s="650"/>
      <c r="G105" s="650"/>
      <c r="H105" s="650"/>
      <c r="I105" s="650"/>
      <c r="J105" s="650"/>
      <c r="K105" s="650"/>
      <c r="L105" s="650"/>
      <c r="M105" s="650"/>
      <c r="N105" s="650"/>
      <c r="O105" s="650"/>
      <c r="P105" s="650"/>
      <c r="Q105" s="650"/>
      <c r="R105" s="650"/>
      <c r="S105" s="650"/>
      <c r="T105" s="650"/>
      <c r="U105" s="650"/>
      <c r="V105" s="650"/>
      <c r="W105" s="650"/>
      <c r="X105" s="650"/>
      <c r="Y105" s="650"/>
      <c r="Z105" s="650"/>
    </row>
    <row r="106" spans="1:26" s="205" customFormat="1">
      <c r="A106" s="650"/>
      <c r="B106" s="650"/>
      <c r="C106" s="650"/>
      <c r="D106" s="650"/>
      <c r="E106" s="650"/>
      <c r="F106" s="650"/>
      <c r="G106" s="650"/>
      <c r="H106" s="650"/>
      <c r="I106" s="650"/>
      <c r="J106" s="650"/>
      <c r="K106" s="650"/>
      <c r="L106" s="650"/>
      <c r="M106" s="650"/>
      <c r="N106" s="650"/>
      <c r="O106" s="650"/>
      <c r="P106" s="650"/>
      <c r="Q106" s="650"/>
      <c r="R106" s="650"/>
      <c r="S106" s="650"/>
      <c r="T106" s="650"/>
      <c r="U106" s="650"/>
      <c r="V106" s="650"/>
      <c r="W106" s="650"/>
      <c r="X106" s="650"/>
      <c r="Y106" s="650"/>
      <c r="Z106" s="650"/>
    </row>
    <row r="107" spans="1:26" s="204" customFormat="1">
      <c r="A107" s="650"/>
      <c r="B107" s="650"/>
      <c r="C107" s="650"/>
      <c r="D107" s="650"/>
      <c r="E107" s="650"/>
      <c r="F107" s="650"/>
      <c r="G107" s="650"/>
      <c r="H107" s="650"/>
      <c r="I107" s="650"/>
      <c r="J107" s="650"/>
      <c r="K107" s="650"/>
      <c r="L107" s="650"/>
      <c r="M107" s="650"/>
      <c r="N107" s="650"/>
      <c r="O107" s="650"/>
      <c r="P107" s="650"/>
      <c r="Q107" s="650"/>
      <c r="R107" s="650"/>
      <c r="S107" s="650"/>
      <c r="T107" s="650"/>
      <c r="U107" s="650"/>
      <c r="V107" s="650"/>
      <c r="W107" s="650"/>
      <c r="X107" s="650"/>
      <c r="Y107" s="650"/>
      <c r="Z107" s="650"/>
    </row>
    <row r="108" spans="1:26">
      <c r="A108" s="650"/>
      <c r="B108" s="650"/>
      <c r="C108" s="650"/>
      <c r="D108" s="650"/>
      <c r="E108" s="650"/>
      <c r="F108" s="650"/>
      <c r="G108" s="650"/>
      <c r="H108" s="650"/>
      <c r="I108" s="650"/>
      <c r="J108" s="650"/>
      <c r="K108" s="650"/>
      <c r="L108" s="650"/>
      <c r="M108" s="650"/>
      <c r="N108" s="650"/>
      <c r="O108" s="650"/>
      <c r="P108" s="650"/>
      <c r="Q108" s="650"/>
      <c r="R108" s="650"/>
      <c r="S108" s="650"/>
      <c r="T108" s="650"/>
      <c r="U108" s="650"/>
      <c r="V108" s="650"/>
      <c r="W108" s="650"/>
      <c r="X108" s="650"/>
      <c r="Y108" s="650"/>
      <c r="Z108" s="650"/>
    </row>
    <row r="109" spans="1:26" s="205" customFormat="1">
      <c r="A109" s="650"/>
      <c r="B109" s="650"/>
      <c r="C109" s="650"/>
      <c r="D109" s="650"/>
      <c r="E109" s="650"/>
      <c r="F109" s="650"/>
      <c r="G109" s="650"/>
      <c r="H109" s="650"/>
      <c r="I109" s="650"/>
      <c r="J109" s="650"/>
      <c r="K109" s="650"/>
      <c r="L109" s="650"/>
      <c r="M109" s="650"/>
      <c r="N109" s="650"/>
      <c r="O109" s="650"/>
      <c r="P109" s="650"/>
      <c r="Q109" s="650"/>
      <c r="R109" s="650"/>
      <c r="S109" s="650"/>
      <c r="T109" s="650"/>
      <c r="U109" s="650"/>
      <c r="V109" s="650"/>
      <c r="W109" s="650"/>
      <c r="X109" s="650"/>
      <c r="Y109" s="650"/>
      <c r="Z109" s="650"/>
    </row>
    <row r="110" spans="1:26" s="204" customFormat="1" ht="13.5" thickBot="1">
      <c r="A110" s="650"/>
      <c r="B110" s="650"/>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c r="Y110" s="650"/>
      <c r="Z110" s="650"/>
    </row>
    <row r="111" spans="1:26">
      <c r="A111" s="650"/>
      <c r="B111" s="650"/>
      <c r="C111" s="650"/>
      <c r="D111" s="650"/>
      <c r="E111" s="650"/>
      <c r="F111" s="650"/>
      <c r="G111" s="650"/>
      <c r="H111" s="650"/>
      <c r="I111" s="650"/>
      <c r="J111" s="650"/>
      <c r="K111" s="650"/>
      <c r="L111" s="650"/>
      <c r="M111" s="650"/>
      <c r="N111" s="650"/>
      <c r="O111" s="650"/>
      <c r="P111" s="650"/>
      <c r="Q111" s="650"/>
      <c r="R111" s="650"/>
      <c r="S111" s="650"/>
      <c r="T111" s="650"/>
      <c r="U111" s="650"/>
      <c r="V111" s="650"/>
      <c r="W111" s="650"/>
      <c r="X111" s="650"/>
      <c r="Y111" s="650"/>
      <c r="Z111" s="650"/>
    </row>
    <row r="112" spans="1:26" s="205" customFormat="1">
      <c r="A112" s="650"/>
      <c r="B112" s="650"/>
      <c r="C112" s="650"/>
      <c r="D112" s="650"/>
      <c r="E112" s="650"/>
      <c r="F112" s="650"/>
      <c r="G112" s="650"/>
      <c r="H112" s="650"/>
      <c r="I112" s="650"/>
      <c r="J112" s="650"/>
      <c r="K112" s="650"/>
      <c r="L112" s="650"/>
      <c r="M112" s="650"/>
      <c r="N112" s="650"/>
      <c r="O112" s="650"/>
      <c r="P112" s="650"/>
      <c r="Q112" s="650"/>
      <c r="R112" s="650"/>
      <c r="S112" s="650"/>
      <c r="T112" s="650"/>
      <c r="U112" s="650"/>
      <c r="V112" s="650"/>
      <c r="W112" s="650"/>
      <c r="X112" s="650"/>
      <c r="Y112" s="650"/>
      <c r="Z112" s="650"/>
    </row>
    <row r="113" spans="1:26" s="204" customFormat="1" ht="13.5" thickBot="1">
      <c r="A113" s="650"/>
      <c r="B113" s="650"/>
      <c r="C113" s="650"/>
      <c r="D113" s="650"/>
      <c r="E113" s="650"/>
      <c r="F113" s="650"/>
      <c r="G113" s="650"/>
      <c r="H113" s="650"/>
      <c r="I113" s="650"/>
      <c r="J113" s="650"/>
      <c r="K113" s="650"/>
      <c r="L113" s="650"/>
      <c r="M113" s="650"/>
      <c r="N113" s="650"/>
      <c r="O113" s="650"/>
      <c r="P113" s="650"/>
      <c r="Q113" s="650"/>
      <c r="R113" s="650"/>
      <c r="S113" s="650"/>
      <c r="T113" s="650"/>
      <c r="U113" s="650"/>
      <c r="V113" s="650"/>
      <c r="W113" s="650"/>
      <c r="X113" s="650"/>
      <c r="Y113" s="650"/>
      <c r="Z113" s="650"/>
    </row>
    <row r="114" spans="1:26">
      <c r="A114" s="650"/>
      <c r="B114" s="650"/>
      <c r="C114" s="650"/>
      <c r="D114" s="650"/>
      <c r="E114" s="650"/>
      <c r="F114" s="650"/>
      <c r="G114" s="650"/>
      <c r="H114" s="650"/>
      <c r="I114" s="650"/>
      <c r="J114" s="650"/>
      <c r="K114" s="650"/>
      <c r="L114" s="650"/>
      <c r="M114" s="650"/>
      <c r="N114" s="650"/>
      <c r="O114" s="650"/>
      <c r="P114" s="650"/>
      <c r="Q114" s="650"/>
      <c r="R114" s="650"/>
      <c r="S114" s="650"/>
      <c r="T114" s="650"/>
      <c r="U114" s="650"/>
      <c r="V114" s="650"/>
      <c r="W114" s="650"/>
      <c r="X114" s="650"/>
      <c r="Y114" s="650"/>
      <c r="Z114" s="650"/>
    </row>
    <row r="115" spans="1:26" s="205" customFormat="1">
      <c r="A115" s="650"/>
      <c r="B115" s="650"/>
      <c r="C115" s="650"/>
      <c r="D115" s="650"/>
      <c r="E115" s="650"/>
      <c r="F115" s="650"/>
      <c r="G115" s="650"/>
      <c r="H115" s="650"/>
      <c r="I115" s="650"/>
      <c r="J115" s="650"/>
      <c r="K115" s="650"/>
      <c r="L115" s="650"/>
      <c r="M115" s="650"/>
      <c r="N115" s="650"/>
      <c r="O115" s="650"/>
      <c r="P115" s="650"/>
      <c r="Q115" s="650"/>
      <c r="R115" s="650"/>
      <c r="S115" s="650"/>
      <c r="T115" s="650"/>
      <c r="U115" s="650"/>
      <c r="V115" s="650"/>
      <c r="W115" s="650"/>
      <c r="X115" s="650"/>
      <c r="Y115" s="650"/>
      <c r="Z115" s="650"/>
    </row>
    <row r="116" spans="1:26" s="204" customFormat="1" ht="13.5" thickBot="1">
      <c r="A116" s="650"/>
      <c r="B116" s="650"/>
      <c r="C116" s="650"/>
      <c r="D116" s="650"/>
      <c r="E116" s="650"/>
      <c r="F116" s="650"/>
      <c r="G116" s="650"/>
      <c r="H116" s="650"/>
      <c r="I116" s="650"/>
      <c r="J116" s="650"/>
      <c r="K116" s="650"/>
      <c r="L116" s="650"/>
      <c r="M116" s="650"/>
      <c r="N116" s="650"/>
      <c r="O116" s="650"/>
      <c r="P116" s="650"/>
      <c r="Q116" s="650"/>
      <c r="R116" s="650"/>
      <c r="S116" s="650"/>
      <c r="T116" s="650"/>
      <c r="U116" s="650"/>
      <c r="V116" s="650"/>
      <c r="W116" s="650"/>
      <c r="X116" s="650"/>
      <c r="Y116" s="650"/>
      <c r="Z116" s="650"/>
    </row>
    <row r="117" spans="1:26">
      <c r="A117" s="650"/>
      <c r="B117" s="650"/>
      <c r="C117" s="650"/>
      <c r="D117" s="650"/>
      <c r="E117" s="650"/>
      <c r="F117" s="650"/>
      <c r="G117" s="650"/>
      <c r="H117" s="650"/>
      <c r="I117" s="650"/>
      <c r="J117" s="650"/>
      <c r="K117" s="650"/>
      <c r="L117" s="650"/>
      <c r="M117" s="650"/>
      <c r="N117" s="650"/>
      <c r="O117" s="650"/>
      <c r="P117" s="650"/>
      <c r="Q117" s="650"/>
      <c r="R117" s="650"/>
      <c r="S117" s="650"/>
      <c r="T117" s="650"/>
      <c r="U117" s="650"/>
      <c r="V117" s="650"/>
      <c r="W117" s="650"/>
      <c r="X117" s="650"/>
      <c r="Y117" s="650"/>
      <c r="Z117" s="650"/>
    </row>
    <row r="118" spans="1:26" s="205" customFormat="1">
      <c r="A118" s="650"/>
      <c r="B118" s="650"/>
      <c r="C118" s="650"/>
      <c r="D118" s="650"/>
      <c r="E118" s="650"/>
      <c r="F118" s="650"/>
      <c r="G118" s="650"/>
      <c r="H118" s="650"/>
      <c r="I118" s="650"/>
      <c r="J118" s="650"/>
      <c r="K118" s="650"/>
      <c r="L118" s="650"/>
      <c r="M118" s="650"/>
      <c r="N118" s="650"/>
      <c r="O118" s="650"/>
      <c r="P118" s="650"/>
      <c r="Q118" s="650"/>
      <c r="R118" s="650"/>
      <c r="S118" s="650"/>
      <c r="T118" s="650"/>
      <c r="U118" s="650"/>
      <c r="V118" s="650"/>
      <c r="W118" s="650"/>
      <c r="X118" s="650"/>
      <c r="Y118" s="650"/>
      <c r="Z118" s="650"/>
    </row>
    <row r="119" spans="1:26" s="204" customFormat="1" ht="13.5" thickBot="1">
      <c r="A119" s="650"/>
      <c r="B119" s="650"/>
      <c r="C119" s="650"/>
      <c r="D119" s="650"/>
      <c r="E119" s="650"/>
      <c r="F119" s="650"/>
      <c r="G119" s="650"/>
      <c r="H119" s="650"/>
      <c r="I119" s="650"/>
      <c r="J119" s="650"/>
      <c r="K119" s="650"/>
      <c r="L119" s="650"/>
      <c r="M119" s="650"/>
      <c r="N119" s="650"/>
      <c r="O119" s="650"/>
      <c r="P119" s="650"/>
      <c r="Q119" s="650"/>
      <c r="R119" s="650"/>
      <c r="S119" s="650"/>
      <c r="T119" s="650"/>
      <c r="U119" s="650"/>
      <c r="V119" s="650"/>
      <c r="W119" s="650"/>
      <c r="X119" s="650"/>
      <c r="Y119" s="650"/>
      <c r="Z119" s="650"/>
    </row>
    <row r="120" spans="1:26">
      <c r="A120" s="650"/>
      <c r="B120" s="650"/>
      <c r="C120" s="650"/>
      <c r="D120" s="650"/>
      <c r="E120" s="650"/>
      <c r="F120" s="650"/>
      <c r="G120" s="650"/>
      <c r="H120" s="650"/>
      <c r="I120" s="650"/>
      <c r="J120" s="650"/>
      <c r="K120" s="650"/>
      <c r="L120" s="650"/>
      <c r="M120" s="650"/>
      <c r="N120" s="650"/>
      <c r="O120" s="650"/>
      <c r="P120" s="650"/>
      <c r="Q120" s="650"/>
      <c r="R120" s="650"/>
      <c r="S120" s="650"/>
      <c r="T120" s="650"/>
      <c r="U120" s="650"/>
      <c r="V120" s="650"/>
      <c r="W120" s="650"/>
      <c r="X120" s="650"/>
      <c r="Y120" s="650"/>
      <c r="Z120" s="650"/>
    </row>
    <row r="121" spans="1:26" s="205" customFormat="1">
      <c r="A121" s="650"/>
      <c r="B121" s="650"/>
      <c r="C121" s="650"/>
      <c r="D121" s="650"/>
      <c r="E121" s="650"/>
      <c r="F121" s="650"/>
      <c r="G121" s="650"/>
      <c r="H121" s="650"/>
      <c r="I121" s="650"/>
      <c r="J121" s="650"/>
      <c r="K121" s="650"/>
      <c r="L121" s="650"/>
      <c r="M121" s="650"/>
      <c r="N121" s="650"/>
      <c r="O121" s="650"/>
      <c r="P121" s="650"/>
      <c r="Q121" s="650"/>
      <c r="R121" s="650"/>
      <c r="S121" s="650"/>
      <c r="T121" s="650"/>
      <c r="U121" s="650"/>
      <c r="V121" s="650"/>
      <c r="W121" s="650"/>
      <c r="X121" s="650"/>
      <c r="Y121" s="650"/>
      <c r="Z121" s="650"/>
    </row>
    <row r="122" spans="1:26" s="214" customFormat="1" ht="13.5" thickBot="1">
      <c r="A122" s="650"/>
      <c r="B122" s="650"/>
      <c r="C122" s="650"/>
      <c r="D122" s="650"/>
      <c r="E122" s="650"/>
      <c r="F122" s="650"/>
      <c r="G122" s="650"/>
      <c r="H122" s="650"/>
      <c r="I122" s="650"/>
      <c r="J122" s="650"/>
      <c r="K122" s="650"/>
      <c r="L122" s="650"/>
      <c r="M122" s="650"/>
      <c r="N122" s="650"/>
      <c r="O122" s="650"/>
      <c r="P122" s="650"/>
      <c r="Q122" s="650"/>
      <c r="R122" s="650"/>
      <c r="S122" s="650"/>
      <c r="T122" s="650"/>
      <c r="U122" s="650"/>
      <c r="V122" s="650"/>
      <c r="W122" s="650"/>
      <c r="X122" s="650"/>
      <c r="Y122" s="650"/>
      <c r="Z122" s="650"/>
    </row>
    <row r="123" spans="1:26">
      <c r="A123" s="650"/>
      <c r="B123" s="650"/>
      <c r="C123" s="650"/>
      <c r="D123" s="650"/>
      <c r="E123" s="650"/>
      <c r="F123" s="650"/>
      <c r="G123" s="650"/>
      <c r="H123" s="650"/>
      <c r="I123" s="650"/>
      <c r="J123" s="650"/>
      <c r="K123" s="650"/>
      <c r="L123" s="650"/>
      <c r="M123" s="650"/>
      <c r="N123" s="650"/>
      <c r="O123" s="650"/>
      <c r="P123" s="650"/>
      <c r="Q123" s="650"/>
      <c r="R123" s="650"/>
      <c r="S123" s="650"/>
      <c r="T123" s="650"/>
      <c r="U123" s="650"/>
      <c r="V123" s="650"/>
      <c r="W123" s="650"/>
      <c r="X123" s="650"/>
      <c r="Y123" s="650"/>
      <c r="Z123" s="650"/>
    </row>
    <row r="124" spans="1:26" s="205" customFormat="1">
      <c r="A124" s="650"/>
      <c r="B124" s="650"/>
      <c r="C124" s="650"/>
      <c r="D124" s="650"/>
      <c r="E124" s="650"/>
      <c r="F124" s="650"/>
      <c r="G124" s="650"/>
      <c r="H124" s="650"/>
      <c r="I124" s="650"/>
      <c r="J124" s="650"/>
      <c r="K124" s="650"/>
      <c r="L124" s="650"/>
      <c r="M124" s="650"/>
      <c r="N124" s="650"/>
      <c r="O124" s="650"/>
      <c r="P124" s="650"/>
      <c r="Q124" s="650"/>
      <c r="R124" s="650"/>
      <c r="S124" s="650"/>
      <c r="T124" s="650"/>
      <c r="U124" s="650"/>
      <c r="V124" s="650"/>
      <c r="W124" s="650"/>
      <c r="X124" s="650"/>
      <c r="Y124" s="650"/>
      <c r="Z124" s="650"/>
    </row>
    <row r="125" spans="1:26" s="204" customFormat="1" ht="13.5" thickBot="1">
      <c r="A125" s="650"/>
      <c r="B125" s="650"/>
      <c r="C125" s="650"/>
      <c r="D125" s="650"/>
      <c r="E125" s="650"/>
      <c r="F125" s="650"/>
      <c r="G125" s="650"/>
      <c r="H125" s="650"/>
      <c r="I125" s="650"/>
      <c r="J125" s="650"/>
      <c r="K125" s="650"/>
      <c r="L125" s="650"/>
      <c r="M125" s="650"/>
      <c r="N125" s="650"/>
      <c r="O125" s="650"/>
      <c r="P125" s="650"/>
      <c r="Q125" s="650"/>
      <c r="R125" s="650"/>
      <c r="S125" s="650"/>
      <c r="T125" s="650"/>
      <c r="U125" s="650"/>
      <c r="V125" s="650"/>
      <c r="W125" s="650"/>
      <c r="X125" s="650"/>
      <c r="Y125" s="650"/>
      <c r="Z125" s="650"/>
    </row>
    <row r="126" spans="1:26">
      <c r="A126" s="650"/>
      <c r="B126" s="650"/>
      <c r="C126" s="650"/>
      <c r="D126" s="650"/>
      <c r="E126" s="650"/>
      <c r="F126" s="650"/>
      <c r="G126" s="650"/>
      <c r="H126" s="650"/>
      <c r="I126" s="650"/>
      <c r="J126" s="650"/>
      <c r="K126" s="650"/>
      <c r="L126" s="650"/>
      <c r="M126" s="650"/>
      <c r="N126" s="650"/>
      <c r="O126" s="650"/>
      <c r="P126" s="650"/>
      <c r="Q126" s="650"/>
      <c r="R126" s="650"/>
      <c r="S126" s="650"/>
      <c r="T126" s="650"/>
      <c r="U126" s="650"/>
      <c r="V126" s="650"/>
      <c r="W126" s="650"/>
      <c r="X126" s="650"/>
      <c r="Y126" s="650"/>
      <c r="Z126" s="650"/>
    </row>
    <row r="127" spans="1:26" s="205" customFormat="1">
      <c r="A127" s="650"/>
      <c r="B127" s="650"/>
      <c r="C127" s="650"/>
      <c r="D127" s="650"/>
      <c r="E127" s="650"/>
      <c r="F127" s="650"/>
      <c r="G127" s="650"/>
      <c r="H127" s="650"/>
      <c r="I127" s="650"/>
      <c r="J127" s="650"/>
      <c r="K127" s="650"/>
      <c r="L127" s="650"/>
      <c r="M127" s="650"/>
      <c r="N127" s="650"/>
      <c r="O127" s="650"/>
      <c r="P127" s="650"/>
      <c r="Q127" s="650"/>
      <c r="R127" s="650"/>
      <c r="S127" s="650"/>
      <c r="T127" s="650"/>
      <c r="U127" s="650"/>
      <c r="V127" s="650"/>
      <c r="W127" s="650"/>
      <c r="X127" s="650"/>
      <c r="Y127" s="650"/>
      <c r="Z127" s="650"/>
    </row>
    <row r="128" spans="1:26" s="204" customFormat="1" ht="13.5" thickBot="1">
      <c r="A128" s="650"/>
      <c r="B128" s="650"/>
      <c r="C128" s="650"/>
      <c r="D128" s="650"/>
      <c r="E128" s="650"/>
      <c r="F128" s="650"/>
      <c r="G128" s="650"/>
      <c r="H128" s="650"/>
      <c r="I128" s="650"/>
      <c r="J128" s="650"/>
      <c r="K128" s="650"/>
      <c r="L128" s="650"/>
      <c r="M128" s="650"/>
      <c r="N128" s="650"/>
      <c r="O128" s="650"/>
      <c r="P128" s="650"/>
      <c r="Q128" s="650"/>
      <c r="R128" s="650"/>
      <c r="S128" s="650"/>
      <c r="T128" s="650"/>
      <c r="U128" s="650"/>
      <c r="V128" s="650"/>
      <c r="W128" s="650"/>
      <c r="X128" s="650"/>
      <c r="Y128" s="650"/>
      <c r="Z128" s="650"/>
    </row>
    <row r="129" spans="1:26">
      <c r="A129" s="650"/>
      <c r="B129" s="650"/>
      <c r="C129" s="650"/>
      <c r="D129" s="650"/>
      <c r="E129" s="650"/>
      <c r="F129" s="650"/>
      <c r="G129" s="650"/>
      <c r="H129" s="650"/>
      <c r="I129" s="650"/>
      <c r="J129" s="650"/>
      <c r="K129" s="650"/>
      <c r="L129" s="650"/>
      <c r="M129" s="650"/>
      <c r="N129" s="650"/>
      <c r="O129" s="650"/>
      <c r="P129" s="650"/>
      <c r="Q129" s="650"/>
      <c r="R129" s="650"/>
      <c r="S129" s="650"/>
      <c r="T129" s="650"/>
      <c r="U129" s="650"/>
      <c r="V129" s="650"/>
      <c r="W129" s="650"/>
      <c r="X129" s="650"/>
      <c r="Y129" s="650"/>
      <c r="Z129" s="650"/>
    </row>
    <row r="130" spans="1:26" s="205" customFormat="1">
      <c r="A130" s="650"/>
      <c r="B130" s="650"/>
      <c r="C130" s="650"/>
      <c r="D130" s="650"/>
      <c r="E130" s="650"/>
      <c r="F130" s="650"/>
      <c r="G130" s="650"/>
      <c r="H130" s="650"/>
      <c r="I130" s="650"/>
      <c r="J130" s="650"/>
      <c r="K130" s="650"/>
      <c r="L130" s="650"/>
      <c r="M130" s="650"/>
      <c r="N130" s="650"/>
      <c r="O130" s="650"/>
      <c r="P130" s="650"/>
      <c r="Q130" s="650"/>
      <c r="R130" s="650"/>
      <c r="S130" s="650"/>
      <c r="T130" s="650"/>
      <c r="U130" s="650"/>
      <c r="V130" s="650"/>
      <c r="W130" s="650"/>
      <c r="X130" s="650"/>
      <c r="Y130" s="650"/>
      <c r="Z130" s="650"/>
    </row>
    <row r="131" spans="1:26" s="204" customFormat="1" ht="13.5" thickBot="1">
      <c r="A131" s="650"/>
      <c r="B131" s="650"/>
      <c r="C131" s="650"/>
      <c r="D131" s="650"/>
      <c r="E131" s="650"/>
      <c r="F131" s="650"/>
      <c r="G131" s="650"/>
      <c r="H131" s="650"/>
      <c r="I131" s="650"/>
      <c r="J131" s="650"/>
      <c r="K131" s="650"/>
      <c r="L131" s="650"/>
      <c r="M131" s="650"/>
      <c r="N131" s="650"/>
      <c r="O131" s="650"/>
      <c r="P131" s="650"/>
      <c r="Q131" s="650"/>
      <c r="R131" s="650"/>
      <c r="S131" s="650"/>
      <c r="T131" s="650"/>
      <c r="U131" s="650"/>
      <c r="V131" s="650"/>
      <c r="W131" s="650"/>
      <c r="X131" s="650"/>
      <c r="Y131" s="650"/>
      <c r="Z131" s="650"/>
    </row>
    <row r="132" spans="1:26">
      <c r="A132" s="650"/>
      <c r="B132" s="650"/>
      <c r="C132" s="650"/>
      <c r="D132" s="650"/>
      <c r="E132" s="650"/>
      <c r="F132" s="650"/>
      <c r="G132" s="650"/>
      <c r="H132" s="650"/>
      <c r="I132" s="650"/>
      <c r="J132" s="650"/>
      <c r="K132" s="650"/>
      <c r="L132" s="650"/>
      <c r="M132" s="650"/>
      <c r="N132" s="650"/>
      <c r="O132" s="650"/>
      <c r="P132" s="650"/>
      <c r="Q132" s="650"/>
      <c r="R132" s="650"/>
      <c r="S132" s="650"/>
      <c r="T132" s="650"/>
      <c r="U132" s="650"/>
      <c r="V132" s="650"/>
      <c r="W132" s="650"/>
      <c r="X132" s="650"/>
      <c r="Y132" s="650"/>
      <c r="Z132" s="650"/>
    </row>
    <row r="133" spans="1:26" s="205" customFormat="1">
      <c r="A133" s="650"/>
      <c r="B133" s="650"/>
      <c r="C133" s="650"/>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Z133" s="650"/>
    </row>
    <row r="134" spans="1:26" s="204" customFormat="1" ht="13.5" thickBot="1">
      <c r="A134" s="650"/>
      <c r="B134" s="650"/>
      <c r="C134" s="650"/>
      <c r="D134" s="650"/>
      <c r="E134" s="650"/>
      <c r="F134" s="650"/>
      <c r="G134" s="650"/>
      <c r="H134" s="650"/>
      <c r="I134" s="650"/>
      <c r="J134" s="650"/>
      <c r="K134" s="650"/>
      <c r="L134" s="650"/>
      <c r="M134" s="650"/>
      <c r="N134" s="650"/>
      <c r="O134" s="650"/>
      <c r="P134" s="650"/>
      <c r="Q134" s="650"/>
      <c r="R134" s="650"/>
      <c r="S134" s="650"/>
      <c r="T134" s="650"/>
      <c r="U134" s="650"/>
      <c r="V134" s="650"/>
      <c r="W134" s="650"/>
      <c r="X134" s="650"/>
      <c r="Y134" s="650"/>
      <c r="Z134" s="650"/>
    </row>
    <row r="135" spans="1:26">
      <c r="A135" s="650"/>
      <c r="B135" s="650"/>
      <c r="C135" s="650"/>
      <c r="D135" s="650"/>
      <c r="E135" s="650"/>
      <c r="F135" s="650"/>
      <c r="G135" s="650"/>
      <c r="H135" s="650"/>
      <c r="I135" s="650"/>
      <c r="J135" s="650"/>
      <c r="K135" s="650"/>
      <c r="L135" s="650"/>
      <c r="M135" s="650"/>
      <c r="N135" s="650"/>
      <c r="O135" s="650"/>
      <c r="P135" s="650"/>
      <c r="Q135" s="650"/>
      <c r="R135" s="650"/>
      <c r="S135" s="650"/>
      <c r="T135" s="650"/>
      <c r="U135" s="650"/>
      <c r="V135" s="650"/>
      <c r="W135" s="650"/>
      <c r="X135" s="650"/>
      <c r="Y135" s="650"/>
      <c r="Z135" s="650"/>
    </row>
    <row r="136" spans="1:26" s="205" customFormat="1">
      <c r="A136" s="650"/>
      <c r="B136" s="650"/>
      <c r="C136" s="650"/>
      <c r="D136" s="650"/>
      <c r="E136" s="650"/>
      <c r="F136" s="650"/>
      <c r="G136" s="650"/>
      <c r="H136" s="650"/>
      <c r="I136" s="650"/>
      <c r="J136" s="650"/>
      <c r="K136" s="650"/>
      <c r="L136" s="650"/>
      <c r="M136" s="650"/>
      <c r="N136" s="650"/>
      <c r="O136" s="650"/>
      <c r="P136" s="650"/>
      <c r="Q136" s="650"/>
      <c r="R136" s="650"/>
      <c r="S136" s="650"/>
      <c r="T136" s="650"/>
      <c r="U136" s="650"/>
      <c r="V136" s="650"/>
      <c r="W136" s="650"/>
      <c r="X136" s="650"/>
      <c r="Y136" s="650"/>
      <c r="Z136" s="650"/>
    </row>
    <row r="137" spans="1:26" s="204" customFormat="1" ht="13.5" thickBot="1">
      <c r="A137" s="650"/>
      <c r="B137" s="650"/>
      <c r="C137" s="650"/>
      <c r="D137" s="650"/>
      <c r="E137" s="650"/>
      <c r="F137" s="650"/>
      <c r="G137" s="650"/>
      <c r="H137" s="650"/>
      <c r="I137" s="650"/>
      <c r="J137" s="650"/>
      <c r="K137" s="650"/>
      <c r="L137" s="650"/>
      <c r="M137" s="650"/>
      <c r="N137" s="650"/>
      <c r="O137" s="650"/>
      <c r="P137" s="650"/>
      <c r="Q137" s="650"/>
      <c r="R137" s="650"/>
      <c r="S137" s="650"/>
      <c r="T137" s="650"/>
      <c r="U137" s="650"/>
      <c r="V137" s="650"/>
      <c r="W137" s="650"/>
      <c r="X137" s="650"/>
      <c r="Y137" s="650"/>
      <c r="Z137" s="650"/>
    </row>
    <row r="138" spans="1:26">
      <c r="A138" s="650"/>
      <c r="B138" s="650"/>
      <c r="C138" s="650"/>
      <c r="D138" s="650"/>
      <c r="E138" s="650"/>
      <c r="F138" s="650"/>
      <c r="G138" s="650"/>
      <c r="H138" s="650"/>
      <c r="I138" s="650"/>
      <c r="J138" s="650"/>
      <c r="K138" s="650"/>
      <c r="L138" s="650"/>
      <c r="M138" s="650"/>
      <c r="N138" s="650"/>
      <c r="O138" s="650"/>
      <c r="P138" s="650"/>
      <c r="Q138" s="650"/>
      <c r="R138" s="650"/>
      <c r="S138" s="650"/>
      <c r="T138" s="650"/>
      <c r="U138" s="650"/>
      <c r="V138" s="650"/>
      <c r="W138" s="650"/>
      <c r="X138" s="650"/>
      <c r="Y138" s="650"/>
      <c r="Z138" s="650"/>
    </row>
    <row r="139" spans="1:26" s="205" customFormat="1">
      <c r="A139" s="650"/>
      <c r="B139" s="650"/>
      <c r="C139" s="650"/>
      <c r="D139" s="650"/>
      <c r="E139" s="650"/>
      <c r="F139" s="650"/>
      <c r="G139" s="650"/>
      <c r="H139" s="650"/>
      <c r="I139" s="650"/>
      <c r="J139" s="650"/>
      <c r="K139" s="650"/>
      <c r="L139" s="650"/>
      <c r="M139" s="650"/>
      <c r="N139" s="650"/>
      <c r="O139" s="650"/>
      <c r="P139" s="650"/>
      <c r="Q139" s="650"/>
      <c r="R139" s="650"/>
      <c r="S139" s="650"/>
      <c r="T139" s="650"/>
      <c r="U139" s="650"/>
      <c r="V139" s="650"/>
      <c r="W139" s="650"/>
      <c r="X139" s="650"/>
      <c r="Y139" s="650"/>
      <c r="Z139" s="650"/>
    </row>
    <row r="140" spans="1:26" s="204" customFormat="1" ht="13.5" thickBot="1">
      <c r="A140" s="650"/>
      <c r="B140" s="650"/>
      <c r="C140" s="650"/>
      <c r="D140" s="650"/>
      <c r="E140" s="650"/>
      <c r="F140" s="650"/>
      <c r="G140" s="650"/>
      <c r="H140" s="650"/>
      <c r="I140" s="650"/>
      <c r="J140" s="650"/>
      <c r="K140" s="650"/>
      <c r="L140" s="650"/>
      <c r="M140" s="650"/>
      <c r="N140" s="650"/>
      <c r="O140" s="650"/>
      <c r="P140" s="650"/>
      <c r="Q140" s="650"/>
      <c r="R140" s="650"/>
      <c r="S140" s="650"/>
      <c r="T140" s="650"/>
      <c r="U140" s="650"/>
      <c r="V140" s="650"/>
      <c r="W140" s="650"/>
      <c r="X140" s="650"/>
      <c r="Y140" s="650"/>
      <c r="Z140" s="650"/>
    </row>
    <row r="141" spans="1:26">
      <c r="A141" s="650"/>
      <c r="B141" s="650"/>
      <c r="C141" s="650"/>
      <c r="D141" s="650"/>
      <c r="E141" s="650"/>
      <c r="F141" s="650"/>
      <c r="G141" s="650"/>
      <c r="H141" s="650"/>
      <c r="I141" s="650"/>
      <c r="J141" s="650"/>
      <c r="K141" s="650"/>
      <c r="L141" s="650"/>
      <c r="M141" s="650"/>
      <c r="N141" s="650"/>
      <c r="O141" s="650"/>
      <c r="P141" s="650"/>
      <c r="Q141" s="650"/>
      <c r="R141" s="650"/>
      <c r="S141" s="650"/>
      <c r="T141" s="650"/>
      <c r="U141" s="650"/>
      <c r="V141" s="650"/>
      <c r="W141" s="650"/>
      <c r="X141" s="650"/>
      <c r="Y141" s="650"/>
      <c r="Z141" s="650"/>
    </row>
    <row r="142" spans="1:26" s="205" customFormat="1">
      <c r="A142" s="650"/>
      <c r="B142" s="650"/>
      <c r="C142" s="650"/>
      <c r="D142" s="650"/>
      <c r="E142" s="650"/>
      <c r="F142" s="650"/>
      <c r="G142" s="650"/>
      <c r="H142" s="650"/>
      <c r="I142" s="650"/>
      <c r="J142" s="650"/>
      <c r="K142" s="650"/>
      <c r="L142" s="650"/>
      <c r="M142" s="650"/>
      <c r="N142" s="650"/>
      <c r="O142" s="650"/>
      <c r="P142" s="650"/>
      <c r="Q142" s="650"/>
      <c r="R142" s="650"/>
      <c r="S142" s="650"/>
      <c r="T142" s="650"/>
      <c r="U142" s="650"/>
      <c r="V142" s="650"/>
      <c r="W142" s="650"/>
      <c r="X142" s="650"/>
      <c r="Y142" s="650"/>
      <c r="Z142" s="650"/>
    </row>
    <row r="143" spans="1:26" s="204" customFormat="1" ht="13.5" thickBot="1">
      <c r="A143" s="650"/>
      <c r="B143" s="650"/>
      <c r="C143" s="650"/>
      <c r="D143" s="650"/>
      <c r="E143" s="650"/>
      <c r="F143" s="650"/>
      <c r="G143" s="650"/>
      <c r="H143" s="650"/>
      <c r="I143" s="650"/>
      <c r="J143" s="650"/>
      <c r="K143" s="650"/>
      <c r="L143" s="650"/>
      <c r="M143" s="650"/>
      <c r="N143" s="650"/>
      <c r="O143" s="650"/>
      <c r="P143" s="650"/>
      <c r="Q143" s="650"/>
      <c r="R143" s="650"/>
      <c r="S143" s="650"/>
      <c r="T143" s="650"/>
      <c r="U143" s="650"/>
      <c r="V143" s="650"/>
      <c r="W143" s="650"/>
      <c r="X143" s="650"/>
      <c r="Y143" s="650"/>
      <c r="Z143" s="650"/>
    </row>
    <row r="144" spans="1:26">
      <c r="A144" s="650"/>
      <c r="B144" s="650"/>
      <c r="C144" s="650"/>
      <c r="D144" s="650"/>
      <c r="E144" s="650"/>
      <c r="F144" s="650"/>
      <c r="G144" s="650"/>
      <c r="H144" s="650"/>
      <c r="I144" s="650"/>
      <c r="J144" s="650"/>
      <c r="K144" s="650"/>
      <c r="L144" s="650"/>
      <c r="M144" s="650"/>
      <c r="N144" s="650"/>
      <c r="O144" s="650"/>
      <c r="P144" s="650"/>
      <c r="Q144" s="650"/>
      <c r="R144" s="650"/>
      <c r="S144" s="650"/>
      <c r="T144" s="650"/>
      <c r="U144" s="650"/>
      <c r="V144" s="650"/>
      <c r="W144" s="650"/>
      <c r="X144" s="650"/>
      <c r="Y144" s="650"/>
      <c r="Z144" s="650"/>
    </row>
    <row r="145" spans="1:26" s="205" customFormat="1" ht="13.5" thickBot="1">
      <c r="A145" s="650"/>
      <c r="B145" s="650"/>
      <c r="C145" s="650"/>
      <c r="D145" s="650"/>
      <c r="E145" s="650"/>
      <c r="F145" s="650"/>
      <c r="G145" s="650"/>
      <c r="H145" s="650"/>
      <c r="I145" s="650"/>
      <c r="J145" s="650"/>
      <c r="K145" s="650"/>
      <c r="L145" s="650"/>
      <c r="M145" s="650"/>
      <c r="N145" s="650"/>
      <c r="O145" s="650"/>
      <c r="P145" s="650"/>
      <c r="Q145" s="650"/>
      <c r="R145" s="650"/>
      <c r="S145" s="650"/>
      <c r="T145" s="650"/>
      <c r="U145" s="650"/>
      <c r="V145" s="650"/>
      <c r="W145" s="650"/>
      <c r="X145" s="650"/>
      <c r="Y145" s="650"/>
      <c r="Z145" s="650"/>
    </row>
    <row r="146" spans="1:26" s="204" customFormat="1">
      <c r="A146" s="650"/>
      <c r="B146" s="650"/>
      <c r="C146" s="650"/>
      <c r="D146" s="650"/>
      <c r="E146" s="650"/>
      <c r="F146" s="650"/>
      <c r="G146" s="650"/>
      <c r="H146" s="650"/>
      <c r="I146" s="650"/>
      <c r="J146" s="650"/>
      <c r="K146" s="650"/>
      <c r="L146" s="650"/>
      <c r="M146" s="650"/>
      <c r="N146" s="650"/>
      <c r="O146" s="650"/>
      <c r="P146" s="650"/>
      <c r="Q146" s="650"/>
      <c r="R146" s="650"/>
      <c r="S146" s="650"/>
      <c r="T146" s="650"/>
      <c r="U146" s="650"/>
      <c r="V146" s="650"/>
      <c r="W146" s="650"/>
      <c r="X146" s="650"/>
      <c r="Y146" s="650"/>
      <c r="Z146" s="650"/>
    </row>
    <row r="147" spans="1:26">
      <c r="A147" s="650"/>
      <c r="B147" s="650"/>
      <c r="C147" s="650"/>
      <c r="D147" s="650"/>
      <c r="E147" s="650"/>
      <c r="F147" s="650"/>
      <c r="G147" s="650"/>
      <c r="H147" s="650"/>
      <c r="I147" s="650"/>
      <c r="J147" s="650"/>
      <c r="K147" s="650"/>
      <c r="L147" s="650"/>
      <c r="M147" s="650"/>
      <c r="N147" s="650"/>
      <c r="O147" s="650"/>
      <c r="P147" s="650"/>
      <c r="Q147" s="650"/>
      <c r="R147" s="650"/>
      <c r="S147" s="650"/>
      <c r="T147" s="650"/>
      <c r="U147" s="650"/>
      <c r="V147" s="650"/>
      <c r="W147" s="650"/>
      <c r="X147" s="650"/>
      <c r="Y147" s="650"/>
      <c r="Z147" s="650"/>
    </row>
    <row r="148" spans="1:26" s="205" customFormat="1" ht="13.5" thickBot="1">
      <c r="A148" s="650"/>
      <c r="B148" s="650"/>
      <c r="C148" s="650"/>
      <c r="D148" s="650"/>
      <c r="E148" s="650"/>
      <c r="F148" s="650"/>
      <c r="G148" s="650"/>
      <c r="H148" s="650"/>
      <c r="I148" s="650"/>
      <c r="J148" s="650"/>
      <c r="K148" s="650"/>
      <c r="L148" s="650"/>
      <c r="M148" s="650"/>
      <c r="N148" s="650"/>
      <c r="O148" s="650"/>
      <c r="P148" s="650"/>
      <c r="Q148" s="650"/>
      <c r="R148" s="650"/>
      <c r="S148" s="650"/>
      <c r="T148" s="650"/>
      <c r="U148" s="650"/>
      <c r="V148" s="650"/>
      <c r="W148" s="650"/>
      <c r="X148" s="650"/>
      <c r="Y148" s="650"/>
      <c r="Z148" s="650"/>
    </row>
    <row r="149" spans="1:26" s="204" customFormat="1">
      <c r="A149" s="650"/>
      <c r="B149" s="650"/>
      <c r="C149" s="650"/>
      <c r="D149" s="650"/>
      <c r="E149" s="650"/>
      <c r="F149" s="650"/>
      <c r="G149" s="650"/>
      <c r="H149" s="650"/>
      <c r="I149" s="650"/>
      <c r="J149" s="650"/>
      <c r="K149" s="650"/>
      <c r="L149" s="650"/>
      <c r="M149" s="650"/>
      <c r="N149" s="650"/>
      <c r="O149" s="650"/>
      <c r="P149" s="650"/>
      <c r="Q149" s="650"/>
      <c r="R149" s="650"/>
      <c r="S149" s="650"/>
      <c r="T149" s="650"/>
      <c r="U149" s="650"/>
      <c r="V149" s="650"/>
      <c r="W149" s="650"/>
      <c r="X149" s="650"/>
      <c r="Y149" s="650"/>
      <c r="Z149" s="650"/>
    </row>
    <row r="150" spans="1:26">
      <c r="A150" s="650"/>
      <c r="B150" s="650"/>
      <c r="C150" s="650"/>
      <c r="D150" s="650"/>
      <c r="E150" s="650"/>
      <c r="F150" s="650"/>
      <c r="G150" s="650"/>
      <c r="H150" s="650"/>
      <c r="I150" s="650"/>
      <c r="J150" s="650"/>
      <c r="K150" s="650"/>
      <c r="L150" s="650"/>
      <c r="M150" s="650"/>
      <c r="N150" s="650"/>
      <c r="O150" s="650"/>
      <c r="P150" s="650"/>
      <c r="Q150" s="650"/>
      <c r="R150" s="650"/>
      <c r="S150" s="650"/>
      <c r="T150" s="650"/>
      <c r="U150" s="650"/>
      <c r="V150" s="650"/>
      <c r="W150" s="650"/>
      <c r="X150" s="650"/>
      <c r="Y150" s="650"/>
      <c r="Z150" s="650"/>
    </row>
    <row r="151" spans="1:26" s="205" customFormat="1" ht="13.5" thickBot="1">
      <c r="A151" s="650"/>
      <c r="B151" s="65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650"/>
      <c r="Y151" s="650"/>
      <c r="Z151" s="650"/>
    </row>
    <row r="152" spans="1:26" s="204" customFormat="1">
      <c r="A152" s="650"/>
      <c r="B152" s="65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650"/>
      <c r="Y152" s="650"/>
      <c r="Z152" s="650"/>
    </row>
    <row r="153" spans="1:26">
      <c r="A153" s="650"/>
      <c r="B153" s="650"/>
      <c r="C153" s="650"/>
      <c r="D153" s="650"/>
      <c r="E153" s="650"/>
      <c r="F153" s="650"/>
      <c r="G153" s="650"/>
      <c r="H153" s="650"/>
      <c r="I153" s="650"/>
      <c r="J153" s="650"/>
      <c r="K153" s="650"/>
      <c r="L153" s="650"/>
      <c r="M153" s="650"/>
      <c r="N153" s="650"/>
      <c r="O153" s="650"/>
      <c r="P153" s="650"/>
      <c r="Q153" s="650"/>
      <c r="R153" s="650"/>
      <c r="S153" s="650"/>
      <c r="T153" s="650"/>
      <c r="U153" s="650"/>
      <c r="V153" s="650"/>
      <c r="W153" s="650"/>
      <c r="X153" s="650"/>
      <c r="Y153" s="650"/>
      <c r="Z153" s="650"/>
    </row>
    <row r="154" spans="1:26" s="205" customFormat="1" ht="13.5" thickBot="1">
      <c r="A154" s="650"/>
      <c r="B154" s="650"/>
      <c r="C154" s="650"/>
      <c r="D154" s="650"/>
      <c r="E154" s="650"/>
      <c r="F154" s="650"/>
      <c r="G154" s="650"/>
      <c r="H154" s="650"/>
      <c r="I154" s="650"/>
      <c r="J154" s="650"/>
      <c r="K154" s="650"/>
      <c r="L154" s="650"/>
      <c r="M154" s="650"/>
      <c r="N154" s="650"/>
      <c r="O154" s="650"/>
      <c r="P154" s="650"/>
      <c r="Q154" s="650"/>
      <c r="R154" s="650"/>
      <c r="S154" s="650"/>
      <c r="T154" s="650"/>
      <c r="U154" s="650"/>
      <c r="V154" s="650"/>
      <c r="W154" s="650"/>
      <c r="X154" s="650"/>
      <c r="Y154" s="650"/>
      <c r="Z154" s="650"/>
    </row>
    <row r="155" spans="1:26" s="204" customFormat="1">
      <c r="A155" s="650"/>
      <c r="B155" s="650"/>
      <c r="C155" s="650"/>
      <c r="D155" s="650"/>
      <c r="E155" s="650"/>
      <c r="F155" s="650"/>
      <c r="G155" s="650"/>
      <c r="H155" s="650"/>
      <c r="I155" s="650"/>
      <c r="J155" s="650"/>
      <c r="K155" s="650"/>
      <c r="L155" s="650"/>
      <c r="M155" s="650"/>
      <c r="N155" s="650"/>
      <c r="O155" s="650"/>
      <c r="P155" s="650"/>
      <c r="Q155" s="650"/>
      <c r="R155" s="650"/>
      <c r="S155" s="650"/>
      <c r="T155" s="650"/>
      <c r="U155" s="650"/>
      <c r="V155" s="650"/>
      <c r="W155" s="650"/>
      <c r="X155" s="650"/>
      <c r="Y155" s="650"/>
      <c r="Z155" s="650"/>
    </row>
    <row r="156" spans="1:26">
      <c r="A156" s="650"/>
      <c r="B156" s="650"/>
      <c r="C156" s="650"/>
      <c r="D156" s="650"/>
      <c r="E156" s="650"/>
      <c r="F156" s="650"/>
      <c r="G156" s="650"/>
      <c r="H156" s="650"/>
      <c r="I156" s="650"/>
      <c r="J156" s="650"/>
      <c r="K156" s="650"/>
      <c r="L156" s="650"/>
      <c r="M156" s="650"/>
      <c r="N156" s="650"/>
      <c r="O156" s="650"/>
      <c r="P156" s="650"/>
      <c r="Q156" s="650"/>
      <c r="R156" s="650"/>
      <c r="S156" s="650"/>
      <c r="T156" s="650"/>
      <c r="U156" s="650"/>
      <c r="V156" s="650"/>
      <c r="W156" s="650"/>
      <c r="X156" s="650"/>
      <c r="Y156" s="650"/>
      <c r="Z156" s="650"/>
    </row>
    <row r="157" spans="1:26" s="205" customFormat="1" ht="13.5" thickBot="1">
      <c r="A157" s="650"/>
      <c r="B157" s="650"/>
      <c r="C157" s="650"/>
      <c r="D157" s="650"/>
      <c r="E157" s="650"/>
      <c r="F157" s="650"/>
      <c r="G157" s="650"/>
      <c r="H157" s="650"/>
      <c r="I157" s="650"/>
      <c r="J157" s="650"/>
      <c r="K157" s="650"/>
      <c r="L157" s="650"/>
      <c r="M157" s="650"/>
      <c r="N157" s="650"/>
      <c r="O157" s="650"/>
      <c r="P157" s="650"/>
      <c r="Q157" s="650"/>
      <c r="R157" s="650"/>
      <c r="S157" s="650"/>
      <c r="T157" s="650"/>
      <c r="U157" s="650"/>
      <c r="V157" s="650"/>
      <c r="W157" s="650"/>
      <c r="X157" s="650"/>
      <c r="Y157" s="650"/>
      <c r="Z157" s="650"/>
    </row>
    <row r="158" spans="1:26" s="204" customFormat="1">
      <c r="A158" s="650"/>
      <c r="B158" s="650"/>
      <c r="C158" s="650"/>
      <c r="D158" s="650"/>
      <c r="E158" s="650"/>
      <c r="F158" s="650"/>
      <c r="G158" s="650"/>
      <c r="H158" s="650"/>
      <c r="I158" s="650"/>
      <c r="J158" s="650"/>
      <c r="K158" s="650"/>
      <c r="L158" s="650"/>
      <c r="M158" s="650"/>
      <c r="N158" s="650"/>
      <c r="O158" s="650"/>
      <c r="P158" s="650"/>
      <c r="Q158" s="650"/>
      <c r="R158" s="650"/>
      <c r="S158" s="650"/>
      <c r="T158" s="650"/>
      <c r="U158" s="650"/>
      <c r="V158" s="650"/>
      <c r="W158" s="650"/>
      <c r="X158" s="650"/>
      <c r="Y158" s="650"/>
      <c r="Z158" s="650"/>
    </row>
    <row r="159" spans="1:26">
      <c r="A159" s="650"/>
      <c r="B159" s="650"/>
      <c r="C159" s="650"/>
      <c r="D159" s="650"/>
      <c r="E159" s="650"/>
      <c r="F159" s="650"/>
      <c r="G159" s="650"/>
      <c r="H159" s="650"/>
      <c r="I159" s="650"/>
      <c r="J159" s="650"/>
      <c r="K159" s="650"/>
      <c r="L159" s="650"/>
      <c r="M159" s="650"/>
      <c r="N159" s="650"/>
      <c r="O159" s="650"/>
      <c r="P159" s="650"/>
      <c r="Q159" s="650"/>
      <c r="R159" s="650"/>
      <c r="S159" s="650"/>
      <c r="T159" s="650"/>
      <c r="U159" s="650"/>
      <c r="V159" s="650"/>
      <c r="W159" s="650"/>
      <c r="X159" s="650"/>
      <c r="Y159" s="650"/>
      <c r="Z159" s="650"/>
    </row>
    <row r="160" spans="1:26" s="205" customFormat="1">
      <c r="A160" s="650"/>
      <c r="B160" s="650"/>
      <c r="C160" s="650"/>
      <c r="D160" s="650"/>
      <c r="E160" s="650"/>
      <c r="F160" s="650"/>
      <c r="G160" s="650"/>
      <c r="H160" s="650"/>
      <c r="I160" s="650"/>
      <c r="J160" s="650"/>
      <c r="K160" s="650"/>
      <c r="L160" s="650"/>
      <c r="M160" s="650"/>
      <c r="N160" s="650"/>
      <c r="O160" s="650"/>
      <c r="P160" s="650"/>
      <c r="Q160" s="650"/>
      <c r="R160" s="650"/>
      <c r="S160" s="650"/>
      <c r="T160" s="650"/>
      <c r="U160" s="650"/>
      <c r="V160" s="650"/>
      <c r="W160" s="650"/>
      <c r="X160" s="650"/>
      <c r="Y160" s="650"/>
      <c r="Z160" s="650"/>
    </row>
    <row r="161" spans="1:26" s="214" customFormat="1" ht="13.5" thickBot="1">
      <c r="A161" s="650"/>
      <c r="B161" s="650"/>
      <c r="C161" s="650"/>
      <c r="D161" s="650"/>
      <c r="E161" s="650"/>
      <c r="F161" s="650"/>
      <c r="G161" s="650"/>
      <c r="H161" s="650"/>
      <c r="I161" s="650"/>
      <c r="J161" s="650"/>
      <c r="K161" s="650"/>
      <c r="L161" s="650"/>
      <c r="M161" s="650"/>
      <c r="N161" s="650"/>
      <c r="O161" s="650"/>
      <c r="P161" s="650"/>
      <c r="Q161" s="650"/>
      <c r="R161" s="650"/>
      <c r="S161" s="650"/>
      <c r="T161" s="650"/>
      <c r="U161" s="650"/>
      <c r="V161" s="650"/>
      <c r="W161" s="650"/>
      <c r="X161" s="650"/>
      <c r="Y161" s="650"/>
      <c r="Z161" s="650"/>
    </row>
    <row r="162" spans="1:26">
      <c r="A162" s="650"/>
      <c r="B162" s="650"/>
      <c r="C162" s="650"/>
      <c r="D162" s="650"/>
      <c r="E162" s="650"/>
      <c r="F162" s="650"/>
      <c r="G162" s="650"/>
      <c r="H162" s="650"/>
      <c r="I162" s="650"/>
      <c r="J162" s="650"/>
      <c r="K162" s="650"/>
      <c r="L162" s="650"/>
      <c r="M162" s="650"/>
      <c r="N162" s="650"/>
      <c r="O162" s="650"/>
      <c r="P162" s="650"/>
      <c r="Q162" s="650"/>
      <c r="R162" s="650"/>
      <c r="S162" s="650"/>
      <c r="T162" s="650"/>
      <c r="U162" s="650"/>
      <c r="V162" s="650"/>
      <c r="W162" s="650"/>
      <c r="X162" s="650"/>
      <c r="Y162" s="650"/>
      <c r="Z162" s="650"/>
    </row>
    <row r="163" spans="1:26" s="205" customFormat="1" ht="13.5" thickBot="1">
      <c r="A163" s="650"/>
      <c r="B163" s="650"/>
      <c r="C163" s="650"/>
      <c r="D163" s="650"/>
      <c r="E163" s="650"/>
      <c r="F163" s="650"/>
      <c r="G163" s="650"/>
      <c r="H163" s="650"/>
      <c r="I163" s="650"/>
      <c r="J163" s="650"/>
      <c r="K163" s="650"/>
      <c r="L163" s="650"/>
      <c r="M163" s="650"/>
      <c r="N163" s="650"/>
      <c r="O163" s="650"/>
      <c r="P163" s="650"/>
      <c r="Q163" s="650"/>
      <c r="R163" s="650"/>
      <c r="S163" s="650"/>
      <c r="T163" s="650"/>
      <c r="U163" s="650"/>
      <c r="V163" s="650"/>
      <c r="W163" s="650"/>
      <c r="X163" s="650"/>
      <c r="Y163" s="650"/>
      <c r="Z163" s="650"/>
    </row>
    <row r="164" spans="1:26" s="204" customFormat="1">
      <c r="A164" s="650"/>
      <c r="B164" s="650"/>
      <c r="C164" s="650"/>
      <c r="D164" s="650"/>
      <c r="E164" s="650"/>
      <c r="F164" s="650"/>
      <c r="G164" s="650"/>
      <c r="H164" s="650"/>
      <c r="I164" s="650"/>
      <c r="J164" s="650"/>
      <c r="K164" s="650"/>
      <c r="L164" s="650"/>
      <c r="M164" s="650"/>
      <c r="N164" s="650"/>
      <c r="O164" s="650"/>
      <c r="P164" s="650"/>
      <c r="Q164" s="650"/>
      <c r="R164" s="650"/>
      <c r="S164" s="650"/>
      <c r="T164" s="650"/>
      <c r="U164" s="650"/>
      <c r="V164" s="650"/>
      <c r="W164" s="650"/>
      <c r="X164" s="650"/>
      <c r="Y164" s="650"/>
      <c r="Z164" s="650"/>
    </row>
    <row r="165" spans="1:26">
      <c r="A165" s="650"/>
      <c r="B165" s="650"/>
      <c r="C165" s="650"/>
      <c r="D165" s="650"/>
      <c r="E165" s="650"/>
      <c r="F165" s="650"/>
      <c r="G165" s="650"/>
      <c r="H165" s="650"/>
      <c r="I165" s="650"/>
      <c r="J165" s="650"/>
      <c r="K165" s="650"/>
      <c r="L165" s="650"/>
      <c r="M165" s="650"/>
      <c r="N165" s="650"/>
      <c r="O165" s="650"/>
      <c r="P165" s="650"/>
      <c r="Q165" s="650"/>
      <c r="R165" s="650"/>
      <c r="S165" s="650"/>
      <c r="T165" s="650"/>
      <c r="U165" s="650"/>
      <c r="V165" s="650"/>
      <c r="W165" s="650"/>
      <c r="X165" s="650"/>
      <c r="Y165" s="650"/>
      <c r="Z165" s="650"/>
    </row>
    <row r="166" spans="1:26" s="205" customFormat="1" ht="13.5" thickBot="1">
      <c r="A166" s="650"/>
      <c r="B166" s="650"/>
      <c r="C166" s="650"/>
      <c r="D166" s="650"/>
      <c r="E166" s="650"/>
      <c r="F166" s="650"/>
      <c r="G166" s="650"/>
      <c r="H166" s="650"/>
      <c r="I166" s="650"/>
      <c r="J166" s="650"/>
      <c r="K166" s="650"/>
      <c r="L166" s="650"/>
      <c r="M166" s="650"/>
      <c r="N166" s="650"/>
      <c r="O166" s="650"/>
      <c r="P166" s="650"/>
      <c r="Q166" s="650"/>
      <c r="R166" s="650"/>
      <c r="S166" s="650"/>
      <c r="T166" s="650"/>
      <c r="U166" s="650"/>
      <c r="V166" s="650"/>
      <c r="W166" s="650"/>
      <c r="X166" s="650"/>
      <c r="Y166" s="650"/>
      <c r="Z166" s="650"/>
    </row>
    <row r="167" spans="1:26" s="204" customFormat="1">
      <c r="A167" s="650"/>
      <c r="B167" s="650"/>
      <c r="C167" s="650"/>
      <c r="D167" s="650"/>
      <c r="E167" s="650"/>
      <c r="F167" s="650"/>
      <c r="G167" s="650"/>
      <c r="H167" s="650"/>
      <c r="I167" s="650"/>
      <c r="J167" s="650"/>
      <c r="K167" s="650"/>
      <c r="L167" s="650"/>
      <c r="M167" s="650"/>
      <c r="N167" s="650"/>
      <c r="O167" s="650"/>
      <c r="P167" s="650"/>
      <c r="Q167" s="650"/>
      <c r="R167" s="650"/>
      <c r="S167" s="650"/>
      <c r="T167" s="650"/>
      <c r="U167" s="650"/>
      <c r="V167" s="650"/>
      <c r="W167" s="650"/>
      <c r="X167" s="650"/>
      <c r="Y167" s="650"/>
      <c r="Z167" s="650"/>
    </row>
    <row r="168" spans="1:26">
      <c r="A168" s="650"/>
      <c r="B168" s="650"/>
      <c r="C168" s="650"/>
      <c r="D168" s="650"/>
      <c r="E168" s="650"/>
      <c r="F168" s="650"/>
      <c r="G168" s="650"/>
      <c r="H168" s="650"/>
      <c r="I168" s="650"/>
      <c r="J168" s="650"/>
      <c r="K168" s="650"/>
      <c r="L168" s="650"/>
      <c r="M168" s="650"/>
      <c r="N168" s="650"/>
      <c r="O168" s="650"/>
      <c r="P168" s="650"/>
      <c r="Q168" s="650"/>
      <c r="R168" s="650"/>
      <c r="S168" s="650"/>
      <c r="T168" s="650"/>
      <c r="U168" s="650"/>
      <c r="V168" s="650"/>
      <c r="W168" s="650"/>
      <c r="X168" s="650"/>
      <c r="Y168" s="650"/>
      <c r="Z168" s="650"/>
    </row>
    <row r="169" spans="1:26" s="205" customFormat="1">
      <c r="A169" s="650"/>
      <c r="B169" s="650"/>
      <c r="C169" s="650"/>
      <c r="D169" s="650"/>
      <c r="E169" s="650"/>
      <c r="F169" s="650"/>
      <c r="G169" s="650"/>
      <c r="H169" s="650"/>
      <c r="I169" s="650"/>
      <c r="J169" s="650"/>
      <c r="K169" s="650"/>
      <c r="L169" s="650"/>
      <c r="M169" s="650"/>
      <c r="N169" s="650"/>
      <c r="O169" s="650"/>
      <c r="P169" s="650"/>
      <c r="Q169" s="650"/>
      <c r="R169" s="650"/>
      <c r="S169" s="650"/>
      <c r="T169" s="650"/>
      <c r="U169" s="650"/>
      <c r="V169" s="650"/>
      <c r="W169" s="650"/>
      <c r="X169" s="650"/>
      <c r="Y169" s="650"/>
      <c r="Z169" s="650"/>
    </row>
    <row r="170" spans="1:26" s="204" customFormat="1" ht="13.5" thickBot="1">
      <c r="A170" s="650"/>
      <c r="B170" s="650"/>
      <c r="C170" s="650"/>
      <c r="D170" s="650"/>
      <c r="E170" s="650"/>
      <c r="F170" s="650"/>
      <c r="G170" s="650"/>
      <c r="H170" s="650"/>
      <c r="I170" s="650"/>
      <c r="J170" s="650"/>
      <c r="K170" s="650"/>
      <c r="L170" s="650"/>
      <c r="M170" s="650"/>
      <c r="N170" s="650"/>
      <c r="O170" s="650"/>
      <c r="P170" s="650"/>
      <c r="Q170" s="650"/>
      <c r="R170" s="650"/>
      <c r="S170" s="650"/>
      <c r="T170" s="650"/>
      <c r="U170" s="650"/>
      <c r="V170" s="650"/>
      <c r="W170" s="650"/>
      <c r="X170" s="650"/>
      <c r="Y170" s="650"/>
      <c r="Z170" s="650"/>
    </row>
    <row r="171" spans="1:26">
      <c r="A171" s="650"/>
      <c r="B171" s="650"/>
      <c r="C171" s="650"/>
      <c r="D171" s="650"/>
      <c r="E171" s="650"/>
      <c r="F171" s="650"/>
      <c r="G171" s="650"/>
      <c r="H171" s="650"/>
      <c r="I171" s="650"/>
      <c r="J171" s="650"/>
      <c r="K171" s="650"/>
      <c r="L171" s="650"/>
      <c r="M171" s="650"/>
      <c r="N171" s="650"/>
      <c r="O171" s="650"/>
      <c r="P171" s="650"/>
      <c r="Q171" s="650"/>
      <c r="R171" s="650"/>
      <c r="S171" s="650"/>
      <c r="T171" s="650"/>
      <c r="U171" s="650"/>
      <c r="V171" s="650"/>
      <c r="W171" s="650"/>
      <c r="X171" s="650"/>
      <c r="Y171" s="650"/>
      <c r="Z171" s="650"/>
    </row>
    <row r="172" spans="1:26" s="205" customFormat="1">
      <c r="A172" s="650"/>
      <c r="B172" s="650"/>
      <c r="C172" s="650"/>
      <c r="D172" s="650"/>
      <c r="E172" s="650"/>
      <c r="F172" s="650"/>
      <c r="G172" s="650"/>
      <c r="H172" s="650"/>
      <c r="I172" s="650"/>
      <c r="J172" s="650"/>
      <c r="K172" s="650"/>
      <c r="L172" s="650"/>
      <c r="M172" s="650"/>
      <c r="N172" s="650"/>
      <c r="O172" s="650"/>
      <c r="P172" s="650"/>
      <c r="Q172" s="650"/>
      <c r="R172" s="650"/>
      <c r="S172" s="650"/>
      <c r="T172" s="650"/>
      <c r="U172" s="650"/>
      <c r="V172" s="650"/>
      <c r="W172" s="650"/>
      <c r="X172" s="650"/>
      <c r="Y172" s="650"/>
      <c r="Z172" s="650"/>
    </row>
    <row r="173" spans="1:26" s="204" customFormat="1">
      <c r="A173" s="650"/>
      <c r="B173" s="650"/>
      <c r="C173" s="650"/>
      <c r="D173" s="650"/>
      <c r="E173" s="650"/>
      <c r="F173" s="650"/>
      <c r="G173" s="650"/>
      <c r="H173" s="650"/>
      <c r="I173" s="650"/>
      <c r="J173" s="650"/>
      <c r="K173" s="650"/>
      <c r="L173" s="650"/>
      <c r="M173" s="650"/>
      <c r="N173" s="650"/>
      <c r="O173" s="650"/>
      <c r="P173" s="650"/>
      <c r="Q173" s="650"/>
      <c r="R173" s="650"/>
      <c r="S173" s="650"/>
      <c r="T173" s="650"/>
      <c r="U173" s="650"/>
      <c r="V173" s="650"/>
      <c r="W173" s="650"/>
      <c r="X173" s="650"/>
      <c r="Y173" s="650"/>
      <c r="Z173" s="650"/>
    </row>
    <row r="174" spans="1:26" ht="13.5" thickBot="1">
      <c r="A174" s="650"/>
      <c r="B174" s="650"/>
      <c r="C174" s="650"/>
      <c r="D174" s="650"/>
      <c r="E174" s="650"/>
      <c r="F174" s="650"/>
      <c r="G174" s="650"/>
      <c r="H174" s="650"/>
      <c r="I174" s="650"/>
      <c r="J174" s="650"/>
      <c r="K174" s="650"/>
      <c r="L174" s="650"/>
      <c r="M174" s="650"/>
      <c r="N174" s="650"/>
      <c r="O174" s="650"/>
      <c r="P174" s="650"/>
      <c r="Q174" s="650"/>
      <c r="R174" s="650"/>
      <c r="S174" s="650"/>
      <c r="T174" s="650"/>
      <c r="U174" s="650"/>
      <c r="V174" s="650"/>
      <c r="W174" s="650"/>
      <c r="X174" s="650"/>
      <c r="Y174" s="650"/>
      <c r="Z174" s="650"/>
    </row>
    <row r="175" spans="1:26" s="205" customFormat="1" ht="13.5" thickBot="1">
      <c r="A175" s="650"/>
      <c r="B175" s="650"/>
      <c r="C175" s="650"/>
      <c r="D175" s="650"/>
      <c r="E175" s="650"/>
      <c r="F175" s="650"/>
      <c r="G175" s="650"/>
      <c r="H175" s="650"/>
      <c r="I175" s="650"/>
      <c r="J175" s="650"/>
      <c r="K175" s="650"/>
      <c r="L175" s="650"/>
      <c r="M175" s="650"/>
      <c r="N175" s="650"/>
      <c r="O175" s="650"/>
      <c r="P175" s="650"/>
      <c r="Q175" s="650"/>
      <c r="R175" s="650"/>
      <c r="S175" s="650"/>
      <c r="T175" s="650"/>
      <c r="U175" s="650"/>
      <c r="V175" s="650"/>
      <c r="W175" s="650"/>
      <c r="X175" s="650"/>
      <c r="Y175" s="650"/>
      <c r="Z175" s="650"/>
    </row>
    <row r="176" spans="1:26" s="204" customFormat="1">
      <c r="A176" s="650"/>
      <c r="B176" s="650"/>
      <c r="C176" s="650"/>
      <c r="D176" s="650"/>
      <c r="E176" s="650"/>
      <c r="F176" s="650"/>
      <c r="G176" s="650"/>
      <c r="H176" s="650"/>
      <c r="I176" s="650"/>
      <c r="J176" s="650"/>
      <c r="K176" s="650"/>
      <c r="L176" s="650"/>
      <c r="M176" s="650"/>
      <c r="N176" s="650"/>
      <c r="O176" s="650"/>
      <c r="P176" s="650"/>
      <c r="Q176" s="650"/>
      <c r="R176" s="650"/>
      <c r="S176" s="650"/>
      <c r="T176" s="650"/>
      <c r="U176" s="650"/>
      <c r="V176" s="650"/>
      <c r="W176" s="650"/>
      <c r="X176" s="650"/>
      <c r="Y176" s="650"/>
      <c r="Z176" s="650"/>
    </row>
    <row r="177" spans="1:26">
      <c r="A177" s="650"/>
      <c r="B177" s="650"/>
      <c r="C177" s="650"/>
      <c r="D177" s="650"/>
      <c r="E177" s="650"/>
      <c r="F177" s="650"/>
      <c r="G177" s="650"/>
      <c r="H177" s="650"/>
      <c r="I177" s="650"/>
      <c r="J177" s="650"/>
      <c r="K177" s="650"/>
      <c r="L177" s="650"/>
      <c r="M177" s="650"/>
      <c r="N177" s="650"/>
      <c r="O177" s="650"/>
      <c r="P177" s="650"/>
      <c r="Q177" s="650"/>
      <c r="R177" s="650"/>
      <c r="S177" s="650"/>
      <c r="T177" s="650"/>
      <c r="U177" s="650"/>
      <c r="V177" s="650"/>
      <c r="W177" s="650"/>
      <c r="X177" s="650"/>
      <c r="Y177" s="650"/>
      <c r="Z177" s="650"/>
    </row>
    <row r="178" spans="1:26" s="205" customFormat="1" ht="13.5" thickBot="1">
      <c r="A178" s="650"/>
      <c r="B178" s="650"/>
      <c r="C178" s="650"/>
      <c r="D178" s="650"/>
      <c r="E178" s="650"/>
      <c r="F178" s="650"/>
      <c r="G178" s="650"/>
      <c r="H178" s="650"/>
      <c r="I178" s="650"/>
      <c r="J178" s="650"/>
      <c r="K178" s="650"/>
      <c r="L178" s="650"/>
      <c r="M178" s="650"/>
      <c r="N178" s="650"/>
      <c r="O178" s="650"/>
      <c r="P178" s="650"/>
      <c r="Q178" s="650"/>
      <c r="R178" s="650"/>
      <c r="S178" s="650"/>
      <c r="T178" s="650"/>
      <c r="U178" s="650"/>
      <c r="V178" s="650"/>
      <c r="W178" s="650"/>
      <c r="X178" s="650"/>
      <c r="Y178" s="650"/>
      <c r="Z178" s="650"/>
    </row>
    <row r="179" spans="1:26" s="204" customFormat="1">
      <c r="A179" s="650"/>
      <c r="B179" s="650"/>
      <c r="C179" s="650"/>
      <c r="D179" s="650"/>
      <c r="E179" s="650"/>
      <c r="F179" s="650"/>
      <c r="G179" s="650"/>
      <c r="H179" s="650"/>
      <c r="I179" s="650"/>
      <c r="J179" s="650"/>
      <c r="K179" s="650"/>
      <c r="L179" s="650"/>
      <c r="M179" s="650"/>
      <c r="N179" s="650"/>
      <c r="O179" s="650"/>
      <c r="P179" s="650"/>
      <c r="Q179" s="650"/>
      <c r="R179" s="650"/>
      <c r="S179" s="650"/>
      <c r="T179" s="650"/>
      <c r="U179" s="650"/>
      <c r="V179" s="650"/>
      <c r="W179" s="650"/>
      <c r="X179" s="650"/>
      <c r="Y179" s="650"/>
      <c r="Z179" s="650"/>
    </row>
    <row r="180" spans="1:26" ht="13.5" thickBot="1">
      <c r="A180" s="650"/>
      <c r="B180" s="650"/>
      <c r="C180" s="650"/>
      <c r="D180" s="650"/>
      <c r="E180" s="650"/>
      <c r="F180" s="650"/>
      <c r="G180" s="650"/>
      <c r="H180" s="650"/>
      <c r="I180" s="650"/>
      <c r="J180" s="650"/>
      <c r="K180" s="650"/>
      <c r="L180" s="650"/>
      <c r="M180" s="650"/>
      <c r="N180" s="650"/>
      <c r="O180" s="650"/>
      <c r="P180" s="650"/>
      <c r="Q180" s="650"/>
      <c r="R180" s="650"/>
      <c r="S180" s="650"/>
      <c r="T180" s="650"/>
      <c r="U180" s="650"/>
      <c r="V180" s="650"/>
      <c r="W180" s="650"/>
      <c r="X180" s="650"/>
      <c r="Y180" s="650"/>
      <c r="Z180" s="650"/>
    </row>
    <row r="181" spans="1:26" s="205" customFormat="1">
      <c r="A181" s="650"/>
      <c r="B181" s="650"/>
      <c r="C181" s="650"/>
      <c r="D181" s="650"/>
      <c r="E181" s="650"/>
      <c r="F181" s="650"/>
      <c r="G181" s="650"/>
      <c r="H181" s="650"/>
      <c r="I181" s="650"/>
      <c r="J181" s="650"/>
      <c r="K181" s="650"/>
      <c r="L181" s="650"/>
      <c r="M181" s="650"/>
      <c r="N181" s="650"/>
      <c r="O181" s="650"/>
      <c r="P181" s="650"/>
      <c r="Q181" s="650"/>
      <c r="R181" s="650"/>
      <c r="S181" s="650"/>
      <c r="T181" s="650"/>
      <c r="U181" s="650"/>
      <c r="V181" s="650"/>
      <c r="W181" s="650"/>
      <c r="X181" s="650"/>
      <c r="Y181" s="650"/>
      <c r="Z181" s="650"/>
    </row>
    <row r="182" spans="1:26" s="204" customFormat="1">
      <c r="A182" s="650"/>
      <c r="B182" s="650"/>
      <c r="C182" s="650"/>
      <c r="D182" s="650"/>
      <c r="E182" s="650"/>
      <c r="F182" s="650"/>
      <c r="G182" s="650"/>
      <c r="H182" s="650"/>
      <c r="I182" s="650"/>
      <c r="J182" s="650"/>
      <c r="K182" s="650"/>
      <c r="L182" s="650"/>
      <c r="M182" s="650"/>
      <c r="N182" s="650"/>
      <c r="O182" s="650"/>
      <c r="P182" s="650"/>
      <c r="Q182" s="650"/>
      <c r="R182" s="650"/>
      <c r="S182" s="650"/>
      <c r="T182" s="650"/>
      <c r="U182" s="650"/>
      <c r="V182" s="650"/>
      <c r="W182" s="650"/>
      <c r="X182" s="650"/>
      <c r="Y182" s="650"/>
      <c r="Z182" s="650"/>
    </row>
    <row r="183" spans="1:26" ht="13.5" thickBot="1">
      <c r="A183" s="650"/>
      <c r="B183" s="650"/>
      <c r="C183" s="650"/>
      <c r="D183" s="650"/>
      <c r="E183" s="650"/>
      <c r="F183" s="650"/>
      <c r="G183" s="650"/>
      <c r="H183" s="650"/>
      <c r="I183" s="650"/>
      <c r="J183" s="650"/>
      <c r="K183" s="650"/>
      <c r="L183" s="650"/>
      <c r="M183" s="650"/>
      <c r="N183" s="650"/>
      <c r="O183" s="650"/>
      <c r="P183" s="650"/>
      <c r="Q183" s="650"/>
      <c r="R183" s="650"/>
      <c r="S183" s="650"/>
      <c r="T183" s="650"/>
      <c r="U183" s="650"/>
      <c r="V183" s="650"/>
      <c r="W183" s="650"/>
      <c r="X183" s="650"/>
      <c r="Y183" s="650"/>
      <c r="Z183" s="650"/>
    </row>
    <row r="184" spans="1:26" s="205" customFormat="1">
      <c r="A184" s="650"/>
      <c r="B184" s="650"/>
      <c r="C184" s="650"/>
      <c r="D184" s="650"/>
      <c r="E184" s="650"/>
      <c r="F184" s="650"/>
      <c r="G184" s="650"/>
      <c r="H184" s="650"/>
      <c r="I184" s="650"/>
      <c r="J184" s="650"/>
      <c r="K184" s="650"/>
      <c r="L184" s="650"/>
      <c r="M184" s="650"/>
      <c r="N184" s="650"/>
      <c r="O184" s="650"/>
      <c r="P184" s="650"/>
      <c r="Q184" s="650"/>
      <c r="R184" s="650"/>
      <c r="S184" s="650"/>
      <c r="T184" s="650"/>
      <c r="U184" s="650"/>
      <c r="V184" s="650"/>
      <c r="W184" s="650"/>
      <c r="X184" s="650"/>
      <c r="Y184" s="650"/>
      <c r="Z184" s="650"/>
    </row>
    <row r="185" spans="1:26" s="204" customFormat="1">
      <c r="A185" s="650"/>
      <c r="B185" s="650"/>
      <c r="C185" s="650"/>
      <c r="D185" s="650"/>
      <c r="E185" s="650"/>
      <c r="F185" s="650"/>
      <c r="G185" s="650"/>
      <c r="H185" s="650"/>
      <c r="I185" s="650"/>
      <c r="J185" s="650"/>
      <c r="K185" s="650"/>
      <c r="L185" s="650"/>
      <c r="M185" s="650"/>
      <c r="N185" s="650"/>
      <c r="O185" s="650"/>
      <c r="P185" s="650"/>
      <c r="Q185" s="650"/>
      <c r="R185" s="650"/>
      <c r="S185" s="650"/>
      <c r="T185" s="650"/>
      <c r="U185" s="650"/>
      <c r="V185" s="650"/>
      <c r="W185" s="650"/>
      <c r="X185" s="650"/>
      <c r="Y185" s="650"/>
      <c r="Z185" s="650"/>
    </row>
    <row r="186" spans="1:26" ht="13.5" thickBot="1">
      <c r="A186" s="650"/>
      <c r="B186" s="650"/>
      <c r="C186" s="650"/>
      <c r="D186" s="650"/>
      <c r="E186" s="650"/>
      <c r="F186" s="650"/>
      <c r="G186" s="650"/>
      <c r="H186" s="650"/>
      <c r="I186" s="650"/>
      <c r="J186" s="650"/>
      <c r="K186" s="650"/>
      <c r="L186" s="650"/>
      <c r="M186" s="650"/>
      <c r="N186" s="650"/>
      <c r="O186" s="650"/>
      <c r="P186" s="650"/>
      <c r="Q186" s="650"/>
      <c r="R186" s="650"/>
      <c r="S186" s="650"/>
      <c r="T186" s="650"/>
      <c r="U186" s="650"/>
      <c r="V186" s="650"/>
      <c r="W186" s="650"/>
      <c r="X186" s="650"/>
      <c r="Y186" s="650"/>
      <c r="Z186" s="650"/>
    </row>
    <row r="187" spans="1:26" s="205" customFormat="1">
      <c r="A187" s="650"/>
      <c r="B187" s="650"/>
      <c r="C187" s="650"/>
      <c r="D187" s="650"/>
      <c r="E187" s="650"/>
      <c r="F187" s="650"/>
      <c r="G187" s="650"/>
      <c r="H187" s="650"/>
      <c r="I187" s="650"/>
      <c r="J187" s="650"/>
      <c r="K187" s="650"/>
      <c r="L187" s="650"/>
      <c r="M187" s="650"/>
      <c r="N187" s="650"/>
      <c r="O187" s="650"/>
      <c r="P187" s="650"/>
      <c r="Q187" s="650"/>
      <c r="R187" s="650"/>
      <c r="S187" s="650"/>
      <c r="T187" s="650"/>
      <c r="U187" s="650"/>
      <c r="V187" s="650"/>
      <c r="W187" s="650"/>
      <c r="X187" s="650"/>
      <c r="Y187" s="650"/>
      <c r="Z187" s="650"/>
    </row>
    <row r="188" spans="1:26" s="204" customFormat="1" ht="13.5" thickBot="1">
      <c r="A188" s="650"/>
      <c r="B188" s="650"/>
      <c r="C188" s="650"/>
      <c r="D188" s="650"/>
      <c r="E188" s="650"/>
      <c r="F188" s="650"/>
      <c r="G188" s="650"/>
      <c r="H188" s="650"/>
      <c r="I188" s="650"/>
      <c r="J188" s="650"/>
      <c r="K188" s="650"/>
      <c r="L188" s="650"/>
      <c r="M188" s="650"/>
      <c r="N188" s="650"/>
      <c r="O188" s="650"/>
      <c r="P188" s="650"/>
      <c r="Q188" s="650"/>
      <c r="R188" s="650"/>
      <c r="S188" s="650"/>
      <c r="T188" s="650"/>
      <c r="U188" s="650"/>
      <c r="V188" s="650"/>
      <c r="W188" s="650"/>
      <c r="X188" s="650"/>
      <c r="Y188" s="650"/>
      <c r="Z188" s="650"/>
    </row>
    <row r="189" spans="1:26" ht="13.5" thickBot="1">
      <c r="A189" s="650"/>
      <c r="B189" s="650"/>
      <c r="C189" s="650"/>
      <c r="D189" s="650"/>
      <c r="E189" s="650"/>
      <c r="F189" s="650"/>
      <c r="G189" s="650"/>
      <c r="H189" s="650"/>
      <c r="I189" s="650"/>
      <c r="J189" s="650"/>
      <c r="K189" s="650"/>
      <c r="L189" s="650"/>
      <c r="M189" s="650"/>
      <c r="N189" s="650"/>
      <c r="O189" s="650"/>
      <c r="P189" s="650"/>
      <c r="Q189" s="650"/>
      <c r="R189" s="650"/>
      <c r="S189" s="650"/>
      <c r="T189" s="650"/>
      <c r="U189" s="650"/>
      <c r="V189" s="650"/>
      <c r="W189" s="650"/>
      <c r="X189" s="650"/>
      <c r="Y189" s="650"/>
      <c r="Z189" s="650"/>
    </row>
    <row r="190" spans="1:26" s="205" customFormat="1">
      <c r="A190" s="650"/>
      <c r="B190" s="650"/>
      <c r="C190" s="650"/>
      <c r="D190" s="650"/>
      <c r="E190" s="650"/>
      <c r="F190" s="650"/>
      <c r="G190" s="650"/>
      <c r="H190" s="650"/>
      <c r="I190" s="650"/>
      <c r="J190" s="650"/>
      <c r="K190" s="650"/>
      <c r="L190" s="650"/>
      <c r="M190" s="650"/>
      <c r="N190" s="650"/>
      <c r="O190" s="650"/>
      <c r="P190" s="650"/>
      <c r="Q190" s="650"/>
      <c r="R190" s="650"/>
      <c r="S190" s="650"/>
      <c r="T190" s="650"/>
      <c r="U190" s="650"/>
      <c r="V190" s="650"/>
      <c r="W190" s="650"/>
      <c r="X190" s="650"/>
      <c r="Y190" s="650"/>
      <c r="Z190" s="650"/>
    </row>
    <row r="191" spans="1:26" s="204" customFormat="1">
      <c r="A191" s="650"/>
      <c r="B191" s="650"/>
      <c r="C191" s="650"/>
      <c r="D191" s="650"/>
      <c r="E191" s="650"/>
      <c r="F191" s="650"/>
      <c r="G191" s="650"/>
      <c r="H191" s="650"/>
      <c r="I191" s="650"/>
      <c r="J191" s="650"/>
      <c r="K191" s="650"/>
      <c r="L191" s="650"/>
      <c r="M191" s="650"/>
      <c r="N191" s="650"/>
      <c r="O191" s="650"/>
      <c r="P191" s="650"/>
      <c r="Q191" s="650"/>
      <c r="R191" s="650"/>
      <c r="S191" s="650"/>
      <c r="T191" s="650"/>
      <c r="U191" s="650"/>
      <c r="V191" s="650"/>
      <c r="W191" s="650"/>
      <c r="X191" s="650"/>
      <c r="Y191" s="650"/>
      <c r="Z191" s="650"/>
    </row>
    <row r="192" spans="1:26" ht="13.5" thickBot="1">
      <c r="A192" s="650"/>
      <c r="B192" s="650"/>
      <c r="C192" s="650"/>
      <c r="D192" s="650"/>
      <c r="E192" s="650"/>
      <c r="F192" s="650"/>
      <c r="G192" s="650"/>
      <c r="H192" s="650"/>
      <c r="I192" s="650"/>
      <c r="J192" s="650"/>
      <c r="K192" s="650"/>
      <c r="L192" s="650"/>
      <c r="M192" s="650"/>
      <c r="N192" s="650"/>
      <c r="O192" s="650"/>
      <c r="P192" s="650"/>
      <c r="Q192" s="650"/>
      <c r="R192" s="650"/>
      <c r="S192" s="650"/>
      <c r="T192" s="650"/>
      <c r="U192" s="650"/>
      <c r="V192" s="650"/>
      <c r="W192" s="650"/>
      <c r="X192" s="650"/>
      <c r="Y192" s="650"/>
      <c r="Z192" s="650"/>
    </row>
    <row r="193" spans="1:26" s="205" customFormat="1">
      <c r="A193" s="650"/>
      <c r="B193" s="650"/>
      <c r="C193" s="650"/>
      <c r="D193" s="650"/>
      <c r="E193" s="650"/>
      <c r="F193" s="650"/>
      <c r="G193" s="650"/>
      <c r="H193" s="650"/>
      <c r="I193" s="650"/>
      <c r="J193" s="650"/>
      <c r="K193" s="650"/>
      <c r="L193" s="650"/>
      <c r="M193" s="650"/>
      <c r="N193" s="650"/>
      <c r="O193" s="650"/>
      <c r="P193" s="650"/>
      <c r="Q193" s="650"/>
      <c r="R193" s="650"/>
      <c r="S193" s="650"/>
      <c r="T193" s="650"/>
      <c r="U193" s="650"/>
      <c r="V193" s="650"/>
      <c r="W193" s="650"/>
      <c r="X193" s="650"/>
      <c r="Y193" s="650"/>
      <c r="Z193" s="650"/>
    </row>
    <row r="194" spans="1:26" s="204" customFormat="1" ht="13.5" thickBot="1">
      <c r="A194" s="650"/>
      <c r="B194" s="650"/>
      <c r="C194" s="650"/>
      <c r="D194" s="650"/>
      <c r="E194" s="650"/>
      <c r="F194" s="650"/>
      <c r="G194" s="650"/>
      <c r="H194" s="650"/>
      <c r="I194" s="650"/>
      <c r="J194" s="650"/>
      <c r="K194" s="650"/>
      <c r="L194" s="650"/>
      <c r="M194" s="650"/>
      <c r="N194" s="650"/>
      <c r="O194" s="650"/>
      <c r="P194" s="650"/>
      <c r="Q194" s="650"/>
      <c r="R194" s="650"/>
      <c r="S194" s="650"/>
      <c r="T194" s="650"/>
      <c r="U194" s="650"/>
      <c r="V194" s="650"/>
      <c r="W194" s="650"/>
      <c r="X194" s="650"/>
      <c r="Y194" s="650"/>
      <c r="Z194" s="650"/>
    </row>
    <row r="195" spans="1:26">
      <c r="A195" s="650"/>
      <c r="B195" s="650"/>
      <c r="C195" s="650"/>
      <c r="D195" s="650"/>
      <c r="E195" s="650"/>
      <c r="F195" s="650"/>
      <c r="G195" s="650"/>
      <c r="H195" s="650"/>
      <c r="I195" s="650"/>
      <c r="J195" s="650"/>
      <c r="K195" s="650"/>
      <c r="L195" s="650"/>
      <c r="M195" s="650"/>
      <c r="N195" s="650"/>
      <c r="O195" s="650"/>
      <c r="P195" s="650"/>
      <c r="Q195" s="650"/>
      <c r="R195" s="650"/>
      <c r="S195" s="650"/>
      <c r="T195" s="650"/>
      <c r="U195" s="650"/>
      <c r="V195" s="650"/>
      <c r="W195" s="650"/>
      <c r="X195" s="650"/>
      <c r="Y195" s="650"/>
      <c r="Z195" s="650"/>
    </row>
    <row r="196" spans="1:26" s="205" customFormat="1">
      <c r="A196" s="650"/>
      <c r="B196" s="650"/>
      <c r="C196" s="650"/>
      <c r="D196" s="650"/>
      <c r="E196" s="650"/>
      <c r="F196" s="650"/>
      <c r="G196" s="650"/>
      <c r="H196" s="650"/>
      <c r="I196" s="650"/>
      <c r="J196" s="650"/>
      <c r="K196" s="650"/>
      <c r="L196" s="650"/>
      <c r="M196" s="650"/>
      <c r="N196" s="650"/>
      <c r="O196" s="650"/>
      <c r="P196" s="650"/>
      <c r="Q196" s="650"/>
      <c r="R196" s="650"/>
      <c r="S196" s="650"/>
      <c r="T196" s="650"/>
      <c r="U196" s="650"/>
      <c r="V196" s="650"/>
      <c r="W196" s="650"/>
      <c r="X196" s="650"/>
      <c r="Y196" s="650"/>
      <c r="Z196" s="650"/>
    </row>
    <row r="197" spans="1:26" s="204" customFormat="1" ht="13.5" thickBot="1">
      <c r="A197" s="650"/>
      <c r="B197" s="650"/>
      <c r="C197" s="650"/>
      <c r="D197" s="650"/>
      <c r="E197" s="650"/>
      <c r="F197" s="650"/>
      <c r="G197" s="650"/>
      <c r="H197" s="650"/>
      <c r="I197" s="650"/>
      <c r="J197" s="650"/>
      <c r="K197" s="650"/>
      <c r="L197" s="650"/>
      <c r="M197" s="650"/>
      <c r="N197" s="650"/>
      <c r="O197" s="650"/>
      <c r="P197" s="650"/>
      <c r="Q197" s="650"/>
      <c r="R197" s="650"/>
      <c r="S197" s="650"/>
      <c r="T197" s="650"/>
      <c r="U197" s="650"/>
      <c r="V197" s="650"/>
      <c r="W197" s="650"/>
      <c r="X197" s="650"/>
      <c r="Y197" s="650"/>
      <c r="Z197" s="650"/>
    </row>
    <row r="198" spans="1:26" ht="13.5" thickBot="1">
      <c r="A198" s="650"/>
      <c r="B198" s="650"/>
      <c r="C198" s="650"/>
      <c r="D198" s="650"/>
      <c r="E198" s="650"/>
      <c r="F198" s="650"/>
      <c r="G198" s="650"/>
      <c r="H198" s="650"/>
      <c r="I198" s="650"/>
      <c r="J198" s="650"/>
      <c r="K198" s="650"/>
      <c r="L198" s="650"/>
      <c r="M198" s="650"/>
      <c r="N198" s="650"/>
      <c r="O198" s="650"/>
      <c r="P198" s="650"/>
      <c r="Q198" s="650"/>
      <c r="R198" s="650"/>
      <c r="S198" s="650"/>
      <c r="T198" s="650"/>
      <c r="U198" s="650"/>
      <c r="V198" s="650"/>
      <c r="W198" s="650"/>
      <c r="X198" s="650"/>
      <c r="Y198" s="650"/>
      <c r="Z198" s="650"/>
    </row>
    <row r="199" spans="1:26" s="205" customFormat="1">
      <c r="A199" s="650"/>
      <c r="B199" s="650"/>
      <c r="C199" s="650"/>
      <c r="D199" s="650"/>
      <c r="E199" s="650"/>
      <c r="F199" s="650"/>
      <c r="G199" s="650"/>
      <c r="H199" s="650"/>
      <c r="I199" s="650"/>
      <c r="J199" s="650"/>
      <c r="K199" s="650"/>
      <c r="L199" s="650"/>
      <c r="M199" s="650"/>
      <c r="N199" s="650"/>
      <c r="O199" s="650"/>
      <c r="P199" s="650"/>
      <c r="Q199" s="650"/>
      <c r="R199" s="650"/>
      <c r="S199" s="650"/>
      <c r="T199" s="650"/>
      <c r="U199" s="650"/>
      <c r="V199" s="650"/>
      <c r="W199" s="650"/>
      <c r="X199" s="650"/>
      <c r="Y199" s="650"/>
      <c r="Z199" s="650"/>
    </row>
    <row r="200" spans="1:26" s="214" customFormat="1">
      <c r="A200" s="650"/>
      <c r="B200" s="650"/>
      <c r="C200" s="650"/>
      <c r="D200" s="650"/>
      <c r="E200" s="650"/>
      <c r="F200" s="650"/>
      <c r="G200" s="650"/>
      <c r="H200" s="650"/>
      <c r="I200" s="650"/>
      <c r="J200" s="650"/>
      <c r="K200" s="650"/>
      <c r="L200" s="650"/>
      <c r="M200" s="650"/>
      <c r="N200" s="650"/>
      <c r="O200" s="650"/>
      <c r="P200" s="650"/>
      <c r="Q200" s="650"/>
      <c r="R200" s="650"/>
      <c r="S200" s="650"/>
      <c r="T200" s="650"/>
      <c r="U200" s="650"/>
      <c r="V200" s="650"/>
      <c r="W200" s="650"/>
      <c r="X200" s="650"/>
      <c r="Y200" s="650"/>
      <c r="Z200" s="650"/>
    </row>
    <row r="201" spans="1:26" ht="13.5" thickBot="1">
      <c r="A201" s="650"/>
      <c r="B201" s="650"/>
      <c r="C201" s="650"/>
      <c r="D201" s="650"/>
      <c r="E201" s="650"/>
      <c r="F201" s="650"/>
      <c r="G201" s="650"/>
      <c r="H201" s="650"/>
      <c r="I201" s="650"/>
      <c r="J201" s="650"/>
      <c r="K201" s="650"/>
      <c r="L201" s="650"/>
      <c r="M201" s="650"/>
      <c r="N201" s="650"/>
      <c r="O201" s="650"/>
      <c r="P201" s="650"/>
      <c r="Q201" s="650"/>
      <c r="R201" s="650"/>
      <c r="S201" s="650"/>
      <c r="T201" s="650"/>
      <c r="U201" s="650"/>
      <c r="V201" s="650"/>
      <c r="W201" s="650"/>
      <c r="X201" s="650"/>
      <c r="Y201" s="650"/>
      <c r="Z201" s="650"/>
    </row>
    <row r="202" spans="1:26" s="205" customFormat="1">
      <c r="A202" s="650"/>
      <c r="B202" s="650"/>
      <c r="C202" s="650"/>
      <c r="D202" s="650"/>
      <c r="E202" s="650"/>
      <c r="F202" s="650"/>
      <c r="G202" s="650"/>
      <c r="H202" s="650"/>
      <c r="I202" s="650"/>
      <c r="J202" s="650"/>
      <c r="K202" s="650"/>
      <c r="L202" s="650"/>
      <c r="M202" s="650"/>
      <c r="N202" s="650"/>
      <c r="O202" s="650"/>
      <c r="P202" s="650"/>
      <c r="Q202" s="650"/>
      <c r="R202" s="650"/>
      <c r="S202" s="650"/>
      <c r="T202" s="650"/>
      <c r="U202" s="650"/>
      <c r="V202" s="650"/>
      <c r="W202" s="650"/>
      <c r="X202" s="650"/>
      <c r="Y202" s="650"/>
      <c r="Z202" s="650"/>
    </row>
    <row r="203" spans="1:26" s="204" customFormat="1" ht="13.5" thickBot="1">
      <c r="A203" s="650"/>
      <c r="B203" s="650"/>
      <c r="C203" s="650"/>
      <c r="D203" s="650"/>
      <c r="E203" s="650"/>
      <c r="F203" s="650"/>
      <c r="G203" s="650"/>
      <c r="H203" s="650"/>
      <c r="I203" s="650"/>
      <c r="J203" s="650"/>
      <c r="K203" s="650"/>
      <c r="L203" s="650"/>
      <c r="M203" s="650"/>
      <c r="N203" s="650"/>
      <c r="O203" s="650"/>
      <c r="P203" s="650"/>
      <c r="Q203" s="650"/>
      <c r="R203" s="650"/>
      <c r="S203" s="650"/>
      <c r="T203" s="650"/>
      <c r="U203" s="650"/>
      <c r="V203" s="650"/>
      <c r="W203" s="650"/>
      <c r="X203" s="650"/>
      <c r="Y203" s="650"/>
      <c r="Z203" s="650"/>
    </row>
    <row r="204" spans="1:26">
      <c r="A204" s="650"/>
      <c r="B204" s="650"/>
      <c r="C204" s="650"/>
      <c r="D204" s="650"/>
      <c r="E204" s="650"/>
      <c r="F204" s="650"/>
      <c r="G204" s="650"/>
      <c r="H204" s="650"/>
      <c r="I204" s="650"/>
      <c r="J204" s="650"/>
      <c r="K204" s="650"/>
      <c r="L204" s="650"/>
      <c r="M204" s="650"/>
      <c r="N204" s="650"/>
      <c r="O204" s="650"/>
      <c r="P204" s="650"/>
      <c r="Q204" s="650"/>
      <c r="R204" s="650"/>
      <c r="S204" s="650"/>
      <c r="T204" s="650"/>
      <c r="U204" s="650"/>
      <c r="V204" s="650"/>
      <c r="W204" s="650"/>
      <c r="X204" s="650"/>
      <c r="Y204" s="650"/>
      <c r="Z204" s="650"/>
    </row>
    <row r="205" spans="1:26" s="205" customFormat="1">
      <c r="A205" s="650"/>
      <c r="B205" s="650"/>
      <c r="C205" s="650"/>
      <c r="D205" s="650"/>
      <c r="E205" s="650"/>
      <c r="F205" s="650"/>
      <c r="G205" s="650"/>
      <c r="H205" s="650"/>
      <c r="I205" s="650"/>
      <c r="J205" s="650"/>
      <c r="K205" s="650"/>
      <c r="L205" s="650"/>
      <c r="M205" s="650"/>
      <c r="N205" s="650"/>
      <c r="O205" s="650"/>
      <c r="P205" s="650"/>
      <c r="Q205" s="650"/>
      <c r="R205" s="650"/>
      <c r="S205" s="650"/>
      <c r="T205" s="650"/>
      <c r="U205" s="650"/>
      <c r="V205" s="650"/>
      <c r="W205" s="650"/>
      <c r="X205" s="650"/>
      <c r="Y205" s="650"/>
      <c r="Z205" s="650"/>
    </row>
    <row r="206" spans="1:26" s="204" customFormat="1" ht="13.5" thickBot="1">
      <c r="A206" s="650"/>
      <c r="B206" s="650"/>
      <c r="C206" s="650"/>
      <c r="D206" s="650"/>
      <c r="E206" s="650"/>
      <c r="F206" s="650"/>
      <c r="G206" s="650"/>
      <c r="H206" s="650"/>
      <c r="I206" s="650"/>
      <c r="J206" s="650"/>
      <c r="K206" s="650"/>
      <c r="L206" s="650"/>
      <c r="M206" s="650"/>
      <c r="N206" s="650"/>
      <c r="O206" s="650"/>
      <c r="P206" s="650"/>
      <c r="Q206" s="650"/>
      <c r="R206" s="650"/>
      <c r="S206" s="650"/>
      <c r="T206" s="650"/>
      <c r="U206" s="650"/>
      <c r="V206" s="650"/>
      <c r="W206" s="650"/>
      <c r="X206" s="650"/>
      <c r="Y206" s="650"/>
      <c r="Z206" s="650"/>
    </row>
    <row r="207" spans="1:26" ht="13.5" thickBot="1">
      <c r="A207" s="650"/>
      <c r="B207" s="650"/>
      <c r="C207" s="650"/>
      <c r="D207" s="650"/>
      <c r="E207" s="650"/>
      <c r="F207" s="650"/>
      <c r="G207" s="650"/>
      <c r="H207" s="650"/>
      <c r="I207" s="650"/>
      <c r="J207" s="650"/>
      <c r="K207" s="650"/>
      <c r="L207" s="650"/>
      <c r="M207" s="650"/>
      <c r="N207" s="650"/>
      <c r="O207" s="650"/>
      <c r="P207" s="650"/>
      <c r="Q207" s="650"/>
      <c r="R207" s="650"/>
      <c r="S207" s="650"/>
      <c r="T207" s="650"/>
      <c r="U207" s="650"/>
      <c r="V207" s="650"/>
      <c r="W207" s="650"/>
      <c r="X207" s="650"/>
      <c r="Y207" s="650"/>
      <c r="Z207" s="650"/>
    </row>
    <row r="208" spans="1:26" s="205" customFormat="1">
      <c r="A208" s="650"/>
      <c r="B208" s="650"/>
      <c r="C208" s="650"/>
      <c r="D208" s="650"/>
      <c r="E208" s="650"/>
      <c r="F208" s="650"/>
      <c r="G208" s="650"/>
      <c r="H208" s="650"/>
      <c r="I208" s="650"/>
      <c r="J208" s="650"/>
      <c r="K208" s="650"/>
      <c r="L208" s="650"/>
      <c r="M208" s="650"/>
      <c r="N208" s="650"/>
      <c r="O208" s="650"/>
      <c r="P208" s="650"/>
      <c r="Q208" s="650"/>
      <c r="R208" s="650"/>
      <c r="S208" s="650"/>
      <c r="T208" s="650"/>
      <c r="U208" s="650"/>
      <c r="V208" s="650"/>
      <c r="W208" s="650"/>
      <c r="X208" s="650"/>
      <c r="Y208" s="650"/>
      <c r="Z208" s="650"/>
    </row>
    <row r="209" spans="1:26" s="204" customFormat="1">
      <c r="A209" s="650"/>
      <c r="B209" s="650"/>
      <c r="C209" s="650"/>
      <c r="D209" s="650"/>
      <c r="E209" s="650"/>
      <c r="F209" s="650"/>
      <c r="G209" s="650"/>
      <c r="H209" s="650"/>
      <c r="I209" s="650"/>
      <c r="J209" s="650"/>
      <c r="K209" s="650"/>
      <c r="L209" s="650"/>
      <c r="M209" s="650"/>
      <c r="N209" s="650"/>
      <c r="O209" s="650"/>
      <c r="P209" s="650"/>
      <c r="Q209" s="650"/>
      <c r="R209" s="650"/>
      <c r="S209" s="650"/>
      <c r="T209" s="650"/>
      <c r="U209" s="650"/>
      <c r="V209" s="650"/>
      <c r="W209" s="650"/>
      <c r="X209" s="650"/>
      <c r="Y209" s="650"/>
      <c r="Z209" s="650"/>
    </row>
    <row r="210" spans="1:26" ht="13.5" thickBot="1">
      <c r="A210" s="650"/>
      <c r="B210" s="650"/>
      <c r="C210" s="650"/>
      <c r="D210" s="650"/>
      <c r="E210" s="650"/>
      <c r="F210" s="650"/>
      <c r="G210" s="650"/>
      <c r="H210" s="650"/>
      <c r="I210" s="650"/>
      <c r="J210" s="650"/>
      <c r="K210" s="650"/>
      <c r="L210" s="650"/>
      <c r="M210" s="650"/>
      <c r="N210" s="650"/>
      <c r="O210" s="650"/>
      <c r="P210" s="650"/>
      <c r="Q210" s="650"/>
      <c r="R210" s="650"/>
      <c r="S210" s="650"/>
      <c r="T210" s="650"/>
      <c r="U210" s="650"/>
      <c r="V210" s="650"/>
      <c r="W210" s="650"/>
      <c r="X210" s="650"/>
      <c r="Y210" s="650"/>
      <c r="Z210" s="650"/>
    </row>
    <row r="211" spans="1:26" s="205" customFormat="1">
      <c r="A211" s="650"/>
      <c r="B211" s="650"/>
      <c r="C211" s="650"/>
      <c r="D211" s="650"/>
      <c r="E211" s="650"/>
      <c r="F211" s="650"/>
      <c r="G211" s="650"/>
      <c r="H211" s="650"/>
      <c r="I211" s="650"/>
      <c r="J211" s="650"/>
      <c r="K211" s="650"/>
      <c r="L211" s="650"/>
      <c r="M211" s="650"/>
      <c r="N211" s="650"/>
      <c r="O211" s="650"/>
      <c r="P211" s="650"/>
      <c r="Q211" s="650"/>
      <c r="R211" s="650"/>
      <c r="S211" s="650"/>
      <c r="T211" s="650"/>
      <c r="U211" s="650"/>
      <c r="V211" s="650"/>
      <c r="W211" s="650"/>
      <c r="X211" s="650"/>
      <c r="Y211" s="650"/>
      <c r="Z211" s="650"/>
    </row>
    <row r="212" spans="1:26" s="204" customFormat="1">
      <c r="A212" s="650"/>
      <c r="B212" s="650"/>
      <c r="C212" s="650"/>
      <c r="D212" s="650"/>
      <c r="E212" s="650"/>
      <c r="F212" s="650"/>
      <c r="G212" s="650"/>
      <c r="H212" s="650"/>
      <c r="I212" s="650"/>
      <c r="J212" s="650"/>
      <c r="K212" s="650"/>
      <c r="L212" s="650"/>
      <c r="M212" s="650"/>
      <c r="N212" s="650"/>
      <c r="O212" s="650"/>
      <c r="P212" s="650"/>
      <c r="Q212" s="650"/>
      <c r="R212" s="650"/>
      <c r="S212" s="650"/>
      <c r="T212" s="650"/>
      <c r="U212" s="650"/>
      <c r="V212" s="650"/>
      <c r="W212" s="650"/>
      <c r="X212" s="650"/>
      <c r="Y212" s="650"/>
      <c r="Z212" s="650"/>
    </row>
    <row r="213" spans="1:26" ht="13.5" thickBot="1">
      <c r="A213" s="650"/>
      <c r="B213" s="650"/>
      <c r="C213" s="650"/>
      <c r="D213" s="650"/>
      <c r="E213" s="650"/>
      <c r="F213" s="650"/>
      <c r="G213" s="650"/>
      <c r="H213" s="650"/>
      <c r="I213" s="650"/>
      <c r="J213" s="650"/>
      <c r="K213" s="650"/>
      <c r="L213" s="650"/>
      <c r="M213" s="650"/>
      <c r="N213" s="650"/>
      <c r="O213" s="650"/>
      <c r="P213" s="650"/>
      <c r="Q213" s="650"/>
      <c r="R213" s="650"/>
      <c r="S213" s="650"/>
      <c r="T213" s="650"/>
      <c r="U213" s="650"/>
      <c r="V213" s="650"/>
      <c r="W213" s="650"/>
      <c r="X213" s="650"/>
      <c r="Y213" s="650"/>
      <c r="Z213" s="650"/>
    </row>
    <row r="214" spans="1:26" s="205" customFormat="1">
      <c r="A214" s="650"/>
      <c r="B214" s="650"/>
      <c r="C214" s="650"/>
      <c r="D214" s="650"/>
      <c r="E214" s="650"/>
      <c r="F214" s="650"/>
      <c r="G214" s="650"/>
      <c r="H214" s="650"/>
      <c r="I214" s="650"/>
      <c r="J214" s="650"/>
      <c r="K214" s="650"/>
      <c r="L214" s="650"/>
      <c r="M214" s="650"/>
      <c r="N214" s="650"/>
      <c r="O214" s="650"/>
      <c r="P214" s="650"/>
      <c r="Q214" s="650"/>
      <c r="R214" s="650"/>
      <c r="S214" s="650"/>
      <c r="T214" s="650"/>
      <c r="U214" s="650"/>
      <c r="V214" s="650"/>
      <c r="W214" s="650"/>
      <c r="X214" s="650"/>
      <c r="Y214" s="650"/>
      <c r="Z214" s="650"/>
    </row>
    <row r="215" spans="1:26" s="204" customFormat="1" ht="13.5" thickBot="1">
      <c r="A215" s="650"/>
      <c r="B215" s="650"/>
      <c r="C215" s="650"/>
      <c r="D215" s="650"/>
      <c r="E215" s="650"/>
      <c r="F215" s="650"/>
      <c r="G215" s="650"/>
      <c r="H215" s="650"/>
      <c r="I215" s="650"/>
      <c r="J215" s="650"/>
      <c r="K215" s="650"/>
      <c r="L215" s="650"/>
      <c r="M215" s="650"/>
      <c r="N215" s="650"/>
      <c r="O215" s="650"/>
      <c r="P215" s="650"/>
      <c r="Q215" s="650"/>
      <c r="R215" s="650"/>
      <c r="S215" s="650"/>
      <c r="T215" s="650"/>
      <c r="U215" s="650"/>
      <c r="V215" s="650"/>
      <c r="W215" s="650"/>
      <c r="X215" s="650"/>
      <c r="Y215" s="650"/>
      <c r="Z215" s="650"/>
    </row>
    <row r="216" spans="1:26">
      <c r="A216" s="650"/>
      <c r="B216" s="650"/>
      <c r="C216" s="650"/>
      <c r="D216" s="650"/>
      <c r="E216" s="650"/>
      <c r="F216" s="650"/>
      <c r="G216" s="650"/>
      <c r="H216" s="650"/>
      <c r="I216" s="650"/>
      <c r="J216" s="650"/>
      <c r="K216" s="650"/>
      <c r="L216" s="650"/>
      <c r="M216" s="650"/>
      <c r="N216" s="650"/>
      <c r="O216" s="650"/>
      <c r="P216" s="650"/>
      <c r="Q216" s="650"/>
      <c r="R216" s="650"/>
      <c r="S216" s="650"/>
      <c r="T216" s="650"/>
      <c r="U216" s="650"/>
      <c r="V216" s="650"/>
      <c r="W216" s="650"/>
      <c r="X216" s="650"/>
      <c r="Y216" s="650"/>
      <c r="Z216" s="650"/>
    </row>
    <row r="217" spans="1:26" s="205" customFormat="1">
      <c r="A217" s="650"/>
      <c r="B217" s="650"/>
      <c r="C217" s="650"/>
      <c r="D217" s="650"/>
      <c r="E217" s="650"/>
      <c r="F217" s="650"/>
      <c r="G217" s="650"/>
      <c r="H217" s="650"/>
      <c r="I217" s="650"/>
      <c r="J217" s="650"/>
      <c r="K217" s="650"/>
      <c r="L217" s="650"/>
      <c r="M217" s="650"/>
      <c r="N217" s="650"/>
      <c r="O217" s="650"/>
      <c r="P217" s="650"/>
      <c r="Q217" s="650"/>
      <c r="R217" s="650"/>
      <c r="S217" s="650"/>
      <c r="T217" s="650"/>
      <c r="U217" s="650"/>
      <c r="V217" s="650"/>
      <c r="W217" s="650"/>
      <c r="X217" s="650"/>
      <c r="Y217" s="650"/>
      <c r="Z217" s="650"/>
    </row>
    <row r="218" spans="1:26" s="204" customFormat="1" ht="13.5" thickBot="1">
      <c r="A218" s="650"/>
      <c r="B218" s="650"/>
      <c r="C218" s="650"/>
      <c r="D218" s="650"/>
      <c r="E218" s="650"/>
      <c r="F218" s="650"/>
      <c r="G218" s="650"/>
      <c r="H218" s="650"/>
      <c r="I218" s="650"/>
      <c r="J218" s="650"/>
      <c r="K218" s="650"/>
      <c r="L218" s="650"/>
      <c r="M218" s="650"/>
      <c r="N218" s="650"/>
      <c r="O218" s="650"/>
      <c r="P218" s="650"/>
      <c r="Q218" s="650"/>
      <c r="R218" s="650"/>
      <c r="S218" s="650"/>
      <c r="T218" s="650"/>
      <c r="U218" s="650"/>
      <c r="V218" s="650"/>
      <c r="W218" s="650"/>
      <c r="X218" s="650"/>
      <c r="Y218" s="650"/>
      <c r="Z218" s="650"/>
    </row>
    <row r="219" spans="1:26">
      <c r="A219" s="650"/>
      <c r="B219" s="650"/>
      <c r="C219" s="650"/>
      <c r="D219" s="650"/>
      <c r="E219" s="650"/>
      <c r="F219" s="650"/>
      <c r="G219" s="650"/>
      <c r="H219" s="650"/>
      <c r="I219" s="650"/>
      <c r="J219" s="650"/>
      <c r="K219" s="650"/>
      <c r="L219" s="650"/>
      <c r="M219" s="650"/>
      <c r="N219" s="650"/>
      <c r="O219" s="650"/>
      <c r="P219" s="650"/>
      <c r="Q219" s="650"/>
      <c r="R219" s="650"/>
      <c r="S219" s="650"/>
      <c r="T219" s="650"/>
      <c r="U219" s="650"/>
      <c r="V219" s="650"/>
      <c r="W219" s="650"/>
      <c r="X219" s="650"/>
      <c r="Y219" s="650"/>
      <c r="Z219" s="650"/>
    </row>
    <row r="220" spans="1:26" s="205" customFormat="1">
      <c r="A220" s="650"/>
      <c r="B220" s="650"/>
      <c r="C220" s="650"/>
      <c r="D220" s="650"/>
      <c r="E220" s="650"/>
      <c r="F220" s="650"/>
      <c r="G220" s="650"/>
      <c r="H220" s="650"/>
      <c r="I220" s="650"/>
      <c r="J220" s="650"/>
      <c r="K220" s="650"/>
      <c r="L220" s="650"/>
      <c r="M220" s="650"/>
      <c r="N220" s="650"/>
      <c r="O220" s="650"/>
      <c r="P220" s="650"/>
      <c r="Q220" s="650"/>
      <c r="R220" s="650"/>
      <c r="S220" s="650"/>
      <c r="T220" s="650"/>
      <c r="U220" s="650"/>
      <c r="V220" s="650"/>
      <c r="W220" s="650"/>
      <c r="X220" s="650"/>
      <c r="Y220" s="650"/>
      <c r="Z220" s="650"/>
    </row>
    <row r="221" spans="1:26" s="204" customFormat="1" ht="13.5" thickBot="1">
      <c r="A221" s="650"/>
      <c r="B221" s="650"/>
      <c r="C221" s="650"/>
      <c r="D221" s="650"/>
      <c r="E221" s="650"/>
      <c r="F221" s="650"/>
      <c r="G221" s="650"/>
      <c r="H221" s="650"/>
      <c r="I221" s="650"/>
      <c r="J221" s="650"/>
      <c r="K221" s="650"/>
      <c r="L221" s="650"/>
      <c r="M221" s="650"/>
      <c r="N221" s="650"/>
      <c r="O221" s="650"/>
      <c r="P221" s="650"/>
      <c r="Q221" s="650"/>
      <c r="R221" s="650"/>
      <c r="S221" s="650"/>
      <c r="T221" s="650"/>
      <c r="U221" s="650"/>
      <c r="V221" s="650"/>
      <c r="W221" s="650"/>
      <c r="X221" s="650"/>
      <c r="Y221" s="650"/>
      <c r="Z221" s="650"/>
    </row>
    <row r="222" spans="1:26">
      <c r="A222" s="650"/>
      <c r="B222" s="650"/>
      <c r="C222" s="650"/>
      <c r="D222" s="650"/>
      <c r="E222" s="650"/>
      <c r="F222" s="650"/>
      <c r="G222" s="650"/>
      <c r="H222" s="650"/>
      <c r="I222" s="650"/>
      <c r="J222" s="650"/>
      <c r="K222" s="650"/>
      <c r="L222" s="650"/>
      <c r="M222" s="650"/>
      <c r="N222" s="650"/>
      <c r="O222" s="650"/>
      <c r="P222" s="650"/>
      <c r="Q222" s="650"/>
      <c r="R222" s="650"/>
      <c r="S222" s="650"/>
      <c r="T222" s="650"/>
      <c r="U222" s="650"/>
      <c r="V222" s="650"/>
      <c r="W222" s="650"/>
      <c r="X222" s="650"/>
      <c r="Y222" s="650"/>
      <c r="Z222" s="650"/>
    </row>
    <row r="223" spans="1:26" s="205" customFormat="1">
      <c r="A223" s="650"/>
      <c r="B223" s="650"/>
      <c r="C223" s="650"/>
      <c r="D223" s="650"/>
      <c r="E223" s="650"/>
      <c r="F223" s="650"/>
      <c r="G223" s="650"/>
      <c r="H223" s="650"/>
      <c r="I223" s="650"/>
      <c r="J223" s="650"/>
      <c r="K223" s="650"/>
      <c r="L223" s="650"/>
      <c r="M223" s="650"/>
      <c r="N223" s="650"/>
      <c r="O223" s="650"/>
      <c r="P223" s="650"/>
      <c r="Q223" s="650"/>
      <c r="R223" s="650"/>
      <c r="S223" s="650"/>
      <c r="T223" s="650"/>
      <c r="U223" s="650"/>
      <c r="V223" s="650"/>
      <c r="W223" s="650"/>
      <c r="X223" s="650"/>
      <c r="Y223" s="650"/>
      <c r="Z223" s="650"/>
    </row>
    <row r="224" spans="1:26" s="204" customFormat="1" ht="13.5" thickBot="1">
      <c r="A224" s="650"/>
      <c r="B224" s="650"/>
      <c r="C224" s="650"/>
      <c r="D224" s="650"/>
      <c r="E224" s="650"/>
      <c r="F224" s="650"/>
      <c r="G224" s="650"/>
      <c r="H224" s="650"/>
      <c r="I224" s="650"/>
      <c r="J224" s="650"/>
      <c r="K224" s="650"/>
      <c r="L224" s="650"/>
      <c r="M224" s="650"/>
      <c r="N224" s="650"/>
      <c r="O224" s="650"/>
      <c r="P224" s="650"/>
      <c r="Q224" s="650"/>
      <c r="R224" s="650"/>
      <c r="S224" s="650"/>
      <c r="T224" s="650"/>
      <c r="U224" s="650"/>
      <c r="V224" s="650"/>
      <c r="W224" s="650"/>
      <c r="X224" s="650"/>
      <c r="Y224" s="650"/>
      <c r="Z224" s="650"/>
    </row>
    <row r="225" spans="1:26">
      <c r="A225" s="650"/>
      <c r="B225" s="650"/>
      <c r="C225" s="650"/>
      <c r="D225" s="650"/>
      <c r="E225" s="650"/>
      <c r="F225" s="650"/>
      <c r="G225" s="650"/>
      <c r="H225" s="650"/>
      <c r="I225" s="650"/>
      <c r="J225" s="650"/>
      <c r="K225" s="650"/>
      <c r="L225" s="650"/>
      <c r="M225" s="650"/>
      <c r="N225" s="650"/>
      <c r="O225" s="650"/>
      <c r="P225" s="650"/>
      <c r="Q225" s="650"/>
      <c r="R225" s="650"/>
      <c r="S225" s="650"/>
      <c r="T225" s="650"/>
      <c r="U225" s="650"/>
      <c r="V225" s="650"/>
      <c r="W225" s="650"/>
      <c r="X225" s="650"/>
      <c r="Y225" s="650"/>
      <c r="Z225" s="650"/>
    </row>
    <row r="226" spans="1:26" s="205" customFormat="1">
      <c r="A226" s="650"/>
      <c r="B226" s="650"/>
      <c r="C226" s="650"/>
      <c r="D226" s="650"/>
      <c r="E226" s="650"/>
      <c r="F226" s="650"/>
      <c r="G226" s="650"/>
      <c r="H226" s="650"/>
      <c r="I226" s="650"/>
      <c r="J226" s="650"/>
      <c r="K226" s="650"/>
      <c r="L226" s="650"/>
      <c r="M226" s="650"/>
      <c r="N226" s="650"/>
      <c r="O226" s="650"/>
      <c r="P226" s="650"/>
      <c r="Q226" s="650"/>
      <c r="R226" s="650"/>
      <c r="S226" s="650"/>
      <c r="T226" s="650"/>
      <c r="U226" s="650"/>
      <c r="V226" s="650"/>
      <c r="W226" s="650"/>
      <c r="X226" s="650"/>
      <c r="Y226" s="650"/>
      <c r="Z226" s="650"/>
    </row>
    <row r="227" spans="1:26" s="204" customFormat="1" ht="13.5" thickBot="1">
      <c r="A227" s="650"/>
      <c r="B227" s="650"/>
      <c r="C227" s="650"/>
      <c r="D227" s="650"/>
      <c r="E227" s="650"/>
      <c r="F227" s="650"/>
      <c r="G227" s="650"/>
      <c r="H227" s="650"/>
      <c r="I227" s="650"/>
      <c r="J227" s="650"/>
      <c r="K227" s="650"/>
      <c r="L227" s="650"/>
      <c r="M227" s="650"/>
      <c r="N227" s="650"/>
      <c r="O227" s="650"/>
      <c r="P227" s="650"/>
      <c r="Q227" s="650"/>
      <c r="R227" s="650"/>
      <c r="S227" s="650"/>
      <c r="T227" s="650"/>
      <c r="U227" s="650"/>
      <c r="V227" s="650"/>
      <c r="W227" s="650"/>
      <c r="X227" s="650"/>
      <c r="Y227" s="650"/>
      <c r="Z227" s="650"/>
    </row>
    <row r="228" spans="1:26">
      <c r="A228" s="650"/>
      <c r="B228" s="650"/>
      <c r="C228" s="650"/>
      <c r="D228" s="650"/>
      <c r="E228" s="650"/>
      <c r="F228" s="650"/>
      <c r="G228" s="650"/>
      <c r="H228" s="650"/>
      <c r="I228" s="650"/>
      <c r="J228" s="650"/>
      <c r="K228" s="650"/>
      <c r="L228" s="650"/>
      <c r="M228" s="650"/>
      <c r="N228" s="650"/>
      <c r="O228" s="650"/>
      <c r="P228" s="650"/>
      <c r="Q228" s="650"/>
      <c r="R228" s="650"/>
      <c r="S228" s="650"/>
      <c r="T228" s="650"/>
      <c r="U228" s="650"/>
      <c r="V228" s="650"/>
      <c r="W228" s="650"/>
      <c r="X228" s="650"/>
      <c r="Y228" s="650"/>
      <c r="Z228" s="650"/>
    </row>
    <row r="229" spans="1:26" s="205" customFormat="1">
      <c r="A229" s="650"/>
      <c r="B229" s="650"/>
      <c r="C229" s="650"/>
      <c r="D229" s="650"/>
      <c r="E229" s="650"/>
      <c r="F229" s="650"/>
      <c r="G229" s="650"/>
      <c r="H229" s="650"/>
      <c r="I229" s="650"/>
      <c r="J229" s="650"/>
      <c r="K229" s="650"/>
      <c r="L229" s="650"/>
      <c r="M229" s="650"/>
      <c r="N229" s="650"/>
      <c r="O229" s="650"/>
      <c r="P229" s="650"/>
      <c r="Q229" s="650"/>
      <c r="R229" s="650"/>
      <c r="S229" s="650"/>
      <c r="T229" s="650"/>
      <c r="U229" s="650"/>
      <c r="V229" s="650"/>
      <c r="W229" s="650"/>
      <c r="X229" s="650"/>
      <c r="Y229" s="650"/>
      <c r="Z229" s="650"/>
    </row>
    <row r="230" spans="1:26" s="204" customFormat="1" ht="13.5" thickBot="1">
      <c r="A230" s="650"/>
      <c r="B230" s="650"/>
      <c r="C230" s="650"/>
      <c r="D230" s="650"/>
      <c r="E230" s="650"/>
      <c r="F230" s="650"/>
      <c r="G230" s="650"/>
      <c r="H230" s="650"/>
      <c r="I230" s="650"/>
      <c r="J230" s="650"/>
      <c r="K230" s="650"/>
      <c r="L230" s="650"/>
      <c r="M230" s="650"/>
      <c r="N230" s="650"/>
      <c r="O230" s="650"/>
      <c r="P230" s="650"/>
      <c r="Q230" s="650"/>
      <c r="R230" s="650"/>
      <c r="S230" s="650"/>
      <c r="T230" s="650"/>
      <c r="U230" s="650"/>
      <c r="V230" s="650"/>
      <c r="W230" s="650"/>
      <c r="X230" s="650"/>
      <c r="Y230" s="650"/>
      <c r="Z230" s="650"/>
    </row>
    <row r="231" spans="1:26">
      <c r="A231" s="650"/>
      <c r="B231" s="650"/>
      <c r="C231" s="650"/>
      <c r="D231" s="650"/>
      <c r="E231" s="650"/>
      <c r="F231" s="650"/>
      <c r="G231" s="650"/>
      <c r="H231" s="650"/>
      <c r="I231" s="650"/>
      <c r="J231" s="650"/>
      <c r="K231" s="650"/>
      <c r="L231" s="650"/>
      <c r="M231" s="650"/>
      <c r="N231" s="650"/>
      <c r="O231" s="650"/>
      <c r="P231" s="650"/>
      <c r="Q231" s="650"/>
      <c r="R231" s="650"/>
      <c r="S231" s="650"/>
      <c r="T231" s="650"/>
      <c r="U231" s="650"/>
      <c r="V231" s="650"/>
      <c r="W231" s="650"/>
      <c r="X231" s="650"/>
      <c r="Y231" s="650"/>
      <c r="Z231" s="650"/>
    </row>
    <row r="232" spans="1:26" s="205" customFormat="1">
      <c r="A232" s="650"/>
      <c r="B232" s="650"/>
      <c r="C232" s="650"/>
      <c r="D232" s="650"/>
      <c r="E232" s="650"/>
      <c r="F232" s="650"/>
      <c r="G232" s="650"/>
      <c r="H232" s="650"/>
      <c r="I232" s="650"/>
      <c r="J232" s="650"/>
      <c r="K232" s="650"/>
      <c r="L232" s="650"/>
      <c r="M232" s="650"/>
      <c r="N232" s="650"/>
      <c r="O232" s="650"/>
      <c r="P232" s="650"/>
      <c r="Q232" s="650"/>
      <c r="R232" s="650"/>
      <c r="S232" s="650"/>
      <c r="T232" s="650"/>
      <c r="U232" s="650"/>
      <c r="V232" s="650"/>
      <c r="W232" s="650"/>
      <c r="X232" s="650"/>
      <c r="Y232" s="650"/>
      <c r="Z232" s="650"/>
    </row>
    <row r="233" spans="1:26" s="204" customFormat="1" ht="13.5" thickBot="1">
      <c r="A233" s="650"/>
      <c r="B233" s="650"/>
      <c r="C233" s="650"/>
      <c r="D233" s="650"/>
      <c r="E233" s="650"/>
      <c r="F233" s="650"/>
      <c r="G233" s="650"/>
      <c r="H233" s="650"/>
      <c r="I233" s="650"/>
      <c r="J233" s="650"/>
      <c r="K233" s="650"/>
      <c r="L233" s="650"/>
      <c r="M233" s="650"/>
      <c r="N233" s="650"/>
      <c r="O233" s="650"/>
      <c r="P233" s="650"/>
      <c r="Q233" s="650"/>
      <c r="R233" s="650"/>
      <c r="S233" s="650"/>
      <c r="T233" s="650"/>
      <c r="U233" s="650"/>
      <c r="V233" s="650"/>
      <c r="W233" s="650"/>
      <c r="X233" s="650"/>
      <c r="Y233" s="650"/>
      <c r="Z233" s="650"/>
    </row>
    <row r="234" spans="1:26">
      <c r="A234" s="650"/>
      <c r="B234" s="650"/>
      <c r="C234" s="650"/>
      <c r="D234" s="650"/>
      <c r="E234" s="650"/>
      <c r="F234" s="650"/>
      <c r="G234" s="650"/>
      <c r="H234" s="650"/>
      <c r="I234" s="650"/>
      <c r="J234" s="650"/>
      <c r="K234" s="650"/>
      <c r="L234" s="650"/>
      <c r="M234" s="650"/>
      <c r="N234" s="650"/>
      <c r="O234" s="650"/>
      <c r="P234" s="650"/>
      <c r="Q234" s="650"/>
      <c r="R234" s="650"/>
      <c r="S234" s="650"/>
      <c r="T234" s="650"/>
      <c r="U234" s="650"/>
      <c r="V234" s="650"/>
      <c r="W234" s="650"/>
      <c r="X234" s="650"/>
      <c r="Y234" s="650"/>
      <c r="Z234" s="650"/>
    </row>
    <row r="235" spans="1:26" s="205" customFormat="1">
      <c r="A235" s="650"/>
      <c r="B235" s="650"/>
      <c r="C235" s="650"/>
      <c r="D235" s="650"/>
      <c r="E235" s="650"/>
      <c r="F235" s="650"/>
      <c r="G235" s="650"/>
      <c r="H235" s="650"/>
      <c r="I235" s="650"/>
      <c r="J235" s="650"/>
      <c r="K235" s="650"/>
      <c r="L235" s="650"/>
      <c r="M235" s="650"/>
      <c r="N235" s="650"/>
      <c r="O235" s="650"/>
      <c r="P235" s="650"/>
      <c r="Q235" s="650"/>
      <c r="R235" s="650"/>
      <c r="S235" s="650"/>
      <c r="T235" s="650"/>
      <c r="U235" s="650"/>
      <c r="V235" s="650"/>
      <c r="W235" s="650"/>
      <c r="X235" s="650"/>
      <c r="Y235" s="650"/>
      <c r="Z235" s="650"/>
    </row>
    <row r="236" spans="1:26" s="204" customFormat="1" ht="13.5" thickBot="1">
      <c r="A236" s="650"/>
      <c r="B236" s="650"/>
      <c r="C236" s="650"/>
      <c r="D236" s="650"/>
      <c r="E236" s="650"/>
      <c r="F236" s="650"/>
      <c r="G236" s="650"/>
      <c r="H236" s="650"/>
      <c r="I236" s="650"/>
      <c r="J236" s="650"/>
      <c r="K236" s="650"/>
      <c r="L236" s="650"/>
      <c r="M236" s="650"/>
      <c r="N236" s="650"/>
      <c r="O236" s="650"/>
      <c r="P236" s="650"/>
      <c r="Q236" s="650"/>
      <c r="R236" s="650"/>
      <c r="S236" s="650"/>
      <c r="T236" s="650"/>
      <c r="U236" s="650"/>
      <c r="V236" s="650"/>
      <c r="W236" s="650"/>
      <c r="X236" s="650"/>
      <c r="Y236" s="650"/>
      <c r="Z236" s="650"/>
    </row>
    <row r="237" spans="1:26">
      <c r="A237" s="650"/>
      <c r="B237" s="650"/>
      <c r="C237" s="650"/>
      <c r="D237" s="650"/>
      <c r="E237" s="650"/>
      <c r="F237" s="650"/>
      <c r="G237" s="650"/>
      <c r="H237" s="650"/>
      <c r="I237" s="650"/>
      <c r="J237" s="650"/>
      <c r="K237" s="650"/>
      <c r="L237" s="650"/>
      <c r="M237" s="650"/>
      <c r="N237" s="650"/>
      <c r="O237" s="650"/>
      <c r="P237" s="650"/>
      <c r="Q237" s="650"/>
      <c r="R237" s="650"/>
      <c r="S237" s="650"/>
      <c r="T237" s="650"/>
      <c r="U237" s="650"/>
      <c r="V237" s="650"/>
      <c r="W237" s="650"/>
      <c r="X237" s="650"/>
      <c r="Y237" s="650"/>
      <c r="Z237" s="650"/>
    </row>
    <row r="238" spans="1:26" s="205" customFormat="1">
      <c r="A238" s="650"/>
      <c r="B238" s="650"/>
      <c r="C238" s="650"/>
      <c r="D238" s="650"/>
      <c r="E238" s="650"/>
      <c r="F238" s="650"/>
      <c r="G238" s="650"/>
      <c r="H238" s="650"/>
      <c r="I238" s="650"/>
      <c r="J238" s="650"/>
      <c r="K238" s="650"/>
      <c r="L238" s="650"/>
      <c r="M238" s="650"/>
      <c r="N238" s="650"/>
      <c r="O238" s="650"/>
      <c r="P238" s="650"/>
      <c r="Q238" s="650"/>
      <c r="R238" s="650"/>
      <c r="S238" s="650"/>
      <c r="T238" s="650"/>
      <c r="U238" s="650"/>
      <c r="V238" s="650"/>
      <c r="W238" s="650"/>
      <c r="X238" s="650"/>
      <c r="Y238" s="650"/>
      <c r="Z238" s="650"/>
    </row>
    <row r="239" spans="1:26" s="214" customFormat="1" ht="13.5" thickBot="1">
      <c r="A239" s="650"/>
      <c r="B239" s="650"/>
      <c r="C239" s="650"/>
      <c r="D239" s="650"/>
      <c r="E239" s="650"/>
      <c r="F239" s="650"/>
      <c r="G239" s="650"/>
      <c r="H239" s="650"/>
      <c r="I239" s="650"/>
      <c r="J239" s="650"/>
      <c r="K239" s="650"/>
      <c r="L239" s="650"/>
      <c r="M239" s="650"/>
      <c r="N239" s="650"/>
      <c r="O239" s="650"/>
      <c r="P239" s="650"/>
      <c r="Q239" s="650"/>
      <c r="R239" s="650"/>
      <c r="S239" s="650"/>
      <c r="T239" s="650"/>
      <c r="U239" s="650"/>
      <c r="V239" s="650"/>
      <c r="W239" s="650"/>
      <c r="X239" s="650"/>
      <c r="Y239" s="650"/>
      <c r="Z239" s="650"/>
    </row>
    <row r="240" spans="1:26">
      <c r="A240" s="650"/>
      <c r="B240" s="650"/>
      <c r="C240" s="650"/>
      <c r="D240" s="650"/>
      <c r="E240" s="650"/>
      <c r="F240" s="650"/>
      <c r="G240" s="650"/>
      <c r="H240" s="650"/>
      <c r="I240" s="650"/>
      <c r="J240" s="650"/>
      <c r="K240" s="650"/>
      <c r="L240" s="650"/>
      <c r="M240" s="650"/>
      <c r="N240" s="650"/>
      <c r="O240" s="650"/>
      <c r="P240" s="650"/>
      <c r="Q240" s="650"/>
      <c r="R240" s="650"/>
      <c r="S240" s="650"/>
      <c r="T240" s="650"/>
      <c r="U240" s="650"/>
      <c r="V240" s="650"/>
      <c r="W240" s="650"/>
      <c r="X240" s="650"/>
      <c r="Y240" s="650"/>
      <c r="Z240" s="650"/>
    </row>
    <row r="241" spans="1:26" s="205" customFormat="1">
      <c r="A241" s="650"/>
      <c r="B241" s="650"/>
      <c r="C241" s="650"/>
      <c r="D241" s="650"/>
      <c r="E241" s="650"/>
      <c r="F241" s="650"/>
      <c r="G241" s="650"/>
      <c r="H241" s="650"/>
      <c r="I241" s="650"/>
      <c r="J241" s="650"/>
      <c r="K241" s="650"/>
      <c r="L241" s="650"/>
      <c r="M241" s="650"/>
      <c r="N241" s="650"/>
      <c r="O241" s="650"/>
      <c r="P241" s="650"/>
      <c r="Q241" s="650"/>
      <c r="R241" s="650"/>
      <c r="S241" s="650"/>
      <c r="T241" s="650"/>
      <c r="U241" s="650"/>
      <c r="V241" s="650"/>
      <c r="W241" s="650"/>
      <c r="X241" s="650"/>
      <c r="Y241" s="650"/>
      <c r="Z241" s="650"/>
    </row>
    <row r="242" spans="1:26" s="204" customFormat="1" ht="13.5" thickBot="1">
      <c r="A242" s="650"/>
      <c r="B242" s="650"/>
      <c r="C242" s="650"/>
      <c r="D242" s="650"/>
      <c r="E242" s="650"/>
      <c r="F242" s="650"/>
      <c r="G242" s="650"/>
      <c r="H242" s="650"/>
      <c r="I242" s="650"/>
      <c r="J242" s="650"/>
      <c r="K242" s="650"/>
      <c r="L242" s="650"/>
      <c r="M242" s="650"/>
      <c r="N242" s="650"/>
      <c r="O242" s="650"/>
      <c r="P242" s="650"/>
      <c r="Q242" s="650"/>
      <c r="R242" s="650"/>
      <c r="S242" s="650"/>
      <c r="T242" s="650"/>
      <c r="U242" s="650"/>
      <c r="V242" s="650"/>
      <c r="W242" s="650"/>
      <c r="X242" s="650"/>
      <c r="Y242" s="650"/>
      <c r="Z242" s="650"/>
    </row>
    <row r="243" spans="1:26">
      <c r="A243" s="650"/>
      <c r="B243" s="650"/>
      <c r="C243" s="650"/>
      <c r="D243" s="650"/>
      <c r="E243" s="650"/>
      <c r="F243" s="650"/>
      <c r="G243" s="650"/>
      <c r="H243" s="650"/>
      <c r="I243" s="650"/>
      <c r="J243" s="650"/>
      <c r="K243" s="650"/>
      <c r="L243" s="650"/>
      <c r="M243" s="650"/>
      <c r="N243" s="650"/>
      <c r="O243" s="650"/>
      <c r="P243" s="650"/>
      <c r="Q243" s="650"/>
      <c r="R243" s="650"/>
      <c r="S243" s="650"/>
      <c r="T243" s="650"/>
      <c r="U243" s="650"/>
      <c r="V243" s="650"/>
      <c r="W243" s="650"/>
      <c r="X243" s="650"/>
      <c r="Y243" s="650"/>
      <c r="Z243" s="650"/>
    </row>
    <row r="244" spans="1:26" s="205" customFormat="1">
      <c r="A244" s="650"/>
      <c r="B244" s="650"/>
      <c r="C244" s="650"/>
      <c r="D244" s="650"/>
      <c r="E244" s="650"/>
      <c r="F244" s="650"/>
      <c r="G244" s="650"/>
      <c r="H244" s="650"/>
      <c r="I244" s="650"/>
      <c r="J244" s="650"/>
      <c r="K244" s="650"/>
      <c r="L244" s="650"/>
      <c r="M244" s="650"/>
      <c r="N244" s="650"/>
      <c r="O244" s="650"/>
      <c r="P244" s="650"/>
      <c r="Q244" s="650"/>
      <c r="R244" s="650"/>
      <c r="S244" s="650"/>
      <c r="T244" s="650"/>
      <c r="U244" s="650"/>
      <c r="V244" s="650"/>
      <c r="W244" s="650"/>
      <c r="X244" s="650"/>
      <c r="Y244" s="650"/>
      <c r="Z244" s="650"/>
    </row>
    <row r="245" spans="1:26" s="204" customFormat="1" ht="13.5" thickBot="1">
      <c r="A245" s="650"/>
      <c r="B245" s="650"/>
      <c r="C245" s="650"/>
      <c r="D245" s="650"/>
      <c r="E245" s="650"/>
      <c r="F245" s="650"/>
      <c r="G245" s="650"/>
      <c r="H245" s="650"/>
      <c r="I245" s="650"/>
      <c r="J245" s="650"/>
      <c r="K245" s="650"/>
      <c r="L245" s="650"/>
      <c r="M245" s="650"/>
      <c r="N245" s="650"/>
      <c r="O245" s="650"/>
      <c r="P245" s="650"/>
      <c r="Q245" s="650"/>
      <c r="R245" s="650"/>
      <c r="S245" s="650"/>
      <c r="T245" s="650"/>
      <c r="U245" s="650"/>
      <c r="V245" s="650"/>
      <c r="W245" s="650"/>
      <c r="X245" s="650"/>
      <c r="Y245" s="650"/>
      <c r="Z245" s="650"/>
    </row>
    <row r="246" spans="1:26">
      <c r="A246" s="650"/>
      <c r="B246" s="650"/>
      <c r="C246" s="650"/>
      <c r="D246" s="650"/>
      <c r="E246" s="650"/>
      <c r="F246" s="650"/>
      <c r="G246" s="650"/>
      <c r="H246" s="650"/>
      <c r="I246" s="650"/>
      <c r="J246" s="650"/>
      <c r="K246" s="650"/>
      <c r="L246" s="650"/>
      <c r="M246" s="650"/>
      <c r="N246" s="650"/>
      <c r="O246" s="650"/>
      <c r="P246" s="650"/>
      <c r="Q246" s="650"/>
      <c r="R246" s="650"/>
      <c r="S246" s="650"/>
      <c r="T246" s="650"/>
      <c r="U246" s="650"/>
      <c r="V246" s="650"/>
      <c r="W246" s="650"/>
      <c r="X246" s="650"/>
      <c r="Y246" s="650"/>
      <c r="Z246" s="650"/>
    </row>
    <row r="247" spans="1:26" s="205" customFormat="1">
      <c r="A247" s="650"/>
      <c r="B247" s="650"/>
      <c r="C247" s="650"/>
      <c r="D247" s="650"/>
      <c r="E247" s="650"/>
      <c r="F247" s="650"/>
      <c r="G247" s="650"/>
      <c r="H247" s="650"/>
      <c r="I247" s="650"/>
      <c r="J247" s="650"/>
      <c r="K247" s="650"/>
      <c r="L247" s="650"/>
      <c r="M247" s="650"/>
      <c r="N247" s="650"/>
      <c r="O247" s="650"/>
      <c r="P247" s="650"/>
      <c r="Q247" s="650"/>
      <c r="R247" s="650"/>
      <c r="S247" s="650"/>
      <c r="T247" s="650"/>
      <c r="U247" s="650"/>
      <c r="V247" s="650"/>
      <c r="W247" s="650"/>
      <c r="X247" s="650"/>
      <c r="Y247" s="650"/>
      <c r="Z247" s="650"/>
    </row>
    <row r="248" spans="1:26" s="204" customFormat="1" ht="13.5" thickBot="1">
      <c r="A248" s="650"/>
      <c r="B248" s="650"/>
      <c r="C248" s="650"/>
      <c r="D248" s="650"/>
      <c r="E248" s="650"/>
      <c r="F248" s="650"/>
      <c r="G248" s="650"/>
      <c r="H248" s="650"/>
      <c r="I248" s="650"/>
      <c r="J248" s="650"/>
      <c r="K248" s="650"/>
      <c r="L248" s="650"/>
      <c r="M248" s="650"/>
      <c r="N248" s="650"/>
      <c r="O248" s="650"/>
      <c r="P248" s="650"/>
      <c r="Q248" s="650"/>
      <c r="R248" s="650"/>
      <c r="S248" s="650"/>
      <c r="T248" s="650"/>
      <c r="U248" s="650"/>
      <c r="V248" s="650"/>
      <c r="W248" s="650"/>
      <c r="X248" s="650"/>
      <c r="Y248" s="650"/>
      <c r="Z248" s="650"/>
    </row>
    <row r="249" spans="1:26">
      <c r="A249" s="650"/>
      <c r="B249" s="650"/>
      <c r="C249" s="650"/>
      <c r="D249" s="650"/>
      <c r="E249" s="650"/>
      <c r="F249" s="650"/>
      <c r="G249" s="650"/>
      <c r="H249" s="650"/>
      <c r="I249" s="650"/>
      <c r="J249" s="650"/>
      <c r="K249" s="650"/>
      <c r="L249" s="650"/>
      <c r="M249" s="650"/>
      <c r="N249" s="650"/>
      <c r="O249" s="650"/>
      <c r="P249" s="650"/>
      <c r="Q249" s="650"/>
      <c r="R249" s="650"/>
      <c r="S249" s="650"/>
      <c r="T249" s="650"/>
      <c r="U249" s="650"/>
      <c r="V249" s="650"/>
      <c r="W249" s="650"/>
      <c r="X249" s="650"/>
      <c r="Y249" s="650"/>
      <c r="Z249" s="650"/>
    </row>
    <row r="250" spans="1:26" s="205" customFormat="1" ht="13.5" thickBot="1">
      <c r="A250" s="650"/>
      <c r="B250" s="650"/>
      <c r="C250" s="650"/>
      <c r="D250" s="650"/>
      <c r="E250" s="650"/>
      <c r="F250" s="650"/>
      <c r="G250" s="650"/>
      <c r="H250" s="650"/>
      <c r="I250" s="650"/>
      <c r="J250" s="650"/>
      <c r="K250" s="650"/>
      <c r="L250" s="650"/>
      <c r="M250" s="650"/>
      <c r="N250" s="650"/>
      <c r="O250" s="650"/>
      <c r="P250" s="650"/>
      <c r="Q250" s="650"/>
      <c r="R250" s="650"/>
      <c r="S250" s="650"/>
      <c r="T250" s="650"/>
      <c r="U250" s="650"/>
      <c r="V250" s="650"/>
      <c r="W250" s="650"/>
      <c r="X250" s="650"/>
      <c r="Y250" s="650"/>
      <c r="Z250" s="650"/>
    </row>
    <row r="251" spans="1:26" s="204" customFormat="1">
      <c r="A251" s="650"/>
      <c r="B251" s="650"/>
      <c r="C251" s="650"/>
      <c r="D251" s="650"/>
      <c r="E251" s="650"/>
      <c r="F251" s="650"/>
      <c r="G251" s="650"/>
      <c r="H251" s="650"/>
      <c r="I251" s="650"/>
      <c r="J251" s="650"/>
      <c r="K251" s="650"/>
      <c r="L251" s="650"/>
      <c r="M251" s="650"/>
      <c r="N251" s="650"/>
      <c r="O251" s="650"/>
      <c r="P251" s="650"/>
      <c r="Q251" s="650"/>
      <c r="R251" s="650"/>
      <c r="S251" s="650"/>
      <c r="T251" s="650"/>
      <c r="U251" s="650"/>
      <c r="V251" s="650"/>
      <c r="W251" s="650"/>
      <c r="X251" s="650"/>
      <c r="Y251" s="650"/>
      <c r="Z251" s="650"/>
    </row>
    <row r="252" spans="1:26">
      <c r="A252" s="650"/>
      <c r="B252" s="650"/>
      <c r="C252" s="650"/>
      <c r="D252" s="650"/>
      <c r="E252" s="650"/>
      <c r="F252" s="650"/>
      <c r="G252" s="650"/>
      <c r="H252" s="650"/>
      <c r="I252" s="650"/>
      <c r="J252" s="650"/>
      <c r="K252" s="650"/>
      <c r="L252" s="650"/>
      <c r="M252" s="650"/>
      <c r="N252" s="650"/>
      <c r="O252" s="650"/>
      <c r="P252" s="650"/>
      <c r="Q252" s="650"/>
      <c r="R252" s="650"/>
      <c r="S252" s="650"/>
      <c r="T252" s="650"/>
      <c r="U252" s="650"/>
      <c r="V252" s="650"/>
      <c r="W252" s="650"/>
      <c r="X252" s="650"/>
      <c r="Y252" s="650"/>
      <c r="Z252" s="650"/>
    </row>
    <row r="253" spans="1:26" s="205" customFormat="1" ht="13.5" thickBot="1">
      <c r="A253" s="650"/>
      <c r="B253" s="650"/>
      <c r="C253" s="650"/>
      <c r="D253" s="650"/>
      <c r="E253" s="650"/>
      <c r="F253" s="650"/>
      <c r="G253" s="650"/>
      <c r="H253" s="650"/>
      <c r="I253" s="650"/>
      <c r="J253" s="650"/>
      <c r="K253" s="650"/>
      <c r="L253" s="650"/>
      <c r="M253" s="650"/>
      <c r="N253" s="650"/>
      <c r="O253" s="650"/>
      <c r="P253" s="650"/>
      <c r="Q253" s="650"/>
      <c r="R253" s="650"/>
      <c r="S253" s="650"/>
      <c r="T253" s="650"/>
      <c r="U253" s="650"/>
      <c r="V253" s="650"/>
      <c r="W253" s="650"/>
      <c r="X253" s="650"/>
      <c r="Y253" s="650"/>
      <c r="Z253" s="650"/>
    </row>
    <row r="254" spans="1:26" s="204" customFormat="1">
      <c r="A254" s="650"/>
      <c r="B254" s="650"/>
      <c r="C254" s="650"/>
      <c r="D254" s="650"/>
      <c r="E254" s="650"/>
      <c r="F254" s="650"/>
      <c r="G254" s="650"/>
      <c r="H254" s="650"/>
      <c r="I254" s="650"/>
      <c r="J254" s="650"/>
      <c r="K254" s="650"/>
      <c r="L254" s="650"/>
      <c r="M254" s="650"/>
      <c r="N254" s="650"/>
      <c r="O254" s="650"/>
      <c r="P254" s="650"/>
      <c r="Q254" s="650"/>
      <c r="R254" s="650"/>
      <c r="S254" s="650"/>
      <c r="T254" s="650"/>
      <c r="U254" s="650"/>
      <c r="V254" s="650"/>
      <c r="W254" s="650"/>
      <c r="X254" s="650"/>
      <c r="Y254" s="650"/>
      <c r="Z254" s="650"/>
    </row>
    <row r="255" spans="1:26">
      <c r="A255" s="650"/>
      <c r="B255" s="650"/>
      <c r="C255" s="650"/>
      <c r="D255" s="650"/>
      <c r="E255" s="650"/>
      <c r="F255" s="650"/>
      <c r="G255" s="650"/>
      <c r="H255" s="650"/>
      <c r="I255" s="650"/>
      <c r="J255" s="650"/>
      <c r="K255" s="650"/>
      <c r="L255" s="650"/>
      <c r="M255" s="650"/>
      <c r="N255" s="650"/>
      <c r="O255" s="650"/>
      <c r="P255" s="650"/>
      <c r="Q255" s="650"/>
      <c r="R255" s="650"/>
      <c r="S255" s="650"/>
      <c r="T255" s="650"/>
      <c r="U255" s="650"/>
      <c r="V255" s="650"/>
      <c r="W255" s="650"/>
      <c r="X255" s="650"/>
      <c r="Y255" s="650"/>
      <c r="Z255" s="650"/>
    </row>
    <row r="256" spans="1:26" s="205" customFormat="1" ht="13.5" thickBot="1">
      <c r="A256" s="650"/>
      <c r="B256" s="650"/>
      <c r="C256" s="650"/>
      <c r="D256" s="650"/>
      <c r="E256" s="650"/>
      <c r="F256" s="650"/>
      <c r="G256" s="650"/>
      <c r="H256" s="650"/>
      <c r="I256" s="650"/>
      <c r="J256" s="650"/>
      <c r="K256" s="650"/>
      <c r="L256" s="650"/>
      <c r="M256" s="650"/>
      <c r="N256" s="650"/>
      <c r="O256" s="650"/>
      <c r="P256" s="650"/>
      <c r="Q256" s="650"/>
      <c r="R256" s="650"/>
      <c r="S256" s="650"/>
      <c r="T256" s="650"/>
      <c r="U256" s="650"/>
      <c r="V256" s="650"/>
      <c r="W256" s="650"/>
      <c r="X256" s="650"/>
      <c r="Y256" s="650"/>
      <c r="Z256" s="650"/>
    </row>
    <row r="257" spans="1:26" s="204" customFormat="1">
      <c r="A257" s="650"/>
      <c r="B257" s="650"/>
      <c r="C257" s="650"/>
      <c r="D257" s="650"/>
      <c r="E257" s="650"/>
      <c r="F257" s="650"/>
      <c r="G257" s="650"/>
      <c r="H257" s="650"/>
      <c r="I257" s="650"/>
      <c r="J257" s="650"/>
      <c r="K257" s="650"/>
      <c r="L257" s="650"/>
      <c r="M257" s="650"/>
      <c r="N257" s="650"/>
      <c r="O257" s="650"/>
      <c r="P257" s="650"/>
      <c r="Q257" s="650"/>
      <c r="R257" s="650"/>
      <c r="S257" s="650"/>
      <c r="T257" s="650"/>
      <c r="U257" s="650"/>
      <c r="V257" s="650"/>
      <c r="W257" s="650"/>
      <c r="X257" s="650"/>
      <c r="Y257" s="650"/>
      <c r="Z257" s="650"/>
    </row>
    <row r="258" spans="1:26">
      <c r="A258" s="650"/>
      <c r="B258" s="650"/>
      <c r="C258" s="650"/>
      <c r="D258" s="650"/>
      <c r="E258" s="650"/>
      <c r="F258" s="650"/>
      <c r="G258" s="650"/>
      <c r="H258" s="650"/>
      <c r="I258" s="650"/>
      <c r="J258" s="650"/>
      <c r="K258" s="650"/>
      <c r="L258" s="650"/>
      <c r="M258" s="650"/>
      <c r="N258" s="650"/>
      <c r="O258" s="650"/>
      <c r="P258" s="650"/>
      <c r="Q258" s="650"/>
      <c r="R258" s="650"/>
      <c r="S258" s="650"/>
      <c r="T258" s="650"/>
      <c r="U258" s="650"/>
      <c r="V258" s="650"/>
      <c r="W258" s="650"/>
      <c r="X258" s="650"/>
      <c r="Y258" s="650"/>
      <c r="Z258" s="650"/>
    </row>
    <row r="259" spans="1:26" s="205" customFormat="1" ht="13.5" thickBot="1">
      <c r="A259" s="650"/>
      <c r="B259" s="650"/>
      <c r="C259" s="650"/>
      <c r="D259" s="650"/>
      <c r="E259" s="650"/>
      <c r="F259" s="650"/>
      <c r="G259" s="650"/>
      <c r="H259" s="650"/>
      <c r="I259" s="650"/>
      <c r="J259" s="650"/>
      <c r="K259" s="650"/>
      <c r="L259" s="650"/>
      <c r="M259" s="650"/>
      <c r="N259" s="650"/>
      <c r="O259" s="650"/>
      <c r="P259" s="650"/>
      <c r="Q259" s="650"/>
      <c r="R259" s="650"/>
      <c r="S259" s="650"/>
      <c r="T259" s="650"/>
      <c r="U259" s="650"/>
      <c r="V259" s="650"/>
      <c r="W259" s="650"/>
      <c r="X259" s="650"/>
      <c r="Y259" s="650"/>
      <c r="Z259" s="650"/>
    </row>
    <row r="260" spans="1:26" s="204" customFormat="1">
      <c r="A260" s="650"/>
      <c r="B260" s="650"/>
      <c r="C260" s="650"/>
      <c r="D260" s="650"/>
      <c r="E260" s="650"/>
      <c r="F260" s="650"/>
      <c r="G260" s="650"/>
      <c r="H260" s="650"/>
      <c r="I260" s="650"/>
      <c r="J260" s="650"/>
      <c r="K260" s="650"/>
      <c r="L260" s="650"/>
      <c r="M260" s="650"/>
      <c r="N260" s="650"/>
      <c r="O260" s="650"/>
      <c r="P260" s="650"/>
      <c r="Q260" s="650"/>
      <c r="R260" s="650"/>
      <c r="S260" s="650"/>
      <c r="T260" s="650"/>
      <c r="U260" s="650"/>
      <c r="V260" s="650"/>
      <c r="W260" s="650"/>
      <c r="X260" s="650"/>
      <c r="Y260" s="650"/>
      <c r="Z260" s="650"/>
    </row>
    <row r="261" spans="1:26">
      <c r="A261" s="650"/>
      <c r="B261" s="650"/>
      <c r="C261" s="650"/>
      <c r="D261" s="650"/>
      <c r="E261" s="650"/>
      <c r="F261" s="650"/>
      <c r="G261" s="650"/>
      <c r="H261" s="650"/>
      <c r="I261" s="650"/>
      <c r="J261" s="650"/>
      <c r="K261" s="650"/>
      <c r="L261" s="650"/>
      <c r="M261" s="650"/>
      <c r="N261" s="650"/>
      <c r="O261" s="650"/>
      <c r="P261" s="650"/>
      <c r="Q261" s="650"/>
      <c r="R261" s="650"/>
      <c r="S261" s="650"/>
      <c r="T261" s="650"/>
      <c r="U261" s="650"/>
      <c r="V261" s="650"/>
      <c r="W261" s="650"/>
      <c r="X261" s="650"/>
      <c r="Y261" s="650"/>
      <c r="Z261" s="650"/>
    </row>
    <row r="262" spans="1:26" s="205" customFormat="1" ht="13.5" thickBot="1">
      <c r="A262" s="650"/>
      <c r="B262" s="650"/>
      <c r="C262" s="650"/>
      <c r="D262" s="650"/>
      <c r="E262" s="650"/>
      <c r="F262" s="650"/>
      <c r="G262" s="650"/>
      <c r="H262" s="650"/>
      <c r="I262" s="650"/>
      <c r="J262" s="650"/>
      <c r="K262" s="650"/>
      <c r="L262" s="650"/>
      <c r="M262" s="650"/>
      <c r="N262" s="650"/>
      <c r="O262" s="650"/>
      <c r="P262" s="650"/>
      <c r="Q262" s="650"/>
      <c r="R262" s="650"/>
      <c r="S262" s="650"/>
      <c r="T262" s="650"/>
      <c r="U262" s="650"/>
      <c r="V262" s="650"/>
      <c r="W262" s="650"/>
      <c r="X262" s="650"/>
      <c r="Y262" s="650"/>
      <c r="Z262" s="650"/>
    </row>
    <row r="263" spans="1:26" s="204" customFormat="1">
      <c r="A263" s="650"/>
      <c r="B263" s="650"/>
      <c r="C263" s="650"/>
      <c r="D263" s="650"/>
      <c r="E263" s="650"/>
      <c r="F263" s="650"/>
      <c r="G263" s="650"/>
      <c r="H263" s="650"/>
      <c r="I263" s="650"/>
      <c r="J263" s="650"/>
      <c r="K263" s="650"/>
      <c r="L263" s="650"/>
      <c r="M263" s="650"/>
      <c r="N263" s="650"/>
      <c r="O263" s="650"/>
      <c r="P263" s="650"/>
      <c r="Q263" s="650"/>
      <c r="R263" s="650"/>
      <c r="S263" s="650"/>
      <c r="T263" s="650"/>
      <c r="U263" s="650"/>
      <c r="V263" s="650"/>
      <c r="W263" s="650"/>
      <c r="X263" s="650"/>
      <c r="Y263" s="650"/>
      <c r="Z263" s="650"/>
    </row>
    <row r="264" spans="1:26">
      <c r="A264" s="650"/>
      <c r="B264" s="650"/>
      <c r="C264" s="650"/>
      <c r="D264" s="650"/>
      <c r="E264" s="650"/>
      <c r="F264" s="650"/>
      <c r="G264" s="650"/>
      <c r="H264" s="650"/>
      <c r="I264" s="650"/>
      <c r="J264" s="650"/>
      <c r="K264" s="650"/>
      <c r="L264" s="650"/>
      <c r="M264" s="650"/>
      <c r="N264" s="650"/>
      <c r="O264" s="650"/>
      <c r="P264" s="650"/>
      <c r="Q264" s="650"/>
      <c r="R264" s="650"/>
      <c r="S264" s="650"/>
      <c r="T264" s="650"/>
      <c r="U264" s="650"/>
      <c r="V264" s="650"/>
      <c r="W264" s="650"/>
      <c r="X264" s="650"/>
      <c r="Y264" s="650"/>
      <c r="Z264" s="650"/>
    </row>
    <row r="265" spans="1:26" s="205" customFormat="1">
      <c r="A265" s="650"/>
      <c r="B265" s="650"/>
      <c r="C265" s="650"/>
      <c r="D265" s="650"/>
      <c r="E265" s="650"/>
      <c r="F265" s="650"/>
      <c r="G265" s="650"/>
      <c r="H265" s="650"/>
      <c r="I265" s="650"/>
      <c r="J265" s="650"/>
      <c r="K265" s="650"/>
      <c r="L265" s="650"/>
      <c r="M265" s="650"/>
      <c r="N265" s="650"/>
      <c r="O265" s="650"/>
      <c r="P265" s="650"/>
      <c r="Q265" s="650"/>
      <c r="R265" s="650"/>
      <c r="S265" s="650"/>
      <c r="T265" s="650"/>
      <c r="U265" s="650"/>
      <c r="V265" s="650"/>
      <c r="W265" s="650"/>
      <c r="X265" s="650"/>
      <c r="Y265" s="650"/>
      <c r="Z265" s="650"/>
    </row>
    <row r="266" spans="1:26" s="204" customFormat="1" ht="13.5" thickBot="1">
      <c r="A266" s="650"/>
      <c r="B266" s="650"/>
      <c r="C266" s="650"/>
      <c r="D266" s="650"/>
      <c r="E266" s="650"/>
      <c r="F266" s="650"/>
      <c r="G266" s="650"/>
      <c r="H266" s="650"/>
      <c r="I266" s="650"/>
      <c r="J266" s="650"/>
      <c r="K266" s="650"/>
      <c r="L266" s="650"/>
      <c r="M266" s="650"/>
      <c r="N266" s="650"/>
      <c r="O266" s="650"/>
      <c r="P266" s="650"/>
      <c r="Q266" s="650"/>
      <c r="R266" s="650"/>
      <c r="S266" s="650"/>
      <c r="T266" s="650"/>
      <c r="U266" s="650"/>
      <c r="V266" s="650"/>
      <c r="W266" s="650"/>
      <c r="X266" s="650"/>
      <c r="Y266" s="650"/>
      <c r="Z266" s="650"/>
    </row>
    <row r="267" spans="1:26">
      <c r="A267" s="650"/>
      <c r="B267" s="650"/>
      <c r="C267" s="650"/>
      <c r="D267" s="650"/>
      <c r="E267" s="650"/>
      <c r="F267" s="650"/>
      <c r="G267" s="650"/>
      <c r="H267" s="650"/>
      <c r="I267" s="650"/>
      <c r="J267" s="650"/>
      <c r="K267" s="650"/>
      <c r="L267" s="650"/>
      <c r="M267" s="650"/>
      <c r="N267" s="650"/>
      <c r="O267" s="650"/>
      <c r="P267" s="650"/>
      <c r="Q267" s="650"/>
      <c r="R267" s="650"/>
      <c r="S267" s="650"/>
      <c r="T267" s="650"/>
      <c r="U267" s="650"/>
      <c r="V267" s="650"/>
      <c r="W267" s="650"/>
      <c r="X267" s="650"/>
      <c r="Y267" s="650"/>
      <c r="Z267" s="650"/>
    </row>
    <row r="268" spans="1:26" s="205" customFormat="1" ht="13.5" thickBot="1">
      <c r="A268" s="650"/>
      <c r="B268" s="650"/>
      <c r="C268" s="650"/>
      <c r="D268" s="650"/>
      <c r="E268" s="650"/>
      <c r="F268" s="650"/>
      <c r="G268" s="650"/>
      <c r="H268" s="650"/>
      <c r="I268" s="650"/>
      <c r="J268" s="650"/>
      <c r="K268" s="650"/>
      <c r="L268" s="650"/>
      <c r="M268" s="650"/>
      <c r="N268" s="650"/>
      <c r="O268" s="650"/>
      <c r="P268" s="650"/>
      <c r="Q268" s="650"/>
      <c r="R268" s="650"/>
      <c r="S268" s="650"/>
      <c r="T268" s="650"/>
      <c r="U268" s="650"/>
      <c r="V268" s="650"/>
      <c r="W268" s="650"/>
      <c r="X268" s="650"/>
      <c r="Y268" s="650"/>
      <c r="Z268" s="650"/>
    </row>
    <row r="269" spans="1:26" s="204" customFormat="1">
      <c r="A269" s="650"/>
      <c r="B269" s="650"/>
      <c r="C269" s="650"/>
      <c r="D269" s="650"/>
      <c r="E269" s="650"/>
      <c r="F269" s="650"/>
      <c r="G269" s="650"/>
      <c r="H269" s="650"/>
      <c r="I269" s="650"/>
      <c r="J269" s="650"/>
      <c r="K269" s="650"/>
      <c r="L269" s="650"/>
      <c r="M269" s="650"/>
      <c r="N269" s="650"/>
      <c r="O269" s="650"/>
      <c r="P269" s="650"/>
      <c r="Q269" s="650"/>
      <c r="R269" s="650"/>
      <c r="S269" s="650"/>
      <c r="T269" s="650"/>
      <c r="U269" s="650"/>
      <c r="V269" s="650"/>
      <c r="W269" s="650"/>
      <c r="X269" s="650"/>
      <c r="Y269" s="650"/>
      <c r="Z269" s="650"/>
    </row>
    <row r="270" spans="1:26">
      <c r="A270" s="650"/>
      <c r="B270" s="650"/>
      <c r="C270" s="650"/>
      <c r="D270" s="650"/>
      <c r="E270" s="650"/>
      <c r="F270" s="650"/>
      <c r="G270" s="650"/>
      <c r="H270" s="650"/>
      <c r="I270" s="650"/>
      <c r="J270" s="650"/>
      <c r="K270" s="650"/>
      <c r="L270" s="650"/>
      <c r="M270" s="650"/>
      <c r="N270" s="650"/>
      <c r="O270" s="650"/>
      <c r="P270" s="650"/>
      <c r="Q270" s="650"/>
      <c r="R270" s="650"/>
      <c r="S270" s="650"/>
      <c r="T270" s="650"/>
      <c r="U270" s="650"/>
      <c r="V270" s="650"/>
      <c r="W270" s="650"/>
      <c r="X270" s="650"/>
      <c r="Y270" s="650"/>
      <c r="Z270" s="650"/>
    </row>
    <row r="271" spans="1:26" s="205" customFormat="1" ht="13.5" thickBot="1">
      <c r="A271" s="650"/>
      <c r="B271" s="650"/>
      <c r="C271" s="650"/>
      <c r="D271" s="650"/>
      <c r="E271" s="650"/>
      <c r="F271" s="650"/>
      <c r="G271" s="650"/>
      <c r="H271" s="650"/>
      <c r="I271" s="650"/>
      <c r="J271" s="650"/>
      <c r="K271" s="650"/>
      <c r="L271" s="650"/>
      <c r="M271" s="650"/>
      <c r="N271" s="650"/>
      <c r="O271" s="650"/>
      <c r="P271" s="650"/>
      <c r="Q271" s="650"/>
      <c r="R271" s="650"/>
      <c r="S271" s="650"/>
      <c r="T271" s="650"/>
      <c r="U271" s="650"/>
      <c r="V271" s="650"/>
      <c r="W271" s="650"/>
      <c r="X271" s="650"/>
      <c r="Y271" s="650"/>
      <c r="Z271" s="650"/>
    </row>
    <row r="272" spans="1:26" s="204" customFormat="1">
      <c r="A272" s="650"/>
      <c r="B272" s="650"/>
      <c r="C272" s="650"/>
      <c r="D272" s="650"/>
      <c r="E272" s="650"/>
      <c r="F272" s="650"/>
      <c r="G272" s="650"/>
      <c r="H272" s="650"/>
      <c r="I272" s="650"/>
      <c r="J272" s="650"/>
      <c r="K272" s="650"/>
      <c r="L272" s="650"/>
      <c r="M272" s="650"/>
      <c r="N272" s="650"/>
      <c r="O272" s="650"/>
      <c r="P272" s="650"/>
      <c r="Q272" s="650"/>
      <c r="R272" s="650"/>
      <c r="S272" s="650"/>
      <c r="T272" s="650"/>
      <c r="U272" s="650"/>
      <c r="V272" s="650"/>
      <c r="W272" s="650"/>
      <c r="X272" s="650"/>
      <c r="Y272" s="650"/>
      <c r="Z272" s="650"/>
    </row>
    <row r="273" spans="1:26" ht="13.5" thickBot="1">
      <c r="A273" s="650"/>
      <c r="B273" s="650"/>
      <c r="C273" s="650"/>
      <c r="D273" s="650"/>
      <c r="E273" s="650"/>
      <c r="F273" s="650"/>
      <c r="G273" s="650"/>
      <c r="H273" s="650"/>
      <c r="I273" s="650"/>
      <c r="J273" s="650"/>
      <c r="K273" s="650"/>
      <c r="L273" s="650"/>
      <c r="M273" s="650"/>
      <c r="N273" s="650"/>
      <c r="O273" s="650"/>
      <c r="P273" s="650"/>
      <c r="Q273" s="650"/>
      <c r="R273" s="650"/>
      <c r="S273" s="650"/>
      <c r="T273" s="650"/>
      <c r="U273" s="650"/>
      <c r="V273" s="650"/>
      <c r="W273" s="650"/>
      <c r="X273" s="650"/>
      <c r="Y273" s="650"/>
      <c r="Z273" s="650"/>
    </row>
    <row r="274" spans="1:26" s="205" customFormat="1">
      <c r="A274" s="650"/>
      <c r="B274" s="650"/>
      <c r="C274" s="650"/>
      <c r="D274" s="650"/>
      <c r="E274" s="650"/>
      <c r="F274" s="650"/>
      <c r="G274" s="650"/>
      <c r="H274" s="650"/>
      <c r="I274" s="650"/>
      <c r="J274" s="650"/>
      <c r="K274" s="650"/>
      <c r="L274" s="650"/>
      <c r="M274" s="650"/>
      <c r="N274" s="650"/>
      <c r="O274" s="650"/>
      <c r="P274" s="650"/>
      <c r="Q274" s="650"/>
      <c r="R274" s="650"/>
      <c r="S274" s="650"/>
      <c r="T274" s="650"/>
      <c r="U274" s="650"/>
      <c r="V274" s="650"/>
      <c r="W274" s="650"/>
      <c r="X274" s="650"/>
      <c r="Y274" s="650"/>
      <c r="Z274" s="650"/>
    </row>
    <row r="275" spans="1:26" s="204" customFormat="1" ht="13.5" thickBot="1">
      <c r="A275" s="650"/>
      <c r="B275" s="650"/>
      <c r="C275" s="650"/>
      <c r="D275" s="650"/>
      <c r="E275" s="650"/>
      <c r="F275" s="650"/>
      <c r="G275" s="650"/>
      <c r="H275" s="650"/>
      <c r="I275" s="650"/>
      <c r="J275" s="650"/>
      <c r="K275" s="650"/>
      <c r="L275" s="650"/>
      <c r="M275" s="650"/>
      <c r="N275" s="650"/>
      <c r="O275" s="650"/>
      <c r="P275" s="650"/>
      <c r="Q275" s="650"/>
      <c r="R275" s="650"/>
      <c r="S275" s="650"/>
      <c r="T275" s="650"/>
      <c r="U275" s="650"/>
      <c r="V275" s="650"/>
      <c r="W275" s="650"/>
      <c r="X275" s="650"/>
      <c r="Y275" s="650"/>
      <c r="Z275" s="650"/>
    </row>
    <row r="276" spans="1:26">
      <c r="A276" s="650"/>
      <c r="B276" s="650"/>
      <c r="C276" s="650"/>
      <c r="D276" s="650"/>
      <c r="E276" s="650"/>
      <c r="F276" s="650"/>
      <c r="G276" s="650"/>
      <c r="H276" s="650"/>
      <c r="I276" s="650"/>
      <c r="J276" s="650"/>
      <c r="K276" s="650"/>
      <c r="L276" s="650"/>
      <c r="M276" s="650"/>
      <c r="N276" s="650"/>
      <c r="O276" s="650"/>
      <c r="P276" s="650"/>
      <c r="Q276" s="650"/>
      <c r="R276" s="650"/>
      <c r="S276" s="650"/>
      <c r="T276" s="650"/>
      <c r="U276" s="650"/>
      <c r="V276" s="650"/>
      <c r="W276" s="650"/>
      <c r="X276" s="650"/>
      <c r="Y276" s="650"/>
      <c r="Z276" s="650"/>
    </row>
    <row r="277" spans="1:26" s="205" customFormat="1">
      <c r="A277" s="650"/>
      <c r="B277" s="650"/>
      <c r="C277" s="650"/>
      <c r="D277" s="650"/>
      <c r="E277" s="650"/>
      <c r="F277" s="650"/>
      <c r="G277" s="650"/>
      <c r="H277" s="650"/>
      <c r="I277" s="650"/>
      <c r="J277" s="650"/>
      <c r="K277" s="650"/>
      <c r="L277" s="650"/>
      <c r="M277" s="650"/>
      <c r="N277" s="650"/>
      <c r="O277" s="650"/>
      <c r="P277" s="650"/>
      <c r="Q277" s="650"/>
      <c r="R277" s="650"/>
      <c r="S277" s="650"/>
      <c r="T277" s="650"/>
      <c r="U277" s="650"/>
      <c r="V277" s="650"/>
      <c r="W277" s="650"/>
      <c r="X277" s="650"/>
      <c r="Y277" s="650"/>
      <c r="Z277" s="650"/>
    </row>
    <row r="278" spans="1:26" s="214" customFormat="1" ht="13.5" thickBot="1">
      <c r="A278" s="650"/>
      <c r="B278" s="650"/>
      <c r="C278" s="650"/>
      <c r="D278" s="650"/>
      <c r="E278" s="650"/>
      <c r="F278" s="650"/>
      <c r="G278" s="650"/>
      <c r="H278" s="650"/>
      <c r="I278" s="650"/>
      <c r="J278" s="650"/>
      <c r="K278" s="650"/>
      <c r="L278" s="650"/>
      <c r="M278" s="650"/>
      <c r="N278" s="650"/>
      <c r="O278" s="650"/>
      <c r="P278" s="650"/>
      <c r="Q278" s="650"/>
      <c r="R278" s="650"/>
      <c r="S278" s="650"/>
      <c r="T278" s="650"/>
      <c r="U278" s="650"/>
      <c r="V278" s="650"/>
      <c r="W278" s="650"/>
      <c r="X278" s="650"/>
      <c r="Y278" s="650"/>
      <c r="Z278" s="650"/>
    </row>
    <row r="279" spans="1:26">
      <c r="A279" s="650"/>
      <c r="B279" s="650"/>
      <c r="C279" s="650"/>
      <c r="D279" s="650"/>
      <c r="E279" s="650"/>
      <c r="F279" s="650"/>
      <c r="G279" s="650"/>
      <c r="H279" s="650"/>
      <c r="I279" s="650"/>
      <c r="J279" s="650"/>
      <c r="K279" s="650"/>
      <c r="L279" s="650"/>
      <c r="M279" s="650"/>
      <c r="N279" s="650"/>
      <c r="O279" s="650"/>
      <c r="P279" s="650"/>
      <c r="Q279" s="650"/>
      <c r="R279" s="650"/>
      <c r="S279" s="650"/>
      <c r="T279" s="650"/>
      <c r="U279" s="650"/>
      <c r="V279" s="650"/>
      <c r="W279" s="650"/>
      <c r="X279" s="650"/>
      <c r="Y279" s="650"/>
      <c r="Z279" s="650"/>
    </row>
    <row r="280" spans="1:26" s="205" customFormat="1" ht="13.5" thickBot="1">
      <c r="A280" s="650"/>
      <c r="B280" s="650"/>
      <c r="C280" s="650"/>
      <c r="D280" s="650"/>
      <c r="E280" s="650"/>
      <c r="F280" s="650"/>
      <c r="G280" s="650"/>
      <c r="H280" s="650"/>
      <c r="I280" s="650"/>
      <c r="J280" s="650"/>
      <c r="K280" s="650"/>
      <c r="L280" s="650"/>
      <c r="M280" s="650"/>
      <c r="N280" s="650"/>
      <c r="O280" s="650"/>
      <c r="P280" s="650"/>
      <c r="Q280" s="650"/>
      <c r="R280" s="650"/>
      <c r="S280" s="650"/>
      <c r="T280" s="650"/>
      <c r="U280" s="650"/>
      <c r="V280" s="650"/>
      <c r="W280" s="650"/>
      <c r="X280" s="650"/>
      <c r="Y280" s="650"/>
      <c r="Z280" s="650"/>
    </row>
    <row r="281" spans="1:26" s="204" customFormat="1">
      <c r="A281" s="650"/>
      <c r="B281" s="650"/>
      <c r="C281" s="650"/>
      <c r="D281" s="650"/>
      <c r="E281" s="650"/>
      <c r="F281" s="650"/>
      <c r="G281" s="650"/>
      <c r="H281" s="650"/>
      <c r="I281" s="650"/>
      <c r="J281" s="650"/>
      <c r="K281" s="650"/>
      <c r="L281" s="650"/>
      <c r="M281" s="650"/>
      <c r="N281" s="650"/>
      <c r="O281" s="650"/>
      <c r="P281" s="650"/>
      <c r="Q281" s="650"/>
      <c r="R281" s="650"/>
      <c r="S281" s="650"/>
      <c r="T281" s="650"/>
      <c r="U281" s="650"/>
      <c r="V281" s="650"/>
      <c r="W281" s="650"/>
      <c r="X281" s="650"/>
      <c r="Y281" s="650"/>
      <c r="Z281" s="650"/>
    </row>
    <row r="282" spans="1:26" ht="13.5" thickBot="1">
      <c r="A282" s="650"/>
      <c r="B282" s="650"/>
      <c r="C282" s="650"/>
      <c r="D282" s="650"/>
      <c r="E282" s="650"/>
      <c r="F282" s="650"/>
      <c r="G282" s="650"/>
      <c r="H282" s="650"/>
      <c r="I282" s="650"/>
      <c r="J282" s="650"/>
      <c r="K282" s="650"/>
      <c r="L282" s="650"/>
      <c r="M282" s="650"/>
      <c r="N282" s="650"/>
      <c r="O282" s="650"/>
      <c r="P282" s="650"/>
      <c r="Q282" s="650"/>
      <c r="R282" s="650"/>
      <c r="S282" s="650"/>
      <c r="T282" s="650"/>
      <c r="U282" s="650"/>
      <c r="V282" s="650"/>
      <c r="W282" s="650"/>
      <c r="X282" s="650"/>
      <c r="Y282" s="650"/>
      <c r="Z282" s="650"/>
    </row>
    <row r="283" spans="1:26" s="205" customFormat="1">
      <c r="A283" s="650"/>
      <c r="B283" s="650"/>
      <c r="C283" s="650"/>
      <c r="D283" s="650"/>
      <c r="E283" s="650"/>
      <c r="F283" s="650"/>
      <c r="G283" s="650"/>
      <c r="H283" s="650"/>
      <c r="I283" s="650"/>
      <c r="J283" s="650"/>
      <c r="K283" s="650"/>
      <c r="L283" s="650"/>
      <c r="M283" s="650"/>
      <c r="N283" s="650"/>
      <c r="O283" s="650"/>
      <c r="P283" s="650"/>
      <c r="Q283" s="650"/>
      <c r="R283" s="650"/>
      <c r="S283" s="650"/>
      <c r="T283" s="650"/>
      <c r="U283" s="650"/>
      <c r="V283" s="650"/>
      <c r="W283" s="650"/>
      <c r="X283" s="650"/>
      <c r="Y283" s="650"/>
      <c r="Z283" s="650"/>
    </row>
    <row r="284" spans="1:26" s="204" customFormat="1">
      <c r="A284" s="650"/>
      <c r="B284" s="650"/>
      <c r="C284" s="650"/>
      <c r="D284" s="650"/>
      <c r="E284" s="650"/>
      <c r="F284" s="650"/>
      <c r="G284" s="650"/>
      <c r="H284" s="650"/>
      <c r="I284" s="650"/>
      <c r="J284" s="650"/>
      <c r="K284" s="650"/>
      <c r="L284" s="650"/>
      <c r="M284" s="650"/>
      <c r="N284" s="650"/>
      <c r="O284" s="650"/>
      <c r="P284" s="650"/>
      <c r="Q284" s="650"/>
      <c r="R284" s="650"/>
      <c r="S284" s="650"/>
      <c r="T284" s="650"/>
      <c r="U284" s="650"/>
      <c r="V284" s="650"/>
      <c r="W284" s="650"/>
      <c r="X284" s="650"/>
      <c r="Y284" s="650"/>
      <c r="Z284" s="650"/>
    </row>
    <row r="285" spans="1:26" ht="13.5" thickBot="1">
      <c r="A285" s="650"/>
      <c r="B285" s="650"/>
      <c r="C285" s="650"/>
      <c r="D285" s="650"/>
      <c r="E285" s="650"/>
      <c r="F285" s="650"/>
      <c r="G285" s="650"/>
      <c r="H285" s="650"/>
      <c r="I285" s="650"/>
      <c r="J285" s="650"/>
      <c r="K285" s="650"/>
      <c r="L285" s="650"/>
      <c r="M285" s="650"/>
      <c r="N285" s="650"/>
      <c r="O285" s="650"/>
      <c r="P285" s="650"/>
      <c r="Q285" s="650"/>
      <c r="R285" s="650"/>
      <c r="S285" s="650"/>
      <c r="T285" s="650"/>
      <c r="U285" s="650"/>
      <c r="V285" s="650"/>
      <c r="W285" s="650"/>
      <c r="X285" s="650"/>
      <c r="Y285" s="650"/>
      <c r="Z285" s="650"/>
    </row>
    <row r="286" spans="1:26" s="205" customFormat="1">
      <c r="A286" s="650"/>
      <c r="B286" s="650"/>
      <c r="C286" s="650"/>
      <c r="D286" s="650"/>
      <c r="E286" s="650"/>
      <c r="F286" s="650"/>
      <c r="G286" s="650"/>
      <c r="H286" s="650"/>
      <c r="I286" s="650"/>
      <c r="J286" s="650"/>
      <c r="K286" s="650"/>
      <c r="L286" s="650"/>
      <c r="M286" s="650"/>
      <c r="N286" s="650"/>
      <c r="O286" s="650"/>
      <c r="P286" s="650"/>
      <c r="Q286" s="650"/>
      <c r="R286" s="650"/>
      <c r="S286" s="650"/>
      <c r="T286" s="650"/>
      <c r="U286" s="650"/>
      <c r="V286" s="650"/>
      <c r="W286" s="650"/>
      <c r="X286" s="650"/>
      <c r="Y286" s="650"/>
      <c r="Z286" s="650"/>
    </row>
    <row r="287" spans="1:26" s="204" customFormat="1">
      <c r="A287" s="650"/>
      <c r="B287" s="650"/>
      <c r="C287" s="650"/>
      <c r="D287" s="650"/>
      <c r="E287" s="650"/>
      <c r="F287" s="650"/>
      <c r="G287" s="650"/>
      <c r="H287" s="650"/>
      <c r="I287" s="650"/>
      <c r="J287" s="650"/>
      <c r="K287" s="650"/>
      <c r="L287" s="650"/>
      <c r="M287" s="650"/>
      <c r="N287" s="650"/>
      <c r="O287" s="650"/>
      <c r="P287" s="650"/>
      <c r="Q287" s="650"/>
      <c r="R287" s="650"/>
      <c r="S287" s="650"/>
      <c r="T287" s="650"/>
      <c r="U287" s="650"/>
      <c r="V287" s="650"/>
      <c r="W287" s="650"/>
      <c r="X287" s="650"/>
      <c r="Y287" s="650"/>
      <c r="Z287" s="650"/>
    </row>
    <row r="288" spans="1:26" ht="13.5" thickBot="1">
      <c r="A288" s="650"/>
      <c r="B288" s="650"/>
      <c r="C288" s="650"/>
      <c r="D288" s="650"/>
      <c r="E288" s="650"/>
      <c r="F288" s="650"/>
      <c r="G288" s="650"/>
      <c r="H288" s="650"/>
      <c r="I288" s="650"/>
      <c r="J288" s="650"/>
      <c r="K288" s="650"/>
      <c r="L288" s="650"/>
      <c r="M288" s="650"/>
      <c r="N288" s="650"/>
      <c r="O288" s="650"/>
      <c r="P288" s="650"/>
      <c r="Q288" s="650"/>
      <c r="R288" s="650"/>
      <c r="S288" s="650"/>
      <c r="T288" s="650"/>
      <c r="U288" s="650"/>
      <c r="V288" s="650"/>
      <c r="W288" s="650"/>
      <c r="X288" s="650"/>
      <c r="Y288" s="650"/>
      <c r="Z288" s="650"/>
    </row>
    <row r="289" spans="1:26" s="205" customFormat="1">
      <c r="A289" s="650"/>
      <c r="B289" s="650"/>
      <c r="C289" s="650"/>
      <c r="D289" s="650"/>
      <c r="E289" s="650"/>
      <c r="F289" s="650"/>
      <c r="G289" s="650"/>
      <c r="H289" s="650"/>
      <c r="I289" s="650"/>
      <c r="J289" s="650"/>
      <c r="K289" s="650"/>
      <c r="L289" s="650"/>
      <c r="M289" s="650"/>
      <c r="N289" s="650"/>
      <c r="O289" s="650"/>
      <c r="P289" s="650"/>
      <c r="Q289" s="650"/>
      <c r="R289" s="650"/>
      <c r="S289" s="650"/>
      <c r="T289" s="650"/>
      <c r="U289" s="650"/>
      <c r="V289" s="650"/>
      <c r="W289" s="650"/>
      <c r="X289" s="650"/>
      <c r="Y289" s="650"/>
      <c r="Z289" s="650"/>
    </row>
    <row r="290" spans="1:26" s="204" customFormat="1">
      <c r="A290" s="650"/>
      <c r="B290" s="650"/>
      <c r="C290" s="650"/>
      <c r="D290" s="650"/>
      <c r="E290" s="650"/>
      <c r="F290" s="650"/>
      <c r="G290" s="650"/>
      <c r="H290" s="650"/>
      <c r="I290" s="650"/>
      <c r="J290" s="650"/>
      <c r="K290" s="650"/>
      <c r="L290" s="650"/>
      <c r="M290" s="650"/>
      <c r="N290" s="650"/>
      <c r="O290" s="650"/>
      <c r="P290" s="650"/>
      <c r="Q290" s="650"/>
      <c r="R290" s="650"/>
      <c r="S290" s="650"/>
      <c r="T290" s="650"/>
      <c r="U290" s="650"/>
      <c r="V290" s="650"/>
      <c r="W290" s="650"/>
      <c r="X290" s="650"/>
      <c r="Y290" s="650"/>
      <c r="Z290" s="650"/>
    </row>
    <row r="291" spans="1:26" ht="13.5" thickBot="1">
      <c r="A291" s="650"/>
      <c r="B291" s="650"/>
      <c r="C291" s="650"/>
      <c r="D291" s="650"/>
      <c r="E291" s="650"/>
      <c r="F291" s="650"/>
      <c r="G291" s="650"/>
      <c r="H291" s="650"/>
      <c r="I291" s="650"/>
      <c r="J291" s="650"/>
      <c r="K291" s="650"/>
      <c r="L291" s="650"/>
      <c r="M291" s="650"/>
      <c r="N291" s="650"/>
      <c r="O291" s="650"/>
      <c r="P291" s="650"/>
      <c r="Q291" s="650"/>
      <c r="R291" s="650"/>
      <c r="S291" s="650"/>
      <c r="T291" s="650"/>
      <c r="U291" s="650"/>
      <c r="V291" s="650"/>
      <c r="W291" s="650"/>
      <c r="X291" s="650"/>
      <c r="Y291" s="650"/>
      <c r="Z291" s="650"/>
    </row>
    <row r="292" spans="1:26" s="205" customFormat="1">
      <c r="A292" s="650"/>
      <c r="B292" s="650"/>
      <c r="C292" s="650"/>
      <c r="D292" s="650"/>
      <c r="E292" s="650"/>
      <c r="F292" s="650"/>
      <c r="G292" s="650"/>
      <c r="H292" s="650"/>
      <c r="I292" s="650"/>
      <c r="J292" s="650"/>
      <c r="K292" s="650"/>
      <c r="L292" s="650"/>
      <c r="M292" s="650"/>
      <c r="N292" s="650"/>
      <c r="O292" s="650"/>
      <c r="P292" s="650"/>
      <c r="Q292" s="650"/>
      <c r="R292" s="650"/>
      <c r="S292" s="650"/>
      <c r="T292" s="650"/>
      <c r="U292" s="650"/>
      <c r="V292" s="650"/>
      <c r="W292" s="650"/>
      <c r="X292" s="650"/>
      <c r="Y292" s="650"/>
      <c r="Z292" s="650"/>
    </row>
    <row r="293" spans="1:26" s="204" customFormat="1">
      <c r="A293" s="650"/>
      <c r="B293" s="650"/>
      <c r="C293" s="650"/>
      <c r="D293" s="650"/>
      <c r="E293" s="650"/>
      <c r="F293" s="650"/>
      <c r="G293" s="650"/>
      <c r="H293" s="650"/>
      <c r="I293" s="650"/>
      <c r="J293" s="650"/>
      <c r="K293" s="650"/>
      <c r="L293" s="650"/>
      <c r="M293" s="650"/>
      <c r="N293" s="650"/>
      <c r="O293" s="650"/>
      <c r="P293" s="650"/>
      <c r="Q293" s="650"/>
      <c r="R293" s="650"/>
      <c r="S293" s="650"/>
      <c r="T293" s="650"/>
      <c r="U293" s="650"/>
      <c r="V293" s="650"/>
      <c r="W293" s="650"/>
      <c r="X293" s="650"/>
      <c r="Y293" s="650"/>
      <c r="Z293" s="650"/>
    </row>
    <row r="294" spans="1:26" ht="13.5" thickBot="1">
      <c r="A294" s="650"/>
      <c r="B294" s="650"/>
      <c r="C294" s="650"/>
      <c r="D294" s="650"/>
      <c r="E294" s="650"/>
      <c r="F294" s="650"/>
      <c r="G294" s="650"/>
      <c r="H294" s="650"/>
      <c r="I294" s="650"/>
      <c r="J294" s="650"/>
      <c r="K294" s="650"/>
      <c r="L294" s="650"/>
      <c r="M294" s="650"/>
      <c r="N294" s="650"/>
      <c r="O294" s="650"/>
      <c r="P294" s="650"/>
      <c r="Q294" s="650"/>
      <c r="R294" s="650"/>
      <c r="S294" s="650"/>
      <c r="T294" s="650"/>
      <c r="U294" s="650"/>
      <c r="V294" s="650"/>
      <c r="W294" s="650"/>
      <c r="X294" s="650"/>
      <c r="Y294" s="650"/>
      <c r="Z294" s="650"/>
    </row>
    <row r="295" spans="1:26" s="205" customFormat="1">
      <c r="A295" s="650"/>
      <c r="B295" s="650"/>
      <c r="C295" s="650"/>
      <c r="D295" s="650"/>
      <c r="E295" s="650"/>
      <c r="F295" s="650"/>
      <c r="G295" s="650"/>
      <c r="H295" s="650"/>
      <c r="I295" s="650"/>
      <c r="J295" s="650"/>
      <c r="K295" s="650"/>
      <c r="L295" s="650"/>
      <c r="M295" s="650"/>
      <c r="N295" s="650"/>
      <c r="O295" s="650"/>
      <c r="P295" s="650"/>
      <c r="Q295" s="650"/>
      <c r="R295" s="650"/>
      <c r="S295" s="650"/>
      <c r="T295" s="650"/>
      <c r="U295" s="650"/>
      <c r="V295" s="650"/>
      <c r="W295" s="650"/>
      <c r="X295" s="650"/>
      <c r="Y295" s="650"/>
      <c r="Z295" s="650"/>
    </row>
    <row r="296" spans="1:26" s="204" customFormat="1">
      <c r="A296" s="650"/>
      <c r="B296" s="650"/>
      <c r="C296" s="650"/>
      <c r="D296" s="650"/>
      <c r="E296" s="650"/>
      <c r="F296" s="650"/>
      <c r="G296" s="650"/>
      <c r="H296" s="650"/>
      <c r="I296" s="650"/>
      <c r="J296" s="650"/>
      <c r="K296" s="650"/>
      <c r="L296" s="650"/>
      <c r="M296" s="650"/>
      <c r="N296" s="650"/>
      <c r="O296" s="650"/>
      <c r="P296" s="650"/>
      <c r="Q296" s="650"/>
      <c r="R296" s="650"/>
      <c r="S296" s="650"/>
      <c r="T296" s="650"/>
      <c r="U296" s="650"/>
      <c r="V296" s="650"/>
      <c r="W296" s="650"/>
      <c r="X296" s="650"/>
      <c r="Y296" s="650"/>
      <c r="Z296" s="650"/>
    </row>
    <row r="297" spans="1:26" ht="13.5" thickBot="1">
      <c r="A297" s="650"/>
      <c r="B297" s="650"/>
      <c r="C297" s="650"/>
      <c r="D297" s="650"/>
      <c r="E297" s="650"/>
      <c r="F297" s="650"/>
      <c r="G297" s="650"/>
      <c r="H297" s="650"/>
      <c r="I297" s="650"/>
      <c r="J297" s="650"/>
      <c r="K297" s="650"/>
      <c r="L297" s="650"/>
      <c r="M297" s="650"/>
      <c r="N297" s="650"/>
      <c r="O297" s="650"/>
      <c r="P297" s="650"/>
      <c r="Q297" s="650"/>
      <c r="R297" s="650"/>
      <c r="S297" s="650"/>
      <c r="T297" s="650"/>
      <c r="U297" s="650"/>
      <c r="V297" s="650"/>
      <c r="W297" s="650"/>
      <c r="X297" s="650"/>
      <c r="Y297" s="650"/>
      <c r="Z297" s="650"/>
    </row>
    <row r="298" spans="1:26" s="205" customFormat="1">
      <c r="A298" s="650"/>
      <c r="B298" s="650"/>
      <c r="C298" s="650"/>
      <c r="D298" s="650"/>
      <c r="E298" s="650"/>
      <c r="F298" s="650"/>
      <c r="G298" s="650"/>
      <c r="H298" s="650"/>
      <c r="I298" s="650"/>
      <c r="J298" s="650"/>
      <c r="K298" s="650"/>
      <c r="L298" s="650"/>
      <c r="M298" s="650"/>
      <c r="N298" s="650"/>
      <c r="O298" s="650"/>
      <c r="P298" s="650"/>
      <c r="Q298" s="650"/>
      <c r="R298" s="650"/>
      <c r="S298" s="650"/>
      <c r="T298" s="650"/>
      <c r="U298" s="650"/>
      <c r="V298" s="650"/>
      <c r="W298" s="650"/>
      <c r="X298" s="650"/>
      <c r="Y298" s="650"/>
      <c r="Z298" s="650"/>
    </row>
    <row r="299" spans="1:26" s="204" customFormat="1" ht="13.5" thickBot="1">
      <c r="A299" s="650"/>
      <c r="B299" s="650"/>
      <c r="C299" s="650"/>
      <c r="D299" s="650"/>
      <c r="E299" s="650"/>
      <c r="F299" s="650"/>
      <c r="G299" s="650"/>
      <c r="H299" s="650"/>
      <c r="I299" s="650"/>
      <c r="J299" s="650"/>
      <c r="K299" s="650"/>
      <c r="L299" s="650"/>
      <c r="M299" s="650"/>
      <c r="N299" s="650"/>
      <c r="O299" s="650"/>
      <c r="P299" s="650"/>
      <c r="Q299" s="650"/>
      <c r="R299" s="650"/>
      <c r="S299" s="650"/>
      <c r="T299" s="650"/>
      <c r="U299" s="650"/>
      <c r="V299" s="650"/>
      <c r="W299" s="650"/>
      <c r="X299" s="650"/>
      <c r="Y299" s="650"/>
      <c r="Z299" s="650"/>
    </row>
    <row r="300" spans="1:26">
      <c r="A300" s="650"/>
      <c r="B300" s="650"/>
      <c r="C300" s="650"/>
      <c r="D300" s="650"/>
      <c r="E300" s="650"/>
      <c r="F300" s="650"/>
      <c r="G300" s="650"/>
      <c r="H300" s="650"/>
      <c r="I300" s="650"/>
      <c r="J300" s="650"/>
      <c r="K300" s="650"/>
      <c r="L300" s="650"/>
      <c r="M300" s="650"/>
      <c r="N300" s="650"/>
      <c r="O300" s="650"/>
      <c r="P300" s="650"/>
      <c r="Q300" s="650"/>
      <c r="R300" s="650"/>
      <c r="S300" s="650"/>
      <c r="T300" s="650"/>
      <c r="U300" s="650"/>
      <c r="V300" s="650"/>
      <c r="W300" s="650"/>
      <c r="X300" s="650"/>
      <c r="Y300" s="650"/>
      <c r="Z300" s="650"/>
    </row>
    <row r="301" spans="1:26" s="205" customFormat="1">
      <c r="A301" s="650"/>
      <c r="B301" s="650"/>
      <c r="C301" s="650"/>
      <c r="D301" s="650"/>
      <c r="E301" s="650"/>
      <c r="F301" s="650"/>
      <c r="G301" s="650"/>
      <c r="H301" s="650"/>
      <c r="I301" s="650"/>
      <c r="J301" s="650"/>
      <c r="K301" s="650"/>
      <c r="L301" s="650"/>
      <c r="M301" s="650"/>
      <c r="N301" s="650"/>
      <c r="O301" s="650"/>
      <c r="P301" s="650"/>
      <c r="Q301" s="650"/>
      <c r="R301" s="650"/>
      <c r="S301" s="650"/>
      <c r="T301" s="650"/>
      <c r="U301" s="650"/>
      <c r="V301" s="650"/>
      <c r="W301" s="650"/>
      <c r="X301" s="650"/>
      <c r="Y301" s="650"/>
      <c r="Z301" s="650"/>
    </row>
    <row r="302" spans="1:26" s="204" customFormat="1" ht="13.5" thickBot="1">
      <c r="A302" s="650"/>
      <c r="B302" s="650"/>
      <c r="C302" s="650"/>
      <c r="D302" s="650"/>
      <c r="E302" s="650"/>
      <c r="F302" s="650"/>
      <c r="G302" s="650"/>
      <c r="H302" s="650"/>
      <c r="I302" s="650"/>
      <c r="J302" s="650"/>
      <c r="K302" s="650"/>
      <c r="L302" s="650"/>
      <c r="M302" s="650"/>
      <c r="N302" s="650"/>
      <c r="O302" s="650"/>
      <c r="P302" s="650"/>
      <c r="Q302" s="650"/>
      <c r="R302" s="650"/>
      <c r="S302" s="650"/>
      <c r="T302" s="650"/>
      <c r="U302" s="650"/>
      <c r="V302" s="650"/>
      <c r="W302" s="650"/>
      <c r="X302" s="650"/>
      <c r="Y302" s="650"/>
      <c r="Z302" s="650"/>
    </row>
    <row r="303" spans="1:26">
      <c r="A303" s="650"/>
      <c r="B303" s="650"/>
      <c r="C303" s="650"/>
      <c r="D303" s="650"/>
      <c r="E303" s="650"/>
      <c r="F303" s="650"/>
      <c r="G303" s="650"/>
      <c r="H303" s="650"/>
      <c r="I303" s="650"/>
      <c r="J303" s="650"/>
      <c r="K303" s="650"/>
      <c r="L303" s="650"/>
      <c r="M303" s="650"/>
      <c r="N303" s="650"/>
      <c r="O303" s="650"/>
      <c r="P303" s="650"/>
      <c r="Q303" s="650"/>
      <c r="R303" s="650"/>
      <c r="S303" s="650"/>
      <c r="T303" s="650"/>
      <c r="U303" s="650"/>
      <c r="V303" s="650"/>
      <c r="W303" s="650"/>
      <c r="X303" s="650"/>
      <c r="Y303" s="650"/>
      <c r="Z303" s="650"/>
    </row>
    <row r="304" spans="1:26" s="205" customFormat="1">
      <c r="A304" s="650"/>
      <c r="B304" s="650"/>
      <c r="C304" s="650"/>
      <c r="D304" s="650"/>
      <c r="E304" s="650"/>
      <c r="F304" s="650"/>
      <c r="G304" s="650"/>
      <c r="H304" s="650"/>
      <c r="I304" s="650"/>
      <c r="J304" s="650"/>
      <c r="K304" s="650"/>
      <c r="L304" s="650"/>
      <c r="M304" s="650"/>
      <c r="N304" s="650"/>
      <c r="O304" s="650"/>
      <c r="P304" s="650"/>
      <c r="Q304" s="650"/>
      <c r="R304" s="650"/>
      <c r="S304" s="650"/>
      <c r="T304" s="650"/>
      <c r="U304" s="650"/>
      <c r="V304" s="650"/>
      <c r="W304" s="650"/>
      <c r="X304" s="650"/>
      <c r="Y304" s="650"/>
      <c r="Z304" s="650"/>
    </row>
    <row r="305" spans="1:26" s="204" customFormat="1" ht="13.5" thickBot="1">
      <c r="A305" s="650"/>
      <c r="B305" s="650"/>
      <c r="C305" s="650"/>
      <c r="D305" s="650"/>
      <c r="E305" s="650"/>
      <c r="F305" s="650"/>
      <c r="G305" s="650"/>
      <c r="H305" s="650"/>
      <c r="I305" s="650"/>
      <c r="J305" s="650"/>
      <c r="K305" s="650"/>
      <c r="L305" s="650"/>
      <c r="M305" s="650"/>
      <c r="N305" s="650"/>
      <c r="O305" s="650"/>
      <c r="P305" s="650"/>
      <c r="Q305" s="650"/>
      <c r="R305" s="650"/>
      <c r="S305" s="650"/>
      <c r="T305" s="650"/>
      <c r="U305" s="650"/>
      <c r="V305" s="650"/>
      <c r="W305" s="650"/>
      <c r="X305" s="650"/>
      <c r="Y305" s="650"/>
      <c r="Z305" s="650"/>
    </row>
    <row r="306" spans="1:26">
      <c r="A306" s="650"/>
      <c r="B306" s="650"/>
      <c r="C306" s="650"/>
      <c r="D306" s="650"/>
      <c r="E306" s="650"/>
      <c r="F306" s="650"/>
      <c r="G306" s="650"/>
      <c r="H306" s="650"/>
      <c r="I306" s="650"/>
      <c r="J306" s="650"/>
      <c r="K306" s="650"/>
      <c r="L306" s="650"/>
      <c r="M306" s="650"/>
      <c r="N306" s="650"/>
      <c r="O306" s="650"/>
      <c r="P306" s="650"/>
      <c r="Q306" s="650"/>
      <c r="R306" s="650"/>
      <c r="S306" s="650"/>
      <c r="T306" s="650"/>
      <c r="U306" s="650"/>
      <c r="V306" s="650"/>
      <c r="W306" s="650"/>
      <c r="X306" s="650"/>
      <c r="Y306" s="650"/>
      <c r="Z306" s="650"/>
    </row>
    <row r="307" spans="1:26" s="205" customFormat="1" ht="13.5" thickBot="1">
      <c r="A307" s="650"/>
      <c r="B307" s="650"/>
      <c r="C307" s="650"/>
      <c r="D307" s="650"/>
      <c r="E307" s="650"/>
      <c r="F307" s="650"/>
      <c r="G307" s="650"/>
      <c r="H307" s="650"/>
      <c r="I307" s="650"/>
      <c r="J307" s="650"/>
      <c r="K307" s="650"/>
      <c r="L307" s="650"/>
      <c r="M307" s="650"/>
      <c r="N307" s="650"/>
      <c r="O307" s="650"/>
      <c r="P307" s="650"/>
      <c r="Q307" s="650"/>
      <c r="R307" s="650"/>
      <c r="S307" s="650"/>
      <c r="T307" s="650"/>
      <c r="U307" s="650"/>
      <c r="V307" s="650"/>
      <c r="W307" s="650"/>
      <c r="X307" s="650"/>
      <c r="Y307" s="650"/>
      <c r="Z307" s="650"/>
    </row>
    <row r="308" spans="1:26" s="204" customFormat="1">
      <c r="A308" s="650"/>
      <c r="B308" s="650"/>
      <c r="C308" s="650"/>
      <c r="D308" s="650"/>
      <c r="E308" s="650"/>
      <c r="F308" s="650"/>
      <c r="G308" s="650"/>
      <c r="H308" s="650"/>
      <c r="I308" s="650"/>
      <c r="J308" s="650"/>
      <c r="K308" s="650"/>
      <c r="L308" s="650"/>
      <c r="M308" s="650"/>
      <c r="N308" s="650"/>
      <c r="O308" s="650"/>
      <c r="P308" s="650"/>
      <c r="Q308" s="650"/>
      <c r="R308" s="650"/>
      <c r="S308" s="650"/>
      <c r="T308" s="650"/>
      <c r="U308" s="650"/>
      <c r="V308" s="650"/>
      <c r="W308" s="650"/>
      <c r="X308" s="650"/>
      <c r="Y308" s="650"/>
      <c r="Z308" s="650"/>
    </row>
    <row r="309" spans="1:26">
      <c r="A309" s="650"/>
      <c r="B309" s="650"/>
      <c r="C309" s="650"/>
      <c r="D309" s="650"/>
      <c r="E309" s="650"/>
      <c r="F309" s="650"/>
      <c r="G309" s="650"/>
      <c r="H309" s="650"/>
      <c r="I309" s="650"/>
      <c r="J309" s="650"/>
      <c r="K309" s="650"/>
      <c r="L309" s="650"/>
      <c r="M309" s="650"/>
      <c r="N309" s="650"/>
      <c r="O309" s="650"/>
      <c r="P309" s="650"/>
      <c r="Q309" s="650"/>
      <c r="R309" s="650"/>
      <c r="S309" s="650"/>
      <c r="T309" s="650"/>
      <c r="U309" s="650"/>
      <c r="V309" s="650"/>
      <c r="W309" s="650"/>
      <c r="X309" s="650"/>
      <c r="Y309" s="650"/>
      <c r="Z309" s="650"/>
    </row>
    <row r="310" spans="1:26" s="205" customFormat="1" ht="13.5" thickBot="1">
      <c r="A310" s="650"/>
      <c r="B310" s="650"/>
      <c r="C310" s="650"/>
      <c r="D310" s="650"/>
      <c r="E310" s="650"/>
      <c r="F310" s="650"/>
      <c r="G310" s="650"/>
      <c r="H310" s="650"/>
      <c r="I310" s="650"/>
      <c r="J310" s="650"/>
      <c r="K310" s="650"/>
      <c r="L310" s="650"/>
      <c r="M310" s="650"/>
      <c r="N310" s="650"/>
      <c r="O310" s="650"/>
      <c r="P310" s="650"/>
      <c r="Q310" s="650"/>
      <c r="R310" s="650"/>
      <c r="S310" s="650"/>
      <c r="T310" s="650"/>
      <c r="U310" s="650"/>
      <c r="V310" s="650"/>
      <c r="W310" s="650"/>
      <c r="X310" s="650"/>
      <c r="Y310" s="650"/>
      <c r="Z310" s="650"/>
    </row>
    <row r="311" spans="1:26" s="204" customFormat="1">
      <c r="A311" s="650"/>
      <c r="B311" s="650"/>
      <c r="C311" s="650"/>
      <c r="D311" s="650"/>
      <c r="E311" s="650"/>
      <c r="F311" s="650"/>
      <c r="G311" s="650"/>
      <c r="H311" s="650"/>
      <c r="I311" s="650"/>
      <c r="J311" s="650"/>
      <c r="K311" s="650"/>
      <c r="L311" s="650"/>
      <c r="M311" s="650"/>
      <c r="N311" s="650"/>
      <c r="O311" s="650"/>
      <c r="P311" s="650"/>
      <c r="Q311" s="650"/>
      <c r="R311" s="650"/>
      <c r="S311" s="650"/>
      <c r="T311" s="650"/>
      <c r="U311" s="650"/>
      <c r="V311" s="650"/>
      <c r="W311" s="650"/>
      <c r="X311" s="650"/>
      <c r="Y311" s="650"/>
      <c r="Z311" s="650"/>
    </row>
    <row r="312" spans="1:26" ht="13.5" thickBot="1">
      <c r="A312" s="650"/>
      <c r="B312" s="650"/>
      <c r="C312" s="650"/>
      <c r="D312" s="650"/>
      <c r="E312" s="650"/>
      <c r="F312" s="650"/>
      <c r="G312" s="650"/>
      <c r="H312" s="650"/>
      <c r="I312" s="650"/>
      <c r="J312" s="650"/>
      <c r="K312" s="650"/>
      <c r="L312" s="650"/>
      <c r="M312" s="650"/>
      <c r="N312" s="650"/>
      <c r="O312" s="650"/>
      <c r="P312" s="650"/>
      <c r="Q312" s="650"/>
      <c r="R312" s="650"/>
      <c r="S312" s="650"/>
      <c r="T312" s="650"/>
      <c r="U312" s="650"/>
      <c r="V312" s="650"/>
      <c r="W312" s="650"/>
      <c r="X312" s="650"/>
      <c r="Y312" s="650"/>
      <c r="Z312" s="650"/>
    </row>
    <row r="313" spans="1:26" s="205" customFormat="1">
      <c r="A313" s="650"/>
      <c r="B313" s="650"/>
      <c r="C313" s="650"/>
      <c r="D313" s="650"/>
      <c r="E313" s="650"/>
      <c r="F313" s="650"/>
      <c r="G313" s="650"/>
      <c r="H313" s="650"/>
      <c r="I313" s="650"/>
      <c r="J313" s="650"/>
      <c r="K313" s="650"/>
      <c r="L313" s="650"/>
      <c r="M313" s="650"/>
      <c r="N313" s="650"/>
      <c r="O313" s="650"/>
      <c r="P313" s="650"/>
      <c r="Q313" s="650"/>
      <c r="R313" s="650"/>
      <c r="S313" s="650"/>
      <c r="T313" s="650"/>
      <c r="U313" s="650"/>
      <c r="V313" s="650"/>
      <c r="W313" s="650"/>
      <c r="X313" s="650"/>
      <c r="Y313" s="650"/>
      <c r="Z313" s="650"/>
    </row>
    <row r="314" spans="1:26" s="204" customFormat="1">
      <c r="A314" s="650"/>
      <c r="B314" s="650"/>
      <c r="C314" s="650"/>
      <c r="D314" s="650"/>
      <c r="E314" s="650"/>
      <c r="F314" s="650"/>
      <c r="G314" s="650"/>
      <c r="H314" s="650"/>
      <c r="I314" s="650"/>
      <c r="J314" s="650"/>
      <c r="K314" s="650"/>
      <c r="L314" s="650"/>
      <c r="M314" s="650"/>
      <c r="N314" s="650"/>
      <c r="O314" s="650"/>
      <c r="P314" s="650"/>
      <c r="Q314" s="650"/>
      <c r="R314" s="650"/>
      <c r="S314" s="650"/>
      <c r="T314" s="650"/>
      <c r="U314" s="650"/>
      <c r="V314" s="650"/>
      <c r="W314" s="650"/>
      <c r="X314" s="650"/>
      <c r="Y314" s="650"/>
      <c r="Z314" s="650"/>
    </row>
    <row r="315" spans="1:26" ht="13.5" thickBot="1">
      <c r="A315" s="650"/>
      <c r="B315" s="650"/>
      <c r="C315" s="650"/>
      <c r="D315" s="650"/>
      <c r="E315" s="650"/>
      <c r="F315" s="650"/>
      <c r="G315" s="650"/>
      <c r="H315" s="650"/>
      <c r="I315" s="650"/>
      <c r="J315" s="650"/>
      <c r="K315" s="650"/>
      <c r="L315" s="650"/>
      <c r="M315" s="650"/>
      <c r="N315" s="650"/>
      <c r="O315" s="650"/>
      <c r="P315" s="650"/>
      <c r="Q315" s="650"/>
      <c r="R315" s="650"/>
      <c r="S315" s="650"/>
      <c r="T315" s="650"/>
      <c r="U315" s="650"/>
      <c r="V315" s="650"/>
      <c r="W315" s="650"/>
      <c r="X315" s="650"/>
      <c r="Y315" s="650"/>
      <c r="Z315" s="650"/>
    </row>
    <row r="316" spans="1:26" s="205" customFormat="1">
      <c r="A316" s="650"/>
      <c r="B316" s="650"/>
      <c r="C316" s="650"/>
      <c r="D316" s="650"/>
      <c r="E316" s="650"/>
      <c r="F316" s="650"/>
      <c r="G316" s="650"/>
      <c r="H316" s="650"/>
      <c r="I316" s="650"/>
      <c r="J316" s="650"/>
      <c r="K316" s="650"/>
      <c r="L316" s="650"/>
      <c r="M316" s="650"/>
      <c r="N316" s="650"/>
      <c r="O316" s="650"/>
      <c r="P316" s="650"/>
      <c r="Q316" s="650"/>
      <c r="R316" s="650"/>
      <c r="S316" s="650"/>
      <c r="T316" s="650"/>
      <c r="U316" s="650"/>
      <c r="V316" s="650"/>
      <c r="W316" s="650"/>
      <c r="X316" s="650"/>
      <c r="Y316" s="650"/>
      <c r="Z316" s="650"/>
    </row>
    <row r="317" spans="1:26" s="214" customFormat="1">
      <c r="A317" s="650"/>
      <c r="B317" s="650"/>
      <c r="C317" s="650"/>
      <c r="D317" s="650"/>
      <c r="E317" s="650"/>
      <c r="F317" s="650"/>
      <c r="G317" s="650"/>
      <c r="H317" s="650"/>
      <c r="I317" s="650"/>
      <c r="J317" s="650"/>
      <c r="K317" s="650"/>
      <c r="L317" s="650"/>
      <c r="M317" s="650"/>
      <c r="N317" s="650"/>
      <c r="O317" s="650"/>
      <c r="P317" s="650"/>
      <c r="Q317" s="650"/>
      <c r="R317" s="650"/>
      <c r="S317" s="650"/>
      <c r="T317" s="650"/>
      <c r="U317" s="650"/>
      <c r="V317" s="650"/>
      <c r="W317" s="650"/>
      <c r="X317" s="650"/>
      <c r="Y317" s="650"/>
      <c r="Z317" s="650"/>
    </row>
    <row r="318" spans="1:26" ht="13.5" thickBot="1">
      <c r="A318" s="650"/>
      <c r="B318" s="650"/>
      <c r="C318" s="650"/>
      <c r="D318" s="650"/>
      <c r="E318" s="650"/>
      <c r="F318" s="650"/>
      <c r="G318" s="650"/>
      <c r="H318" s="650"/>
      <c r="I318" s="650"/>
      <c r="J318" s="650"/>
      <c r="K318" s="650"/>
      <c r="L318" s="650"/>
      <c r="M318" s="650"/>
      <c r="N318" s="650"/>
      <c r="O318" s="650"/>
      <c r="P318" s="650"/>
      <c r="Q318" s="650"/>
      <c r="R318" s="650"/>
      <c r="S318" s="650"/>
      <c r="T318" s="650"/>
      <c r="U318" s="650"/>
      <c r="V318" s="650"/>
      <c r="W318" s="650"/>
      <c r="X318" s="650"/>
      <c r="Y318" s="650"/>
      <c r="Z318" s="650"/>
    </row>
    <row r="319" spans="1:26" s="205" customFormat="1">
      <c r="A319" s="650"/>
      <c r="B319" s="650"/>
      <c r="C319" s="650"/>
      <c r="D319" s="650"/>
      <c r="E319" s="650"/>
      <c r="F319" s="650"/>
      <c r="G319" s="650"/>
      <c r="H319" s="650"/>
      <c r="I319" s="650"/>
      <c r="J319" s="650"/>
      <c r="K319" s="650"/>
      <c r="L319" s="650"/>
      <c r="M319" s="650"/>
      <c r="N319" s="650"/>
      <c r="O319" s="650"/>
      <c r="P319" s="650"/>
      <c r="Q319" s="650"/>
      <c r="R319" s="650"/>
      <c r="S319" s="650"/>
      <c r="T319" s="650"/>
      <c r="U319" s="650"/>
      <c r="V319" s="650"/>
      <c r="W319" s="650"/>
      <c r="X319" s="650"/>
      <c r="Y319" s="650"/>
      <c r="Z319" s="650"/>
    </row>
    <row r="320" spans="1:26" s="204" customFormat="1" ht="13.5" thickBot="1">
      <c r="A320" s="650"/>
      <c r="B320" s="650"/>
      <c r="C320" s="650"/>
      <c r="D320" s="650"/>
      <c r="E320" s="650"/>
      <c r="F320" s="650"/>
      <c r="G320" s="650"/>
      <c r="H320" s="650"/>
      <c r="I320" s="650"/>
      <c r="J320" s="650"/>
      <c r="K320" s="650"/>
      <c r="L320" s="650"/>
      <c r="M320" s="650"/>
      <c r="N320" s="650"/>
      <c r="O320" s="650"/>
      <c r="P320" s="650"/>
      <c r="Q320" s="650"/>
      <c r="R320" s="650"/>
      <c r="S320" s="650"/>
      <c r="T320" s="650"/>
      <c r="U320" s="650"/>
      <c r="V320" s="650"/>
      <c r="W320" s="650"/>
      <c r="X320" s="650"/>
      <c r="Y320" s="650"/>
      <c r="Z320" s="650"/>
    </row>
    <row r="321" spans="1:26">
      <c r="A321" s="650"/>
      <c r="B321" s="650"/>
      <c r="C321" s="650"/>
      <c r="D321" s="650"/>
      <c r="E321" s="650"/>
      <c r="F321" s="650"/>
      <c r="G321" s="650"/>
      <c r="H321" s="650"/>
      <c r="I321" s="650"/>
      <c r="J321" s="650"/>
      <c r="K321" s="650"/>
      <c r="L321" s="650"/>
      <c r="M321" s="650"/>
      <c r="N321" s="650"/>
      <c r="O321" s="650"/>
      <c r="P321" s="650"/>
      <c r="Q321" s="650"/>
      <c r="R321" s="650"/>
      <c r="S321" s="650"/>
      <c r="T321" s="650"/>
      <c r="U321" s="650"/>
      <c r="V321" s="650"/>
      <c r="W321" s="650"/>
      <c r="X321" s="650"/>
      <c r="Y321" s="650"/>
      <c r="Z321" s="650"/>
    </row>
    <row r="322" spans="1:26" s="205" customFormat="1">
      <c r="A322" s="650"/>
      <c r="B322" s="650"/>
      <c r="C322" s="650"/>
      <c r="D322" s="650"/>
      <c r="E322" s="650"/>
      <c r="F322" s="650"/>
      <c r="G322" s="650"/>
      <c r="H322" s="650"/>
      <c r="I322" s="650"/>
      <c r="J322" s="650"/>
      <c r="K322" s="650"/>
      <c r="L322" s="650"/>
      <c r="M322" s="650"/>
      <c r="N322" s="650"/>
      <c r="O322" s="650"/>
      <c r="P322" s="650"/>
      <c r="Q322" s="650"/>
      <c r="R322" s="650"/>
      <c r="S322" s="650"/>
      <c r="T322" s="650"/>
      <c r="U322" s="650"/>
      <c r="V322" s="650"/>
      <c r="W322" s="650"/>
      <c r="X322" s="650"/>
      <c r="Y322" s="650"/>
      <c r="Z322" s="650"/>
    </row>
    <row r="323" spans="1:26" s="204" customFormat="1" ht="13.5" thickBot="1">
      <c r="A323" s="650"/>
      <c r="B323" s="650"/>
      <c r="C323" s="650"/>
      <c r="D323" s="650"/>
      <c r="E323" s="650"/>
      <c r="F323" s="650"/>
      <c r="G323" s="650"/>
      <c r="H323" s="650"/>
      <c r="I323" s="650"/>
      <c r="J323" s="650"/>
      <c r="K323" s="650"/>
      <c r="L323" s="650"/>
      <c r="M323" s="650"/>
      <c r="N323" s="650"/>
      <c r="O323" s="650"/>
      <c r="P323" s="650"/>
      <c r="Q323" s="650"/>
      <c r="R323" s="650"/>
      <c r="S323" s="650"/>
      <c r="T323" s="650"/>
      <c r="U323" s="650"/>
      <c r="V323" s="650"/>
      <c r="W323" s="650"/>
      <c r="X323" s="650"/>
      <c r="Y323" s="650"/>
      <c r="Z323" s="650"/>
    </row>
    <row r="324" spans="1:26">
      <c r="A324" s="650"/>
      <c r="B324" s="650"/>
      <c r="C324" s="650"/>
      <c r="D324" s="650"/>
      <c r="E324" s="650"/>
      <c r="F324" s="650"/>
      <c r="G324" s="650"/>
      <c r="H324" s="650"/>
      <c r="I324" s="650"/>
      <c r="J324" s="650"/>
      <c r="K324" s="650"/>
      <c r="L324" s="650"/>
      <c r="M324" s="650"/>
      <c r="N324" s="650"/>
      <c r="O324" s="650"/>
      <c r="P324" s="650"/>
      <c r="Q324" s="650"/>
      <c r="R324" s="650"/>
      <c r="S324" s="650"/>
      <c r="T324" s="650"/>
      <c r="U324" s="650"/>
      <c r="V324" s="650"/>
      <c r="W324" s="650"/>
      <c r="X324" s="650"/>
      <c r="Y324" s="650"/>
      <c r="Z324" s="650"/>
    </row>
    <row r="325" spans="1:26" s="205" customFormat="1">
      <c r="A325" s="650"/>
      <c r="B325" s="650"/>
      <c r="C325" s="650"/>
      <c r="D325" s="650"/>
      <c r="E325" s="650"/>
      <c r="F325" s="650"/>
      <c r="G325" s="650"/>
      <c r="H325" s="650"/>
      <c r="I325" s="650"/>
      <c r="J325" s="650"/>
      <c r="K325" s="650"/>
      <c r="L325" s="650"/>
      <c r="M325" s="650"/>
      <c r="N325" s="650"/>
      <c r="O325" s="650"/>
      <c r="P325" s="650"/>
      <c r="Q325" s="650"/>
      <c r="R325" s="650"/>
      <c r="S325" s="650"/>
      <c r="T325" s="650"/>
      <c r="U325" s="650"/>
      <c r="V325" s="650"/>
      <c r="W325" s="650"/>
      <c r="X325" s="650"/>
      <c r="Y325" s="650"/>
      <c r="Z325" s="650"/>
    </row>
    <row r="326" spans="1:26" s="204" customFormat="1" ht="13.5" thickBot="1">
      <c r="A326" s="650"/>
      <c r="B326" s="650"/>
      <c r="C326" s="650"/>
      <c r="D326" s="650"/>
      <c r="E326" s="650"/>
      <c r="F326" s="650"/>
      <c r="G326" s="650"/>
      <c r="H326" s="650"/>
      <c r="I326" s="650"/>
      <c r="J326" s="650"/>
      <c r="K326" s="650"/>
      <c r="L326" s="650"/>
      <c r="M326" s="650"/>
      <c r="N326" s="650"/>
      <c r="O326" s="650"/>
      <c r="P326" s="650"/>
      <c r="Q326" s="650"/>
      <c r="R326" s="650"/>
      <c r="S326" s="650"/>
      <c r="T326" s="650"/>
      <c r="U326" s="650"/>
      <c r="V326" s="650"/>
      <c r="W326" s="650"/>
      <c r="X326" s="650"/>
      <c r="Y326" s="650"/>
      <c r="Z326" s="650"/>
    </row>
    <row r="327" spans="1:26">
      <c r="A327" s="650"/>
      <c r="B327" s="650"/>
      <c r="C327" s="650"/>
      <c r="D327" s="650"/>
      <c r="E327" s="650"/>
      <c r="F327" s="650"/>
      <c r="G327" s="650"/>
      <c r="H327" s="650"/>
      <c r="I327" s="650"/>
      <c r="J327" s="650"/>
      <c r="K327" s="650"/>
      <c r="L327" s="650"/>
      <c r="M327" s="650"/>
      <c r="N327" s="650"/>
      <c r="O327" s="650"/>
      <c r="P327" s="650"/>
      <c r="Q327" s="650"/>
      <c r="R327" s="650"/>
      <c r="S327" s="650"/>
      <c r="T327" s="650"/>
      <c r="U327" s="650"/>
      <c r="V327" s="650"/>
      <c r="W327" s="650"/>
      <c r="X327" s="650"/>
      <c r="Y327" s="650"/>
      <c r="Z327" s="650"/>
    </row>
    <row r="328" spans="1:26" s="205" customFormat="1">
      <c r="A328" s="650"/>
      <c r="B328" s="650"/>
      <c r="C328" s="650"/>
      <c r="D328" s="650"/>
      <c r="E328" s="650"/>
      <c r="F328" s="650"/>
      <c r="G328" s="650"/>
      <c r="H328" s="650"/>
      <c r="I328" s="650"/>
      <c r="J328" s="650"/>
      <c r="K328" s="650"/>
      <c r="L328" s="650"/>
      <c r="M328" s="650"/>
      <c r="N328" s="650"/>
      <c r="O328" s="650"/>
      <c r="P328" s="650"/>
      <c r="Q328" s="650"/>
      <c r="R328" s="650"/>
      <c r="S328" s="650"/>
      <c r="T328" s="650"/>
      <c r="U328" s="650"/>
      <c r="V328" s="650"/>
      <c r="W328" s="650"/>
      <c r="X328" s="650"/>
      <c r="Y328" s="650"/>
      <c r="Z328" s="650"/>
    </row>
    <row r="329" spans="1:26" s="204" customFormat="1" ht="13.5" thickBot="1">
      <c r="A329" s="650"/>
      <c r="B329" s="650"/>
      <c r="C329" s="650"/>
      <c r="D329" s="650"/>
      <c r="E329" s="650"/>
      <c r="F329" s="650"/>
      <c r="G329" s="650"/>
      <c r="H329" s="650"/>
      <c r="I329" s="650"/>
      <c r="J329" s="650"/>
      <c r="K329" s="650"/>
      <c r="L329" s="650"/>
      <c r="M329" s="650"/>
      <c r="N329" s="650"/>
      <c r="O329" s="650"/>
      <c r="P329" s="650"/>
      <c r="Q329" s="650"/>
      <c r="R329" s="650"/>
      <c r="S329" s="650"/>
      <c r="T329" s="650"/>
      <c r="U329" s="650"/>
      <c r="V329" s="650"/>
      <c r="W329" s="650"/>
      <c r="X329" s="650"/>
      <c r="Y329" s="650"/>
      <c r="Z329" s="650"/>
    </row>
    <row r="330" spans="1:26">
      <c r="A330" s="650"/>
      <c r="B330" s="650"/>
      <c r="C330" s="650"/>
      <c r="D330" s="650"/>
      <c r="E330" s="650"/>
      <c r="F330" s="650"/>
      <c r="G330" s="650"/>
      <c r="H330" s="650"/>
      <c r="I330" s="650"/>
      <c r="J330" s="650"/>
      <c r="K330" s="650"/>
      <c r="L330" s="650"/>
      <c r="M330" s="650"/>
      <c r="N330" s="650"/>
      <c r="O330" s="650"/>
      <c r="P330" s="650"/>
      <c r="Q330" s="650"/>
      <c r="R330" s="650"/>
      <c r="S330" s="650"/>
      <c r="T330" s="650"/>
      <c r="U330" s="650"/>
      <c r="V330" s="650"/>
      <c r="W330" s="650"/>
      <c r="X330" s="650"/>
      <c r="Y330" s="650"/>
      <c r="Z330" s="650"/>
    </row>
    <row r="331" spans="1:26" s="205" customFormat="1">
      <c r="A331" s="650"/>
      <c r="B331" s="650"/>
      <c r="C331" s="650"/>
      <c r="D331" s="650"/>
      <c r="E331" s="650"/>
      <c r="F331" s="650"/>
      <c r="G331" s="650"/>
      <c r="H331" s="650"/>
      <c r="I331" s="650"/>
      <c r="J331" s="650"/>
      <c r="K331" s="650"/>
      <c r="L331" s="650"/>
      <c r="M331" s="650"/>
      <c r="N331" s="650"/>
      <c r="O331" s="650"/>
      <c r="P331" s="650"/>
      <c r="Q331" s="650"/>
      <c r="R331" s="650"/>
      <c r="S331" s="650"/>
      <c r="T331" s="650"/>
      <c r="U331" s="650"/>
      <c r="V331" s="650"/>
      <c r="W331" s="650"/>
      <c r="X331" s="650"/>
      <c r="Y331" s="650"/>
      <c r="Z331" s="650"/>
    </row>
    <row r="332" spans="1:26" s="204" customFormat="1" ht="13.5" thickBot="1">
      <c r="A332" s="650"/>
      <c r="B332" s="650"/>
      <c r="C332" s="650"/>
      <c r="D332" s="650"/>
      <c r="E332" s="650"/>
      <c r="F332" s="650"/>
      <c r="G332" s="650"/>
      <c r="H332" s="650"/>
      <c r="I332" s="650"/>
      <c r="J332" s="650"/>
      <c r="K332" s="650"/>
      <c r="L332" s="650"/>
      <c r="M332" s="650"/>
      <c r="N332" s="650"/>
      <c r="O332" s="650"/>
      <c r="P332" s="650"/>
      <c r="Q332" s="650"/>
      <c r="R332" s="650"/>
      <c r="S332" s="650"/>
      <c r="T332" s="650"/>
      <c r="U332" s="650"/>
      <c r="V332" s="650"/>
      <c r="W332" s="650"/>
      <c r="X332" s="650"/>
      <c r="Y332" s="650"/>
      <c r="Z332" s="650"/>
    </row>
    <row r="333" spans="1:26">
      <c r="A333" s="650"/>
      <c r="B333" s="650"/>
      <c r="C333" s="650"/>
      <c r="D333" s="650"/>
      <c r="E333" s="650"/>
      <c r="F333" s="650"/>
      <c r="G333" s="650"/>
      <c r="H333" s="650"/>
      <c r="I333" s="650"/>
      <c r="J333" s="650"/>
      <c r="K333" s="650"/>
      <c r="L333" s="650"/>
      <c r="M333" s="650"/>
      <c r="N333" s="650"/>
      <c r="O333" s="650"/>
      <c r="P333" s="650"/>
      <c r="Q333" s="650"/>
      <c r="R333" s="650"/>
      <c r="S333" s="650"/>
      <c r="T333" s="650"/>
      <c r="U333" s="650"/>
      <c r="V333" s="650"/>
      <c r="W333" s="650"/>
      <c r="X333" s="650"/>
      <c r="Y333" s="650"/>
      <c r="Z333" s="650"/>
    </row>
    <row r="334" spans="1:26" s="205" customFormat="1">
      <c r="A334" s="650"/>
      <c r="B334" s="650"/>
      <c r="C334" s="650"/>
      <c r="D334" s="650"/>
      <c r="E334" s="650"/>
      <c r="F334" s="650"/>
      <c r="G334" s="650"/>
      <c r="H334" s="650"/>
      <c r="I334" s="650"/>
      <c r="J334" s="650"/>
      <c r="K334" s="650"/>
      <c r="L334" s="650"/>
      <c r="M334" s="650"/>
      <c r="N334" s="650"/>
      <c r="O334" s="650"/>
      <c r="P334" s="650"/>
      <c r="Q334" s="650"/>
      <c r="R334" s="650"/>
      <c r="S334" s="650"/>
      <c r="T334" s="650"/>
      <c r="U334" s="650"/>
      <c r="V334" s="650"/>
      <c r="W334" s="650"/>
      <c r="X334" s="650"/>
      <c r="Y334" s="650"/>
      <c r="Z334" s="650"/>
    </row>
    <row r="335" spans="1:26" s="204" customFormat="1" ht="13.5" thickBot="1">
      <c r="A335" s="650"/>
      <c r="B335" s="650"/>
      <c r="C335" s="650"/>
      <c r="D335" s="650"/>
      <c r="E335" s="650"/>
      <c r="F335" s="650"/>
      <c r="G335" s="650"/>
      <c r="H335" s="650"/>
      <c r="I335" s="650"/>
      <c r="J335" s="650"/>
      <c r="K335" s="650"/>
      <c r="L335" s="650"/>
      <c r="M335" s="650"/>
      <c r="N335" s="650"/>
      <c r="O335" s="650"/>
      <c r="P335" s="650"/>
      <c r="Q335" s="650"/>
      <c r="R335" s="650"/>
      <c r="S335" s="650"/>
      <c r="T335" s="650"/>
      <c r="U335" s="650"/>
      <c r="V335" s="650"/>
      <c r="W335" s="650"/>
      <c r="X335" s="650"/>
      <c r="Y335" s="650"/>
      <c r="Z335" s="650"/>
    </row>
    <row r="336" spans="1:26">
      <c r="A336" s="650"/>
      <c r="B336" s="650"/>
      <c r="C336" s="650"/>
      <c r="D336" s="650"/>
      <c r="E336" s="650"/>
      <c r="F336" s="650"/>
      <c r="G336" s="650"/>
      <c r="H336" s="650"/>
      <c r="I336" s="650"/>
      <c r="J336" s="650"/>
      <c r="K336" s="650"/>
      <c r="L336" s="650"/>
      <c r="M336" s="650"/>
      <c r="N336" s="650"/>
      <c r="O336" s="650"/>
      <c r="P336" s="650"/>
      <c r="Q336" s="650"/>
      <c r="R336" s="650"/>
      <c r="S336" s="650"/>
      <c r="T336" s="650"/>
      <c r="U336" s="650"/>
      <c r="V336" s="650"/>
      <c r="W336" s="650"/>
      <c r="X336" s="650"/>
      <c r="Y336" s="650"/>
      <c r="Z336" s="650"/>
    </row>
    <row r="337" spans="1:26" s="205" customFormat="1">
      <c r="A337" s="650"/>
      <c r="B337" s="650"/>
      <c r="C337" s="650"/>
      <c r="D337" s="650"/>
      <c r="E337" s="650"/>
      <c r="F337" s="650"/>
      <c r="G337" s="650"/>
      <c r="H337" s="650"/>
      <c r="I337" s="650"/>
      <c r="J337" s="650"/>
      <c r="K337" s="650"/>
      <c r="L337" s="650"/>
      <c r="M337" s="650"/>
      <c r="N337" s="650"/>
      <c r="O337" s="650"/>
      <c r="P337" s="650"/>
      <c r="Q337" s="650"/>
      <c r="R337" s="650"/>
      <c r="S337" s="650"/>
      <c r="T337" s="650"/>
      <c r="U337" s="650"/>
      <c r="V337" s="650"/>
      <c r="W337" s="650"/>
      <c r="X337" s="650"/>
      <c r="Y337" s="650"/>
      <c r="Z337" s="650"/>
    </row>
    <row r="338" spans="1:26" s="204" customFormat="1" ht="13.5" thickBot="1">
      <c r="A338" s="650"/>
      <c r="B338" s="650"/>
      <c r="C338" s="650"/>
      <c r="D338" s="650"/>
      <c r="E338" s="650"/>
      <c r="F338" s="650"/>
      <c r="G338" s="650"/>
      <c r="H338" s="650"/>
      <c r="I338" s="650"/>
      <c r="J338" s="650"/>
      <c r="K338" s="650"/>
      <c r="L338" s="650"/>
      <c r="M338" s="650"/>
      <c r="N338" s="650"/>
      <c r="O338" s="650"/>
      <c r="P338" s="650"/>
      <c r="Q338" s="650"/>
      <c r="R338" s="650"/>
      <c r="S338" s="650"/>
      <c r="T338" s="650"/>
      <c r="U338" s="650"/>
      <c r="V338" s="650"/>
      <c r="W338" s="650"/>
      <c r="X338" s="650"/>
      <c r="Y338" s="650"/>
      <c r="Z338" s="650"/>
    </row>
    <row r="339" spans="1:26">
      <c r="A339" s="650"/>
      <c r="B339" s="650"/>
      <c r="C339" s="650"/>
      <c r="D339" s="650"/>
      <c r="E339" s="650"/>
      <c r="F339" s="650"/>
      <c r="G339" s="650"/>
      <c r="H339" s="650"/>
      <c r="I339" s="650"/>
      <c r="J339" s="650"/>
      <c r="K339" s="650"/>
      <c r="L339" s="650"/>
      <c r="M339" s="650"/>
      <c r="N339" s="650"/>
      <c r="O339" s="650"/>
      <c r="P339" s="650"/>
      <c r="Q339" s="650"/>
      <c r="R339" s="650"/>
      <c r="S339" s="650"/>
      <c r="T339" s="650"/>
      <c r="U339" s="650"/>
      <c r="V339" s="650"/>
      <c r="W339" s="650"/>
      <c r="X339" s="650"/>
      <c r="Y339" s="650"/>
      <c r="Z339" s="650"/>
    </row>
    <row r="340" spans="1:26" s="205" customFormat="1">
      <c r="A340" s="650"/>
      <c r="B340" s="650"/>
      <c r="C340" s="650"/>
      <c r="D340" s="650"/>
      <c r="E340" s="650"/>
      <c r="F340" s="650"/>
      <c r="G340" s="650"/>
      <c r="H340" s="650"/>
      <c r="I340" s="650"/>
      <c r="J340" s="650"/>
      <c r="K340" s="650"/>
      <c r="L340" s="650"/>
      <c r="M340" s="650"/>
      <c r="N340" s="650"/>
      <c r="O340" s="650"/>
      <c r="P340" s="650"/>
      <c r="Q340" s="650"/>
      <c r="R340" s="650"/>
      <c r="S340" s="650"/>
      <c r="T340" s="650"/>
      <c r="U340" s="650"/>
      <c r="V340" s="650"/>
      <c r="W340" s="650"/>
      <c r="X340" s="650"/>
      <c r="Y340" s="650"/>
      <c r="Z340" s="650"/>
    </row>
    <row r="341" spans="1:26" s="204" customFormat="1" ht="13.5" thickBot="1">
      <c r="A341" s="650"/>
      <c r="B341" s="650"/>
      <c r="C341" s="650"/>
      <c r="D341" s="650"/>
      <c r="E341" s="650"/>
      <c r="F341" s="650"/>
      <c r="G341" s="650"/>
      <c r="H341" s="650"/>
      <c r="I341" s="650"/>
      <c r="J341" s="650"/>
      <c r="K341" s="650"/>
      <c r="L341" s="650"/>
      <c r="M341" s="650"/>
      <c r="N341" s="650"/>
      <c r="O341" s="650"/>
      <c r="P341" s="650"/>
      <c r="Q341" s="650"/>
      <c r="R341" s="650"/>
      <c r="S341" s="650"/>
      <c r="T341" s="650"/>
      <c r="U341" s="650"/>
      <c r="V341" s="650"/>
      <c r="W341" s="650"/>
      <c r="X341" s="650"/>
      <c r="Y341" s="650"/>
      <c r="Z341" s="650"/>
    </row>
    <row r="342" spans="1:26">
      <c r="A342" s="650"/>
      <c r="B342" s="650"/>
      <c r="C342" s="650"/>
      <c r="D342" s="650"/>
      <c r="E342" s="650"/>
      <c r="F342" s="650"/>
      <c r="G342" s="650"/>
      <c r="H342" s="650"/>
      <c r="I342" s="650"/>
      <c r="J342" s="650"/>
      <c r="K342" s="650"/>
      <c r="L342" s="650"/>
      <c r="M342" s="650"/>
      <c r="N342" s="650"/>
      <c r="O342" s="650"/>
      <c r="P342" s="650"/>
      <c r="Q342" s="650"/>
      <c r="R342" s="650"/>
      <c r="S342" s="650"/>
      <c r="T342" s="650"/>
      <c r="U342" s="650"/>
      <c r="V342" s="650"/>
      <c r="W342" s="650"/>
      <c r="X342" s="650"/>
      <c r="Y342" s="650"/>
      <c r="Z342" s="650"/>
    </row>
    <row r="343" spans="1:26" s="205" customFormat="1">
      <c r="A343" s="650"/>
      <c r="B343" s="650"/>
      <c r="C343" s="650"/>
      <c r="D343" s="650"/>
      <c r="E343" s="650"/>
      <c r="F343" s="650"/>
      <c r="G343" s="650"/>
      <c r="H343" s="650"/>
      <c r="I343" s="650"/>
      <c r="J343" s="650"/>
      <c r="K343" s="650"/>
      <c r="L343" s="650"/>
      <c r="M343" s="650"/>
      <c r="N343" s="650"/>
      <c r="O343" s="650"/>
      <c r="P343" s="650"/>
      <c r="Q343" s="650"/>
      <c r="R343" s="650"/>
      <c r="S343" s="650"/>
      <c r="T343" s="650"/>
      <c r="U343" s="650"/>
      <c r="V343" s="650"/>
      <c r="W343" s="650"/>
      <c r="X343" s="650"/>
      <c r="Y343" s="650"/>
      <c r="Z343" s="650"/>
    </row>
    <row r="344" spans="1:26" s="204" customFormat="1" ht="13.5" thickBot="1">
      <c r="A344" s="650"/>
      <c r="B344" s="650"/>
      <c r="C344" s="650"/>
      <c r="D344" s="650"/>
      <c r="E344" s="650"/>
      <c r="F344" s="650"/>
      <c r="G344" s="650"/>
      <c r="H344" s="650"/>
      <c r="I344" s="650"/>
      <c r="J344" s="650"/>
      <c r="K344" s="650"/>
      <c r="L344" s="650"/>
      <c r="M344" s="650"/>
      <c r="N344" s="650"/>
      <c r="O344" s="650"/>
      <c r="P344" s="650"/>
      <c r="Q344" s="650"/>
      <c r="R344" s="650"/>
      <c r="S344" s="650"/>
      <c r="T344" s="650"/>
      <c r="U344" s="650"/>
      <c r="V344" s="650"/>
      <c r="W344" s="650"/>
      <c r="X344" s="650"/>
      <c r="Y344" s="650"/>
      <c r="Z344" s="650"/>
    </row>
    <row r="345" spans="1:26">
      <c r="A345" s="650"/>
      <c r="B345" s="650"/>
      <c r="C345" s="650"/>
      <c r="D345" s="650"/>
      <c r="E345" s="650"/>
      <c r="F345" s="650"/>
      <c r="G345" s="650"/>
      <c r="H345" s="650"/>
      <c r="I345" s="650"/>
      <c r="J345" s="650"/>
      <c r="K345" s="650"/>
      <c r="L345" s="650"/>
      <c r="M345" s="650"/>
      <c r="N345" s="650"/>
      <c r="O345" s="650"/>
      <c r="P345" s="650"/>
      <c r="Q345" s="650"/>
      <c r="R345" s="650"/>
      <c r="S345" s="650"/>
      <c r="T345" s="650"/>
      <c r="U345" s="650"/>
      <c r="V345" s="650"/>
      <c r="W345" s="650"/>
      <c r="X345" s="650"/>
      <c r="Y345" s="650"/>
      <c r="Z345" s="650"/>
    </row>
    <row r="346" spans="1:26" s="205" customFormat="1">
      <c r="A346" s="650"/>
      <c r="B346" s="650"/>
      <c r="C346" s="650"/>
      <c r="D346" s="650"/>
      <c r="E346" s="650"/>
      <c r="F346" s="650"/>
      <c r="G346" s="650"/>
      <c r="H346" s="650"/>
      <c r="I346" s="650"/>
      <c r="J346" s="650"/>
      <c r="K346" s="650"/>
      <c r="L346" s="650"/>
      <c r="M346" s="650"/>
      <c r="N346" s="650"/>
      <c r="O346" s="650"/>
      <c r="P346" s="650"/>
      <c r="Q346" s="650"/>
      <c r="R346" s="650"/>
      <c r="S346" s="650"/>
      <c r="T346" s="650"/>
      <c r="U346" s="650"/>
      <c r="V346" s="650"/>
      <c r="W346" s="650"/>
      <c r="X346" s="650"/>
      <c r="Y346" s="650"/>
      <c r="Z346" s="650"/>
    </row>
    <row r="347" spans="1:26" s="204" customFormat="1" ht="13.5" thickBot="1">
      <c r="A347" s="650"/>
      <c r="B347" s="650"/>
      <c r="C347" s="650"/>
      <c r="D347" s="650"/>
      <c r="E347" s="650"/>
      <c r="F347" s="650"/>
      <c r="G347" s="650"/>
      <c r="H347" s="650"/>
      <c r="I347" s="650"/>
      <c r="J347" s="650"/>
      <c r="K347" s="650"/>
      <c r="L347" s="650"/>
      <c r="M347" s="650"/>
      <c r="N347" s="650"/>
      <c r="O347" s="650"/>
      <c r="P347" s="650"/>
      <c r="Q347" s="650"/>
      <c r="R347" s="650"/>
      <c r="S347" s="650"/>
      <c r="T347" s="650"/>
      <c r="U347" s="650"/>
      <c r="V347" s="650"/>
      <c r="W347" s="650"/>
      <c r="X347" s="650"/>
      <c r="Y347" s="650"/>
      <c r="Z347" s="650"/>
    </row>
    <row r="348" spans="1:26">
      <c r="A348" s="650"/>
      <c r="B348" s="650"/>
      <c r="C348" s="650"/>
      <c r="D348" s="650"/>
      <c r="E348" s="650"/>
      <c r="F348" s="650"/>
      <c r="G348" s="650"/>
      <c r="H348" s="650"/>
      <c r="I348" s="650"/>
      <c r="J348" s="650"/>
      <c r="K348" s="650"/>
      <c r="L348" s="650"/>
      <c r="M348" s="650"/>
      <c r="N348" s="650"/>
      <c r="O348" s="650"/>
      <c r="P348" s="650"/>
      <c r="Q348" s="650"/>
      <c r="R348" s="650"/>
      <c r="S348" s="650"/>
      <c r="T348" s="650"/>
      <c r="U348" s="650"/>
      <c r="V348" s="650"/>
      <c r="W348" s="650"/>
      <c r="X348" s="650"/>
      <c r="Y348" s="650"/>
      <c r="Z348" s="650"/>
    </row>
    <row r="349" spans="1:26" s="205" customFormat="1">
      <c r="A349" s="650"/>
      <c r="B349" s="650"/>
      <c r="C349" s="650"/>
      <c r="D349" s="650"/>
      <c r="E349" s="650"/>
      <c r="F349" s="650"/>
      <c r="G349" s="650"/>
      <c r="H349" s="650"/>
      <c r="I349" s="650"/>
      <c r="J349" s="650"/>
      <c r="K349" s="650"/>
      <c r="L349" s="650"/>
      <c r="M349" s="650"/>
      <c r="N349" s="650"/>
      <c r="O349" s="650"/>
      <c r="P349" s="650"/>
      <c r="Q349" s="650"/>
      <c r="R349" s="650"/>
      <c r="S349" s="650"/>
      <c r="T349" s="650"/>
      <c r="U349" s="650"/>
      <c r="V349" s="650"/>
      <c r="W349" s="650"/>
      <c r="X349" s="650"/>
      <c r="Y349" s="650"/>
      <c r="Z349" s="650"/>
    </row>
    <row r="350" spans="1:26" s="204" customFormat="1">
      <c r="A350" s="650"/>
      <c r="B350" s="650"/>
      <c r="C350" s="650"/>
      <c r="D350" s="650"/>
      <c r="E350" s="650"/>
      <c r="F350" s="650"/>
      <c r="G350" s="650"/>
      <c r="H350" s="650"/>
      <c r="I350" s="650"/>
      <c r="J350" s="650"/>
      <c r="K350" s="650"/>
      <c r="L350" s="650"/>
      <c r="M350" s="650"/>
      <c r="N350" s="650"/>
      <c r="O350" s="650"/>
      <c r="P350" s="650"/>
      <c r="Q350" s="650"/>
      <c r="R350" s="650"/>
      <c r="S350" s="650"/>
      <c r="T350" s="650"/>
      <c r="U350" s="650"/>
      <c r="V350" s="650"/>
      <c r="W350" s="650"/>
      <c r="X350" s="650"/>
      <c r="Y350" s="650"/>
      <c r="Z350" s="650"/>
    </row>
    <row r="351" spans="1:26">
      <c r="A351" s="650"/>
      <c r="B351" s="650"/>
      <c r="C351" s="650"/>
      <c r="D351" s="650"/>
      <c r="E351" s="650"/>
      <c r="F351" s="650"/>
      <c r="G351" s="650"/>
      <c r="H351" s="650"/>
      <c r="I351" s="650"/>
      <c r="J351" s="650"/>
      <c r="K351" s="650"/>
      <c r="L351" s="650"/>
      <c r="M351" s="650"/>
      <c r="N351" s="650"/>
      <c r="O351" s="650"/>
      <c r="P351" s="650"/>
      <c r="Q351" s="650"/>
      <c r="R351" s="650"/>
      <c r="S351" s="650"/>
      <c r="T351" s="650"/>
      <c r="U351" s="650"/>
      <c r="V351" s="650"/>
      <c r="W351" s="650"/>
      <c r="X351" s="650"/>
      <c r="Y351" s="650"/>
      <c r="Z351" s="650"/>
    </row>
    <row r="352" spans="1:26" s="205" customFormat="1">
      <c r="A352" s="650"/>
      <c r="B352" s="650"/>
      <c r="C352" s="650"/>
      <c r="D352" s="650"/>
      <c r="E352" s="650"/>
      <c r="F352" s="650"/>
      <c r="G352" s="650"/>
      <c r="H352" s="650"/>
      <c r="I352" s="650"/>
      <c r="J352" s="650"/>
      <c r="K352" s="650"/>
      <c r="L352" s="650"/>
      <c r="M352" s="650"/>
      <c r="N352" s="650"/>
      <c r="O352" s="650"/>
      <c r="P352" s="650"/>
      <c r="Q352" s="650"/>
      <c r="R352" s="650"/>
      <c r="S352" s="650"/>
      <c r="T352" s="650"/>
      <c r="U352" s="650"/>
      <c r="V352" s="650"/>
      <c r="W352" s="650"/>
      <c r="X352" s="650"/>
      <c r="Y352" s="650"/>
      <c r="Z352" s="650"/>
    </row>
    <row r="353" spans="1:26" s="204" customFormat="1" ht="13.5" thickBot="1">
      <c r="A353" s="650"/>
      <c r="B353" s="650"/>
      <c r="C353" s="650"/>
      <c r="D353" s="650"/>
      <c r="E353" s="650"/>
      <c r="F353" s="650"/>
      <c r="G353" s="650"/>
      <c r="H353" s="650"/>
      <c r="I353" s="650"/>
      <c r="J353" s="650"/>
      <c r="K353" s="650"/>
      <c r="L353" s="650"/>
      <c r="M353" s="650"/>
      <c r="N353" s="650"/>
      <c r="O353" s="650"/>
      <c r="P353" s="650"/>
      <c r="Q353" s="650"/>
      <c r="R353" s="650"/>
      <c r="S353" s="650"/>
      <c r="T353" s="650"/>
      <c r="U353" s="650"/>
      <c r="V353" s="650"/>
      <c r="W353" s="650"/>
      <c r="X353" s="650"/>
      <c r="Y353" s="650"/>
      <c r="Z353" s="650"/>
    </row>
    <row r="354" spans="1:26">
      <c r="A354" s="650"/>
      <c r="B354" s="650"/>
      <c r="C354" s="650"/>
      <c r="D354" s="650"/>
      <c r="E354" s="650"/>
      <c r="F354" s="650"/>
      <c r="G354" s="650"/>
      <c r="H354" s="650"/>
      <c r="I354" s="650"/>
      <c r="J354" s="650"/>
      <c r="K354" s="650"/>
      <c r="L354" s="650"/>
      <c r="M354" s="650"/>
      <c r="N354" s="650"/>
      <c r="O354" s="650"/>
      <c r="P354" s="650"/>
      <c r="Q354" s="650"/>
      <c r="R354" s="650"/>
      <c r="S354" s="650"/>
      <c r="T354" s="650"/>
      <c r="U354" s="650"/>
      <c r="V354" s="650"/>
      <c r="W354" s="650"/>
      <c r="X354" s="650"/>
      <c r="Y354" s="650"/>
      <c r="Z354" s="650"/>
    </row>
    <row r="355" spans="1:26" s="205" customFormat="1" ht="13.5" thickBot="1">
      <c r="A355" s="650"/>
      <c r="B355" s="650"/>
      <c r="C355" s="650"/>
      <c r="D355" s="650"/>
      <c r="E355" s="650"/>
      <c r="F355" s="650"/>
      <c r="G355" s="650"/>
      <c r="H355" s="650"/>
      <c r="I355" s="650"/>
      <c r="J355" s="650"/>
      <c r="K355" s="650"/>
      <c r="L355" s="650"/>
      <c r="M355" s="650"/>
      <c r="N355" s="650"/>
      <c r="O355" s="650"/>
      <c r="P355" s="650"/>
      <c r="Q355" s="650"/>
      <c r="R355" s="650"/>
      <c r="S355" s="650"/>
      <c r="T355" s="650"/>
      <c r="U355" s="650"/>
      <c r="V355" s="650"/>
      <c r="W355" s="650"/>
      <c r="X355" s="650"/>
      <c r="Y355" s="650"/>
      <c r="Z355" s="650"/>
    </row>
    <row r="356" spans="1:26" s="214" customFormat="1">
      <c r="A356" s="650"/>
      <c r="B356" s="650"/>
      <c r="C356" s="650"/>
      <c r="D356" s="650"/>
      <c r="E356" s="650"/>
      <c r="F356" s="650"/>
      <c r="G356" s="650"/>
      <c r="H356" s="650"/>
      <c r="I356" s="650"/>
      <c r="J356" s="650"/>
      <c r="K356" s="650"/>
      <c r="L356" s="650"/>
      <c r="M356" s="650"/>
      <c r="N356" s="650"/>
      <c r="O356" s="650"/>
      <c r="P356" s="650"/>
      <c r="Q356" s="650"/>
      <c r="R356" s="650"/>
      <c r="S356" s="650"/>
      <c r="T356" s="650"/>
      <c r="U356" s="650"/>
      <c r="V356" s="650"/>
      <c r="W356" s="650"/>
      <c r="X356" s="650"/>
      <c r="Y356" s="650"/>
      <c r="Z356" s="650"/>
    </row>
    <row r="357" spans="1:26">
      <c r="A357" s="650"/>
      <c r="B357" s="650"/>
      <c r="C357" s="650"/>
      <c r="D357" s="650"/>
      <c r="E357" s="650"/>
      <c r="F357" s="650"/>
      <c r="G357" s="650"/>
      <c r="H357" s="650"/>
      <c r="I357" s="650"/>
      <c r="J357" s="650"/>
      <c r="K357" s="650"/>
      <c r="L357" s="650"/>
      <c r="M357" s="650"/>
      <c r="N357" s="650"/>
      <c r="O357" s="650"/>
      <c r="P357" s="650"/>
      <c r="Q357" s="650"/>
      <c r="R357" s="650"/>
      <c r="S357" s="650"/>
      <c r="T357" s="650"/>
      <c r="U357" s="650"/>
      <c r="V357" s="650"/>
      <c r="W357" s="650"/>
      <c r="X357" s="650"/>
      <c r="Y357" s="650"/>
      <c r="Z357" s="650"/>
    </row>
    <row r="358" spans="1:26" s="205" customFormat="1" ht="13.5" thickBot="1">
      <c r="A358" s="650"/>
      <c r="B358" s="650"/>
      <c r="C358" s="650"/>
      <c r="D358" s="650"/>
      <c r="E358" s="650"/>
      <c r="F358" s="650"/>
      <c r="G358" s="650"/>
      <c r="H358" s="650"/>
      <c r="I358" s="650"/>
      <c r="J358" s="650"/>
      <c r="K358" s="650"/>
      <c r="L358" s="650"/>
      <c r="M358" s="650"/>
      <c r="N358" s="650"/>
      <c r="O358" s="650"/>
      <c r="P358" s="650"/>
      <c r="Q358" s="650"/>
      <c r="R358" s="650"/>
      <c r="S358" s="650"/>
      <c r="T358" s="650"/>
      <c r="U358" s="650"/>
      <c r="V358" s="650"/>
      <c r="W358" s="650"/>
      <c r="X358" s="650"/>
      <c r="Y358" s="650"/>
      <c r="Z358" s="650"/>
    </row>
    <row r="359" spans="1:26" s="204" customFormat="1">
      <c r="A359" s="650"/>
      <c r="B359" s="650"/>
      <c r="C359" s="650"/>
      <c r="D359" s="650"/>
      <c r="E359" s="650"/>
      <c r="F359" s="650"/>
      <c r="G359" s="650"/>
      <c r="H359" s="650"/>
      <c r="I359" s="650"/>
      <c r="J359" s="650"/>
      <c r="K359" s="650"/>
      <c r="L359" s="650"/>
      <c r="M359" s="650"/>
      <c r="N359" s="650"/>
      <c r="O359" s="650"/>
      <c r="P359" s="650"/>
      <c r="Q359" s="650"/>
      <c r="R359" s="650"/>
      <c r="S359" s="650"/>
      <c r="T359" s="650"/>
      <c r="U359" s="650"/>
      <c r="V359" s="650"/>
      <c r="W359" s="650"/>
      <c r="X359" s="650"/>
      <c r="Y359" s="650"/>
      <c r="Z359" s="650"/>
    </row>
    <row r="360" spans="1:26">
      <c r="A360" s="650"/>
      <c r="B360" s="650"/>
      <c r="C360" s="650"/>
      <c r="D360" s="650"/>
      <c r="E360" s="650"/>
      <c r="F360" s="650"/>
      <c r="G360" s="650"/>
      <c r="H360" s="650"/>
      <c r="I360" s="650"/>
      <c r="J360" s="650"/>
      <c r="K360" s="650"/>
      <c r="L360" s="650"/>
      <c r="M360" s="650"/>
      <c r="N360" s="650"/>
      <c r="O360" s="650"/>
      <c r="P360" s="650"/>
      <c r="Q360" s="650"/>
      <c r="R360" s="650"/>
      <c r="S360" s="650"/>
      <c r="T360" s="650"/>
      <c r="U360" s="650"/>
      <c r="V360" s="650"/>
      <c r="W360" s="650"/>
      <c r="X360" s="650"/>
      <c r="Y360" s="650"/>
      <c r="Z360" s="650"/>
    </row>
    <row r="361" spans="1:26" s="205" customFormat="1" ht="13.5" thickBot="1">
      <c r="A361" s="650"/>
      <c r="B361" s="650"/>
      <c r="C361" s="650"/>
      <c r="D361" s="650"/>
      <c r="E361" s="650"/>
      <c r="F361" s="650"/>
      <c r="G361" s="650"/>
      <c r="H361" s="650"/>
      <c r="I361" s="650"/>
      <c r="J361" s="650"/>
      <c r="K361" s="650"/>
      <c r="L361" s="650"/>
      <c r="M361" s="650"/>
      <c r="N361" s="650"/>
      <c r="O361" s="650"/>
      <c r="P361" s="650"/>
      <c r="Q361" s="650"/>
      <c r="R361" s="650"/>
      <c r="S361" s="650"/>
      <c r="T361" s="650"/>
      <c r="U361" s="650"/>
      <c r="V361" s="650"/>
      <c r="W361" s="650"/>
      <c r="X361" s="650"/>
      <c r="Y361" s="650"/>
      <c r="Z361" s="650"/>
    </row>
    <row r="362" spans="1:26" s="204" customFormat="1">
      <c r="A362" s="650"/>
      <c r="B362" s="650"/>
      <c r="C362" s="650"/>
      <c r="D362" s="650"/>
      <c r="E362" s="650"/>
      <c r="F362" s="650"/>
      <c r="G362" s="650"/>
      <c r="H362" s="650"/>
      <c r="I362" s="650"/>
      <c r="J362" s="650"/>
      <c r="K362" s="650"/>
      <c r="L362" s="650"/>
      <c r="M362" s="650"/>
      <c r="N362" s="650"/>
      <c r="O362" s="650"/>
      <c r="P362" s="650"/>
      <c r="Q362" s="650"/>
      <c r="R362" s="650"/>
      <c r="S362" s="650"/>
      <c r="T362" s="650"/>
      <c r="U362" s="650"/>
      <c r="V362" s="650"/>
      <c r="W362" s="650"/>
      <c r="X362" s="650"/>
      <c r="Y362" s="650"/>
      <c r="Z362" s="650"/>
    </row>
    <row r="363" spans="1:26">
      <c r="A363" s="650"/>
      <c r="B363" s="650"/>
      <c r="C363" s="650"/>
      <c r="D363" s="650"/>
      <c r="E363" s="650"/>
      <c r="F363" s="650"/>
      <c r="G363" s="650"/>
      <c r="H363" s="650"/>
      <c r="I363" s="650"/>
      <c r="J363" s="650"/>
      <c r="K363" s="650"/>
      <c r="L363" s="650"/>
      <c r="M363" s="650"/>
      <c r="N363" s="650"/>
      <c r="O363" s="650"/>
      <c r="P363" s="650"/>
      <c r="Q363" s="650"/>
      <c r="R363" s="650"/>
      <c r="S363" s="650"/>
      <c r="T363" s="650"/>
      <c r="U363" s="650"/>
      <c r="V363" s="650"/>
      <c r="W363" s="650"/>
      <c r="X363" s="650"/>
      <c r="Y363" s="650"/>
      <c r="Z363" s="650"/>
    </row>
    <row r="364" spans="1:26" s="205" customFormat="1" ht="13.5" thickBot="1">
      <c r="A364" s="650"/>
      <c r="B364" s="650"/>
      <c r="C364" s="650"/>
      <c r="D364" s="650"/>
      <c r="E364" s="650"/>
      <c r="F364" s="650"/>
      <c r="G364" s="650"/>
      <c r="H364" s="650"/>
      <c r="I364" s="650"/>
      <c r="J364" s="650"/>
      <c r="K364" s="650"/>
      <c r="L364" s="650"/>
      <c r="M364" s="650"/>
      <c r="N364" s="650"/>
      <c r="O364" s="650"/>
      <c r="P364" s="650"/>
      <c r="Q364" s="650"/>
      <c r="R364" s="650"/>
      <c r="S364" s="650"/>
      <c r="T364" s="650"/>
      <c r="U364" s="650"/>
      <c r="V364" s="650"/>
      <c r="W364" s="650"/>
      <c r="X364" s="650"/>
      <c r="Y364" s="650"/>
      <c r="Z364" s="650"/>
    </row>
    <row r="365" spans="1:26" s="204" customFormat="1">
      <c r="A365" s="650"/>
      <c r="B365" s="650"/>
      <c r="C365" s="650"/>
      <c r="D365" s="650"/>
      <c r="E365" s="650"/>
      <c r="F365" s="650"/>
      <c r="G365" s="650"/>
      <c r="H365" s="650"/>
      <c r="I365" s="650"/>
      <c r="J365" s="650"/>
      <c r="K365" s="650"/>
      <c r="L365" s="650"/>
      <c r="M365" s="650"/>
      <c r="N365" s="650"/>
      <c r="O365" s="650"/>
      <c r="P365" s="650"/>
      <c r="Q365" s="650"/>
      <c r="R365" s="650"/>
      <c r="S365" s="650"/>
      <c r="T365" s="650"/>
      <c r="U365" s="650"/>
      <c r="V365" s="650"/>
      <c r="W365" s="650"/>
      <c r="X365" s="650"/>
      <c r="Y365" s="650"/>
      <c r="Z365" s="650"/>
    </row>
    <row r="366" spans="1:26">
      <c r="A366" s="650"/>
      <c r="B366" s="650"/>
      <c r="C366" s="650"/>
      <c r="D366" s="650"/>
      <c r="E366" s="650"/>
      <c r="F366" s="650"/>
      <c r="G366" s="650"/>
      <c r="H366" s="650"/>
      <c r="I366" s="650"/>
      <c r="J366" s="650"/>
      <c r="K366" s="650"/>
      <c r="L366" s="650"/>
      <c r="M366" s="650"/>
      <c r="N366" s="650"/>
      <c r="O366" s="650"/>
      <c r="P366" s="650"/>
      <c r="Q366" s="650"/>
      <c r="R366" s="650"/>
      <c r="S366" s="650"/>
      <c r="T366" s="650"/>
      <c r="U366" s="650"/>
      <c r="V366" s="650"/>
      <c r="W366" s="650"/>
      <c r="X366" s="650"/>
      <c r="Y366" s="650"/>
      <c r="Z366" s="650"/>
    </row>
    <row r="367" spans="1:26" s="205" customFormat="1" ht="13.5" thickBot="1">
      <c r="A367" s="650"/>
      <c r="B367" s="650"/>
      <c r="C367" s="650"/>
      <c r="D367" s="650"/>
      <c r="E367" s="650"/>
      <c r="F367" s="650"/>
      <c r="G367" s="650"/>
      <c r="H367" s="650"/>
      <c r="I367" s="650"/>
      <c r="J367" s="650"/>
      <c r="K367" s="650"/>
      <c r="L367" s="650"/>
      <c r="M367" s="650"/>
      <c r="N367" s="650"/>
      <c r="O367" s="650"/>
      <c r="P367" s="650"/>
      <c r="Q367" s="650"/>
      <c r="R367" s="650"/>
      <c r="S367" s="650"/>
      <c r="T367" s="650"/>
      <c r="U367" s="650"/>
      <c r="V367" s="650"/>
      <c r="W367" s="650"/>
      <c r="X367" s="650"/>
      <c r="Y367" s="650"/>
      <c r="Z367" s="650"/>
    </row>
    <row r="368" spans="1:26" s="204" customFormat="1">
      <c r="A368" s="650"/>
      <c r="B368" s="650"/>
      <c r="C368" s="650"/>
      <c r="D368" s="650"/>
      <c r="E368" s="650"/>
      <c r="F368" s="650"/>
      <c r="G368" s="650"/>
      <c r="H368" s="650"/>
      <c r="I368" s="650"/>
      <c r="J368" s="650"/>
      <c r="K368" s="650"/>
      <c r="L368" s="650"/>
      <c r="M368" s="650"/>
      <c r="N368" s="650"/>
      <c r="O368" s="650"/>
      <c r="P368" s="650"/>
      <c r="Q368" s="650"/>
      <c r="R368" s="650"/>
      <c r="S368" s="650"/>
      <c r="T368" s="650"/>
      <c r="U368" s="650"/>
      <c r="V368" s="650"/>
      <c r="W368" s="650"/>
      <c r="X368" s="650"/>
      <c r="Y368" s="650"/>
      <c r="Z368" s="650"/>
    </row>
    <row r="369" spans="1:26">
      <c r="A369" s="650"/>
      <c r="B369" s="650"/>
      <c r="C369" s="650"/>
      <c r="D369" s="650"/>
      <c r="E369" s="650"/>
      <c r="F369" s="650"/>
      <c r="G369" s="650"/>
      <c r="H369" s="650"/>
      <c r="I369" s="650"/>
      <c r="J369" s="650"/>
      <c r="K369" s="650"/>
      <c r="L369" s="650"/>
      <c r="M369" s="650"/>
      <c r="N369" s="650"/>
      <c r="O369" s="650"/>
      <c r="P369" s="650"/>
      <c r="Q369" s="650"/>
      <c r="R369" s="650"/>
      <c r="S369" s="650"/>
      <c r="T369" s="650"/>
      <c r="U369" s="650"/>
      <c r="V369" s="650"/>
      <c r="W369" s="650"/>
      <c r="X369" s="650"/>
      <c r="Y369" s="650"/>
      <c r="Z369" s="650"/>
    </row>
    <row r="370" spans="1:26" s="205" customFormat="1" ht="13.5" thickBot="1">
      <c r="A370" s="650"/>
      <c r="B370" s="650"/>
      <c r="C370" s="650"/>
      <c r="D370" s="650"/>
      <c r="E370" s="650"/>
      <c r="F370" s="650"/>
      <c r="G370" s="650"/>
      <c r="H370" s="650"/>
      <c r="I370" s="650"/>
      <c r="J370" s="650"/>
      <c r="K370" s="650"/>
      <c r="L370" s="650"/>
      <c r="M370" s="650"/>
      <c r="N370" s="650"/>
      <c r="O370" s="650"/>
      <c r="P370" s="650"/>
      <c r="Q370" s="650"/>
      <c r="R370" s="650"/>
      <c r="S370" s="650"/>
      <c r="T370" s="650"/>
      <c r="U370" s="650"/>
      <c r="V370" s="650"/>
      <c r="W370" s="650"/>
      <c r="X370" s="650"/>
      <c r="Y370" s="650"/>
      <c r="Z370" s="650"/>
    </row>
    <row r="371" spans="1:26" s="204" customFormat="1">
      <c r="A371" s="650"/>
      <c r="B371" s="650"/>
      <c r="C371" s="650"/>
      <c r="D371" s="650"/>
      <c r="E371" s="650"/>
      <c r="F371" s="650"/>
      <c r="G371" s="650"/>
      <c r="H371" s="650"/>
      <c r="I371" s="650"/>
      <c r="J371" s="650"/>
      <c r="K371" s="650"/>
      <c r="L371" s="650"/>
      <c r="M371" s="650"/>
      <c r="N371" s="650"/>
      <c r="O371" s="650"/>
      <c r="P371" s="650"/>
      <c r="Q371" s="650"/>
      <c r="R371" s="650"/>
      <c r="S371" s="650"/>
      <c r="T371" s="650"/>
      <c r="U371" s="650"/>
      <c r="V371" s="650"/>
      <c r="W371" s="650"/>
      <c r="X371" s="650"/>
      <c r="Y371" s="650"/>
      <c r="Z371" s="650"/>
    </row>
    <row r="372" spans="1:26">
      <c r="A372" s="650"/>
      <c r="B372" s="650"/>
      <c r="C372" s="650"/>
      <c r="D372" s="650"/>
      <c r="E372" s="650"/>
      <c r="F372" s="650"/>
      <c r="G372" s="650"/>
      <c r="H372" s="650"/>
      <c r="I372" s="650"/>
      <c r="J372" s="650"/>
      <c r="K372" s="650"/>
      <c r="L372" s="650"/>
      <c r="M372" s="650"/>
      <c r="N372" s="650"/>
      <c r="O372" s="650"/>
      <c r="P372" s="650"/>
      <c r="Q372" s="650"/>
      <c r="R372" s="650"/>
      <c r="S372" s="650"/>
      <c r="T372" s="650"/>
      <c r="U372" s="650"/>
      <c r="V372" s="650"/>
      <c r="W372" s="650"/>
      <c r="X372" s="650"/>
      <c r="Y372" s="650"/>
      <c r="Z372" s="650"/>
    </row>
    <row r="373" spans="1:26" s="205" customFormat="1" ht="13.5" thickBot="1">
      <c r="A373" s="650"/>
      <c r="B373" s="650"/>
      <c r="C373" s="650"/>
      <c r="D373" s="650"/>
      <c r="E373" s="650"/>
      <c r="F373" s="650"/>
      <c r="G373" s="650"/>
      <c r="H373" s="650"/>
      <c r="I373" s="650"/>
      <c r="J373" s="650"/>
      <c r="K373" s="650"/>
      <c r="L373" s="650"/>
      <c r="M373" s="650"/>
      <c r="N373" s="650"/>
      <c r="O373" s="650"/>
      <c r="P373" s="650"/>
      <c r="Q373" s="650"/>
      <c r="R373" s="650"/>
      <c r="S373" s="650"/>
      <c r="T373" s="650"/>
      <c r="U373" s="650"/>
      <c r="V373" s="650"/>
      <c r="W373" s="650"/>
      <c r="X373" s="650"/>
      <c r="Y373" s="650"/>
      <c r="Z373" s="650"/>
    </row>
    <row r="374" spans="1:26" s="204" customFormat="1">
      <c r="A374" s="650"/>
      <c r="B374" s="650"/>
      <c r="C374" s="650"/>
      <c r="D374" s="650"/>
      <c r="E374" s="650"/>
      <c r="F374" s="650"/>
      <c r="G374" s="650"/>
      <c r="H374" s="650"/>
      <c r="I374" s="650"/>
      <c r="J374" s="650"/>
      <c r="K374" s="650"/>
      <c r="L374" s="650"/>
      <c r="M374" s="650"/>
      <c r="N374" s="650"/>
      <c r="O374" s="650"/>
      <c r="P374" s="650"/>
      <c r="Q374" s="650"/>
      <c r="R374" s="650"/>
      <c r="S374" s="650"/>
      <c r="T374" s="650"/>
      <c r="U374" s="650"/>
      <c r="V374" s="650"/>
      <c r="W374" s="650"/>
      <c r="X374" s="650"/>
      <c r="Y374" s="650"/>
      <c r="Z374" s="650"/>
    </row>
    <row r="375" spans="1:26">
      <c r="A375" s="650"/>
      <c r="B375" s="650"/>
      <c r="C375" s="650"/>
      <c r="D375" s="650"/>
      <c r="E375" s="650"/>
      <c r="F375" s="650"/>
      <c r="G375" s="650"/>
      <c r="H375" s="650"/>
      <c r="I375" s="650"/>
      <c r="J375" s="650"/>
      <c r="K375" s="650"/>
      <c r="L375" s="650"/>
      <c r="M375" s="650"/>
      <c r="N375" s="650"/>
      <c r="O375" s="650"/>
      <c r="P375" s="650"/>
      <c r="Q375" s="650"/>
      <c r="R375" s="650"/>
      <c r="S375" s="650"/>
      <c r="T375" s="650"/>
      <c r="U375" s="650"/>
      <c r="V375" s="650"/>
      <c r="W375" s="650"/>
      <c r="X375" s="650"/>
      <c r="Y375" s="650"/>
      <c r="Z375" s="650"/>
    </row>
    <row r="376" spans="1:26" s="205" customFormat="1">
      <c r="A376" s="650"/>
      <c r="B376" s="650"/>
      <c r="C376" s="650"/>
      <c r="D376" s="650"/>
      <c r="E376" s="650"/>
      <c r="F376" s="650"/>
      <c r="G376" s="650"/>
      <c r="H376" s="650"/>
      <c r="I376" s="650"/>
      <c r="J376" s="650"/>
      <c r="K376" s="650"/>
      <c r="L376" s="650"/>
      <c r="M376" s="650"/>
      <c r="N376" s="650"/>
      <c r="O376" s="650"/>
      <c r="P376" s="650"/>
      <c r="Q376" s="650"/>
      <c r="R376" s="650"/>
      <c r="S376" s="650"/>
      <c r="T376" s="650"/>
      <c r="U376" s="650"/>
      <c r="V376" s="650"/>
      <c r="W376" s="650"/>
      <c r="X376" s="650"/>
      <c r="Y376" s="650"/>
      <c r="Z376" s="650"/>
    </row>
    <row r="377" spans="1:26" s="204" customFormat="1" ht="13.5" thickBot="1">
      <c r="A377" s="650"/>
      <c r="B377" s="650"/>
      <c r="C377" s="650"/>
      <c r="D377" s="650"/>
      <c r="E377" s="650"/>
      <c r="F377" s="650"/>
      <c r="G377" s="650"/>
      <c r="H377" s="650"/>
      <c r="I377" s="650"/>
      <c r="J377" s="650"/>
      <c r="K377" s="650"/>
      <c r="L377" s="650"/>
      <c r="M377" s="650"/>
      <c r="N377" s="650"/>
      <c r="O377" s="650"/>
      <c r="P377" s="650"/>
      <c r="Q377" s="650"/>
      <c r="R377" s="650"/>
      <c r="S377" s="650"/>
      <c r="T377" s="650"/>
      <c r="U377" s="650"/>
      <c r="V377" s="650"/>
      <c r="W377" s="650"/>
      <c r="X377" s="650"/>
      <c r="Y377" s="650"/>
      <c r="Z377" s="650"/>
    </row>
    <row r="378" spans="1:26">
      <c r="A378" s="650"/>
      <c r="B378" s="650"/>
      <c r="C378" s="650"/>
      <c r="D378" s="650"/>
      <c r="E378" s="650"/>
      <c r="F378" s="650"/>
      <c r="G378" s="650"/>
      <c r="H378" s="650"/>
      <c r="I378" s="650"/>
      <c r="J378" s="650"/>
      <c r="K378" s="650"/>
      <c r="L378" s="650"/>
      <c r="M378" s="650"/>
      <c r="N378" s="650"/>
      <c r="O378" s="650"/>
      <c r="P378" s="650"/>
      <c r="Q378" s="650"/>
      <c r="R378" s="650"/>
      <c r="S378" s="650"/>
      <c r="T378" s="650"/>
      <c r="U378" s="650"/>
      <c r="V378" s="650"/>
      <c r="W378" s="650"/>
      <c r="X378" s="650"/>
      <c r="Y378" s="650"/>
      <c r="Z378" s="650"/>
    </row>
    <row r="379" spans="1:26" s="205" customFormat="1">
      <c r="A379" s="650"/>
      <c r="B379" s="650"/>
      <c r="C379" s="650"/>
      <c r="D379" s="650"/>
      <c r="E379" s="650"/>
      <c r="F379" s="650"/>
      <c r="G379" s="650"/>
      <c r="H379" s="650"/>
      <c r="I379" s="650"/>
      <c r="J379" s="650"/>
      <c r="K379" s="650"/>
      <c r="L379" s="650"/>
      <c r="M379" s="650"/>
      <c r="N379" s="650"/>
      <c r="O379" s="650"/>
      <c r="P379" s="650"/>
      <c r="Q379" s="650"/>
      <c r="R379" s="650"/>
      <c r="S379" s="650"/>
      <c r="T379" s="650"/>
      <c r="U379" s="650"/>
      <c r="V379" s="650"/>
      <c r="W379" s="650"/>
      <c r="X379" s="650"/>
      <c r="Y379" s="650"/>
      <c r="Z379" s="650"/>
    </row>
    <row r="380" spans="1:26" s="204" customFormat="1" ht="13.5" thickBot="1">
      <c r="A380" s="650"/>
      <c r="B380" s="650"/>
      <c r="C380" s="650"/>
      <c r="D380" s="650"/>
      <c r="E380" s="650"/>
      <c r="F380" s="650"/>
      <c r="G380" s="650"/>
      <c r="H380" s="650"/>
      <c r="I380" s="650"/>
      <c r="J380" s="650"/>
      <c r="K380" s="650"/>
      <c r="L380" s="650"/>
      <c r="M380" s="650"/>
      <c r="N380" s="650"/>
      <c r="O380" s="650"/>
      <c r="P380" s="650"/>
      <c r="Q380" s="650"/>
      <c r="R380" s="650"/>
      <c r="S380" s="650"/>
      <c r="T380" s="650"/>
      <c r="U380" s="650"/>
      <c r="V380" s="650"/>
      <c r="W380" s="650"/>
      <c r="X380" s="650"/>
      <c r="Y380" s="650"/>
      <c r="Z380" s="650"/>
    </row>
    <row r="381" spans="1:26">
      <c r="A381" s="650"/>
      <c r="B381" s="650"/>
      <c r="C381" s="650"/>
      <c r="D381" s="650"/>
      <c r="E381" s="650"/>
      <c r="F381" s="650"/>
      <c r="G381" s="650"/>
      <c r="H381" s="650"/>
      <c r="I381" s="650"/>
      <c r="J381" s="650"/>
      <c r="K381" s="650"/>
      <c r="L381" s="650"/>
      <c r="M381" s="650"/>
      <c r="N381" s="650"/>
      <c r="O381" s="650"/>
      <c r="P381" s="650"/>
      <c r="Q381" s="650"/>
      <c r="R381" s="650"/>
      <c r="S381" s="650"/>
      <c r="T381" s="650"/>
      <c r="U381" s="650"/>
      <c r="V381" s="650"/>
      <c r="W381" s="650"/>
      <c r="X381" s="650"/>
      <c r="Y381" s="650"/>
      <c r="Z381" s="650"/>
    </row>
    <row r="382" spans="1:26" s="205" customFormat="1">
      <c r="A382" s="650"/>
      <c r="B382" s="650"/>
      <c r="C382" s="650"/>
      <c r="D382" s="650"/>
      <c r="E382" s="650"/>
      <c r="F382" s="650"/>
      <c r="G382" s="650"/>
      <c r="H382" s="650"/>
      <c r="I382" s="650"/>
      <c r="J382" s="650"/>
      <c r="K382" s="650"/>
      <c r="L382" s="650"/>
      <c r="M382" s="650"/>
      <c r="N382" s="650"/>
      <c r="O382" s="650"/>
      <c r="P382" s="650"/>
      <c r="Q382" s="650"/>
      <c r="R382" s="650"/>
      <c r="S382" s="650"/>
      <c r="T382" s="650"/>
      <c r="U382" s="650"/>
      <c r="V382" s="650"/>
      <c r="W382" s="650"/>
      <c r="X382" s="650"/>
      <c r="Y382" s="650"/>
      <c r="Z382" s="650"/>
    </row>
    <row r="383" spans="1:26" s="204" customFormat="1" ht="13.5" thickBot="1">
      <c r="A383" s="650"/>
      <c r="B383" s="650"/>
      <c r="C383" s="650"/>
      <c r="D383" s="650"/>
      <c r="E383" s="650"/>
      <c r="F383" s="650"/>
      <c r="G383" s="650"/>
      <c r="H383" s="650"/>
      <c r="I383" s="650"/>
      <c r="J383" s="650"/>
      <c r="K383" s="650"/>
      <c r="L383" s="650"/>
      <c r="M383" s="650"/>
      <c r="N383" s="650"/>
      <c r="O383" s="650"/>
      <c r="P383" s="650"/>
      <c r="Q383" s="650"/>
      <c r="R383" s="650"/>
      <c r="S383" s="650"/>
      <c r="T383" s="650"/>
      <c r="U383" s="650"/>
      <c r="V383" s="650"/>
      <c r="W383" s="650"/>
      <c r="X383" s="650"/>
      <c r="Y383" s="650"/>
      <c r="Z383" s="650"/>
    </row>
    <row r="384" spans="1:26">
      <c r="A384" s="650"/>
      <c r="B384" s="650"/>
      <c r="C384" s="650"/>
      <c r="D384" s="650"/>
      <c r="E384" s="650"/>
      <c r="F384" s="650"/>
      <c r="G384" s="650"/>
      <c r="H384" s="650"/>
      <c r="I384" s="650"/>
      <c r="J384" s="650"/>
      <c r="K384" s="650"/>
      <c r="L384" s="650"/>
      <c r="M384" s="650"/>
      <c r="N384" s="650"/>
      <c r="O384" s="650"/>
      <c r="P384" s="650"/>
      <c r="Q384" s="650"/>
      <c r="R384" s="650"/>
      <c r="S384" s="650"/>
      <c r="T384" s="650"/>
      <c r="U384" s="650"/>
      <c r="V384" s="650"/>
      <c r="W384" s="650"/>
      <c r="X384" s="650"/>
      <c r="Y384" s="650"/>
      <c r="Z384" s="650"/>
    </row>
    <row r="385" spans="1:26" s="205" customFormat="1">
      <c r="A385" s="650"/>
      <c r="B385" s="650"/>
      <c r="C385" s="650"/>
      <c r="D385" s="650"/>
      <c r="E385" s="650"/>
      <c r="F385" s="650"/>
      <c r="G385" s="650"/>
      <c r="H385" s="650"/>
      <c r="I385" s="650"/>
      <c r="J385" s="650"/>
      <c r="K385" s="650"/>
      <c r="L385" s="650"/>
      <c r="M385" s="650"/>
      <c r="N385" s="650"/>
      <c r="O385" s="650"/>
      <c r="P385" s="650"/>
      <c r="Q385" s="650"/>
      <c r="R385" s="650"/>
      <c r="S385" s="650"/>
      <c r="T385" s="650"/>
      <c r="U385" s="650"/>
      <c r="V385" s="650"/>
      <c r="W385" s="650"/>
      <c r="X385" s="650"/>
      <c r="Y385" s="650"/>
      <c r="Z385" s="650"/>
    </row>
    <row r="386" spans="1:26" s="204" customFormat="1">
      <c r="A386" s="650"/>
      <c r="B386" s="650"/>
      <c r="C386" s="650"/>
      <c r="D386" s="650"/>
      <c r="E386" s="650"/>
      <c r="F386" s="650"/>
      <c r="G386" s="650"/>
      <c r="H386" s="650"/>
      <c r="I386" s="650"/>
      <c r="J386" s="650"/>
      <c r="K386" s="650"/>
      <c r="L386" s="650"/>
      <c r="M386" s="650"/>
      <c r="N386" s="650"/>
      <c r="O386" s="650"/>
      <c r="P386" s="650"/>
      <c r="Q386" s="650"/>
      <c r="R386" s="650"/>
      <c r="S386" s="650"/>
      <c r="T386" s="650"/>
      <c r="U386" s="650"/>
      <c r="V386" s="650"/>
      <c r="W386" s="650"/>
      <c r="X386" s="650"/>
      <c r="Y386" s="650"/>
      <c r="Z386" s="650"/>
    </row>
    <row r="387" spans="1:26" ht="13.5" thickBot="1">
      <c r="A387" s="650"/>
      <c r="B387" s="650"/>
      <c r="C387" s="650"/>
      <c r="D387" s="650"/>
      <c r="E387" s="650"/>
      <c r="F387" s="650"/>
      <c r="G387" s="650"/>
      <c r="H387" s="650"/>
      <c r="I387" s="650"/>
      <c r="J387" s="650"/>
      <c r="K387" s="650"/>
      <c r="L387" s="650"/>
      <c r="M387" s="650"/>
      <c r="N387" s="650"/>
      <c r="O387" s="650"/>
      <c r="P387" s="650"/>
      <c r="Q387" s="650"/>
      <c r="R387" s="650"/>
      <c r="S387" s="650"/>
      <c r="T387" s="650"/>
      <c r="U387" s="650"/>
      <c r="V387" s="650"/>
      <c r="W387" s="650"/>
      <c r="X387" s="650"/>
      <c r="Y387" s="650"/>
      <c r="Z387" s="650"/>
    </row>
    <row r="388" spans="1:26" s="205" customFormat="1">
      <c r="A388" s="650"/>
      <c r="B388" s="650"/>
      <c r="C388" s="650"/>
      <c r="D388" s="650"/>
      <c r="E388" s="650"/>
      <c r="F388" s="650"/>
      <c r="G388" s="650"/>
      <c r="H388" s="650"/>
      <c r="I388" s="650"/>
      <c r="J388" s="650"/>
      <c r="K388" s="650"/>
      <c r="L388" s="650"/>
      <c r="M388" s="650"/>
      <c r="N388" s="650"/>
      <c r="O388" s="650"/>
      <c r="P388" s="650"/>
      <c r="Q388" s="650"/>
      <c r="R388" s="650"/>
      <c r="S388" s="650"/>
      <c r="T388" s="650"/>
      <c r="U388" s="650"/>
      <c r="V388" s="650"/>
      <c r="W388" s="650"/>
      <c r="X388" s="650"/>
      <c r="Y388" s="650"/>
      <c r="Z388" s="650"/>
    </row>
    <row r="389" spans="1:26" s="204" customFormat="1">
      <c r="A389" s="650"/>
      <c r="B389" s="650"/>
      <c r="C389" s="650"/>
      <c r="D389" s="650"/>
      <c r="E389" s="650"/>
      <c r="F389" s="650"/>
      <c r="G389" s="650"/>
      <c r="H389" s="650"/>
      <c r="I389" s="650"/>
      <c r="J389" s="650"/>
      <c r="K389" s="650"/>
      <c r="L389" s="650"/>
      <c r="M389" s="650"/>
      <c r="N389" s="650"/>
      <c r="O389" s="650"/>
      <c r="P389" s="650"/>
      <c r="Q389" s="650"/>
      <c r="R389" s="650"/>
      <c r="S389" s="650"/>
      <c r="T389" s="650"/>
      <c r="U389" s="650"/>
      <c r="V389" s="650"/>
      <c r="W389" s="650"/>
      <c r="X389" s="650"/>
      <c r="Y389" s="650"/>
      <c r="Z389" s="650"/>
    </row>
    <row r="390" spans="1:26" ht="13.5" thickBot="1">
      <c r="A390" s="650"/>
      <c r="B390" s="650"/>
      <c r="C390" s="650"/>
      <c r="D390" s="650"/>
      <c r="E390" s="650"/>
      <c r="F390" s="650"/>
      <c r="G390" s="650"/>
      <c r="H390" s="650"/>
      <c r="I390" s="650"/>
      <c r="J390" s="650"/>
      <c r="K390" s="650"/>
      <c r="L390" s="650"/>
      <c r="M390" s="650"/>
      <c r="N390" s="650"/>
      <c r="O390" s="650"/>
      <c r="P390" s="650"/>
      <c r="Q390" s="650"/>
      <c r="R390" s="650"/>
      <c r="S390" s="650"/>
      <c r="T390" s="650"/>
      <c r="U390" s="650"/>
      <c r="V390" s="650"/>
      <c r="W390" s="650"/>
      <c r="X390" s="650"/>
      <c r="Y390" s="650"/>
      <c r="Z390" s="650"/>
    </row>
    <row r="391" spans="1:26" s="205" customFormat="1">
      <c r="A391" s="650"/>
      <c r="B391" s="650"/>
      <c r="C391" s="650"/>
      <c r="D391" s="650"/>
      <c r="E391" s="650"/>
      <c r="F391" s="650"/>
      <c r="G391" s="650"/>
      <c r="H391" s="650"/>
      <c r="I391" s="650"/>
      <c r="J391" s="650"/>
      <c r="K391" s="650"/>
      <c r="L391" s="650"/>
      <c r="M391" s="650"/>
      <c r="N391" s="650"/>
      <c r="O391" s="650"/>
      <c r="P391" s="650"/>
      <c r="Q391" s="650"/>
      <c r="R391" s="650"/>
      <c r="S391" s="650"/>
      <c r="T391" s="650"/>
      <c r="U391" s="650"/>
      <c r="V391" s="650"/>
      <c r="W391" s="650"/>
      <c r="X391" s="650"/>
      <c r="Y391" s="650"/>
      <c r="Z391" s="650"/>
    </row>
    <row r="392" spans="1:26" s="204" customFormat="1">
      <c r="A392" s="650"/>
      <c r="B392" s="650"/>
      <c r="C392" s="650"/>
      <c r="D392" s="650"/>
      <c r="E392" s="650"/>
      <c r="F392" s="650"/>
      <c r="G392" s="650"/>
      <c r="H392" s="650"/>
      <c r="I392" s="650"/>
      <c r="J392" s="650"/>
      <c r="K392" s="650"/>
      <c r="L392" s="650"/>
      <c r="M392" s="650"/>
      <c r="N392" s="650"/>
      <c r="O392" s="650"/>
      <c r="P392" s="650"/>
      <c r="Q392" s="650"/>
      <c r="R392" s="650"/>
      <c r="S392" s="650"/>
      <c r="T392" s="650"/>
      <c r="U392" s="650"/>
      <c r="V392" s="650"/>
      <c r="W392" s="650"/>
      <c r="X392" s="650"/>
      <c r="Y392" s="650"/>
      <c r="Z392" s="650"/>
    </row>
    <row r="393" spans="1:26" ht="13.5" thickBot="1">
      <c r="A393" s="650"/>
      <c r="B393" s="650"/>
      <c r="C393" s="650"/>
      <c r="D393" s="650"/>
      <c r="E393" s="650"/>
      <c r="F393" s="650"/>
      <c r="G393" s="650"/>
      <c r="H393" s="650"/>
      <c r="I393" s="650"/>
      <c r="J393" s="650"/>
      <c r="K393" s="650"/>
      <c r="L393" s="650"/>
      <c r="M393" s="650"/>
      <c r="N393" s="650"/>
      <c r="O393" s="650"/>
      <c r="P393" s="650"/>
      <c r="Q393" s="650"/>
      <c r="R393" s="650"/>
      <c r="S393" s="650"/>
      <c r="T393" s="650"/>
      <c r="U393" s="650"/>
      <c r="V393" s="650"/>
      <c r="W393" s="650"/>
      <c r="X393" s="650"/>
      <c r="Y393" s="650"/>
      <c r="Z393" s="650"/>
    </row>
    <row r="394" spans="1:26" s="205" customFormat="1">
      <c r="A394" s="650"/>
      <c r="B394" s="650"/>
      <c r="C394" s="650"/>
      <c r="D394" s="650"/>
      <c r="E394" s="650"/>
      <c r="F394" s="650"/>
      <c r="G394" s="650"/>
      <c r="H394" s="650"/>
      <c r="I394" s="650"/>
      <c r="J394" s="650"/>
      <c r="K394" s="650"/>
      <c r="L394" s="650"/>
      <c r="M394" s="650"/>
      <c r="N394" s="650"/>
      <c r="O394" s="650"/>
      <c r="P394" s="650"/>
      <c r="Q394" s="650"/>
      <c r="R394" s="650"/>
      <c r="S394" s="650"/>
      <c r="T394" s="650"/>
      <c r="U394" s="650"/>
      <c r="V394" s="650"/>
      <c r="W394" s="650"/>
      <c r="X394" s="650"/>
      <c r="Y394" s="650"/>
      <c r="Z394" s="650"/>
    </row>
    <row r="395" spans="1:26" s="214" customFormat="1">
      <c r="A395" s="650"/>
      <c r="B395" s="650"/>
      <c r="C395" s="650"/>
      <c r="D395" s="650"/>
      <c r="E395" s="650"/>
      <c r="F395" s="650"/>
      <c r="G395" s="650"/>
      <c r="H395" s="650"/>
      <c r="I395" s="650"/>
      <c r="J395" s="650"/>
      <c r="K395" s="650"/>
      <c r="L395" s="650"/>
      <c r="M395" s="650"/>
      <c r="N395" s="650"/>
      <c r="O395" s="650"/>
      <c r="P395" s="650"/>
      <c r="Q395" s="650"/>
      <c r="R395" s="650"/>
      <c r="S395" s="650"/>
      <c r="T395" s="650"/>
      <c r="U395" s="650"/>
      <c r="V395" s="650"/>
      <c r="W395" s="650"/>
      <c r="X395" s="650"/>
      <c r="Y395" s="650"/>
      <c r="Z395" s="650"/>
    </row>
    <row r="396" spans="1:26" ht="13.5" thickBot="1">
      <c r="A396" s="650"/>
      <c r="B396" s="650"/>
      <c r="C396" s="650"/>
      <c r="D396" s="650"/>
      <c r="E396" s="650"/>
      <c r="F396" s="650"/>
      <c r="G396" s="650"/>
      <c r="H396" s="650"/>
      <c r="I396" s="650"/>
      <c r="J396" s="650"/>
      <c r="K396" s="650"/>
      <c r="L396" s="650"/>
      <c r="M396" s="650"/>
      <c r="N396" s="650"/>
      <c r="O396" s="650"/>
      <c r="P396" s="650"/>
      <c r="Q396" s="650"/>
      <c r="R396" s="650"/>
      <c r="S396" s="650"/>
      <c r="T396" s="650"/>
      <c r="U396" s="650"/>
      <c r="V396" s="650"/>
      <c r="W396" s="650"/>
      <c r="X396" s="650"/>
      <c r="Y396" s="650"/>
      <c r="Z396" s="650"/>
    </row>
    <row r="397" spans="1:26" s="205" customFormat="1">
      <c r="A397" s="650"/>
      <c r="B397" s="650"/>
      <c r="C397" s="650"/>
      <c r="D397" s="650"/>
      <c r="E397" s="650"/>
      <c r="F397" s="650"/>
      <c r="G397" s="650"/>
      <c r="H397" s="650"/>
      <c r="I397" s="650"/>
      <c r="J397" s="650"/>
      <c r="K397" s="650"/>
      <c r="L397" s="650"/>
      <c r="M397" s="650"/>
      <c r="N397" s="650"/>
      <c r="O397" s="650"/>
      <c r="P397" s="650"/>
      <c r="Q397" s="650"/>
      <c r="R397" s="650"/>
      <c r="S397" s="650"/>
      <c r="T397" s="650"/>
      <c r="U397" s="650"/>
      <c r="V397" s="650"/>
      <c r="W397" s="650"/>
      <c r="X397" s="650"/>
      <c r="Y397" s="650"/>
      <c r="Z397" s="650"/>
    </row>
    <row r="398" spans="1:26" s="204" customFormat="1">
      <c r="A398" s="650"/>
      <c r="B398" s="650"/>
      <c r="C398" s="650"/>
      <c r="D398" s="650"/>
      <c r="E398" s="650"/>
      <c r="F398" s="650"/>
      <c r="G398" s="650"/>
      <c r="H398" s="650"/>
      <c r="I398" s="650"/>
      <c r="J398" s="650"/>
      <c r="K398" s="650"/>
      <c r="L398" s="650"/>
      <c r="M398" s="650"/>
      <c r="N398" s="650"/>
      <c r="O398" s="650"/>
      <c r="P398" s="650"/>
      <c r="Q398" s="650"/>
      <c r="R398" s="650"/>
      <c r="S398" s="650"/>
      <c r="T398" s="650"/>
      <c r="U398" s="650"/>
      <c r="V398" s="650"/>
      <c r="W398" s="650"/>
      <c r="X398" s="650"/>
      <c r="Y398" s="650"/>
      <c r="Z398" s="650"/>
    </row>
    <row r="399" spans="1:26" ht="13.5" thickBot="1">
      <c r="A399" s="650"/>
      <c r="B399" s="650"/>
      <c r="C399" s="650"/>
      <c r="D399" s="650"/>
      <c r="E399" s="650"/>
      <c r="F399" s="650"/>
      <c r="G399" s="650"/>
      <c r="H399" s="650"/>
      <c r="I399" s="650"/>
      <c r="J399" s="650"/>
      <c r="K399" s="650"/>
      <c r="L399" s="650"/>
      <c r="M399" s="650"/>
      <c r="N399" s="650"/>
      <c r="O399" s="650"/>
      <c r="P399" s="650"/>
      <c r="Q399" s="650"/>
      <c r="R399" s="650"/>
      <c r="S399" s="650"/>
      <c r="T399" s="650"/>
      <c r="U399" s="650"/>
      <c r="V399" s="650"/>
      <c r="W399" s="650"/>
      <c r="X399" s="650"/>
      <c r="Y399" s="650"/>
      <c r="Z399" s="650"/>
    </row>
    <row r="400" spans="1:26" s="205" customFormat="1">
      <c r="A400" s="650"/>
      <c r="B400" s="650"/>
      <c r="C400" s="650"/>
      <c r="D400" s="650"/>
      <c r="E400" s="650"/>
      <c r="F400" s="650"/>
      <c r="G400" s="650"/>
      <c r="H400" s="650"/>
      <c r="I400" s="650"/>
      <c r="J400" s="650"/>
      <c r="K400" s="650"/>
      <c r="L400" s="650"/>
      <c r="M400" s="650"/>
      <c r="N400" s="650"/>
      <c r="O400" s="650"/>
      <c r="P400" s="650"/>
      <c r="Q400" s="650"/>
      <c r="R400" s="650"/>
      <c r="S400" s="650"/>
      <c r="T400" s="650"/>
      <c r="U400" s="650"/>
      <c r="V400" s="650"/>
      <c r="W400" s="650"/>
      <c r="X400" s="650"/>
      <c r="Y400" s="650"/>
      <c r="Z400" s="650"/>
    </row>
    <row r="401" spans="1:26" s="204" customFormat="1">
      <c r="A401" s="650"/>
      <c r="B401" s="650"/>
      <c r="C401" s="650"/>
      <c r="D401" s="650"/>
      <c r="E401" s="650"/>
      <c r="F401" s="650"/>
      <c r="G401" s="650"/>
      <c r="H401" s="650"/>
      <c r="I401" s="650"/>
      <c r="J401" s="650"/>
      <c r="K401" s="650"/>
      <c r="L401" s="650"/>
      <c r="M401" s="650"/>
      <c r="N401" s="650"/>
      <c r="O401" s="650"/>
      <c r="P401" s="650"/>
      <c r="Q401" s="650"/>
      <c r="R401" s="650"/>
      <c r="S401" s="650"/>
      <c r="T401" s="650"/>
      <c r="U401" s="650"/>
      <c r="V401" s="650"/>
      <c r="W401" s="650"/>
      <c r="X401" s="650"/>
      <c r="Y401" s="650"/>
      <c r="Z401" s="650"/>
    </row>
    <row r="402" spans="1:26" ht="13.5" thickBot="1">
      <c r="A402" s="650"/>
      <c r="B402" s="650"/>
      <c r="C402" s="650"/>
      <c r="D402" s="650"/>
      <c r="E402" s="650"/>
      <c r="F402" s="650"/>
      <c r="G402" s="650"/>
      <c r="H402" s="650"/>
      <c r="I402" s="650"/>
      <c r="J402" s="650"/>
      <c r="K402" s="650"/>
      <c r="L402" s="650"/>
      <c r="M402" s="650"/>
      <c r="N402" s="650"/>
      <c r="O402" s="650"/>
      <c r="P402" s="650"/>
      <c r="Q402" s="650"/>
      <c r="R402" s="650"/>
      <c r="S402" s="650"/>
      <c r="T402" s="650"/>
      <c r="U402" s="650"/>
      <c r="V402" s="650"/>
      <c r="W402" s="650"/>
      <c r="X402" s="650"/>
      <c r="Y402" s="650"/>
      <c r="Z402" s="650"/>
    </row>
    <row r="403" spans="1:26" s="205" customFormat="1">
      <c r="A403" s="650"/>
      <c r="B403" s="650"/>
      <c r="C403" s="650"/>
      <c r="D403" s="650"/>
      <c r="E403" s="650"/>
      <c r="F403" s="650"/>
      <c r="G403" s="650"/>
      <c r="H403" s="650"/>
      <c r="I403" s="650"/>
      <c r="J403" s="650"/>
      <c r="K403" s="650"/>
      <c r="L403" s="650"/>
      <c r="M403" s="650"/>
      <c r="N403" s="650"/>
      <c r="O403" s="650"/>
      <c r="P403" s="650"/>
      <c r="Q403" s="650"/>
      <c r="R403" s="650"/>
      <c r="S403" s="650"/>
      <c r="T403" s="650"/>
      <c r="U403" s="650"/>
      <c r="V403" s="650"/>
      <c r="W403" s="650"/>
      <c r="X403" s="650"/>
      <c r="Y403" s="650"/>
      <c r="Z403" s="650"/>
    </row>
    <row r="404" spans="1:26" s="204" customFormat="1">
      <c r="A404" s="650"/>
      <c r="B404" s="650"/>
      <c r="C404" s="650"/>
      <c r="D404" s="650"/>
      <c r="E404" s="650"/>
      <c r="F404" s="650"/>
      <c r="G404" s="650"/>
      <c r="H404" s="650"/>
      <c r="I404" s="650"/>
      <c r="J404" s="650"/>
      <c r="K404" s="650"/>
      <c r="L404" s="650"/>
      <c r="M404" s="650"/>
      <c r="N404" s="650"/>
      <c r="O404" s="650"/>
      <c r="P404" s="650"/>
      <c r="Q404" s="650"/>
      <c r="R404" s="650"/>
      <c r="S404" s="650"/>
      <c r="T404" s="650"/>
      <c r="U404" s="650"/>
      <c r="V404" s="650"/>
      <c r="W404" s="650"/>
      <c r="X404" s="650"/>
      <c r="Y404" s="650"/>
      <c r="Z404" s="650"/>
    </row>
    <row r="405" spans="1:26" ht="13.5" thickBot="1">
      <c r="A405" s="650"/>
      <c r="B405" s="650"/>
      <c r="C405" s="650"/>
      <c r="D405" s="650"/>
      <c r="E405" s="650"/>
      <c r="F405" s="650"/>
      <c r="G405" s="650"/>
      <c r="H405" s="650"/>
      <c r="I405" s="650"/>
      <c r="J405" s="650"/>
      <c r="K405" s="650"/>
      <c r="L405" s="650"/>
      <c r="M405" s="650"/>
      <c r="N405" s="650"/>
      <c r="O405" s="650"/>
      <c r="P405" s="650"/>
      <c r="Q405" s="650"/>
      <c r="R405" s="650"/>
      <c r="S405" s="650"/>
      <c r="T405" s="650"/>
      <c r="U405" s="650"/>
      <c r="V405" s="650"/>
      <c r="W405" s="650"/>
      <c r="X405" s="650"/>
      <c r="Y405" s="650"/>
      <c r="Z405" s="650"/>
    </row>
    <row r="406" spans="1:26" s="205" customFormat="1">
      <c r="A406" s="650"/>
      <c r="B406" s="650"/>
      <c r="C406" s="650"/>
      <c r="D406" s="650"/>
      <c r="E406" s="650"/>
      <c r="F406" s="650"/>
      <c r="G406" s="650"/>
      <c r="H406" s="650"/>
      <c r="I406" s="650"/>
      <c r="J406" s="650"/>
      <c r="K406" s="650"/>
      <c r="L406" s="650"/>
      <c r="M406" s="650"/>
      <c r="N406" s="650"/>
      <c r="O406" s="650"/>
      <c r="P406" s="650"/>
      <c r="Q406" s="650"/>
      <c r="R406" s="650"/>
      <c r="S406" s="650"/>
      <c r="T406" s="650"/>
      <c r="U406" s="650"/>
      <c r="V406" s="650"/>
      <c r="W406" s="650"/>
      <c r="X406" s="650"/>
      <c r="Y406" s="650"/>
      <c r="Z406" s="650"/>
    </row>
    <row r="407" spans="1:26" s="204" customFormat="1" ht="13.5" thickBot="1">
      <c r="A407" s="650"/>
      <c r="B407" s="650"/>
      <c r="C407" s="650"/>
      <c r="D407" s="650"/>
      <c r="E407" s="650"/>
      <c r="F407" s="650"/>
      <c r="G407" s="650"/>
      <c r="H407" s="650"/>
      <c r="I407" s="650"/>
      <c r="J407" s="650"/>
      <c r="K407" s="650"/>
      <c r="L407" s="650"/>
      <c r="M407" s="650"/>
      <c r="N407" s="650"/>
      <c r="O407" s="650"/>
      <c r="P407" s="650"/>
      <c r="Q407" s="650"/>
      <c r="R407" s="650"/>
      <c r="S407" s="650"/>
      <c r="T407" s="650"/>
      <c r="U407" s="650"/>
      <c r="V407" s="650"/>
      <c r="W407" s="650"/>
      <c r="X407" s="650"/>
      <c r="Y407" s="650"/>
      <c r="Z407" s="650"/>
    </row>
    <row r="408" spans="1:26">
      <c r="A408" s="650"/>
      <c r="B408" s="650"/>
      <c r="C408" s="650"/>
      <c r="D408" s="650"/>
      <c r="E408" s="650"/>
      <c r="F408" s="650"/>
      <c r="G408" s="650"/>
      <c r="H408" s="650"/>
      <c r="I408" s="650"/>
      <c r="J408" s="650"/>
      <c r="K408" s="650"/>
      <c r="L408" s="650"/>
      <c r="M408" s="650"/>
      <c r="N408" s="650"/>
      <c r="O408" s="650"/>
      <c r="P408" s="650"/>
      <c r="Q408" s="650"/>
      <c r="R408" s="650"/>
      <c r="S408" s="650"/>
      <c r="T408" s="650"/>
      <c r="U408" s="650"/>
      <c r="V408" s="650"/>
      <c r="W408" s="650"/>
      <c r="X408" s="650"/>
      <c r="Y408" s="650"/>
      <c r="Z408" s="650"/>
    </row>
    <row r="409" spans="1:26" s="205" customFormat="1">
      <c r="A409" s="650"/>
      <c r="B409" s="650"/>
      <c r="C409" s="650"/>
      <c r="D409" s="650"/>
      <c r="E409" s="650"/>
      <c r="F409" s="650"/>
      <c r="G409" s="650"/>
      <c r="H409" s="650"/>
      <c r="I409" s="650"/>
      <c r="J409" s="650"/>
      <c r="K409" s="650"/>
      <c r="L409" s="650"/>
      <c r="M409" s="650"/>
      <c r="N409" s="650"/>
      <c r="O409" s="650"/>
      <c r="P409" s="650"/>
      <c r="Q409" s="650"/>
      <c r="R409" s="650"/>
      <c r="S409" s="650"/>
      <c r="T409" s="650"/>
      <c r="U409" s="650"/>
      <c r="V409" s="650"/>
      <c r="W409" s="650"/>
      <c r="X409" s="650"/>
      <c r="Y409" s="650"/>
      <c r="Z409" s="650"/>
    </row>
    <row r="410" spans="1:26" s="204" customFormat="1" ht="13.5" thickBot="1">
      <c r="A410" s="650"/>
      <c r="B410" s="650"/>
      <c r="C410" s="650"/>
      <c r="D410" s="650"/>
      <c r="E410" s="650"/>
      <c r="F410" s="650"/>
      <c r="G410" s="650"/>
      <c r="H410" s="650"/>
      <c r="I410" s="650"/>
      <c r="J410" s="650"/>
      <c r="K410" s="650"/>
      <c r="L410" s="650"/>
      <c r="M410" s="650"/>
      <c r="N410" s="650"/>
      <c r="O410" s="650"/>
      <c r="P410" s="650"/>
      <c r="Q410" s="650"/>
      <c r="R410" s="650"/>
      <c r="S410" s="650"/>
      <c r="T410" s="650"/>
      <c r="U410" s="650"/>
      <c r="V410" s="650"/>
      <c r="W410" s="650"/>
      <c r="X410" s="650"/>
      <c r="Y410" s="650"/>
      <c r="Z410" s="650"/>
    </row>
    <row r="411" spans="1:26">
      <c r="A411" s="650"/>
      <c r="B411" s="650"/>
      <c r="C411" s="650"/>
      <c r="D411" s="650"/>
      <c r="E411" s="650"/>
      <c r="F411" s="650"/>
      <c r="G411" s="650"/>
      <c r="H411" s="650"/>
      <c r="I411" s="650"/>
      <c r="J411" s="650"/>
      <c r="K411" s="650"/>
      <c r="L411" s="650"/>
      <c r="M411" s="650"/>
      <c r="N411" s="650"/>
      <c r="O411" s="650"/>
      <c r="P411" s="650"/>
      <c r="Q411" s="650"/>
      <c r="R411" s="650"/>
      <c r="S411" s="650"/>
      <c r="T411" s="650"/>
      <c r="U411" s="650"/>
      <c r="V411" s="650"/>
      <c r="W411" s="650"/>
      <c r="X411" s="650"/>
      <c r="Y411" s="650"/>
      <c r="Z411" s="650"/>
    </row>
    <row r="412" spans="1:26" s="205" customFormat="1">
      <c r="A412" s="650"/>
      <c r="B412" s="650"/>
      <c r="C412" s="650"/>
      <c r="D412" s="650"/>
      <c r="E412" s="650"/>
      <c r="F412" s="650"/>
      <c r="G412" s="650"/>
      <c r="H412" s="650"/>
      <c r="I412" s="650"/>
      <c r="J412" s="650"/>
      <c r="K412" s="650"/>
      <c r="L412" s="650"/>
      <c r="M412" s="650"/>
      <c r="N412" s="650"/>
      <c r="O412" s="650"/>
      <c r="P412" s="650"/>
      <c r="Q412" s="650"/>
      <c r="R412" s="650"/>
      <c r="S412" s="650"/>
      <c r="T412" s="650"/>
      <c r="U412" s="650"/>
      <c r="V412" s="650"/>
      <c r="W412" s="650"/>
      <c r="X412" s="650"/>
      <c r="Y412" s="650"/>
      <c r="Z412" s="650"/>
    </row>
    <row r="413" spans="1:26" s="204" customFormat="1" ht="13.5" thickBot="1">
      <c r="A413" s="650"/>
      <c r="B413" s="650"/>
      <c r="C413" s="650"/>
      <c r="D413" s="650"/>
      <c r="E413" s="650"/>
      <c r="F413" s="650"/>
      <c r="G413" s="650"/>
      <c r="H413" s="650"/>
      <c r="I413" s="650"/>
      <c r="J413" s="650"/>
      <c r="K413" s="650"/>
      <c r="L413" s="650"/>
      <c r="M413" s="650"/>
      <c r="N413" s="650"/>
      <c r="O413" s="650"/>
      <c r="P413" s="650"/>
      <c r="Q413" s="650"/>
      <c r="R413" s="650"/>
      <c r="S413" s="650"/>
      <c r="T413" s="650"/>
      <c r="U413" s="650"/>
      <c r="V413" s="650"/>
      <c r="W413" s="650"/>
      <c r="X413" s="650"/>
      <c r="Y413" s="650"/>
      <c r="Z413" s="650"/>
    </row>
    <row r="414" spans="1:26">
      <c r="A414" s="650"/>
      <c r="B414" s="650"/>
      <c r="C414" s="650"/>
      <c r="D414" s="650"/>
      <c r="E414" s="650"/>
      <c r="F414" s="650"/>
      <c r="G414" s="650"/>
      <c r="H414" s="650"/>
      <c r="I414" s="650"/>
      <c r="J414" s="650"/>
      <c r="K414" s="650"/>
      <c r="L414" s="650"/>
      <c r="M414" s="650"/>
      <c r="N414" s="650"/>
      <c r="O414" s="650"/>
      <c r="P414" s="650"/>
      <c r="Q414" s="650"/>
      <c r="R414" s="650"/>
      <c r="S414" s="650"/>
      <c r="T414" s="650"/>
      <c r="U414" s="650"/>
      <c r="V414" s="650"/>
      <c r="W414" s="650"/>
      <c r="X414" s="650"/>
      <c r="Y414" s="650"/>
      <c r="Z414" s="650"/>
    </row>
    <row r="415" spans="1:26" s="205" customFormat="1">
      <c r="A415" s="650"/>
      <c r="B415" s="650"/>
      <c r="C415" s="650"/>
      <c r="D415" s="650"/>
      <c r="E415" s="650"/>
      <c r="F415" s="650"/>
      <c r="G415" s="650"/>
      <c r="H415" s="650"/>
      <c r="I415" s="650"/>
      <c r="J415" s="650"/>
      <c r="K415" s="650"/>
      <c r="L415" s="650"/>
      <c r="M415" s="650"/>
      <c r="N415" s="650"/>
      <c r="O415" s="650"/>
      <c r="P415" s="650"/>
      <c r="Q415" s="650"/>
      <c r="R415" s="650"/>
      <c r="S415" s="650"/>
      <c r="T415" s="650"/>
      <c r="U415" s="650"/>
      <c r="V415" s="650"/>
      <c r="W415" s="650"/>
      <c r="X415" s="650"/>
      <c r="Y415" s="650"/>
      <c r="Z415" s="650"/>
    </row>
    <row r="416" spans="1:26" s="204" customFormat="1" ht="13.5" thickBot="1">
      <c r="A416" s="650"/>
      <c r="B416" s="650"/>
      <c r="C416" s="650"/>
      <c r="D416" s="650"/>
      <c r="E416" s="650"/>
      <c r="F416" s="650"/>
      <c r="G416" s="650"/>
      <c r="H416" s="650"/>
      <c r="I416" s="650"/>
      <c r="J416" s="650"/>
      <c r="K416" s="650"/>
      <c r="L416" s="650"/>
      <c r="M416" s="650"/>
      <c r="N416" s="650"/>
      <c r="O416" s="650"/>
      <c r="P416" s="650"/>
      <c r="Q416" s="650"/>
      <c r="R416" s="650"/>
      <c r="S416" s="650"/>
      <c r="T416" s="650"/>
      <c r="U416" s="650"/>
      <c r="V416" s="650"/>
      <c r="W416" s="650"/>
      <c r="X416" s="650"/>
      <c r="Y416" s="650"/>
      <c r="Z416" s="650"/>
    </row>
    <row r="417" spans="1:26">
      <c r="A417" s="650"/>
      <c r="B417" s="650"/>
      <c r="C417" s="650"/>
      <c r="D417" s="650"/>
      <c r="E417" s="650"/>
      <c r="F417" s="650"/>
      <c r="G417" s="650"/>
      <c r="H417" s="650"/>
      <c r="I417" s="650"/>
      <c r="J417" s="650"/>
      <c r="K417" s="650"/>
      <c r="L417" s="650"/>
      <c r="M417" s="650"/>
      <c r="N417" s="650"/>
      <c r="O417" s="650"/>
      <c r="P417" s="650"/>
      <c r="Q417" s="650"/>
      <c r="R417" s="650"/>
      <c r="S417" s="650"/>
      <c r="T417" s="650"/>
      <c r="U417" s="650"/>
      <c r="V417" s="650"/>
      <c r="W417" s="650"/>
      <c r="X417" s="650"/>
      <c r="Y417" s="650"/>
      <c r="Z417" s="650"/>
    </row>
    <row r="418" spans="1:26" s="205" customFormat="1" ht="13.5" thickBot="1">
      <c r="A418" s="650"/>
      <c r="B418" s="650"/>
      <c r="C418" s="650"/>
      <c r="D418" s="650"/>
      <c r="E418" s="650"/>
      <c r="F418" s="650"/>
      <c r="G418" s="650"/>
      <c r="H418" s="650"/>
      <c r="I418" s="650"/>
      <c r="J418" s="650"/>
      <c r="K418" s="650"/>
      <c r="L418" s="650"/>
      <c r="M418" s="650"/>
      <c r="N418" s="650"/>
      <c r="O418" s="650"/>
      <c r="P418" s="650"/>
      <c r="Q418" s="650"/>
      <c r="R418" s="650"/>
      <c r="S418" s="650"/>
      <c r="T418" s="650"/>
      <c r="U418" s="650"/>
      <c r="V418" s="650"/>
      <c r="W418" s="650"/>
      <c r="X418" s="650"/>
      <c r="Y418" s="650"/>
      <c r="Z418" s="650"/>
    </row>
    <row r="419" spans="1:26" s="204" customFormat="1">
      <c r="A419" s="650"/>
      <c r="B419" s="650"/>
      <c r="C419" s="650"/>
      <c r="D419" s="650"/>
      <c r="E419" s="650"/>
      <c r="F419" s="650"/>
      <c r="G419" s="650"/>
      <c r="H419" s="650"/>
      <c r="I419" s="650"/>
      <c r="J419" s="650"/>
      <c r="K419" s="650"/>
      <c r="L419" s="650"/>
      <c r="M419" s="650"/>
      <c r="N419" s="650"/>
      <c r="O419" s="650"/>
      <c r="P419" s="650"/>
      <c r="Q419" s="650"/>
      <c r="R419" s="650"/>
      <c r="S419" s="650"/>
      <c r="T419" s="650"/>
      <c r="U419" s="650"/>
      <c r="V419" s="650"/>
      <c r="W419" s="650"/>
      <c r="X419" s="650"/>
      <c r="Y419" s="650"/>
      <c r="Z419" s="650"/>
    </row>
    <row r="420" spans="1:26">
      <c r="A420" s="650"/>
      <c r="B420" s="650"/>
      <c r="C420" s="650"/>
      <c r="D420" s="650"/>
      <c r="E420" s="650"/>
      <c r="F420" s="650"/>
      <c r="G420" s="650"/>
      <c r="H420" s="650"/>
      <c r="I420" s="650"/>
      <c r="J420" s="650"/>
      <c r="K420" s="650"/>
      <c r="L420" s="650"/>
      <c r="M420" s="650"/>
      <c r="N420" s="650"/>
      <c r="O420" s="650"/>
      <c r="P420" s="650"/>
      <c r="Q420" s="650"/>
      <c r="R420" s="650"/>
      <c r="S420" s="650"/>
      <c r="T420" s="650"/>
      <c r="U420" s="650"/>
      <c r="V420" s="650"/>
      <c r="W420" s="650"/>
      <c r="X420" s="650"/>
      <c r="Y420" s="650"/>
      <c r="Z420" s="650"/>
    </row>
    <row r="421" spans="1:26" s="205" customFormat="1" ht="13.5" thickBot="1">
      <c r="A421" s="650"/>
      <c r="B421" s="650"/>
      <c r="C421" s="650"/>
      <c r="D421" s="650"/>
      <c r="E421" s="650"/>
      <c r="F421" s="650"/>
      <c r="G421" s="650"/>
      <c r="H421" s="650"/>
      <c r="I421" s="650"/>
      <c r="J421" s="650"/>
      <c r="K421" s="650"/>
      <c r="L421" s="650"/>
      <c r="M421" s="650"/>
      <c r="N421" s="650"/>
      <c r="O421" s="650"/>
      <c r="P421" s="650"/>
      <c r="Q421" s="650"/>
      <c r="R421" s="650"/>
      <c r="S421" s="650"/>
      <c r="T421" s="650"/>
      <c r="U421" s="650"/>
      <c r="V421" s="650"/>
      <c r="W421" s="650"/>
      <c r="X421" s="650"/>
      <c r="Y421" s="650"/>
      <c r="Z421" s="650"/>
    </row>
    <row r="422" spans="1:26" s="204" customFormat="1">
      <c r="A422" s="650"/>
      <c r="B422" s="650"/>
      <c r="C422" s="650"/>
      <c r="D422" s="650"/>
      <c r="E422" s="650"/>
      <c r="F422" s="650"/>
      <c r="G422" s="650"/>
      <c r="H422" s="650"/>
      <c r="I422" s="650"/>
      <c r="J422" s="650"/>
      <c r="K422" s="650"/>
      <c r="L422" s="650"/>
      <c r="M422" s="650"/>
      <c r="N422" s="650"/>
      <c r="O422" s="650"/>
      <c r="P422" s="650"/>
      <c r="Q422" s="650"/>
      <c r="R422" s="650"/>
      <c r="S422" s="650"/>
      <c r="T422" s="650"/>
      <c r="U422" s="650"/>
      <c r="V422" s="650"/>
      <c r="W422" s="650"/>
      <c r="X422" s="650"/>
      <c r="Y422" s="650"/>
      <c r="Z422" s="650"/>
    </row>
    <row r="423" spans="1:26">
      <c r="A423" s="650"/>
      <c r="B423" s="650"/>
      <c r="C423" s="650"/>
      <c r="D423" s="650"/>
      <c r="E423" s="650"/>
      <c r="F423" s="650"/>
      <c r="G423" s="650"/>
      <c r="H423" s="650"/>
      <c r="I423" s="650"/>
      <c r="J423" s="650"/>
      <c r="K423" s="650"/>
      <c r="L423" s="650"/>
      <c r="M423" s="650"/>
      <c r="N423" s="650"/>
      <c r="O423" s="650"/>
      <c r="P423" s="650"/>
      <c r="Q423" s="650"/>
      <c r="R423" s="650"/>
      <c r="S423" s="650"/>
      <c r="T423" s="650"/>
      <c r="U423" s="650"/>
      <c r="V423" s="650"/>
      <c r="W423" s="650"/>
      <c r="X423" s="650"/>
      <c r="Y423" s="650"/>
      <c r="Z423" s="650"/>
    </row>
    <row r="424" spans="1:26" s="205" customFormat="1" ht="13.5" thickBot="1">
      <c r="A424" s="650"/>
      <c r="B424" s="650"/>
      <c r="C424" s="650"/>
      <c r="D424" s="650"/>
      <c r="E424" s="650"/>
      <c r="F424" s="650"/>
      <c r="G424" s="650"/>
      <c r="H424" s="650"/>
      <c r="I424" s="650"/>
      <c r="J424" s="650"/>
      <c r="K424" s="650"/>
      <c r="L424" s="650"/>
      <c r="M424" s="650"/>
      <c r="N424" s="650"/>
      <c r="O424" s="650"/>
      <c r="P424" s="650"/>
      <c r="Q424" s="650"/>
      <c r="R424" s="650"/>
      <c r="S424" s="650"/>
      <c r="T424" s="650"/>
      <c r="U424" s="650"/>
      <c r="V424" s="650"/>
      <c r="W424" s="650"/>
      <c r="X424" s="650"/>
      <c r="Y424" s="650"/>
      <c r="Z424" s="650"/>
    </row>
    <row r="425" spans="1:26" s="204" customFormat="1">
      <c r="A425" s="650"/>
      <c r="B425" s="650"/>
      <c r="C425" s="650"/>
      <c r="D425" s="650"/>
      <c r="E425" s="650"/>
      <c r="F425" s="650"/>
      <c r="G425" s="650"/>
      <c r="H425" s="650"/>
      <c r="I425" s="650"/>
      <c r="J425" s="650"/>
      <c r="K425" s="650"/>
      <c r="L425" s="650"/>
      <c r="M425" s="650"/>
      <c r="N425" s="650"/>
      <c r="O425" s="650"/>
      <c r="P425" s="650"/>
      <c r="Q425" s="650"/>
      <c r="R425" s="650"/>
      <c r="S425" s="650"/>
      <c r="T425" s="650"/>
      <c r="U425" s="650"/>
      <c r="V425" s="650"/>
      <c r="W425" s="650"/>
      <c r="X425" s="650"/>
      <c r="Y425" s="650"/>
      <c r="Z425" s="650"/>
    </row>
    <row r="426" spans="1:26">
      <c r="A426" s="650"/>
      <c r="B426" s="650"/>
      <c r="C426" s="650"/>
      <c r="D426" s="650"/>
      <c r="E426" s="650"/>
      <c r="F426" s="650"/>
      <c r="G426" s="650"/>
      <c r="H426" s="650"/>
      <c r="I426" s="650"/>
      <c r="J426" s="650"/>
      <c r="K426" s="650"/>
      <c r="L426" s="650"/>
      <c r="M426" s="650"/>
      <c r="N426" s="650"/>
      <c r="O426" s="650"/>
      <c r="P426" s="650"/>
      <c r="Q426" s="650"/>
      <c r="R426" s="650"/>
      <c r="S426" s="650"/>
      <c r="T426" s="650"/>
      <c r="U426" s="650"/>
      <c r="V426" s="650"/>
      <c r="W426" s="650"/>
      <c r="X426" s="650"/>
      <c r="Y426" s="650"/>
      <c r="Z426" s="650"/>
    </row>
    <row r="427" spans="1:26" s="205" customFormat="1" ht="13.5" thickBot="1">
      <c r="A427" s="650"/>
      <c r="B427" s="650"/>
      <c r="C427" s="650"/>
      <c r="D427" s="650"/>
      <c r="E427" s="650"/>
      <c r="F427" s="650"/>
      <c r="G427" s="650"/>
      <c r="H427" s="650"/>
      <c r="I427" s="650"/>
      <c r="J427" s="650"/>
      <c r="K427" s="650"/>
      <c r="L427" s="650"/>
      <c r="M427" s="650"/>
      <c r="N427" s="650"/>
      <c r="O427" s="650"/>
      <c r="P427" s="650"/>
      <c r="Q427" s="650"/>
      <c r="R427" s="650"/>
      <c r="S427" s="650"/>
      <c r="T427" s="650"/>
      <c r="U427" s="650"/>
      <c r="V427" s="650"/>
      <c r="W427" s="650"/>
      <c r="X427" s="650"/>
      <c r="Y427" s="650"/>
      <c r="Z427" s="650"/>
    </row>
    <row r="428" spans="1:26" s="204" customFormat="1">
      <c r="A428" s="650"/>
      <c r="B428" s="650"/>
      <c r="C428" s="650"/>
      <c r="D428" s="650"/>
      <c r="E428" s="650"/>
      <c r="F428" s="650"/>
      <c r="G428" s="650"/>
      <c r="H428" s="650"/>
      <c r="I428" s="650"/>
      <c r="J428" s="650"/>
      <c r="K428" s="650"/>
      <c r="L428" s="650"/>
      <c r="M428" s="650"/>
      <c r="N428" s="650"/>
      <c r="O428" s="650"/>
      <c r="P428" s="650"/>
      <c r="Q428" s="650"/>
      <c r="R428" s="650"/>
      <c r="S428" s="650"/>
      <c r="T428" s="650"/>
      <c r="U428" s="650"/>
      <c r="V428" s="650"/>
      <c r="W428" s="650"/>
      <c r="X428" s="650"/>
      <c r="Y428" s="650"/>
      <c r="Z428" s="650"/>
    </row>
    <row r="429" spans="1:26" ht="13.5" thickBot="1">
      <c r="A429" s="650"/>
      <c r="B429" s="650"/>
      <c r="C429" s="650"/>
      <c r="D429" s="650"/>
      <c r="E429" s="650"/>
      <c r="F429" s="650"/>
      <c r="G429" s="650"/>
      <c r="H429" s="650"/>
      <c r="I429" s="650"/>
      <c r="J429" s="650"/>
      <c r="K429" s="650"/>
      <c r="L429" s="650"/>
      <c r="M429" s="650"/>
      <c r="N429" s="650"/>
      <c r="O429" s="650"/>
      <c r="P429" s="650"/>
      <c r="Q429" s="650"/>
      <c r="R429" s="650"/>
      <c r="S429" s="650"/>
      <c r="T429" s="650"/>
      <c r="U429" s="650"/>
      <c r="V429" s="650"/>
      <c r="W429" s="650"/>
      <c r="X429" s="650"/>
      <c r="Y429" s="650"/>
      <c r="Z429" s="650"/>
    </row>
    <row r="430" spans="1:26" s="205" customFormat="1">
      <c r="A430" s="650"/>
      <c r="B430" s="650"/>
      <c r="C430" s="650"/>
      <c r="D430" s="650"/>
      <c r="E430" s="650"/>
      <c r="F430" s="650"/>
      <c r="G430" s="650"/>
      <c r="H430" s="650"/>
      <c r="I430" s="650"/>
      <c r="J430" s="650"/>
      <c r="K430" s="650"/>
      <c r="L430" s="650"/>
      <c r="M430" s="650"/>
      <c r="N430" s="650"/>
      <c r="O430" s="650"/>
      <c r="P430" s="650"/>
      <c r="Q430" s="650"/>
      <c r="R430" s="650"/>
      <c r="S430" s="650"/>
      <c r="T430" s="650"/>
      <c r="U430" s="650"/>
      <c r="V430" s="650"/>
      <c r="W430" s="650"/>
      <c r="X430" s="650"/>
      <c r="Y430" s="650"/>
      <c r="Z430" s="650"/>
    </row>
    <row r="431" spans="1:26" s="204" customFormat="1">
      <c r="A431" s="650"/>
      <c r="B431" s="650"/>
      <c r="C431" s="650"/>
      <c r="D431" s="650"/>
      <c r="E431" s="650"/>
      <c r="F431" s="650"/>
      <c r="G431" s="650"/>
      <c r="H431" s="650"/>
      <c r="I431" s="650"/>
      <c r="J431" s="650"/>
      <c r="K431" s="650"/>
      <c r="L431" s="650"/>
      <c r="M431" s="650"/>
      <c r="N431" s="650"/>
      <c r="O431" s="650"/>
      <c r="P431" s="650"/>
      <c r="Q431" s="650"/>
      <c r="R431" s="650"/>
      <c r="S431" s="650"/>
      <c r="T431" s="650"/>
      <c r="U431" s="650"/>
      <c r="V431" s="650"/>
      <c r="W431" s="650"/>
      <c r="X431" s="650"/>
      <c r="Y431" s="650"/>
      <c r="Z431" s="650"/>
    </row>
    <row r="432" spans="1:26" ht="13.5" thickBot="1">
      <c r="A432" s="650"/>
      <c r="B432" s="650"/>
      <c r="C432" s="650"/>
      <c r="D432" s="650"/>
      <c r="E432" s="650"/>
      <c r="F432" s="650"/>
      <c r="G432" s="650"/>
      <c r="H432" s="650"/>
      <c r="I432" s="650"/>
      <c r="J432" s="650"/>
      <c r="K432" s="650"/>
      <c r="L432" s="650"/>
      <c r="M432" s="650"/>
      <c r="N432" s="650"/>
      <c r="O432" s="650"/>
      <c r="P432" s="650"/>
      <c r="Q432" s="650"/>
      <c r="R432" s="650"/>
      <c r="S432" s="650"/>
      <c r="T432" s="650"/>
      <c r="U432" s="650"/>
      <c r="V432" s="650"/>
      <c r="W432" s="650"/>
      <c r="X432" s="650"/>
      <c r="Y432" s="650"/>
      <c r="Z432" s="650"/>
    </row>
    <row r="433" spans="1:26" s="205" customFormat="1">
      <c r="A433" s="650"/>
      <c r="B433" s="650"/>
      <c r="C433" s="650"/>
      <c r="D433" s="650"/>
      <c r="E433" s="650"/>
      <c r="F433" s="650"/>
      <c r="G433" s="650"/>
      <c r="H433" s="650"/>
      <c r="I433" s="650"/>
      <c r="J433" s="650"/>
      <c r="K433" s="650"/>
      <c r="L433" s="650"/>
      <c r="M433" s="650"/>
      <c r="N433" s="650"/>
      <c r="O433" s="650"/>
      <c r="P433" s="650"/>
      <c r="Q433" s="650"/>
      <c r="R433" s="650"/>
      <c r="S433" s="650"/>
      <c r="T433" s="650"/>
      <c r="U433" s="650"/>
      <c r="V433" s="650"/>
      <c r="W433" s="650"/>
      <c r="X433" s="650"/>
      <c r="Y433" s="650"/>
      <c r="Z433" s="650"/>
    </row>
    <row r="434" spans="1:26" s="214" customFormat="1" ht="13.5" thickBot="1">
      <c r="A434" s="650"/>
      <c r="B434" s="650"/>
      <c r="C434" s="650"/>
      <c r="D434" s="650"/>
      <c r="E434" s="650"/>
      <c r="F434" s="650"/>
      <c r="G434" s="650"/>
      <c r="H434" s="650"/>
      <c r="I434" s="650"/>
      <c r="J434" s="650"/>
      <c r="K434" s="650"/>
      <c r="L434" s="650"/>
      <c r="M434" s="650"/>
      <c r="N434" s="650"/>
      <c r="O434" s="650"/>
      <c r="P434" s="650"/>
      <c r="Q434" s="650"/>
      <c r="R434" s="650"/>
      <c r="S434" s="650"/>
      <c r="T434" s="650"/>
      <c r="U434" s="650"/>
      <c r="V434" s="650"/>
      <c r="W434" s="650"/>
      <c r="X434" s="650"/>
      <c r="Y434" s="650"/>
      <c r="Z434" s="650"/>
    </row>
    <row r="435" spans="1:26">
      <c r="A435" s="650"/>
      <c r="B435" s="650"/>
      <c r="C435" s="650"/>
      <c r="D435" s="650"/>
      <c r="E435" s="650"/>
      <c r="F435" s="650"/>
      <c r="G435" s="650"/>
      <c r="H435" s="650"/>
      <c r="I435" s="650"/>
      <c r="J435" s="650"/>
      <c r="K435" s="650"/>
      <c r="L435" s="650"/>
      <c r="M435" s="650"/>
      <c r="N435" s="650"/>
      <c r="O435" s="650"/>
      <c r="P435" s="650"/>
      <c r="Q435" s="650"/>
      <c r="R435" s="650"/>
      <c r="S435" s="650"/>
      <c r="T435" s="650"/>
      <c r="U435" s="650"/>
      <c r="V435" s="650"/>
      <c r="W435" s="650"/>
      <c r="X435" s="650"/>
      <c r="Y435" s="650"/>
      <c r="Z435" s="650"/>
    </row>
    <row r="436" spans="1:26" s="205" customFormat="1">
      <c r="A436" s="650"/>
      <c r="B436" s="650"/>
      <c r="C436" s="650"/>
      <c r="D436" s="650"/>
      <c r="E436" s="650"/>
      <c r="F436" s="650"/>
      <c r="G436" s="650"/>
      <c r="H436" s="650"/>
      <c r="I436" s="650"/>
      <c r="J436" s="650"/>
      <c r="K436" s="650"/>
      <c r="L436" s="650"/>
      <c r="M436" s="650"/>
      <c r="N436" s="650"/>
      <c r="O436" s="650"/>
      <c r="P436" s="650"/>
      <c r="Q436" s="650"/>
      <c r="R436" s="650"/>
      <c r="S436" s="650"/>
      <c r="T436" s="650"/>
      <c r="U436" s="650"/>
      <c r="V436" s="650"/>
      <c r="W436" s="650"/>
      <c r="X436" s="650"/>
      <c r="Y436" s="650"/>
      <c r="Z436" s="650"/>
    </row>
    <row r="437" spans="1:26" s="204" customFormat="1" ht="13.5" thickBot="1">
      <c r="A437" s="650"/>
      <c r="B437" s="650"/>
      <c r="C437" s="650"/>
      <c r="D437" s="650"/>
      <c r="E437" s="650"/>
      <c r="F437" s="650"/>
      <c r="G437" s="650"/>
      <c r="H437" s="650"/>
      <c r="I437" s="650"/>
      <c r="J437" s="650"/>
      <c r="K437" s="650"/>
      <c r="L437" s="650"/>
      <c r="M437" s="650"/>
      <c r="N437" s="650"/>
      <c r="O437" s="650"/>
      <c r="P437" s="650"/>
      <c r="Q437" s="650"/>
      <c r="R437" s="650"/>
      <c r="S437" s="650"/>
      <c r="T437" s="650"/>
      <c r="U437" s="650"/>
      <c r="V437" s="650"/>
      <c r="W437" s="650"/>
      <c r="X437" s="650"/>
      <c r="Y437" s="650"/>
      <c r="Z437" s="650"/>
    </row>
    <row r="438" spans="1:26">
      <c r="A438" s="650"/>
      <c r="B438" s="650"/>
      <c r="C438" s="650"/>
      <c r="D438" s="650"/>
      <c r="E438" s="650"/>
      <c r="F438" s="650"/>
      <c r="G438" s="650"/>
      <c r="H438" s="650"/>
      <c r="I438" s="650"/>
      <c r="J438" s="650"/>
      <c r="K438" s="650"/>
      <c r="L438" s="650"/>
      <c r="M438" s="650"/>
      <c r="N438" s="650"/>
      <c r="O438" s="650"/>
      <c r="P438" s="650"/>
      <c r="Q438" s="650"/>
      <c r="R438" s="650"/>
      <c r="S438" s="650"/>
      <c r="T438" s="650"/>
      <c r="U438" s="650"/>
      <c r="V438" s="650"/>
      <c r="W438" s="650"/>
      <c r="X438" s="650"/>
      <c r="Y438" s="650"/>
      <c r="Z438" s="650"/>
    </row>
    <row r="439" spans="1:26" s="205" customFormat="1">
      <c r="A439" s="650"/>
      <c r="B439" s="650"/>
      <c r="C439" s="650"/>
      <c r="D439" s="650"/>
      <c r="E439" s="650"/>
      <c r="F439" s="650"/>
      <c r="G439" s="650"/>
      <c r="H439" s="650"/>
      <c r="I439" s="650"/>
      <c r="J439" s="650"/>
      <c r="K439" s="650"/>
      <c r="L439" s="650"/>
      <c r="M439" s="650"/>
      <c r="N439" s="650"/>
      <c r="O439" s="650"/>
      <c r="P439" s="650"/>
      <c r="Q439" s="650"/>
      <c r="R439" s="650"/>
      <c r="S439" s="650"/>
      <c r="T439" s="650"/>
      <c r="U439" s="650"/>
      <c r="V439" s="650"/>
      <c r="W439" s="650"/>
      <c r="X439" s="650"/>
      <c r="Y439" s="650"/>
      <c r="Z439" s="650"/>
    </row>
    <row r="440" spans="1:26" s="204" customFormat="1" ht="13.5" thickBot="1">
      <c r="A440" s="650"/>
      <c r="B440" s="650"/>
      <c r="C440" s="650"/>
      <c r="D440" s="650"/>
      <c r="E440" s="650"/>
      <c r="F440" s="650"/>
      <c r="G440" s="650"/>
      <c r="H440" s="650"/>
      <c r="I440" s="650"/>
      <c r="J440" s="650"/>
      <c r="K440" s="650"/>
      <c r="L440" s="650"/>
      <c r="M440" s="650"/>
      <c r="N440" s="650"/>
      <c r="O440" s="650"/>
      <c r="P440" s="650"/>
      <c r="Q440" s="650"/>
      <c r="R440" s="650"/>
      <c r="S440" s="650"/>
      <c r="T440" s="650"/>
      <c r="U440" s="650"/>
      <c r="V440" s="650"/>
      <c r="W440" s="650"/>
      <c r="X440" s="650"/>
      <c r="Y440" s="650"/>
      <c r="Z440" s="650"/>
    </row>
    <row r="441" spans="1:26">
      <c r="A441" s="650"/>
      <c r="B441" s="650"/>
      <c r="C441" s="650"/>
      <c r="D441" s="650"/>
      <c r="E441" s="650"/>
      <c r="F441" s="650"/>
      <c r="G441" s="650"/>
      <c r="H441" s="650"/>
      <c r="I441" s="650"/>
      <c r="J441" s="650"/>
      <c r="K441" s="650"/>
      <c r="L441" s="650"/>
      <c r="M441" s="650"/>
      <c r="N441" s="650"/>
      <c r="O441" s="650"/>
      <c r="P441" s="650"/>
      <c r="Q441" s="650"/>
      <c r="R441" s="650"/>
      <c r="S441" s="650"/>
      <c r="T441" s="650"/>
      <c r="U441" s="650"/>
      <c r="V441" s="650"/>
      <c r="W441" s="650"/>
      <c r="X441" s="650"/>
      <c r="Y441" s="650"/>
      <c r="Z441" s="650"/>
    </row>
    <row r="442" spans="1:26" s="205" customFormat="1">
      <c r="A442" s="650"/>
      <c r="B442" s="650"/>
      <c r="C442" s="650"/>
      <c r="D442" s="650"/>
      <c r="E442" s="650"/>
      <c r="F442" s="650"/>
      <c r="G442" s="650"/>
      <c r="H442" s="650"/>
      <c r="I442" s="650"/>
      <c r="J442" s="650"/>
      <c r="K442" s="650"/>
      <c r="L442" s="650"/>
      <c r="M442" s="650"/>
      <c r="N442" s="650"/>
      <c r="O442" s="650"/>
      <c r="P442" s="650"/>
      <c r="Q442" s="650"/>
      <c r="R442" s="650"/>
      <c r="S442" s="650"/>
      <c r="T442" s="650"/>
      <c r="U442" s="650"/>
      <c r="V442" s="650"/>
      <c r="W442" s="650"/>
      <c r="X442" s="650"/>
      <c r="Y442" s="650"/>
      <c r="Z442" s="650"/>
    </row>
    <row r="443" spans="1:26" s="204" customFormat="1" ht="13.5" thickBot="1">
      <c r="A443" s="650"/>
      <c r="B443" s="650"/>
      <c r="C443" s="650"/>
      <c r="D443" s="650"/>
      <c r="E443" s="650"/>
      <c r="F443" s="650"/>
      <c r="G443" s="650"/>
      <c r="H443" s="650"/>
      <c r="I443" s="650"/>
      <c r="J443" s="650"/>
      <c r="K443" s="650"/>
      <c r="L443" s="650"/>
      <c r="M443" s="650"/>
      <c r="N443" s="650"/>
      <c r="O443" s="650"/>
      <c r="P443" s="650"/>
      <c r="Q443" s="650"/>
      <c r="R443" s="650"/>
      <c r="S443" s="650"/>
      <c r="T443" s="650"/>
      <c r="U443" s="650"/>
      <c r="V443" s="650"/>
      <c r="W443" s="650"/>
      <c r="X443" s="650"/>
      <c r="Y443" s="650"/>
      <c r="Z443" s="650"/>
    </row>
    <row r="444" spans="1:26">
      <c r="A444" s="650"/>
      <c r="B444" s="650"/>
      <c r="C444" s="650"/>
      <c r="D444" s="650"/>
      <c r="E444" s="650"/>
      <c r="F444" s="650"/>
      <c r="G444" s="650"/>
      <c r="H444" s="650"/>
      <c r="I444" s="650"/>
      <c r="J444" s="650"/>
      <c r="K444" s="650"/>
      <c r="L444" s="650"/>
      <c r="M444" s="650"/>
      <c r="N444" s="650"/>
      <c r="O444" s="650"/>
      <c r="P444" s="650"/>
      <c r="Q444" s="650"/>
      <c r="R444" s="650"/>
      <c r="S444" s="650"/>
      <c r="T444" s="650"/>
      <c r="U444" s="650"/>
      <c r="V444" s="650"/>
      <c r="W444" s="650"/>
      <c r="X444" s="650"/>
      <c r="Y444" s="650"/>
      <c r="Z444" s="650"/>
    </row>
    <row r="445" spans="1:26" s="205" customFormat="1">
      <c r="A445" s="650"/>
      <c r="B445" s="650"/>
      <c r="C445" s="650"/>
      <c r="D445" s="650"/>
      <c r="E445" s="650"/>
      <c r="F445" s="650"/>
      <c r="G445" s="650"/>
      <c r="H445" s="650"/>
      <c r="I445" s="650"/>
      <c r="J445" s="650"/>
      <c r="K445" s="650"/>
      <c r="L445" s="650"/>
      <c r="M445" s="650"/>
      <c r="N445" s="650"/>
      <c r="O445" s="650"/>
      <c r="P445" s="650"/>
      <c r="Q445" s="650"/>
      <c r="R445" s="650"/>
      <c r="S445" s="650"/>
      <c r="T445" s="650"/>
      <c r="U445" s="650"/>
      <c r="V445" s="650"/>
      <c r="W445" s="650"/>
      <c r="X445" s="650"/>
      <c r="Y445" s="650"/>
      <c r="Z445" s="650"/>
    </row>
    <row r="446" spans="1:26" s="204" customFormat="1" ht="13.5" thickBot="1">
      <c r="A446" s="650"/>
      <c r="B446" s="650"/>
      <c r="C446" s="650"/>
      <c r="D446" s="650"/>
      <c r="E446" s="650"/>
      <c r="F446" s="650"/>
      <c r="G446" s="650"/>
      <c r="H446" s="650"/>
      <c r="I446" s="650"/>
      <c r="J446" s="650"/>
      <c r="K446" s="650"/>
      <c r="L446" s="650"/>
      <c r="M446" s="650"/>
      <c r="N446" s="650"/>
      <c r="O446" s="650"/>
      <c r="P446" s="650"/>
      <c r="Q446" s="650"/>
      <c r="R446" s="650"/>
      <c r="S446" s="650"/>
      <c r="T446" s="650"/>
      <c r="U446" s="650"/>
      <c r="V446" s="650"/>
      <c r="W446" s="650"/>
      <c r="X446" s="650"/>
      <c r="Y446" s="650"/>
      <c r="Z446" s="650"/>
    </row>
    <row r="447" spans="1:26">
      <c r="A447" s="650"/>
      <c r="B447" s="650"/>
      <c r="C447" s="650"/>
      <c r="D447" s="650"/>
      <c r="E447" s="650"/>
      <c r="F447" s="650"/>
      <c r="G447" s="650"/>
      <c r="H447" s="650"/>
      <c r="I447" s="650"/>
      <c r="J447" s="650"/>
      <c r="K447" s="650"/>
      <c r="L447" s="650"/>
      <c r="M447" s="650"/>
      <c r="N447" s="650"/>
      <c r="O447" s="650"/>
      <c r="P447" s="650"/>
      <c r="Q447" s="650"/>
      <c r="R447" s="650"/>
      <c r="S447" s="650"/>
      <c r="T447" s="650"/>
      <c r="U447" s="650"/>
      <c r="V447" s="650"/>
      <c r="W447" s="650"/>
      <c r="X447" s="650"/>
      <c r="Y447" s="650"/>
      <c r="Z447" s="650"/>
    </row>
    <row r="448" spans="1:26" s="205" customFormat="1" ht="13.5" thickBot="1">
      <c r="A448" s="650"/>
      <c r="B448" s="650"/>
      <c r="C448" s="650"/>
      <c r="D448" s="650"/>
      <c r="E448" s="650"/>
      <c r="F448" s="650"/>
      <c r="G448" s="650"/>
      <c r="H448" s="650"/>
      <c r="I448" s="650"/>
      <c r="J448" s="650"/>
      <c r="K448" s="650"/>
      <c r="L448" s="650"/>
      <c r="M448" s="650"/>
      <c r="N448" s="650"/>
      <c r="O448" s="650"/>
      <c r="P448" s="650"/>
      <c r="Q448" s="650"/>
      <c r="R448" s="650"/>
      <c r="S448" s="650"/>
      <c r="T448" s="650"/>
      <c r="U448" s="650"/>
      <c r="V448" s="650"/>
      <c r="W448" s="650"/>
      <c r="X448" s="650"/>
      <c r="Y448" s="650"/>
      <c r="Z448" s="650"/>
    </row>
    <row r="449" spans="1:26" s="204" customFormat="1">
      <c r="A449" s="650"/>
      <c r="B449" s="650"/>
      <c r="C449" s="650"/>
      <c r="D449" s="650"/>
      <c r="E449" s="650"/>
      <c r="F449" s="650"/>
      <c r="G449" s="650"/>
      <c r="H449" s="650"/>
      <c r="I449" s="650"/>
      <c r="J449" s="650"/>
      <c r="K449" s="650"/>
      <c r="L449" s="650"/>
      <c r="M449" s="650"/>
      <c r="N449" s="650"/>
      <c r="O449" s="650"/>
      <c r="P449" s="650"/>
      <c r="Q449" s="650"/>
      <c r="R449" s="650"/>
      <c r="S449" s="650"/>
      <c r="T449" s="650"/>
      <c r="U449" s="650"/>
      <c r="V449" s="650"/>
      <c r="W449" s="650"/>
      <c r="X449" s="650"/>
      <c r="Y449" s="650"/>
      <c r="Z449" s="650"/>
    </row>
    <row r="450" spans="1:26" ht="13.5" thickBot="1">
      <c r="A450" s="650"/>
      <c r="B450" s="650"/>
      <c r="C450" s="650"/>
      <c r="D450" s="650"/>
      <c r="E450" s="650"/>
      <c r="F450" s="650"/>
      <c r="G450" s="650"/>
      <c r="H450" s="650"/>
      <c r="I450" s="650"/>
      <c r="J450" s="650"/>
      <c r="K450" s="650"/>
      <c r="L450" s="650"/>
      <c r="M450" s="650"/>
      <c r="N450" s="650"/>
      <c r="O450" s="650"/>
      <c r="P450" s="650"/>
      <c r="Q450" s="650"/>
      <c r="R450" s="650"/>
      <c r="S450" s="650"/>
      <c r="T450" s="650"/>
      <c r="U450" s="650"/>
      <c r="V450" s="650"/>
      <c r="W450" s="650"/>
      <c r="X450" s="650"/>
      <c r="Y450" s="650"/>
      <c r="Z450" s="650"/>
    </row>
    <row r="451" spans="1:26" s="205" customFormat="1">
      <c r="A451" s="650"/>
      <c r="B451" s="650"/>
      <c r="C451" s="650"/>
      <c r="D451" s="650"/>
      <c r="E451" s="650"/>
      <c r="F451" s="650"/>
      <c r="G451" s="650"/>
      <c r="H451" s="650"/>
      <c r="I451" s="650"/>
      <c r="J451" s="650"/>
      <c r="K451" s="650"/>
      <c r="L451" s="650"/>
      <c r="M451" s="650"/>
      <c r="N451" s="650"/>
      <c r="O451" s="650"/>
      <c r="P451" s="650"/>
      <c r="Q451" s="650"/>
      <c r="R451" s="650"/>
      <c r="S451" s="650"/>
      <c r="T451" s="650"/>
      <c r="U451" s="650"/>
      <c r="V451" s="650"/>
      <c r="W451" s="650"/>
      <c r="X451" s="650"/>
      <c r="Y451" s="650"/>
      <c r="Z451" s="650"/>
    </row>
    <row r="452" spans="1:26" s="204" customFormat="1" ht="13.5" thickBot="1">
      <c r="A452" s="650"/>
      <c r="B452" s="650"/>
      <c r="C452" s="650"/>
      <c r="D452" s="650"/>
      <c r="E452" s="650"/>
      <c r="F452" s="650"/>
      <c r="G452" s="650"/>
      <c r="H452" s="650"/>
      <c r="I452" s="650"/>
      <c r="J452" s="650"/>
      <c r="K452" s="650"/>
      <c r="L452" s="650"/>
      <c r="M452" s="650"/>
      <c r="N452" s="650"/>
      <c r="O452" s="650"/>
      <c r="P452" s="650"/>
      <c r="Q452" s="650"/>
      <c r="R452" s="650"/>
      <c r="S452" s="650"/>
      <c r="T452" s="650"/>
      <c r="U452" s="650"/>
      <c r="V452" s="650"/>
      <c r="W452" s="650"/>
      <c r="X452" s="650"/>
      <c r="Y452" s="650"/>
      <c r="Z452" s="650"/>
    </row>
    <row r="453" spans="1:26">
      <c r="A453" s="650"/>
      <c r="B453" s="650"/>
      <c r="C453" s="650"/>
      <c r="D453" s="650"/>
      <c r="E453" s="650"/>
      <c r="F453" s="650"/>
      <c r="G453" s="650"/>
      <c r="H453" s="650"/>
      <c r="I453" s="650"/>
      <c r="J453" s="650"/>
      <c r="K453" s="650"/>
      <c r="L453" s="650"/>
      <c r="M453" s="650"/>
      <c r="N453" s="650"/>
      <c r="O453" s="650"/>
      <c r="P453" s="650"/>
      <c r="Q453" s="650"/>
      <c r="R453" s="650"/>
      <c r="S453" s="650"/>
      <c r="T453" s="650"/>
      <c r="U453" s="650"/>
      <c r="V453" s="650"/>
      <c r="W453" s="650"/>
      <c r="X453" s="650"/>
      <c r="Y453" s="650"/>
      <c r="Z453" s="650"/>
    </row>
    <row r="454" spans="1:26" s="205" customFormat="1">
      <c r="A454" s="650"/>
      <c r="B454" s="650"/>
      <c r="C454" s="650"/>
      <c r="D454" s="650"/>
      <c r="E454" s="650"/>
      <c r="F454" s="650"/>
      <c r="G454" s="650"/>
      <c r="H454" s="650"/>
      <c r="I454" s="650"/>
      <c r="J454" s="650"/>
      <c r="K454" s="650"/>
      <c r="L454" s="650"/>
      <c r="M454" s="650"/>
      <c r="N454" s="650"/>
      <c r="O454" s="650"/>
      <c r="P454" s="650"/>
      <c r="Q454" s="650"/>
      <c r="R454" s="650"/>
      <c r="S454" s="650"/>
      <c r="T454" s="650"/>
      <c r="U454" s="650"/>
      <c r="V454" s="650"/>
      <c r="W454" s="650"/>
      <c r="X454" s="650"/>
      <c r="Y454" s="650"/>
      <c r="Z454" s="650"/>
    </row>
    <row r="455" spans="1:26" s="204" customFormat="1" ht="13.5" thickBot="1">
      <c r="A455" s="650"/>
      <c r="B455" s="650"/>
      <c r="C455" s="650"/>
      <c r="D455" s="650"/>
      <c r="E455" s="650"/>
      <c r="F455" s="650"/>
      <c r="G455" s="650"/>
      <c r="H455" s="650"/>
      <c r="I455" s="650"/>
      <c r="J455" s="650"/>
      <c r="K455" s="650"/>
      <c r="L455" s="650"/>
      <c r="M455" s="650"/>
      <c r="N455" s="650"/>
      <c r="O455" s="650"/>
      <c r="P455" s="650"/>
      <c r="Q455" s="650"/>
      <c r="R455" s="650"/>
      <c r="S455" s="650"/>
      <c r="T455" s="650"/>
      <c r="U455" s="650"/>
      <c r="V455" s="650"/>
      <c r="W455" s="650"/>
      <c r="X455" s="650"/>
      <c r="Y455" s="650"/>
      <c r="Z455" s="650"/>
    </row>
    <row r="456" spans="1:26">
      <c r="A456" s="650"/>
      <c r="B456" s="650"/>
      <c r="C456" s="650"/>
      <c r="D456" s="650"/>
      <c r="E456" s="650"/>
      <c r="F456" s="650"/>
      <c r="G456" s="650"/>
      <c r="H456" s="650"/>
      <c r="I456" s="650"/>
      <c r="J456" s="650"/>
      <c r="K456" s="650"/>
      <c r="L456" s="650"/>
      <c r="M456" s="650"/>
      <c r="N456" s="650"/>
      <c r="O456" s="650"/>
      <c r="P456" s="650"/>
      <c r="Q456" s="650"/>
      <c r="R456" s="650"/>
      <c r="S456" s="650"/>
      <c r="T456" s="650"/>
      <c r="U456" s="650"/>
      <c r="V456" s="650"/>
      <c r="W456" s="650"/>
      <c r="X456" s="650"/>
      <c r="Y456" s="650"/>
      <c r="Z456" s="650"/>
    </row>
    <row r="457" spans="1:26" s="205" customFormat="1">
      <c r="A457" s="650"/>
      <c r="B457" s="650"/>
      <c r="C457" s="650"/>
      <c r="D457" s="650"/>
      <c r="E457" s="650"/>
      <c r="F457" s="650"/>
      <c r="G457" s="650"/>
      <c r="H457" s="650"/>
      <c r="I457" s="650"/>
      <c r="J457" s="650"/>
      <c r="K457" s="650"/>
      <c r="L457" s="650"/>
      <c r="M457" s="650"/>
      <c r="N457" s="650"/>
      <c r="O457" s="650"/>
      <c r="P457" s="650"/>
      <c r="Q457" s="650"/>
      <c r="R457" s="650"/>
      <c r="S457" s="650"/>
      <c r="T457" s="650"/>
      <c r="U457" s="650"/>
      <c r="V457" s="650"/>
      <c r="W457" s="650"/>
      <c r="X457" s="650"/>
      <c r="Y457" s="650"/>
      <c r="Z457" s="650"/>
    </row>
    <row r="458" spans="1:26" s="204" customFormat="1" ht="13.5" thickBot="1">
      <c r="A458" s="650"/>
      <c r="B458" s="650"/>
      <c r="C458" s="650"/>
      <c r="D458" s="650"/>
      <c r="E458" s="650"/>
      <c r="F458" s="650"/>
      <c r="G458" s="650"/>
      <c r="H458" s="650"/>
      <c r="I458" s="650"/>
      <c r="J458" s="650"/>
      <c r="K458" s="650"/>
      <c r="L458" s="650"/>
      <c r="M458" s="650"/>
      <c r="N458" s="650"/>
      <c r="O458" s="650"/>
      <c r="P458" s="650"/>
      <c r="Q458" s="650"/>
      <c r="R458" s="650"/>
      <c r="S458" s="650"/>
      <c r="T458" s="650"/>
      <c r="U458" s="650"/>
      <c r="V458" s="650"/>
      <c r="W458" s="650"/>
      <c r="X458" s="650"/>
      <c r="Y458" s="650"/>
      <c r="Z458" s="650"/>
    </row>
    <row r="459" spans="1:26">
      <c r="A459" s="650"/>
      <c r="B459" s="650"/>
      <c r="C459" s="650"/>
      <c r="D459" s="650"/>
      <c r="E459" s="650"/>
      <c r="F459" s="650"/>
      <c r="G459" s="650"/>
      <c r="H459" s="650"/>
      <c r="I459" s="650"/>
      <c r="J459" s="650"/>
      <c r="K459" s="650"/>
      <c r="L459" s="650"/>
      <c r="M459" s="650"/>
      <c r="N459" s="650"/>
      <c r="O459" s="650"/>
      <c r="P459" s="650"/>
      <c r="Q459" s="650"/>
      <c r="R459" s="650"/>
      <c r="S459" s="650"/>
      <c r="T459" s="650"/>
      <c r="U459" s="650"/>
      <c r="V459" s="650"/>
      <c r="W459" s="650"/>
      <c r="X459" s="650"/>
      <c r="Y459" s="650"/>
      <c r="Z459" s="650"/>
    </row>
    <row r="460" spans="1:26" s="205" customFormat="1" ht="13.5" thickBot="1">
      <c r="A460" s="650"/>
      <c r="B460" s="650"/>
      <c r="C460" s="650"/>
      <c r="D460" s="650"/>
      <c r="E460" s="650"/>
      <c r="F460" s="650"/>
      <c r="G460" s="650"/>
      <c r="H460" s="650"/>
      <c r="I460" s="650"/>
      <c r="J460" s="650"/>
      <c r="K460" s="650"/>
      <c r="L460" s="650"/>
      <c r="M460" s="650"/>
      <c r="N460" s="650"/>
      <c r="O460" s="650"/>
      <c r="P460" s="650"/>
      <c r="Q460" s="650"/>
      <c r="R460" s="650"/>
      <c r="S460" s="650"/>
      <c r="T460" s="650"/>
      <c r="U460" s="650"/>
      <c r="V460" s="650"/>
      <c r="W460" s="650"/>
      <c r="X460" s="650"/>
      <c r="Y460" s="650"/>
      <c r="Z460" s="650"/>
    </row>
    <row r="461" spans="1:26" s="204" customFormat="1">
      <c r="A461" s="650"/>
      <c r="B461" s="650"/>
      <c r="C461" s="650"/>
      <c r="D461" s="650"/>
      <c r="E461" s="650"/>
      <c r="F461" s="650"/>
      <c r="G461" s="650"/>
      <c r="H461" s="650"/>
      <c r="I461" s="650"/>
      <c r="J461" s="650"/>
      <c r="K461" s="650"/>
      <c r="L461" s="650"/>
      <c r="M461" s="650"/>
      <c r="N461" s="650"/>
      <c r="O461" s="650"/>
      <c r="P461" s="650"/>
      <c r="Q461" s="650"/>
      <c r="R461" s="650"/>
      <c r="S461" s="650"/>
      <c r="T461" s="650"/>
      <c r="U461" s="650"/>
      <c r="V461" s="650"/>
      <c r="W461" s="650"/>
      <c r="X461" s="650"/>
      <c r="Y461" s="650"/>
      <c r="Z461" s="650"/>
    </row>
    <row r="462" spans="1:26">
      <c r="A462" s="650"/>
      <c r="B462" s="650"/>
      <c r="C462" s="650"/>
      <c r="D462" s="650"/>
      <c r="E462" s="650"/>
      <c r="F462" s="650"/>
      <c r="G462" s="650"/>
      <c r="H462" s="650"/>
      <c r="I462" s="650"/>
      <c r="J462" s="650"/>
      <c r="K462" s="650"/>
      <c r="L462" s="650"/>
      <c r="M462" s="650"/>
      <c r="N462" s="650"/>
      <c r="O462" s="650"/>
      <c r="P462" s="650"/>
      <c r="Q462" s="650"/>
      <c r="R462" s="650"/>
      <c r="S462" s="650"/>
      <c r="T462" s="650"/>
      <c r="U462" s="650"/>
      <c r="V462" s="650"/>
      <c r="W462" s="650"/>
      <c r="X462" s="650"/>
      <c r="Y462" s="650"/>
      <c r="Z462" s="650"/>
    </row>
    <row r="463" spans="1:26" s="205" customFormat="1" ht="13.5" thickBot="1">
      <c r="A463" s="650"/>
      <c r="B463" s="650"/>
      <c r="C463" s="650"/>
      <c r="D463" s="650"/>
      <c r="E463" s="650"/>
      <c r="F463" s="650"/>
      <c r="G463" s="650"/>
      <c r="H463" s="650"/>
      <c r="I463" s="650"/>
      <c r="J463" s="650"/>
      <c r="K463" s="650"/>
      <c r="L463" s="650"/>
      <c r="M463" s="650"/>
      <c r="N463" s="650"/>
      <c r="O463" s="650"/>
      <c r="P463" s="650"/>
      <c r="Q463" s="650"/>
      <c r="R463" s="650"/>
      <c r="S463" s="650"/>
      <c r="T463" s="650"/>
      <c r="U463" s="650"/>
      <c r="V463" s="650"/>
      <c r="W463" s="650"/>
      <c r="X463" s="650"/>
      <c r="Y463" s="650"/>
      <c r="Z463" s="650"/>
    </row>
    <row r="464" spans="1:26" s="204" customFormat="1">
      <c r="A464" s="650"/>
      <c r="B464" s="650"/>
      <c r="C464" s="650"/>
      <c r="D464" s="650"/>
      <c r="E464" s="650"/>
      <c r="F464" s="650"/>
      <c r="G464" s="650"/>
      <c r="H464" s="650"/>
      <c r="I464" s="650"/>
      <c r="J464" s="650"/>
      <c r="K464" s="650"/>
      <c r="L464" s="650"/>
      <c r="M464" s="650"/>
      <c r="N464" s="650"/>
      <c r="O464" s="650"/>
      <c r="P464" s="650"/>
      <c r="Q464" s="650"/>
      <c r="R464" s="650"/>
      <c r="S464" s="650"/>
      <c r="T464" s="650"/>
      <c r="U464" s="650"/>
      <c r="V464" s="650"/>
      <c r="W464" s="650"/>
      <c r="X464" s="650"/>
      <c r="Y464" s="650"/>
      <c r="Z464" s="650"/>
    </row>
    <row r="465" spans="1:26">
      <c r="A465" s="650"/>
      <c r="B465" s="650"/>
      <c r="C465" s="650"/>
      <c r="D465" s="650"/>
      <c r="E465" s="650"/>
      <c r="F465" s="650"/>
      <c r="G465" s="650"/>
      <c r="H465" s="650"/>
      <c r="I465" s="650"/>
      <c r="J465" s="650"/>
      <c r="K465" s="650"/>
      <c r="L465" s="650"/>
      <c r="M465" s="650"/>
      <c r="N465" s="650"/>
      <c r="O465" s="650"/>
      <c r="P465" s="650"/>
      <c r="Q465" s="650"/>
      <c r="R465" s="650"/>
      <c r="S465" s="650"/>
      <c r="T465" s="650"/>
      <c r="U465" s="650"/>
      <c r="V465" s="650"/>
      <c r="W465" s="650"/>
      <c r="X465" s="650"/>
      <c r="Y465" s="650"/>
      <c r="Z465" s="650"/>
    </row>
    <row r="466" spans="1:26" s="205" customFormat="1" ht="13.5" thickBot="1">
      <c r="A466" s="650"/>
      <c r="B466" s="650"/>
      <c r="C466" s="650"/>
      <c r="D466" s="650"/>
      <c r="E466" s="650"/>
      <c r="F466" s="650"/>
      <c r="G466" s="650"/>
      <c r="H466" s="650"/>
      <c r="I466" s="650"/>
      <c r="J466" s="650"/>
      <c r="K466" s="650"/>
      <c r="L466" s="650"/>
      <c r="M466" s="650"/>
      <c r="N466" s="650"/>
      <c r="O466" s="650"/>
      <c r="P466" s="650"/>
      <c r="Q466" s="650"/>
      <c r="R466" s="650"/>
      <c r="S466" s="650"/>
      <c r="T466" s="650"/>
      <c r="U466" s="650"/>
      <c r="V466" s="650"/>
      <c r="W466" s="650"/>
      <c r="X466" s="650"/>
      <c r="Y466" s="650"/>
      <c r="Z466" s="650"/>
    </row>
    <row r="467" spans="1:26" s="204" customFormat="1">
      <c r="A467" s="650"/>
      <c r="B467" s="650"/>
      <c r="C467" s="650"/>
      <c r="D467" s="650"/>
      <c r="E467" s="650"/>
      <c r="F467" s="650"/>
      <c r="G467" s="650"/>
      <c r="H467" s="650"/>
      <c r="I467" s="650"/>
      <c r="J467" s="650"/>
      <c r="K467" s="650"/>
      <c r="L467" s="650"/>
      <c r="M467" s="650"/>
      <c r="N467" s="650"/>
      <c r="O467" s="650"/>
      <c r="P467" s="650"/>
      <c r="Q467" s="650"/>
      <c r="R467" s="650"/>
      <c r="S467" s="650"/>
      <c r="T467" s="650"/>
      <c r="U467" s="650"/>
      <c r="V467" s="650"/>
      <c r="W467" s="650"/>
      <c r="X467" s="650"/>
      <c r="Y467" s="650"/>
      <c r="Z467" s="650"/>
    </row>
    <row r="468" spans="1:26">
      <c r="A468" s="650"/>
      <c r="B468" s="650"/>
      <c r="C468" s="650"/>
      <c r="D468" s="650"/>
      <c r="E468" s="650"/>
      <c r="F468" s="650"/>
      <c r="G468" s="650"/>
      <c r="H468" s="650"/>
      <c r="I468" s="650"/>
      <c r="J468" s="650"/>
      <c r="K468" s="650"/>
      <c r="L468" s="650"/>
      <c r="M468" s="650"/>
      <c r="N468" s="650"/>
      <c r="O468" s="650"/>
      <c r="P468" s="650"/>
      <c r="Q468" s="650"/>
      <c r="R468" s="650"/>
      <c r="S468" s="650"/>
      <c r="T468" s="650"/>
      <c r="U468" s="650"/>
      <c r="V468" s="650"/>
      <c r="W468" s="650"/>
      <c r="X468" s="650"/>
      <c r="Y468" s="650"/>
      <c r="Z468" s="650"/>
    </row>
    <row r="469" spans="1:26" s="205" customFormat="1" ht="13.5" thickBot="1">
      <c r="A469" s="650"/>
      <c r="B469" s="650"/>
      <c r="C469" s="650"/>
      <c r="D469" s="650"/>
      <c r="E469" s="650"/>
      <c r="F469" s="650"/>
      <c r="G469" s="650"/>
      <c r="H469" s="650"/>
      <c r="I469" s="650"/>
      <c r="J469" s="650"/>
      <c r="K469" s="650"/>
      <c r="L469" s="650"/>
      <c r="M469" s="650"/>
      <c r="N469" s="650"/>
      <c r="O469" s="650"/>
      <c r="P469" s="650"/>
      <c r="Q469" s="650"/>
      <c r="R469" s="650"/>
      <c r="S469" s="650"/>
      <c r="T469" s="650"/>
      <c r="U469" s="650"/>
      <c r="V469" s="650"/>
      <c r="W469" s="650"/>
      <c r="X469" s="650"/>
      <c r="Y469" s="650"/>
      <c r="Z469" s="650"/>
    </row>
    <row r="470" spans="1:26" s="204" customFormat="1">
      <c r="A470" s="650"/>
      <c r="B470" s="650"/>
      <c r="C470" s="650"/>
      <c r="D470" s="650"/>
      <c r="E470" s="650"/>
      <c r="F470" s="650"/>
      <c r="G470" s="650"/>
      <c r="H470" s="650"/>
      <c r="I470" s="650"/>
      <c r="J470" s="650"/>
      <c r="K470" s="650"/>
      <c r="L470" s="650"/>
      <c r="M470" s="650"/>
      <c r="N470" s="650"/>
      <c r="O470" s="650"/>
      <c r="P470" s="650"/>
      <c r="Q470" s="650"/>
      <c r="R470" s="650"/>
      <c r="S470" s="650"/>
      <c r="T470" s="650"/>
      <c r="U470" s="650"/>
      <c r="V470" s="650"/>
      <c r="W470" s="650"/>
      <c r="X470" s="650"/>
      <c r="Y470" s="650"/>
      <c r="Z470" s="650"/>
    </row>
    <row r="471" spans="1:26">
      <c r="A471" s="650"/>
      <c r="B471" s="650"/>
      <c r="C471" s="650"/>
      <c r="D471" s="650"/>
      <c r="E471" s="650"/>
      <c r="F471" s="650"/>
      <c r="G471" s="650"/>
      <c r="H471" s="650"/>
      <c r="I471" s="650"/>
      <c r="J471" s="650"/>
      <c r="K471" s="650"/>
      <c r="L471" s="650"/>
      <c r="M471" s="650"/>
      <c r="N471" s="650"/>
      <c r="O471" s="650"/>
      <c r="P471" s="650"/>
      <c r="Q471" s="650"/>
      <c r="R471" s="650"/>
      <c r="S471" s="650"/>
      <c r="T471" s="650"/>
      <c r="U471" s="650"/>
      <c r="V471" s="650"/>
      <c r="W471" s="650"/>
      <c r="X471" s="650"/>
      <c r="Y471" s="650"/>
      <c r="Z471" s="650"/>
    </row>
    <row r="472" spans="1:26" s="205" customFormat="1" ht="13.5" thickBot="1">
      <c r="A472" s="650"/>
      <c r="B472" s="650"/>
      <c r="C472" s="650"/>
      <c r="D472" s="650"/>
      <c r="E472" s="650"/>
      <c r="F472" s="650"/>
      <c r="G472" s="650"/>
      <c r="H472" s="650"/>
      <c r="I472" s="650"/>
      <c r="J472" s="650"/>
      <c r="K472" s="650"/>
      <c r="L472" s="650"/>
      <c r="M472" s="650"/>
      <c r="N472" s="650"/>
      <c r="O472" s="650"/>
      <c r="P472" s="650"/>
      <c r="Q472" s="650"/>
      <c r="R472" s="650"/>
      <c r="S472" s="650"/>
      <c r="T472" s="650"/>
      <c r="U472" s="650"/>
      <c r="V472" s="650"/>
      <c r="W472" s="650"/>
      <c r="X472" s="650"/>
      <c r="Y472" s="650"/>
      <c r="Z472" s="650"/>
    </row>
    <row r="473" spans="1:26" s="214" customFormat="1">
      <c r="A473" s="650"/>
      <c r="B473" s="650"/>
      <c r="C473" s="650"/>
      <c r="D473" s="650"/>
      <c r="E473" s="650"/>
      <c r="F473" s="650"/>
      <c r="G473" s="650"/>
      <c r="H473" s="650"/>
      <c r="I473" s="650"/>
      <c r="J473" s="650"/>
      <c r="K473" s="650"/>
      <c r="L473" s="650"/>
      <c r="M473" s="650"/>
      <c r="N473" s="650"/>
      <c r="O473" s="650"/>
      <c r="P473" s="650"/>
      <c r="Q473" s="650"/>
      <c r="R473" s="650"/>
      <c r="S473" s="650"/>
      <c r="T473" s="650"/>
      <c r="U473" s="650"/>
      <c r="V473" s="650"/>
      <c r="W473" s="650"/>
      <c r="X473" s="650"/>
      <c r="Y473" s="650"/>
      <c r="Z473" s="650"/>
    </row>
    <row r="474" spans="1:26">
      <c r="A474" s="650"/>
      <c r="B474" s="650"/>
      <c r="C474" s="650"/>
      <c r="D474" s="650"/>
      <c r="E474" s="650"/>
      <c r="F474" s="650"/>
      <c r="G474" s="650"/>
      <c r="H474" s="650"/>
      <c r="I474" s="650"/>
      <c r="J474" s="650"/>
      <c r="K474" s="650"/>
      <c r="L474" s="650"/>
      <c r="M474" s="650"/>
      <c r="N474" s="650"/>
      <c r="O474" s="650"/>
      <c r="P474" s="650"/>
      <c r="Q474" s="650"/>
      <c r="R474" s="650"/>
      <c r="S474" s="650"/>
      <c r="T474" s="650"/>
      <c r="U474" s="650"/>
      <c r="V474" s="650"/>
      <c r="W474" s="650"/>
      <c r="X474" s="650"/>
      <c r="Y474" s="650"/>
      <c r="Z474" s="650"/>
    </row>
    <row r="475" spans="1:26" s="205" customFormat="1" ht="13.5" thickBot="1">
      <c r="A475" s="650"/>
      <c r="B475" s="650"/>
      <c r="C475" s="650"/>
      <c r="D475" s="650"/>
      <c r="E475" s="650"/>
      <c r="F475" s="650"/>
      <c r="G475" s="650"/>
      <c r="H475" s="650"/>
      <c r="I475" s="650"/>
      <c r="J475" s="650"/>
      <c r="K475" s="650"/>
      <c r="L475" s="650"/>
      <c r="M475" s="650"/>
      <c r="N475" s="650"/>
      <c r="O475" s="650"/>
      <c r="P475" s="650"/>
      <c r="Q475" s="650"/>
      <c r="R475" s="650"/>
      <c r="S475" s="650"/>
      <c r="T475" s="650"/>
      <c r="U475" s="650"/>
      <c r="V475" s="650"/>
      <c r="W475" s="650"/>
      <c r="X475" s="650"/>
      <c r="Y475" s="650"/>
      <c r="Z475" s="650"/>
    </row>
    <row r="476" spans="1:26" s="204" customFormat="1">
      <c r="A476" s="650"/>
      <c r="B476" s="650"/>
      <c r="C476" s="650"/>
      <c r="D476" s="650"/>
      <c r="E476" s="650"/>
      <c r="F476" s="650"/>
      <c r="G476" s="650"/>
      <c r="H476" s="650"/>
      <c r="I476" s="650"/>
      <c r="J476" s="650"/>
      <c r="K476" s="650"/>
      <c r="L476" s="650"/>
      <c r="M476" s="650"/>
      <c r="N476" s="650"/>
      <c r="O476" s="650"/>
      <c r="P476" s="650"/>
      <c r="Q476" s="650"/>
      <c r="R476" s="650"/>
      <c r="S476" s="650"/>
      <c r="T476" s="650"/>
      <c r="U476" s="650"/>
      <c r="V476" s="650"/>
      <c r="W476" s="650"/>
      <c r="X476" s="650"/>
      <c r="Y476" s="650"/>
      <c r="Z476" s="650"/>
    </row>
    <row r="477" spans="1:26">
      <c r="A477" s="650"/>
      <c r="B477" s="650"/>
      <c r="C477" s="650"/>
      <c r="D477" s="650"/>
      <c r="E477" s="650"/>
      <c r="F477" s="650"/>
      <c r="G477" s="650"/>
      <c r="H477" s="650"/>
      <c r="I477" s="650"/>
      <c r="J477" s="650"/>
      <c r="K477" s="650"/>
      <c r="L477" s="650"/>
      <c r="M477" s="650"/>
      <c r="N477" s="650"/>
      <c r="O477" s="650"/>
      <c r="P477" s="650"/>
      <c r="Q477" s="650"/>
      <c r="R477" s="650"/>
      <c r="S477" s="650"/>
      <c r="T477" s="650"/>
      <c r="U477" s="650"/>
      <c r="V477" s="650"/>
      <c r="W477" s="650"/>
      <c r="X477" s="650"/>
      <c r="Y477" s="650"/>
      <c r="Z477" s="650"/>
    </row>
    <row r="478" spans="1:26" s="205" customFormat="1" ht="13.5" thickBot="1">
      <c r="A478" s="650"/>
      <c r="B478" s="650"/>
      <c r="C478" s="650"/>
      <c r="D478" s="650"/>
      <c r="E478" s="650"/>
      <c r="F478" s="650"/>
      <c r="G478" s="650"/>
      <c r="H478" s="650"/>
      <c r="I478" s="650"/>
      <c r="J478" s="650"/>
      <c r="K478" s="650"/>
      <c r="L478" s="650"/>
      <c r="M478" s="650"/>
      <c r="N478" s="650"/>
      <c r="O478" s="650"/>
      <c r="P478" s="650"/>
      <c r="Q478" s="650"/>
      <c r="R478" s="650"/>
      <c r="S478" s="650"/>
      <c r="T478" s="650"/>
      <c r="U478" s="650"/>
      <c r="V478" s="650"/>
      <c r="W478" s="650"/>
      <c r="X478" s="650"/>
      <c r="Y478" s="650"/>
      <c r="Z478" s="650"/>
    </row>
    <row r="479" spans="1:26" s="204" customFormat="1">
      <c r="A479" s="650"/>
      <c r="B479" s="650"/>
      <c r="C479" s="650"/>
      <c r="D479" s="650"/>
      <c r="E479" s="650"/>
      <c r="F479" s="650"/>
      <c r="G479" s="650"/>
      <c r="H479" s="650"/>
      <c r="I479" s="650"/>
      <c r="J479" s="650"/>
      <c r="K479" s="650"/>
      <c r="L479" s="650"/>
      <c r="M479" s="650"/>
      <c r="N479" s="650"/>
      <c r="O479" s="650"/>
      <c r="P479" s="650"/>
      <c r="Q479" s="650"/>
      <c r="R479" s="650"/>
      <c r="S479" s="650"/>
      <c r="T479" s="650"/>
      <c r="U479" s="650"/>
      <c r="V479" s="650"/>
      <c r="W479" s="650"/>
      <c r="X479" s="650"/>
      <c r="Y479" s="650"/>
      <c r="Z479" s="650"/>
    </row>
    <row r="480" spans="1:26">
      <c r="A480" s="650"/>
      <c r="B480" s="650"/>
      <c r="C480" s="650"/>
      <c r="D480" s="650"/>
      <c r="E480" s="650"/>
      <c r="F480" s="650"/>
      <c r="G480" s="650"/>
      <c r="H480" s="650"/>
      <c r="I480" s="650"/>
      <c r="J480" s="650"/>
      <c r="K480" s="650"/>
      <c r="L480" s="650"/>
      <c r="M480" s="650"/>
      <c r="N480" s="650"/>
      <c r="O480" s="650"/>
      <c r="P480" s="650"/>
      <c r="Q480" s="650"/>
      <c r="R480" s="650"/>
      <c r="S480" s="650"/>
      <c r="T480" s="650"/>
      <c r="U480" s="650"/>
      <c r="V480" s="650"/>
      <c r="W480" s="650"/>
      <c r="X480" s="650"/>
      <c r="Y480" s="650"/>
      <c r="Z480" s="650"/>
    </row>
    <row r="481" spans="1:26" s="205" customFormat="1" ht="13.5" thickBot="1">
      <c r="A481" s="650"/>
      <c r="B481" s="650"/>
      <c r="C481" s="650"/>
      <c r="D481" s="650"/>
      <c r="E481" s="650"/>
      <c r="F481" s="650"/>
      <c r="G481" s="650"/>
      <c r="H481" s="650"/>
      <c r="I481" s="650"/>
      <c r="J481" s="650"/>
      <c r="K481" s="650"/>
      <c r="L481" s="650"/>
      <c r="M481" s="650"/>
      <c r="N481" s="650"/>
      <c r="O481" s="650"/>
      <c r="P481" s="650"/>
      <c r="Q481" s="650"/>
      <c r="R481" s="650"/>
      <c r="S481" s="650"/>
      <c r="T481" s="650"/>
      <c r="U481" s="650"/>
      <c r="V481" s="650"/>
      <c r="W481" s="650"/>
      <c r="X481" s="650"/>
      <c r="Y481" s="650"/>
      <c r="Z481" s="650"/>
    </row>
    <row r="482" spans="1:26" s="204" customFormat="1">
      <c r="A482" s="650"/>
      <c r="B482" s="650"/>
      <c r="C482" s="650"/>
      <c r="D482" s="650"/>
      <c r="E482" s="650"/>
      <c r="F482" s="650"/>
      <c r="G482" s="650"/>
      <c r="H482" s="650"/>
      <c r="I482" s="650"/>
      <c r="J482" s="650"/>
      <c r="K482" s="650"/>
      <c r="L482" s="650"/>
      <c r="M482" s="650"/>
      <c r="N482" s="650"/>
      <c r="O482" s="650"/>
      <c r="P482" s="650"/>
      <c r="Q482" s="650"/>
      <c r="R482" s="650"/>
      <c r="S482" s="650"/>
      <c r="T482" s="650"/>
      <c r="U482" s="650"/>
      <c r="V482" s="650"/>
      <c r="W482" s="650"/>
      <c r="X482" s="650"/>
      <c r="Y482" s="650"/>
      <c r="Z482" s="650"/>
    </row>
    <row r="483" spans="1:26">
      <c r="A483" s="650"/>
      <c r="B483" s="650"/>
      <c r="C483" s="650"/>
      <c r="D483" s="650"/>
      <c r="E483" s="650"/>
      <c r="F483" s="650"/>
      <c r="G483" s="650"/>
      <c r="H483" s="650"/>
      <c r="I483" s="650"/>
      <c r="J483" s="650"/>
      <c r="K483" s="650"/>
      <c r="L483" s="650"/>
      <c r="M483" s="650"/>
      <c r="N483" s="650"/>
      <c r="O483" s="650"/>
      <c r="P483" s="650"/>
      <c r="Q483" s="650"/>
      <c r="R483" s="650"/>
      <c r="S483" s="650"/>
      <c r="T483" s="650"/>
      <c r="U483" s="650"/>
      <c r="V483" s="650"/>
      <c r="W483" s="650"/>
      <c r="X483" s="650"/>
      <c r="Y483" s="650"/>
      <c r="Z483" s="650"/>
    </row>
    <row r="484" spans="1:26" s="205" customFormat="1">
      <c r="A484" s="650"/>
      <c r="B484" s="650"/>
      <c r="C484" s="650"/>
      <c r="D484" s="650"/>
      <c r="E484" s="650"/>
      <c r="F484" s="650"/>
      <c r="G484" s="650"/>
      <c r="H484" s="650"/>
      <c r="I484" s="650"/>
      <c r="J484" s="650"/>
      <c r="K484" s="650"/>
      <c r="L484" s="650"/>
      <c r="M484" s="650"/>
      <c r="N484" s="650"/>
      <c r="O484" s="650"/>
      <c r="P484" s="650"/>
      <c r="Q484" s="650"/>
      <c r="R484" s="650"/>
      <c r="S484" s="650"/>
      <c r="T484" s="650"/>
      <c r="U484" s="650"/>
      <c r="V484" s="650"/>
      <c r="W484" s="650"/>
      <c r="X484" s="650"/>
      <c r="Y484" s="650"/>
      <c r="Z484" s="650"/>
    </row>
    <row r="485" spans="1:26" s="204" customFormat="1" ht="13.5" thickBot="1">
      <c r="A485" s="650"/>
      <c r="B485" s="650"/>
      <c r="C485" s="650"/>
      <c r="D485" s="650"/>
      <c r="E485" s="650"/>
      <c r="F485" s="650"/>
      <c r="G485" s="650"/>
      <c r="H485" s="650"/>
      <c r="I485" s="650"/>
      <c r="J485" s="650"/>
      <c r="K485" s="650"/>
      <c r="L485" s="650"/>
      <c r="M485" s="650"/>
      <c r="N485" s="650"/>
      <c r="O485" s="650"/>
      <c r="P485" s="650"/>
      <c r="Q485" s="650"/>
      <c r="R485" s="650"/>
      <c r="S485" s="650"/>
      <c r="T485" s="650"/>
      <c r="U485" s="650"/>
      <c r="V485" s="650"/>
      <c r="W485" s="650"/>
      <c r="X485" s="650"/>
      <c r="Y485" s="650"/>
      <c r="Z485" s="650"/>
    </row>
    <row r="486" spans="1:26">
      <c r="A486" s="650"/>
      <c r="B486" s="650"/>
      <c r="C486" s="650"/>
      <c r="D486" s="650"/>
      <c r="E486" s="650"/>
      <c r="F486" s="650"/>
      <c r="G486" s="650"/>
      <c r="H486" s="650"/>
      <c r="I486" s="650"/>
      <c r="J486" s="650"/>
      <c r="K486" s="650"/>
      <c r="L486" s="650"/>
      <c r="M486" s="650"/>
      <c r="N486" s="650"/>
      <c r="O486" s="650"/>
      <c r="P486" s="650"/>
      <c r="Q486" s="650"/>
      <c r="R486" s="650"/>
      <c r="S486" s="650"/>
      <c r="T486" s="650"/>
      <c r="U486" s="650"/>
      <c r="V486" s="650"/>
      <c r="W486" s="650"/>
      <c r="X486" s="650"/>
      <c r="Y486" s="650"/>
      <c r="Z486" s="650"/>
    </row>
    <row r="487" spans="1:26" s="205" customFormat="1" ht="13.5" thickBot="1">
      <c r="A487" s="650"/>
      <c r="B487" s="650"/>
      <c r="C487" s="650"/>
      <c r="D487" s="650"/>
      <c r="E487" s="650"/>
      <c r="F487" s="650"/>
      <c r="G487" s="650"/>
      <c r="H487" s="650"/>
      <c r="I487" s="650"/>
      <c r="J487" s="650"/>
      <c r="K487" s="650"/>
      <c r="L487" s="650"/>
      <c r="M487" s="650"/>
      <c r="N487" s="650"/>
      <c r="O487" s="650"/>
      <c r="P487" s="650"/>
      <c r="Q487" s="650"/>
      <c r="R487" s="650"/>
      <c r="S487" s="650"/>
      <c r="T487" s="650"/>
      <c r="U487" s="650"/>
      <c r="V487" s="650"/>
      <c r="W487" s="650"/>
      <c r="X487" s="650"/>
      <c r="Y487" s="650"/>
      <c r="Z487" s="650"/>
    </row>
    <row r="488" spans="1:26" s="204" customFormat="1">
      <c r="A488" s="650"/>
      <c r="B488" s="650"/>
      <c r="C488" s="650"/>
      <c r="D488" s="650"/>
      <c r="E488" s="650"/>
      <c r="F488" s="650"/>
      <c r="G488" s="650"/>
      <c r="H488" s="650"/>
      <c r="I488" s="650"/>
      <c r="J488" s="650"/>
      <c r="K488" s="650"/>
      <c r="L488" s="650"/>
      <c r="M488" s="650"/>
      <c r="N488" s="650"/>
      <c r="O488" s="650"/>
      <c r="P488" s="650"/>
      <c r="Q488" s="650"/>
      <c r="R488" s="650"/>
      <c r="S488" s="650"/>
      <c r="T488" s="650"/>
      <c r="U488" s="650"/>
      <c r="V488" s="650"/>
      <c r="W488" s="650"/>
      <c r="X488" s="650"/>
      <c r="Y488" s="650"/>
      <c r="Z488" s="650"/>
    </row>
    <row r="489" spans="1:26">
      <c r="A489" s="650"/>
      <c r="B489" s="650"/>
      <c r="C489" s="650"/>
      <c r="D489" s="650"/>
      <c r="E489" s="650"/>
      <c r="F489" s="650"/>
      <c r="G489" s="650"/>
      <c r="H489" s="650"/>
      <c r="I489" s="650"/>
      <c r="J489" s="650"/>
      <c r="K489" s="650"/>
      <c r="L489" s="650"/>
      <c r="M489" s="650"/>
      <c r="N489" s="650"/>
      <c r="O489" s="650"/>
      <c r="P489" s="650"/>
      <c r="Q489" s="650"/>
      <c r="R489" s="650"/>
      <c r="S489" s="650"/>
      <c r="T489" s="650"/>
      <c r="U489" s="650"/>
      <c r="V489" s="650"/>
      <c r="W489" s="650"/>
      <c r="X489" s="650"/>
      <c r="Y489" s="650"/>
      <c r="Z489" s="650"/>
    </row>
    <row r="490" spans="1:26" s="205" customFormat="1" ht="13.5" thickBot="1">
      <c r="A490" s="650"/>
      <c r="B490" s="650"/>
      <c r="C490" s="650"/>
      <c r="D490" s="650"/>
      <c r="E490" s="650"/>
      <c r="F490" s="650"/>
      <c r="G490" s="650"/>
      <c r="H490" s="650"/>
      <c r="I490" s="650"/>
      <c r="J490" s="650"/>
      <c r="K490" s="650"/>
      <c r="L490" s="650"/>
      <c r="M490" s="650"/>
      <c r="N490" s="650"/>
      <c r="O490" s="650"/>
      <c r="P490" s="650"/>
      <c r="Q490" s="650"/>
      <c r="R490" s="650"/>
      <c r="S490" s="650"/>
      <c r="T490" s="650"/>
      <c r="U490" s="650"/>
      <c r="V490" s="650"/>
      <c r="W490" s="650"/>
      <c r="X490" s="650"/>
      <c r="Y490" s="650"/>
      <c r="Z490" s="650"/>
    </row>
    <row r="491" spans="1:26" s="204" customFormat="1">
      <c r="A491" s="650"/>
      <c r="B491" s="650"/>
      <c r="C491" s="650"/>
      <c r="D491" s="650"/>
      <c r="E491" s="650"/>
      <c r="F491" s="650"/>
      <c r="G491" s="650"/>
      <c r="H491" s="650"/>
      <c r="I491" s="650"/>
      <c r="J491" s="650"/>
      <c r="K491" s="650"/>
      <c r="L491" s="650"/>
      <c r="M491" s="650"/>
      <c r="N491" s="650"/>
      <c r="O491" s="650"/>
      <c r="P491" s="650"/>
      <c r="Q491" s="650"/>
      <c r="R491" s="650"/>
      <c r="S491" s="650"/>
      <c r="T491" s="650"/>
      <c r="U491" s="650"/>
      <c r="V491" s="650"/>
      <c r="W491" s="650"/>
      <c r="X491" s="650"/>
      <c r="Y491" s="650"/>
      <c r="Z491" s="650"/>
    </row>
    <row r="492" spans="1:26">
      <c r="A492" s="650"/>
      <c r="B492" s="650"/>
      <c r="C492" s="650"/>
      <c r="D492" s="650"/>
      <c r="E492" s="650"/>
      <c r="F492" s="650"/>
      <c r="G492" s="650"/>
      <c r="H492" s="650"/>
      <c r="I492" s="650"/>
      <c r="J492" s="650"/>
      <c r="K492" s="650"/>
      <c r="L492" s="650"/>
      <c r="M492" s="650"/>
      <c r="N492" s="650"/>
      <c r="O492" s="650"/>
      <c r="P492" s="650"/>
      <c r="Q492" s="650"/>
      <c r="R492" s="650"/>
      <c r="S492" s="650"/>
      <c r="T492" s="650"/>
      <c r="U492" s="650"/>
      <c r="V492" s="650"/>
      <c r="W492" s="650"/>
      <c r="X492" s="650"/>
      <c r="Y492" s="650"/>
      <c r="Z492" s="650"/>
    </row>
    <row r="493" spans="1:26" s="205" customFormat="1" ht="13.5" thickBot="1">
      <c r="A493" s="650"/>
      <c r="B493" s="650"/>
      <c r="C493" s="650"/>
      <c r="D493" s="650"/>
      <c r="E493" s="650"/>
      <c r="F493" s="650"/>
      <c r="G493" s="650"/>
      <c r="H493" s="650"/>
      <c r="I493" s="650"/>
      <c r="J493" s="650"/>
      <c r="K493" s="650"/>
      <c r="L493" s="650"/>
      <c r="M493" s="650"/>
      <c r="N493" s="650"/>
      <c r="O493" s="650"/>
      <c r="P493" s="650"/>
      <c r="Q493" s="650"/>
      <c r="R493" s="650"/>
      <c r="S493" s="650"/>
      <c r="T493" s="650"/>
      <c r="U493" s="650"/>
      <c r="V493" s="650"/>
      <c r="W493" s="650"/>
      <c r="X493" s="650"/>
      <c r="Y493" s="650"/>
      <c r="Z493" s="650"/>
    </row>
    <row r="494" spans="1:26" s="204" customFormat="1">
      <c r="A494" s="650"/>
      <c r="B494" s="650"/>
      <c r="C494" s="650"/>
      <c r="D494" s="650"/>
      <c r="E494" s="650"/>
      <c r="F494" s="650"/>
      <c r="G494" s="650"/>
      <c r="H494" s="650"/>
      <c r="I494" s="650"/>
      <c r="J494" s="650"/>
      <c r="K494" s="650"/>
      <c r="L494" s="650"/>
      <c r="M494" s="650"/>
      <c r="N494" s="650"/>
      <c r="O494" s="650"/>
      <c r="P494" s="650"/>
      <c r="Q494" s="650"/>
      <c r="R494" s="650"/>
      <c r="S494" s="650"/>
      <c r="T494" s="650"/>
      <c r="U494" s="650"/>
      <c r="V494" s="650"/>
      <c r="W494" s="650"/>
      <c r="X494" s="650"/>
      <c r="Y494" s="650"/>
      <c r="Z494" s="650"/>
    </row>
    <row r="495" spans="1:26">
      <c r="A495" s="650"/>
      <c r="B495" s="650"/>
      <c r="C495" s="650"/>
      <c r="D495" s="650"/>
      <c r="E495" s="650"/>
      <c r="F495" s="650"/>
      <c r="G495" s="650"/>
      <c r="H495" s="650"/>
      <c r="I495" s="650"/>
      <c r="J495" s="650"/>
      <c r="K495" s="650"/>
      <c r="L495" s="650"/>
      <c r="M495" s="650"/>
      <c r="N495" s="650"/>
      <c r="O495" s="650"/>
      <c r="P495" s="650"/>
      <c r="Q495" s="650"/>
      <c r="R495" s="650"/>
      <c r="S495" s="650"/>
      <c r="T495" s="650"/>
      <c r="U495" s="650"/>
      <c r="V495" s="650"/>
      <c r="W495" s="650"/>
      <c r="X495" s="650"/>
      <c r="Y495" s="650"/>
      <c r="Z495" s="650"/>
    </row>
    <row r="496" spans="1:26" s="205" customFormat="1">
      <c r="A496" s="650"/>
      <c r="B496" s="650"/>
      <c r="C496" s="650"/>
      <c r="D496" s="650"/>
      <c r="E496" s="650"/>
      <c r="F496" s="650"/>
      <c r="G496" s="650"/>
      <c r="H496" s="650"/>
      <c r="I496" s="650"/>
      <c r="J496" s="650"/>
      <c r="K496" s="650"/>
      <c r="L496" s="650"/>
      <c r="M496" s="650"/>
      <c r="N496" s="650"/>
      <c r="O496" s="650"/>
      <c r="P496" s="650"/>
      <c r="Q496" s="650"/>
      <c r="R496" s="650"/>
      <c r="S496" s="650"/>
      <c r="T496" s="650"/>
      <c r="U496" s="650"/>
      <c r="V496" s="650"/>
      <c r="W496" s="650"/>
      <c r="X496" s="650"/>
      <c r="Y496" s="650"/>
      <c r="Z496" s="650"/>
    </row>
    <row r="497" spans="1:26" s="204" customFormat="1">
      <c r="A497" s="650"/>
      <c r="B497" s="650"/>
      <c r="C497" s="650"/>
      <c r="D497" s="650"/>
      <c r="E497" s="650"/>
      <c r="F497" s="650"/>
      <c r="G497" s="650"/>
      <c r="H497" s="650"/>
      <c r="I497" s="650"/>
      <c r="J497" s="650"/>
      <c r="K497" s="650"/>
      <c r="L497" s="650"/>
      <c r="M497" s="650"/>
      <c r="N497" s="650"/>
      <c r="O497" s="650"/>
      <c r="P497" s="650"/>
      <c r="Q497" s="650"/>
      <c r="R497" s="650"/>
      <c r="S497" s="650"/>
      <c r="T497" s="650"/>
      <c r="U497" s="650"/>
      <c r="V497" s="650"/>
      <c r="W497" s="650"/>
      <c r="X497" s="650"/>
      <c r="Y497" s="650"/>
      <c r="Z497" s="650"/>
    </row>
    <row r="498" spans="1:26" ht="13.5" thickBot="1">
      <c r="A498" s="650"/>
      <c r="B498" s="650"/>
      <c r="C498" s="650"/>
      <c r="D498" s="650"/>
      <c r="E498" s="650"/>
      <c r="F498" s="650"/>
      <c r="G498" s="650"/>
      <c r="H498" s="650"/>
      <c r="I498" s="650"/>
      <c r="J498" s="650"/>
      <c r="K498" s="650"/>
      <c r="L498" s="650"/>
      <c r="M498" s="650"/>
      <c r="N498" s="650"/>
      <c r="O498" s="650"/>
      <c r="P498" s="650"/>
      <c r="Q498" s="650"/>
      <c r="R498" s="650"/>
      <c r="S498" s="650"/>
      <c r="T498" s="650"/>
      <c r="U498" s="650"/>
      <c r="V498" s="650"/>
      <c r="W498" s="650"/>
      <c r="X498" s="650"/>
      <c r="Y498" s="650"/>
      <c r="Z498" s="650"/>
    </row>
    <row r="499" spans="1:26" s="205" customFormat="1">
      <c r="A499" s="650"/>
      <c r="B499" s="650"/>
      <c r="C499" s="650"/>
      <c r="D499" s="650"/>
      <c r="E499" s="650"/>
      <c r="F499" s="650"/>
      <c r="G499" s="650"/>
      <c r="H499" s="650"/>
      <c r="I499" s="650"/>
      <c r="J499" s="650"/>
      <c r="K499" s="650"/>
      <c r="L499" s="650"/>
      <c r="M499" s="650"/>
      <c r="N499" s="650"/>
      <c r="O499" s="650"/>
      <c r="P499" s="650"/>
      <c r="Q499" s="650"/>
      <c r="R499" s="650"/>
      <c r="S499" s="650"/>
      <c r="T499" s="650"/>
      <c r="U499" s="650"/>
      <c r="V499" s="650"/>
      <c r="W499" s="650"/>
      <c r="X499" s="650"/>
      <c r="Y499" s="650"/>
      <c r="Z499" s="650"/>
    </row>
    <row r="500" spans="1:26" s="204" customFormat="1">
      <c r="A500" s="650"/>
      <c r="B500" s="650"/>
      <c r="C500" s="650"/>
      <c r="D500" s="650"/>
      <c r="E500" s="650"/>
      <c r="F500" s="650"/>
      <c r="G500" s="650"/>
      <c r="H500" s="650"/>
      <c r="I500" s="650"/>
      <c r="J500" s="650"/>
      <c r="K500" s="650"/>
      <c r="L500" s="650"/>
      <c r="M500" s="650"/>
      <c r="N500" s="650"/>
      <c r="O500" s="650"/>
      <c r="P500" s="650"/>
      <c r="Q500" s="650"/>
      <c r="R500" s="650"/>
      <c r="S500" s="650"/>
      <c r="T500" s="650"/>
      <c r="U500" s="650"/>
      <c r="V500" s="650"/>
      <c r="W500" s="650"/>
      <c r="X500" s="650"/>
      <c r="Y500" s="650"/>
      <c r="Z500" s="650"/>
    </row>
    <row r="501" spans="1:26" ht="13.5" thickBot="1">
      <c r="A501" s="650"/>
      <c r="B501" s="650"/>
      <c r="C501" s="650"/>
      <c r="D501" s="650"/>
      <c r="E501" s="650"/>
      <c r="F501" s="650"/>
      <c r="G501" s="650"/>
      <c r="H501" s="650"/>
      <c r="I501" s="650"/>
      <c r="J501" s="650"/>
      <c r="K501" s="650"/>
      <c r="L501" s="650"/>
      <c r="M501" s="650"/>
      <c r="N501" s="650"/>
      <c r="O501" s="650"/>
      <c r="P501" s="650"/>
      <c r="Q501" s="650"/>
      <c r="R501" s="650"/>
      <c r="S501" s="650"/>
      <c r="T501" s="650"/>
      <c r="U501" s="650"/>
      <c r="V501" s="650"/>
      <c r="W501" s="650"/>
      <c r="X501" s="650"/>
      <c r="Y501" s="650"/>
      <c r="Z501" s="650"/>
    </row>
    <row r="502" spans="1:26" s="205" customFormat="1">
      <c r="A502" s="650"/>
      <c r="B502" s="650"/>
      <c r="C502" s="650"/>
      <c r="D502" s="650"/>
      <c r="E502" s="650"/>
      <c r="F502" s="650"/>
      <c r="G502" s="650"/>
      <c r="H502" s="650"/>
      <c r="I502" s="650"/>
      <c r="J502" s="650"/>
      <c r="K502" s="650"/>
      <c r="L502" s="650"/>
      <c r="M502" s="650"/>
      <c r="N502" s="650"/>
      <c r="O502" s="650"/>
      <c r="P502" s="650"/>
      <c r="Q502" s="650"/>
      <c r="R502" s="650"/>
      <c r="S502" s="650"/>
      <c r="T502" s="650"/>
      <c r="U502" s="650"/>
      <c r="V502" s="650"/>
      <c r="W502" s="650"/>
      <c r="X502" s="650"/>
      <c r="Y502" s="650"/>
      <c r="Z502" s="650"/>
    </row>
    <row r="503" spans="1:26" s="204" customFormat="1">
      <c r="A503" s="650"/>
      <c r="B503" s="650"/>
      <c r="C503" s="650"/>
      <c r="D503" s="650"/>
      <c r="E503" s="650"/>
      <c r="F503" s="650"/>
      <c r="G503" s="650"/>
      <c r="H503" s="650"/>
      <c r="I503" s="650"/>
      <c r="J503" s="650"/>
      <c r="K503" s="650"/>
      <c r="L503" s="650"/>
      <c r="M503" s="650"/>
      <c r="N503" s="650"/>
      <c r="O503" s="650"/>
      <c r="P503" s="650"/>
      <c r="Q503" s="650"/>
      <c r="R503" s="650"/>
      <c r="S503" s="650"/>
      <c r="T503" s="650"/>
      <c r="U503" s="650"/>
      <c r="V503" s="650"/>
      <c r="W503" s="650"/>
      <c r="X503" s="650"/>
      <c r="Y503" s="650"/>
      <c r="Z503" s="650"/>
    </row>
    <row r="504" spans="1:26" ht="13.5" thickBot="1">
      <c r="A504" s="650"/>
      <c r="B504" s="650"/>
      <c r="C504" s="650"/>
      <c r="D504" s="650"/>
      <c r="E504" s="650"/>
      <c r="F504" s="650"/>
      <c r="G504" s="650"/>
      <c r="H504" s="650"/>
      <c r="I504" s="650"/>
      <c r="J504" s="650"/>
      <c r="K504" s="650"/>
      <c r="L504" s="650"/>
      <c r="M504" s="650"/>
      <c r="N504" s="650"/>
      <c r="O504" s="650"/>
      <c r="P504" s="650"/>
      <c r="Q504" s="650"/>
      <c r="R504" s="650"/>
      <c r="S504" s="650"/>
      <c r="T504" s="650"/>
      <c r="U504" s="650"/>
      <c r="V504" s="650"/>
      <c r="W504" s="650"/>
      <c r="X504" s="650"/>
      <c r="Y504" s="650"/>
      <c r="Z504" s="650"/>
    </row>
    <row r="505" spans="1:26" s="205" customFormat="1">
      <c r="A505" s="650"/>
      <c r="B505" s="650"/>
      <c r="C505" s="650"/>
      <c r="D505" s="650"/>
      <c r="E505" s="650"/>
      <c r="F505" s="650"/>
      <c r="G505" s="650"/>
      <c r="H505" s="650"/>
      <c r="I505" s="650"/>
      <c r="J505" s="650"/>
      <c r="K505" s="650"/>
      <c r="L505" s="650"/>
      <c r="M505" s="650"/>
      <c r="N505" s="650"/>
      <c r="O505" s="650"/>
      <c r="P505" s="650"/>
      <c r="Q505" s="650"/>
      <c r="R505" s="650"/>
      <c r="S505" s="650"/>
      <c r="T505" s="650"/>
      <c r="U505" s="650"/>
      <c r="V505" s="650"/>
      <c r="W505" s="650"/>
      <c r="X505" s="650"/>
      <c r="Y505" s="650"/>
      <c r="Z505" s="650"/>
    </row>
    <row r="506" spans="1:26" s="204" customFormat="1">
      <c r="A506" s="650"/>
      <c r="B506" s="650"/>
      <c r="C506" s="650"/>
      <c r="D506" s="650"/>
      <c r="E506" s="650"/>
      <c r="F506" s="650"/>
      <c r="G506" s="650"/>
      <c r="H506" s="650"/>
      <c r="I506" s="650"/>
      <c r="J506" s="650"/>
      <c r="K506" s="650"/>
      <c r="L506" s="650"/>
      <c r="M506" s="650"/>
      <c r="N506" s="650"/>
      <c r="O506" s="650"/>
      <c r="P506" s="650"/>
      <c r="Q506" s="650"/>
      <c r="R506" s="650"/>
      <c r="S506" s="650"/>
      <c r="T506" s="650"/>
      <c r="U506" s="650"/>
      <c r="V506" s="650"/>
      <c r="W506" s="650"/>
      <c r="X506" s="650"/>
      <c r="Y506" s="650"/>
      <c r="Z506" s="650"/>
    </row>
    <row r="507" spans="1:26" ht="13.5" thickBot="1">
      <c r="A507" s="650"/>
      <c r="B507" s="650"/>
      <c r="C507" s="650"/>
      <c r="D507" s="650"/>
      <c r="E507" s="650"/>
      <c r="F507" s="650"/>
      <c r="G507" s="650"/>
      <c r="H507" s="650"/>
      <c r="I507" s="650"/>
      <c r="J507" s="650"/>
      <c r="K507" s="650"/>
      <c r="L507" s="650"/>
      <c r="M507" s="650"/>
      <c r="N507" s="650"/>
      <c r="O507" s="650"/>
      <c r="P507" s="650"/>
      <c r="Q507" s="650"/>
      <c r="R507" s="650"/>
      <c r="S507" s="650"/>
      <c r="T507" s="650"/>
      <c r="U507" s="650"/>
      <c r="V507" s="650"/>
      <c r="W507" s="650"/>
      <c r="X507" s="650"/>
      <c r="Y507" s="650"/>
      <c r="Z507" s="650"/>
    </row>
    <row r="508" spans="1:26" s="205" customFormat="1">
      <c r="A508" s="650"/>
      <c r="B508" s="650"/>
      <c r="C508" s="650"/>
      <c r="D508" s="650"/>
      <c r="E508" s="650"/>
      <c r="F508" s="650"/>
      <c r="G508" s="650"/>
      <c r="H508" s="650"/>
      <c r="I508" s="650"/>
      <c r="J508" s="650"/>
      <c r="K508" s="650"/>
      <c r="L508" s="650"/>
      <c r="M508" s="650"/>
      <c r="N508" s="650"/>
      <c r="O508" s="650"/>
      <c r="P508" s="650"/>
      <c r="Q508" s="650"/>
      <c r="R508" s="650"/>
      <c r="S508" s="650"/>
      <c r="T508" s="650"/>
      <c r="U508" s="650"/>
      <c r="V508" s="650"/>
      <c r="W508" s="650"/>
      <c r="X508" s="650"/>
      <c r="Y508" s="650"/>
      <c r="Z508" s="650"/>
    </row>
    <row r="509" spans="1:26" s="204" customFormat="1">
      <c r="A509" s="650"/>
      <c r="B509" s="650"/>
      <c r="C509" s="650"/>
      <c r="D509" s="650"/>
      <c r="E509" s="650"/>
      <c r="F509" s="650"/>
      <c r="G509" s="650"/>
      <c r="H509" s="650"/>
      <c r="I509" s="650"/>
      <c r="J509" s="650"/>
      <c r="K509" s="650"/>
      <c r="L509" s="650"/>
      <c r="M509" s="650"/>
      <c r="N509" s="650"/>
      <c r="O509" s="650"/>
      <c r="P509" s="650"/>
      <c r="Q509" s="650"/>
      <c r="R509" s="650"/>
      <c r="S509" s="650"/>
      <c r="T509" s="650"/>
      <c r="U509" s="650"/>
      <c r="V509" s="650"/>
      <c r="W509" s="650"/>
      <c r="X509" s="650"/>
      <c r="Y509" s="650"/>
      <c r="Z509" s="650"/>
    </row>
    <row r="510" spans="1:26">
      <c r="A510" s="650"/>
      <c r="B510" s="650"/>
      <c r="C510" s="650"/>
      <c r="D510" s="650"/>
      <c r="E510" s="650"/>
      <c r="F510" s="650"/>
      <c r="G510" s="650"/>
      <c r="H510" s="650"/>
      <c r="I510" s="650"/>
      <c r="J510" s="650"/>
      <c r="K510" s="650"/>
      <c r="L510" s="650"/>
      <c r="M510" s="650"/>
      <c r="N510" s="650"/>
      <c r="O510" s="650"/>
      <c r="P510" s="650"/>
      <c r="Q510" s="650"/>
      <c r="R510" s="650"/>
      <c r="S510" s="650"/>
      <c r="T510" s="650"/>
      <c r="U510" s="650"/>
      <c r="V510" s="650"/>
      <c r="W510" s="650"/>
      <c r="X510" s="650"/>
      <c r="Y510" s="650"/>
      <c r="Z510" s="650"/>
    </row>
    <row r="511" spans="1:26" s="205" customFormat="1" ht="13.5" thickBot="1">
      <c r="A511" s="650"/>
      <c r="B511" s="650"/>
      <c r="C511" s="650"/>
      <c r="D511" s="650"/>
      <c r="E511" s="650"/>
      <c r="F511" s="650"/>
      <c r="G511" s="650"/>
      <c r="H511" s="650"/>
      <c r="I511" s="650"/>
      <c r="J511" s="650"/>
      <c r="K511" s="650"/>
      <c r="L511" s="650"/>
      <c r="M511" s="650"/>
      <c r="N511" s="650"/>
      <c r="O511" s="650"/>
      <c r="P511" s="650"/>
      <c r="Q511" s="650"/>
      <c r="R511" s="650"/>
      <c r="S511" s="650"/>
      <c r="T511" s="650"/>
      <c r="U511" s="650"/>
      <c r="V511" s="650"/>
      <c r="W511" s="650"/>
      <c r="X511" s="650"/>
      <c r="Y511" s="650"/>
      <c r="Z511" s="650"/>
    </row>
    <row r="512" spans="1:26" s="214" customFormat="1" ht="13.5" thickBot="1">
      <c r="A512" s="650"/>
      <c r="B512" s="650"/>
      <c r="C512" s="650"/>
      <c r="D512" s="650"/>
      <c r="E512" s="650"/>
      <c r="F512" s="650"/>
      <c r="G512" s="650"/>
      <c r="H512" s="650"/>
      <c r="I512" s="650"/>
      <c r="J512" s="650"/>
      <c r="K512" s="650"/>
      <c r="L512" s="650"/>
      <c r="M512" s="650"/>
      <c r="N512" s="650"/>
      <c r="O512" s="650"/>
      <c r="P512" s="650"/>
      <c r="Q512" s="650"/>
      <c r="R512" s="650"/>
      <c r="S512" s="650"/>
      <c r="T512" s="650"/>
      <c r="U512" s="650"/>
      <c r="V512" s="650"/>
      <c r="W512" s="650"/>
      <c r="X512" s="650"/>
      <c r="Y512" s="650"/>
      <c r="Z512" s="650"/>
    </row>
    <row r="513" spans="1:26">
      <c r="A513" s="650"/>
      <c r="B513" s="650"/>
      <c r="C513" s="650"/>
      <c r="D513" s="650"/>
      <c r="E513" s="650"/>
      <c r="F513" s="650"/>
      <c r="G513" s="650"/>
      <c r="H513" s="650"/>
      <c r="I513" s="650"/>
      <c r="J513" s="650"/>
      <c r="K513" s="650"/>
      <c r="L513" s="650"/>
      <c r="M513" s="650"/>
      <c r="N513" s="650"/>
      <c r="O513" s="650"/>
      <c r="P513" s="650"/>
      <c r="Q513" s="650"/>
      <c r="R513" s="650"/>
      <c r="S513" s="650"/>
      <c r="T513" s="650"/>
      <c r="U513" s="650"/>
      <c r="V513" s="650"/>
      <c r="W513" s="650"/>
      <c r="X513" s="650"/>
      <c r="Y513" s="650"/>
      <c r="Z513" s="650"/>
    </row>
    <row r="514" spans="1:26" s="205" customFormat="1">
      <c r="A514" s="650"/>
      <c r="B514" s="650"/>
      <c r="C514" s="650"/>
      <c r="D514" s="650"/>
      <c r="E514" s="650"/>
      <c r="F514" s="650"/>
      <c r="G514" s="650"/>
      <c r="H514" s="650"/>
      <c r="I514" s="650"/>
      <c r="J514" s="650"/>
      <c r="K514" s="650"/>
      <c r="L514" s="650"/>
      <c r="M514" s="650"/>
      <c r="N514" s="650"/>
      <c r="O514" s="650"/>
      <c r="P514" s="650"/>
      <c r="Q514" s="650"/>
      <c r="R514" s="650"/>
      <c r="S514" s="650"/>
      <c r="T514" s="650"/>
      <c r="U514" s="650"/>
      <c r="V514" s="650"/>
      <c r="W514" s="650"/>
      <c r="X514" s="650"/>
      <c r="Y514" s="650"/>
      <c r="Z514" s="650"/>
    </row>
    <row r="515" spans="1:26" s="204" customFormat="1" ht="13.5" thickBot="1">
      <c r="A515" s="650"/>
      <c r="B515" s="650"/>
      <c r="C515" s="650"/>
      <c r="D515" s="650"/>
      <c r="E515" s="650"/>
      <c r="F515" s="650"/>
      <c r="G515" s="650"/>
      <c r="H515" s="650"/>
      <c r="I515" s="650"/>
      <c r="J515" s="650"/>
      <c r="K515" s="650"/>
      <c r="L515" s="650"/>
      <c r="M515" s="650"/>
      <c r="N515" s="650"/>
      <c r="O515" s="650"/>
      <c r="P515" s="650"/>
      <c r="Q515" s="650"/>
      <c r="R515" s="650"/>
      <c r="S515" s="650"/>
      <c r="T515" s="650"/>
      <c r="U515" s="650"/>
      <c r="V515" s="650"/>
      <c r="W515" s="650"/>
      <c r="X515" s="650"/>
      <c r="Y515" s="650"/>
      <c r="Z515" s="650"/>
    </row>
    <row r="516" spans="1:26">
      <c r="A516" s="650"/>
      <c r="B516" s="650"/>
      <c r="C516" s="650"/>
      <c r="D516" s="650"/>
      <c r="E516" s="650"/>
      <c r="F516" s="650"/>
      <c r="G516" s="650"/>
      <c r="H516" s="650"/>
      <c r="I516" s="650"/>
      <c r="J516" s="650"/>
      <c r="K516" s="650"/>
      <c r="L516" s="650"/>
      <c r="M516" s="650"/>
      <c r="N516" s="650"/>
      <c r="O516" s="650"/>
      <c r="P516" s="650"/>
      <c r="Q516" s="650"/>
      <c r="R516" s="650"/>
      <c r="S516" s="650"/>
      <c r="T516" s="650"/>
      <c r="U516" s="650"/>
      <c r="V516" s="650"/>
      <c r="W516" s="650"/>
      <c r="X516" s="650"/>
      <c r="Y516" s="650"/>
      <c r="Z516" s="650"/>
    </row>
    <row r="517" spans="1:26" s="205" customFormat="1">
      <c r="A517" s="650"/>
      <c r="B517" s="650"/>
      <c r="C517" s="650"/>
      <c r="D517" s="650"/>
      <c r="E517" s="650"/>
      <c r="F517" s="650"/>
      <c r="G517" s="650"/>
      <c r="H517" s="650"/>
      <c r="I517" s="650"/>
      <c r="J517" s="650"/>
      <c r="K517" s="650"/>
      <c r="L517" s="650"/>
      <c r="M517" s="650"/>
      <c r="N517" s="650"/>
      <c r="O517" s="650"/>
      <c r="P517" s="650"/>
      <c r="Q517" s="650"/>
      <c r="R517" s="650"/>
      <c r="S517" s="650"/>
      <c r="T517" s="650"/>
      <c r="U517" s="650"/>
      <c r="V517" s="650"/>
      <c r="W517" s="650"/>
      <c r="X517" s="650"/>
      <c r="Y517" s="650"/>
      <c r="Z517" s="650"/>
    </row>
    <row r="518" spans="1:26" s="204" customFormat="1" ht="13.5" thickBot="1">
      <c r="A518" s="650"/>
      <c r="B518" s="650"/>
      <c r="C518" s="650"/>
      <c r="D518" s="650"/>
      <c r="E518" s="650"/>
      <c r="F518" s="650"/>
      <c r="G518" s="650"/>
      <c r="H518" s="650"/>
      <c r="I518" s="650"/>
      <c r="J518" s="650"/>
      <c r="K518" s="650"/>
      <c r="L518" s="650"/>
      <c r="M518" s="650"/>
      <c r="N518" s="650"/>
      <c r="O518" s="650"/>
      <c r="P518" s="650"/>
      <c r="Q518" s="650"/>
      <c r="R518" s="650"/>
      <c r="S518" s="650"/>
      <c r="T518" s="650"/>
      <c r="U518" s="650"/>
      <c r="V518" s="650"/>
      <c r="W518" s="650"/>
      <c r="X518" s="650"/>
      <c r="Y518" s="650"/>
      <c r="Z518" s="650"/>
    </row>
    <row r="519" spans="1:26">
      <c r="A519" s="650"/>
      <c r="B519" s="650"/>
      <c r="C519" s="650"/>
      <c r="D519" s="650"/>
      <c r="E519" s="650"/>
      <c r="F519" s="650"/>
      <c r="G519" s="650"/>
      <c r="H519" s="650"/>
      <c r="I519" s="650"/>
      <c r="J519" s="650"/>
      <c r="K519" s="650"/>
      <c r="L519" s="650"/>
      <c r="M519" s="650"/>
      <c r="N519" s="650"/>
      <c r="O519" s="650"/>
      <c r="P519" s="650"/>
      <c r="Q519" s="650"/>
      <c r="R519" s="650"/>
      <c r="S519" s="650"/>
      <c r="T519" s="650"/>
      <c r="U519" s="650"/>
      <c r="V519" s="650"/>
      <c r="W519" s="650"/>
      <c r="X519" s="650"/>
      <c r="Y519" s="650"/>
      <c r="Z519" s="650"/>
    </row>
    <row r="520" spans="1:26" s="205" customFormat="1">
      <c r="A520" s="650"/>
      <c r="B520" s="650"/>
      <c r="C520" s="650"/>
      <c r="D520" s="650"/>
      <c r="E520" s="650"/>
      <c r="F520" s="650"/>
      <c r="G520" s="650"/>
      <c r="H520" s="650"/>
      <c r="I520" s="650"/>
      <c r="J520" s="650"/>
      <c r="K520" s="650"/>
      <c r="L520" s="650"/>
      <c r="M520" s="650"/>
      <c r="N520" s="650"/>
      <c r="O520" s="650"/>
      <c r="P520" s="650"/>
      <c r="Q520" s="650"/>
      <c r="R520" s="650"/>
      <c r="S520" s="650"/>
      <c r="T520" s="650"/>
      <c r="U520" s="650"/>
      <c r="V520" s="650"/>
      <c r="W520" s="650"/>
      <c r="X520" s="650"/>
      <c r="Y520" s="650"/>
      <c r="Z520" s="650"/>
    </row>
    <row r="521" spans="1:26" s="204" customFormat="1" ht="13.5" thickBot="1">
      <c r="A521" s="650"/>
      <c r="B521" s="650"/>
      <c r="C521" s="650"/>
      <c r="D521" s="650"/>
      <c r="E521" s="650"/>
      <c r="F521" s="650"/>
      <c r="G521" s="650"/>
      <c r="H521" s="650"/>
      <c r="I521" s="650"/>
      <c r="J521" s="650"/>
      <c r="K521" s="650"/>
      <c r="L521" s="650"/>
      <c r="M521" s="650"/>
      <c r="N521" s="650"/>
      <c r="O521" s="650"/>
      <c r="P521" s="650"/>
      <c r="Q521" s="650"/>
      <c r="R521" s="650"/>
      <c r="S521" s="650"/>
      <c r="T521" s="650"/>
      <c r="U521" s="650"/>
      <c r="V521" s="650"/>
      <c r="W521" s="650"/>
      <c r="X521" s="650"/>
      <c r="Y521" s="650"/>
      <c r="Z521" s="650"/>
    </row>
    <row r="522" spans="1:26" ht="13.5" thickBot="1">
      <c r="A522" s="650"/>
      <c r="B522" s="650"/>
      <c r="C522" s="650"/>
      <c r="D522" s="650"/>
      <c r="E522" s="650"/>
      <c r="F522" s="650"/>
      <c r="G522" s="650"/>
      <c r="H522" s="650"/>
      <c r="I522" s="650"/>
      <c r="J522" s="650"/>
      <c r="K522" s="650"/>
      <c r="L522" s="650"/>
      <c r="M522" s="650"/>
      <c r="N522" s="650"/>
      <c r="O522" s="650"/>
      <c r="P522" s="650"/>
      <c r="Q522" s="650"/>
      <c r="R522" s="650"/>
      <c r="S522" s="650"/>
      <c r="T522" s="650"/>
      <c r="U522" s="650"/>
      <c r="V522" s="650"/>
      <c r="W522" s="650"/>
      <c r="X522" s="650"/>
      <c r="Y522" s="650"/>
      <c r="Z522" s="650"/>
    </row>
    <row r="523" spans="1:26" s="205" customFormat="1">
      <c r="A523" s="650"/>
      <c r="B523" s="650"/>
      <c r="C523" s="650"/>
      <c r="D523" s="650"/>
      <c r="E523" s="650"/>
      <c r="F523" s="650"/>
      <c r="G523" s="650"/>
      <c r="H523" s="650"/>
      <c r="I523" s="650"/>
      <c r="J523" s="650"/>
      <c r="K523" s="650"/>
      <c r="L523" s="650"/>
      <c r="M523" s="650"/>
      <c r="N523" s="650"/>
      <c r="O523" s="650"/>
      <c r="P523" s="650"/>
      <c r="Q523" s="650"/>
      <c r="R523" s="650"/>
      <c r="S523" s="650"/>
      <c r="T523" s="650"/>
      <c r="U523" s="650"/>
      <c r="V523" s="650"/>
      <c r="W523" s="650"/>
      <c r="X523" s="650"/>
      <c r="Y523" s="650"/>
      <c r="Z523" s="650"/>
    </row>
    <row r="524" spans="1:26" s="204" customFormat="1">
      <c r="A524" s="650"/>
      <c r="B524" s="650"/>
      <c r="C524" s="650"/>
      <c r="D524" s="650"/>
      <c r="E524" s="650"/>
      <c r="F524" s="650"/>
      <c r="G524" s="650"/>
      <c r="H524" s="650"/>
      <c r="I524" s="650"/>
      <c r="J524" s="650"/>
      <c r="K524" s="650"/>
      <c r="L524" s="650"/>
      <c r="M524" s="650"/>
      <c r="N524" s="650"/>
      <c r="O524" s="650"/>
      <c r="P524" s="650"/>
      <c r="Q524" s="650"/>
      <c r="R524" s="650"/>
      <c r="S524" s="650"/>
      <c r="T524" s="650"/>
      <c r="U524" s="650"/>
      <c r="V524" s="650"/>
      <c r="W524" s="650"/>
      <c r="X524" s="650"/>
      <c r="Y524" s="650"/>
      <c r="Z524" s="650"/>
    </row>
    <row r="525" spans="1:26" ht="13.5" thickBot="1">
      <c r="A525" s="650"/>
      <c r="B525" s="650"/>
      <c r="C525" s="650"/>
      <c r="D525" s="650"/>
      <c r="E525" s="650"/>
      <c r="F525" s="650"/>
      <c r="G525" s="650"/>
      <c r="H525" s="650"/>
      <c r="I525" s="650"/>
      <c r="J525" s="650"/>
      <c r="K525" s="650"/>
      <c r="L525" s="650"/>
      <c r="M525" s="650"/>
      <c r="N525" s="650"/>
      <c r="O525" s="650"/>
      <c r="P525" s="650"/>
      <c r="Q525" s="650"/>
      <c r="R525" s="650"/>
      <c r="S525" s="650"/>
      <c r="T525" s="650"/>
      <c r="U525" s="650"/>
      <c r="V525" s="650"/>
      <c r="W525" s="650"/>
      <c r="X525" s="650"/>
      <c r="Y525" s="650"/>
      <c r="Z525" s="650"/>
    </row>
    <row r="526" spans="1:26" s="205" customFormat="1">
      <c r="A526" s="650"/>
      <c r="B526" s="650"/>
      <c r="C526" s="650"/>
      <c r="D526" s="650"/>
      <c r="E526" s="650"/>
      <c r="F526" s="650"/>
      <c r="G526" s="650"/>
      <c r="H526" s="650"/>
      <c r="I526" s="650"/>
      <c r="J526" s="650"/>
      <c r="K526" s="650"/>
      <c r="L526" s="650"/>
      <c r="M526" s="650"/>
      <c r="N526" s="650"/>
      <c r="O526" s="650"/>
      <c r="P526" s="650"/>
      <c r="Q526" s="650"/>
      <c r="R526" s="650"/>
      <c r="S526" s="650"/>
      <c r="T526" s="650"/>
      <c r="U526" s="650"/>
      <c r="V526" s="650"/>
      <c r="W526" s="650"/>
      <c r="X526" s="650"/>
      <c r="Y526" s="650"/>
      <c r="Z526" s="650"/>
    </row>
    <row r="527" spans="1:26" s="204" customFormat="1">
      <c r="A527" s="650"/>
      <c r="B527" s="650"/>
      <c r="C527" s="650"/>
      <c r="D527" s="650"/>
      <c r="E527" s="650"/>
      <c r="F527" s="650"/>
      <c r="G527" s="650"/>
      <c r="H527" s="650"/>
      <c r="I527" s="650"/>
      <c r="J527" s="650"/>
      <c r="K527" s="650"/>
      <c r="L527" s="650"/>
      <c r="M527" s="650"/>
      <c r="N527" s="650"/>
      <c r="O527" s="650"/>
      <c r="P527" s="650"/>
      <c r="Q527" s="650"/>
      <c r="R527" s="650"/>
      <c r="S527" s="650"/>
      <c r="T527" s="650"/>
      <c r="U527" s="650"/>
      <c r="V527" s="650"/>
      <c r="W527" s="650"/>
      <c r="X527" s="650"/>
      <c r="Y527" s="650"/>
      <c r="Z527" s="650"/>
    </row>
    <row r="528" spans="1:26">
      <c r="A528" s="650"/>
      <c r="B528" s="650"/>
      <c r="C528" s="650"/>
      <c r="D528" s="650"/>
      <c r="E528" s="650"/>
      <c r="F528" s="650"/>
      <c r="G528" s="650"/>
      <c r="H528" s="650"/>
      <c r="I528" s="650"/>
      <c r="J528" s="650"/>
      <c r="K528" s="650"/>
      <c r="L528" s="650"/>
      <c r="M528" s="650"/>
      <c r="N528" s="650"/>
      <c r="O528" s="650"/>
      <c r="P528" s="650"/>
      <c r="Q528" s="650"/>
      <c r="R528" s="650"/>
      <c r="S528" s="650"/>
      <c r="T528" s="650"/>
      <c r="U528" s="650"/>
      <c r="V528" s="650"/>
      <c r="W528" s="650"/>
      <c r="X528" s="650"/>
      <c r="Y528" s="650"/>
      <c r="Z528" s="650"/>
    </row>
    <row r="529" spans="1:26" s="205" customFormat="1" ht="13.5" thickBot="1">
      <c r="A529" s="650"/>
      <c r="B529" s="650"/>
      <c r="C529" s="650"/>
      <c r="D529" s="650"/>
      <c r="E529" s="650"/>
      <c r="F529" s="650"/>
      <c r="G529" s="650"/>
      <c r="H529" s="650"/>
      <c r="I529" s="650"/>
      <c r="J529" s="650"/>
      <c r="K529" s="650"/>
      <c r="L529" s="650"/>
      <c r="M529" s="650"/>
      <c r="N529" s="650"/>
      <c r="O529" s="650"/>
      <c r="P529" s="650"/>
      <c r="Q529" s="650"/>
      <c r="R529" s="650"/>
      <c r="S529" s="650"/>
      <c r="T529" s="650"/>
      <c r="U529" s="650"/>
      <c r="V529" s="650"/>
      <c r="W529" s="650"/>
      <c r="X529" s="650"/>
      <c r="Y529" s="650"/>
      <c r="Z529" s="650"/>
    </row>
    <row r="530" spans="1:26" s="204" customFormat="1" ht="13.5" thickBot="1">
      <c r="A530" s="650"/>
      <c r="B530" s="650"/>
      <c r="C530" s="650"/>
      <c r="D530" s="650"/>
      <c r="E530" s="650"/>
      <c r="F530" s="650"/>
      <c r="G530" s="650"/>
      <c r="H530" s="650"/>
      <c r="I530" s="650"/>
      <c r="J530" s="650"/>
      <c r="K530" s="650"/>
      <c r="L530" s="650"/>
      <c r="M530" s="650"/>
      <c r="N530" s="650"/>
      <c r="O530" s="650"/>
      <c r="P530" s="650"/>
      <c r="Q530" s="650"/>
      <c r="R530" s="650"/>
      <c r="S530" s="650"/>
      <c r="T530" s="650"/>
      <c r="U530" s="650"/>
      <c r="V530" s="650"/>
      <c r="W530" s="650"/>
      <c r="X530" s="650"/>
      <c r="Y530" s="650"/>
      <c r="Z530" s="650"/>
    </row>
    <row r="531" spans="1:26">
      <c r="A531" s="650"/>
      <c r="B531" s="650"/>
      <c r="C531" s="650"/>
      <c r="D531" s="650"/>
      <c r="E531" s="650"/>
      <c r="F531" s="650"/>
      <c r="G531" s="650"/>
      <c r="H531" s="650"/>
      <c r="I531" s="650"/>
      <c r="J531" s="650"/>
      <c r="K531" s="650"/>
      <c r="L531" s="650"/>
      <c r="M531" s="650"/>
      <c r="N531" s="650"/>
      <c r="O531" s="650"/>
      <c r="P531" s="650"/>
      <c r="Q531" s="650"/>
      <c r="R531" s="650"/>
      <c r="S531" s="650"/>
      <c r="T531" s="650"/>
      <c r="U531" s="650"/>
      <c r="V531" s="650"/>
      <c r="W531" s="650"/>
      <c r="X531" s="650"/>
      <c r="Y531" s="650"/>
      <c r="Z531" s="650"/>
    </row>
    <row r="532" spans="1:26" s="205" customFormat="1">
      <c r="A532" s="650"/>
      <c r="B532" s="650"/>
      <c r="C532" s="650"/>
      <c r="D532" s="650"/>
      <c r="E532" s="650"/>
      <c r="F532" s="650"/>
      <c r="G532" s="650"/>
      <c r="H532" s="650"/>
      <c r="I532" s="650"/>
      <c r="J532" s="650"/>
      <c r="K532" s="650"/>
      <c r="L532" s="650"/>
      <c r="M532" s="650"/>
      <c r="N532" s="650"/>
      <c r="O532" s="650"/>
      <c r="P532" s="650"/>
      <c r="Q532" s="650"/>
      <c r="R532" s="650"/>
      <c r="S532" s="650"/>
      <c r="T532" s="650"/>
      <c r="U532" s="650"/>
      <c r="V532" s="650"/>
      <c r="W532" s="650"/>
      <c r="X532" s="650"/>
      <c r="Y532" s="650"/>
      <c r="Z532" s="650"/>
    </row>
    <row r="533" spans="1:26" s="204" customFormat="1" ht="13.5" thickBot="1">
      <c r="A533" s="650"/>
      <c r="B533" s="650"/>
      <c r="C533" s="650"/>
      <c r="D533" s="650"/>
      <c r="E533" s="650"/>
      <c r="F533" s="650"/>
      <c r="G533" s="650"/>
      <c r="H533" s="650"/>
      <c r="I533" s="650"/>
      <c r="J533" s="650"/>
      <c r="K533" s="650"/>
      <c r="L533" s="650"/>
      <c r="M533" s="650"/>
      <c r="N533" s="650"/>
      <c r="O533" s="650"/>
      <c r="P533" s="650"/>
      <c r="Q533" s="650"/>
      <c r="R533" s="650"/>
      <c r="S533" s="650"/>
      <c r="T533" s="650"/>
      <c r="U533" s="650"/>
      <c r="V533" s="650"/>
      <c r="W533" s="650"/>
      <c r="X533" s="650"/>
      <c r="Y533" s="650"/>
      <c r="Z533" s="650"/>
    </row>
    <row r="534" spans="1:26">
      <c r="A534" s="650"/>
      <c r="B534" s="650"/>
      <c r="C534" s="650"/>
      <c r="D534" s="650"/>
      <c r="E534" s="650"/>
      <c r="F534" s="650"/>
      <c r="G534" s="650"/>
      <c r="H534" s="650"/>
      <c r="I534" s="650"/>
      <c r="J534" s="650"/>
      <c r="K534" s="650"/>
      <c r="L534" s="650"/>
      <c r="M534" s="650"/>
      <c r="N534" s="650"/>
      <c r="O534" s="650"/>
      <c r="P534" s="650"/>
      <c r="Q534" s="650"/>
      <c r="R534" s="650"/>
      <c r="S534" s="650"/>
      <c r="T534" s="650"/>
      <c r="U534" s="650"/>
      <c r="V534" s="650"/>
      <c r="W534" s="650"/>
      <c r="X534" s="650"/>
      <c r="Y534" s="650"/>
      <c r="Z534" s="650"/>
    </row>
    <row r="535" spans="1:26" s="205" customFormat="1">
      <c r="A535" s="650"/>
      <c r="B535" s="650"/>
      <c r="C535" s="650"/>
      <c r="D535" s="650"/>
      <c r="E535" s="650"/>
      <c r="F535" s="650"/>
      <c r="G535" s="650"/>
      <c r="H535" s="650"/>
      <c r="I535" s="650"/>
      <c r="J535" s="650"/>
      <c r="K535" s="650"/>
      <c r="L535" s="650"/>
      <c r="M535" s="650"/>
      <c r="N535" s="650"/>
      <c r="O535" s="650"/>
      <c r="P535" s="650"/>
      <c r="Q535" s="650"/>
      <c r="R535" s="650"/>
      <c r="S535" s="650"/>
      <c r="T535" s="650"/>
      <c r="U535" s="650"/>
      <c r="V535" s="650"/>
      <c r="W535" s="650"/>
      <c r="X535" s="650"/>
      <c r="Y535" s="650"/>
      <c r="Z535" s="650"/>
    </row>
    <row r="536" spans="1:26" s="204" customFormat="1" ht="13.5" thickBot="1">
      <c r="A536" s="650"/>
      <c r="B536" s="650"/>
      <c r="C536" s="650"/>
      <c r="D536" s="650"/>
      <c r="E536" s="650"/>
      <c r="F536" s="650"/>
      <c r="G536" s="650"/>
      <c r="H536" s="650"/>
      <c r="I536" s="650"/>
      <c r="J536" s="650"/>
      <c r="K536" s="650"/>
      <c r="L536" s="650"/>
      <c r="M536" s="650"/>
      <c r="N536" s="650"/>
      <c r="O536" s="650"/>
      <c r="P536" s="650"/>
      <c r="Q536" s="650"/>
      <c r="R536" s="650"/>
      <c r="S536" s="650"/>
      <c r="T536" s="650"/>
      <c r="U536" s="650"/>
      <c r="V536" s="650"/>
      <c r="W536" s="650"/>
      <c r="X536" s="650"/>
      <c r="Y536" s="650"/>
      <c r="Z536" s="650"/>
    </row>
    <row r="537" spans="1:26">
      <c r="A537" s="650"/>
      <c r="B537" s="650"/>
      <c r="C537" s="650"/>
      <c r="D537" s="650"/>
      <c r="E537" s="650"/>
      <c r="F537" s="650"/>
      <c r="G537" s="650"/>
      <c r="H537" s="650"/>
      <c r="I537" s="650"/>
      <c r="J537" s="650"/>
      <c r="K537" s="650"/>
      <c r="L537" s="650"/>
      <c r="M537" s="650"/>
      <c r="N537" s="650"/>
      <c r="O537" s="650"/>
      <c r="P537" s="650"/>
      <c r="Q537" s="650"/>
      <c r="R537" s="650"/>
      <c r="S537" s="650"/>
      <c r="T537" s="650"/>
      <c r="U537" s="650"/>
      <c r="V537" s="650"/>
      <c r="W537" s="650"/>
      <c r="X537" s="650"/>
      <c r="Y537" s="650"/>
      <c r="Z537" s="650"/>
    </row>
    <row r="538" spans="1:26" s="205" customFormat="1">
      <c r="A538" s="650"/>
      <c r="B538" s="650"/>
      <c r="C538" s="650"/>
      <c r="D538" s="650"/>
      <c r="E538" s="650"/>
      <c r="F538" s="650"/>
      <c r="G538" s="650"/>
      <c r="H538" s="650"/>
      <c r="I538" s="650"/>
      <c r="J538" s="650"/>
      <c r="K538" s="650"/>
      <c r="L538" s="650"/>
      <c r="M538" s="650"/>
      <c r="N538" s="650"/>
      <c r="O538" s="650"/>
      <c r="P538" s="650"/>
      <c r="Q538" s="650"/>
      <c r="R538" s="650"/>
      <c r="S538" s="650"/>
      <c r="T538" s="650"/>
      <c r="U538" s="650"/>
      <c r="V538" s="650"/>
      <c r="W538" s="650"/>
      <c r="X538" s="650"/>
      <c r="Y538" s="650"/>
      <c r="Z538" s="650"/>
    </row>
    <row r="539" spans="1:26" s="204" customFormat="1" ht="13.5" thickBot="1">
      <c r="A539" s="650"/>
      <c r="B539" s="650"/>
      <c r="C539" s="650"/>
      <c r="D539" s="650"/>
      <c r="E539" s="650"/>
      <c r="F539" s="650"/>
      <c r="G539" s="650"/>
      <c r="H539" s="650"/>
      <c r="I539" s="650"/>
      <c r="J539" s="650"/>
      <c r="K539" s="650"/>
      <c r="L539" s="650"/>
      <c r="M539" s="650"/>
      <c r="N539" s="650"/>
      <c r="O539" s="650"/>
      <c r="P539" s="650"/>
      <c r="Q539" s="650"/>
      <c r="R539" s="650"/>
      <c r="S539" s="650"/>
      <c r="T539" s="650"/>
      <c r="U539" s="650"/>
      <c r="V539" s="650"/>
      <c r="W539" s="650"/>
      <c r="X539" s="650"/>
      <c r="Y539" s="650"/>
      <c r="Z539" s="650"/>
    </row>
    <row r="540" spans="1:26">
      <c r="A540" s="650"/>
      <c r="B540" s="650"/>
      <c r="C540" s="650"/>
      <c r="D540" s="650"/>
      <c r="E540" s="650"/>
      <c r="F540" s="650"/>
      <c r="G540" s="650"/>
      <c r="H540" s="650"/>
      <c r="I540" s="650"/>
      <c r="J540" s="650"/>
      <c r="K540" s="650"/>
      <c r="L540" s="650"/>
      <c r="M540" s="650"/>
      <c r="N540" s="650"/>
      <c r="O540" s="650"/>
      <c r="P540" s="650"/>
      <c r="Q540" s="650"/>
      <c r="R540" s="650"/>
      <c r="S540" s="650"/>
      <c r="T540" s="650"/>
      <c r="U540" s="650"/>
      <c r="V540" s="650"/>
      <c r="W540" s="650"/>
      <c r="X540" s="650"/>
      <c r="Y540" s="650"/>
      <c r="Z540" s="650"/>
    </row>
    <row r="541" spans="1:26" s="205" customFormat="1">
      <c r="A541" s="650"/>
      <c r="B541" s="650"/>
      <c r="C541" s="650"/>
      <c r="D541" s="650"/>
      <c r="E541" s="650"/>
      <c r="F541" s="650"/>
      <c r="G541" s="650"/>
      <c r="H541" s="650"/>
      <c r="I541" s="650"/>
      <c r="J541" s="650"/>
      <c r="K541" s="650"/>
      <c r="L541" s="650"/>
      <c r="M541" s="650"/>
      <c r="N541" s="650"/>
      <c r="O541" s="650"/>
      <c r="P541" s="650"/>
      <c r="Q541" s="650"/>
      <c r="R541" s="650"/>
      <c r="S541" s="650"/>
      <c r="T541" s="650"/>
      <c r="U541" s="650"/>
      <c r="V541" s="650"/>
      <c r="W541" s="650"/>
      <c r="X541" s="650"/>
      <c r="Y541" s="650"/>
      <c r="Z541" s="650"/>
    </row>
    <row r="542" spans="1:26" s="204" customFormat="1" ht="13.5" thickBot="1">
      <c r="A542" s="650"/>
      <c r="B542" s="650"/>
      <c r="C542" s="650"/>
      <c r="D542" s="650"/>
      <c r="E542" s="650"/>
      <c r="F542" s="650"/>
      <c r="G542" s="650"/>
      <c r="H542" s="650"/>
      <c r="I542" s="650"/>
      <c r="J542" s="650"/>
      <c r="K542" s="650"/>
      <c r="L542" s="650"/>
      <c r="M542" s="650"/>
      <c r="N542" s="650"/>
      <c r="O542" s="650"/>
      <c r="P542" s="650"/>
      <c r="Q542" s="650"/>
      <c r="R542" s="650"/>
      <c r="S542" s="650"/>
      <c r="T542" s="650"/>
      <c r="U542" s="650"/>
      <c r="V542" s="650"/>
      <c r="W542" s="650"/>
      <c r="X542" s="650"/>
      <c r="Y542" s="650"/>
      <c r="Z542" s="650"/>
    </row>
    <row r="543" spans="1:26">
      <c r="A543" s="650"/>
      <c r="B543" s="650"/>
      <c r="C543" s="650"/>
      <c r="D543" s="650"/>
      <c r="E543" s="650"/>
      <c r="F543" s="650"/>
      <c r="G543" s="650"/>
      <c r="H543" s="650"/>
      <c r="I543" s="650"/>
      <c r="J543" s="650"/>
      <c r="K543" s="650"/>
      <c r="L543" s="650"/>
      <c r="M543" s="650"/>
      <c r="N543" s="650"/>
      <c r="O543" s="650"/>
      <c r="P543" s="650"/>
      <c r="Q543" s="650"/>
      <c r="R543" s="650"/>
      <c r="S543" s="650"/>
      <c r="T543" s="650"/>
      <c r="U543" s="650"/>
      <c r="V543" s="650"/>
      <c r="W543" s="650"/>
      <c r="X543" s="650"/>
      <c r="Y543" s="650"/>
      <c r="Z543" s="650"/>
    </row>
    <row r="544" spans="1:26" s="205" customFormat="1">
      <c r="A544" s="650"/>
      <c r="B544" s="650"/>
      <c r="C544" s="650"/>
      <c r="D544" s="650"/>
      <c r="E544" s="650"/>
      <c r="F544" s="650"/>
      <c r="G544" s="650"/>
      <c r="H544" s="650"/>
      <c r="I544" s="650"/>
      <c r="J544" s="650"/>
      <c r="K544" s="650"/>
      <c r="L544" s="650"/>
      <c r="M544" s="650"/>
      <c r="N544" s="650"/>
      <c r="O544" s="650"/>
      <c r="P544" s="650"/>
      <c r="Q544" s="650"/>
      <c r="R544" s="650"/>
      <c r="S544" s="650"/>
      <c r="T544" s="650"/>
      <c r="U544" s="650"/>
      <c r="V544" s="650"/>
      <c r="W544" s="650"/>
      <c r="X544" s="650"/>
      <c r="Y544" s="650"/>
      <c r="Z544" s="650"/>
    </row>
    <row r="545" spans="1:26" s="204" customFormat="1" ht="13.5" thickBot="1">
      <c r="A545" s="650"/>
      <c r="B545" s="650"/>
      <c r="C545" s="650"/>
      <c r="D545" s="650"/>
      <c r="E545" s="650"/>
      <c r="F545" s="650"/>
      <c r="G545" s="650"/>
      <c r="H545" s="650"/>
      <c r="I545" s="650"/>
      <c r="J545" s="650"/>
      <c r="K545" s="650"/>
      <c r="L545" s="650"/>
      <c r="M545" s="650"/>
      <c r="N545" s="650"/>
      <c r="O545" s="650"/>
      <c r="P545" s="650"/>
      <c r="Q545" s="650"/>
      <c r="R545" s="650"/>
      <c r="S545" s="650"/>
      <c r="T545" s="650"/>
      <c r="U545" s="650"/>
      <c r="V545" s="650"/>
      <c r="W545" s="650"/>
      <c r="X545" s="650"/>
      <c r="Y545" s="650"/>
      <c r="Z545" s="650"/>
    </row>
    <row r="546" spans="1:26">
      <c r="A546" s="650"/>
      <c r="B546" s="650"/>
      <c r="C546" s="650"/>
      <c r="D546" s="650"/>
      <c r="E546" s="650"/>
      <c r="F546" s="650"/>
      <c r="G546" s="650"/>
      <c r="H546" s="650"/>
      <c r="I546" s="650"/>
      <c r="J546" s="650"/>
      <c r="K546" s="650"/>
      <c r="L546" s="650"/>
      <c r="M546" s="650"/>
      <c r="N546" s="650"/>
      <c r="O546" s="650"/>
      <c r="P546" s="650"/>
      <c r="Q546" s="650"/>
      <c r="R546" s="650"/>
      <c r="S546" s="650"/>
      <c r="T546" s="650"/>
      <c r="U546" s="650"/>
      <c r="V546" s="650"/>
      <c r="W546" s="650"/>
      <c r="X546" s="650"/>
      <c r="Y546" s="650"/>
      <c r="Z546" s="650"/>
    </row>
    <row r="547" spans="1:26" s="205" customFormat="1">
      <c r="A547" s="650"/>
      <c r="B547" s="650"/>
      <c r="C547" s="650"/>
      <c r="D547" s="650"/>
      <c r="E547" s="650"/>
      <c r="F547" s="650"/>
      <c r="G547" s="650"/>
      <c r="H547" s="650"/>
      <c r="I547" s="650"/>
      <c r="J547" s="650"/>
      <c r="K547" s="650"/>
      <c r="L547" s="650"/>
      <c r="M547" s="650"/>
      <c r="N547" s="650"/>
      <c r="O547" s="650"/>
      <c r="P547" s="650"/>
      <c r="Q547" s="650"/>
      <c r="R547" s="650"/>
      <c r="S547" s="650"/>
      <c r="T547" s="650"/>
      <c r="U547" s="650"/>
      <c r="V547" s="650"/>
      <c r="W547" s="650"/>
      <c r="X547" s="650"/>
      <c r="Y547" s="650"/>
      <c r="Z547" s="650"/>
    </row>
    <row r="548" spans="1:26" s="204" customFormat="1" ht="13.5" thickBot="1">
      <c r="A548" s="650"/>
      <c r="B548" s="650"/>
      <c r="C548" s="650"/>
      <c r="D548" s="650"/>
      <c r="E548" s="650"/>
      <c r="F548" s="650"/>
      <c r="G548" s="650"/>
      <c r="H548" s="650"/>
      <c r="I548" s="650"/>
      <c r="J548" s="650"/>
      <c r="K548" s="650"/>
      <c r="L548" s="650"/>
      <c r="M548" s="650"/>
      <c r="N548" s="650"/>
      <c r="O548" s="650"/>
      <c r="P548" s="650"/>
      <c r="Q548" s="650"/>
      <c r="R548" s="650"/>
      <c r="S548" s="650"/>
      <c r="T548" s="650"/>
      <c r="U548" s="650"/>
      <c r="V548" s="650"/>
      <c r="W548" s="650"/>
      <c r="X548" s="650"/>
      <c r="Y548" s="650"/>
      <c r="Z548" s="650"/>
    </row>
    <row r="549" spans="1:26">
      <c r="A549" s="650"/>
      <c r="B549" s="650"/>
      <c r="C549" s="650"/>
      <c r="D549" s="650"/>
      <c r="E549" s="650"/>
      <c r="F549" s="650"/>
      <c r="G549" s="650"/>
      <c r="H549" s="650"/>
      <c r="I549" s="650"/>
      <c r="J549" s="650"/>
      <c r="K549" s="650"/>
      <c r="L549" s="650"/>
      <c r="M549" s="650"/>
      <c r="N549" s="650"/>
      <c r="O549" s="650"/>
      <c r="P549" s="650"/>
      <c r="Q549" s="650"/>
      <c r="R549" s="650"/>
      <c r="S549" s="650"/>
      <c r="T549" s="650"/>
      <c r="U549" s="650"/>
      <c r="V549" s="650"/>
      <c r="W549" s="650"/>
      <c r="X549" s="650"/>
      <c r="Y549" s="650"/>
      <c r="Z549" s="650"/>
    </row>
    <row r="550" spans="1:26" s="205" customFormat="1">
      <c r="A550" s="650"/>
      <c r="B550" s="650"/>
      <c r="C550" s="650"/>
      <c r="D550" s="650"/>
      <c r="E550" s="650"/>
      <c r="F550" s="650"/>
      <c r="G550" s="650"/>
      <c r="H550" s="650"/>
      <c r="I550" s="650"/>
      <c r="J550" s="650"/>
      <c r="K550" s="650"/>
      <c r="L550" s="650"/>
      <c r="M550" s="650"/>
      <c r="N550" s="650"/>
      <c r="O550" s="650"/>
      <c r="P550" s="650"/>
      <c r="Q550" s="650"/>
      <c r="R550" s="650"/>
      <c r="S550" s="650"/>
      <c r="T550" s="650"/>
      <c r="U550" s="650"/>
      <c r="V550" s="650"/>
      <c r="W550" s="650"/>
      <c r="X550" s="650"/>
      <c r="Y550" s="650"/>
      <c r="Z550" s="650"/>
    </row>
    <row r="551" spans="1:26" s="214" customFormat="1" ht="13.5" thickBot="1">
      <c r="A551" s="650"/>
      <c r="B551" s="650"/>
      <c r="C551" s="650"/>
      <c r="D551" s="650"/>
      <c r="E551" s="650"/>
      <c r="F551" s="650"/>
      <c r="G551" s="650"/>
      <c r="H551" s="650"/>
      <c r="I551" s="650"/>
      <c r="J551" s="650"/>
      <c r="K551" s="650"/>
      <c r="L551" s="650"/>
      <c r="M551" s="650"/>
      <c r="N551" s="650"/>
      <c r="O551" s="650"/>
      <c r="P551" s="650"/>
      <c r="Q551" s="650"/>
      <c r="R551" s="650"/>
      <c r="S551" s="650"/>
      <c r="T551" s="650"/>
      <c r="U551" s="650"/>
      <c r="V551" s="650"/>
      <c r="W551" s="650"/>
      <c r="X551" s="650"/>
      <c r="Y551" s="650"/>
      <c r="Z551" s="650"/>
    </row>
    <row r="552" spans="1:26">
      <c r="A552" s="650"/>
      <c r="B552" s="650"/>
      <c r="C552" s="650"/>
      <c r="D552" s="650"/>
      <c r="E552" s="650"/>
      <c r="F552" s="650"/>
      <c r="G552" s="650"/>
      <c r="H552" s="650"/>
      <c r="I552" s="650"/>
      <c r="J552" s="650"/>
      <c r="K552" s="650"/>
      <c r="L552" s="650"/>
      <c r="M552" s="650"/>
      <c r="N552" s="650"/>
      <c r="O552" s="650"/>
      <c r="P552" s="650"/>
      <c r="Q552" s="650"/>
      <c r="R552" s="650"/>
      <c r="S552" s="650"/>
      <c r="T552" s="650"/>
      <c r="U552" s="650"/>
      <c r="V552" s="650"/>
      <c r="W552" s="650"/>
      <c r="X552" s="650"/>
      <c r="Y552" s="650"/>
      <c r="Z552" s="650"/>
    </row>
    <row r="553" spans="1:26" s="205" customFormat="1">
      <c r="A553" s="650"/>
      <c r="B553" s="650"/>
      <c r="C553" s="650"/>
      <c r="D553" s="650"/>
      <c r="E553" s="650"/>
      <c r="F553" s="650"/>
      <c r="G553" s="650"/>
      <c r="H553" s="650"/>
      <c r="I553" s="650"/>
      <c r="J553" s="650"/>
      <c r="K553" s="650"/>
      <c r="L553" s="650"/>
      <c r="M553" s="650"/>
      <c r="N553" s="650"/>
      <c r="O553" s="650"/>
      <c r="P553" s="650"/>
      <c r="Q553" s="650"/>
      <c r="R553" s="650"/>
      <c r="S553" s="650"/>
      <c r="T553" s="650"/>
      <c r="U553" s="650"/>
      <c r="V553" s="650"/>
      <c r="W553" s="650"/>
      <c r="X553" s="650"/>
      <c r="Y553" s="650"/>
      <c r="Z553" s="650"/>
    </row>
    <row r="554" spans="1:26" s="204" customFormat="1" ht="13.5" thickBot="1">
      <c r="A554" s="650"/>
      <c r="B554" s="650"/>
      <c r="C554" s="650"/>
      <c r="D554" s="650"/>
      <c r="E554" s="650"/>
      <c r="F554" s="650"/>
      <c r="G554" s="650"/>
      <c r="H554" s="650"/>
      <c r="I554" s="650"/>
      <c r="J554" s="650"/>
      <c r="K554" s="650"/>
      <c r="L554" s="650"/>
      <c r="M554" s="650"/>
      <c r="N554" s="650"/>
      <c r="O554" s="650"/>
      <c r="P554" s="650"/>
      <c r="Q554" s="650"/>
      <c r="R554" s="650"/>
      <c r="S554" s="650"/>
      <c r="T554" s="650"/>
      <c r="U554" s="650"/>
      <c r="V554" s="650"/>
      <c r="W554" s="650"/>
      <c r="X554" s="650"/>
      <c r="Y554" s="650"/>
      <c r="Z554" s="650"/>
    </row>
    <row r="555" spans="1:26">
      <c r="A555" s="650"/>
      <c r="B555" s="650"/>
      <c r="C555" s="650"/>
      <c r="D555" s="650"/>
      <c r="E555" s="650"/>
      <c r="F555" s="650"/>
      <c r="G555" s="650"/>
      <c r="H555" s="650"/>
      <c r="I555" s="650"/>
      <c r="J555" s="650"/>
      <c r="K555" s="650"/>
      <c r="L555" s="650"/>
      <c r="M555" s="650"/>
      <c r="N555" s="650"/>
      <c r="O555" s="650"/>
      <c r="P555" s="650"/>
      <c r="Q555" s="650"/>
      <c r="R555" s="650"/>
      <c r="S555" s="650"/>
      <c r="T555" s="650"/>
      <c r="U555" s="650"/>
      <c r="V555" s="650"/>
      <c r="W555" s="650"/>
      <c r="X555" s="650"/>
      <c r="Y555" s="650"/>
      <c r="Z555" s="650"/>
    </row>
    <row r="556" spans="1:26" s="205" customFormat="1">
      <c r="A556" s="650"/>
      <c r="B556" s="650"/>
      <c r="C556" s="650"/>
      <c r="D556" s="650"/>
      <c r="E556" s="650"/>
      <c r="F556" s="650"/>
      <c r="G556" s="650"/>
      <c r="H556" s="650"/>
      <c r="I556" s="650"/>
      <c r="J556" s="650"/>
      <c r="K556" s="650"/>
      <c r="L556" s="650"/>
      <c r="M556" s="650"/>
      <c r="N556" s="650"/>
      <c r="O556" s="650"/>
      <c r="P556" s="650"/>
      <c r="Q556" s="650"/>
      <c r="R556" s="650"/>
      <c r="S556" s="650"/>
      <c r="T556" s="650"/>
      <c r="U556" s="650"/>
      <c r="V556" s="650"/>
      <c r="W556" s="650"/>
      <c r="X556" s="650"/>
      <c r="Y556" s="650"/>
      <c r="Z556" s="650"/>
    </row>
    <row r="557" spans="1:26" s="204" customFormat="1" ht="13.5" thickBot="1">
      <c r="A557" s="650"/>
      <c r="B557" s="650"/>
      <c r="C557" s="650"/>
      <c r="D557" s="650"/>
      <c r="E557" s="650"/>
      <c r="F557" s="650"/>
      <c r="G557" s="650"/>
      <c r="H557" s="650"/>
      <c r="I557" s="650"/>
      <c r="J557" s="650"/>
      <c r="K557" s="650"/>
      <c r="L557" s="650"/>
      <c r="M557" s="650"/>
      <c r="N557" s="650"/>
      <c r="O557" s="650"/>
      <c r="P557" s="650"/>
      <c r="Q557" s="650"/>
      <c r="R557" s="650"/>
      <c r="S557" s="650"/>
      <c r="T557" s="650"/>
      <c r="U557" s="650"/>
      <c r="V557" s="650"/>
      <c r="W557" s="650"/>
      <c r="X557" s="650"/>
      <c r="Y557" s="650"/>
      <c r="Z557" s="650"/>
    </row>
    <row r="558" spans="1:26">
      <c r="A558" s="650"/>
      <c r="B558" s="650"/>
      <c r="C558" s="650"/>
      <c r="D558" s="650"/>
      <c r="E558" s="650"/>
      <c r="F558" s="650"/>
      <c r="G558" s="650"/>
      <c r="H558" s="650"/>
      <c r="I558" s="650"/>
      <c r="J558" s="650"/>
      <c r="K558" s="650"/>
      <c r="L558" s="650"/>
      <c r="M558" s="650"/>
      <c r="N558" s="650"/>
      <c r="O558" s="650"/>
      <c r="P558" s="650"/>
      <c r="Q558" s="650"/>
      <c r="R558" s="650"/>
      <c r="S558" s="650"/>
      <c r="T558" s="650"/>
      <c r="U558" s="650"/>
      <c r="V558" s="650"/>
      <c r="W558" s="650"/>
      <c r="X558" s="650"/>
      <c r="Y558" s="650"/>
      <c r="Z558" s="650"/>
    </row>
    <row r="559" spans="1:26" s="205" customFormat="1">
      <c r="A559" s="650"/>
      <c r="B559" s="650"/>
      <c r="C559" s="650"/>
      <c r="D559" s="650"/>
      <c r="E559" s="650"/>
      <c r="F559" s="650"/>
      <c r="G559" s="650"/>
      <c r="H559" s="650"/>
      <c r="I559" s="650"/>
      <c r="J559" s="650"/>
      <c r="K559" s="650"/>
      <c r="L559" s="650"/>
      <c r="M559" s="650"/>
      <c r="N559" s="650"/>
      <c r="O559" s="650"/>
      <c r="P559" s="650"/>
      <c r="Q559" s="650"/>
      <c r="R559" s="650"/>
      <c r="S559" s="650"/>
      <c r="T559" s="650"/>
      <c r="U559" s="650"/>
      <c r="V559" s="650"/>
      <c r="W559" s="650"/>
      <c r="X559" s="650"/>
      <c r="Y559" s="650"/>
      <c r="Z559" s="650"/>
    </row>
    <row r="560" spans="1:26" s="204" customFormat="1" ht="13.5" thickBot="1">
      <c r="A560" s="650"/>
      <c r="B560" s="650"/>
      <c r="C560" s="650"/>
      <c r="D560" s="650"/>
      <c r="E560" s="650"/>
      <c r="F560" s="650"/>
      <c r="G560" s="650"/>
      <c r="H560" s="650"/>
      <c r="I560" s="650"/>
      <c r="J560" s="650"/>
      <c r="K560" s="650"/>
      <c r="L560" s="650"/>
      <c r="M560" s="650"/>
      <c r="N560" s="650"/>
      <c r="O560" s="650"/>
      <c r="P560" s="650"/>
      <c r="Q560" s="650"/>
      <c r="R560" s="650"/>
      <c r="S560" s="650"/>
      <c r="T560" s="650"/>
      <c r="U560" s="650"/>
      <c r="V560" s="650"/>
      <c r="W560" s="650"/>
      <c r="X560" s="650"/>
      <c r="Y560" s="650"/>
      <c r="Z560" s="650"/>
    </row>
    <row r="561" spans="1:26">
      <c r="A561" s="650"/>
      <c r="B561" s="650"/>
      <c r="C561" s="650"/>
      <c r="D561" s="650"/>
      <c r="E561" s="650"/>
      <c r="F561" s="650"/>
      <c r="G561" s="650"/>
      <c r="H561" s="650"/>
      <c r="I561" s="650"/>
      <c r="J561" s="650"/>
      <c r="K561" s="650"/>
      <c r="L561" s="650"/>
      <c r="M561" s="650"/>
      <c r="N561" s="650"/>
      <c r="O561" s="650"/>
      <c r="P561" s="650"/>
      <c r="Q561" s="650"/>
      <c r="R561" s="650"/>
      <c r="S561" s="650"/>
      <c r="T561" s="650"/>
      <c r="U561" s="650"/>
      <c r="V561" s="650"/>
      <c r="W561" s="650"/>
      <c r="X561" s="650"/>
      <c r="Y561" s="650"/>
      <c r="Z561" s="650"/>
    </row>
    <row r="562" spans="1:26" s="205" customFormat="1">
      <c r="A562" s="650"/>
      <c r="B562" s="650"/>
      <c r="C562" s="650"/>
      <c r="D562" s="650"/>
      <c r="E562" s="650"/>
      <c r="F562" s="650"/>
      <c r="G562" s="650"/>
      <c r="H562" s="650"/>
      <c r="I562" s="650"/>
      <c r="J562" s="650"/>
      <c r="K562" s="650"/>
      <c r="L562" s="650"/>
      <c r="M562" s="650"/>
      <c r="N562" s="650"/>
      <c r="O562" s="650"/>
      <c r="P562" s="650"/>
      <c r="Q562" s="650"/>
      <c r="R562" s="650"/>
      <c r="S562" s="650"/>
      <c r="T562" s="650"/>
      <c r="U562" s="650"/>
      <c r="V562" s="650"/>
      <c r="W562" s="650"/>
      <c r="X562" s="650"/>
      <c r="Y562" s="650"/>
      <c r="Z562" s="650"/>
    </row>
    <row r="563" spans="1:26" s="204" customFormat="1" ht="13.5" thickBot="1">
      <c r="A563" s="650"/>
      <c r="B563" s="650"/>
      <c r="C563" s="650"/>
      <c r="D563" s="650"/>
      <c r="E563" s="650"/>
      <c r="F563" s="650"/>
      <c r="G563" s="650"/>
      <c r="H563" s="650"/>
      <c r="I563" s="650"/>
      <c r="J563" s="650"/>
      <c r="K563" s="650"/>
      <c r="L563" s="650"/>
      <c r="M563" s="650"/>
      <c r="N563" s="650"/>
      <c r="O563" s="650"/>
      <c r="P563" s="650"/>
      <c r="Q563" s="650"/>
      <c r="R563" s="650"/>
      <c r="S563" s="650"/>
      <c r="T563" s="650"/>
      <c r="U563" s="650"/>
      <c r="V563" s="650"/>
      <c r="W563" s="650"/>
      <c r="X563" s="650"/>
      <c r="Y563" s="650"/>
      <c r="Z563" s="650"/>
    </row>
    <row r="564" spans="1:26">
      <c r="A564" s="650"/>
      <c r="B564" s="650"/>
      <c r="C564" s="650"/>
      <c r="D564" s="650"/>
      <c r="E564" s="650"/>
      <c r="F564" s="650"/>
      <c r="G564" s="650"/>
      <c r="H564" s="650"/>
      <c r="I564" s="650"/>
      <c r="J564" s="650"/>
      <c r="K564" s="650"/>
      <c r="L564" s="650"/>
      <c r="M564" s="650"/>
      <c r="N564" s="650"/>
      <c r="O564" s="650"/>
      <c r="P564" s="650"/>
      <c r="Q564" s="650"/>
      <c r="R564" s="650"/>
      <c r="S564" s="650"/>
      <c r="T564" s="650"/>
      <c r="U564" s="650"/>
      <c r="V564" s="650"/>
      <c r="W564" s="650"/>
      <c r="X564" s="650"/>
      <c r="Y564" s="650"/>
      <c r="Z564" s="650"/>
    </row>
    <row r="565" spans="1:26" s="205" customFormat="1">
      <c r="A565" s="650"/>
      <c r="B565" s="650"/>
      <c r="C565" s="650"/>
      <c r="D565" s="650"/>
      <c r="E565" s="650"/>
      <c r="F565" s="650"/>
      <c r="G565" s="650"/>
      <c r="H565" s="650"/>
      <c r="I565" s="650"/>
      <c r="J565" s="650"/>
      <c r="K565" s="650"/>
      <c r="L565" s="650"/>
      <c r="M565" s="650"/>
      <c r="N565" s="650"/>
      <c r="O565" s="650"/>
      <c r="P565" s="650"/>
      <c r="Q565" s="650"/>
      <c r="R565" s="650"/>
      <c r="S565" s="650"/>
      <c r="T565" s="650"/>
      <c r="U565" s="650"/>
      <c r="V565" s="650"/>
      <c r="W565" s="650"/>
      <c r="X565" s="650"/>
      <c r="Y565" s="650"/>
      <c r="Z565" s="650"/>
    </row>
    <row r="566" spans="1:26" s="204" customFormat="1" ht="13.5" thickBot="1">
      <c r="A566" s="650"/>
      <c r="B566" s="650"/>
      <c r="C566" s="650"/>
      <c r="D566" s="650"/>
      <c r="E566" s="650"/>
      <c r="F566" s="650"/>
      <c r="G566" s="650"/>
      <c r="H566" s="650"/>
      <c r="I566" s="650"/>
      <c r="J566" s="650"/>
      <c r="K566" s="650"/>
      <c r="L566" s="650"/>
      <c r="M566" s="650"/>
      <c r="N566" s="650"/>
      <c r="O566" s="650"/>
      <c r="P566" s="650"/>
      <c r="Q566" s="650"/>
      <c r="R566" s="650"/>
      <c r="S566" s="650"/>
      <c r="T566" s="650"/>
      <c r="U566" s="650"/>
      <c r="V566" s="650"/>
      <c r="W566" s="650"/>
      <c r="X566" s="650"/>
      <c r="Y566" s="650"/>
      <c r="Z566" s="650"/>
    </row>
    <row r="567" spans="1:26">
      <c r="A567" s="650"/>
      <c r="B567" s="650"/>
      <c r="C567" s="650"/>
      <c r="D567" s="650"/>
      <c r="E567" s="650"/>
      <c r="F567" s="650"/>
      <c r="G567" s="650"/>
      <c r="H567" s="650"/>
      <c r="I567" s="650"/>
      <c r="J567" s="650"/>
      <c r="K567" s="650"/>
      <c r="L567" s="650"/>
      <c r="M567" s="650"/>
      <c r="N567" s="650"/>
      <c r="O567" s="650"/>
      <c r="P567" s="650"/>
      <c r="Q567" s="650"/>
      <c r="R567" s="650"/>
      <c r="S567" s="650"/>
      <c r="T567" s="650"/>
      <c r="U567" s="650"/>
      <c r="V567" s="650"/>
      <c r="W567" s="650"/>
      <c r="X567" s="650"/>
      <c r="Y567" s="650"/>
      <c r="Z567" s="650"/>
    </row>
    <row r="568" spans="1:26" s="205" customFormat="1">
      <c r="A568" s="650"/>
      <c r="B568" s="650"/>
      <c r="C568" s="650"/>
      <c r="D568" s="650"/>
      <c r="E568" s="650"/>
      <c r="F568" s="650"/>
      <c r="G568" s="650"/>
      <c r="H568" s="650"/>
      <c r="I568" s="650"/>
      <c r="J568" s="650"/>
      <c r="K568" s="650"/>
      <c r="L568" s="650"/>
      <c r="M568" s="650"/>
      <c r="N568" s="650"/>
      <c r="O568" s="650"/>
      <c r="P568" s="650"/>
      <c r="Q568" s="650"/>
      <c r="R568" s="650"/>
      <c r="S568" s="650"/>
      <c r="T568" s="650"/>
      <c r="U568" s="650"/>
      <c r="V568" s="650"/>
      <c r="W568" s="650"/>
      <c r="X568" s="650"/>
      <c r="Y568" s="650"/>
      <c r="Z568" s="650"/>
    </row>
    <row r="569" spans="1:26" s="204" customFormat="1" ht="13.5" thickBot="1">
      <c r="A569" s="650"/>
      <c r="B569" s="650"/>
      <c r="C569" s="650"/>
      <c r="D569" s="650"/>
      <c r="E569" s="650"/>
      <c r="F569" s="650"/>
      <c r="G569" s="650"/>
      <c r="H569" s="650"/>
      <c r="I569" s="650"/>
      <c r="J569" s="650"/>
      <c r="K569" s="650"/>
      <c r="L569" s="650"/>
      <c r="M569" s="650"/>
      <c r="N569" s="650"/>
      <c r="O569" s="650"/>
      <c r="P569" s="650"/>
      <c r="Q569" s="650"/>
      <c r="R569" s="650"/>
      <c r="S569" s="650"/>
      <c r="T569" s="650"/>
      <c r="U569" s="650"/>
      <c r="V569" s="650"/>
      <c r="W569" s="650"/>
      <c r="X569" s="650"/>
      <c r="Y569" s="650"/>
      <c r="Z569" s="650"/>
    </row>
    <row r="570" spans="1:26">
      <c r="A570" s="650"/>
      <c r="B570" s="650"/>
      <c r="C570" s="650"/>
      <c r="D570" s="650"/>
      <c r="E570" s="650"/>
      <c r="F570" s="650"/>
      <c r="G570" s="650"/>
      <c r="H570" s="650"/>
      <c r="I570" s="650"/>
      <c r="J570" s="650"/>
      <c r="K570" s="650"/>
      <c r="L570" s="650"/>
      <c r="M570" s="650"/>
      <c r="N570" s="650"/>
      <c r="O570" s="650"/>
      <c r="P570" s="650"/>
      <c r="Q570" s="650"/>
      <c r="R570" s="650"/>
      <c r="S570" s="650"/>
      <c r="T570" s="650"/>
      <c r="U570" s="650"/>
      <c r="V570" s="650"/>
      <c r="W570" s="650"/>
      <c r="X570" s="650"/>
      <c r="Y570" s="650"/>
      <c r="Z570" s="650"/>
    </row>
    <row r="571" spans="1:26" s="205" customFormat="1">
      <c r="A571" s="650"/>
      <c r="B571" s="650"/>
      <c r="C571" s="650"/>
      <c r="D571" s="650"/>
      <c r="E571" s="650"/>
      <c r="F571" s="650"/>
      <c r="G571" s="650"/>
      <c r="H571" s="650"/>
      <c r="I571" s="650"/>
      <c r="J571" s="650"/>
      <c r="K571" s="650"/>
      <c r="L571" s="650"/>
      <c r="M571" s="650"/>
      <c r="N571" s="650"/>
      <c r="O571" s="650"/>
      <c r="P571" s="650"/>
      <c r="Q571" s="650"/>
      <c r="R571" s="650"/>
      <c r="S571" s="650"/>
      <c r="T571" s="650"/>
      <c r="U571" s="650"/>
      <c r="V571" s="650"/>
      <c r="W571" s="650"/>
      <c r="X571" s="650"/>
      <c r="Y571" s="650"/>
      <c r="Z571" s="650"/>
    </row>
    <row r="572" spans="1:26" s="204" customFormat="1" ht="13.5" thickBot="1">
      <c r="A572" s="650"/>
      <c r="B572" s="650"/>
      <c r="C572" s="650"/>
      <c r="D572" s="650"/>
      <c r="E572" s="650"/>
      <c r="F572" s="650"/>
      <c r="G572" s="650"/>
      <c r="H572" s="650"/>
      <c r="I572" s="650"/>
      <c r="J572" s="650"/>
      <c r="K572" s="650"/>
      <c r="L572" s="650"/>
      <c r="M572" s="650"/>
      <c r="N572" s="650"/>
      <c r="O572" s="650"/>
      <c r="P572" s="650"/>
      <c r="Q572" s="650"/>
      <c r="R572" s="650"/>
      <c r="S572" s="650"/>
      <c r="T572" s="650"/>
      <c r="U572" s="650"/>
      <c r="V572" s="650"/>
      <c r="W572" s="650"/>
      <c r="X572" s="650"/>
      <c r="Y572" s="650"/>
      <c r="Z572" s="650"/>
    </row>
    <row r="573" spans="1:26" ht="13.5" thickBot="1">
      <c r="A573" s="650"/>
      <c r="B573" s="650"/>
      <c r="C573" s="650"/>
      <c r="D573" s="650"/>
      <c r="E573" s="650"/>
      <c r="F573" s="650"/>
      <c r="G573" s="650"/>
      <c r="H573" s="650"/>
      <c r="I573" s="650"/>
      <c r="J573" s="650"/>
      <c r="K573" s="650"/>
      <c r="L573" s="650"/>
      <c r="M573" s="650"/>
      <c r="N573" s="650"/>
      <c r="O573" s="650"/>
      <c r="P573" s="650"/>
      <c r="Q573" s="650"/>
      <c r="R573" s="650"/>
      <c r="S573" s="650"/>
      <c r="T573" s="650"/>
      <c r="U573" s="650"/>
      <c r="V573" s="650"/>
      <c r="W573" s="650"/>
      <c r="X573" s="650"/>
      <c r="Y573" s="650"/>
      <c r="Z573" s="650"/>
    </row>
    <row r="574" spans="1:26" s="205" customFormat="1">
      <c r="A574" s="650"/>
      <c r="B574" s="650"/>
      <c r="C574" s="650"/>
      <c r="D574" s="650"/>
      <c r="E574" s="650"/>
      <c r="F574" s="650"/>
      <c r="G574" s="650"/>
      <c r="H574" s="650"/>
      <c r="I574" s="650"/>
      <c r="J574" s="650"/>
      <c r="K574" s="650"/>
      <c r="L574" s="650"/>
      <c r="M574" s="650"/>
      <c r="N574" s="650"/>
      <c r="O574" s="650"/>
      <c r="P574" s="650"/>
      <c r="Q574" s="650"/>
      <c r="R574" s="650"/>
      <c r="S574" s="650"/>
      <c r="T574" s="650"/>
      <c r="U574" s="650"/>
      <c r="V574" s="650"/>
      <c r="W574" s="650"/>
      <c r="X574" s="650"/>
      <c r="Y574" s="650"/>
      <c r="Z574" s="650"/>
    </row>
    <row r="575" spans="1:26" s="204" customFormat="1">
      <c r="A575" s="650"/>
      <c r="B575" s="650"/>
      <c r="C575" s="650"/>
      <c r="D575" s="650"/>
      <c r="E575" s="650"/>
      <c r="F575" s="650"/>
      <c r="G575" s="650"/>
      <c r="H575" s="650"/>
      <c r="I575" s="650"/>
      <c r="J575" s="650"/>
      <c r="K575" s="650"/>
      <c r="L575" s="650"/>
      <c r="M575" s="650"/>
      <c r="N575" s="650"/>
      <c r="O575" s="650"/>
      <c r="P575" s="650"/>
      <c r="Q575" s="650"/>
      <c r="R575" s="650"/>
      <c r="S575" s="650"/>
      <c r="T575" s="650"/>
      <c r="U575" s="650"/>
      <c r="V575" s="650"/>
      <c r="W575" s="650"/>
      <c r="X575" s="650"/>
      <c r="Y575" s="650"/>
      <c r="Z575" s="650"/>
    </row>
    <row r="576" spans="1:26" ht="13.5" thickBot="1">
      <c r="A576" s="650"/>
      <c r="B576" s="650"/>
      <c r="C576" s="650"/>
      <c r="D576" s="650"/>
      <c r="E576" s="650"/>
      <c r="F576" s="650"/>
      <c r="G576" s="650"/>
      <c r="H576" s="650"/>
      <c r="I576" s="650"/>
      <c r="J576" s="650"/>
      <c r="K576" s="650"/>
      <c r="L576" s="650"/>
      <c r="M576" s="650"/>
      <c r="N576" s="650"/>
      <c r="O576" s="650"/>
      <c r="P576" s="650"/>
      <c r="Q576" s="650"/>
      <c r="R576" s="650"/>
      <c r="S576" s="650"/>
      <c r="T576" s="650"/>
      <c r="U576" s="650"/>
      <c r="V576" s="650"/>
      <c r="W576" s="650"/>
      <c r="X576" s="650"/>
      <c r="Y576" s="650"/>
      <c r="Z576" s="650"/>
    </row>
    <row r="577" spans="1:26" s="205" customFormat="1">
      <c r="A577" s="650"/>
      <c r="B577" s="650"/>
      <c r="C577" s="650"/>
      <c r="D577" s="650"/>
      <c r="E577" s="650"/>
      <c r="F577" s="650"/>
      <c r="G577" s="650"/>
      <c r="H577" s="650"/>
      <c r="I577" s="650"/>
      <c r="J577" s="650"/>
      <c r="K577" s="650"/>
      <c r="L577" s="650"/>
      <c r="M577" s="650"/>
      <c r="N577" s="650"/>
      <c r="O577" s="650"/>
      <c r="P577" s="650"/>
      <c r="Q577" s="650"/>
      <c r="R577" s="650"/>
      <c r="S577" s="650"/>
      <c r="T577" s="650"/>
      <c r="U577" s="650"/>
      <c r="V577" s="650"/>
      <c r="W577" s="650"/>
      <c r="X577" s="650"/>
      <c r="Y577" s="650"/>
      <c r="Z577" s="650"/>
    </row>
    <row r="578" spans="1:26" s="204" customFormat="1">
      <c r="A578" s="650"/>
      <c r="B578" s="650"/>
      <c r="C578" s="650"/>
      <c r="D578" s="650"/>
      <c r="E578" s="650"/>
      <c r="F578" s="650"/>
      <c r="G578" s="650"/>
      <c r="H578" s="650"/>
      <c r="I578" s="650"/>
      <c r="J578" s="650"/>
      <c r="K578" s="650"/>
      <c r="L578" s="650"/>
      <c r="M578" s="650"/>
      <c r="N578" s="650"/>
      <c r="O578" s="650"/>
      <c r="P578" s="650"/>
      <c r="Q578" s="650"/>
      <c r="R578" s="650"/>
      <c r="S578" s="650"/>
      <c r="T578" s="650"/>
      <c r="U578" s="650"/>
      <c r="V578" s="650"/>
      <c r="W578" s="650"/>
      <c r="X578" s="650"/>
      <c r="Y578" s="650"/>
      <c r="Z578" s="650"/>
    </row>
    <row r="579" spans="1:26" ht="13.5" thickBot="1">
      <c r="A579" s="650"/>
      <c r="B579" s="650"/>
      <c r="C579" s="650"/>
      <c r="D579" s="650"/>
      <c r="E579" s="650"/>
      <c r="F579" s="650"/>
      <c r="G579" s="650"/>
      <c r="H579" s="650"/>
      <c r="I579" s="650"/>
      <c r="J579" s="650"/>
      <c r="K579" s="650"/>
      <c r="L579" s="650"/>
      <c r="M579" s="650"/>
      <c r="N579" s="650"/>
      <c r="O579" s="650"/>
      <c r="P579" s="650"/>
      <c r="Q579" s="650"/>
      <c r="R579" s="650"/>
      <c r="S579" s="650"/>
      <c r="T579" s="650"/>
      <c r="U579" s="650"/>
      <c r="V579" s="650"/>
      <c r="W579" s="650"/>
      <c r="X579" s="650"/>
      <c r="Y579" s="650"/>
      <c r="Z579" s="650"/>
    </row>
    <row r="580" spans="1:26" s="205" customFormat="1">
      <c r="A580" s="650"/>
      <c r="B580" s="650"/>
      <c r="C580" s="650"/>
      <c r="D580" s="650"/>
      <c r="E580" s="650"/>
      <c r="F580" s="650"/>
      <c r="G580" s="650"/>
      <c r="H580" s="650"/>
      <c r="I580" s="650"/>
      <c r="J580" s="650"/>
      <c r="K580" s="650"/>
      <c r="L580" s="650"/>
      <c r="M580" s="650"/>
      <c r="N580" s="650"/>
      <c r="O580" s="650"/>
      <c r="P580" s="650"/>
      <c r="Q580" s="650"/>
      <c r="R580" s="650"/>
      <c r="S580" s="650"/>
      <c r="T580" s="650"/>
      <c r="U580" s="650"/>
      <c r="V580" s="650"/>
      <c r="W580" s="650"/>
      <c r="X580" s="650"/>
      <c r="Y580" s="650"/>
      <c r="Z580" s="650"/>
    </row>
    <row r="581" spans="1:26" s="204" customFormat="1" ht="13.5" thickBot="1">
      <c r="A581" s="650"/>
      <c r="B581" s="650"/>
      <c r="C581" s="650"/>
      <c r="D581" s="650"/>
      <c r="E581" s="650"/>
      <c r="F581" s="650"/>
      <c r="G581" s="650"/>
      <c r="H581" s="650"/>
      <c r="I581" s="650"/>
      <c r="J581" s="650"/>
      <c r="K581" s="650"/>
      <c r="L581" s="650"/>
      <c r="M581" s="650"/>
      <c r="N581" s="650"/>
      <c r="O581" s="650"/>
      <c r="P581" s="650"/>
      <c r="Q581" s="650"/>
      <c r="R581" s="650"/>
      <c r="S581" s="650"/>
      <c r="T581" s="650"/>
      <c r="U581" s="650"/>
      <c r="V581" s="650"/>
      <c r="W581" s="650"/>
      <c r="X581" s="650"/>
      <c r="Y581" s="650"/>
      <c r="Z581" s="650"/>
    </row>
    <row r="582" spans="1:26">
      <c r="A582" s="650"/>
      <c r="B582" s="650"/>
      <c r="C582" s="650"/>
      <c r="D582" s="650"/>
      <c r="E582" s="650"/>
      <c r="F582" s="650"/>
      <c r="G582" s="650"/>
      <c r="H582" s="650"/>
      <c r="I582" s="650"/>
      <c r="J582" s="650"/>
      <c r="K582" s="650"/>
      <c r="L582" s="650"/>
      <c r="M582" s="650"/>
      <c r="N582" s="650"/>
      <c r="O582" s="650"/>
      <c r="P582" s="650"/>
      <c r="Q582" s="650"/>
      <c r="R582" s="650"/>
      <c r="S582" s="650"/>
      <c r="T582" s="650"/>
      <c r="U582" s="650"/>
      <c r="V582" s="650"/>
      <c r="W582" s="650"/>
      <c r="X582" s="650"/>
      <c r="Y582" s="650"/>
      <c r="Z582" s="650"/>
    </row>
    <row r="583" spans="1:26" s="205" customFormat="1">
      <c r="A583" s="650"/>
      <c r="B583" s="650"/>
      <c r="C583" s="650"/>
      <c r="D583" s="650"/>
      <c r="E583" s="650"/>
      <c r="F583" s="650"/>
      <c r="G583" s="650"/>
      <c r="H583" s="650"/>
      <c r="I583" s="650"/>
      <c r="J583" s="650"/>
      <c r="K583" s="650"/>
      <c r="L583" s="650"/>
      <c r="M583" s="650"/>
      <c r="N583" s="650"/>
      <c r="O583" s="650"/>
      <c r="P583" s="650"/>
      <c r="Q583" s="650"/>
      <c r="R583" s="650"/>
      <c r="S583" s="650"/>
      <c r="T583" s="650"/>
      <c r="U583" s="650"/>
      <c r="V583" s="650"/>
      <c r="W583" s="650"/>
      <c r="X583" s="650"/>
      <c r="Y583" s="650"/>
      <c r="Z583" s="650"/>
    </row>
    <row r="584" spans="1:26" s="204" customFormat="1" ht="13.5" thickBot="1">
      <c r="A584" s="650"/>
      <c r="B584" s="650"/>
      <c r="C584" s="650"/>
      <c r="D584" s="650"/>
      <c r="E584" s="650"/>
      <c r="F584" s="650"/>
      <c r="G584" s="650"/>
      <c r="H584" s="650"/>
      <c r="I584" s="650"/>
      <c r="J584" s="650"/>
      <c r="K584" s="650"/>
      <c r="L584" s="650"/>
      <c r="M584" s="650"/>
      <c r="N584" s="650"/>
      <c r="O584" s="650"/>
      <c r="P584" s="650"/>
      <c r="Q584" s="650"/>
      <c r="R584" s="650"/>
      <c r="S584" s="650"/>
      <c r="T584" s="650"/>
      <c r="U584" s="650"/>
      <c r="V584" s="650"/>
      <c r="W584" s="650"/>
      <c r="X584" s="650"/>
      <c r="Y584" s="650"/>
      <c r="Z584" s="650"/>
    </row>
    <row r="585" spans="1:26">
      <c r="A585" s="650"/>
      <c r="B585" s="650"/>
      <c r="C585" s="650"/>
      <c r="D585" s="650"/>
      <c r="E585" s="650"/>
      <c r="F585" s="650"/>
      <c r="G585" s="650"/>
      <c r="H585" s="650"/>
      <c r="I585" s="650"/>
      <c r="J585" s="650"/>
      <c r="K585" s="650"/>
      <c r="L585" s="650"/>
      <c r="M585" s="650"/>
      <c r="N585" s="650"/>
      <c r="O585" s="650"/>
      <c r="P585" s="650"/>
      <c r="Q585" s="650"/>
      <c r="R585" s="650"/>
      <c r="S585" s="650"/>
      <c r="T585" s="650"/>
      <c r="U585" s="650"/>
      <c r="V585" s="650"/>
      <c r="W585" s="650"/>
      <c r="X585" s="650"/>
      <c r="Y585" s="650"/>
      <c r="Z585" s="650"/>
    </row>
    <row r="586" spans="1:26" s="205" customFormat="1">
      <c r="A586" s="650"/>
      <c r="B586" s="650"/>
      <c r="C586" s="650"/>
      <c r="D586" s="650"/>
      <c r="E586" s="650"/>
      <c r="F586" s="650"/>
      <c r="G586" s="650"/>
      <c r="H586" s="650"/>
      <c r="I586" s="650"/>
      <c r="J586" s="650"/>
      <c r="K586" s="650"/>
      <c r="L586" s="650"/>
      <c r="M586" s="650"/>
      <c r="N586" s="650"/>
      <c r="O586" s="650"/>
      <c r="P586" s="650"/>
      <c r="Q586" s="650"/>
      <c r="R586" s="650"/>
      <c r="S586" s="650"/>
      <c r="T586" s="650"/>
      <c r="U586" s="650"/>
      <c r="V586" s="650"/>
      <c r="W586" s="650"/>
      <c r="X586" s="650"/>
      <c r="Y586" s="650"/>
      <c r="Z586" s="650"/>
    </row>
    <row r="587" spans="1:26" s="204" customFormat="1" ht="13.5" thickBot="1">
      <c r="A587" s="650"/>
      <c r="B587" s="650"/>
      <c r="C587" s="650"/>
      <c r="D587" s="650"/>
      <c r="E587" s="650"/>
      <c r="F587" s="650"/>
      <c r="G587" s="650"/>
      <c r="H587" s="650"/>
      <c r="I587" s="650"/>
      <c r="J587" s="650"/>
      <c r="K587" s="650"/>
      <c r="L587" s="650"/>
      <c r="M587" s="650"/>
      <c r="N587" s="650"/>
      <c r="O587" s="650"/>
      <c r="P587" s="650"/>
      <c r="Q587" s="650"/>
      <c r="R587" s="650"/>
      <c r="S587" s="650"/>
      <c r="T587" s="650"/>
      <c r="U587" s="650"/>
      <c r="V587" s="650"/>
      <c r="W587" s="650"/>
      <c r="X587" s="650"/>
      <c r="Y587" s="650"/>
      <c r="Z587" s="650"/>
    </row>
    <row r="588" spans="1:26">
      <c r="A588" s="650"/>
      <c r="B588" s="650"/>
      <c r="C588" s="650"/>
      <c r="D588" s="650"/>
      <c r="E588" s="650"/>
      <c r="F588" s="650"/>
      <c r="G588" s="650"/>
      <c r="H588" s="650"/>
      <c r="I588" s="650"/>
      <c r="J588" s="650"/>
      <c r="K588" s="650"/>
      <c r="L588" s="650"/>
      <c r="M588" s="650"/>
      <c r="N588" s="650"/>
      <c r="O588" s="650"/>
      <c r="P588" s="650"/>
      <c r="Q588" s="650"/>
      <c r="R588" s="650"/>
      <c r="S588" s="650"/>
      <c r="T588" s="650"/>
      <c r="U588" s="650"/>
      <c r="V588" s="650"/>
      <c r="W588" s="650"/>
      <c r="X588" s="650"/>
      <c r="Y588" s="650"/>
      <c r="Z588" s="650"/>
    </row>
    <row r="589" spans="1:26" s="205" customFormat="1" ht="13.5" thickBot="1">
      <c r="A589" s="650"/>
      <c r="B589" s="650"/>
      <c r="C589" s="650"/>
      <c r="D589" s="650"/>
      <c r="E589" s="650"/>
      <c r="F589" s="650"/>
      <c r="G589" s="650"/>
      <c r="H589" s="650"/>
      <c r="I589" s="650"/>
      <c r="J589" s="650"/>
      <c r="K589" s="650"/>
      <c r="L589" s="650"/>
      <c r="M589" s="650"/>
      <c r="N589" s="650"/>
      <c r="O589" s="650"/>
      <c r="P589" s="650"/>
      <c r="Q589" s="650"/>
      <c r="R589" s="650"/>
      <c r="S589" s="650"/>
      <c r="T589" s="650"/>
      <c r="U589" s="650"/>
      <c r="V589" s="650"/>
      <c r="W589" s="650"/>
      <c r="X589" s="650"/>
      <c r="Y589" s="650"/>
      <c r="Z589" s="650"/>
    </row>
    <row r="590" spans="1:26" s="214" customFormat="1">
      <c r="A590" s="650"/>
      <c r="B590" s="650"/>
      <c r="C590" s="650"/>
      <c r="D590" s="650"/>
      <c r="E590" s="650"/>
      <c r="F590" s="650"/>
      <c r="G590" s="650"/>
      <c r="H590" s="650"/>
      <c r="I590" s="650"/>
      <c r="J590" s="650"/>
      <c r="K590" s="650"/>
      <c r="L590" s="650"/>
      <c r="M590" s="650"/>
      <c r="N590" s="650"/>
      <c r="O590" s="650"/>
      <c r="P590" s="650"/>
      <c r="Q590" s="650"/>
      <c r="R590" s="650"/>
      <c r="S590" s="650"/>
      <c r="T590" s="650"/>
      <c r="U590" s="650"/>
      <c r="V590" s="650"/>
      <c r="W590" s="650"/>
      <c r="X590" s="650"/>
      <c r="Y590" s="650"/>
      <c r="Z590" s="650"/>
    </row>
    <row r="591" spans="1:26">
      <c r="A591" s="650"/>
      <c r="B591" s="650"/>
      <c r="C591" s="650"/>
      <c r="D591" s="650"/>
      <c r="E591" s="650"/>
      <c r="F591" s="650"/>
      <c r="G591" s="650"/>
      <c r="H591" s="650"/>
      <c r="I591" s="650"/>
      <c r="J591" s="650"/>
      <c r="K591" s="650"/>
      <c r="L591" s="650"/>
      <c r="M591" s="650"/>
      <c r="N591" s="650"/>
      <c r="O591" s="650"/>
      <c r="P591" s="650"/>
      <c r="Q591" s="650"/>
      <c r="R591" s="650"/>
      <c r="S591" s="650"/>
      <c r="T591" s="650"/>
      <c r="U591" s="650"/>
      <c r="V591" s="650"/>
      <c r="W591" s="650"/>
      <c r="X591" s="650"/>
      <c r="Y591" s="650"/>
      <c r="Z591" s="650"/>
    </row>
    <row r="592" spans="1:26" s="205" customFormat="1" ht="13.5" thickBot="1">
      <c r="A592" s="650"/>
      <c r="B592" s="650"/>
      <c r="C592" s="650"/>
      <c r="D592" s="650"/>
      <c r="E592" s="650"/>
      <c r="F592" s="650"/>
      <c r="G592" s="650"/>
      <c r="H592" s="650"/>
      <c r="I592" s="650"/>
      <c r="J592" s="650"/>
      <c r="K592" s="650"/>
      <c r="L592" s="650"/>
      <c r="M592" s="650"/>
      <c r="N592" s="650"/>
      <c r="O592" s="650"/>
      <c r="P592" s="650"/>
      <c r="Q592" s="650"/>
      <c r="R592" s="650"/>
      <c r="S592" s="650"/>
      <c r="T592" s="650"/>
      <c r="U592" s="650"/>
      <c r="V592" s="650"/>
      <c r="W592" s="650"/>
      <c r="X592" s="650"/>
      <c r="Y592" s="650"/>
      <c r="Z592" s="650"/>
    </row>
    <row r="593" spans="1:26" s="204" customFormat="1">
      <c r="A593" s="650"/>
      <c r="B593" s="650"/>
      <c r="C593" s="650"/>
      <c r="D593" s="650"/>
      <c r="E593" s="650"/>
      <c r="F593" s="650"/>
      <c r="G593" s="650"/>
      <c r="H593" s="650"/>
      <c r="I593" s="650"/>
      <c r="J593" s="650"/>
      <c r="K593" s="650"/>
      <c r="L593" s="650"/>
      <c r="M593" s="650"/>
      <c r="N593" s="650"/>
      <c r="O593" s="650"/>
      <c r="P593" s="650"/>
      <c r="Q593" s="650"/>
      <c r="R593" s="650"/>
      <c r="S593" s="650"/>
      <c r="T593" s="650"/>
      <c r="U593" s="650"/>
      <c r="V593" s="650"/>
      <c r="W593" s="650"/>
      <c r="X593" s="650"/>
      <c r="Y593" s="650"/>
      <c r="Z593" s="650"/>
    </row>
    <row r="594" spans="1:26">
      <c r="A594" s="650"/>
      <c r="B594" s="650"/>
      <c r="C594" s="650"/>
      <c r="D594" s="650"/>
      <c r="E594" s="650"/>
      <c r="F594" s="650"/>
      <c r="G594" s="650"/>
      <c r="H594" s="650"/>
      <c r="I594" s="650"/>
      <c r="J594" s="650"/>
      <c r="K594" s="650"/>
      <c r="L594" s="650"/>
      <c r="M594" s="650"/>
      <c r="N594" s="650"/>
      <c r="O594" s="650"/>
      <c r="P594" s="650"/>
      <c r="Q594" s="650"/>
      <c r="R594" s="650"/>
      <c r="S594" s="650"/>
      <c r="T594" s="650"/>
      <c r="U594" s="650"/>
      <c r="V594" s="650"/>
      <c r="W594" s="650"/>
      <c r="X594" s="650"/>
      <c r="Y594" s="650"/>
      <c r="Z594" s="650"/>
    </row>
    <row r="595" spans="1:26" s="205" customFormat="1" ht="13.5" thickBot="1">
      <c r="A595" s="650"/>
      <c r="B595" s="650"/>
      <c r="C595" s="650"/>
      <c r="D595" s="650"/>
      <c r="E595" s="650"/>
      <c r="F595" s="650"/>
      <c r="G595" s="650"/>
      <c r="H595" s="650"/>
      <c r="I595" s="650"/>
      <c r="J595" s="650"/>
      <c r="K595" s="650"/>
      <c r="L595" s="650"/>
      <c r="M595" s="650"/>
      <c r="N595" s="650"/>
      <c r="O595" s="650"/>
      <c r="P595" s="650"/>
      <c r="Q595" s="650"/>
      <c r="R595" s="650"/>
      <c r="S595" s="650"/>
      <c r="T595" s="650"/>
      <c r="U595" s="650"/>
      <c r="V595" s="650"/>
      <c r="W595" s="650"/>
      <c r="X595" s="650"/>
      <c r="Y595" s="650"/>
      <c r="Z595" s="650"/>
    </row>
    <row r="596" spans="1:26" s="204" customFormat="1">
      <c r="A596" s="650"/>
      <c r="B596" s="650"/>
      <c r="C596" s="650"/>
      <c r="D596" s="650"/>
      <c r="E596" s="650"/>
      <c r="F596" s="650"/>
      <c r="G596" s="650"/>
      <c r="H596" s="650"/>
      <c r="I596" s="650"/>
      <c r="J596" s="650"/>
      <c r="K596" s="650"/>
      <c r="L596" s="650"/>
      <c r="M596" s="650"/>
      <c r="N596" s="650"/>
      <c r="O596" s="650"/>
      <c r="P596" s="650"/>
      <c r="Q596" s="650"/>
      <c r="R596" s="650"/>
      <c r="S596" s="650"/>
      <c r="T596" s="650"/>
      <c r="U596" s="650"/>
      <c r="V596" s="650"/>
      <c r="W596" s="650"/>
      <c r="X596" s="650"/>
      <c r="Y596" s="650"/>
      <c r="Z596" s="650"/>
    </row>
    <row r="597" spans="1:26">
      <c r="A597" s="650"/>
      <c r="B597" s="650"/>
      <c r="C597" s="650"/>
      <c r="D597" s="650"/>
      <c r="E597" s="650"/>
      <c r="F597" s="650"/>
      <c r="G597" s="650"/>
      <c r="H597" s="650"/>
      <c r="I597" s="650"/>
      <c r="J597" s="650"/>
      <c r="K597" s="650"/>
      <c r="L597" s="650"/>
      <c r="M597" s="650"/>
      <c r="N597" s="650"/>
      <c r="O597" s="650"/>
      <c r="P597" s="650"/>
      <c r="Q597" s="650"/>
      <c r="R597" s="650"/>
      <c r="S597" s="650"/>
      <c r="T597" s="650"/>
      <c r="U597" s="650"/>
      <c r="V597" s="650"/>
      <c r="W597" s="650"/>
      <c r="X597" s="650"/>
      <c r="Y597" s="650"/>
      <c r="Z597" s="650"/>
    </row>
    <row r="598" spans="1:26" s="205" customFormat="1">
      <c r="A598" s="650"/>
      <c r="B598" s="650"/>
      <c r="C598" s="650"/>
      <c r="D598" s="650"/>
      <c r="E598" s="650"/>
      <c r="F598" s="650"/>
      <c r="G598" s="650"/>
      <c r="H598" s="650"/>
      <c r="I598" s="650"/>
      <c r="J598" s="650"/>
      <c r="K598" s="650"/>
      <c r="L598" s="650"/>
      <c r="M598" s="650"/>
      <c r="N598" s="650"/>
      <c r="O598" s="650"/>
      <c r="P598" s="650"/>
      <c r="Q598" s="650"/>
      <c r="R598" s="650"/>
      <c r="S598" s="650"/>
      <c r="T598" s="650"/>
      <c r="U598" s="650"/>
      <c r="V598" s="650"/>
      <c r="W598" s="650"/>
      <c r="X598" s="650"/>
      <c r="Y598" s="650"/>
      <c r="Z598" s="650"/>
    </row>
    <row r="599" spans="1:26" s="204" customFormat="1" ht="13.5" thickBot="1">
      <c r="A599" s="650"/>
      <c r="B599" s="650"/>
      <c r="C599" s="650"/>
      <c r="D599" s="650"/>
      <c r="E599" s="650"/>
      <c r="F599" s="650"/>
      <c r="G599" s="650"/>
      <c r="H599" s="650"/>
      <c r="I599" s="650"/>
      <c r="J599" s="650"/>
      <c r="K599" s="650"/>
      <c r="L599" s="650"/>
      <c r="M599" s="650"/>
      <c r="N599" s="650"/>
      <c r="O599" s="650"/>
      <c r="P599" s="650"/>
      <c r="Q599" s="650"/>
      <c r="R599" s="650"/>
      <c r="S599" s="650"/>
      <c r="T599" s="650"/>
      <c r="U599" s="650"/>
      <c r="V599" s="650"/>
      <c r="W599" s="650"/>
      <c r="X599" s="650"/>
      <c r="Y599" s="650"/>
      <c r="Z599" s="650"/>
    </row>
    <row r="600" spans="1:26">
      <c r="A600" s="650"/>
      <c r="B600" s="650"/>
      <c r="C600" s="650"/>
      <c r="D600" s="650"/>
      <c r="E600" s="650"/>
      <c r="F600" s="650"/>
      <c r="G600" s="650"/>
      <c r="H600" s="650"/>
      <c r="I600" s="650"/>
      <c r="J600" s="650"/>
      <c r="K600" s="650"/>
      <c r="L600" s="650"/>
      <c r="M600" s="650"/>
      <c r="N600" s="650"/>
      <c r="O600" s="650"/>
      <c r="P600" s="650"/>
      <c r="Q600" s="650"/>
      <c r="R600" s="650"/>
      <c r="S600" s="650"/>
      <c r="T600" s="650"/>
      <c r="U600" s="650"/>
      <c r="V600" s="650"/>
      <c r="W600" s="650"/>
      <c r="X600" s="650"/>
      <c r="Y600" s="650"/>
      <c r="Z600" s="650"/>
    </row>
    <row r="601" spans="1:26" s="205" customFormat="1">
      <c r="A601" s="650"/>
      <c r="B601" s="650"/>
      <c r="C601" s="650"/>
      <c r="D601" s="650"/>
      <c r="E601" s="650"/>
      <c r="F601" s="650"/>
      <c r="G601" s="650"/>
      <c r="H601" s="650"/>
      <c r="I601" s="650"/>
      <c r="J601" s="650"/>
      <c r="K601" s="650"/>
      <c r="L601" s="650"/>
      <c r="M601" s="650"/>
      <c r="N601" s="650"/>
      <c r="O601" s="650"/>
      <c r="P601" s="650"/>
      <c r="Q601" s="650"/>
      <c r="R601" s="650"/>
      <c r="S601" s="650"/>
      <c r="T601" s="650"/>
      <c r="U601" s="650"/>
      <c r="V601" s="650"/>
      <c r="W601" s="650"/>
      <c r="X601" s="650"/>
      <c r="Y601" s="650"/>
      <c r="Z601" s="650"/>
    </row>
    <row r="602" spans="1:26" s="204" customFormat="1" ht="13.5" thickBot="1">
      <c r="A602" s="650"/>
      <c r="B602" s="650"/>
      <c r="C602" s="650"/>
      <c r="D602" s="650"/>
      <c r="E602" s="650"/>
      <c r="F602" s="650"/>
      <c r="G602" s="650"/>
      <c r="H602" s="650"/>
      <c r="I602" s="650"/>
      <c r="J602" s="650"/>
      <c r="K602" s="650"/>
      <c r="L602" s="650"/>
      <c r="M602" s="650"/>
      <c r="N602" s="650"/>
      <c r="O602" s="650"/>
      <c r="P602" s="650"/>
      <c r="Q602" s="650"/>
      <c r="R602" s="650"/>
      <c r="S602" s="650"/>
      <c r="T602" s="650"/>
      <c r="U602" s="650"/>
      <c r="V602" s="650"/>
      <c r="W602" s="650"/>
      <c r="X602" s="650"/>
      <c r="Y602" s="650"/>
      <c r="Z602" s="650"/>
    </row>
    <row r="603" spans="1:26">
      <c r="A603" s="650"/>
      <c r="B603" s="650"/>
      <c r="C603" s="650"/>
      <c r="D603" s="650"/>
      <c r="E603" s="650"/>
      <c r="F603" s="650"/>
      <c r="G603" s="650"/>
      <c r="H603" s="650"/>
      <c r="I603" s="650"/>
      <c r="J603" s="650"/>
      <c r="K603" s="650"/>
      <c r="L603" s="650"/>
      <c r="M603" s="650"/>
      <c r="N603" s="650"/>
      <c r="O603" s="650"/>
      <c r="P603" s="650"/>
      <c r="Q603" s="650"/>
      <c r="R603" s="650"/>
      <c r="S603" s="650"/>
      <c r="T603" s="650"/>
      <c r="U603" s="650"/>
      <c r="V603" s="650"/>
      <c r="W603" s="650"/>
      <c r="X603" s="650"/>
      <c r="Y603" s="650"/>
      <c r="Z603" s="650"/>
    </row>
    <row r="604" spans="1:26" s="205" customFormat="1">
      <c r="A604" s="650"/>
      <c r="B604" s="650"/>
      <c r="C604" s="650"/>
      <c r="D604" s="650"/>
      <c r="E604" s="650"/>
      <c r="F604" s="650"/>
      <c r="G604" s="650"/>
      <c r="H604" s="650"/>
      <c r="I604" s="650"/>
      <c r="J604" s="650"/>
      <c r="K604" s="650"/>
      <c r="L604" s="650"/>
      <c r="M604" s="650"/>
      <c r="N604" s="650"/>
      <c r="O604" s="650"/>
      <c r="P604" s="650"/>
      <c r="Q604" s="650"/>
      <c r="R604" s="650"/>
      <c r="S604" s="650"/>
      <c r="T604" s="650"/>
      <c r="U604" s="650"/>
      <c r="V604" s="650"/>
      <c r="W604" s="650"/>
      <c r="X604" s="650"/>
      <c r="Y604" s="650"/>
      <c r="Z604" s="650"/>
    </row>
    <row r="605" spans="1:26" s="204" customFormat="1" ht="13.5" thickBot="1">
      <c r="A605" s="650"/>
      <c r="B605" s="650"/>
      <c r="C605" s="650"/>
      <c r="D605" s="650"/>
      <c r="E605" s="650"/>
      <c r="F605" s="650"/>
      <c r="G605" s="650"/>
      <c r="H605" s="650"/>
      <c r="I605" s="650"/>
      <c r="J605" s="650"/>
      <c r="K605" s="650"/>
      <c r="L605" s="650"/>
      <c r="M605" s="650"/>
      <c r="N605" s="650"/>
      <c r="O605" s="650"/>
      <c r="P605" s="650"/>
      <c r="Q605" s="650"/>
      <c r="R605" s="650"/>
      <c r="S605" s="650"/>
      <c r="T605" s="650"/>
      <c r="U605" s="650"/>
      <c r="V605" s="650"/>
      <c r="W605" s="650"/>
      <c r="X605" s="650"/>
      <c r="Y605" s="650"/>
      <c r="Z605" s="650"/>
    </row>
    <row r="606" spans="1:26">
      <c r="A606" s="650"/>
      <c r="B606" s="650"/>
      <c r="C606" s="650"/>
      <c r="D606" s="650"/>
      <c r="E606" s="650"/>
      <c r="F606" s="650"/>
      <c r="G606" s="650"/>
      <c r="H606" s="650"/>
      <c r="I606" s="650"/>
      <c r="J606" s="650"/>
      <c r="K606" s="650"/>
      <c r="L606" s="650"/>
      <c r="M606" s="650"/>
      <c r="N606" s="650"/>
      <c r="O606" s="650"/>
      <c r="P606" s="650"/>
      <c r="Q606" s="650"/>
      <c r="R606" s="650"/>
      <c r="S606" s="650"/>
      <c r="T606" s="650"/>
      <c r="U606" s="650"/>
      <c r="V606" s="650"/>
      <c r="W606" s="650"/>
      <c r="X606" s="650"/>
      <c r="Y606" s="650"/>
      <c r="Z606" s="650"/>
    </row>
    <row r="607" spans="1:26" s="205" customFormat="1">
      <c r="A607" s="650"/>
      <c r="B607" s="650"/>
      <c r="C607" s="650"/>
      <c r="D607" s="650"/>
      <c r="E607" s="650"/>
      <c r="F607" s="650"/>
      <c r="G607" s="650"/>
      <c r="H607" s="650"/>
      <c r="I607" s="650"/>
      <c r="J607" s="650"/>
      <c r="K607" s="650"/>
      <c r="L607" s="650"/>
      <c r="M607" s="650"/>
      <c r="N607" s="650"/>
      <c r="O607" s="650"/>
      <c r="P607" s="650"/>
      <c r="Q607" s="650"/>
      <c r="R607" s="650"/>
      <c r="S607" s="650"/>
      <c r="T607" s="650"/>
      <c r="U607" s="650"/>
      <c r="V607" s="650"/>
      <c r="W607" s="650"/>
      <c r="X607" s="650"/>
      <c r="Y607" s="650"/>
      <c r="Z607" s="650"/>
    </row>
    <row r="608" spans="1:26" s="204" customFormat="1" ht="13.5" thickBot="1">
      <c r="A608" s="650"/>
      <c r="B608" s="650"/>
      <c r="C608" s="650"/>
      <c r="D608" s="650"/>
      <c r="E608" s="650"/>
      <c r="F608" s="650"/>
      <c r="G608" s="650"/>
      <c r="H608" s="650"/>
      <c r="I608" s="650"/>
      <c r="J608" s="650"/>
      <c r="K608" s="650"/>
      <c r="L608" s="650"/>
      <c r="M608" s="650"/>
      <c r="N608" s="650"/>
      <c r="O608" s="650"/>
      <c r="P608" s="650"/>
      <c r="Q608" s="650"/>
      <c r="R608" s="650"/>
      <c r="S608" s="650"/>
      <c r="T608" s="650"/>
      <c r="U608" s="650"/>
      <c r="V608" s="650"/>
      <c r="W608" s="650"/>
      <c r="X608" s="650"/>
      <c r="Y608" s="650"/>
      <c r="Z608" s="650"/>
    </row>
    <row r="609" spans="1:26">
      <c r="A609" s="650"/>
      <c r="B609" s="650"/>
      <c r="C609" s="650"/>
      <c r="D609" s="650"/>
      <c r="E609" s="650"/>
      <c r="F609" s="650"/>
      <c r="G609" s="650"/>
      <c r="H609" s="650"/>
      <c r="I609" s="650"/>
      <c r="J609" s="650"/>
      <c r="K609" s="650"/>
      <c r="L609" s="650"/>
      <c r="M609" s="650"/>
      <c r="N609" s="650"/>
      <c r="O609" s="650"/>
      <c r="P609" s="650"/>
      <c r="Q609" s="650"/>
      <c r="R609" s="650"/>
      <c r="S609" s="650"/>
      <c r="T609" s="650"/>
      <c r="U609" s="650"/>
      <c r="V609" s="650"/>
      <c r="W609" s="650"/>
      <c r="X609" s="650"/>
      <c r="Y609" s="650"/>
      <c r="Z609" s="650"/>
    </row>
    <row r="610" spans="1:26" s="205" customFormat="1">
      <c r="A610" s="650"/>
      <c r="B610" s="650"/>
      <c r="C610" s="650"/>
      <c r="D610" s="650"/>
      <c r="E610" s="650"/>
      <c r="F610" s="650"/>
      <c r="G610" s="650"/>
      <c r="H610" s="650"/>
      <c r="I610" s="650"/>
      <c r="J610" s="650"/>
      <c r="K610" s="650"/>
      <c r="L610" s="650"/>
      <c r="M610" s="650"/>
      <c r="N610" s="650"/>
      <c r="O610" s="650"/>
      <c r="P610" s="650"/>
      <c r="Q610" s="650"/>
      <c r="R610" s="650"/>
      <c r="S610" s="650"/>
      <c r="T610" s="650"/>
      <c r="U610" s="650"/>
      <c r="V610" s="650"/>
      <c r="W610" s="650"/>
      <c r="X610" s="650"/>
      <c r="Y610" s="650"/>
      <c r="Z610" s="650"/>
    </row>
    <row r="611" spans="1:26" s="204" customFormat="1" ht="13.5" thickBot="1">
      <c r="A611" s="650"/>
      <c r="B611" s="650"/>
      <c r="C611" s="650"/>
      <c r="D611" s="650"/>
      <c r="E611" s="650"/>
      <c r="F611" s="650"/>
      <c r="G611" s="650"/>
      <c r="H611" s="650"/>
      <c r="I611" s="650"/>
      <c r="J611" s="650"/>
      <c r="K611" s="650"/>
      <c r="L611" s="650"/>
      <c r="M611" s="650"/>
      <c r="N611" s="650"/>
      <c r="O611" s="650"/>
      <c r="P611" s="650"/>
      <c r="Q611" s="650"/>
      <c r="R611" s="650"/>
      <c r="S611" s="650"/>
      <c r="T611" s="650"/>
      <c r="U611" s="650"/>
      <c r="V611" s="650"/>
      <c r="W611" s="650"/>
      <c r="X611" s="650"/>
      <c r="Y611" s="650"/>
      <c r="Z611" s="650"/>
    </row>
    <row r="612" spans="1:26">
      <c r="A612" s="650"/>
      <c r="B612" s="650"/>
      <c r="C612" s="650"/>
      <c r="D612" s="650"/>
      <c r="E612" s="650"/>
      <c r="F612" s="650"/>
      <c r="G612" s="650"/>
      <c r="H612" s="650"/>
      <c r="I612" s="650"/>
      <c r="J612" s="650"/>
      <c r="K612" s="650"/>
      <c r="L612" s="650"/>
      <c r="M612" s="650"/>
      <c r="N612" s="650"/>
      <c r="O612" s="650"/>
      <c r="P612" s="650"/>
      <c r="Q612" s="650"/>
      <c r="R612" s="650"/>
      <c r="S612" s="650"/>
      <c r="T612" s="650"/>
      <c r="U612" s="650"/>
      <c r="V612" s="650"/>
      <c r="W612" s="650"/>
      <c r="X612" s="650"/>
      <c r="Y612" s="650"/>
      <c r="Z612" s="650"/>
    </row>
    <row r="613" spans="1:26" s="205" customFormat="1">
      <c r="A613" s="650"/>
      <c r="B613" s="650"/>
      <c r="C613" s="650"/>
      <c r="D613" s="650"/>
      <c r="E613" s="650"/>
      <c r="F613" s="650"/>
      <c r="G613" s="650"/>
      <c r="H613" s="650"/>
      <c r="I613" s="650"/>
      <c r="J613" s="650"/>
      <c r="K613" s="650"/>
      <c r="L613" s="650"/>
      <c r="M613" s="650"/>
      <c r="N613" s="650"/>
      <c r="O613" s="650"/>
      <c r="P613" s="650"/>
      <c r="Q613" s="650"/>
      <c r="R613" s="650"/>
      <c r="S613" s="650"/>
      <c r="T613" s="650"/>
      <c r="U613" s="650"/>
      <c r="V613" s="650"/>
      <c r="W613" s="650"/>
      <c r="X613" s="650"/>
      <c r="Y613" s="650"/>
      <c r="Z613" s="650"/>
    </row>
    <row r="614" spans="1:26" s="204" customFormat="1">
      <c r="A614" s="650"/>
      <c r="B614" s="650"/>
      <c r="C614" s="650"/>
      <c r="D614" s="650"/>
      <c r="E614" s="650"/>
      <c r="F614" s="650"/>
      <c r="G614" s="650"/>
      <c r="H614" s="650"/>
      <c r="I614" s="650"/>
      <c r="J614" s="650"/>
      <c r="K614" s="650"/>
      <c r="L614" s="650"/>
      <c r="M614" s="650"/>
      <c r="N614" s="650"/>
      <c r="O614" s="650"/>
      <c r="P614" s="650"/>
      <c r="Q614" s="650"/>
      <c r="R614" s="650"/>
      <c r="S614" s="650"/>
      <c r="T614" s="650"/>
      <c r="U614" s="650"/>
      <c r="V614" s="650"/>
      <c r="W614" s="650"/>
      <c r="X614" s="650"/>
      <c r="Y614" s="650"/>
      <c r="Z614" s="650"/>
    </row>
    <row r="615" spans="1:26">
      <c r="A615" s="650"/>
      <c r="B615" s="650"/>
      <c r="C615" s="650"/>
      <c r="D615" s="650"/>
      <c r="E615" s="650"/>
      <c r="F615" s="650"/>
      <c r="G615" s="650"/>
      <c r="H615" s="650"/>
      <c r="I615" s="650"/>
      <c r="J615" s="650"/>
      <c r="K615" s="650"/>
      <c r="L615" s="650"/>
      <c r="M615" s="650"/>
      <c r="N615" s="650"/>
      <c r="O615" s="650"/>
      <c r="P615" s="650"/>
      <c r="Q615" s="650"/>
      <c r="R615" s="650"/>
      <c r="S615" s="650"/>
      <c r="T615" s="650"/>
      <c r="U615" s="650"/>
      <c r="V615" s="650"/>
      <c r="W615" s="650"/>
      <c r="X615" s="650"/>
      <c r="Y615" s="650"/>
      <c r="Z615" s="650"/>
    </row>
    <row r="616" spans="1:26" s="205" customFormat="1">
      <c r="A616" s="650"/>
      <c r="B616" s="650"/>
      <c r="C616" s="650"/>
      <c r="D616" s="650"/>
      <c r="E616" s="650"/>
      <c r="F616" s="650"/>
      <c r="G616" s="650"/>
      <c r="H616" s="650"/>
      <c r="I616" s="650"/>
      <c r="J616" s="650"/>
      <c r="K616" s="650"/>
      <c r="L616" s="650"/>
      <c r="M616" s="650"/>
      <c r="N616" s="650"/>
      <c r="O616" s="650"/>
      <c r="P616" s="650"/>
      <c r="Q616" s="650"/>
      <c r="R616" s="650"/>
      <c r="S616" s="650"/>
      <c r="T616" s="650"/>
      <c r="U616" s="650"/>
      <c r="V616" s="650"/>
      <c r="W616" s="650"/>
      <c r="X616" s="650"/>
      <c r="Y616" s="650"/>
      <c r="Z616" s="650"/>
    </row>
    <row r="617" spans="1:26" s="204" customFormat="1">
      <c r="A617" s="650"/>
      <c r="B617" s="650"/>
      <c r="C617" s="650"/>
      <c r="D617" s="650"/>
      <c r="E617" s="650"/>
      <c r="F617" s="650"/>
      <c r="G617" s="650"/>
      <c r="H617" s="650"/>
      <c r="I617" s="650"/>
      <c r="J617" s="650"/>
      <c r="K617" s="650"/>
      <c r="L617" s="650"/>
      <c r="M617" s="650"/>
      <c r="N617" s="650"/>
      <c r="O617" s="650"/>
      <c r="P617" s="650"/>
      <c r="Q617" s="650"/>
      <c r="R617" s="650"/>
      <c r="S617" s="650"/>
      <c r="T617" s="650"/>
      <c r="U617" s="650"/>
      <c r="V617" s="650"/>
      <c r="W617" s="650"/>
      <c r="X617" s="650"/>
      <c r="Y617" s="650"/>
      <c r="Z617" s="650"/>
    </row>
    <row r="618" spans="1:26">
      <c r="A618" s="650"/>
      <c r="B618" s="650"/>
      <c r="C618" s="650"/>
      <c r="D618" s="650"/>
      <c r="E618" s="650"/>
      <c r="F618" s="650"/>
      <c r="G618" s="650"/>
      <c r="H618" s="650"/>
      <c r="I618" s="650"/>
      <c r="J618" s="650"/>
      <c r="K618" s="650"/>
      <c r="L618" s="650"/>
      <c r="M618" s="650"/>
      <c r="N618" s="650"/>
      <c r="O618" s="650"/>
      <c r="P618" s="650"/>
      <c r="Q618" s="650"/>
      <c r="R618" s="650"/>
      <c r="S618" s="650"/>
      <c r="T618" s="650"/>
      <c r="U618" s="650"/>
      <c r="V618" s="650"/>
      <c r="W618" s="650"/>
      <c r="X618" s="650"/>
      <c r="Y618" s="650"/>
      <c r="Z618" s="650"/>
    </row>
    <row r="619" spans="1:26" s="205" customFormat="1">
      <c r="A619" s="650"/>
      <c r="B619" s="650"/>
      <c r="C619" s="650"/>
      <c r="D619" s="650"/>
      <c r="E619" s="650"/>
      <c r="F619" s="650"/>
      <c r="G619" s="650"/>
      <c r="H619" s="650"/>
      <c r="I619" s="650"/>
      <c r="J619" s="650"/>
      <c r="K619" s="650"/>
      <c r="L619" s="650"/>
      <c r="M619" s="650"/>
      <c r="N619" s="650"/>
      <c r="O619" s="650"/>
      <c r="P619" s="650"/>
      <c r="Q619" s="650"/>
      <c r="R619" s="650"/>
      <c r="S619" s="650"/>
      <c r="T619" s="650"/>
      <c r="U619" s="650"/>
      <c r="V619" s="650"/>
      <c r="W619" s="650"/>
      <c r="X619" s="650"/>
      <c r="Y619" s="650"/>
      <c r="Z619" s="650"/>
    </row>
    <row r="620" spans="1:26" s="204" customFormat="1" ht="13.5" thickBot="1">
      <c r="A620" s="650"/>
      <c r="B620" s="650"/>
      <c r="C620" s="650"/>
      <c r="D620" s="650"/>
      <c r="E620" s="650"/>
      <c r="F620" s="650"/>
      <c r="G620" s="650"/>
      <c r="H620" s="650"/>
      <c r="I620" s="650"/>
      <c r="J620" s="650"/>
      <c r="K620" s="650"/>
      <c r="L620" s="650"/>
      <c r="M620" s="650"/>
      <c r="N620" s="650"/>
      <c r="O620" s="650"/>
      <c r="P620" s="650"/>
      <c r="Q620" s="650"/>
      <c r="R620" s="650"/>
      <c r="S620" s="650"/>
      <c r="T620" s="650"/>
      <c r="U620" s="650"/>
      <c r="V620" s="650"/>
      <c r="W620" s="650"/>
      <c r="X620" s="650"/>
      <c r="Y620" s="650"/>
      <c r="Z620" s="650"/>
    </row>
    <row r="621" spans="1:26">
      <c r="A621" s="650"/>
      <c r="B621" s="650"/>
      <c r="C621" s="650"/>
      <c r="D621" s="650"/>
      <c r="E621" s="650"/>
      <c r="F621" s="650"/>
      <c r="G621" s="650"/>
      <c r="H621" s="650"/>
      <c r="I621" s="650"/>
      <c r="J621" s="650"/>
      <c r="K621" s="650"/>
      <c r="L621" s="650"/>
      <c r="M621" s="650"/>
      <c r="N621" s="650"/>
      <c r="O621" s="650"/>
      <c r="P621" s="650"/>
      <c r="Q621" s="650"/>
      <c r="R621" s="650"/>
      <c r="S621" s="650"/>
      <c r="T621" s="650"/>
      <c r="U621" s="650"/>
      <c r="V621" s="650"/>
      <c r="W621" s="650"/>
      <c r="X621" s="650"/>
      <c r="Y621" s="650"/>
      <c r="Z621" s="650"/>
    </row>
    <row r="622" spans="1:26" s="205" customFormat="1">
      <c r="A622" s="650"/>
      <c r="B622" s="650"/>
      <c r="C622" s="650"/>
      <c r="D622" s="650"/>
      <c r="E622" s="650"/>
      <c r="F622" s="650"/>
      <c r="G622" s="650"/>
      <c r="H622" s="650"/>
      <c r="I622" s="650"/>
      <c r="J622" s="650"/>
      <c r="K622" s="650"/>
      <c r="L622" s="650"/>
      <c r="M622" s="650"/>
      <c r="N622" s="650"/>
      <c r="O622" s="650"/>
      <c r="P622" s="650"/>
      <c r="Q622" s="650"/>
      <c r="R622" s="650"/>
      <c r="S622" s="650"/>
      <c r="T622" s="650"/>
      <c r="U622" s="650"/>
      <c r="V622" s="650"/>
      <c r="W622" s="650"/>
      <c r="X622" s="650"/>
      <c r="Y622" s="650"/>
      <c r="Z622" s="650"/>
    </row>
    <row r="623" spans="1:26" s="204" customFormat="1" ht="13.5" thickBot="1">
      <c r="A623" s="650"/>
      <c r="B623" s="650"/>
      <c r="C623" s="650"/>
      <c r="D623" s="650"/>
      <c r="E623" s="650"/>
      <c r="F623" s="650"/>
      <c r="G623" s="650"/>
      <c r="H623" s="650"/>
      <c r="I623" s="650"/>
      <c r="J623" s="650"/>
      <c r="K623" s="650"/>
      <c r="L623" s="650"/>
      <c r="M623" s="650"/>
      <c r="N623" s="650"/>
      <c r="O623" s="650"/>
      <c r="P623" s="650"/>
      <c r="Q623" s="650"/>
      <c r="R623" s="650"/>
      <c r="S623" s="650"/>
      <c r="T623" s="650"/>
      <c r="U623" s="650"/>
      <c r="V623" s="650"/>
      <c r="W623" s="650"/>
      <c r="X623" s="650"/>
      <c r="Y623" s="650"/>
      <c r="Z623" s="650"/>
    </row>
    <row r="624" spans="1:26">
      <c r="A624" s="650"/>
      <c r="B624" s="650"/>
      <c r="C624" s="650"/>
      <c r="D624" s="650"/>
      <c r="E624" s="650"/>
      <c r="F624" s="650"/>
      <c r="G624" s="650"/>
      <c r="H624" s="650"/>
      <c r="I624" s="650"/>
      <c r="J624" s="650"/>
      <c r="K624" s="650"/>
      <c r="L624" s="650"/>
      <c r="M624" s="650"/>
      <c r="N624" s="650"/>
      <c r="O624" s="650"/>
      <c r="P624" s="650"/>
      <c r="Q624" s="650"/>
      <c r="R624" s="650"/>
      <c r="S624" s="650"/>
      <c r="T624" s="650"/>
      <c r="U624" s="650"/>
      <c r="V624" s="650"/>
      <c r="W624" s="650"/>
      <c r="X624" s="650"/>
      <c r="Y624" s="650"/>
      <c r="Z624" s="650"/>
    </row>
    <row r="625" spans="1:26" s="205" customFormat="1">
      <c r="A625" s="650"/>
      <c r="B625" s="650"/>
      <c r="C625" s="650"/>
      <c r="D625" s="650"/>
      <c r="E625" s="650"/>
      <c r="F625" s="650"/>
      <c r="G625" s="650"/>
      <c r="H625" s="650"/>
      <c r="I625" s="650"/>
      <c r="J625" s="650"/>
      <c r="K625" s="650"/>
      <c r="L625" s="650"/>
      <c r="M625" s="650"/>
      <c r="N625" s="650"/>
      <c r="O625" s="650"/>
      <c r="P625" s="650"/>
      <c r="Q625" s="650"/>
      <c r="R625" s="650"/>
      <c r="S625" s="650"/>
      <c r="T625" s="650"/>
      <c r="U625" s="650"/>
      <c r="V625" s="650"/>
      <c r="W625" s="650"/>
      <c r="X625" s="650"/>
      <c r="Y625" s="650"/>
      <c r="Z625" s="650"/>
    </row>
    <row r="626" spans="1:26" s="204" customFormat="1" ht="13.5" thickBot="1">
      <c r="A626" s="650"/>
      <c r="B626" s="650"/>
      <c r="C626" s="650"/>
      <c r="D626" s="650"/>
      <c r="E626" s="650"/>
      <c r="F626" s="650"/>
      <c r="G626" s="650"/>
      <c r="H626" s="650"/>
      <c r="I626" s="650"/>
      <c r="J626" s="650"/>
      <c r="K626" s="650"/>
      <c r="L626" s="650"/>
      <c r="M626" s="650"/>
      <c r="N626" s="650"/>
      <c r="O626" s="650"/>
      <c r="P626" s="650"/>
      <c r="Q626" s="650"/>
      <c r="R626" s="650"/>
      <c r="S626" s="650"/>
      <c r="T626" s="650"/>
      <c r="U626" s="650"/>
      <c r="V626" s="650"/>
      <c r="W626" s="650"/>
      <c r="X626" s="650"/>
      <c r="Y626" s="650"/>
      <c r="Z626" s="650"/>
    </row>
    <row r="627" spans="1:26">
      <c r="A627" s="650"/>
      <c r="B627" s="650"/>
      <c r="C627" s="650"/>
      <c r="D627" s="650"/>
      <c r="E627" s="650"/>
      <c r="F627" s="650"/>
      <c r="G627" s="650"/>
      <c r="H627" s="650"/>
      <c r="I627" s="650"/>
      <c r="J627" s="650"/>
      <c r="K627" s="650"/>
      <c r="L627" s="650"/>
      <c r="M627" s="650"/>
      <c r="N627" s="650"/>
      <c r="O627" s="650"/>
      <c r="P627" s="650"/>
      <c r="Q627" s="650"/>
      <c r="R627" s="650"/>
      <c r="S627" s="650"/>
      <c r="T627" s="650"/>
      <c r="U627" s="650"/>
      <c r="V627" s="650"/>
      <c r="W627" s="650"/>
      <c r="X627" s="650"/>
      <c r="Y627" s="650"/>
      <c r="Z627" s="650"/>
    </row>
    <row r="628" spans="1:26" s="205" customFormat="1">
      <c r="A628" s="650"/>
      <c r="B628" s="650"/>
      <c r="C628" s="650"/>
      <c r="D628" s="650"/>
      <c r="E628" s="650"/>
      <c r="F628" s="650"/>
      <c r="G628" s="650"/>
      <c r="H628" s="650"/>
      <c r="I628" s="650"/>
      <c r="J628" s="650"/>
      <c r="K628" s="650"/>
      <c r="L628" s="650"/>
      <c r="M628" s="650"/>
      <c r="N628" s="650"/>
      <c r="O628" s="650"/>
      <c r="P628" s="650"/>
      <c r="Q628" s="650"/>
      <c r="R628" s="650"/>
      <c r="S628" s="650"/>
      <c r="T628" s="650"/>
      <c r="U628" s="650"/>
      <c r="V628" s="650"/>
      <c r="W628" s="650"/>
      <c r="X628" s="650"/>
      <c r="Y628" s="650"/>
      <c r="Z628" s="650"/>
    </row>
    <row r="629" spans="1:26" s="214" customFormat="1">
      <c r="A629" s="650"/>
      <c r="B629" s="650"/>
      <c r="C629" s="650"/>
      <c r="D629" s="650"/>
      <c r="E629" s="650"/>
      <c r="F629" s="650"/>
      <c r="G629" s="650"/>
      <c r="H629" s="650"/>
      <c r="I629" s="650"/>
      <c r="J629" s="650"/>
      <c r="K629" s="650"/>
      <c r="L629" s="650"/>
      <c r="M629" s="650"/>
      <c r="N629" s="650"/>
      <c r="O629" s="650"/>
      <c r="P629" s="650"/>
      <c r="Q629" s="650"/>
      <c r="R629" s="650"/>
      <c r="S629" s="650"/>
      <c r="T629" s="650"/>
      <c r="U629" s="650"/>
      <c r="V629" s="650"/>
      <c r="W629" s="650"/>
      <c r="X629" s="650"/>
      <c r="Y629" s="650"/>
      <c r="Z629" s="650"/>
    </row>
    <row r="630" spans="1:26">
      <c r="A630" s="650"/>
      <c r="B630" s="650"/>
      <c r="C630" s="650"/>
      <c r="D630" s="650"/>
      <c r="E630" s="650"/>
      <c r="F630" s="650"/>
      <c r="G630" s="650"/>
      <c r="H630" s="650"/>
      <c r="I630" s="650"/>
      <c r="J630" s="650"/>
      <c r="K630" s="650"/>
      <c r="L630" s="650"/>
      <c r="M630" s="650"/>
      <c r="N630" s="650"/>
      <c r="O630" s="650"/>
      <c r="P630" s="650"/>
      <c r="Q630" s="650"/>
      <c r="R630" s="650"/>
      <c r="S630" s="650"/>
      <c r="T630" s="650"/>
      <c r="U630" s="650"/>
      <c r="V630" s="650"/>
      <c r="W630" s="650"/>
      <c r="X630" s="650"/>
      <c r="Y630" s="650"/>
      <c r="Z630" s="650"/>
    </row>
    <row r="631" spans="1:26">
      <c r="A631" s="650"/>
      <c r="B631" s="650"/>
      <c r="C631" s="650"/>
      <c r="D631" s="650"/>
      <c r="E631" s="650"/>
      <c r="F631" s="650"/>
      <c r="G631" s="650"/>
      <c r="H631" s="650"/>
      <c r="I631" s="650"/>
      <c r="J631" s="650"/>
      <c r="K631" s="650"/>
      <c r="L631" s="650"/>
      <c r="M631" s="650"/>
      <c r="N631" s="650"/>
      <c r="O631" s="650"/>
      <c r="P631" s="650"/>
      <c r="Q631" s="650"/>
      <c r="R631" s="650"/>
      <c r="S631" s="650"/>
      <c r="T631" s="650"/>
      <c r="U631" s="650"/>
      <c r="V631" s="650"/>
      <c r="W631" s="650"/>
      <c r="X631" s="650"/>
      <c r="Y631" s="650"/>
      <c r="Z631" s="650"/>
    </row>
    <row r="632" spans="1:26">
      <c r="A632" s="650"/>
      <c r="B632" s="650"/>
      <c r="C632" s="650"/>
      <c r="D632" s="650"/>
      <c r="E632" s="650"/>
      <c r="F632" s="650"/>
      <c r="G632" s="650"/>
      <c r="H632" s="650"/>
      <c r="I632" s="650"/>
      <c r="J632" s="650"/>
      <c r="K632" s="650"/>
      <c r="L632" s="650"/>
      <c r="M632" s="650"/>
      <c r="N632" s="650"/>
      <c r="O632" s="650"/>
      <c r="P632" s="650"/>
      <c r="Q632" s="650"/>
      <c r="R632" s="650"/>
      <c r="S632" s="650"/>
      <c r="T632" s="650"/>
      <c r="U632" s="650"/>
      <c r="V632" s="650"/>
      <c r="W632" s="650"/>
      <c r="X632" s="650"/>
      <c r="Y632" s="650"/>
      <c r="Z632" s="650"/>
    </row>
    <row r="633" spans="1:26">
      <c r="A633" s="650"/>
      <c r="B633" s="650"/>
      <c r="C633" s="650"/>
      <c r="D633" s="650"/>
      <c r="E633" s="650"/>
      <c r="F633" s="650"/>
      <c r="G633" s="650"/>
      <c r="H633" s="650"/>
      <c r="I633" s="650"/>
      <c r="J633" s="650"/>
      <c r="K633" s="650"/>
      <c r="L633" s="650"/>
      <c r="M633" s="650"/>
      <c r="N633" s="650"/>
      <c r="O633" s="650"/>
      <c r="P633" s="650"/>
      <c r="Q633" s="650"/>
      <c r="R633" s="650"/>
      <c r="S633" s="650"/>
      <c r="T633" s="650"/>
      <c r="U633" s="650"/>
      <c r="V633" s="650"/>
      <c r="W633" s="650"/>
      <c r="X633" s="650"/>
      <c r="Y633" s="650"/>
      <c r="Z633" s="650"/>
    </row>
    <row r="634" spans="1:26">
      <c r="A634" s="650"/>
      <c r="B634" s="650"/>
      <c r="C634" s="650"/>
      <c r="D634" s="650"/>
      <c r="E634" s="650"/>
      <c r="F634" s="650"/>
      <c r="G634" s="650"/>
      <c r="H634" s="650"/>
      <c r="I634" s="650"/>
      <c r="J634" s="650"/>
      <c r="K634" s="650"/>
      <c r="L634" s="650"/>
      <c r="M634" s="650"/>
      <c r="N634" s="650"/>
      <c r="O634" s="650"/>
      <c r="P634" s="650"/>
      <c r="Q634" s="650"/>
      <c r="R634" s="650"/>
      <c r="S634" s="650"/>
      <c r="T634" s="650"/>
      <c r="U634" s="650"/>
      <c r="V634" s="650"/>
      <c r="W634" s="650"/>
      <c r="X634" s="650"/>
      <c r="Y634" s="650"/>
      <c r="Z634" s="650"/>
    </row>
    <row r="635" spans="1:26">
      <c r="A635" s="650"/>
      <c r="B635" s="650"/>
      <c r="C635" s="650"/>
      <c r="D635" s="650"/>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row>
    <row r="636" spans="1:26">
      <c r="A636" s="650"/>
      <c r="B636" s="650"/>
      <c r="C636" s="650"/>
      <c r="D636" s="650"/>
      <c r="E636" s="650"/>
      <c r="F636" s="650"/>
      <c r="G636" s="650"/>
      <c r="H636" s="650"/>
      <c r="I636" s="650"/>
      <c r="J636" s="650"/>
      <c r="K636" s="650"/>
      <c r="L636" s="650"/>
      <c r="M636" s="650"/>
      <c r="N636" s="650"/>
      <c r="O636" s="650"/>
      <c r="P636" s="650"/>
      <c r="Q636" s="650"/>
      <c r="R636" s="650"/>
      <c r="S636" s="650"/>
      <c r="T636" s="650"/>
      <c r="U636" s="650"/>
      <c r="V636" s="650"/>
      <c r="W636" s="650"/>
      <c r="X636" s="650"/>
      <c r="Y636" s="650"/>
      <c r="Z636" s="650"/>
    </row>
    <row r="637" spans="1:26">
      <c r="A637" s="650"/>
      <c r="B637" s="650"/>
      <c r="C637" s="650"/>
      <c r="D637" s="650"/>
      <c r="E637" s="650"/>
      <c r="F637" s="650"/>
      <c r="G637" s="650"/>
      <c r="H637" s="650"/>
      <c r="I637" s="650"/>
      <c r="J637" s="650"/>
      <c r="K637" s="650"/>
      <c r="L637" s="650"/>
      <c r="M637" s="650"/>
      <c r="N637" s="650"/>
      <c r="O637" s="650"/>
      <c r="P637" s="650"/>
      <c r="Q637" s="650"/>
      <c r="R637" s="650"/>
      <c r="S637" s="650"/>
      <c r="T637" s="650"/>
      <c r="U637" s="650"/>
      <c r="V637" s="650"/>
      <c r="W637" s="650"/>
      <c r="X637" s="650"/>
      <c r="Y637" s="650"/>
      <c r="Z637" s="650"/>
    </row>
    <row r="638" spans="1:26">
      <c r="A638" s="650"/>
      <c r="B638" s="650"/>
      <c r="C638" s="650"/>
      <c r="D638" s="65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row>
    <row r="639" spans="1:26">
      <c r="A639" s="650"/>
      <c r="B639" s="650"/>
      <c r="C639" s="650"/>
      <c r="D639" s="650"/>
      <c r="E639" s="650"/>
      <c r="F639" s="650"/>
      <c r="G639" s="650"/>
      <c r="H639" s="650"/>
      <c r="I639" s="650"/>
      <c r="J639" s="650"/>
      <c r="K639" s="650"/>
      <c r="L639" s="650"/>
      <c r="M639" s="650"/>
      <c r="N639" s="650"/>
      <c r="O639" s="650"/>
      <c r="P639" s="650"/>
      <c r="Q639" s="650"/>
      <c r="R639" s="650"/>
      <c r="S639" s="650"/>
      <c r="T639" s="650"/>
      <c r="U639" s="650"/>
      <c r="V639" s="650"/>
      <c r="W639" s="650"/>
      <c r="X639" s="650"/>
      <c r="Y639" s="650"/>
      <c r="Z639" s="650"/>
    </row>
    <row r="640" spans="1:26">
      <c r="A640" s="650"/>
      <c r="B640" s="650"/>
      <c r="C640" s="650"/>
      <c r="D640" s="650"/>
      <c r="E640" s="650"/>
      <c r="F640" s="650"/>
      <c r="G640" s="650"/>
      <c r="H640" s="650"/>
      <c r="I640" s="650"/>
      <c r="J640" s="650"/>
      <c r="K640" s="650"/>
      <c r="L640" s="650"/>
      <c r="M640" s="650"/>
      <c r="N640" s="650"/>
      <c r="O640" s="650"/>
      <c r="P640" s="650"/>
      <c r="Q640" s="650"/>
      <c r="R640" s="650"/>
      <c r="S640" s="650"/>
      <c r="T640" s="650"/>
      <c r="U640" s="650"/>
      <c r="V640" s="650"/>
      <c r="W640" s="650"/>
      <c r="X640" s="650"/>
      <c r="Y640" s="650"/>
      <c r="Z640" s="650"/>
    </row>
    <row r="641" spans="1:26">
      <c r="A641" s="650"/>
      <c r="B641" s="650"/>
      <c r="C641" s="650"/>
      <c r="D641" s="650"/>
      <c r="E641" s="650"/>
      <c r="F641" s="650"/>
      <c r="G641" s="650"/>
      <c r="H641" s="650"/>
      <c r="I641" s="650"/>
      <c r="J641" s="650"/>
      <c r="K641" s="650"/>
      <c r="L641" s="650"/>
      <c r="M641" s="650"/>
      <c r="N641" s="650"/>
      <c r="O641" s="650"/>
      <c r="P641" s="650"/>
      <c r="Q641" s="650"/>
      <c r="R641" s="650"/>
      <c r="S641" s="650"/>
      <c r="T641" s="650"/>
      <c r="U641" s="650"/>
      <c r="V641" s="650"/>
      <c r="W641" s="650"/>
      <c r="X641" s="650"/>
      <c r="Y641" s="650"/>
      <c r="Z641" s="650"/>
    </row>
    <row r="642" spans="1:26">
      <c r="A642" s="650"/>
      <c r="B642" s="650"/>
      <c r="C642" s="650"/>
      <c r="D642" s="650"/>
      <c r="E642" s="650"/>
      <c r="F642" s="650"/>
      <c r="G642" s="650"/>
      <c r="H642" s="650"/>
      <c r="I642" s="650"/>
      <c r="J642" s="650"/>
      <c r="K642" s="650"/>
      <c r="L642" s="650"/>
      <c r="M642" s="650"/>
      <c r="N642" s="650"/>
      <c r="O642" s="650"/>
      <c r="P642" s="650"/>
      <c r="Q642" s="650"/>
      <c r="R642" s="650"/>
      <c r="S642" s="650"/>
      <c r="T642" s="650"/>
      <c r="U642" s="650"/>
      <c r="V642" s="650"/>
      <c r="W642" s="650"/>
      <c r="X642" s="650"/>
      <c r="Y642" s="650"/>
      <c r="Z642" s="650"/>
    </row>
    <row r="643" spans="1:26">
      <c r="A643" s="650"/>
      <c r="B643" s="650"/>
      <c r="C643" s="650"/>
      <c r="D643" s="650"/>
      <c r="E643" s="650"/>
      <c r="F643" s="650"/>
      <c r="G643" s="650"/>
      <c r="H643" s="650"/>
      <c r="I643" s="650"/>
      <c r="J643" s="650"/>
      <c r="K643" s="650"/>
      <c r="L643" s="650"/>
      <c r="M643" s="650"/>
      <c r="N643" s="650"/>
      <c r="O643" s="650"/>
      <c r="P643" s="650"/>
      <c r="Q643" s="650"/>
      <c r="R643" s="650"/>
      <c r="S643" s="650"/>
      <c r="T643" s="650"/>
      <c r="U643" s="650"/>
      <c r="V643" s="650"/>
      <c r="W643" s="650"/>
      <c r="X643" s="650"/>
      <c r="Y643" s="650"/>
      <c r="Z643" s="650"/>
    </row>
    <row r="644" spans="1:26">
      <c r="A644" s="650"/>
      <c r="B644" s="650"/>
      <c r="C644" s="650"/>
      <c r="D644" s="650"/>
      <c r="E644" s="650"/>
      <c r="F644" s="650"/>
      <c r="G644" s="650"/>
      <c r="H644" s="650"/>
      <c r="I644" s="650"/>
      <c r="J644" s="650"/>
      <c r="K644" s="650"/>
      <c r="L644" s="650"/>
      <c r="M644" s="650"/>
      <c r="N644" s="650"/>
      <c r="O644" s="650"/>
      <c r="P644" s="650"/>
      <c r="Q644" s="650"/>
      <c r="R644" s="650"/>
      <c r="S644" s="650"/>
      <c r="T644" s="650"/>
      <c r="U644" s="650"/>
      <c r="V644" s="650"/>
      <c r="W644" s="650"/>
      <c r="X644" s="650"/>
      <c r="Y644" s="650"/>
      <c r="Z644" s="650"/>
    </row>
    <row r="645" spans="1:26">
      <c r="A645" s="650"/>
      <c r="B645" s="650"/>
      <c r="C645" s="650"/>
      <c r="D645" s="650"/>
      <c r="E645" s="650"/>
      <c r="F645" s="650"/>
      <c r="G645" s="650"/>
      <c r="H645" s="650"/>
      <c r="I645" s="650"/>
      <c r="J645" s="650"/>
      <c r="K645" s="650"/>
      <c r="L645" s="650"/>
      <c r="M645" s="650"/>
      <c r="N645" s="650"/>
      <c r="O645" s="650"/>
      <c r="P645" s="650"/>
      <c r="Q645" s="650"/>
      <c r="R645" s="650"/>
      <c r="S645" s="650"/>
      <c r="T645" s="650"/>
      <c r="U645" s="650"/>
      <c r="V645" s="650"/>
      <c r="W645" s="650"/>
      <c r="X645" s="650"/>
      <c r="Y645" s="650"/>
      <c r="Z645" s="650"/>
    </row>
    <row r="646" spans="1:26">
      <c r="A646" s="650"/>
      <c r="B646" s="650"/>
      <c r="C646" s="650"/>
      <c r="D646" s="650"/>
      <c r="E646" s="650"/>
      <c r="F646" s="650"/>
      <c r="G646" s="650"/>
      <c r="H646" s="650"/>
      <c r="I646" s="650"/>
      <c r="J646" s="650"/>
      <c r="K646" s="650"/>
      <c r="L646" s="650"/>
      <c r="M646" s="650"/>
      <c r="N646" s="650"/>
      <c r="O646" s="650"/>
      <c r="P646" s="650"/>
      <c r="Q646" s="650"/>
      <c r="R646" s="650"/>
      <c r="S646" s="650"/>
      <c r="T646" s="650"/>
      <c r="U646" s="650"/>
      <c r="V646" s="650"/>
      <c r="W646" s="650"/>
      <c r="X646" s="650"/>
      <c r="Y646" s="650"/>
      <c r="Z646" s="650"/>
    </row>
    <row r="647" spans="1:26">
      <c r="A647" s="650"/>
      <c r="B647" s="650"/>
      <c r="C647" s="650"/>
      <c r="D647" s="650"/>
      <c r="E647" s="650"/>
      <c r="F647" s="650"/>
      <c r="G647" s="650"/>
      <c r="H647" s="650"/>
      <c r="I647" s="650"/>
      <c r="J647" s="650"/>
      <c r="K647" s="650"/>
      <c r="L647" s="650"/>
      <c r="M647" s="650"/>
      <c r="N647" s="650"/>
      <c r="O647" s="650"/>
      <c r="P647" s="650"/>
      <c r="Q647" s="650"/>
      <c r="R647" s="650"/>
      <c r="S647" s="650"/>
      <c r="T647" s="650"/>
      <c r="U647" s="650"/>
      <c r="V647" s="650"/>
      <c r="W647" s="650"/>
      <c r="X647" s="650"/>
      <c r="Y647" s="650"/>
      <c r="Z647" s="650"/>
    </row>
    <row r="648" spans="1:26">
      <c r="A648" s="650"/>
      <c r="B648" s="650"/>
      <c r="C648" s="650"/>
      <c r="D648" s="650"/>
      <c r="E648" s="650"/>
      <c r="F648" s="650"/>
      <c r="G648" s="650"/>
      <c r="H648" s="650"/>
      <c r="I648" s="650"/>
      <c r="J648" s="650"/>
      <c r="K648" s="650"/>
      <c r="L648" s="650"/>
      <c r="M648" s="650"/>
      <c r="N648" s="650"/>
      <c r="O648" s="650"/>
      <c r="P648" s="650"/>
      <c r="Q648" s="650"/>
      <c r="R648" s="650"/>
      <c r="S648" s="650"/>
      <c r="T648" s="650"/>
      <c r="U648" s="650"/>
      <c r="V648" s="650"/>
      <c r="W648" s="650"/>
      <c r="X648" s="650"/>
      <c r="Y648" s="650"/>
      <c r="Z648" s="650"/>
    </row>
    <row r="649" spans="1:26">
      <c r="A649" s="650"/>
      <c r="B649" s="650"/>
      <c r="C649" s="650"/>
      <c r="D649" s="650"/>
      <c r="E649" s="650"/>
      <c r="F649" s="650"/>
      <c r="G649" s="650"/>
      <c r="H649" s="650"/>
      <c r="I649" s="650"/>
      <c r="J649" s="650"/>
      <c r="K649" s="650"/>
      <c r="L649" s="650"/>
      <c r="M649" s="650"/>
      <c r="N649" s="650"/>
      <c r="O649" s="650"/>
      <c r="P649" s="650"/>
      <c r="Q649" s="650"/>
      <c r="R649" s="650"/>
      <c r="S649" s="650"/>
      <c r="T649" s="650"/>
      <c r="U649" s="650"/>
      <c r="V649" s="650"/>
      <c r="W649" s="650"/>
      <c r="X649" s="650"/>
      <c r="Y649" s="650"/>
      <c r="Z649" s="650"/>
    </row>
    <row r="650" spans="1:26">
      <c r="A650" s="650"/>
      <c r="B650" s="650"/>
      <c r="C650" s="650"/>
      <c r="D650" s="650"/>
      <c r="E650" s="650"/>
      <c r="F650" s="650"/>
      <c r="G650" s="650"/>
      <c r="H650" s="650"/>
      <c r="I650" s="650"/>
      <c r="J650" s="650"/>
      <c r="K650" s="650"/>
      <c r="L650" s="650"/>
      <c r="M650" s="650"/>
      <c r="N650" s="650"/>
      <c r="O650" s="650"/>
      <c r="P650" s="650"/>
      <c r="Q650" s="650"/>
      <c r="R650" s="650"/>
      <c r="S650" s="650"/>
      <c r="T650" s="650"/>
      <c r="U650" s="650"/>
      <c r="V650" s="650"/>
      <c r="W650" s="650"/>
      <c r="X650" s="650"/>
      <c r="Y650" s="650"/>
      <c r="Z650" s="650"/>
    </row>
    <row r="651" spans="1:26">
      <c r="A651" s="650"/>
      <c r="B651" s="650"/>
      <c r="C651" s="650"/>
      <c r="D651" s="650"/>
      <c r="E651" s="650"/>
      <c r="F651" s="650"/>
      <c r="G651" s="650"/>
      <c r="H651" s="650"/>
      <c r="I651" s="650"/>
      <c r="J651" s="650"/>
      <c r="K651" s="650"/>
      <c r="L651" s="650"/>
      <c r="M651" s="650"/>
      <c r="N651" s="650"/>
      <c r="O651" s="650"/>
      <c r="P651" s="650"/>
      <c r="Q651" s="650"/>
      <c r="R651" s="650"/>
      <c r="S651" s="650"/>
      <c r="T651" s="650"/>
      <c r="U651" s="650"/>
      <c r="V651" s="650"/>
      <c r="W651" s="650"/>
      <c r="X651" s="650"/>
      <c r="Y651" s="650"/>
      <c r="Z651" s="650"/>
    </row>
    <row r="652" spans="1:26">
      <c r="A652" s="650"/>
      <c r="B652" s="650"/>
      <c r="C652" s="650"/>
      <c r="D652" s="650"/>
      <c r="E652" s="650"/>
      <c r="F652" s="650"/>
      <c r="G652" s="650"/>
      <c r="H652" s="650"/>
      <c r="I652" s="650"/>
      <c r="J652" s="650"/>
      <c r="K652" s="650"/>
      <c r="L652" s="650"/>
      <c r="M652" s="650"/>
      <c r="N652" s="650"/>
      <c r="O652" s="650"/>
      <c r="P652" s="650"/>
      <c r="Q652" s="650"/>
      <c r="R652" s="650"/>
      <c r="S652" s="650"/>
      <c r="T652" s="650"/>
      <c r="U652" s="650"/>
      <c r="V652" s="650"/>
      <c r="W652" s="650"/>
      <c r="X652" s="650"/>
      <c r="Y652" s="650"/>
      <c r="Z652" s="650"/>
    </row>
    <row r="653" spans="1:26">
      <c r="A653" s="650"/>
      <c r="B653" s="650"/>
      <c r="C653" s="650"/>
      <c r="D653" s="650"/>
      <c r="E653" s="650"/>
      <c r="F653" s="650"/>
      <c r="G653" s="650"/>
      <c r="H653" s="650"/>
      <c r="I653" s="650"/>
      <c r="J653" s="650"/>
      <c r="K653" s="650"/>
      <c r="L653" s="650"/>
      <c r="M653" s="650"/>
      <c r="N653" s="650"/>
      <c r="O653" s="650"/>
      <c r="P653" s="650"/>
      <c r="Q653" s="650"/>
      <c r="R653" s="650"/>
      <c r="S653" s="650"/>
      <c r="T653" s="650"/>
      <c r="U653" s="650"/>
      <c r="V653" s="650"/>
      <c r="W653" s="650"/>
      <c r="X653" s="650"/>
      <c r="Y653" s="650"/>
      <c r="Z653" s="650"/>
    </row>
    <row r="654" spans="1:26">
      <c r="A654" s="650"/>
      <c r="B654" s="650"/>
      <c r="C654" s="650"/>
      <c r="D654" s="650"/>
      <c r="E654" s="650"/>
      <c r="F654" s="650"/>
      <c r="G654" s="650"/>
      <c r="H654" s="650"/>
      <c r="I654" s="650"/>
      <c r="J654" s="650"/>
      <c r="K654" s="650"/>
      <c r="L654" s="650"/>
      <c r="M654" s="650"/>
      <c r="N654" s="650"/>
      <c r="O654" s="650"/>
      <c r="P654" s="650"/>
      <c r="Q654" s="650"/>
      <c r="R654" s="650"/>
      <c r="S654" s="650"/>
      <c r="T654" s="650"/>
      <c r="U654" s="650"/>
      <c r="V654" s="650"/>
      <c r="W654" s="650"/>
      <c r="X654" s="650"/>
      <c r="Y654" s="650"/>
      <c r="Z654" s="650"/>
    </row>
    <row r="655" spans="1:26">
      <c r="A655" s="650"/>
      <c r="B655" s="650"/>
      <c r="C655" s="650"/>
      <c r="D655" s="650"/>
      <c r="E655" s="650"/>
      <c r="F655" s="650"/>
      <c r="G655" s="650"/>
      <c r="H655" s="650"/>
      <c r="I655" s="650"/>
      <c r="J655" s="650"/>
      <c r="K655" s="650"/>
      <c r="L655" s="650"/>
      <c r="M655" s="650"/>
      <c r="N655" s="650"/>
      <c r="O655" s="650"/>
      <c r="P655" s="650"/>
      <c r="Q655" s="650"/>
      <c r="R655" s="650"/>
      <c r="S655" s="650"/>
      <c r="T655" s="650"/>
      <c r="U655" s="650"/>
      <c r="V655" s="650"/>
      <c r="W655" s="650"/>
      <c r="X655" s="650"/>
      <c r="Y655" s="650"/>
      <c r="Z655" s="650"/>
    </row>
    <row r="656" spans="1:26">
      <c r="A656" s="650"/>
      <c r="B656" s="650"/>
      <c r="C656" s="650"/>
      <c r="D656" s="650"/>
      <c r="E656" s="650"/>
      <c r="F656" s="650"/>
      <c r="G656" s="650"/>
      <c r="H656" s="650"/>
      <c r="I656" s="650"/>
      <c r="J656" s="650"/>
      <c r="K656" s="650"/>
      <c r="L656" s="650"/>
      <c r="M656" s="650"/>
      <c r="N656" s="650"/>
      <c r="O656" s="650"/>
      <c r="P656" s="650"/>
      <c r="Q656" s="650"/>
      <c r="R656" s="650"/>
      <c r="S656" s="650"/>
      <c r="T656" s="650"/>
      <c r="U656" s="650"/>
      <c r="V656" s="650"/>
      <c r="W656" s="650"/>
      <c r="X656" s="650"/>
      <c r="Y656" s="650"/>
      <c r="Z656" s="650"/>
    </row>
    <row r="657" spans="1:26">
      <c r="A657" s="650"/>
      <c r="B657" s="650"/>
      <c r="C657" s="650"/>
      <c r="D657" s="650"/>
      <c r="E657" s="650"/>
      <c r="F657" s="650"/>
      <c r="G657" s="650"/>
      <c r="H657" s="650"/>
      <c r="I657" s="650"/>
      <c r="J657" s="650"/>
      <c r="K657" s="650"/>
      <c r="L657" s="650"/>
      <c r="M657" s="650"/>
      <c r="N657" s="650"/>
      <c r="O657" s="650"/>
      <c r="P657" s="650"/>
      <c r="Q657" s="650"/>
      <c r="R657" s="650"/>
      <c r="S657" s="650"/>
      <c r="T657" s="650"/>
      <c r="U657" s="650"/>
      <c r="V657" s="650"/>
      <c r="W657" s="650"/>
      <c r="X657" s="650"/>
      <c r="Y657" s="650"/>
      <c r="Z657" s="650"/>
    </row>
    <row r="658" spans="1:26">
      <c r="A658" s="650"/>
      <c r="B658" s="650"/>
      <c r="C658" s="650"/>
      <c r="D658" s="650"/>
      <c r="E658" s="650"/>
      <c r="F658" s="650"/>
      <c r="G658" s="650"/>
      <c r="H658" s="650"/>
      <c r="I658" s="650"/>
      <c r="J658" s="650"/>
      <c r="K658" s="650"/>
      <c r="L658" s="650"/>
      <c r="M658" s="650"/>
      <c r="N658" s="650"/>
      <c r="O658" s="650"/>
      <c r="P658" s="650"/>
      <c r="Q658" s="650"/>
      <c r="R658" s="650"/>
      <c r="S658" s="650"/>
      <c r="T658" s="650"/>
      <c r="U658" s="650"/>
      <c r="V658" s="650"/>
      <c r="W658" s="650"/>
      <c r="X658" s="650"/>
      <c r="Y658" s="650"/>
      <c r="Z658" s="650"/>
    </row>
    <row r="659" spans="1:26">
      <c r="A659" s="650"/>
      <c r="B659" s="650"/>
      <c r="C659" s="650"/>
      <c r="D659" s="650"/>
      <c r="E659" s="650"/>
      <c r="F659" s="650"/>
      <c r="G659" s="650"/>
      <c r="H659" s="650"/>
      <c r="I659" s="650"/>
      <c r="J659" s="650"/>
      <c r="K659" s="650"/>
      <c r="L659" s="650"/>
      <c r="M659" s="650"/>
      <c r="N659" s="650"/>
      <c r="O659" s="650"/>
      <c r="P659" s="650"/>
      <c r="Q659" s="650"/>
      <c r="R659" s="650"/>
      <c r="S659" s="650"/>
      <c r="T659" s="650"/>
      <c r="U659" s="650"/>
      <c r="V659" s="650"/>
      <c r="W659" s="650"/>
      <c r="X659" s="650"/>
      <c r="Y659" s="650"/>
      <c r="Z659" s="650"/>
    </row>
    <row r="660" spans="1:26">
      <c r="A660" s="650"/>
      <c r="B660" s="650"/>
      <c r="C660" s="650"/>
      <c r="D660" s="650"/>
      <c r="E660" s="650"/>
      <c r="F660" s="650"/>
      <c r="G660" s="650"/>
      <c r="H660" s="650"/>
      <c r="I660" s="650"/>
      <c r="J660" s="650"/>
      <c r="K660" s="650"/>
      <c r="L660" s="650"/>
      <c r="M660" s="650"/>
      <c r="N660" s="650"/>
      <c r="O660" s="650"/>
      <c r="P660" s="650"/>
      <c r="Q660" s="650"/>
      <c r="R660" s="650"/>
      <c r="S660" s="650"/>
      <c r="T660" s="650"/>
      <c r="U660" s="650"/>
      <c r="V660" s="650"/>
      <c r="W660" s="650"/>
      <c r="X660" s="650"/>
      <c r="Y660" s="650"/>
      <c r="Z660" s="650"/>
    </row>
    <row r="661" spans="1:26">
      <c r="A661" s="650"/>
      <c r="B661" s="650"/>
      <c r="C661" s="650"/>
      <c r="D661" s="650"/>
      <c r="E661" s="650"/>
      <c r="F661" s="650"/>
      <c r="G661" s="650"/>
      <c r="H661" s="650"/>
      <c r="I661" s="650"/>
      <c r="J661" s="650"/>
      <c r="K661" s="650"/>
      <c r="L661" s="650"/>
      <c r="M661" s="650"/>
      <c r="N661" s="650"/>
      <c r="O661" s="650"/>
      <c r="P661" s="650"/>
      <c r="Q661" s="650"/>
      <c r="R661" s="650"/>
      <c r="S661" s="650"/>
      <c r="T661" s="650"/>
      <c r="U661" s="650"/>
      <c r="V661" s="650"/>
      <c r="W661" s="650"/>
      <c r="X661" s="650"/>
      <c r="Y661" s="650"/>
      <c r="Z661" s="650"/>
    </row>
    <row r="662" spans="1:26">
      <c r="A662" s="650"/>
      <c r="B662" s="650"/>
      <c r="C662" s="650"/>
      <c r="D662" s="650"/>
      <c r="E662" s="650"/>
      <c r="F662" s="650"/>
      <c r="G662" s="650"/>
      <c r="H662" s="650"/>
      <c r="I662" s="650"/>
      <c r="J662" s="650"/>
      <c r="K662" s="650"/>
      <c r="L662" s="650"/>
      <c r="M662" s="650"/>
      <c r="N662" s="650"/>
      <c r="O662" s="650"/>
      <c r="P662" s="650"/>
      <c r="Q662" s="650"/>
      <c r="R662" s="650"/>
      <c r="S662" s="650"/>
      <c r="T662" s="650"/>
      <c r="U662" s="650"/>
      <c r="V662" s="650"/>
      <c r="W662" s="650"/>
      <c r="X662" s="650"/>
      <c r="Y662" s="650"/>
      <c r="Z662" s="650"/>
    </row>
    <row r="663" spans="1:26">
      <c r="A663" s="650"/>
      <c r="B663" s="650"/>
      <c r="C663" s="650"/>
      <c r="D663" s="650"/>
      <c r="E663" s="650"/>
      <c r="F663" s="650"/>
      <c r="G663" s="650"/>
      <c r="H663" s="650"/>
      <c r="I663" s="650"/>
      <c r="J663" s="650"/>
      <c r="K663" s="650"/>
      <c r="L663" s="650"/>
      <c r="M663" s="650"/>
      <c r="N663" s="650"/>
      <c r="O663" s="650"/>
      <c r="P663" s="650"/>
      <c r="Q663" s="650"/>
      <c r="R663" s="650"/>
      <c r="S663" s="650"/>
      <c r="T663" s="650"/>
      <c r="U663" s="650"/>
      <c r="V663" s="650"/>
      <c r="W663" s="650"/>
      <c r="X663" s="650"/>
      <c r="Y663" s="650"/>
      <c r="Z663" s="650"/>
    </row>
    <row r="664" spans="1:26">
      <c r="A664" s="650"/>
      <c r="B664" s="650"/>
      <c r="C664" s="650"/>
      <c r="D664" s="650"/>
      <c r="E664" s="650"/>
      <c r="F664" s="650"/>
      <c r="G664" s="650"/>
      <c r="H664" s="650"/>
      <c r="I664" s="650"/>
      <c r="J664" s="650"/>
      <c r="K664" s="650"/>
      <c r="L664" s="650"/>
      <c r="M664" s="650"/>
      <c r="N664" s="650"/>
      <c r="O664" s="650"/>
      <c r="P664" s="650"/>
      <c r="Q664" s="650"/>
      <c r="R664" s="650"/>
      <c r="S664" s="650"/>
      <c r="T664" s="650"/>
      <c r="U664" s="650"/>
      <c r="V664" s="650"/>
      <c r="W664" s="650"/>
      <c r="X664" s="650"/>
      <c r="Y664" s="650"/>
      <c r="Z664" s="650"/>
    </row>
    <row r="665" spans="1:26">
      <c r="A665" s="650"/>
      <c r="B665" s="650"/>
      <c r="C665" s="650"/>
      <c r="D665" s="650"/>
      <c r="E665" s="650"/>
      <c r="F665" s="650"/>
      <c r="G665" s="650"/>
      <c r="H665" s="650"/>
      <c r="I665" s="650"/>
      <c r="J665" s="650"/>
      <c r="K665" s="650"/>
      <c r="L665" s="650"/>
      <c r="M665" s="650"/>
      <c r="N665" s="650"/>
      <c r="O665" s="650"/>
      <c r="P665" s="650"/>
      <c r="Q665" s="650"/>
      <c r="R665" s="650"/>
      <c r="S665" s="650"/>
      <c r="T665" s="650"/>
      <c r="U665" s="650"/>
      <c r="V665" s="650"/>
      <c r="W665" s="650"/>
      <c r="X665" s="650"/>
      <c r="Y665" s="650"/>
      <c r="Z665" s="650"/>
    </row>
    <row r="666" spans="1:26">
      <c r="A666" s="650"/>
      <c r="B666" s="650"/>
      <c r="C666" s="650"/>
      <c r="D666" s="650"/>
      <c r="E666" s="650"/>
      <c r="F666" s="650"/>
      <c r="G666" s="650"/>
      <c r="H666" s="650"/>
      <c r="I666" s="650"/>
      <c r="J666" s="650"/>
      <c r="K666" s="650"/>
      <c r="L666" s="650"/>
      <c r="M666" s="650"/>
      <c r="N666" s="650"/>
      <c r="O666" s="650"/>
      <c r="P666" s="650"/>
      <c r="Q666" s="650"/>
      <c r="R666" s="650"/>
      <c r="S666" s="650"/>
      <c r="T666" s="650"/>
      <c r="U666" s="650"/>
      <c r="V666" s="650"/>
      <c r="W666" s="650"/>
      <c r="X666" s="650"/>
      <c r="Y666" s="650"/>
      <c r="Z666" s="650"/>
    </row>
    <row r="667" spans="1:26">
      <c r="A667" s="650"/>
      <c r="B667" s="650"/>
      <c r="C667" s="650"/>
      <c r="D667" s="650"/>
      <c r="E667" s="650"/>
      <c r="F667" s="650"/>
      <c r="G667" s="650"/>
      <c r="H667" s="650"/>
      <c r="I667" s="650"/>
      <c r="J667" s="650"/>
      <c r="K667" s="650"/>
      <c r="L667" s="650"/>
      <c r="M667" s="650"/>
      <c r="N667" s="650"/>
      <c r="O667" s="650"/>
      <c r="P667" s="650"/>
      <c r="Q667" s="650"/>
      <c r="R667" s="650"/>
      <c r="S667" s="650"/>
      <c r="T667" s="650"/>
      <c r="U667" s="650"/>
      <c r="V667" s="650"/>
      <c r="W667" s="650"/>
      <c r="X667" s="650"/>
      <c r="Y667" s="650"/>
      <c r="Z667" s="650"/>
    </row>
    <row r="668" spans="1:26">
      <c r="A668" s="650"/>
      <c r="B668" s="650"/>
      <c r="C668" s="650"/>
      <c r="D668" s="650"/>
      <c r="E668" s="650"/>
      <c r="F668" s="650"/>
      <c r="G668" s="650"/>
      <c r="H668" s="650"/>
      <c r="I668" s="650"/>
      <c r="J668" s="650"/>
      <c r="K668" s="650"/>
      <c r="L668" s="650"/>
      <c r="M668" s="650"/>
      <c r="N668" s="650"/>
      <c r="O668" s="650"/>
      <c r="P668" s="650"/>
      <c r="Q668" s="650"/>
      <c r="R668" s="650"/>
      <c r="S668" s="650"/>
      <c r="T668" s="650"/>
      <c r="U668" s="650"/>
      <c r="V668" s="650"/>
      <c r="W668" s="650"/>
      <c r="X668" s="650"/>
      <c r="Y668" s="650"/>
      <c r="Z668" s="650"/>
    </row>
    <row r="669" spans="1:26">
      <c r="A669" s="648"/>
      <c r="B669" s="648"/>
      <c r="C669" s="648"/>
      <c r="D669" s="648"/>
      <c r="E669" s="648"/>
      <c r="F669" s="648"/>
      <c r="G669" s="648"/>
      <c r="H669" s="648"/>
      <c r="I669" s="648"/>
      <c r="J669" s="648"/>
      <c r="K669" s="648"/>
      <c r="L669" s="648"/>
      <c r="M669" s="648"/>
      <c r="N669" s="648"/>
      <c r="O669" s="648"/>
      <c r="P669" s="648"/>
      <c r="Q669" s="648"/>
      <c r="R669" s="648"/>
      <c r="S669" s="648"/>
      <c r="T669" s="648"/>
      <c r="U669" s="648"/>
      <c r="V669" s="648"/>
      <c r="W669" s="648"/>
      <c r="X669" s="648"/>
    </row>
    <row r="670" spans="1:26">
      <c r="A670" s="648"/>
      <c r="B670" s="648"/>
      <c r="C670" s="648"/>
      <c r="D670" s="648"/>
      <c r="E670" s="648"/>
      <c r="F670" s="648"/>
      <c r="G670" s="648"/>
      <c r="H670" s="648"/>
      <c r="I670" s="648"/>
      <c r="J670" s="648"/>
      <c r="K670" s="648"/>
      <c r="L670" s="648"/>
      <c r="M670" s="648"/>
      <c r="N670" s="648"/>
      <c r="O670" s="648"/>
      <c r="P670" s="648"/>
      <c r="Q670" s="648"/>
      <c r="R670" s="648"/>
      <c r="S670" s="648"/>
      <c r="T670" s="648"/>
      <c r="U670" s="648"/>
      <c r="V670" s="648"/>
      <c r="W670" s="648"/>
      <c r="X670" s="648"/>
    </row>
    <row r="671" spans="1:26">
      <c r="A671" s="648"/>
      <c r="B671" s="648"/>
      <c r="C671" s="648"/>
      <c r="D671" s="648"/>
      <c r="E671" s="648"/>
      <c r="F671" s="648"/>
      <c r="G671" s="648"/>
      <c r="H671" s="648"/>
      <c r="I671" s="648"/>
      <c r="J671" s="648"/>
      <c r="K671" s="648"/>
      <c r="L671" s="648"/>
      <c r="M671" s="648"/>
      <c r="N671" s="648"/>
      <c r="O671" s="648"/>
      <c r="P671" s="648"/>
      <c r="Q671" s="648"/>
      <c r="R671" s="648"/>
      <c r="S671" s="648"/>
      <c r="T671" s="648"/>
      <c r="U671" s="648"/>
      <c r="V671" s="648"/>
      <c r="W671" s="648"/>
      <c r="X671" s="648"/>
    </row>
    <row r="672" spans="1:26">
      <c r="A672" s="648"/>
      <c r="B672" s="648"/>
      <c r="C672" s="648"/>
      <c r="D672" s="648"/>
      <c r="E672" s="648"/>
      <c r="F672" s="648"/>
      <c r="G672" s="648"/>
      <c r="H672" s="648"/>
      <c r="I672" s="648"/>
      <c r="J672" s="648"/>
      <c r="K672" s="648"/>
      <c r="L672" s="648"/>
      <c r="M672" s="648"/>
      <c r="N672" s="648"/>
      <c r="O672" s="648"/>
      <c r="P672" s="648"/>
      <c r="Q672" s="648"/>
      <c r="R672" s="648"/>
      <c r="S672" s="648"/>
      <c r="T672" s="648"/>
      <c r="U672" s="648"/>
      <c r="V672" s="648"/>
      <c r="W672" s="648"/>
      <c r="X672" s="648"/>
    </row>
    <row r="673" spans="1:24">
      <c r="A673" s="648"/>
      <c r="B673" s="648"/>
      <c r="C673" s="648"/>
      <c r="D673" s="648"/>
      <c r="E673" s="648"/>
      <c r="F673" s="648"/>
      <c r="G673" s="648"/>
      <c r="H673" s="648"/>
      <c r="I673" s="648"/>
      <c r="J673" s="648"/>
      <c r="K673" s="648"/>
      <c r="L673" s="648"/>
      <c r="M673" s="648"/>
      <c r="N673" s="648"/>
      <c r="O673" s="648"/>
      <c r="P673" s="648"/>
      <c r="Q673" s="648"/>
      <c r="R673" s="648"/>
      <c r="S673" s="648"/>
      <c r="T673" s="648"/>
      <c r="U673" s="648"/>
      <c r="V673" s="648"/>
      <c r="W673" s="648"/>
      <c r="X673" s="648"/>
    </row>
    <row r="674" spans="1:24">
      <c r="A674" s="648"/>
      <c r="B674" s="648"/>
      <c r="C674" s="648"/>
      <c r="D674" s="648"/>
      <c r="E674" s="648"/>
      <c r="F674" s="648"/>
      <c r="G674" s="648"/>
      <c r="H674" s="648"/>
      <c r="I674" s="648"/>
      <c r="J674" s="648"/>
      <c r="K674" s="648"/>
      <c r="L674" s="648"/>
      <c r="M674" s="648"/>
      <c r="N674" s="648"/>
      <c r="O674" s="648"/>
      <c r="P674" s="648"/>
      <c r="Q674" s="648"/>
      <c r="R674" s="648"/>
      <c r="S674" s="648"/>
      <c r="T674" s="648"/>
      <c r="U674" s="648"/>
      <c r="V674" s="648"/>
      <c r="W674" s="648"/>
      <c r="X674" s="648"/>
    </row>
    <row r="675" spans="1:24">
      <c r="A675" s="648"/>
      <c r="B675" s="648"/>
      <c r="C675" s="648"/>
      <c r="D675" s="648"/>
      <c r="E675" s="648"/>
      <c r="F675" s="648"/>
      <c r="G675" s="648"/>
      <c r="H675" s="648"/>
      <c r="I675" s="648"/>
      <c r="J675" s="648"/>
      <c r="K675" s="648"/>
      <c r="L675" s="648"/>
      <c r="M675" s="648"/>
      <c r="N675" s="648"/>
      <c r="O675" s="648"/>
      <c r="P675" s="648"/>
      <c r="Q675" s="648"/>
      <c r="R675" s="648"/>
      <c r="S675" s="648"/>
      <c r="T675" s="648"/>
      <c r="U675" s="648"/>
      <c r="V675" s="648"/>
      <c r="W675" s="648"/>
      <c r="X675" s="648"/>
    </row>
    <row r="676" spans="1:24">
      <c r="A676" s="648"/>
      <c r="B676" s="648"/>
      <c r="C676" s="648"/>
      <c r="D676" s="648"/>
      <c r="E676" s="648"/>
      <c r="F676" s="648"/>
      <c r="G676" s="648"/>
      <c r="H676" s="648"/>
      <c r="I676" s="648"/>
      <c r="J676" s="648"/>
      <c r="K676" s="648"/>
      <c r="L676" s="648"/>
      <c r="M676" s="648"/>
      <c r="N676" s="648"/>
      <c r="O676" s="648"/>
      <c r="P676" s="648"/>
      <c r="Q676" s="648"/>
      <c r="R676" s="648"/>
      <c r="S676" s="648"/>
      <c r="T676" s="648"/>
      <c r="U676" s="648"/>
      <c r="V676" s="648"/>
      <c r="W676" s="648"/>
      <c r="X676" s="648"/>
    </row>
    <row r="677" spans="1:24">
      <c r="A677" s="648"/>
      <c r="B677" s="648"/>
      <c r="C677" s="648"/>
      <c r="D677" s="648"/>
      <c r="E677" s="648"/>
      <c r="F677" s="648"/>
      <c r="G677" s="648"/>
      <c r="H677" s="648"/>
      <c r="I677" s="648"/>
      <c r="J677" s="648"/>
      <c r="K677" s="648"/>
      <c r="L677" s="648"/>
      <c r="M677" s="648"/>
      <c r="N677" s="648"/>
      <c r="O677" s="648"/>
      <c r="P677" s="648"/>
      <c r="Q677" s="648"/>
      <c r="R677" s="648"/>
      <c r="S677" s="648"/>
      <c r="T677" s="648"/>
      <c r="U677" s="648"/>
      <c r="V677" s="648"/>
      <c r="W677" s="648"/>
      <c r="X677" s="648"/>
    </row>
    <row r="678" spans="1:24">
      <c r="A678" s="648"/>
      <c r="B678" s="648"/>
      <c r="C678" s="648"/>
      <c r="D678" s="648"/>
      <c r="E678" s="648"/>
      <c r="F678" s="648"/>
      <c r="G678" s="648"/>
      <c r="H678" s="648"/>
      <c r="I678" s="648"/>
      <c r="J678" s="648"/>
      <c r="K678" s="648"/>
      <c r="L678" s="648"/>
      <c r="M678" s="648"/>
      <c r="N678" s="648"/>
      <c r="O678" s="648"/>
      <c r="P678" s="648"/>
      <c r="Q678" s="648"/>
      <c r="R678" s="648"/>
      <c r="S678" s="648"/>
      <c r="T678" s="648"/>
      <c r="U678" s="648"/>
      <c r="V678" s="648"/>
      <c r="W678" s="648"/>
      <c r="X678" s="648"/>
    </row>
    <row r="679" spans="1:24">
      <c r="A679" s="648"/>
      <c r="B679" s="648"/>
      <c r="C679" s="648"/>
      <c r="D679" s="648"/>
      <c r="E679" s="648"/>
      <c r="F679" s="648"/>
      <c r="G679" s="648"/>
      <c r="H679" s="648"/>
      <c r="I679" s="648"/>
      <c r="J679" s="648"/>
      <c r="K679" s="648"/>
      <c r="L679" s="648"/>
      <c r="M679" s="648"/>
      <c r="N679" s="648"/>
      <c r="O679" s="648"/>
      <c r="P679" s="648"/>
      <c r="Q679" s="648"/>
      <c r="R679" s="648"/>
      <c r="S679" s="648"/>
      <c r="T679" s="648"/>
      <c r="U679" s="648"/>
      <c r="V679" s="648"/>
      <c r="W679" s="648"/>
      <c r="X679" s="648"/>
    </row>
    <row r="680" spans="1:24">
      <c r="A680" s="648"/>
      <c r="B680" s="648"/>
      <c r="C680" s="648"/>
      <c r="D680" s="648"/>
      <c r="E680" s="648"/>
      <c r="F680" s="648"/>
      <c r="G680" s="648"/>
      <c r="H680" s="648"/>
      <c r="I680" s="648"/>
      <c r="J680" s="648"/>
      <c r="K680" s="648"/>
      <c r="L680" s="648"/>
      <c r="M680" s="648"/>
      <c r="N680" s="648"/>
      <c r="O680" s="648"/>
      <c r="P680" s="648"/>
      <c r="Q680" s="648"/>
      <c r="R680" s="648"/>
      <c r="S680" s="648"/>
      <c r="T680" s="648"/>
      <c r="U680" s="648"/>
      <c r="V680" s="648"/>
      <c r="W680" s="648"/>
      <c r="X680" s="648"/>
    </row>
    <row r="681" spans="1:24">
      <c r="A681" s="648"/>
      <c r="B681" s="648"/>
      <c r="C681" s="648"/>
      <c r="D681" s="648"/>
      <c r="E681" s="648"/>
      <c r="F681" s="648"/>
      <c r="G681" s="648"/>
      <c r="H681" s="648"/>
      <c r="I681" s="648"/>
      <c r="J681" s="648"/>
      <c r="K681" s="648"/>
      <c r="L681" s="648"/>
      <c r="M681" s="648"/>
      <c r="N681" s="648"/>
      <c r="O681" s="648"/>
      <c r="P681" s="648"/>
      <c r="Q681" s="648"/>
      <c r="R681" s="648"/>
      <c r="S681" s="648"/>
      <c r="T681" s="648"/>
      <c r="U681" s="648"/>
      <c r="V681" s="648"/>
      <c r="W681" s="648"/>
      <c r="X681" s="648"/>
    </row>
    <row r="682" spans="1:24">
      <c r="A682" s="648"/>
      <c r="B682" s="648"/>
      <c r="C682" s="648"/>
      <c r="D682" s="648"/>
      <c r="E682" s="648"/>
      <c r="F682" s="648"/>
      <c r="G682" s="648"/>
      <c r="H682" s="648"/>
      <c r="I682" s="648"/>
      <c r="J682" s="648"/>
      <c r="K682" s="648"/>
      <c r="L682" s="648"/>
      <c r="M682" s="648"/>
      <c r="N682" s="648"/>
      <c r="O682" s="648"/>
      <c r="P682" s="648"/>
      <c r="Q682" s="648"/>
      <c r="R682" s="648"/>
      <c r="S682" s="648"/>
      <c r="T682" s="648"/>
      <c r="U682" s="648"/>
      <c r="V682" s="648"/>
      <c r="W682" s="648"/>
      <c r="X682" s="648"/>
    </row>
    <row r="683" spans="1:24">
      <c r="A683" s="648"/>
      <c r="B683" s="648"/>
      <c r="C683" s="648"/>
      <c r="D683" s="648"/>
      <c r="E683" s="648"/>
      <c r="F683" s="648"/>
      <c r="G683" s="648"/>
      <c r="H683" s="648"/>
      <c r="I683" s="648"/>
      <c r="J683" s="648"/>
      <c r="K683" s="648"/>
      <c r="L683" s="648"/>
      <c r="M683" s="648"/>
      <c r="N683" s="648"/>
      <c r="O683" s="648"/>
      <c r="P683" s="648"/>
      <c r="Q683" s="648"/>
      <c r="R683" s="648"/>
      <c r="S683" s="648"/>
      <c r="T683" s="648"/>
      <c r="U683" s="648"/>
      <c r="V683" s="648"/>
      <c r="W683" s="648"/>
      <c r="X683" s="648"/>
    </row>
    <row r="684" spans="1:24">
      <c r="A684" s="648"/>
      <c r="B684" s="648"/>
      <c r="C684" s="648"/>
      <c r="D684" s="648"/>
      <c r="E684" s="648"/>
      <c r="F684" s="648"/>
      <c r="G684" s="648"/>
      <c r="H684" s="648"/>
      <c r="I684" s="648"/>
      <c r="J684" s="648"/>
      <c r="K684" s="648"/>
      <c r="L684" s="648"/>
      <c r="M684" s="648"/>
      <c r="N684" s="648"/>
      <c r="O684" s="648"/>
      <c r="P684" s="648"/>
      <c r="Q684" s="648"/>
      <c r="R684" s="648"/>
      <c r="S684" s="648"/>
      <c r="T684" s="648"/>
      <c r="U684" s="648"/>
      <c r="V684" s="648"/>
      <c r="W684" s="648"/>
      <c r="X684" s="648"/>
    </row>
    <row r="685" spans="1:24">
      <c r="A685" s="648"/>
      <c r="B685" s="648"/>
      <c r="C685" s="648"/>
      <c r="D685" s="648"/>
      <c r="E685" s="648"/>
      <c r="F685" s="648"/>
      <c r="G685" s="648"/>
      <c r="H685" s="648"/>
      <c r="I685" s="648"/>
      <c r="J685" s="648"/>
      <c r="K685" s="648"/>
      <c r="L685" s="648"/>
      <c r="M685" s="648"/>
      <c r="N685" s="648"/>
      <c r="O685" s="648"/>
      <c r="P685" s="648"/>
      <c r="Q685" s="648"/>
      <c r="R685" s="648"/>
      <c r="S685" s="648"/>
      <c r="T685" s="648"/>
      <c r="U685" s="648"/>
      <c r="V685" s="648"/>
      <c r="W685" s="648"/>
      <c r="X685" s="648"/>
    </row>
    <row r="686" spans="1:24">
      <c r="A686" s="648"/>
      <c r="B686" s="648"/>
      <c r="C686" s="648"/>
      <c r="D686" s="648"/>
      <c r="E686" s="648"/>
      <c r="F686" s="648"/>
      <c r="G686" s="648"/>
      <c r="H686" s="648"/>
      <c r="I686" s="648"/>
      <c r="J686" s="648"/>
      <c r="K686" s="648"/>
      <c r="L686" s="648"/>
      <c r="M686" s="648"/>
      <c r="N686" s="648"/>
      <c r="O686" s="648"/>
      <c r="P686" s="648"/>
      <c r="Q686" s="648"/>
      <c r="R686" s="648"/>
      <c r="S686" s="648"/>
      <c r="T686" s="648"/>
      <c r="U686" s="648"/>
      <c r="V686" s="648"/>
      <c r="W686" s="648"/>
      <c r="X686" s="648"/>
    </row>
    <row r="687" spans="1:24">
      <c r="A687" s="648"/>
      <c r="B687" s="648"/>
      <c r="C687" s="648"/>
      <c r="D687" s="648"/>
      <c r="E687" s="648"/>
      <c r="F687" s="648"/>
      <c r="G687" s="648"/>
      <c r="H687" s="648"/>
      <c r="I687" s="648"/>
      <c r="J687" s="648"/>
      <c r="K687" s="648"/>
      <c r="L687" s="648"/>
      <c r="M687" s="648"/>
      <c r="N687" s="648"/>
      <c r="O687" s="648"/>
      <c r="P687" s="648"/>
      <c r="Q687" s="648"/>
      <c r="R687" s="648"/>
      <c r="S687" s="648"/>
      <c r="T687" s="648"/>
      <c r="U687" s="648"/>
      <c r="V687" s="648"/>
      <c r="W687" s="648"/>
      <c r="X687" s="648"/>
    </row>
    <row r="688" spans="1:24">
      <c r="A688" s="648"/>
      <c r="B688" s="648"/>
      <c r="C688" s="648"/>
      <c r="D688" s="648"/>
      <c r="E688" s="648"/>
      <c r="F688" s="648"/>
      <c r="G688" s="648"/>
      <c r="H688" s="648"/>
      <c r="I688" s="648"/>
      <c r="J688" s="648"/>
      <c r="K688" s="648"/>
      <c r="L688" s="648"/>
      <c r="M688" s="648"/>
      <c r="N688" s="648"/>
      <c r="O688" s="648"/>
      <c r="P688" s="648"/>
      <c r="Q688" s="648"/>
      <c r="R688" s="648"/>
      <c r="S688" s="648"/>
      <c r="T688" s="648"/>
      <c r="U688" s="648"/>
      <c r="V688" s="648"/>
      <c r="W688" s="648"/>
      <c r="X688" s="648"/>
    </row>
    <row r="689" spans="1:24">
      <c r="A689" s="648"/>
      <c r="B689" s="648"/>
      <c r="C689" s="648"/>
      <c r="D689" s="648"/>
      <c r="E689" s="648"/>
      <c r="F689" s="648"/>
      <c r="G689" s="648"/>
      <c r="H689" s="648"/>
      <c r="I689" s="648"/>
      <c r="J689" s="648"/>
      <c r="K689" s="648"/>
      <c r="L689" s="648"/>
      <c r="M689" s="648"/>
      <c r="N689" s="648"/>
      <c r="O689" s="648"/>
      <c r="P689" s="648"/>
      <c r="Q689" s="648"/>
      <c r="R689" s="648"/>
      <c r="S689" s="648"/>
      <c r="T689" s="648"/>
      <c r="U689" s="648"/>
      <c r="V689" s="648"/>
      <c r="W689" s="648"/>
      <c r="X689" s="648"/>
    </row>
    <row r="690" spans="1:24">
      <c r="A690" s="648"/>
      <c r="B690" s="648"/>
      <c r="C690" s="648"/>
      <c r="D690" s="648"/>
      <c r="E690" s="648"/>
      <c r="F690" s="648"/>
      <c r="G690" s="648"/>
      <c r="H690" s="648"/>
      <c r="I690" s="648"/>
      <c r="J690" s="648"/>
      <c r="K690" s="648"/>
      <c r="L690" s="648"/>
      <c r="M690" s="648"/>
      <c r="N690" s="648"/>
      <c r="O690" s="648"/>
      <c r="P690" s="648"/>
      <c r="Q690" s="648"/>
      <c r="R690" s="648"/>
      <c r="S690" s="648"/>
      <c r="T690" s="648"/>
      <c r="U690" s="648"/>
      <c r="V690" s="648"/>
      <c r="W690" s="648"/>
      <c r="X690" s="648"/>
    </row>
    <row r="691" spans="1:24">
      <c r="A691" s="648"/>
      <c r="B691" s="648"/>
      <c r="C691" s="648"/>
      <c r="D691" s="648"/>
      <c r="E691" s="648"/>
      <c r="F691" s="648"/>
      <c r="G691" s="648"/>
      <c r="H691" s="648"/>
      <c r="I691" s="648"/>
      <c r="J691" s="648"/>
      <c r="K691" s="648"/>
      <c r="L691" s="648"/>
      <c r="M691" s="648"/>
      <c r="N691" s="648"/>
      <c r="O691" s="648"/>
      <c r="P691" s="648"/>
      <c r="Q691" s="648"/>
      <c r="R691" s="648"/>
      <c r="S691" s="648"/>
      <c r="T691" s="648"/>
      <c r="U691" s="648"/>
      <c r="V691" s="648"/>
      <c r="W691" s="648"/>
      <c r="X691" s="648"/>
    </row>
    <row r="692" spans="1:24">
      <c r="A692" s="648"/>
      <c r="B692" s="648"/>
      <c r="C692" s="648"/>
      <c r="D692" s="648"/>
      <c r="E692" s="648"/>
      <c r="F692" s="648"/>
      <c r="G692" s="648"/>
      <c r="H692" s="648"/>
      <c r="I692" s="648"/>
      <c r="J692" s="648"/>
      <c r="K692" s="648"/>
      <c r="L692" s="648"/>
      <c r="M692" s="648"/>
      <c r="N692" s="648"/>
      <c r="O692" s="648"/>
      <c r="P692" s="648"/>
      <c r="Q692" s="648"/>
      <c r="R692" s="648"/>
      <c r="S692" s="648"/>
      <c r="T692" s="648"/>
      <c r="U692" s="648"/>
      <c r="V692" s="648"/>
      <c r="W692" s="648"/>
      <c r="X692" s="648"/>
    </row>
    <row r="693" spans="1:24">
      <c r="A693" s="648"/>
      <c r="B693" s="648"/>
      <c r="C693" s="648"/>
      <c r="D693" s="648"/>
      <c r="E693" s="648"/>
      <c r="F693" s="648"/>
      <c r="G693" s="648"/>
      <c r="H693" s="648"/>
      <c r="I693" s="648"/>
      <c r="J693" s="648"/>
      <c r="K693" s="648"/>
      <c r="L693" s="648"/>
      <c r="M693" s="648"/>
      <c r="N693" s="648"/>
      <c r="O693" s="648"/>
      <c r="P693" s="648"/>
      <c r="Q693" s="648"/>
      <c r="R693" s="648"/>
      <c r="S693" s="648"/>
      <c r="T693" s="648"/>
      <c r="U693" s="648"/>
      <c r="V693" s="648"/>
      <c r="W693" s="648"/>
      <c r="X693" s="648"/>
    </row>
    <row r="694" spans="1:24">
      <c r="A694" s="648"/>
      <c r="B694" s="648"/>
      <c r="C694" s="648"/>
      <c r="D694" s="648"/>
      <c r="E694" s="648"/>
      <c r="F694" s="648"/>
      <c r="G694" s="648"/>
      <c r="H694" s="648"/>
      <c r="I694" s="648"/>
      <c r="J694" s="648"/>
      <c r="K694" s="648"/>
      <c r="L694" s="648"/>
      <c r="M694" s="648"/>
      <c r="N694" s="648"/>
      <c r="O694" s="648"/>
      <c r="P694" s="648"/>
      <c r="Q694" s="648"/>
      <c r="R694" s="648"/>
      <c r="S694" s="648"/>
      <c r="T694" s="648"/>
      <c r="U694" s="648"/>
      <c r="V694" s="648"/>
      <c r="W694" s="648"/>
      <c r="X694" s="648"/>
    </row>
    <row r="695" spans="1:24">
      <c r="A695" s="648"/>
      <c r="B695" s="648"/>
      <c r="C695" s="648"/>
      <c r="D695" s="648"/>
      <c r="E695" s="648"/>
      <c r="F695" s="648"/>
      <c r="G695" s="648"/>
      <c r="H695" s="648"/>
      <c r="I695" s="648"/>
      <c r="J695" s="648"/>
      <c r="K695" s="648"/>
      <c r="L695" s="648"/>
      <c r="M695" s="648"/>
      <c r="N695" s="648"/>
      <c r="O695" s="648"/>
      <c r="P695" s="648"/>
      <c r="Q695" s="648"/>
      <c r="R695" s="648"/>
      <c r="S695" s="648"/>
      <c r="T695" s="648"/>
      <c r="U695" s="648"/>
      <c r="V695" s="648"/>
      <c r="W695" s="648"/>
      <c r="X695" s="648"/>
    </row>
    <row r="696" spans="1:24">
      <c r="A696" s="648"/>
      <c r="B696" s="648"/>
      <c r="C696" s="648"/>
      <c r="D696" s="648"/>
      <c r="E696" s="648"/>
      <c r="F696" s="648"/>
      <c r="G696" s="648"/>
      <c r="H696" s="648"/>
      <c r="I696" s="648"/>
      <c r="J696" s="648"/>
      <c r="K696" s="648"/>
      <c r="L696" s="648"/>
      <c r="M696" s="648"/>
      <c r="N696" s="648"/>
      <c r="O696" s="648"/>
      <c r="P696" s="648"/>
      <c r="Q696" s="648"/>
      <c r="R696" s="648"/>
      <c r="S696" s="648"/>
      <c r="T696" s="648"/>
      <c r="U696" s="648"/>
      <c r="V696" s="648"/>
      <c r="W696" s="648"/>
      <c r="X696" s="648"/>
    </row>
    <row r="697" spans="1:24">
      <c r="A697" s="648"/>
      <c r="B697" s="648"/>
      <c r="C697" s="648"/>
      <c r="D697" s="648"/>
      <c r="E697" s="648"/>
      <c r="F697" s="648"/>
      <c r="G697" s="648"/>
      <c r="H697" s="648"/>
      <c r="I697" s="648"/>
      <c r="J697" s="648"/>
      <c r="K697" s="648"/>
      <c r="L697" s="648"/>
      <c r="M697" s="648"/>
      <c r="N697" s="648"/>
      <c r="O697" s="648"/>
      <c r="P697" s="648"/>
      <c r="Q697" s="648"/>
      <c r="R697" s="648"/>
      <c r="S697" s="648"/>
      <c r="T697" s="648"/>
      <c r="U697" s="648"/>
      <c r="V697" s="648"/>
      <c r="W697" s="648"/>
      <c r="X697" s="648"/>
    </row>
    <row r="698" spans="1:24">
      <c r="A698" s="648"/>
      <c r="B698" s="648"/>
      <c r="C698" s="648"/>
      <c r="D698" s="648"/>
      <c r="E698" s="648"/>
      <c r="F698" s="648"/>
      <c r="G698" s="648"/>
      <c r="H698" s="648"/>
      <c r="I698" s="648"/>
      <c r="J698" s="648"/>
      <c r="K698" s="648"/>
      <c r="L698" s="648"/>
      <c r="M698" s="648"/>
      <c r="N698" s="648"/>
      <c r="O698" s="648"/>
      <c r="P698" s="648"/>
      <c r="Q698" s="648"/>
      <c r="R698" s="648"/>
      <c r="S698" s="648"/>
      <c r="T698" s="648"/>
      <c r="U698" s="648"/>
      <c r="V698" s="648"/>
      <c r="W698" s="648"/>
      <c r="X698" s="648"/>
    </row>
    <row r="699" spans="1:24">
      <c r="A699" s="648"/>
      <c r="B699" s="648"/>
      <c r="C699" s="648"/>
      <c r="D699" s="648"/>
      <c r="E699" s="648"/>
      <c r="F699" s="648"/>
      <c r="G699" s="648"/>
      <c r="H699" s="648"/>
      <c r="I699" s="648"/>
      <c r="J699" s="648"/>
      <c r="K699" s="648"/>
      <c r="L699" s="648"/>
      <c r="M699" s="648"/>
      <c r="N699" s="648"/>
      <c r="O699" s="648"/>
      <c r="P699" s="648"/>
      <c r="Q699" s="648"/>
      <c r="R699" s="648"/>
      <c r="S699" s="648"/>
      <c r="T699" s="648"/>
      <c r="U699" s="648"/>
      <c r="V699" s="648"/>
      <c r="W699" s="648"/>
      <c r="X699" s="648"/>
    </row>
    <row r="700" spans="1:24">
      <c r="A700" s="648"/>
      <c r="B700" s="648"/>
      <c r="C700" s="648"/>
      <c r="D700" s="648"/>
      <c r="E700" s="648"/>
      <c r="F700" s="648"/>
      <c r="G700" s="648"/>
      <c r="H700" s="648"/>
      <c r="I700" s="648"/>
      <c r="J700" s="648"/>
      <c r="K700" s="648"/>
      <c r="L700" s="648"/>
      <c r="M700" s="648"/>
      <c r="N700" s="648"/>
      <c r="O700" s="648"/>
      <c r="P700" s="648"/>
      <c r="Q700" s="648"/>
      <c r="R700" s="648"/>
      <c r="S700" s="648"/>
      <c r="T700" s="648"/>
      <c r="U700" s="648"/>
      <c r="V700" s="648"/>
      <c r="W700" s="648"/>
      <c r="X700" s="648"/>
    </row>
    <row r="701" spans="1:24">
      <c r="A701" s="648"/>
      <c r="B701" s="648"/>
      <c r="C701" s="648"/>
      <c r="D701" s="648"/>
      <c r="E701" s="648"/>
      <c r="F701" s="648"/>
      <c r="G701" s="648"/>
      <c r="H701" s="648"/>
      <c r="I701" s="648"/>
      <c r="J701" s="648"/>
      <c r="K701" s="648"/>
      <c r="L701" s="648"/>
      <c r="M701" s="648"/>
      <c r="N701" s="648"/>
      <c r="O701" s="648"/>
      <c r="P701" s="648"/>
      <c r="Q701" s="648"/>
      <c r="R701" s="648"/>
      <c r="S701" s="648"/>
      <c r="T701" s="648"/>
      <c r="U701" s="648"/>
      <c r="V701" s="648"/>
      <c r="W701" s="648"/>
      <c r="X701" s="648"/>
    </row>
    <row r="702" spans="1:24">
      <c r="A702" s="648"/>
      <c r="B702" s="648"/>
      <c r="C702" s="648"/>
      <c r="D702" s="648"/>
      <c r="E702" s="648"/>
      <c r="F702" s="648"/>
      <c r="G702" s="648"/>
      <c r="H702" s="648"/>
      <c r="I702" s="648"/>
      <c r="J702" s="648"/>
      <c r="K702" s="648"/>
      <c r="L702" s="648"/>
      <c r="M702" s="648"/>
      <c r="N702" s="648"/>
      <c r="O702" s="648"/>
      <c r="P702" s="648"/>
      <c r="Q702" s="648"/>
      <c r="R702" s="648"/>
      <c r="S702" s="648"/>
      <c r="T702" s="648"/>
      <c r="U702" s="648"/>
      <c r="V702" s="648"/>
      <c r="W702" s="648"/>
      <c r="X702" s="648"/>
    </row>
    <row r="703" spans="1:24">
      <c r="A703" s="648"/>
      <c r="B703" s="648"/>
      <c r="C703" s="648"/>
      <c r="D703" s="648"/>
      <c r="E703" s="648"/>
      <c r="F703" s="648"/>
      <c r="G703" s="648"/>
      <c r="H703" s="648"/>
      <c r="I703" s="648"/>
      <c r="J703" s="648"/>
      <c r="K703" s="648"/>
      <c r="L703" s="648"/>
      <c r="M703" s="648"/>
      <c r="N703" s="648"/>
      <c r="O703" s="648"/>
      <c r="P703" s="648"/>
      <c r="Q703" s="648"/>
      <c r="R703" s="648"/>
      <c r="S703" s="648"/>
      <c r="T703" s="648"/>
      <c r="U703" s="648"/>
      <c r="V703" s="648"/>
      <c r="W703" s="648"/>
      <c r="X703" s="648"/>
    </row>
    <row r="704" spans="1:24">
      <c r="A704" s="648"/>
      <c r="B704" s="648"/>
      <c r="C704" s="648"/>
      <c r="D704" s="648"/>
      <c r="E704" s="648"/>
      <c r="F704" s="648"/>
      <c r="G704" s="648"/>
      <c r="H704" s="648"/>
      <c r="I704" s="648"/>
      <c r="J704" s="648"/>
      <c r="K704" s="648"/>
      <c r="L704" s="648"/>
      <c r="M704" s="648"/>
      <c r="N704" s="648"/>
      <c r="O704" s="648"/>
      <c r="P704" s="648"/>
      <c r="Q704" s="648"/>
      <c r="R704" s="648"/>
      <c r="S704" s="648"/>
      <c r="T704" s="648"/>
      <c r="U704" s="648"/>
      <c r="V704" s="648"/>
      <c r="W704" s="648"/>
      <c r="X704" s="648"/>
    </row>
    <row r="705" spans="1:24">
      <c r="A705" s="648"/>
      <c r="B705" s="648"/>
      <c r="C705" s="648"/>
      <c r="D705" s="648"/>
      <c r="E705" s="648"/>
      <c r="F705" s="648"/>
      <c r="G705" s="648"/>
      <c r="H705" s="648"/>
      <c r="I705" s="648"/>
      <c r="J705" s="648"/>
      <c r="K705" s="648"/>
      <c r="L705" s="648"/>
      <c r="M705" s="648"/>
      <c r="N705" s="648"/>
      <c r="O705" s="648"/>
      <c r="P705" s="648"/>
      <c r="Q705" s="648"/>
      <c r="R705" s="648"/>
      <c r="S705" s="648"/>
      <c r="T705" s="648"/>
      <c r="U705" s="648"/>
      <c r="V705" s="648"/>
      <c r="W705" s="648"/>
      <c r="X705" s="648"/>
    </row>
    <row r="706" spans="1:24">
      <c r="A706" s="648"/>
      <c r="B706" s="648"/>
      <c r="C706" s="648"/>
      <c r="D706" s="648"/>
      <c r="E706" s="648"/>
      <c r="F706" s="648"/>
      <c r="G706" s="648"/>
      <c r="H706" s="648"/>
      <c r="I706" s="648"/>
      <c r="J706" s="648"/>
      <c r="K706" s="648"/>
      <c r="L706" s="648"/>
      <c r="M706" s="648"/>
      <c r="N706" s="648"/>
      <c r="O706" s="648"/>
      <c r="P706" s="648"/>
      <c r="Q706" s="648"/>
      <c r="R706" s="648"/>
      <c r="S706" s="648"/>
      <c r="T706" s="648"/>
      <c r="U706" s="648"/>
      <c r="V706" s="648"/>
      <c r="W706" s="648"/>
      <c r="X706" s="648"/>
    </row>
    <row r="707" spans="1:24">
      <c r="A707" s="648"/>
      <c r="B707" s="648"/>
      <c r="C707" s="648"/>
      <c r="D707" s="648"/>
      <c r="E707" s="648"/>
      <c r="F707" s="648"/>
      <c r="G707" s="648"/>
      <c r="H707" s="648"/>
      <c r="I707" s="648"/>
      <c r="J707" s="648"/>
      <c r="K707" s="648"/>
      <c r="L707" s="648"/>
      <c r="M707" s="648"/>
      <c r="N707" s="648"/>
      <c r="O707" s="648"/>
      <c r="P707" s="648"/>
      <c r="Q707" s="648"/>
      <c r="R707" s="648"/>
      <c r="S707" s="648"/>
      <c r="T707" s="648"/>
      <c r="U707" s="648"/>
      <c r="V707" s="648"/>
      <c r="W707" s="648"/>
      <c r="X707" s="648"/>
    </row>
  </sheetData>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sheetPr codeName="Sheet4" enableFormatConditionsCalculation="0">
    <tabColor indexed="18"/>
  </sheetPr>
  <dimension ref="A1:AL3395"/>
  <sheetViews>
    <sheetView showGridLines="0" zoomScale="80" zoomScaleNormal="80" workbookViewId="0">
      <pane xSplit="6" ySplit="9" topLeftCell="P2453" activePane="bottomRight" state="frozen"/>
      <selection pane="topRight" activeCell="F1" sqref="F1"/>
      <selection pane="bottomLeft" activeCell="A10" sqref="A10"/>
      <selection pane="bottomRight" activeCell="F2443" sqref="F2443"/>
    </sheetView>
  </sheetViews>
  <sheetFormatPr defaultRowHeight="12.75"/>
  <cols>
    <col min="1" max="1" width="5.625" style="367" customWidth="1"/>
    <col min="2" max="2" width="6.25" style="368" customWidth="1"/>
    <col min="3" max="3" width="53.875" style="369" customWidth="1"/>
    <col min="4" max="4" width="9.5" style="369" customWidth="1"/>
    <col min="5" max="5" width="7.375" style="370" customWidth="1"/>
    <col min="6" max="6" width="8" style="371" customWidth="1"/>
    <col min="7" max="7" width="12.5" style="367" customWidth="1"/>
    <col min="8" max="8" width="14.75" style="347" customWidth="1"/>
    <col min="9" max="9" width="12.5" style="367" customWidth="1"/>
    <col min="10" max="10" width="12.5" style="347" customWidth="1"/>
    <col min="11" max="11" width="12.5" style="367" customWidth="1"/>
    <col min="12" max="12" width="12.5" style="347" customWidth="1"/>
    <col min="13" max="15" width="12.5" style="372" customWidth="1"/>
    <col min="16" max="16" width="15.125" style="347" customWidth="1"/>
    <col min="17" max="17" width="12.5" style="347" customWidth="1"/>
    <col min="18" max="18" width="13.375" style="348" customWidth="1"/>
    <col min="19" max="19" width="12.5" style="373" customWidth="1"/>
    <col min="20" max="20" width="12.5" style="348" customWidth="1"/>
    <col min="21" max="21" width="10.75" style="373" customWidth="1"/>
    <col min="22" max="28" width="10.75" style="347" customWidth="1"/>
    <col min="29" max="29" width="10.75" style="373" customWidth="1"/>
    <col min="30" max="30" width="10.75" style="347" customWidth="1"/>
    <col min="31" max="32" width="10.75" style="373" customWidth="1"/>
    <col min="33" max="34" width="10.75" style="347" customWidth="1"/>
    <col min="35" max="35" width="12.5" style="373" customWidth="1"/>
    <col min="36" max="36" width="12.5" style="347" customWidth="1"/>
    <col min="37" max="16384" width="9" style="367"/>
  </cols>
  <sheetData>
    <row r="1" spans="1:38" s="356" customFormat="1" ht="14.25">
      <c r="A1" s="200" t="s">
        <v>108</v>
      </c>
      <c r="B1" s="200"/>
      <c r="C1" s="349"/>
      <c r="D1" s="349"/>
      <c r="E1" s="350"/>
      <c r="F1" s="351"/>
      <c r="G1" s="352"/>
      <c r="H1" s="231"/>
      <c r="I1" s="352"/>
      <c r="J1" s="231"/>
      <c r="K1" s="352"/>
      <c r="L1" s="231"/>
      <c r="M1" s="353"/>
      <c r="N1" s="353"/>
      <c r="O1" s="353"/>
      <c r="P1" s="231"/>
      <c r="Q1" s="231"/>
      <c r="R1" s="232"/>
      <c r="S1" s="354"/>
      <c r="T1" s="232"/>
      <c r="U1" s="355"/>
      <c r="V1" s="231"/>
      <c r="W1" s="353"/>
      <c r="X1" s="353"/>
      <c r="Y1" s="353"/>
      <c r="Z1" s="231"/>
      <c r="AA1" s="231"/>
      <c r="AB1" s="232"/>
      <c r="AC1" s="355"/>
      <c r="AD1" s="231"/>
      <c r="AE1" s="355"/>
      <c r="AF1" s="355"/>
      <c r="AG1" s="231"/>
      <c r="AH1" s="231"/>
      <c r="AI1" s="354"/>
      <c r="AJ1" s="232"/>
    </row>
    <row r="2" spans="1:38" s="356" customFormat="1" ht="14.25">
      <c r="A2" s="357" t="s">
        <v>468</v>
      </c>
      <c r="B2" s="201"/>
      <c r="C2" s="358"/>
      <c r="D2" s="358"/>
      <c r="E2" s="455"/>
      <c r="F2" s="220"/>
      <c r="G2" s="201"/>
      <c r="H2" s="202"/>
      <c r="I2" s="201"/>
      <c r="J2" s="202"/>
      <c r="K2" s="201"/>
      <c r="L2" s="202"/>
      <c r="M2" s="359"/>
      <c r="N2" s="359"/>
      <c r="O2" s="359"/>
      <c r="P2" s="202"/>
      <c r="Q2" s="202"/>
      <c r="R2" s="203"/>
      <c r="S2" s="360"/>
      <c r="T2" s="203"/>
      <c r="U2" s="360"/>
      <c r="V2" s="202"/>
      <c r="W2" s="359"/>
      <c r="X2" s="359"/>
      <c r="Y2" s="359"/>
      <c r="Z2" s="202"/>
      <c r="AA2" s="202"/>
      <c r="AB2" s="203"/>
      <c r="AC2" s="360"/>
      <c r="AD2" s="202"/>
      <c r="AE2" s="360"/>
      <c r="AF2" s="360"/>
      <c r="AG2" s="202"/>
      <c r="AH2" s="202"/>
      <c r="AI2" s="360"/>
      <c r="AJ2" s="203"/>
    </row>
    <row r="3" spans="1:38" s="356" customFormat="1" ht="14.25">
      <c r="A3" s="344" t="s">
        <v>12</v>
      </c>
      <c r="B3" s="201"/>
      <c r="C3" s="345"/>
      <c r="D3" s="345"/>
      <c r="E3" s="455"/>
      <c r="F3" s="220"/>
      <c r="G3" s="227" t="s">
        <v>470</v>
      </c>
      <c r="H3" s="202"/>
      <c r="I3" s="227"/>
      <c r="J3" s="202"/>
      <c r="K3" s="227"/>
      <c r="L3" s="202"/>
      <c r="M3" s="361"/>
      <c r="N3" s="361"/>
      <c r="O3" s="361"/>
      <c r="P3" s="202"/>
      <c r="Q3" s="202"/>
      <c r="R3" s="228"/>
      <c r="S3" s="564"/>
      <c r="T3" s="563"/>
      <c r="U3" s="229" t="s">
        <v>133</v>
      </c>
      <c r="V3" s="202"/>
      <c r="W3" s="361"/>
      <c r="X3" s="361"/>
      <c r="Y3" s="361"/>
      <c r="Z3" s="202"/>
      <c r="AA3" s="202"/>
      <c r="AB3" s="228"/>
      <c r="AC3" s="456"/>
      <c r="AD3" s="202"/>
      <c r="AE3" s="456"/>
      <c r="AF3" s="456"/>
      <c r="AG3" s="202"/>
      <c r="AH3" s="202"/>
      <c r="AI3" s="685" t="s">
        <v>139</v>
      </c>
      <c r="AJ3" s="1011"/>
    </row>
    <row r="4" spans="1:38" s="356" customFormat="1" ht="32.25" customHeight="1">
      <c r="A4" s="340"/>
      <c r="B4" s="341"/>
      <c r="C4" s="362"/>
      <c r="D4" s="362"/>
      <c r="E4" s="457"/>
      <c r="F4" s="342"/>
      <c r="G4" s="1471" t="s">
        <v>126</v>
      </c>
      <c r="H4" s="1472"/>
      <c r="I4" s="1472" t="s">
        <v>128</v>
      </c>
      <c r="J4" s="1472"/>
      <c r="K4" s="1472" t="s">
        <v>127</v>
      </c>
      <c r="L4" s="1475"/>
      <c r="M4" s="230" t="s">
        <v>77</v>
      </c>
      <c r="N4" s="363"/>
      <c r="O4" s="363"/>
      <c r="P4" s="230" t="s">
        <v>77</v>
      </c>
      <c r="Q4" s="363"/>
      <c r="R4" s="363"/>
      <c r="S4" s="1492" t="s">
        <v>574</v>
      </c>
      <c r="T4" s="1493"/>
      <c r="U4" s="1481" t="s">
        <v>471</v>
      </c>
      <c r="V4" s="1482"/>
      <c r="W4" s="1482"/>
      <c r="X4" s="1482"/>
      <c r="Y4" s="1482"/>
      <c r="Z4" s="1482"/>
      <c r="AA4" s="1482"/>
      <c r="AB4" s="1482"/>
      <c r="AC4" s="680" t="s">
        <v>472</v>
      </c>
      <c r="AD4" s="346"/>
      <c r="AE4" s="458"/>
      <c r="AF4" s="458"/>
      <c r="AG4" s="681"/>
      <c r="AH4" s="682"/>
      <c r="AI4" s="684" t="s">
        <v>577</v>
      </c>
      <c r="AJ4" s="1012"/>
    </row>
    <row r="5" spans="1:38" s="356" customFormat="1" ht="33" customHeight="1">
      <c r="A5" s="340"/>
      <c r="B5" s="341"/>
      <c r="C5" s="459"/>
      <c r="D5" s="459"/>
      <c r="E5" s="457"/>
      <c r="F5" s="342"/>
      <c r="G5" s="1473"/>
      <c r="H5" s="1474"/>
      <c r="I5" s="1474"/>
      <c r="J5" s="1474"/>
      <c r="K5" s="1474"/>
      <c r="L5" s="1476"/>
      <c r="M5" s="1477" t="s">
        <v>319</v>
      </c>
      <c r="N5" s="1479" t="s">
        <v>320</v>
      </c>
      <c r="O5" s="1486" t="s">
        <v>573</v>
      </c>
      <c r="P5" s="1488" t="s">
        <v>319</v>
      </c>
      <c r="Q5" s="1488" t="s">
        <v>320</v>
      </c>
      <c r="R5" s="1490" t="s">
        <v>573</v>
      </c>
      <c r="S5" s="1492"/>
      <c r="T5" s="1493"/>
      <c r="U5" s="1034"/>
      <c r="V5" s="215"/>
      <c r="W5" s="670" t="s">
        <v>575</v>
      </c>
      <c r="X5" s="671"/>
      <c r="Y5" s="671"/>
      <c r="Z5" s="671"/>
      <c r="AA5" s="671"/>
      <c r="AB5" s="671"/>
      <c r="AC5" s="674"/>
      <c r="AD5" s="675"/>
      <c r="AE5" s="1483" t="s">
        <v>576</v>
      </c>
      <c r="AF5" s="1484"/>
      <c r="AG5" s="1484"/>
      <c r="AH5" s="1485"/>
      <c r="AI5" s="683"/>
      <c r="AJ5" s="1013"/>
    </row>
    <row r="6" spans="1:38" s="356" customFormat="1" ht="62.25" customHeight="1">
      <c r="A6" s="364" t="s">
        <v>11</v>
      </c>
      <c r="B6" s="460" t="s">
        <v>390</v>
      </c>
      <c r="C6" s="459"/>
      <c r="D6" s="459"/>
      <c r="E6" s="461" t="s">
        <v>129</v>
      </c>
      <c r="F6" s="365" t="s">
        <v>179</v>
      </c>
      <c r="G6" s="1473"/>
      <c r="H6" s="1474"/>
      <c r="I6" s="1474"/>
      <c r="J6" s="1474"/>
      <c r="K6" s="1474"/>
      <c r="L6" s="1476"/>
      <c r="M6" s="1478"/>
      <c r="N6" s="1480"/>
      <c r="O6" s="1487"/>
      <c r="P6" s="1489"/>
      <c r="Q6" s="1489"/>
      <c r="R6" s="1491"/>
      <c r="S6" s="1492"/>
      <c r="T6" s="1493"/>
      <c r="U6" s="662" t="s">
        <v>11</v>
      </c>
      <c r="V6" s="663" t="s">
        <v>11</v>
      </c>
      <c r="W6" s="666" t="s">
        <v>319</v>
      </c>
      <c r="X6" s="667" t="s">
        <v>320</v>
      </c>
      <c r="Y6" s="668" t="s">
        <v>573</v>
      </c>
      <c r="Z6" s="669" t="s">
        <v>319</v>
      </c>
      <c r="AA6" s="669" t="s">
        <v>320</v>
      </c>
      <c r="AB6" s="677" t="s">
        <v>573</v>
      </c>
      <c r="AC6" s="679" t="s">
        <v>11</v>
      </c>
      <c r="AD6" s="676"/>
      <c r="AE6" s="666" t="s">
        <v>319</v>
      </c>
      <c r="AF6" s="667" t="s">
        <v>320</v>
      </c>
      <c r="AG6" s="669" t="s">
        <v>319</v>
      </c>
      <c r="AH6" s="669" t="s">
        <v>320</v>
      </c>
      <c r="AI6" s="683"/>
      <c r="AJ6" s="1013"/>
    </row>
    <row r="7" spans="1:38" s="356" customFormat="1" ht="15" customHeight="1" thickBot="1">
      <c r="A7" s="435"/>
      <c r="B7" s="462"/>
      <c r="C7" s="436"/>
      <c r="D7" s="1037" t="s">
        <v>1895</v>
      </c>
      <c r="E7" s="463"/>
      <c r="F7" s="437"/>
      <c r="G7" s="1024" t="s">
        <v>488</v>
      </c>
      <c r="H7" s="654" t="s">
        <v>572</v>
      </c>
      <c r="I7" s="655" t="s">
        <v>488</v>
      </c>
      <c r="J7" s="654" t="s">
        <v>572</v>
      </c>
      <c r="K7" s="655" t="s">
        <v>488</v>
      </c>
      <c r="L7" s="656" t="s">
        <v>572</v>
      </c>
      <c r="M7" s="653" t="s">
        <v>488</v>
      </c>
      <c r="N7" s="655" t="s">
        <v>488</v>
      </c>
      <c r="O7" s="657" t="s">
        <v>488</v>
      </c>
      <c r="P7" s="658" t="s">
        <v>572</v>
      </c>
      <c r="Q7" s="658" t="s">
        <v>572</v>
      </c>
      <c r="R7" s="659" t="s">
        <v>572</v>
      </c>
      <c r="S7" s="660" t="s">
        <v>488</v>
      </c>
      <c r="T7" s="661" t="s">
        <v>572</v>
      </c>
      <c r="U7" s="664" t="s">
        <v>488</v>
      </c>
      <c r="V7" s="656" t="s">
        <v>572</v>
      </c>
      <c r="W7" s="653" t="s">
        <v>488</v>
      </c>
      <c r="X7" s="655" t="s">
        <v>488</v>
      </c>
      <c r="Y7" s="665" t="s">
        <v>488</v>
      </c>
      <c r="Z7" s="654" t="s">
        <v>572</v>
      </c>
      <c r="AA7" s="654" t="s">
        <v>572</v>
      </c>
      <c r="AB7" s="678" t="s">
        <v>572</v>
      </c>
      <c r="AC7" s="655" t="s">
        <v>488</v>
      </c>
      <c r="AD7" s="656" t="s">
        <v>572</v>
      </c>
      <c r="AE7" s="653" t="s">
        <v>488</v>
      </c>
      <c r="AF7" s="655" t="s">
        <v>488</v>
      </c>
      <c r="AG7" s="654" t="s">
        <v>572</v>
      </c>
      <c r="AH7" s="654" t="s">
        <v>572</v>
      </c>
      <c r="AI7" s="672" t="s">
        <v>488</v>
      </c>
      <c r="AJ7" s="673" t="s">
        <v>572</v>
      </c>
    </row>
    <row r="8" spans="1:38" s="366" customFormat="1" ht="28.5" customHeight="1" thickTop="1">
      <c r="A8" s="1014" t="s">
        <v>182</v>
      </c>
      <c r="B8" s="1015" t="s">
        <v>184</v>
      </c>
      <c r="C8" s="1014" t="s">
        <v>183</v>
      </c>
      <c r="D8" s="1014" t="s">
        <v>1895</v>
      </c>
      <c r="E8" s="1016" t="s">
        <v>186</v>
      </c>
      <c r="F8" s="1017" t="s">
        <v>185</v>
      </c>
      <c r="G8" s="1018" t="s">
        <v>187</v>
      </c>
      <c r="H8" s="1018" t="s">
        <v>188</v>
      </c>
      <c r="I8" s="1018" t="s">
        <v>172</v>
      </c>
      <c r="J8" s="1018" t="s">
        <v>173</v>
      </c>
      <c r="K8" s="1018" t="s">
        <v>189</v>
      </c>
      <c r="L8" s="1018" t="s">
        <v>190</v>
      </c>
      <c r="M8" s="1018" t="s">
        <v>146</v>
      </c>
      <c r="N8" s="1018" t="s">
        <v>147</v>
      </c>
      <c r="O8" s="1019" t="s">
        <v>174</v>
      </c>
      <c r="P8" s="1018" t="s">
        <v>148</v>
      </c>
      <c r="Q8" s="1018" t="s">
        <v>149</v>
      </c>
      <c r="R8" s="1019" t="s">
        <v>21</v>
      </c>
      <c r="S8" s="1020" t="s">
        <v>276</v>
      </c>
      <c r="T8" s="1020" t="s">
        <v>277</v>
      </c>
      <c r="U8" s="1021" t="s">
        <v>195</v>
      </c>
      <c r="V8" s="1018" t="s">
        <v>196</v>
      </c>
      <c r="W8" s="1018" t="s">
        <v>231</v>
      </c>
      <c r="X8" s="1018" t="s">
        <v>232</v>
      </c>
      <c r="Y8" s="1019" t="s">
        <v>233</v>
      </c>
      <c r="Z8" s="1018" t="s">
        <v>234</v>
      </c>
      <c r="AA8" s="1018" t="s">
        <v>235</v>
      </c>
      <c r="AB8" s="1019" t="s">
        <v>292</v>
      </c>
      <c r="AC8" s="1022" t="s">
        <v>191</v>
      </c>
      <c r="AD8" s="1018" t="s">
        <v>192</v>
      </c>
      <c r="AE8" s="1018" t="s">
        <v>193</v>
      </c>
      <c r="AF8" s="1018" t="s">
        <v>518</v>
      </c>
      <c r="AG8" s="1018" t="s">
        <v>194</v>
      </c>
      <c r="AH8" s="1018" t="s">
        <v>519</v>
      </c>
      <c r="AI8" s="1014" t="s">
        <v>267</v>
      </c>
      <c r="AJ8" s="1023" t="s">
        <v>268</v>
      </c>
    </row>
    <row r="9" spans="1:38" s="700" customFormat="1" ht="12.75" customHeight="1">
      <c r="A9" s="686" t="s">
        <v>202</v>
      </c>
      <c r="B9" s="686" t="s">
        <v>392</v>
      </c>
      <c r="C9" s="711" t="s">
        <v>75</v>
      </c>
      <c r="D9" s="699"/>
      <c r="E9" s="688">
        <v>100858</v>
      </c>
      <c r="F9" s="689">
        <v>1</v>
      </c>
      <c r="G9" s="1025">
        <f>135042228+39970</f>
        <v>135082198</v>
      </c>
      <c r="H9" s="690">
        <f>134257943+45448</f>
        <v>134303391</v>
      </c>
      <c r="I9" s="1030"/>
      <c r="J9" s="690"/>
      <c r="K9" s="1030"/>
      <c r="L9" s="690"/>
      <c r="M9" s="1025">
        <v>270904514</v>
      </c>
      <c r="N9" s="1030">
        <v>19900077</v>
      </c>
      <c r="O9" s="692">
        <f>SUM(M9:N9)</f>
        <v>290804591</v>
      </c>
      <c r="P9" s="690">
        <v>265473499</v>
      </c>
      <c r="Q9" s="690">
        <v>21067835</v>
      </c>
      <c r="R9" s="691">
        <f>SUM(P9:Q9)</f>
        <v>286541334</v>
      </c>
      <c r="S9" s="692">
        <f t="shared" ref="S9" si="0">SUM(G9,I9,K9,M9)</f>
        <v>405986712</v>
      </c>
      <c r="T9" s="693">
        <f>SUM(H9,J9,L9,P9)</f>
        <v>399776890</v>
      </c>
      <c r="U9" s="1035"/>
      <c r="V9" s="690"/>
      <c r="W9" s="1025"/>
      <c r="X9" s="1030"/>
      <c r="Y9" s="694">
        <f>SUM(W9:X9)</f>
        <v>0</v>
      </c>
      <c r="Z9" s="690"/>
      <c r="AA9" s="690"/>
      <c r="AB9" s="695">
        <f>SUM(Z9:AA9)</f>
        <v>0</v>
      </c>
      <c r="AC9" s="1035"/>
      <c r="AD9" s="690"/>
      <c r="AE9" s="1025"/>
      <c r="AF9" s="1030"/>
      <c r="AG9" s="690"/>
      <c r="AH9" s="690"/>
      <c r="AI9" s="696">
        <f t="shared" ref="AI9" si="1">SUM(S9,U9,W9,AC9,AE9)</f>
        <v>405986712</v>
      </c>
      <c r="AJ9" s="697">
        <f>SUM(T9,V9,Z9,AD9,AG9)</f>
        <v>399776890</v>
      </c>
      <c r="AK9" s="698"/>
      <c r="AL9" s="698"/>
    </row>
    <row r="10" spans="1:38" s="700" customFormat="1" ht="12.75" customHeight="1">
      <c r="A10" s="686" t="s">
        <v>202</v>
      </c>
      <c r="B10" s="686" t="s">
        <v>408</v>
      </c>
      <c r="C10" s="699" t="s">
        <v>46</v>
      </c>
      <c r="D10" s="699"/>
      <c r="E10" s="688">
        <v>100858</v>
      </c>
      <c r="F10" s="689">
        <v>1</v>
      </c>
      <c r="G10" s="1025"/>
      <c r="H10" s="690"/>
      <c r="I10" s="1030"/>
      <c r="J10" s="690"/>
      <c r="K10" s="1030"/>
      <c r="L10" s="690"/>
      <c r="M10" s="1025"/>
      <c r="N10" s="1030"/>
      <c r="O10" s="692">
        <f t="shared" ref="O10:O73" si="2">SUM(M10:N10)</f>
        <v>0</v>
      </c>
      <c r="P10" s="690"/>
      <c r="Q10" s="690"/>
      <c r="R10" s="691">
        <f t="shared" ref="R10:R73" si="3">SUM(P10:Q10)</f>
        <v>0</v>
      </c>
      <c r="S10" s="692">
        <f t="shared" ref="S10:S73" si="4">SUM(G10,I10,K10,M10)</f>
        <v>0</v>
      </c>
      <c r="T10" s="693">
        <f t="shared" ref="T10:T73" si="5">SUM(H10,J10,L10,P10)</f>
        <v>0</v>
      </c>
      <c r="U10" s="1035"/>
      <c r="V10" s="690"/>
      <c r="W10" s="1025"/>
      <c r="X10" s="1030"/>
      <c r="Y10" s="694">
        <f t="shared" ref="Y10:Y73" si="6">SUM(W10:X10)</f>
        <v>0</v>
      </c>
      <c r="Z10" s="690"/>
      <c r="AA10" s="690"/>
      <c r="AB10" s="695">
        <f t="shared" ref="AB10:AB73" si="7">SUM(Z10:AA10)</f>
        <v>0</v>
      </c>
      <c r="AC10" s="1035"/>
      <c r="AD10" s="690"/>
      <c r="AE10" s="1025"/>
      <c r="AF10" s="1030"/>
      <c r="AG10" s="690"/>
      <c r="AH10" s="690"/>
      <c r="AI10" s="696">
        <f t="shared" ref="AI10:AI73" si="8">SUM(S10,U10,W10,AC10,AE10)</f>
        <v>0</v>
      </c>
      <c r="AJ10" s="697">
        <f t="shared" ref="AJ10:AJ73" si="9">SUM(T10,V10,Z10,AD10,AG10)</f>
        <v>0</v>
      </c>
      <c r="AK10" s="698"/>
      <c r="AL10" s="698"/>
    </row>
    <row r="11" spans="1:38" s="700" customFormat="1" ht="12.75" customHeight="1">
      <c r="A11" s="686" t="s">
        <v>202</v>
      </c>
      <c r="B11" s="686" t="s">
        <v>408</v>
      </c>
      <c r="C11" s="701" t="s">
        <v>88</v>
      </c>
      <c r="D11" s="701"/>
      <c r="E11" s="688">
        <v>100858</v>
      </c>
      <c r="F11" s="689">
        <v>1</v>
      </c>
      <c r="G11" s="1025"/>
      <c r="H11" s="690"/>
      <c r="I11" s="1030"/>
      <c r="J11" s="690"/>
      <c r="K11" s="1030"/>
      <c r="L11" s="690"/>
      <c r="M11" s="1025"/>
      <c r="N11" s="1030"/>
      <c r="O11" s="692">
        <f t="shared" si="2"/>
        <v>0</v>
      </c>
      <c r="P11" s="690"/>
      <c r="Q11" s="690"/>
      <c r="R11" s="691">
        <f t="shared" si="3"/>
        <v>0</v>
      </c>
      <c r="S11" s="692">
        <f t="shared" si="4"/>
        <v>0</v>
      </c>
      <c r="T11" s="693">
        <f t="shared" si="5"/>
        <v>0</v>
      </c>
      <c r="U11" s="1035"/>
      <c r="V11" s="690"/>
      <c r="W11" s="1025"/>
      <c r="X11" s="1030"/>
      <c r="Y11" s="694">
        <f t="shared" si="6"/>
        <v>0</v>
      </c>
      <c r="Z11" s="690"/>
      <c r="AA11" s="690"/>
      <c r="AB11" s="695">
        <f t="shared" si="7"/>
        <v>0</v>
      </c>
      <c r="AC11" s="1035">
        <v>17360831</v>
      </c>
      <c r="AD11" s="690">
        <v>16840006</v>
      </c>
      <c r="AE11" s="1025">
        <v>10851848</v>
      </c>
      <c r="AF11" s="1030"/>
      <c r="AG11" s="818">
        <v>10000000</v>
      </c>
      <c r="AH11" s="690"/>
      <c r="AI11" s="696">
        <f t="shared" si="8"/>
        <v>28212679</v>
      </c>
      <c r="AJ11" s="697">
        <f t="shared" si="9"/>
        <v>26840006</v>
      </c>
      <c r="AK11" s="698"/>
      <c r="AL11" s="698"/>
    </row>
    <row r="12" spans="1:38" s="700" customFormat="1" ht="12.75" customHeight="1">
      <c r="A12" s="686" t="s">
        <v>202</v>
      </c>
      <c r="B12" s="686" t="s">
        <v>393</v>
      </c>
      <c r="C12" s="934" t="s">
        <v>2015</v>
      </c>
      <c r="D12" s="701"/>
      <c r="E12" s="688"/>
      <c r="F12" s="689">
        <v>1</v>
      </c>
      <c r="G12" s="1025"/>
      <c r="H12" s="690"/>
      <c r="I12" s="1030"/>
      <c r="J12" s="690"/>
      <c r="K12" s="1030"/>
      <c r="L12" s="690"/>
      <c r="M12" s="1025"/>
      <c r="N12" s="1030"/>
      <c r="O12" s="692">
        <f t="shared" si="2"/>
        <v>0</v>
      </c>
      <c r="P12" s="690"/>
      <c r="Q12" s="690"/>
      <c r="R12" s="691">
        <f t="shared" si="3"/>
        <v>0</v>
      </c>
      <c r="S12" s="692">
        <f t="shared" si="4"/>
        <v>0</v>
      </c>
      <c r="T12" s="693">
        <f t="shared" si="5"/>
        <v>0</v>
      </c>
      <c r="U12" s="1035"/>
      <c r="V12" s="690"/>
      <c r="W12" s="1025"/>
      <c r="X12" s="1030"/>
      <c r="Y12" s="694">
        <f t="shared" si="6"/>
        <v>0</v>
      </c>
      <c r="Z12" s="690"/>
      <c r="AA12" s="690"/>
      <c r="AB12" s="695">
        <f t="shared" si="7"/>
        <v>0</v>
      </c>
      <c r="AC12" s="1035"/>
      <c r="AD12" s="690"/>
      <c r="AE12" s="1025"/>
      <c r="AF12" s="1030"/>
      <c r="AG12" s="690"/>
      <c r="AH12" s="690"/>
      <c r="AI12" s="696">
        <f t="shared" si="8"/>
        <v>0</v>
      </c>
      <c r="AJ12" s="697">
        <f t="shared" si="9"/>
        <v>0</v>
      </c>
      <c r="AK12" s="698"/>
      <c r="AL12" s="698"/>
    </row>
    <row r="13" spans="1:38" s="700" customFormat="1" ht="12.75" customHeight="1">
      <c r="A13" s="686" t="s">
        <v>202</v>
      </c>
      <c r="B13" s="686" t="s">
        <v>394</v>
      </c>
      <c r="C13" s="699" t="s">
        <v>451</v>
      </c>
      <c r="D13" s="699"/>
      <c r="E13" s="688">
        <v>100858</v>
      </c>
      <c r="F13" s="689">
        <v>1</v>
      </c>
      <c r="G13" s="1025"/>
      <c r="H13" s="690"/>
      <c r="I13" s="1030"/>
      <c r="J13" s="690"/>
      <c r="K13" s="1030"/>
      <c r="L13" s="690"/>
      <c r="M13" s="1025"/>
      <c r="N13" s="1030"/>
      <c r="O13" s="692">
        <f t="shared" si="2"/>
        <v>0</v>
      </c>
      <c r="P13" s="690"/>
      <c r="Q13" s="690"/>
      <c r="R13" s="691">
        <f t="shared" si="3"/>
        <v>0</v>
      </c>
      <c r="S13" s="692">
        <f t="shared" si="4"/>
        <v>0</v>
      </c>
      <c r="T13" s="693">
        <f t="shared" si="5"/>
        <v>0</v>
      </c>
      <c r="U13" s="1035"/>
      <c r="V13" s="690"/>
      <c r="W13" s="1025"/>
      <c r="X13" s="1030"/>
      <c r="Y13" s="694">
        <f t="shared" si="6"/>
        <v>0</v>
      </c>
      <c r="Z13" s="690"/>
      <c r="AA13" s="690"/>
      <c r="AB13" s="695">
        <f t="shared" si="7"/>
        <v>0</v>
      </c>
      <c r="AC13" s="1035"/>
      <c r="AD13" s="690"/>
      <c r="AE13" s="1025"/>
      <c r="AF13" s="1030"/>
      <c r="AG13" s="690"/>
      <c r="AH13" s="690"/>
      <c r="AI13" s="696">
        <f t="shared" si="8"/>
        <v>0</v>
      </c>
      <c r="AJ13" s="697">
        <f t="shared" si="9"/>
        <v>0</v>
      </c>
      <c r="AK13" s="698"/>
      <c r="AL13" s="698"/>
    </row>
    <row r="14" spans="1:38" s="700" customFormat="1" ht="12.75" customHeight="1">
      <c r="A14" s="686" t="s">
        <v>202</v>
      </c>
      <c r="B14" s="686" t="s">
        <v>394</v>
      </c>
      <c r="C14" s="701" t="s">
        <v>86</v>
      </c>
      <c r="D14" s="701"/>
      <c r="E14" s="688">
        <v>100858</v>
      </c>
      <c r="F14" s="689">
        <v>1</v>
      </c>
      <c r="G14" s="1025"/>
      <c r="H14" s="690"/>
      <c r="I14" s="1030">
        <v>107919</v>
      </c>
      <c r="J14" s="690">
        <v>106995</v>
      </c>
      <c r="K14" s="1030"/>
      <c r="L14" s="690"/>
      <c r="M14" s="1025"/>
      <c r="N14" s="1030"/>
      <c r="O14" s="692">
        <f t="shared" si="2"/>
        <v>0</v>
      </c>
      <c r="P14" s="690"/>
      <c r="Q14" s="690"/>
      <c r="R14" s="691">
        <f t="shared" si="3"/>
        <v>0</v>
      </c>
      <c r="S14" s="692">
        <f t="shared" si="4"/>
        <v>107919</v>
      </c>
      <c r="T14" s="693">
        <f t="shared" si="5"/>
        <v>106995</v>
      </c>
      <c r="U14" s="1035"/>
      <c r="V14" s="690"/>
      <c r="W14" s="1025"/>
      <c r="X14" s="1030"/>
      <c r="Y14" s="694">
        <f t="shared" si="6"/>
        <v>0</v>
      </c>
      <c r="Z14" s="690"/>
      <c r="AA14" s="690"/>
      <c r="AB14" s="695">
        <f t="shared" si="7"/>
        <v>0</v>
      </c>
      <c r="AC14" s="1035"/>
      <c r="AD14" s="690"/>
      <c r="AE14" s="1025"/>
      <c r="AF14" s="1030"/>
      <c r="AG14" s="690"/>
      <c r="AH14" s="690"/>
      <c r="AI14" s="696">
        <f t="shared" si="8"/>
        <v>107919</v>
      </c>
      <c r="AJ14" s="697">
        <f t="shared" si="9"/>
        <v>106995</v>
      </c>
      <c r="AK14" s="698"/>
      <c r="AL14" s="698"/>
    </row>
    <row r="15" spans="1:38" s="700" customFormat="1" ht="12.75" customHeight="1">
      <c r="A15" s="686" t="s">
        <v>202</v>
      </c>
      <c r="B15" s="686" t="s">
        <v>394</v>
      </c>
      <c r="C15" s="701" t="s">
        <v>303</v>
      </c>
      <c r="D15" s="701"/>
      <c r="E15" s="688">
        <v>100858</v>
      </c>
      <c r="F15" s="689">
        <v>1</v>
      </c>
      <c r="G15" s="1025"/>
      <c r="H15" s="690"/>
      <c r="I15" s="1030">
        <v>59956</v>
      </c>
      <c r="J15" s="690">
        <v>65263</v>
      </c>
      <c r="K15" s="1030"/>
      <c r="L15" s="690"/>
      <c r="M15" s="1025"/>
      <c r="N15" s="1030"/>
      <c r="O15" s="692">
        <f t="shared" si="2"/>
        <v>0</v>
      </c>
      <c r="P15" s="690"/>
      <c r="Q15" s="690"/>
      <c r="R15" s="691">
        <f t="shared" si="3"/>
        <v>0</v>
      </c>
      <c r="S15" s="692">
        <f t="shared" si="4"/>
        <v>59956</v>
      </c>
      <c r="T15" s="693">
        <f t="shared" si="5"/>
        <v>65263</v>
      </c>
      <c r="U15" s="1035"/>
      <c r="V15" s="690"/>
      <c r="W15" s="1025"/>
      <c r="X15" s="1030"/>
      <c r="Y15" s="694">
        <f t="shared" si="6"/>
        <v>0</v>
      </c>
      <c r="Z15" s="690"/>
      <c r="AA15" s="690"/>
      <c r="AB15" s="695">
        <f t="shared" si="7"/>
        <v>0</v>
      </c>
      <c r="AC15" s="1035"/>
      <c r="AD15" s="690"/>
      <c r="AE15" s="1025"/>
      <c r="AF15" s="1030"/>
      <c r="AG15" s="690"/>
      <c r="AH15" s="690"/>
      <c r="AI15" s="696">
        <f t="shared" si="8"/>
        <v>59956</v>
      </c>
      <c r="AJ15" s="697">
        <f t="shared" si="9"/>
        <v>65263</v>
      </c>
      <c r="AK15" s="698"/>
      <c r="AL15" s="698"/>
    </row>
    <row r="16" spans="1:38" s="700" customFormat="1" ht="12.75" customHeight="1">
      <c r="A16" s="686" t="s">
        <v>202</v>
      </c>
      <c r="B16" s="686" t="s">
        <v>394</v>
      </c>
      <c r="C16" s="701" t="s">
        <v>578</v>
      </c>
      <c r="D16" s="701"/>
      <c r="E16" s="688">
        <v>100858</v>
      </c>
      <c r="F16" s="689">
        <v>1</v>
      </c>
      <c r="G16" s="1025"/>
      <c r="H16" s="690"/>
      <c r="I16" s="1030"/>
      <c r="J16" s="690">
        <v>135800</v>
      </c>
      <c r="K16" s="1030"/>
      <c r="L16" s="690"/>
      <c r="M16" s="1025"/>
      <c r="N16" s="1030"/>
      <c r="O16" s="692">
        <f t="shared" si="2"/>
        <v>0</v>
      </c>
      <c r="P16" s="690"/>
      <c r="Q16" s="690"/>
      <c r="R16" s="691">
        <f t="shared" si="3"/>
        <v>0</v>
      </c>
      <c r="S16" s="692">
        <f t="shared" si="4"/>
        <v>0</v>
      </c>
      <c r="T16" s="693">
        <f t="shared" si="5"/>
        <v>135800</v>
      </c>
      <c r="U16" s="1035"/>
      <c r="V16" s="690"/>
      <c r="W16" s="1025"/>
      <c r="X16" s="1030"/>
      <c r="Y16" s="694">
        <f t="shared" si="6"/>
        <v>0</v>
      </c>
      <c r="Z16" s="690"/>
      <c r="AA16" s="690"/>
      <c r="AB16" s="695">
        <f t="shared" si="7"/>
        <v>0</v>
      </c>
      <c r="AC16" s="1035"/>
      <c r="AD16" s="690"/>
      <c r="AE16" s="1025"/>
      <c r="AF16" s="1030"/>
      <c r="AG16" s="690"/>
      <c r="AH16" s="690"/>
      <c r="AI16" s="696">
        <f t="shared" si="8"/>
        <v>0</v>
      </c>
      <c r="AJ16" s="697">
        <f t="shared" si="9"/>
        <v>135800</v>
      </c>
      <c r="AK16" s="698"/>
      <c r="AL16" s="698"/>
    </row>
    <row r="17" spans="1:38" s="700" customFormat="1" ht="12.75" customHeight="1">
      <c r="A17" s="686" t="s">
        <v>202</v>
      </c>
      <c r="B17" s="686" t="s">
        <v>394</v>
      </c>
      <c r="C17" s="701" t="s">
        <v>92</v>
      </c>
      <c r="D17" s="701"/>
      <c r="E17" s="688">
        <v>100858</v>
      </c>
      <c r="F17" s="689">
        <v>1</v>
      </c>
      <c r="G17" s="1025"/>
      <c r="H17" s="690"/>
      <c r="I17" s="1030">
        <v>90500</v>
      </c>
      <c r="J17" s="690">
        <v>89725</v>
      </c>
      <c r="K17" s="1030"/>
      <c r="L17" s="690"/>
      <c r="M17" s="1025"/>
      <c r="N17" s="1030"/>
      <c r="O17" s="692">
        <f t="shared" si="2"/>
        <v>0</v>
      </c>
      <c r="P17" s="690"/>
      <c r="Q17" s="690"/>
      <c r="R17" s="691">
        <f t="shared" si="3"/>
        <v>0</v>
      </c>
      <c r="S17" s="692">
        <f t="shared" si="4"/>
        <v>90500</v>
      </c>
      <c r="T17" s="693">
        <f t="shared" si="5"/>
        <v>89725</v>
      </c>
      <c r="U17" s="1035"/>
      <c r="V17" s="690"/>
      <c r="W17" s="1025"/>
      <c r="X17" s="1030"/>
      <c r="Y17" s="694">
        <f t="shared" si="6"/>
        <v>0</v>
      </c>
      <c r="Z17" s="690"/>
      <c r="AA17" s="690"/>
      <c r="AB17" s="695">
        <f t="shared" si="7"/>
        <v>0</v>
      </c>
      <c r="AC17" s="1035"/>
      <c r="AD17" s="690"/>
      <c r="AE17" s="1025"/>
      <c r="AF17" s="1030"/>
      <c r="AG17" s="690"/>
      <c r="AH17" s="690"/>
      <c r="AI17" s="696">
        <f t="shared" si="8"/>
        <v>90500</v>
      </c>
      <c r="AJ17" s="697">
        <f t="shared" si="9"/>
        <v>89725</v>
      </c>
      <c r="AK17" s="698"/>
      <c r="AL17" s="698"/>
    </row>
    <row r="18" spans="1:38" s="700" customFormat="1" ht="12.75" customHeight="1">
      <c r="A18" s="686" t="s">
        <v>202</v>
      </c>
      <c r="B18" s="686" t="s">
        <v>395</v>
      </c>
      <c r="C18" s="699" t="s">
        <v>386</v>
      </c>
      <c r="D18" s="699"/>
      <c r="E18" s="688">
        <v>100858</v>
      </c>
      <c r="F18" s="689">
        <v>1</v>
      </c>
      <c r="G18" s="1025"/>
      <c r="H18" s="690"/>
      <c r="I18" s="1030"/>
      <c r="J18" s="690"/>
      <c r="K18" s="1030"/>
      <c r="L18" s="690"/>
      <c r="M18" s="1025"/>
      <c r="N18" s="1030"/>
      <c r="O18" s="692">
        <f t="shared" si="2"/>
        <v>0</v>
      </c>
      <c r="P18" s="690"/>
      <c r="Q18" s="690"/>
      <c r="R18" s="691">
        <f t="shared" si="3"/>
        <v>0</v>
      </c>
      <c r="S18" s="692">
        <f t="shared" si="4"/>
        <v>0</v>
      </c>
      <c r="T18" s="693">
        <f t="shared" si="5"/>
        <v>0</v>
      </c>
      <c r="U18" s="1035"/>
      <c r="V18" s="690"/>
      <c r="W18" s="1025"/>
      <c r="X18" s="1030"/>
      <c r="Y18" s="694">
        <f t="shared" si="6"/>
        <v>0</v>
      </c>
      <c r="Z18" s="690"/>
      <c r="AA18" s="690"/>
      <c r="AB18" s="695">
        <f t="shared" si="7"/>
        <v>0</v>
      </c>
      <c r="AC18" s="1035"/>
      <c r="AD18" s="690"/>
      <c r="AE18" s="1025"/>
      <c r="AF18" s="1030"/>
      <c r="AG18" s="690"/>
      <c r="AH18" s="690"/>
      <c r="AI18" s="696">
        <f t="shared" si="8"/>
        <v>0</v>
      </c>
      <c r="AJ18" s="697">
        <f t="shared" si="9"/>
        <v>0</v>
      </c>
      <c r="AK18" s="698"/>
      <c r="AL18" s="698"/>
    </row>
    <row r="19" spans="1:38" s="700" customFormat="1" ht="12.75" customHeight="1">
      <c r="A19" s="686" t="s">
        <v>202</v>
      </c>
      <c r="B19" s="686" t="s">
        <v>395</v>
      </c>
      <c r="C19" s="701" t="s">
        <v>87</v>
      </c>
      <c r="D19" s="701"/>
      <c r="E19" s="688">
        <v>100858</v>
      </c>
      <c r="F19" s="689">
        <v>1</v>
      </c>
      <c r="G19" s="1025"/>
      <c r="H19" s="690"/>
      <c r="I19" s="1155">
        <v>239879</v>
      </c>
      <c r="J19" s="690">
        <v>232683</v>
      </c>
      <c r="K19" s="1030"/>
      <c r="L19" s="690"/>
      <c r="M19" s="1025"/>
      <c r="N19" s="1030"/>
      <c r="O19" s="692">
        <f t="shared" si="2"/>
        <v>0</v>
      </c>
      <c r="P19" s="690"/>
      <c r="Q19" s="690"/>
      <c r="R19" s="691">
        <f t="shared" si="3"/>
        <v>0</v>
      </c>
      <c r="S19" s="692">
        <f t="shared" si="4"/>
        <v>239879</v>
      </c>
      <c r="T19" s="693">
        <f t="shared" si="5"/>
        <v>232683</v>
      </c>
      <c r="U19" s="1035"/>
      <c r="V19" s="690"/>
      <c r="W19" s="1025"/>
      <c r="X19" s="1030"/>
      <c r="Y19" s="694">
        <f t="shared" si="6"/>
        <v>0</v>
      </c>
      <c r="Z19" s="690"/>
      <c r="AA19" s="690"/>
      <c r="AB19" s="695">
        <f t="shared" si="7"/>
        <v>0</v>
      </c>
      <c r="AC19" s="1035"/>
      <c r="AD19" s="690"/>
      <c r="AE19" s="1025"/>
      <c r="AF19" s="1030"/>
      <c r="AG19" s="690"/>
      <c r="AH19" s="690"/>
      <c r="AI19" s="696">
        <f t="shared" si="8"/>
        <v>239879</v>
      </c>
      <c r="AJ19" s="697">
        <f t="shared" si="9"/>
        <v>232683</v>
      </c>
      <c r="AK19" s="698"/>
      <c r="AL19" s="698"/>
    </row>
    <row r="20" spans="1:38" s="700" customFormat="1" ht="12.75" customHeight="1">
      <c r="A20" s="686" t="s">
        <v>202</v>
      </c>
      <c r="B20" s="686" t="s">
        <v>396</v>
      </c>
      <c r="C20" s="699" t="s">
        <v>385</v>
      </c>
      <c r="D20" s="699"/>
      <c r="E20" s="688">
        <v>100858</v>
      </c>
      <c r="F20" s="689">
        <v>1</v>
      </c>
      <c r="G20" s="1025"/>
      <c r="H20" s="690"/>
      <c r="I20" s="1030">
        <v>31108190</v>
      </c>
      <c r="J20" s="690">
        <v>31084294</v>
      </c>
      <c r="K20" s="1030"/>
      <c r="L20" s="690"/>
      <c r="M20" s="1025"/>
      <c r="N20" s="1030"/>
      <c r="O20" s="692">
        <f t="shared" si="2"/>
        <v>0</v>
      </c>
      <c r="P20" s="690"/>
      <c r="Q20" s="690"/>
      <c r="R20" s="691">
        <f t="shared" si="3"/>
        <v>0</v>
      </c>
      <c r="S20" s="692">
        <f t="shared" si="4"/>
        <v>31108190</v>
      </c>
      <c r="T20" s="693">
        <f t="shared" si="5"/>
        <v>31084294</v>
      </c>
      <c r="U20" s="1035"/>
      <c r="V20" s="690"/>
      <c r="W20" s="1025"/>
      <c r="X20" s="1030"/>
      <c r="Y20" s="694">
        <f t="shared" si="6"/>
        <v>0</v>
      </c>
      <c r="Z20" s="690"/>
      <c r="AA20" s="690"/>
      <c r="AB20" s="695">
        <f t="shared" si="7"/>
        <v>0</v>
      </c>
      <c r="AC20" s="1035"/>
      <c r="AD20" s="690"/>
      <c r="AE20" s="1025"/>
      <c r="AF20" s="1030"/>
      <c r="AG20" s="690"/>
      <c r="AH20" s="690"/>
      <c r="AI20" s="696">
        <f t="shared" si="8"/>
        <v>31108190</v>
      </c>
      <c r="AJ20" s="697">
        <f t="shared" si="9"/>
        <v>31084294</v>
      </c>
      <c r="AK20" s="698"/>
      <c r="AL20" s="698"/>
    </row>
    <row r="21" spans="1:38" s="700" customFormat="1" ht="12.75" customHeight="1">
      <c r="A21" s="686" t="s">
        <v>202</v>
      </c>
      <c r="B21" s="686" t="s">
        <v>397</v>
      </c>
      <c r="C21" s="699" t="s">
        <v>384</v>
      </c>
      <c r="D21" s="699"/>
      <c r="E21" s="688">
        <v>100858</v>
      </c>
      <c r="F21" s="689">
        <v>1</v>
      </c>
      <c r="G21" s="1025"/>
      <c r="H21" s="690"/>
      <c r="I21" s="1030">
        <v>29320262</v>
      </c>
      <c r="J21" s="690">
        <v>30039177</v>
      </c>
      <c r="K21" s="1030"/>
      <c r="L21" s="690"/>
      <c r="M21" s="1025"/>
      <c r="N21" s="1030"/>
      <c r="O21" s="692">
        <f t="shared" si="2"/>
        <v>0</v>
      </c>
      <c r="P21" s="690"/>
      <c r="Q21" s="690"/>
      <c r="R21" s="691">
        <f t="shared" si="3"/>
        <v>0</v>
      </c>
      <c r="S21" s="692">
        <f t="shared" si="4"/>
        <v>29320262</v>
      </c>
      <c r="T21" s="693">
        <f t="shared" si="5"/>
        <v>30039177</v>
      </c>
      <c r="U21" s="1035"/>
      <c r="V21" s="690"/>
      <c r="W21" s="1025"/>
      <c r="X21" s="1030"/>
      <c r="Y21" s="694">
        <f t="shared" si="6"/>
        <v>0</v>
      </c>
      <c r="Z21" s="690"/>
      <c r="AA21" s="690"/>
      <c r="AB21" s="695">
        <f t="shared" si="7"/>
        <v>0</v>
      </c>
      <c r="AC21" s="1035"/>
      <c r="AD21" s="690"/>
      <c r="AE21" s="1025"/>
      <c r="AF21" s="1030"/>
      <c r="AG21" s="690"/>
      <c r="AH21" s="690"/>
      <c r="AI21" s="696">
        <f t="shared" si="8"/>
        <v>29320262</v>
      </c>
      <c r="AJ21" s="697">
        <f t="shared" si="9"/>
        <v>30039177</v>
      </c>
      <c r="AK21" s="698"/>
      <c r="AL21" s="698"/>
    </row>
    <row r="22" spans="1:38" s="700" customFormat="1" ht="12.75" customHeight="1">
      <c r="A22" s="686" t="s">
        <v>202</v>
      </c>
      <c r="B22" s="686" t="s">
        <v>399</v>
      </c>
      <c r="C22" s="699" t="s">
        <v>441</v>
      </c>
      <c r="D22" s="699"/>
      <c r="E22" s="688">
        <v>100858</v>
      </c>
      <c r="F22" s="689">
        <v>1</v>
      </c>
      <c r="G22" s="1025"/>
      <c r="H22" s="690"/>
      <c r="I22" s="1030"/>
      <c r="J22" s="690"/>
      <c r="K22" s="1030"/>
      <c r="L22" s="690"/>
      <c r="M22" s="1025"/>
      <c r="N22" s="1030"/>
      <c r="O22" s="692">
        <f t="shared" si="2"/>
        <v>0</v>
      </c>
      <c r="P22" s="690"/>
      <c r="Q22" s="690"/>
      <c r="R22" s="691">
        <f t="shared" si="3"/>
        <v>0</v>
      </c>
      <c r="S22" s="692">
        <f t="shared" si="4"/>
        <v>0</v>
      </c>
      <c r="T22" s="693">
        <f t="shared" si="5"/>
        <v>0</v>
      </c>
      <c r="U22" s="1035"/>
      <c r="V22" s="690"/>
      <c r="W22" s="1025"/>
      <c r="X22" s="1030"/>
      <c r="Y22" s="694">
        <f t="shared" si="6"/>
        <v>0</v>
      </c>
      <c r="Z22" s="690"/>
      <c r="AA22" s="690"/>
      <c r="AB22" s="695">
        <f t="shared" si="7"/>
        <v>0</v>
      </c>
      <c r="AC22" s="1035"/>
      <c r="AD22" s="690"/>
      <c r="AE22" s="1025"/>
      <c r="AF22" s="1030"/>
      <c r="AG22" s="690"/>
      <c r="AH22" s="690"/>
      <c r="AI22" s="696">
        <f t="shared" si="8"/>
        <v>0</v>
      </c>
      <c r="AJ22" s="697">
        <f t="shared" si="9"/>
        <v>0</v>
      </c>
      <c r="AK22" s="698"/>
      <c r="AL22" s="698"/>
    </row>
    <row r="23" spans="1:38" s="700" customFormat="1" ht="12.75" customHeight="1">
      <c r="A23" s="686" t="s">
        <v>202</v>
      </c>
      <c r="B23" s="686" t="s">
        <v>392</v>
      </c>
      <c r="C23" s="687" t="s">
        <v>89</v>
      </c>
      <c r="D23" s="687"/>
      <c r="E23" s="688">
        <v>100751</v>
      </c>
      <c r="F23" s="689">
        <v>1</v>
      </c>
      <c r="G23" s="1025">
        <v>130327880</v>
      </c>
      <c r="H23" s="690">
        <v>128573083</v>
      </c>
      <c r="I23" s="1030"/>
      <c r="J23" s="690"/>
      <c r="K23" s="1030"/>
      <c r="L23" s="690"/>
      <c r="M23" s="1025">
        <v>333128490</v>
      </c>
      <c r="N23" s="1030">
        <v>3029139</v>
      </c>
      <c r="O23" s="692">
        <f t="shared" si="2"/>
        <v>336157629</v>
      </c>
      <c r="P23" s="690">
        <v>335382840</v>
      </c>
      <c r="Q23" s="690">
        <v>3029139</v>
      </c>
      <c r="R23" s="691">
        <f t="shared" si="3"/>
        <v>338411979</v>
      </c>
      <c r="S23" s="692">
        <f t="shared" si="4"/>
        <v>463456370</v>
      </c>
      <c r="T23" s="693">
        <f t="shared" si="5"/>
        <v>463955923</v>
      </c>
      <c r="U23" s="1035"/>
      <c r="V23" s="690"/>
      <c r="W23" s="1025"/>
      <c r="X23" s="1030"/>
      <c r="Y23" s="694">
        <f t="shared" si="6"/>
        <v>0</v>
      </c>
      <c r="Z23" s="690"/>
      <c r="AA23" s="690"/>
      <c r="AB23" s="695">
        <f t="shared" si="7"/>
        <v>0</v>
      </c>
      <c r="AC23" s="1035"/>
      <c r="AD23" s="690"/>
      <c r="AE23" s="1025"/>
      <c r="AF23" s="1030"/>
      <c r="AG23" s="690"/>
      <c r="AH23" s="690"/>
      <c r="AI23" s="696">
        <f t="shared" si="8"/>
        <v>463456370</v>
      </c>
      <c r="AJ23" s="697">
        <f t="shared" si="9"/>
        <v>463955923</v>
      </c>
      <c r="AK23" s="698"/>
      <c r="AL23" s="698"/>
    </row>
    <row r="24" spans="1:38" s="700" customFormat="1" ht="12.75" customHeight="1">
      <c r="A24" s="686" t="s">
        <v>202</v>
      </c>
      <c r="B24" s="686" t="s">
        <v>408</v>
      </c>
      <c r="C24" s="699" t="s">
        <v>90</v>
      </c>
      <c r="D24" s="699"/>
      <c r="E24" s="688">
        <v>100751</v>
      </c>
      <c r="F24" s="689">
        <v>1</v>
      </c>
      <c r="G24" s="1025"/>
      <c r="H24" s="690"/>
      <c r="I24" s="1030"/>
      <c r="J24" s="690"/>
      <c r="K24" s="1030"/>
      <c r="L24" s="690"/>
      <c r="M24" s="1025"/>
      <c r="N24" s="1030"/>
      <c r="O24" s="692">
        <f t="shared" si="2"/>
        <v>0</v>
      </c>
      <c r="P24" s="690"/>
      <c r="Q24" s="690"/>
      <c r="R24" s="691">
        <f t="shared" si="3"/>
        <v>0</v>
      </c>
      <c r="S24" s="692">
        <f t="shared" si="4"/>
        <v>0</v>
      </c>
      <c r="T24" s="693">
        <f t="shared" si="5"/>
        <v>0</v>
      </c>
      <c r="U24" s="1035"/>
      <c r="V24" s="690"/>
      <c r="W24" s="1025"/>
      <c r="X24" s="1030"/>
      <c r="Y24" s="694">
        <f t="shared" si="6"/>
        <v>0</v>
      </c>
      <c r="Z24" s="690"/>
      <c r="AA24" s="690"/>
      <c r="AB24" s="695">
        <f t="shared" si="7"/>
        <v>0</v>
      </c>
      <c r="AC24" s="1035">
        <v>7853227</v>
      </c>
      <c r="AD24" s="690">
        <v>8424705</v>
      </c>
      <c r="AE24" s="1025">
        <v>1466158</v>
      </c>
      <c r="AF24" s="1030"/>
      <c r="AG24" s="818">
        <v>1680225</v>
      </c>
      <c r="AH24" s="690"/>
      <c r="AI24" s="696">
        <f t="shared" si="8"/>
        <v>9319385</v>
      </c>
      <c r="AJ24" s="697">
        <f t="shared" si="9"/>
        <v>10104930</v>
      </c>
      <c r="AK24" s="698"/>
      <c r="AL24" s="698"/>
    </row>
    <row r="25" spans="1:38" s="700" customFormat="1" ht="12.75" customHeight="1">
      <c r="A25" s="686" t="s">
        <v>202</v>
      </c>
      <c r="B25" s="686" t="s">
        <v>394</v>
      </c>
      <c r="C25" s="699" t="s">
        <v>451</v>
      </c>
      <c r="D25" s="699"/>
      <c r="E25" s="688">
        <v>100751</v>
      </c>
      <c r="F25" s="689">
        <v>1</v>
      </c>
      <c r="G25" s="1025"/>
      <c r="H25" s="690"/>
      <c r="I25" s="1030"/>
      <c r="J25" s="690"/>
      <c r="K25" s="1030"/>
      <c r="L25" s="690"/>
      <c r="M25" s="1025"/>
      <c r="N25" s="1030"/>
      <c r="O25" s="692">
        <f t="shared" si="2"/>
        <v>0</v>
      </c>
      <c r="P25" s="690"/>
      <c r="Q25" s="690"/>
      <c r="R25" s="691">
        <f t="shared" si="3"/>
        <v>0</v>
      </c>
      <c r="S25" s="692">
        <f t="shared" si="4"/>
        <v>0</v>
      </c>
      <c r="T25" s="693">
        <f t="shared" si="5"/>
        <v>0</v>
      </c>
      <c r="U25" s="1035"/>
      <c r="V25" s="690"/>
      <c r="W25" s="1025"/>
      <c r="X25" s="1030"/>
      <c r="Y25" s="694">
        <f t="shared" si="6"/>
        <v>0</v>
      </c>
      <c r="Z25" s="690"/>
      <c r="AA25" s="690"/>
      <c r="AB25" s="695">
        <f t="shared" si="7"/>
        <v>0</v>
      </c>
      <c r="AC25" s="1035"/>
      <c r="AD25" s="690"/>
      <c r="AE25" s="1025"/>
      <c r="AF25" s="1030"/>
      <c r="AG25" s="690"/>
      <c r="AH25" s="690"/>
      <c r="AI25" s="696">
        <f t="shared" si="8"/>
        <v>0</v>
      </c>
      <c r="AJ25" s="697">
        <f t="shared" si="9"/>
        <v>0</v>
      </c>
      <c r="AK25" s="698"/>
      <c r="AL25" s="698"/>
    </row>
    <row r="26" spans="1:38" s="700" customFormat="1" ht="12.75" customHeight="1">
      <c r="A26" s="686" t="s">
        <v>202</v>
      </c>
      <c r="B26" s="686" t="s">
        <v>394</v>
      </c>
      <c r="C26" s="701" t="s">
        <v>304</v>
      </c>
      <c r="D26" s="701"/>
      <c r="E26" s="688">
        <v>100751</v>
      </c>
      <c r="F26" s="689">
        <v>1</v>
      </c>
      <c r="G26" s="1025"/>
      <c r="H26" s="690"/>
      <c r="I26" s="1030">
        <v>199855</v>
      </c>
      <c r="J26" s="690">
        <v>198143</v>
      </c>
      <c r="K26" s="1030"/>
      <c r="L26" s="690"/>
      <c r="M26" s="1025"/>
      <c r="N26" s="1030"/>
      <c r="O26" s="692">
        <f t="shared" si="2"/>
        <v>0</v>
      </c>
      <c r="P26" s="690"/>
      <c r="Q26" s="690"/>
      <c r="R26" s="691">
        <f t="shared" si="3"/>
        <v>0</v>
      </c>
      <c r="S26" s="692">
        <f t="shared" si="4"/>
        <v>199855</v>
      </c>
      <c r="T26" s="693">
        <f t="shared" si="5"/>
        <v>198143</v>
      </c>
      <c r="U26" s="1035"/>
      <c r="V26" s="690"/>
      <c r="W26" s="1025"/>
      <c r="X26" s="1030"/>
      <c r="Y26" s="694">
        <f t="shared" si="6"/>
        <v>0</v>
      </c>
      <c r="Z26" s="690"/>
      <c r="AA26" s="690"/>
      <c r="AB26" s="695">
        <f t="shared" si="7"/>
        <v>0</v>
      </c>
      <c r="AC26" s="1035"/>
      <c r="AD26" s="690"/>
      <c r="AE26" s="1025"/>
      <c r="AF26" s="1030"/>
      <c r="AG26" s="690"/>
      <c r="AH26" s="690"/>
      <c r="AI26" s="696">
        <f t="shared" si="8"/>
        <v>199855</v>
      </c>
      <c r="AJ26" s="697">
        <f t="shared" si="9"/>
        <v>198143</v>
      </c>
      <c r="AK26" s="698"/>
      <c r="AL26" s="698"/>
    </row>
    <row r="27" spans="1:38" s="700" customFormat="1" ht="12.75" customHeight="1">
      <c r="A27" s="686" t="s">
        <v>202</v>
      </c>
      <c r="B27" s="686" t="s">
        <v>394</v>
      </c>
      <c r="C27" s="701" t="s">
        <v>92</v>
      </c>
      <c r="D27" s="701"/>
      <c r="E27" s="688">
        <v>100751</v>
      </c>
      <c r="F27" s="689">
        <v>1</v>
      </c>
      <c r="G27" s="1025"/>
      <c r="H27" s="690"/>
      <c r="I27" s="1030">
        <v>159884</v>
      </c>
      <c r="J27" s="690">
        <v>231264</v>
      </c>
      <c r="K27" s="1030"/>
      <c r="L27" s="690"/>
      <c r="M27" s="1025"/>
      <c r="N27" s="1030"/>
      <c r="O27" s="692">
        <f t="shared" si="2"/>
        <v>0</v>
      </c>
      <c r="P27" s="690"/>
      <c r="Q27" s="690"/>
      <c r="R27" s="691">
        <f t="shared" si="3"/>
        <v>0</v>
      </c>
      <c r="S27" s="692">
        <f t="shared" si="4"/>
        <v>159884</v>
      </c>
      <c r="T27" s="693">
        <f t="shared" si="5"/>
        <v>231264</v>
      </c>
      <c r="U27" s="1035"/>
      <c r="V27" s="690"/>
      <c r="W27" s="1025"/>
      <c r="X27" s="1030"/>
      <c r="Y27" s="694">
        <f t="shared" si="6"/>
        <v>0</v>
      </c>
      <c r="Z27" s="690"/>
      <c r="AA27" s="690"/>
      <c r="AB27" s="695">
        <f t="shared" si="7"/>
        <v>0</v>
      </c>
      <c r="AC27" s="1035"/>
      <c r="AD27" s="690"/>
      <c r="AE27" s="1025"/>
      <c r="AF27" s="1030"/>
      <c r="AG27" s="690"/>
      <c r="AH27" s="690"/>
      <c r="AI27" s="696">
        <f t="shared" si="8"/>
        <v>159884</v>
      </c>
      <c r="AJ27" s="697">
        <f t="shared" si="9"/>
        <v>231264</v>
      </c>
      <c r="AK27" s="698"/>
      <c r="AL27" s="698"/>
    </row>
    <row r="28" spans="1:38" s="700" customFormat="1" ht="12.75" customHeight="1">
      <c r="A28" s="686" t="s">
        <v>202</v>
      </c>
      <c r="B28" s="686" t="s">
        <v>395</v>
      </c>
      <c r="C28" s="699" t="s">
        <v>386</v>
      </c>
      <c r="D28" s="699"/>
      <c r="E28" s="688">
        <v>100751</v>
      </c>
      <c r="F28" s="689">
        <v>1</v>
      </c>
      <c r="G28" s="1025"/>
      <c r="H28" s="690"/>
      <c r="I28" s="1030"/>
      <c r="J28" s="690"/>
      <c r="K28" s="1030"/>
      <c r="L28" s="690"/>
      <c r="M28" s="1025"/>
      <c r="N28" s="1030"/>
      <c r="O28" s="692">
        <f t="shared" si="2"/>
        <v>0</v>
      </c>
      <c r="P28" s="690"/>
      <c r="Q28" s="690"/>
      <c r="R28" s="691">
        <f t="shared" si="3"/>
        <v>0</v>
      </c>
      <c r="S28" s="692">
        <f t="shared" si="4"/>
        <v>0</v>
      </c>
      <c r="T28" s="693">
        <f t="shared" si="5"/>
        <v>0</v>
      </c>
      <c r="U28" s="1035"/>
      <c r="V28" s="690"/>
      <c r="W28" s="1025"/>
      <c r="X28" s="1030"/>
      <c r="Y28" s="694">
        <f t="shared" si="6"/>
        <v>0</v>
      </c>
      <c r="Z28" s="690"/>
      <c r="AA28" s="690"/>
      <c r="AB28" s="695">
        <f t="shared" si="7"/>
        <v>0</v>
      </c>
      <c r="AC28" s="1035"/>
      <c r="AD28" s="690"/>
      <c r="AE28" s="1025"/>
      <c r="AF28" s="1030"/>
      <c r="AG28" s="690"/>
      <c r="AH28" s="690"/>
      <c r="AI28" s="696">
        <f t="shared" si="8"/>
        <v>0</v>
      </c>
      <c r="AJ28" s="697">
        <f t="shared" si="9"/>
        <v>0</v>
      </c>
      <c r="AK28" s="698"/>
      <c r="AL28" s="698"/>
    </row>
    <row r="29" spans="1:38" s="700" customFormat="1" ht="12.75" customHeight="1">
      <c r="A29" s="686" t="s">
        <v>202</v>
      </c>
      <c r="B29" s="686" t="s">
        <v>395</v>
      </c>
      <c r="C29" s="701" t="s">
        <v>87</v>
      </c>
      <c r="D29" s="701"/>
      <c r="E29" s="688">
        <v>100751</v>
      </c>
      <c r="F29" s="689">
        <v>1</v>
      </c>
      <c r="G29" s="1025"/>
      <c r="H29" s="690"/>
      <c r="I29" s="1155">
        <v>218678</v>
      </c>
      <c r="J29" s="690">
        <v>212118</v>
      </c>
      <c r="K29" s="1030"/>
      <c r="L29" s="690"/>
      <c r="M29" s="1025"/>
      <c r="N29" s="1030"/>
      <c r="O29" s="692">
        <f t="shared" si="2"/>
        <v>0</v>
      </c>
      <c r="P29" s="690"/>
      <c r="Q29" s="690"/>
      <c r="R29" s="691">
        <f t="shared" si="3"/>
        <v>0</v>
      </c>
      <c r="S29" s="692">
        <f t="shared" si="4"/>
        <v>218678</v>
      </c>
      <c r="T29" s="693">
        <f t="shared" si="5"/>
        <v>212118</v>
      </c>
      <c r="U29" s="1035"/>
      <c r="V29" s="690"/>
      <c r="W29" s="1025"/>
      <c r="X29" s="1030"/>
      <c r="Y29" s="694">
        <f t="shared" si="6"/>
        <v>0</v>
      </c>
      <c r="Z29" s="690"/>
      <c r="AA29" s="690"/>
      <c r="AB29" s="695">
        <f t="shared" si="7"/>
        <v>0</v>
      </c>
      <c r="AC29" s="1035"/>
      <c r="AD29" s="690"/>
      <c r="AE29" s="1025"/>
      <c r="AF29" s="1030"/>
      <c r="AG29" s="690"/>
      <c r="AH29" s="690"/>
      <c r="AI29" s="696">
        <f t="shared" si="8"/>
        <v>218678</v>
      </c>
      <c r="AJ29" s="697">
        <f t="shared" si="9"/>
        <v>212118</v>
      </c>
      <c r="AK29" s="698"/>
      <c r="AL29" s="698"/>
    </row>
    <row r="30" spans="1:38" s="700" customFormat="1" ht="12.75" customHeight="1">
      <c r="A30" s="686" t="s">
        <v>202</v>
      </c>
      <c r="B30" s="686" t="s">
        <v>392</v>
      </c>
      <c r="C30" s="703" t="s">
        <v>93</v>
      </c>
      <c r="D30" s="1038" t="s">
        <v>1896</v>
      </c>
      <c r="E30" s="688">
        <v>100663</v>
      </c>
      <c r="F30" s="689">
        <v>1</v>
      </c>
      <c r="G30" s="1025">
        <v>42198570</v>
      </c>
      <c r="H30" s="690">
        <v>40743558</v>
      </c>
      <c r="I30" s="1030"/>
      <c r="J30" s="690"/>
      <c r="K30" s="1030"/>
      <c r="L30" s="690"/>
      <c r="M30" s="1025">
        <v>81648796</v>
      </c>
      <c r="N30" s="1030"/>
      <c r="O30" s="692">
        <f t="shared" si="2"/>
        <v>81648796</v>
      </c>
      <c r="P30" s="690">
        <v>86954810</v>
      </c>
      <c r="Q30" s="690"/>
      <c r="R30" s="691">
        <f t="shared" si="3"/>
        <v>86954810</v>
      </c>
      <c r="S30" s="692">
        <f t="shared" si="4"/>
        <v>123847366</v>
      </c>
      <c r="T30" s="693">
        <f t="shared" si="5"/>
        <v>127698368</v>
      </c>
      <c r="U30" s="1035"/>
      <c r="V30" s="690"/>
      <c r="W30" s="1025"/>
      <c r="X30" s="1030"/>
      <c r="Y30" s="694">
        <f t="shared" si="6"/>
        <v>0</v>
      </c>
      <c r="Z30" s="690"/>
      <c r="AA30" s="690"/>
      <c r="AB30" s="695">
        <f t="shared" si="7"/>
        <v>0</v>
      </c>
      <c r="AC30" s="1035"/>
      <c r="AD30" s="690"/>
      <c r="AE30" s="1025"/>
      <c r="AF30" s="1030"/>
      <c r="AG30" s="690"/>
      <c r="AH30" s="690"/>
      <c r="AI30" s="696">
        <f t="shared" si="8"/>
        <v>123847366</v>
      </c>
      <c r="AJ30" s="697">
        <f t="shared" si="9"/>
        <v>127698368</v>
      </c>
      <c r="AK30" s="698"/>
      <c r="AL30" s="698"/>
    </row>
    <row r="31" spans="1:38" s="700" customFormat="1" ht="12.75" customHeight="1">
      <c r="A31" s="686" t="s">
        <v>202</v>
      </c>
      <c r="B31" s="686" t="s">
        <v>408</v>
      </c>
      <c r="C31" s="699" t="s">
        <v>46</v>
      </c>
      <c r="D31" s="699"/>
      <c r="E31" s="688">
        <v>100663</v>
      </c>
      <c r="F31" s="689">
        <v>1</v>
      </c>
      <c r="G31" s="1025"/>
      <c r="H31" s="690"/>
      <c r="I31" s="1030"/>
      <c r="J31" s="690"/>
      <c r="K31" s="1030"/>
      <c r="L31" s="690"/>
      <c r="M31" s="1025"/>
      <c r="N31" s="1030"/>
      <c r="O31" s="692">
        <f t="shared" si="2"/>
        <v>0</v>
      </c>
      <c r="P31" s="690"/>
      <c r="Q31" s="690"/>
      <c r="R31" s="691">
        <f t="shared" si="3"/>
        <v>0</v>
      </c>
      <c r="S31" s="692">
        <f t="shared" si="4"/>
        <v>0</v>
      </c>
      <c r="T31" s="693">
        <f t="shared" si="5"/>
        <v>0</v>
      </c>
      <c r="U31" s="1035"/>
      <c r="V31" s="690"/>
      <c r="W31" s="1025"/>
      <c r="X31" s="1030"/>
      <c r="Y31" s="694">
        <f t="shared" si="6"/>
        <v>0</v>
      </c>
      <c r="Z31" s="690"/>
      <c r="AA31" s="690"/>
      <c r="AB31" s="695">
        <f t="shared" si="7"/>
        <v>0</v>
      </c>
      <c r="AC31" s="1035"/>
      <c r="AD31" s="690"/>
      <c r="AE31" s="1025"/>
      <c r="AF31" s="1030"/>
      <c r="AG31" s="690"/>
      <c r="AH31" s="690"/>
      <c r="AI31" s="696">
        <f t="shared" si="8"/>
        <v>0</v>
      </c>
      <c r="AJ31" s="697">
        <f t="shared" si="9"/>
        <v>0</v>
      </c>
      <c r="AK31" s="698"/>
      <c r="AL31" s="698"/>
    </row>
    <row r="32" spans="1:38" s="700" customFormat="1" ht="12.75" customHeight="1">
      <c r="A32" s="686" t="s">
        <v>202</v>
      </c>
      <c r="B32" s="686" t="s">
        <v>408</v>
      </c>
      <c r="C32" s="701" t="s">
        <v>94</v>
      </c>
      <c r="D32" s="701"/>
      <c r="E32" s="688">
        <v>100663</v>
      </c>
      <c r="F32" s="689">
        <v>1</v>
      </c>
      <c r="G32" s="1025"/>
      <c r="H32" s="690"/>
      <c r="I32" s="1030"/>
      <c r="J32" s="690"/>
      <c r="K32" s="1030"/>
      <c r="L32" s="690"/>
      <c r="M32" s="1025"/>
      <c r="N32" s="1030"/>
      <c r="O32" s="692">
        <f t="shared" si="2"/>
        <v>0</v>
      </c>
      <c r="P32" s="690"/>
      <c r="Q32" s="690"/>
      <c r="R32" s="691">
        <f t="shared" si="3"/>
        <v>0</v>
      </c>
      <c r="S32" s="692">
        <f t="shared" si="4"/>
        <v>0</v>
      </c>
      <c r="T32" s="693">
        <f t="shared" si="5"/>
        <v>0</v>
      </c>
      <c r="U32" s="1035"/>
      <c r="V32" s="690"/>
      <c r="W32" s="1025"/>
      <c r="X32" s="1030"/>
      <c r="Y32" s="694">
        <f t="shared" si="6"/>
        <v>0</v>
      </c>
      <c r="Z32" s="690"/>
      <c r="AA32" s="690"/>
      <c r="AB32" s="695">
        <f t="shared" si="7"/>
        <v>0</v>
      </c>
      <c r="AC32" s="1035">
        <f>205478090+4087531</f>
        <v>209565621</v>
      </c>
      <c r="AD32" s="690">
        <f>204799817+4052527+138397</f>
        <v>208990741</v>
      </c>
      <c r="AE32" s="1025">
        <v>57792385</v>
      </c>
      <c r="AF32" s="1030"/>
      <c r="AG32" s="818">
        <v>60905453</v>
      </c>
      <c r="AH32" s="690"/>
      <c r="AI32" s="696">
        <f t="shared" si="8"/>
        <v>267358006</v>
      </c>
      <c r="AJ32" s="697">
        <f t="shared" si="9"/>
        <v>269896194</v>
      </c>
      <c r="AK32" s="698"/>
      <c r="AL32" s="698"/>
    </row>
    <row r="33" spans="1:38" s="700" customFormat="1" ht="12.75" customHeight="1">
      <c r="A33" s="686" t="s">
        <v>202</v>
      </c>
      <c r="B33" s="686" t="s">
        <v>408</v>
      </c>
      <c r="C33" s="701" t="s">
        <v>95</v>
      </c>
      <c r="D33" s="701"/>
      <c r="E33" s="688">
        <v>100663</v>
      </c>
      <c r="F33" s="689">
        <v>1</v>
      </c>
      <c r="G33" s="1025"/>
      <c r="H33" s="690"/>
      <c r="I33" s="1030"/>
      <c r="J33" s="690"/>
      <c r="K33" s="1030"/>
      <c r="L33" s="690"/>
      <c r="M33" s="1025"/>
      <c r="N33" s="1030"/>
      <c r="O33" s="692">
        <f t="shared" si="2"/>
        <v>0</v>
      </c>
      <c r="P33" s="690"/>
      <c r="Q33" s="690"/>
      <c r="R33" s="691">
        <f t="shared" si="3"/>
        <v>0</v>
      </c>
      <c r="S33" s="692">
        <f t="shared" si="4"/>
        <v>0</v>
      </c>
      <c r="T33" s="693">
        <f t="shared" si="5"/>
        <v>0</v>
      </c>
      <c r="U33" s="1035"/>
      <c r="V33" s="690"/>
      <c r="W33" s="1025"/>
      <c r="X33" s="1030"/>
      <c r="Y33" s="694">
        <f t="shared" si="6"/>
        <v>0</v>
      </c>
      <c r="Z33" s="690"/>
      <c r="AA33" s="690"/>
      <c r="AB33" s="695">
        <f t="shared" si="7"/>
        <v>0</v>
      </c>
      <c r="AC33" s="1035">
        <v>3436404</v>
      </c>
      <c r="AD33" s="690">
        <v>3406977</v>
      </c>
      <c r="AE33" s="1025"/>
      <c r="AF33" s="1030"/>
      <c r="AG33" s="690"/>
      <c r="AH33" s="690"/>
      <c r="AI33" s="696">
        <f t="shared" si="8"/>
        <v>3436404</v>
      </c>
      <c r="AJ33" s="697">
        <f t="shared" si="9"/>
        <v>3406977</v>
      </c>
      <c r="AK33" s="698"/>
      <c r="AL33" s="698"/>
    </row>
    <row r="34" spans="1:38" s="700" customFormat="1" ht="12.75" customHeight="1">
      <c r="A34" s="686" t="s">
        <v>202</v>
      </c>
      <c r="B34" s="686" t="s">
        <v>408</v>
      </c>
      <c r="C34" s="701" t="s">
        <v>96</v>
      </c>
      <c r="D34" s="701"/>
      <c r="E34" s="688">
        <v>100663</v>
      </c>
      <c r="F34" s="689">
        <v>1</v>
      </c>
      <c r="G34" s="1025"/>
      <c r="H34" s="690"/>
      <c r="I34" s="1030"/>
      <c r="J34" s="690"/>
      <c r="K34" s="1030"/>
      <c r="L34" s="690"/>
      <c r="M34" s="1025"/>
      <c r="N34" s="1030"/>
      <c r="O34" s="692">
        <f t="shared" si="2"/>
        <v>0</v>
      </c>
      <c r="P34" s="690"/>
      <c r="Q34" s="690"/>
      <c r="R34" s="691">
        <f t="shared" si="3"/>
        <v>0</v>
      </c>
      <c r="S34" s="692">
        <f t="shared" si="4"/>
        <v>0</v>
      </c>
      <c r="T34" s="693">
        <f t="shared" si="5"/>
        <v>0</v>
      </c>
      <c r="U34" s="1035"/>
      <c r="V34" s="690"/>
      <c r="W34" s="1025"/>
      <c r="X34" s="1030"/>
      <c r="Y34" s="694">
        <f t="shared" si="6"/>
        <v>0</v>
      </c>
      <c r="Z34" s="690"/>
      <c r="AA34" s="690"/>
      <c r="AB34" s="695">
        <f t="shared" si="7"/>
        <v>0</v>
      </c>
      <c r="AC34" s="1035">
        <v>119913</v>
      </c>
      <c r="AD34" s="690">
        <v>118886</v>
      </c>
      <c r="AE34" s="1025"/>
      <c r="AF34" s="1030"/>
      <c r="AG34" s="690"/>
      <c r="AH34" s="690"/>
      <c r="AI34" s="696">
        <f t="shared" si="8"/>
        <v>119913</v>
      </c>
      <c r="AJ34" s="697">
        <f t="shared" si="9"/>
        <v>118886</v>
      </c>
      <c r="AK34" s="698"/>
      <c r="AL34" s="698"/>
    </row>
    <row r="35" spans="1:38" s="700" customFormat="1" ht="12.75" customHeight="1">
      <c r="A35" s="686" t="s">
        <v>202</v>
      </c>
      <c r="B35" s="686" t="s">
        <v>408</v>
      </c>
      <c r="C35" s="701" t="s">
        <v>489</v>
      </c>
      <c r="D35" s="701"/>
      <c r="E35" s="688">
        <v>100663</v>
      </c>
      <c r="F35" s="689">
        <v>1</v>
      </c>
      <c r="G35" s="1025"/>
      <c r="H35" s="690"/>
      <c r="I35" s="1030"/>
      <c r="J35" s="690"/>
      <c r="K35" s="1030"/>
      <c r="L35" s="690"/>
      <c r="M35" s="1025"/>
      <c r="N35" s="1030"/>
      <c r="O35" s="692">
        <f t="shared" si="2"/>
        <v>0</v>
      </c>
      <c r="P35" s="690"/>
      <c r="Q35" s="690"/>
      <c r="R35" s="691">
        <f t="shared" si="3"/>
        <v>0</v>
      </c>
      <c r="S35" s="692">
        <f t="shared" si="4"/>
        <v>0</v>
      </c>
      <c r="T35" s="693">
        <f t="shared" si="5"/>
        <v>0</v>
      </c>
      <c r="U35" s="1035"/>
      <c r="V35" s="690"/>
      <c r="W35" s="1025"/>
      <c r="X35" s="1030"/>
      <c r="Y35" s="694">
        <f t="shared" si="6"/>
        <v>0</v>
      </c>
      <c r="Z35" s="690"/>
      <c r="AA35" s="690"/>
      <c r="AB35" s="695">
        <f t="shared" si="7"/>
        <v>0</v>
      </c>
      <c r="AC35" s="1035">
        <v>226250</v>
      </c>
      <c r="AD35" s="690">
        <v>242500</v>
      </c>
      <c r="AE35" s="1025"/>
      <c r="AF35" s="1030"/>
      <c r="AG35" s="690"/>
      <c r="AH35" s="690"/>
      <c r="AI35" s="696">
        <f t="shared" si="8"/>
        <v>226250</v>
      </c>
      <c r="AJ35" s="697">
        <f t="shared" si="9"/>
        <v>242500</v>
      </c>
      <c r="AK35" s="698"/>
      <c r="AL35" s="698"/>
    </row>
    <row r="36" spans="1:38" s="700" customFormat="1" ht="12.75" customHeight="1">
      <c r="A36" s="686" t="s">
        <v>202</v>
      </c>
      <c r="B36" s="686" t="s">
        <v>394</v>
      </c>
      <c r="C36" s="699" t="s">
        <v>451</v>
      </c>
      <c r="D36" s="699"/>
      <c r="E36" s="688">
        <v>100663</v>
      </c>
      <c r="F36" s="689">
        <v>1</v>
      </c>
      <c r="G36" s="1025"/>
      <c r="H36" s="690"/>
      <c r="I36" s="1030"/>
      <c r="J36" s="690"/>
      <c r="K36" s="1030"/>
      <c r="L36" s="690"/>
      <c r="M36" s="1025"/>
      <c r="N36" s="1030"/>
      <c r="O36" s="692">
        <f t="shared" si="2"/>
        <v>0</v>
      </c>
      <c r="P36" s="690"/>
      <c r="Q36" s="690"/>
      <c r="R36" s="691">
        <f t="shared" si="3"/>
        <v>0</v>
      </c>
      <c r="S36" s="692">
        <f t="shared" si="4"/>
        <v>0</v>
      </c>
      <c r="T36" s="693">
        <f t="shared" si="5"/>
        <v>0</v>
      </c>
      <c r="U36" s="1035"/>
      <c r="V36" s="690"/>
      <c r="W36" s="1025"/>
      <c r="X36" s="1030"/>
      <c r="Y36" s="694">
        <f t="shared" si="6"/>
        <v>0</v>
      </c>
      <c r="Z36" s="690"/>
      <c r="AA36" s="690"/>
      <c r="AB36" s="695">
        <f t="shared" si="7"/>
        <v>0</v>
      </c>
      <c r="AC36" s="1035"/>
      <c r="AD36" s="690"/>
      <c r="AE36" s="1025"/>
      <c r="AF36" s="1030"/>
      <c r="AG36" s="690"/>
      <c r="AH36" s="690"/>
      <c r="AI36" s="696">
        <f t="shared" si="8"/>
        <v>0</v>
      </c>
      <c r="AJ36" s="697">
        <f t="shared" si="9"/>
        <v>0</v>
      </c>
      <c r="AK36" s="698"/>
      <c r="AL36" s="698"/>
    </row>
    <row r="37" spans="1:38" s="700" customFormat="1" ht="12.75" customHeight="1">
      <c r="A37" s="686" t="s">
        <v>202</v>
      </c>
      <c r="B37" s="686" t="s">
        <v>394</v>
      </c>
      <c r="C37" s="701" t="s">
        <v>97</v>
      </c>
      <c r="D37" s="701"/>
      <c r="E37" s="688">
        <v>100663</v>
      </c>
      <c r="F37" s="689">
        <v>1</v>
      </c>
      <c r="G37" s="1025"/>
      <c r="H37" s="690"/>
      <c r="I37" s="1030">
        <v>399710</v>
      </c>
      <c r="J37" s="690">
        <v>396287</v>
      </c>
      <c r="K37" s="1030"/>
      <c r="L37" s="690"/>
      <c r="M37" s="1025"/>
      <c r="N37" s="1030"/>
      <c r="O37" s="692">
        <f t="shared" si="2"/>
        <v>0</v>
      </c>
      <c r="P37" s="690"/>
      <c r="Q37" s="690"/>
      <c r="R37" s="691">
        <f t="shared" si="3"/>
        <v>0</v>
      </c>
      <c r="S37" s="692">
        <f t="shared" si="4"/>
        <v>399710</v>
      </c>
      <c r="T37" s="693">
        <f t="shared" si="5"/>
        <v>396287</v>
      </c>
      <c r="U37" s="1035"/>
      <c r="V37" s="690"/>
      <c r="W37" s="1025"/>
      <c r="X37" s="1030"/>
      <c r="Y37" s="694">
        <f t="shared" si="6"/>
        <v>0</v>
      </c>
      <c r="Z37" s="690"/>
      <c r="AA37" s="690"/>
      <c r="AB37" s="695">
        <f t="shared" si="7"/>
        <v>0</v>
      </c>
      <c r="AC37" s="1035"/>
      <c r="AD37" s="690"/>
      <c r="AE37" s="1025"/>
      <c r="AF37" s="1030"/>
      <c r="AG37" s="690"/>
      <c r="AH37" s="690"/>
      <c r="AI37" s="696">
        <f t="shared" si="8"/>
        <v>399710</v>
      </c>
      <c r="AJ37" s="697">
        <f t="shared" si="9"/>
        <v>396287</v>
      </c>
      <c r="AK37" s="698"/>
      <c r="AL37" s="698"/>
    </row>
    <row r="38" spans="1:38" s="700" customFormat="1" ht="12.75" customHeight="1">
      <c r="A38" s="686" t="s">
        <v>202</v>
      </c>
      <c r="B38" s="686" t="s">
        <v>394</v>
      </c>
      <c r="C38" s="701" t="s">
        <v>305</v>
      </c>
      <c r="D38" s="701"/>
      <c r="E38" s="688">
        <v>100663</v>
      </c>
      <c r="F38" s="689">
        <v>1</v>
      </c>
      <c r="G38" s="1025"/>
      <c r="H38" s="690"/>
      <c r="I38" s="1030">
        <v>139899</v>
      </c>
      <c r="J38" s="690">
        <v>138700</v>
      </c>
      <c r="K38" s="1030"/>
      <c r="L38" s="690"/>
      <c r="M38" s="1025"/>
      <c r="N38" s="1030"/>
      <c r="O38" s="692">
        <f t="shared" si="2"/>
        <v>0</v>
      </c>
      <c r="P38" s="690"/>
      <c r="Q38" s="690"/>
      <c r="R38" s="691">
        <f t="shared" si="3"/>
        <v>0</v>
      </c>
      <c r="S38" s="692">
        <f t="shared" si="4"/>
        <v>139899</v>
      </c>
      <c r="T38" s="693">
        <f t="shared" si="5"/>
        <v>138700</v>
      </c>
      <c r="U38" s="1035"/>
      <c r="V38" s="690"/>
      <c r="W38" s="1025"/>
      <c r="X38" s="1030"/>
      <c r="Y38" s="694">
        <f t="shared" si="6"/>
        <v>0</v>
      </c>
      <c r="Z38" s="690"/>
      <c r="AA38" s="690"/>
      <c r="AB38" s="695">
        <f t="shared" si="7"/>
        <v>0</v>
      </c>
      <c r="AC38" s="1035"/>
      <c r="AD38" s="690"/>
      <c r="AE38" s="1025"/>
      <c r="AF38" s="1030"/>
      <c r="AG38" s="690"/>
      <c r="AH38" s="690"/>
      <c r="AI38" s="696">
        <f t="shared" si="8"/>
        <v>139899</v>
      </c>
      <c r="AJ38" s="697">
        <f t="shared" si="9"/>
        <v>138700</v>
      </c>
      <c r="AK38" s="698"/>
      <c r="AL38" s="698"/>
    </row>
    <row r="39" spans="1:38" s="700" customFormat="1" ht="12.75" customHeight="1">
      <c r="A39" s="686" t="s">
        <v>202</v>
      </c>
      <c r="B39" s="686" t="s">
        <v>394</v>
      </c>
      <c r="C39" s="701" t="s">
        <v>13</v>
      </c>
      <c r="D39" s="701"/>
      <c r="E39" s="688">
        <v>100663</v>
      </c>
      <c r="F39" s="689">
        <v>1</v>
      </c>
      <c r="G39" s="1025"/>
      <c r="H39" s="690"/>
      <c r="I39" s="1030"/>
      <c r="J39" s="690"/>
      <c r="K39" s="1030"/>
      <c r="L39" s="690"/>
      <c r="M39" s="1025"/>
      <c r="N39" s="1030"/>
      <c r="O39" s="692">
        <f t="shared" si="2"/>
        <v>0</v>
      </c>
      <c r="P39" s="690"/>
      <c r="Q39" s="690"/>
      <c r="R39" s="691">
        <f t="shared" si="3"/>
        <v>0</v>
      </c>
      <c r="S39" s="692">
        <f t="shared" si="4"/>
        <v>0</v>
      </c>
      <c r="T39" s="693">
        <f t="shared" si="5"/>
        <v>0</v>
      </c>
      <c r="U39" s="1035"/>
      <c r="V39" s="690"/>
      <c r="W39" s="1025"/>
      <c r="X39" s="1030"/>
      <c r="Y39" s="694">
        <f t="shared" si="6"/>
        <v>0</v>
      </c>
      <c r="Z39" s="690"/>
      <c r="AA39" s="690"/>
      <c r="AB39" s="695">
        <f t="shared" si="7"/>
        <v>0</v>
      </c>
      <c r="AC39" s="1035"/>
      <c r="AD39" s="690"/>
      <c r="AE39" s="1025"/>
      <c r="AF39" s="1030"/>
      <c r="AG39" s="690"/>
      <c r="AH39" s="690"/>
      <c r="AI39" s="696">
        <f t="shared" si="8"/>
        <v>0</v>
      </c>
      <c r="AJ39" s="697">
        <f t="shared" si="9"/>
        <v>0</v>
      </c>
      <c r="AK39" s="698"/>
      <c r="AL39" s="698"/>
    </row>
    <row r="40" spans="1:38" s="700" customFormat="1" ht="12.75" customHeight="1">
      <c r="A40" s="686" t="s">
        <v>202</v>
      </c>
      <c r="B40" s="686" t="s">
        <v>395</v>
      </c>
      <c r="C40" s="699" t="s">
        <v>386</v>
      </c>
      <c r="D40" s="699"/>
      <c r="E40" s="688">
        <v>100663</v>
      </c>
      <c r="F40" s="689">
        <v>1</v>
      </c>
      <c r="G40" s="1025"/>
      <c r="H40" s="690"/>
      <c r="I40" s="1030"/>
      <c r="J40" s="690"/>
      <c r="K40" s="1030"/>
      <c r="L40" s="690"/>
      <c r="M40" s="1025"/>
      <c r="N40" s="1030"/>
      <c r="O40" s="692">
        <f t="shared" si="2"/>
        <v>0</v>
      </c>
      <c r="P40" s="690"/>
      <c r="Q40" s="690"/>
      <c r="R40" s="691">
        <f t="shared" si="3"/>
        <v>0</v>
      </c>
      <c r="S40" s="692">
        <f t="shared" si="4"/>
        <v>0</v>
      </c>
      <c r="T40" s="693">
        <f t="shared" si="5"/>
        <v>0</v>
      </c>
      <c r="U40" s="1035"/>
      <c r="V40" s="690"/>
      <c r="W40" s="1025"/>
      <c r="X40" s="1030"/>
      <c r="Y40" s="694">
        <f t="shared" si="6"/>
        <v>0</v>
      </c>
      <c r="Z40" s="690"/>
      <c r="AA40" s="690"/>
      <c r="AB40" s="695">
        <f t="shared" si="7"/>
        <v>0</v>
      </c>
      <c r="AC40" s="1035"/>
      <c r="AD40" s="690"/>
      <c r="AE40" s="1025"/>
      <c r="AF40" s="1030"/>
      <c r="AG40" s="690"/>
      <c r="AH40" s="690"/>
      <c r="AI40" s="696">
        <f t="shared" si="8"/>
        <v>0</v>
      </c>
      <c r="AJ40" s="697">
        <f t="shared" si="9"/>
        <v>0</v>
      </c>
      <c r="AK40" s="698"/>
      <c r="AL40" s="698"/>
    </row>
    <row r="41" spans="1:38" s="700" customFormat="1" ht="12.75" customHeight="1">
      <c r="A41" s="686" t="s">
        <v>202</v>
      </c>
      <c r="B41" s="686" t="s">
        <v>395</v>
      </c>
      <c r="C41" s="701" t="s">
        <v>87</v>
      </c>
      <c r="D41" s="701"/>
      <c r="E41" s="688">
        <v>100663</v>
      </c>
      <c r="F41" s="689">
        <v>1</v>
      </c>
      <c r="G41" s="1025"/>
      <c r="H41" s="690"/>
      <c r="I41" s="1155">
        <v>302690</v>
      </c>
      <c r="J41" s="690">
        <v>293609</v>
      </c>
      <c r="K41" s="1030"/>
      <c r="L41" s="690"/>
      <c r="M41" s="1025"/>
      <c r="N41" s="1030"/>
      <c r="O41" s="692">
        <f t="shared" si="2"/>
        <v>0</v>
      </c>
      <c r="P41" s="690"/>
      <c r="Q41" s="690"/>
      <c r="R41" s="691">
        <f t="shared" si="3"/>
        <v>0</v>
      </c>
      <c r="S41" s="692">
        <f t="shared" si="4"/>
        <v>302690</v>
      </c>
      <c r="T41" s="693">
        <f t="shared" si="5"/>
        <v>293609</v>
      </c>
      <c r="U41" s="1035"/>
      <c r="V41" s="690"/>
      <c r="W41" s="1025"/>
      <c r="X41" s="1030"/>
      <c r="Y41" s="694">
        <f t="shared" si="6"/>
        <v>0</v>
      </c>
      <c r="Z41" s="690"/>
      <c r="AA41" s="690"/>
      <c r="AB41" s="695">
        <f t="shared" si="7"/>
        <v>0</v>
      </c>
      <c r="AC41" s="1035"/>
      <c r="AD41" s="690"/>
      <c r="AE41" s="1025"/>
      <c r="AF41" s="1030"/>
      <c r="AG41" s="690"/>
      <c r="AH41" s="690"/>
      <c r="AI41" s="696">
        <f t="shared" si="8"/>
        <v>302690</v>
      </c>
      <c r="AJ41" s="697">
        <f t="shared" si="9"/>
        <v>293609</v>
      </c>
      <c r="AK41" s="698"/>
      <c r="AL41" s="698"/>
    </row>
    <row r="42" spans="1:38" s="700" customFormat="1" ht="12.75" customHeight="1">
      <c r="A42" s="686" t="s">
        <v>202</v>
      </c>
      <c r="B42" s="686" t="s">
        <v>392</v>
      </c>
      <c r="C42" s="703" t="s">
        <v>280</v>
      </c>
      <c r="D42" s="1038" t="s">
        <v>1897</v>
      </c>
      <c r="E42" s="688">
        <v>100706</v>
      </c>
      <c r="F42" s="689">
        <v>2</v>
      </c>
      <c r="G42" s="1025">
        <f>41172125+1810000+90500</f>
        <v>43072625</v>
      </c>
      <c r="H42" s="690">
        <f>40819546+1794500</f>
        <v>42614046</v>
      </c>
      <c r="I42" s="1030"/>
      <c r="J42" s="690"/>
      <c r="K42" s="1030"/>
      <c r="L42" s="690"/>
      <c r="M42" s="1025">
        <v>57539507</v>
      </c>
      <c r="N42" s="1030"/>
      <c r="O42" s="692">
        <f t="shared" si="2"/>
        <v>57539507</v>
      </c>
      <c r="P42" s="690">
        <v>59821000</v>
      </c>
      <c r="Q42" s="690">
        <v>360000</v>
      </c>
      <c r="R42" s="691">
        <f t="shared" si="3"/>
        <v>60181000</v>
      </c>
      <c r="S42" s="692">
        <f t="shared" si="4"/>
        <v>100612132</v>
      </c>
      <c r="T42" s="693">
        <f t="shared" si="5"/>
        <v>102435046</v>
      </c>
      <c r="U42" s="1035"/>
      <c r="V42" s="690"/>
      <c r="W42" s="1025"/>
      <c r="X42" s="1030"/>
      <c r="Y42" s="694">
        <f t="shared" si="6"/>
        <v>0</v>
      </c>
      <c r="Z42" s="690"/>
      <c r="AA42" s="690"/>
      <c r="AB42" s="695">
        <f t="shared" si="7"/>
        <v>0</v>
      </c>
      <c r="AC42" s="1035"/>
      <c r="AD42" s="690"/>
      <c r="AE42" s="1025"/>
      <c r="AF42" s="1030"/>
      <c r="AG42" s="690"/>
      <c r="AH42" s="690"/>
      <c r="AI42" s="696">
        <f t="shared" si="8"/>
        <v>100612132</v>
      </c>
      <c r="AJ42" s="697">
        <f t="shared" si="9"/>
        <v>102435046</v>
      </c>
      <c r="AK42" s="698"/>
      <c r="AL42" s="698"/>
    </row>
    <row r="43" spans="1:38" s="700" customFormat="1" ht="12.75" customHeight="1">
      <c r="A43" s="686" t="s">
        <v>202</v>
      </c>
      <c r="B43" s="686" t="s">
        <v>394</v>
      </c>
      <c r="C43" s="699" t="s">
        <v>451</v>
      </c>
      <c r="D43" s="699"/>
      <c r="E43" s="688">
        <v>100706</v>
      </c>
      <c r="F43" s="689">
        <v>2</v>
      </c>
      <c r="G43" s="1025"/>
      <c r="H43" s="690"/>
      <c r="I43" s="1030"/>
      <c r="J43" s="690"/>
      <c r="K43" s="1030"/>
      <c r="L43" s="690"/>
      <c r="M43" s="1025"/>
      <c r="N43" s="1030"/>
      <c r="O43" s="692">
        <f t="shared" si="2"/>
        <v>0</v>
      </c>
      <c r="P43" s="690"/>
      <c r="Q43" s="690"/>
      <c r="R43" s="691">
        <f t="shared" si="3"/>
        <v>0</v>
      </c>
      <c r="S43" s="692">
        <f t="shared" si="4"/>
        <v>0</v>
      </c>
      <c r="T43" s="693">
        <f t="shared" si="5"/>
        <v>0</v>
      </c>
      <c r="U43" s="1035"/>
      <c r="V43" s="690"/>
      <c r="W43" s="1025"/>
      <c r="X43" s="1030"/>
      <c r="Y43" s="694">
        <f t="shared" si="6"/>
        <v>0</v>
      </c>
      <c r="Z43" s="690"/>
      <c r="AA43" s="690"/>
      <c r="AB43" s="695">
        <f t="shared" si="7"/>
        <v>0</v>
      </c>
      <c r="AC43" s="1035"/>
      <c r="AD43" s="690"/>
      <c r="AE43" s="1025"/>
      <c r="AF43" s="1030"/>
      <c r="AG43" s="690"/>
      <c r="AH43" s="690"/>
      <c r="AI43" s="696">
        <f t="shared" si="8"/>
        <v>0</v>
      </c>
      <c r="AJ43" s="697">
        <f t="shared" si="9"/>
        <v>0</v>
      </c>
      <c r="AK43" s="698"/>
      <c r="AL43" s="698"/>
    </row>
    <row r="44" spans="1:38" s="700" customFormat="1" ht="12.75" customHeight="1">
      <c r="A44" s="686" t="s">
        <v>202</v>
      </c>
      <c r="B44" s="686" t="s">
        <v>394</v>
      </c>
      <c r="C44" s="701" t="s">
        <v>579</v>
      </c>
      <c r="D44" s="701"/>
      <c r="E44" s="688">
        <v>100706</v>
      </c>
      <c r="F44" s="689">
        <v>2</v>
      </c>
      <c r="G44" s="1025"/>
      <c r="H44" s="690"/>
      <c r="I44" s="1030"/>
      <c r="J44" s="690">
        <v>89725</v>
      </c>
      <c r="K44" s="1030"/>
      <c r="L44" s="690"/>
      <c r="M44" s="1025"/>
      <c r="N44" s="1030"/>
      <c r="O44" s="692">
        <f t="shared" si="2"/>
        <v>0</v>
      </c>
      <c r="P44" s="690"/>
      <c r="Q44" s="690"/>
      <c r="R44" s="691">
        <f t="shared" si="3"/>
        <v>0</v>
      </c>
      <c r="S44" s="692">
        <f t="shared" si="4"/>
        <v>0</v>
      </c>
      <c r="T44" s="693">
        <f t="shared" si="5"/>
        <v>89725</v>
      </c>
      <c r="U44" s="1035"/>
      <c r="V44" s="690"/>
      <c r="W44" s="1025"/>
      <c r="X44" s="1030"/>
      <c r="Y44" s="694">
        <f t="shared" si="6"/>
        <v>0</v>
      </c>
      <c r="Z44" s="690"/>
      <c r="AA44" s="690"/>
      <c r="AB44" s="695">
        <f t="shared" si="7"/>
        <v>0</v>
      </c>
      <c r="AC44" s="1035"/>
      <c r="AD44" s="690"/>
      <c r="AE44" s="1025"/>
      <c r="AF44" s="1030"/>
      <c r="AG44" s="690"/>
      <c r="AH44" s="690"/>
      <c r="AI44" s="696">
        <f t="shared" si="8"/>
        <v>0</v>
      </c>
      <c r="AJ44" s="697">
        <f t="shared" si="9"/>
        <v>89725</v>
      </c>
      <c r="AK44" s="698"/>
      <c r="AL44" s="698"/>
    </row>
    <row r="45" spans="1:38" s="700" customFormat="1" ht="12.75" customHeight="1">
      <c r="A45" s="686" t="s">
        <v>202</v>
      </c>
      <c r="B45" s="686" t="s">
        <v>392</v>
      </c>
      <c r="C45" s="687" t="s">
        <v>281</v>
      </c>
      <c r="D45" s="687"/>
      <c r="E45" s="688">
        <v>100654</v>
      </c>
      <c r="F45" s="689">
        <v>3</v>
      </c>
      <c r="G45" s="1025">
        <v>30819589</v>
      </c>
      <c r="H45" s="690">
        <v>30555664</v>
      </c>
      <c r="I45" s="1030"/>
      <c r="J45" s="690"/>
      <c r="K45" s="1030"/>
      <c r="L45" s="690"/>
      <c r="M45" s="1025">
        <v>39213023</v>
      </c>
      <c r="N45" s="1025">
        <v>624911</v>
      </c>
      <c r="O45" s="692">
        <f t="shared" si="2"/>
        <v>39837934</v>
      </c>
      <c r="P45" s="690">
        <v>45859935</v>
      </c>
      <c r="Q45" s="690">
        <v>646491</v>
      </c>
      <c r="R45" s="691">
        <f t="shared" si="3"/>
        <v>46506426</v>
      </c>
      <c r="S45" s="692">
        <f t="shared" si="4"/>
        <v>70032612</v>
      </c>
      <c r="T45" s="693">
        <f t="shared" si="5"/>
        <v>76415599</v>
      </c>
      <c r="U45" s="1035"/>
      <c r="V45" s="690"/>
      <c r="W45" s="1025"/>
      <c r="X45" s="1030"/>
      <c r="Y45" s="694">
        <f t="shared" si="6"/>
        <v>0</v>
      </c>
      <c r="Z45" s="690"/>
      <c r="AA45" s="690"/>
      <c r="AB45" s="695">
        <f t="shared" si="7"/>
        <v>0</v>
      </c>
      <c r="AC45" s="1035"/>
      <c r="AD45" s="690"/>
      <c r="AE45" s="1025"/>
      <c r="AF45" s="1030"/>
      <c r="AG45" s="690"/>
      <c r="AH45" s="690"/>
      <c r="AI45" s="696">
        <f t="shared" si="8"/>
        <v>70032612</v>
      </c>
      <c r="AJ45" s="697">
        <f t="shared" si="9"/>
        <v>76415599</v>
      </c>
      <c r="AK45" s="698"/>
      <c r="AL45" s="698"/>
    </row>
    <row r="46" spans="1:38" s="700" customFormat="1" ht="12.75" customHeight="1">
      <c r="A46" s="686" t="s">
        <v>202</v>
      </c>
      <c r="B46" s="686" t="s">
        <v>394</v>
      </c>
      <c r="C46" s="699" t="s">
        <v>451</v>
      </c>
      <c r="D46" s="699"/>
      <c r="E46" s="688">
        <v>100654</v>
      </c>
      <c r="F46" s="689">
        <v>1</v>
      </c>
      <c r="G46" s="1025"/>
      <c r="H46" s="690"/>
      <c r="I46" s="1030"/>
      <c r="J46" s="690"/>
      <c r="K46" s="1030"/>
      <c r="L46" s="690"/>
      <c r="M46" s="1025"/>
      <c r="N46" s="1030"/>
      <c r="O46" s="692">
        <f t="shared" si="2"/>
        <v>0</v>
      </c>
      <c r="P46" s="690"/>
      <c r="Q46" s="690"/>
      <c r="R46" s="691">
        <f t="shared" si="3"/>
        <v>0</v>
      </c>
      <c r="S46" s="692">
        <f t="shared" si="4"/>
        <v>0</v>
      </c>
      <c r="T46" s="693">
        <f t="shared" si="5"/>
        <v>0</v>
      </c>
      <c r="U46" s="1035"/>
      <c r="V46" s="690"/>
      <c r="W46" s="1025"/>
      <c r="X46" s="1030"/>
      <c r="Y46" s="694">
        <f t="shared" si="6"/>
        <v>0</v>
      </c>
      <c r="Z46" s="690"/>
      <c r="AA46" s="690"/>
      <c r="AB46" s="695">
        <f t="shared" si="7"/>
        <v>0</v>
      </c>
      <c r="AC46" s="1035"/>
      <c r="AD46" s="690"/>
      <c r="AE46" s="1025"/>
      <c r="AF46" s="1030"/>
      <c r="AG46" s="690"/>
      <c r="AH46" s="690"/>
      <c r="AI46" s="696">
        <f t="shared" si="8"/>
        <v>0</v>
      </c>
      <c r="AJ46" s="697">
        <f t="shared" si="9"/>
        <v>0</v>
      </c>
      <c r="AK46" s="698"/>
      <c r="AL46" s="698"/>
    </row>
    <row r="47" spans="1:38" s="700" customFormat="1" ht="12.75" customHeight="1">
      <c r="A47" s="686" t="s">
        <v>202</v>
      </c>
      <c r="B47" s="686" t="s">
        <v>394</v>
      </c>
      <c r="C47" s="701" t="s">
        <v>283</v>
      </c>
      <c r="D47" s="701"/>
      <c r="E47" s="688">
        <v>100654</v>
      </c>
      <c r="F47" s="689">
        <v>3</v>
      </c>
      <c r="G47" s="1025"/>
      <c r="H47" s="690"/>
      <c r="I47" s="1030">
        <v>39971</v>
      </c>
      <c r="J47" s="690">
        <v>39628</v>
      </c>
      <c r="K47" s="1030"/>
      <c r="L47" s="690"/>
      <c r="M47" s="1025"/>
      <c r="N47" s="1030"/>
      <c r="O47" s="692">
        <f t="shared" si="2"/>
        <v>0</v>
      </c>
      <c r="P47" s="690"/>
      <c r="Q47" s="690"/>
      <c r="R47" s="691">
        <f t="shared" si="3"/>
        <v>0</v>
      </c>
      <c r="S47" s="692">
        <f t="shared" si="4"/>
        <v>39971</v>
      </c>
      <c r="T47" s="693">
        <f t="shared" si="5"/>
        <v>39628</v>
      </c>
      <c r="U47" s="1035"/>
      <c r="V47" s="690"/>
      <c r="W47" s="1025"/>
      <c r="X47" s="1030"/>
      <c r="Y47" s="694">
        <f t="shared" si="6"/>
        <v>0</v>
      </c>
      <c r="Z47" s="690"/>
      <c r="AA47" s="690"/>
      <c r="AB47" s="695">
        <f t="shared" si="7"/>
        <v>0</v>
      </c>
      <c r="AC47" s="1035"/>
      <c r="AD47" s="690"/>
      <c r="AE47" s="1025"/>
      <c r="AF47" s="1030"/>
      <c r="AG47" s="690"/>
      <c r="AH47" s="690"/>
      <c r="AI47" s="696">
        <f t="shared" si="8"/>
        <v>39971</v>
      </c>
      <c r="AJ47" s="697">
        <f t="shared" si="9"/>
        <v>39628</v>
      </c>
      <c r="AK47" s="698"/>
      <c r="AL47" s="698"/>
    </row>
    <row r="48" spans="1:38" s="700" customFormat="1" ht="12.75" customHeight="1">
      <c r="A48" s="686" t="s">
        <v>202</v>
      </c>
      <c r="B48" s="686" t="s">
        <v>395</v>
      </c>
      <c r="C48" s="699" t="s">
        <v>386</v>
      </c>
      <c r="D48" s="699"/>
      <c r="E48" s="688">
        <v>100654</v>
      </c>
      <c r="F48" s="689">
        <v>3</v>
      </c>
      <c r="G48" s="1025"/>
      <c r="H48" s="690"/>
      <c r="I48" s="1030"/>
      <c r="J48" s="690"/>
      <c r="K48" s="1030"/>
      <c r="L48" s="690"/>
      <c r="M48" s="1025"/>
      <c r="N48" s="1030"/>
      <c r="O48" s="692">
        <f t="shared" si="2"/>
        <v>0</v>
      </c>
      <c r="P48" s="690"/>
      <c r="Q48" s="690"/>
      <c r="R48" s="691">
        <f t="shared" si="3"/>
        <v>0</v>
      </c>
      <c r="S48" s="692">
        <f t="shared" si="4"/>
        <v>0</v>
      </c>
      <c r="T48" s="693">
        <f t="shared" si="5"/>
        <v>0</v>
      </c>
      <c r="U48" s="1035"/>
      <c r="V48" s="690"/>
      <c r="W48" s="1025"/>
      <c r="X48" s="1030"/>
      <c r="Y48" s="694">
        <f t="shared" si="6"/>
        <v>0</v>
      </c>
      <c r="Z48" s="690"/>
      <c r="AA48" s="690"/>
      <c r="AB48" s="695">
        <f t="shared" si="7"/>
        <v>0</v>
      </c>
      <c r="AC48" s="1035"/>
      <c r="AD48" s="690"/>
      <c r="AE48" s="1025"/>
      <c r="AF48" s="1030"/>
      <c r="AG48" s="690"/>
      <c r="AH48" s="690"/>
      <c r="AI48" s="696">
        <f t="shared" si="8"/>
        <v>0</v>
      </c>
      <c r="AJ48" s="697">
        <f t="shared" si="9"/>
        <v>0</v>
      </c>
      <c r="AK48" s="698"/>
      <c r="AL48" s="698"/>
    </row>
    <row r="49" spans="1:38" s="700" customFormat="1" ht="12.75" customHeight="1">
      <c r="A49" s="686" t="s">
        <v>202</v>
      </c>
      <c r="B49" s="686" t="s">
        <v>395</v>
      </c>
      <c r="C49" s="701" t="s">
        <v>87</v>
      </c>
      <c r="D49" s="701"/>
      <c r="E49" s="688">
        <v>100654</v>
      </c>
      <c r="F49" s="689">
        <v>3</v>
      </c>
      <c r="G49" s="1025"/>
      <c r="H49" s="690"/>
      <c r="I49" s="1155">
        <v>275872</v>
      </c>
      <c r="J49" s="690">
        <v>267596</v>
      </c>
      <c r="K49" s="1030"/>
      <c r="L49" s="690"/>
      <c r="M49" s="1025"/>
      <c r="N49" s="1030"/>
      <c r="O49" s="692">
        <f t="shared" si="2"/>
        <v>0</v>
      </c>
      <c r="P49" s="690"/>
      <c r="Q49" s="690"/>
      <c r="R49" s="691">
        <f t="shared" si="3"/>
        <v>0</v>
      </c>
      <c r="S49" s="692">
        <f t="shared" si="4"/>
        <v>275872</v>
      </c>
      <c r="T49" s="693">
        <f t="shared" si="5"/>
        <v>267596</v>
      </c>
      <c r="U49" s="1035"/>
      <c r="V49" s="690"/>
      <c r="W49" s="1025"/>
      <c r="X49" s="1030"/>
      <c r="Y49" s="694">
        <f t="shared" si="6"/>
        <v>0</v>
      </c>
      <c r="Z49" s="690"/>
      <c r="AA49" s="690"/>
      <c r="AB49" s="695">
        <f t="shared" si="7"/>
        <v>0</v>
      </c>
      <c r="AC49" s="1035"/>
      <c r="AD49" s="690"/>
      <c r="AE49" s="1025"/>
      <c r="AF49" s="1030"/>
      <c r="AG49" s="690"/>
      <c r="AH49" s="690"/>
      <c r="AI49" s="696">
        <f t="shared" si="8"/>
        <v>275872</v>
      </c>
      <c r="AJ49" s="697">
        <f t="shared" si="9"/>
        <v>267596</v>
      </c>
      <c r="AK49" s="698"/>
      <c r="AL49" s="698"/>
    </row>
    <row r="50" spans="1:38" s="700" customFormat="1" ht="12.75" customHeight="1">
      <c r="A50" s="686" t="s">
        <v>202</v>
      </c>
      <c r="B50" s="686" t="s">
        <v>396</v>
      </c>
      <c r="C50" s="699" t="s">
        <v>490</v>
      </c>
      <c r="D50" s="699"/>
      <c r="E50" s="688">
        <v>100654</v>
      </c>
      <c r="F50" s="689">
        <v>3</v>
      </c>
      <c r="G50" s="1025"/>
      <c r="H50" s="690"/>
      <c r="I50" s="1030">
        <v>5022401</v>
      </c>
      <c r="J50" s="690">
        <v>5427434</v>
      </c>
      <c r="K50" s="1030"/>
      <c r="L50" s="690"/>
      <c r="M50" s="1025"/>
      <c r="N50" s="1030"/>
      <c r="O50" s="692">
        <f t="shared" si="2"/>
        <v>0</v>
      </c>
      <c r="P50" s="690"/>
      <c r="Q50" s="690"/>
      <c r="R50" s="691">
        <f t="shared" si="3"/>
        <v>0</v>
      </c>
      <c r="S50" s="692">
        <f t="shared" si="4"/>
        <v>5022401</v>
      </c>
      <c r="T50" s="693">
        <f t="shared" si="5"/>
        <v>5427434</v>
      </c>
      <c r="U50" s="1035"/>
      <c r="V50" s="690"/>
      <c r="W50" s="1025"/>
      <c r="X50" s="1030"/>
      <c r="Y50" s="694">
        <f t="shared" si="6"/>
        <v>0</v>
      </c>
      <c r="Z50" s="690"/>
      <c r="AA50" s="690"/>
      <c r="AB50" s="695">
        <f t="shared" si="7"/>
        <v>0</v>
      </c>
      <c r="AC50" s="1035"/>
      <c r="AD50" s="690"/>
      <c r="AE50" s="1025"/>
      <c r="AF50" s="1030"/>
      <c r="AG50" s="690"/>
      <c r="AH50" s="690"/>
      <c r="AI50" s="696">
        <f t="shared" si="8"/>
        <v>5022401</v>
      </c>
      <c r="AJ50" s="697">
        <f t="shared" si="9"/>
        <v>5427434</v>
      </c>
      <c r="AK50" s="698"/>
      <c r="AL50" s="698"/>
    </row>
    <row r="51" spans="1:38" s="700" customFormat="1" ht="12.75" customHeight="1">
      <c r="A51" s="686" t="s">
        <v>202</v>
      </c>
      <c r="B51" s="686" t="s">
        <v>396</v>
      </c>
      <c r="C51" s="701" t="s">
        <v>282</v>
      </c>
      <c r="D51" s="701"/>
      <c r="E51" s="688">
        <v>100654</v>
      </c>
      <c r="F51" s="689">
        <v>3</v>
      </c>
      <c r="G51" s="1025"/>
      <c r="H51" s="690"/>
      <c r="I51" s="1030">
        <v>1779430</v>
      </c>
      <c r="J51" s="690">
        <f>4450000/2</f>
        <v>2225000</v>
      </c>
      <c r="K51" s="1030"/>
      <c r="L51" s="690"/>
      <c r="M51" s="1025"/>
      <c r="N51" s="1030"/>
      <c r="O51" s="692">
        <f t="shared" si="2"/>
        <v>0</v>
      </c>
      <c r="P51" s="690"/>
      <c r="Q51" s="690"/>
      <c r="R51" s="691">
        <f t="shared" si="3"/>
        <v>0</v>
      </c>
      <c r="S51" s="692">
        <f t="shared" si="4"/>
        <v>1779430</v>
      </c>
      <c r="T51" s="693">
        <f t="shared" si="5"/>
        <v>2225000</v>
      </c>
      <c r="U51" s="1035"/>
      <c r="V51" s="690"/>
      <c r="W51" s="1025"/>
      <c r="X51" s="1030"/>
      <c r="Y51" s="694">
        <f t="shared" si="6"/>
        <v>0</v>
      </c>
      <c r="Z51" s="690"/>
      <c r="AA51" s="690"/>
      <c r="AB51" s="695">
        <f t="shared" si="7"/>
        <v>0</v>
      </c>
      <c r="AC51" s="1035"/>
      <c r="AD51" s="690"/>
      <c r="AE51" s="1025"/>
      <c r="AF51" s="1030"/>
      <c r="AG51" s="690"/>
      <c r="AH51" s="690"/>
      <c r="AI51" s="696">
        <f t="shared" si="8"/>
        <v>1779430</v>
      </c>
      <c r="AJ51" s="697">
        <f t="shared" si="9"/>
        <v>2225000</v>
      </c>
      <c r="AK51" s="698"/>
      <c r="AL51" s="698"/>
    </row>
    <row r="52" spans="1:38" s="700" customFormat="1" ht="12.75" customHeight="1">
      <c r="A52" s="686" t="s">
        <v>202</v>
      </c>
      <c r="B52" s="686" t="s">
        <v>392</v>
      </c>
      <c r="C52" s="687" t="s">
        <v>284</v>
      </c>
      <c r="D52" s="687"/>
      <c r="E52" s="688">
        <v>101480</v>
      </c>
      <c r="F52" s="689">
        <v>3</v>
      </c>
      <c r="G52" s="1025">
        <v>33976506</v>
      </c>
      <c r="H52" s="690">
        <v>34025046</v>
      </c>
      <c r="I52" s="1030"/>
      <c r="J52" s="690"/>
      <c r="K52" s="1030"/>
      <c r="L52" s="690"/>
      <c r="M52" s="1025">
        <v>46840161</v>
      </c>
      <c r="N52" s="1030">
        <v>4793591</v>
      </c>
      <c r="O52" s="692">
        <f t="shared" si="2"/>
        <v>51633752</v>
      </c>
      <c r="P52" s="690">
        <v>51185302</v>
      </c>
      <c r="Q52" s="690">
        <v>4907371</v>
      </c>
      <c r="R52" s="691">
        <f t="shared" si="3"/>
        <v>56092673</v>
      </c>
      <c r="S52" s="692">
        <f t="shared" si="4"/>
        <v>80816667</v>
      </c>
      <c r="T52" s="693">
        <f t="shared" si="5"/>
        <v>85210348</v>
      </c>
      <c r="U52" s="1035"/>
      <c r="V52" s="690"/>
      <c r="W52" s="1025"/>
      <c r="X52" s="1030"/>
      <c r="Y52" s="694">
        <f t="shared" si="6"/>
        <v>0</v>
      </c>
      <c r="Z52" s="690"/>
      <c r="AA52" s="690"/>
      <c r="AB52" s="695">
        <f t="shared" si="7"/>
        <v>0</v>
      </c>
      <c r="AC52" s="1035"/>
      <c r="AD52" s="690"/>
      <c r="AE52" s="1025"/>
      <c r="AF52" s="1030"/>
      <c r="AG52" s="690"/>
      <c r="AH52" s="690"/>
      <c r="AI52" s="696">
        <f t="shared" si="8"/>
        <v>80816667</v>
      </c>
      <c r="AJ52" s="697">
        <f t="shared" si="9"/>
        <v>85210348</v>
      </c>
      <c r="AK52" s="698"/>
      <c r="AL52" s="698"/>
    </row>
    <row r="53" spans="1:38" s="700" customFormat="1" ht="12.75" customHeight="1">
      <c r="A53" s="686" t="s">
        <v>202</v>
      </c>
      <c r="B53" s="686" t="s">
        <v>394</v>
      </c>
      <c r="C53" s="699" t="s">
        <v>451</v>
      </c>
      <c r="D53" s="699"/>
      <c r="E53" s="688">
        <v>101480</v>
      </c>
      <c r="F53" s="689">
        <v>3</v>
      </c>
      <c r="G53" s="1025"/>
      <c r="H53" s="690"/>
      <c r="I53" s="1030"/>
      <c r="J53" s="690"/>
      <c r="K53" s="1030"/>
      <c r="L53" s="690"/>
      <c r="M53" s="1025"/>
      <c r="N53" s="1030"/>
      <c r="O53" s="692">
        <f t="shared" si="2"/>
        <v>0</v>
      </c>
      <c r="P53" s="690"/>
      <c r="Q53" s="690"/>
      <c r="R53" s="691">
        <f t="shared" si="3"/>
        <v>0</v>
      </c>
      <c r="S53" s="692">
        <f t="shared" si="4"/>
        <v>0</v>
      </c>
      <c r="T53" s="693">
        <f t="shared" si="5"/>
        <v>0</v>
      </c>
      <c r="U53" s="1035"/>
      <c r="V53" s="690"/>
      <c r="W53" s="1025"/>
      <c r="X53" s="1030"/>
      <c r="Y53" s="694">
        <f t="shared" si="6"/>
        <v>0</v>
      </c>
      <c r="Z53" s="690"/>
      <c r="AA53" s="690"/>
      <c r="AB53" s="695">
        <f t="shared" si="7"/>
        <v>0</v>
      </c>
      <c r="AC53" s="1035"/>
      <c r="AD53" s="690"/>
      <c r="AE53" s="1025"/>
      <c r="AF53" s="1030"/>
      <c r="AG53" s="690"/>
      <c r="AH53" s="690"/>
      <c r="AI53" s="696">
        <f t="shared" si="8"/>
        <v>0</v>
      </c>
      <c r="AJ53" s="697">
        <f t="shared" si="9"/>
        <v>0</v>
      </c>
      <c r="AK53" s="698"/>
      <c r="AL53" s="698"/>
    </row>
    <row r="54" spans="1:38" s="700" customFormat="1" ht="12.75" customHeight="1">
      <c r="A54" s="686" t="s">
        <v>202</v>
      </c>
      <c r="B54" s="686" t="s">
        <v>394</v>
      </c>
      <c r="C54" s="701" t="s">
        <v>285</v>
      </c>
      <c r="D54" s="701"/>
      <c r="E54" s="688">
        <v>101480</v>
      </c>
      <c r="F54" s="689">
        <v>3</v>
      </c>
      <c r="G54" s="1025"/>
      <c r="H54" s="690"/>
      <c r="I54" s="1030">
        <v>1199110</v>
      </c>
      <c r="J54" s="690">
        <v>1285841</v>
      </c>
      <c r="K54" s="1030"/>
      <c r="L54" s="690"/>
      <c r="M54" s="1025"/>
      <c r="N54" s="1030"/>
      <c r="O54" s="692">
        <f t="shared" si="2"/>
        <v>0</v>
      </c>
      <c r="P54" s="690"/>
      <c r="Q54" s="690"/>
      <c r="R54" s="691">
        <f t="shared" si="3"/>
        <v>0</v>
      </c>
      <c r="S54" s="692">
        <f t="shared" si="4"/>
        <v>1199110</v>
      </c>
      <c r="T54" s="693">
        <f t="shared" si="5"/>
        <v>1285841</v>
      </c>
      <c r="U54" s="1035"/>
      <c r="V54" s="690"/>
      <c r="W54" s="1025"/>
      <c r="X54" s="1030"/>
      <c r="Y54" s="694">
        <f t="shared" si="6"/>
        <v>0</v>
      </c>
      <c r="Z54" s="690"/>
      <c r="AA54" s="690"/>
      <c r="AB54" s="695">
        <f t="shared" si="7"/>
        <v>0</v>
      </c>
      <c r="AC54" s="1035"/>
      <c r="AD54" s="690"/>
      <c r="AE54" s="1025"/>
      <c r="AF54" s="1030"/>
      <c r="AG54" s="690"/>
      <c r="AH54" s="690"/>
      <c r="AI54" s="696">
        <f t="shared" si="8"/>
        <v>1199110</v>
      </c>
      <c r="AJ54" s="697">
        <f t="shared" si="9"/>
        <v>1285841</v>
      </c>
      <c r="AK54" s="698"/>
      <c r="AL54" s="698"/>
    </row>
    <row r="55" spans="1:38" s="700" customFormat="1" ht="12.75" customHeight="1">
      <c r="A55" s="686" t="s">
        <v>202</v>
      </c>
      <c r="B55" s="686" t="s">
        <v>394</v>
      </c>
      <c r="C55" s="701" t="s">
        <v>306</v>
      </c>
      <c r="D55" s="701"/>
      <c r="E55" s="688">
        <v>101480</v>
      </c>
      <c r="F55" s="689">
        <v>3</v>
      </c>
      <c r="G55" s="1025"/>
      <c r="H55" s="690"/>
      <c r="I55" s="1030">
        <v>199851</v>
      </c>
      <c r="J55" s="690">
        <v>198140</v>
      </c>
      <c r="K55" s="1030"/>
      <c r="L55" s="690"/>
      <c r="M55" s="1025"/>
      <c r="N55" s="1030"/>
      <c r="O55" s="692">
        <f t="shared" si="2"/>
        <v>0</v>
      </c>
      <c r="P55" s="690"/>
      <c r="Q55" s="690"/>
      <c r="R55" s="691">
        <f t="shared" si="3"/>
        <v>0</v>
      </c>
      <c r="S55" s="692">
        <f t="shared" si="4"/>
        <v>199851</v>
      </c>
      <c r="T55" s="693">
        <f t="shared" si="5"/>
        <v>198140</v>
      </c>
      <c r="U55" s="1035"/>
      <c r="V55" s="690"/>
      <c r="W55" s="1025"/>
      <c r="X55" s="1030"/>
      <c r="Y55" s="694">
        <f t="shared" si="6"/>
        <v>0</v>
      </c>
      <c r="Z55" s="690"/>
      <c r="AA55" s="690"/>
      <c r="AB55" s="695">
        <f t="shared" si="7"/>
        <v>0</v>
      </c>
      <c r="AC55" s="1035"/>
      <c r="AD55" s="690"/>
      <c r="AE55" s="1025"/>
      <c r="AF55" s="1030"/>
      <c r="AG55" s="690"/>
      <c r="AH55" s="690"/>
      <c r="AI55" s="696">
        <f t="shared" si="8"/>
        <v>199851</v>
      </c>
      <c r="AJ55" s="697">
        <f t="shared" si="9"/>
        <v>198140</v>
      </c>
      <c r="AK55" s="698"/>
      <c r="AL55" s="698"/>
    </row>
    <row r="56" spans="1:38" s="700" customFormat="1" ht="12.75" customHeight="1">
      <c r="A56" s="686" t="s">
        <v>202</v>
      </c>
      <c r="B56" s="686" t="s">
        <v>394</v>
      </c>
      <c r="C56" s="701" t="s">
        <v>14</v>
      </c>
      <c r="D56" s="701"/>
      <c r="E56" s="688">
        <v>101480</v>
      </c>
      <c r="F56" s="689">
        <v>3</v>
      </c>
      <c r="G56" s="1025"/>
      <c r="H56" s="690"/>
      <c r="I56" s="1030">
        <v>199855</v>
      </c>
      <c r="J56" s="690">
        <v>198143</v>
      </c>
      <c r="K56" s="1030"/>
      <c r="L56" s="690"/>
      <c r="M56" s="1025"/>
      <c r="N56" s="1030"/>
      <c r="O56" s="692">
        <f t="shared" si="2"/>
        <v>0</v>
      </c>
      <c r="P56" s="690"/>
      <c r="Q56" s="690"/>
      <c r="R56" s="691">
        <f t="shared" si="3"/>
        <v>0</v>
      </c>
      <c r="S56" s="692">
        <f t="shared" si="4"/>
        <v>199855</v>
      </c>
      <c r="T56" s="693">
        <f t="shared" si="5"/>
        <v>198143</v>
      </c>
      <c r="U56" s="1035"/>
      <c r="V56" s="690"/>
      <c r="W56" s="1025"/>
      <c r="X56" s="1030"/>
      <c r="Y56" s="694">
        <f t="shared" si="6"/>
        <v>0</v>
      </c>
      <c r="Z56" s="690"/>
      <c r="AA56" s="690"/>
      <c r="AB56" s="695">
        <f t="shared" si="7"/>
        <v>0</v>
      </c>
      <c r="AC56" s="1035"/>
      <c r="AD56" s="690"/>
      <c r="AE56" s="1025"/>
      <c r="AF56" s="1030"/>
      <c r="AG56" s="690"/>
      <c r="AH56" s="690"/>
      <c r="AI56" s="696">
        <f t="shared" si="8"/>
        <v>199855</v>
      </c>
      <c r="AJ56" s="697">
        <f t="shared" si="9"/>
        <v>198143</v>
      </c>
      <c r="AK56" s="698"/>
      <c r="AL56" s="698"/>
    </row>
    <row r="57" spans="1:38" s="700" customFormat="1" ht="12.75" customHeight="1">
      <c r="A57" s="686" t="s">
        <v>202</v>
      </c>
      <c r="B57" s="686" t="s">
        <v>394</v>
      </c>
      <c r="C57" s="701" t="s">
        <v>491</v>
      </c>
      <c r="D57" s="701"/>
      <c r="E57" s="688">
        <v>101480</v>
      </c>
      <c r="F57" s="689">
        <v>3</v>
      </c>
      <c r="G57" s="1025"/>
      <c r="H57" s="690"/>
      <c r="I57" s="1030">
        <v>452500</v>
      </c>
      <c r="J57" s="690">
        <v>448625</v>
      </c>
      <c r="K57" s="1030"/>
      <c r="L57" s="690"/>
      <c r="M57" s="1025"/>
      <c r="N57" s="1030"/>
      <c r="O57" s="692">
        <f t="shared" si="2"/>
        <v>0</v>
      </c>
      <c r="P57" s="690"/>
      <c r="Q57" s="690"/>
      <c r="R57" s="691">
        <f t="shared" si="3"/>
        <v>0</v>
      </c>
      <c r="S57" s="692">
        <f t="shared" si="4"/>
        <v>452500</v>
      </c>
      <c r="T57" s="693">
        <f t="shared" si="5"/>
        <v>448625</v>
      </c>
      <c r="U57" s="1035"/>
      <c r="V57" s="690"/>
      <c r="W57" s="1025"/>
      <c r="X57" s="1030"/>
      <c r="Y57" s="694">
        <f t="shared" si="6"/>
        <v>0</v>
      </c>
      <c r="Z57" s="690"/>
      <c r="AA57" s="690"/>
      <c r="AB57" s="695">
        <f t="shared" si="7"/>
        <v>0</v>
      </c>
      <c r="AC57" s="1035"/>
      <c r="AD57" s="690"/>
      <c r="AE57" s="1025"/>
      <c r="AF57" s="1030"/>
      <c r="AG57" s="690"/>
      <c r="AH57" s="690"/>
      <c r="AI57" s="696">
        <f t="shared" si="8"/>
        <v>452500</v>
      </c>
      <c r="AJ57" s="697">
        <f t="shared" si="9"/>
        <v>448625</v>
      </c>
      <c r="AK57" s="698"/>
      <c r="AL57" s="698"/>
    </row>
    <row r="58" spans="1:38" s="700" customFormat="1" ht="12.75" customHeight="1">
      <c r="A58" s="686" t="s">
        <v>202</v>
      </c>
      <c r="B58" s="686" t="s">
        <v>395</v>
      </c>
      <c r="C58" s="699" t="s">
        <v>386</v>
      </c>
      <c r="D58" s="699"/>
      <c r="E58" s="688">
        <v>101480</v>
      </c>
      <c r="F58" s="689">
        <v>3</v>
      </c>
      <c r="G58" s="1025"/>
      <c r="H58" s="690"/>
      <c r="I58" s="1030"/>
      <c r="J58" s="690"/>
      <c r="K58" s="1030"/>
      <c r="L58" s="690"/>
      <c r="M58" s="1025"/>
      <c r="N58" s="1030"/>
      <c r="O58" s="692">
        <f t="shared" si="2"/>
        <v>0</v>
      </c>
      <c r="P58" s="690"/>
      <c r="Q58" s="690"/>
      <c r="R58" s="691">
        <f t="shared" si="3"/>
        <v>0</v>
      </c>
      <c r="S58" s="692">
        <f t="shared" si="4"/>
        <v>0</v>
      </c>
      <c r="T58" s="693">
        <f t="shared" si="5"/>
        <v>0</v>
      </c>
      <c r="U58" s="1035"/>
      <c r="V58" s="690"/>
      <c r="W58" s="1025"/>
      <c r="X58" s="1030"/>
      <c r="Y58" s="694">
        <f t="shared" si="6"/>
        <v>0</v>
      </c>
      <c r="Z58" s="690"/>
      <c r="AA58" s="690"/>
      <c r="AB58" s="695">
        <f t="shared" si="7"/>
        <v>0</v>
      </c>
      <c r="AC58" s="1035"/>
      <c r="AD58" s="690"/>
      <c r="AE58" s="1025"/>
      <c r="AF58" s="1030"/>
      <c r="AG58" s="690"/>
      <c r="AH58" s="690"/>
      <c r="AI58" s="696">
        <f t="shared" si="8"/>
        <v>0</v>
      </c>
      <c r="AJ58" s="697">
        <f t="shared" si="9"/>
        <v>0</v>
      </c>
      <c r="AK58" s="698"/>
      <c r="AL58" s="698"/>
    </row>
    <row r="59" spans="1:38" s="700" customFormat="1" ht="12.75" customHeight="1">
      <c r="A59" s="686" t="s">
        <v>202</v>
      </c>
      <c r="B59" s="686" t="s">
        <v>395</v>
      </c>
      <c r="C59" s="701" t="s">
        <v>87</v>
      </c>
      <c r="D59" s="701"/>
      <c r="E59" s="688">
        <v>101480</v>
      </c>
      <c r="F59" s="689">
        <v>3</v>
      </c>
      <c r="G59" s="1025"/>
      <c r="H59" s="690"/>
      <c r="I59" s="1155">
        <v>234907</v>
      </c>
      <c r="J59" s="690">
        <v>227860</v>
      </c>
      <c r="K59" s="1030"/>
      <c r="L59" s="690"/>
      <c r="M59" s="1025"/>
      <c r="N59" s="1030"/>
      <c r="O59" s="692">
        <f t="shared" si="2"/>
        <v>0</v>
      </c>
      <c r="P59" s="690"/>
      <c r="Q59" s="690"/>
      <c r="R59" s="691">
        <f t="shared" si="3"/>
        <v>0</v>
      </c>
      <c r="S59" s="692">
        <f t="shared" si="4"/>
        <v>234907</v>
      </c>
      <c r="T59" s="693">
        <f t="shared" si="5"/>
        <v>227860</v>
      </c>
      <c r="U59" s="1035"/>
      <c r="V59" s="690"/>
      <c r="W59" s="1025"/>
      <c r="X59" s="1030"/>
      <c r="Y59" s="694">
        <f t="shared" si="6"/>
        <v>0</v>
      </c>
      <c r="Z59" s="690"/>
      <c r="AA59" s="690"/>
      <c r="AB59" s="695">
        <f t="shared" si="7"/>
        <v>0</v>
      </c>
      <c r="AC59" s="1035"/>
      <c r="AD59" s="690"/>
      <c r="AE59" s="1025"/>
      <c r="AF59" s="1030"/>
      <c r="AG59" s="690"/>
      <c r="AH59" s="690"/>
      <c r="AI59" s="696">
        <f t="shared" si="8"/>
        <v>234907</v>
      </c>
      <c r="AJ59" s="697">
        <f t="shared" si="9"/>
        <v>227860</v>
      </c>
      <c r="AK59" s="698"/>
      <c r="AL59" s="698"/>
    </row>
    <row r="60" spans="1:38" s="700" customFormat="1" ht="12.75" customHeight="1">
      <c r="A60" s="686" t="s">
        <v>202</v>
      </c>
      <c r="B60" s="686" t="s">
        <v>392</v>
      </c>
      <c r="C60" s="687" t="s">
        <v>286</v>
      </c>
      <c r="D60" s="687"/>
      <c r="E60" s="688">
        <v>102094</v>
      </c>
      <c r="F60" s="689">
        <v>3</v>
      </c>
      <c r="G60" s="1025">
        <v>29994036</v>
      </c>
      <c r="H60" s="690">
        <f>28751711+291000</f>
        <v>29042711</v>
      </c>
      <c r="I60" s="1030"/>
      <c r="J60" s="690"/>
      <c r="K60" s="1030"/>
      <c r="L60" s="690"/>
      <c r="M60" s="1025">
        <v>45564018</v>
      </c>
      <c r="N60" s="1025">
        <v>10841129</v>
      </c>
      <c r="O60" s="692">
        <f t="shared" si="2"/>
        <v>56405147</v>
      </c>
      <c r="P60" s="690">
        <v>47175760</v>
      </c>
      <c r="Q60" s="690">
        <v>11224614</v>
      </c>
      <c r="R60" s="691">
        <f t="shared" si="3"/>
        <v>58400374</v>
      </c>
      <c r="S60" s="692">
        <f t="shared" si="4"/>
        <v>75558054</v>
      </c>
      <c r="T60" s="693">
        <f t="shared" si="5"/>
        <v>76218471</v>
      </c>
      <c r="U60" s="1035"/>
      <c r="V60" s="690"/>
      <c r="W60" s="1025"/>
      <c r="X60" s="1030"/>
      <c r="Y60" s="694">
        <f t="shared" si="6"/>
        <v>0</v>
      </c>
      <c r="Z60" s="690"/>
      <c r="AA60" s="690"/>
      <c r="AB60" s="695">
        <f t="shared" si="7"/>
        <v>0</v>
      </c>
      <c r="AC60" s="1035"/>
      <c r="AD60" s="690"/>
      <c r="AE60" s="1025"/>
      <c r="AF60" s="1030"/>
      <c r="AG60" s="690"/>
      <c r="AH60" s="690"/>
      <c r="AI60" s="696">
        <f t="shared" si="8"/>
        <v>75558054</v>
      </c>
      <c r="AJ60" s="697">
        <f t="shared" si="9"/>
        <v>76218471</v>
      </c>
      <c r="AK60" s="698"/>
      <c r="AL60" s="698"/>
    </row>
    <row r="61" spans="1:38" s="700" customFormat="1" ht="12.75" customHeight="1">
      <c r="A61" s="686" t="s">
        <v>202</v>
      </c>
      <c r="B61" s="686" t="s">
        <v>408</v>
      </c>
      <c r="C61" s="699" t="s">
        <v>46</v>
      </c>
      <c r="D61" s="699"/>
      <c r="E61" s="688">
        <v>102094</v>
      </c>
      <c r="F61" s="689">
        <v>3</v>
      </c>
      <c r="G61" s="1025"/>
      <c r="H61" s="690"/>
      <c r="I61" s="1030"/>
      <c r="J61" s="690"/>
      <c r="K61" s="1030"/>
      <c r="L61" s="690"/>
      <c r="M61" s="1025"/>
      <c r="N61" s="1030"/>
      <c r="O61" s="692">
        <f t="shared" si="2"/>
        <v>0</v>
      </c>
      <c r="P61" s="690"/>
      <c r="Q61" s="690"/>
      <c r="R61" s="691">
        <f t="shared" si="3"/>
        <v>0</v>
      </c>
      <c r="S61" s="692">
        <f t="shared" si="4"/>
        <v>0</v>
      </c>
      <c r="T61" s="693">
        <f t="shared" si="5"/>
        <v>0</v>
      </c>
      <c r="U61" s="1035"/>
      <c r="V61" s="690"/>
      <c r="W61" s="1025"/>
      <c r="X61" s="1030"/>
      <c r="Y61" s="694">
        <f t="shared" si="6"/>
        <v>0</v>
      </c>
      <c r="Z61" s="690"/>
      <c r="AA61" s="690"/>
      <c r="AB61" s="695">
        <f t="shared" si="7"/>
        <v>0</v>
      </c>
      <c r="AC61" s="1035"/>
      <c r="AD61" s="690"/>
      <c r="AE61" s="1025"/>
      <c r="AF61" s="1030"/>
      <c r="AG61" s="690"/>
      <c r="AH61" s="690"/>
      <c r="AI61" s="696">
        <f t="shared" si="8"/>
        <v>0</v>
      </c>
      <c r="AJ61" s="697">
        <f t="shared" si="9"/>
        <v>0</v>
      </c>
      <c r="AK61" s="698"/>
      <c r="AL61" s="698"/>
    </row>
    <row r="62" spans="1:38" s="700" customFormat="1" ht="12.75" customHeight="1">
      <c r="A62" s="686" t="s">
        <v>202</v>
      </c>
      <c r="B62" s="686" t="s">
        <v>408</v>
      </c>
      <c r="C62" s="701" t="s">
        <v>94</v>
      </c>
      <c r="D62" s="701"/>
      <c r="E62" s="688">
        <v>102094</v>
      </c>
      <c r="F62" s="689">
        <v>3</v>
      </c>
      <c r="G62" s="1025"/>
      <c r="H62" s="690"/>
      <c r="I62" s="1030"/>
      <c r="J62" s="690"/>
      <c r="K62" s="1030"/>
      <c r="L62" s="690"/>
      <c r="M62" s="1025"/>
      <c r="N62" s="1030"/>
      <c r="O62" s="692">
        <f t="shared" si="2"/>
        <v>0</v>
      </c>
      <c r="P62" s="690"/>
      <c r="Q62" s="690"/>
      <c r="R62" s="691">
        <f t="shared" si="3"/>
        <v>0</v>
      </c>
      <c r="S62" s="692">
        <f t="shared" si="4"/>
        <v>0</v>
      </c>
      <c r="T62" s="693">
        <f t="shared" si="5"/>
        <v>0</v>
      </c>
      <c r="U62" s="1035"/>
      <c r="V62" s="690"/>
      <c r="W62" s="1025"/>
      <c r="X62" s="1030"/>
      <c r="Y62" s="694">
        <f t="shared" si="6"/>
        <v>0</v>
      </c>
      <c r="Z62" s="690"/>
      <c r="AA62" s="690"/>
      <c r="AB62" s="695">
        <f t="shared" si="7"/>
        <v>0</v>
      </c>
      <c r="AC62" s="1035">
        <v>67865555</v>
      </c>
      <c r="AD62" s="690">
        <v>67906106</v>
      </c>
      <c r="AE62" s="1025">
        <v>31963825</v>
      </c>
      <c r="AF62" s="1030"/>
      <c r="AG62" s="818">
        <v>33094485</v>
      </c>
      <c r="AH62" s="690"/>
      <c r="AI62" s="696">
        <f t="shared" si="8"/>
        <v>99829380</v>
      </c>
      <c r="AJ62" s="697">
        <f t="shared" si="9"/>
        <v>101000591</v>
      </c>
      <c r="AK62" s="698"/>
      <c r="AL62" s="698"/>
    </row>
    <row r="63" spans="1:38" s="700" customFormat="1" ht="12.75" customHeight="1">
      <c r="A63" s="686" t="s">
        <v>202</v>
      </c>
      <c r="B63" s="686" t="s">
        <v>395</v>
      </c>
      <c r="C63" s="699" t="s">
        <v>386</v>
      </c>
      <c r="D63" s="699"/>
      <c r="E63" s="688">
        <v>102094</v>
      </c>
      <c r="F63" s="689">
        <v>3</v>
      </c>
      <c r="G63" s="1025"/>
      <c r="H63" s="690"/>
      <c r="I63" s="1030"/>
      <c r="J63" s="690"/>
      <c r="K63" s="1030"/>
      <c r="L63" s="690"/>
      <c r="M63" s="1025"/>
      <c r="N63" s="1030"/>
      <c r="O63" s="692">
        <f t="shared" si="2"/>
        <v>0</v>
      </c>
      <c r="P63" s="690"/>
      <c r="Q63" s="690"/>
      <c r="R63" s="691">
        <f t="shared" si="3"/>
        <v>0</v>
      </c>
      <c r="S63" s="692">
        <f t="shared" si="4"/>
        <v>0</v>
      </c>
      <c r="T63" s="693">
        <f t="shared" si="5"/>
        <v>0</v>
      </c>
      <c r="U63" s="1035"/>
      <c r="V63" s="690"/>
      <c r="W63" s="1025"/>
      <c r="X63" s="1030"/>
      <c r="Y63" s="694">
        <f t="shared" si="6"/>
        <v>0</v>
      </c>
      <c r="Z63" s="690"/>
      <c r="AA63" s="690"/>
      <c r="AB63" s="695">
        <f t="shared" si="7"/>
        <v>0</v>
      </c>
      <c r="AC63" s="1035"/>
      <c r="AD63" s="690"/>
      <c r="AE63" s="1025"/>
      <c r="AF63" s="1030"/>
      <c r="AG63" s="690"/>
      <c r="AH63" s="690"/>
      <c r="AI63" s="696">
        <f t="shared" si="8"/>
        <v>0</v>
      </c>
      <c r="AJ63" s="697">
        <f t="shared" si="9"/>
        <v>0</v>
      </c>
      <c r="AK63" s="698"/>
      <c r="AL63" s="698"/>
    </row>
    <row r="64" spans="1:38" s="700" customFormat="1" ht="12.75" customHeight="1">
      <c r="A64" s="686" t="s">
        <v>202</v>
      </c>
      <c r="B64" s="686" t="s">
        <v>395</v>
      </c>
      <c r="C64" s="701" t="s">
        <v>87</v>
      </c>
      <c r="D64" s="701"/>
      <c r="E64" s="688">
        <v>102094</v>
      </c>
      <c r="F64" s="689">
        <v>3</v>
      </c>
      <c r="G64" s="1025"/>
      <c r="H64" s="690"/>
      <c r="I64" s="1155">
        <v>324626</v>
      </c>
      <c r="J64" s="690">
        <v>314887</v>
      </c>
      <c r="K64" s="1030"/>
      <c r="L64" s="690"/>
      <c r="M64" s="1025"/>
      <c r="N64" s="1030"/>
      <c r="O64" s="692">
        <f t="shared" si="2"/>
        <v>0</v>
      </c>
      <c r="P64" s="690"/>
      <c r="Q64" s="690"/>
      <c r="R64" s="691">
        <f t="shared" si="3"/>
        <v>0</v>
      </c>
      <c r="S64" s="692">
        <f t="shared" si="4"/>
        <v>324626</v>
      </c>
      <c r="T64" s="693">
        <f t="shared" si="5"/>
        <v>314887</v>
      </c>
      <c r="U64" s="1035"/>
      <c r="V64" s="690"/>
      <c r="W64" s="1025"/>
      <c r="X64" s="1030"/>
      <c r="Y64" s="694">
        <f t="shared" si="6"/>
        <v>0</v>
      </c>
      <c r="Z64" s="690"/>
      <c r="AA64" s="690"/>
      <c r="AB64" s="695">
        <f t="shared" si="7"/>
        <v>0</v>
      </c>
      <c r="AC64" s="1035"/>
      <c r="AD64" s="690"/>
      <c r="AE64" s="1025"/>
      <c r="AF64" s="1030"/>
      <c r="AG64" s="690"/>
      <c r="AH64" s="690"/>
      <c r="AI64" s="696">
        <f t="shared" si="8"/>
        <v>324626</v>
      </c>
      <c r="AJ64" s="697">
        <f t="shared" si="9"/>
        <v>314887</v>
      </c>
      <c r="AK64" s="698"/>
      <c r="AL64" s="698"/>
    </row>
    <row r="65" spans="1:38" s="700" customFormat="1" ht="12.75" customHeight="1">
      <c r="A65" s="686" t="s">
        <v>202</v>
      </c>
      <c r="B65" s="686" t="s">
        <v>392</v>
      </c>
      <c r="C65" s="687" t="s">
        <v>437</v>
      </c>
      <c r="D65" s="687"/>
      <c r="E65" s="688">
        <v>102368</v>
      </c>
      <c r="F65" s="689">
        <v>3</v>
      </c>
      <c r="G65" s="1025">
        <f>43941224+130470</f>
        <v>44071694</v>
      </c>
      <c r="H65" s="690">
        <f>43570753+129353</f>
        <v>43700106</v>
      </c>
      <c r="I65" s="1030"/>
      <c r="J65" s="690"/>
      <c r="K65" s="1030"/>
      <c r="L65" s="690"/>
      <c r="M65" s="1025">
        <v>63053557</v>
      </c>
      <c r="N65" s="1025">
        <v>10772172</v>
      </c>
      <c r="O65" s="692">
        <f t="shared" si="2"/>
        <v>73825729</v>
      </c>
      <c r="P65" s="690">
        <v>68681278</v>
      </c>
      <c r="Q65" s="690">
        <v>12167924</v>
      </c>
      <c r="R65" s="691">
        <f t="shared" si="3"/>
        <v>80849202</v>
      </c>
      <c r="S65" s="692">
        <f t="shared" si="4"/>
        <v>107125251</v>
      </c>
      <c r="T65" s="693">
        <f t="shared" si="5"/>
        <v>112381384</v>
      </c>
      <c r="U65" s="1035"/>
      <c r="V65" s="690"/>
      <c r="W65" s="1025"/>
      <c r="X65" s="1030"/>
      <c r="Y65" s="694">
        <f t="shared" si="6"/>
        <v>0</v>
      </c>
      <c r="Z65" s="690"/>
      <c r="AA65" s="690"/>
      <c r="AB65" s="695">
        <f t="shared" si="7"/>
        <v>0</v>
      </c>
      <c r="AC65" s="1035"/>
      <c r="AD65" s="690"/>
      <c r="AE65" s="1025"/>
      <c r="AF65" s="1030"/>
      <c r="AG65" s="690"/>
      <c r="AH65" s="690"/>
      <c r="AI65" s="696">
        <f t="shared" si="8"/>
        <v>107125251</v>
      </c>
      <c r="AJ65" s="697">
        <f t="shared" si="9"/>
        <v>112381384</v>
      </c>
      <c r="AK65" s="698"/>
      <c r="AL65" s="698"/>
    </row>
    <row r="66" spans="1:38" s="700" customFormat="1" ht="12.75" customHeight="1">
      <c r="A66" s="686" t="s">
        <v>202</v>
      </c>
      <c r="B66" s="686" t="s">
        <v>394</v>
      </c>
      <c r="C66" s="699" t="s">
        <v>451</v>
      </c>
      <c r="D66" s="699"/>
      <c r="E66" s="688">
        <v>102368</v>
      </c>
      <c r="F66" s="689">
        <v>3</v>
      </c>
      <c r="G66" s="1025"/>
      <c r="H66" s="690"/>
      <c r="I66" s="1030"/>
      <c r="J66" s="690"/>
      <c r="K66" s="1030"/>
      <c r="L66" s="690"/>
      <c r="M66" s="1025"/>
      <c r="N66" s="1030"/>
      <c r="O66" s="692">
        <f t="shared" si="2"/>
        <v>0</v>
      </c>
      <c r="P66" s="690"/>
      <c r="Q66" s="690"/>
      <c r="R66" s="691">
        <f t="shared" si="3"/>
        <v>0</v>
      </c>
      <c r="S66" s="692">
        <f t="shared" si="4"/>
        <v>0</v>
      </c>
      <c r="T66" s="693">
        <f t="shared" si="5"/>
        <v>0</v>
      </c>
      <c r="U66" s="1035"/>
      <c r="V66" s="690"/>
      <c r="W66" s="1025"/>
      <c r="X66" s="1030"/>
      <c r="Y66" s="694">
        <f t="shared" si="6"/>
        <v>0</v>
      </c>
      <c r="Z66" s="690"/>
      <c r="AA66" s="690"/>
      <c r="AB66" s="695">
        <f t="shared" si="7"/>
        <v>0</v>
      </c>
      <c r="AC66" s="1035"/>
      <c r="AD66" s="690"/>
      <c r="AE66" s="1025"/>
      <c r="AF66" s="1030"/>
      <c r="AG66" s="690"/>
      <c r="AH66" s="690"/>
      <c r="AI66" s="696">
        <f t="shared" si="8"/>
        <v>0</v>
      </c>
      <c r="AJ66" s="697">
        <f t="shared" si="9"/>
        <v>0</v>
      </c>
      <c r="AK66" s="698"/>
      <c r="AL66" s="698"/>
    </row>
    <row r="67" spans="1:38" s="700" customFormat="1" ht="12.75" customHeight="1">
      <c r="A67" s="686" t="s">
        <v>202</v>
      </c>
      <c r="B67" s="686" t="s">
        <v>394</v>
      </c>
      <c r="C67" s="701" t="s">
        <v>307</v>
      </c>
      <c r="D67" s="701"/>
      <c r="E67" s="688">
        <v>102368</v>
      </c>
      <c r="F67" s="689">
        <v>3</v>
      </c>
      <c r="G67" s="1025"/>
      <c r="H67" s="690"/>
      <c r="I67" s="1030">
        <v>39970</v>
      </c>
      <c r="J67" s="690">
        <v>39628</v>
      </c>
      <c r="K67" s="1030"/>
      <c r="L67" s="690"/>
      <c r="M67" s="1025"/>
      <c r="N67" s="1030"/>
      <c r="O67" s="692">
        <f t="shared" si="2"/>
        <v>0</v>
      </c>
      <c r="P67" s="690"/>
      <c r="Q67" s="690"/>
      <c r="R67" s="691">
        <f t="shared" si="3"/>
        <v>0</v>
      </c>
      <c r="S67" s="692">
        <f t="shared" si="4"/>
        <v>39970</v>
      </c>
      <c r="T67" s="693">
        <f t="shared" si="5"/>
        <v>39628</v>
      </c>
      <c r="U67" s="1035"/>
      <c r="V67" s="690"/>
      <c r="W67" s="1025"/>
      <c r="X67" s="1030"/>
      <c r="Y67" s="694">
        <f t="shared" si="6"/>
        <v>0</v>
      </c>
      <c r="Z67" s="690"/>
      <c r="AA67" s="690"/>
      <c r="AB67" s="695">
        <f t="shared" si="7"/>
        <v>0</v>
      </c>
      <c r="AC67" s="1035"/>
      <c r="AD67" s="690"/>
      <c r="AE67" s="1025"/>
      <c r="AF67" s="1030"/>
      <c r="AG67" s="690"/>
      <c r="AH67" s="690"/>
      <c r="AI67" s="696">
        <f t="shared" si="8"/>
        <v>39970</v>
      </c>
      <c r="AJ67" s="697">
        <f t="shared" si="9"/>
        <v>39628</v>
      </c>
      <c r="AK67" s="698"/>
      <c r="AL67" s="698"/>
    </row>
    <row r="68" spans="1:38" s="700" customFormat="1" ht="12.75" customHeight="1">
      <c r="A68" s="686" t="s">
        <v>202</v>
      </c>
      <c r="B68" s="686" t="s">
        <v>395</v>
      </c>
      <c r="C68" s="699" t="s">
        <v>386</v>
      </c>
      <c r="D68" s="699"/>
      <c r="E68" s="688">
        <v>102368</v>
      </c>
      <c r="F68" s="689">
        <v>3</v>
      </c>
      <c r="G68" s="1025"/>
      <c r="H68" s="690"/>
      <c r="I68" s="1030"/>
      <c r="J68" s="690"/>
      <c r="K68" s="1030"/>
      <c r="L68" s="690"/>
      <c r="M68" s="1025"/>
      <c r="N68" s="1030"/>
      <c r="O68" s="692">
        <f t="shared" si="2"/>
        <v>0</v>
      </c>
      <c r="P68" s="690"/>
      <c r="Q68" s="690"/>
      <c r="R68" s="691">
        <f t="shared" si="3"/>
        <v>0</v>
      </c>
      <c r="S68" s="692">
        <f t="shared" si="4"/>
        <v>0</v>
      </c>
      <c r="T68" s="693">
        <f t="shared" si="5"/>
        <v>0</v>
      </c>
      <c r="U68" s="1035"/>
      <c r="V68" s="690"/>
      <c r="W68" s="1025"/>
      <c r="X68" s="1030"/>
      <c r="Y68" s="694">
        <f t="shared" si="6"/>
        <v>0</v>
      </c>
      <c r="Z68" s="690"/>
      <c r="AA68" s="690"/>
      <c r="AB68" s="695">
        <f t="shared" si="7"/>
        <v>0</v>
      </c>
      <c r="AC68" s="1035"/>
      <c r="AD68" s="690"/>
      <c r="AE68" s="1025"/>
      <c r="AF68" s="1030"/>
      <c r="AG68" s="690"/>
      <c r="AH68" s="690"/>
      <c r="AI68" s="696">
        <f t="shared" si="8"/>
        <v>0</v>
      </c>
      <c r="AJ68" s="697">
        <f t="shared" si="9"/>
        <v>0</v>
      </c>
      <c r="AK68" s="698"/>
      <c r="AL68" s="698"/>
    </row>
    <row r="69" spans="1:38" s="700" customFormat="1" ht="12.75" customHeight="1">
      <c r="A69" s="686" t="s">
        <v>202</v>
      </c>
      <c r="B69" s="686" t="s">
        <v>395</v>
      </c>
      <c r="C69" s="701" t="s">
        <v>87</v>
      </c>
      <c r="D69" s="701"/>
      <c r="E69" s="688">
        <v>102368</v>
      </c>
      <c r="F69" s="689">
        <v>3</v>
      </c>
      <c r="G69" s="1025"/>
      <c r="H69" s="690"/>
      <c r="I69" s="1155">
        <v>249529</v>
      </c>
      <c r="J69" s="690">
        <v>242043</v>
      </c>
      <c r="K69" s="1030"/>
      <c r="L69" s="690"/>
      <c r="M69" s="1025"/>
      <c r="N69" s="1030"/>
      <c r="O69" s="692">
        <f t="shared" si="2"/>
        <v>0</v>
      </c>
      <c r="P69" s="690"/>
      <c r="Q69" s="690"/>
      <c r="R69" s="691">
        <f t="shared" si="3"/>
        <v>0</v>
      </c>
      <c r="S69" s="692">
        <f t="shared" si="4"/>
        <v>249529</v>
      </c>
      <c r="T69" s="693">
        <f t="shared" si="5"/>
        <v>242043</v>
      </c>
      <c r="U69" s="1035"/>
      <c r="V69" s="690"/>
      <c r="W69" s="1025"/>
      <c r="X69" s="1030"/>
      <c r="Y69" s="694">
        <f t="shared" si="6"/>
        <v>0</v>
      </c>
      <c r="Z69" s="690"/>
      <c r="AA69" s="690"/>
      <c r="AB69" s="695">
        <f t="shared" si="7"/>
        <v>0</v>
      </c>
      <c r="AC69" s="1035"/>
      <c r="AD69" s="690"/>
      <c r="AE69" s="1025"/>
      <c r="AF69" s="1030"/>
      <c r="AG69" s="690"/>
      <c r="AH69" s="690"/>
      <c r="AI69" s="696">
        <f t="shared" si="8"/>
        <v>249529</v>
      </c>
      <c r="AJ69" s="697">
        <f t="shared" si="9"/>
        <v>242043</v>
      </c>
      <c r="AK69" s="698"/>
      <c r="AL69" s="698"/>
    </row>
    <row r="70" spans="1:38" s="700" customFormat="1" ht="12.75" customHeight="1">
      <c r="A70" s="686" t="s">
        <v>202</v>
      </c>
      <c r="B70" s="686" t="s">
        <v>392</v>
      </c>
      <c r="C70" s="687" t="s">
        <v>287</v>
      </c>
      <c r="D70" s="687"/>
      <c r="E70" s="688">
        <v>100724</v>
      </c>
      <c r="F70" s="689">
        <v>4</v>
      </c>
      <c r="G70" s="1025">
        <v>37556258</v>
      </c>
      <c r="H70" s="690">
        <v>40556721</v>
      </c>
      <c r="I70" s="1030"/>
      <c r="J70" s="690"/>
      <c r="K70" s="1030"/>
      <c r="L70" s="690"/>
      <c r="M70" s="1025">
        <v>37732024</v>
      </c>
      <c r="N70" s="1025">
        <v>11652207</v>
      </c>
      <c r="O70" s="692">
        <f t="shared" si="2"/>
        <v>49384231</v>
      </c>
      <c r="P70" s="690">
        <v>38664412</v>
      </c>
      <c r="Q70" s="690">
        <v>11595130</v>
      </c>
      <c r="R70" s="691">
        <f t="shared" si="3"/>
        <v>50259542</v>
      </c>
      <c r="S70" s="692">
        <f t="shared" si="4"/>
        <v>75288282</v>
      </c>
      <c r="T70" s="693">
        <f t="shared" si="5"/>
        <v>79221133</v>
      </c>
      <c r="U70" s="1035"/>
      <c r="V70" s="690"/>
      <c r="W70" s="1025"/>
      <c r="X70" s="1030"/>
      <c r="Y70" s="694">
        <f t="shared" si="6"/>
        <v>0</v>
      </c>
      <c r="Z70" s="690"/>
      <c r="AA70" s="690"/>
      <c r="AB70" s="695">
        <f t="shared" si="7"/>
        <v>0</v>
      </c>
      <c r="AC70" s="1035"/>
      <c r="AD70" s="690"/>
      <c r="AE70" s="1025"/>
      <c r="AF70" s="1030"/>
      <c r="AG70" s="690"/>
      <c r="AH70" s="690"/>
      <c r="AI70" s="696">
        <f t="shared" si="8"/>
        <v>75288282</v>
      </c>
      <c r="AJ70" s="697">
        <f t="shared" si="9"/>
        <v>79221133</v>
      </c>
      <c r="AK70" s="698"/>
      <c r="AL70" s="698"/>
    </row>
    <row r="71" spans="1:38" s="700" customFormat="1" ht="12.75" customHeight="1">
      <c r="A71" s="686" t="s">
        <v>202</v>
      </c>
      <c r="B71" s="686" t="s">
        <v>394</v>
      </c>
      <c r="C71" s="699" t="s">
        <v>451</v>
      </c>
      <c r="D71" s="699"/>
      <c r="E71" s="688">
        <v>100724</v>
      </c>
      <c r="F71" s="689">
        <v>4</v>
      </c>
      <c r="G71" s="1025"/>
      <c r="H71" s="690"/>
      <c r="I71" s="1030"/>
      <c r="J71" s="690"/>
      <c r="K71" s="1030"/>
      <c r="L71" s="690"/>
      <c r="M71" s="1025"/>
      <c r="N71" s="1030"/>
      <c r="O71" s="692">
        <f t="shared" si="2"/>
        <v>0</v>
      </c>
      <c r="P71" s="690"/>
      <c r="Q71" s="690"/>
      <c r="R71" s="691">
        <f t="shared" si="3"/>
        <v>0</v>
      </c>
      <c r="S71" s="692">
        <f t="shared" si="4"/>
        <v>0</v>
      </c>
      <c r="T71" s="693">
        <f t="shared" si="5"/>
        <v>0</v>
      </c>
      <c r="U71" s="1035"/>
      <c r="V71" s="690"/>
      <c r="W71" s="1025"/>
      <c r="X71" s="1030"/>
      <c r="Y71" s="694">
        <f t="shared" si="6"/>
        <v>0</v>
      </c>
      <c r="Z71" s="690"/>
      <c r="AA71" s="690"/>
      <c r="AB71" s="695">
        <f t="shared" si="7"/>
        <v>0</v>
      </c>
      <c r="AC71" s="1035"/>
      <c r="AD71" s="690"/>
      <c r="AE71" s="1025"/>
      <c r="AF71" s="1030"/>
      <c r="AG71" s="690"/>
      <c r="AH71" s="690"/>
      <c r="AI71" s="696">
        <f t="shared" si="8"/>
        <v>0</v>
      </c>
      <c r="AJ71" s="697">
        <f t="shared" si="9"/>
        <v>0</v>
      </c>
      <c r="AK71" s="698"/>
      <c r="AL71" s="698"/>
    </row>
    <row r="72" spans="1:38" s="700" customFormat="1" ht="12.75" customHeight="1">
      <c r="A72" s="686" t="s">
        <v>202</v>
      </c>
      <c r="B72" s="686" t="s">
        <v>394</v>
      </c>
      <c r="C72" s="701" t="s">
        <v>288</v>
      </c>
      <c r="D72" s="701"/>
      <c r="E72" s="688">
        <v>100724</v>
      </c>
      <c r="F72" s="689">
        <v>4</v>
      </c>
      <c r="G72" s="1025"/>
      <c r="H72" s="690"/>
      <c r="I72" s="1030">
        <v>1131250</v>
      </c>
      <c r="J72" s="690">
        <v>1121563</v>
      </c>
      <c r="K72" s="1030"/>
      <c r="L72" s="690"/>
      <c r="M72" s="1025"/>
      <c r="N72" s="1030"/>
      <c r="O72" s="692">
        <f t="shared" si="2"/>
        <v>0</v>
      </c>
      <c r="P72" s="690"/>
      <c r="Q72" s="690"/>
      <c r="R72" s="691">
        <f t="shared" si="3"/>
        <v>0</v>
      </c>
      <c r="S72" s="692">
        <f t="shared" si="4"/>
        <v>1131250</v>
      </c>
      <c r="T72" s="693">
        <f t="shared" si="5"/>
        <v>1121563</v>
      </c>
      <c r="U72" s="1035"/>
      <c r="V72" s="690"/>
      <c r="W72" s="1025"/>
      <c r="X72" s="1030"/>
      <c r="Y72" s="694">
        <f t="shared" si="6"/>
        <v>0</v>
      </c>
      <c r="Z72" s="690"/>
      <c r="AA72" s="690"/>
      <c r="AB72" s="695">
        <f t="shared" si="7"/>
        <v>0</v>
      </c>
      <c r="AC72" s="1035"/>
      <c r="AD72" s="690"/>
      <c r="AE72" s="1025"/>
      <c r="AF72" s="1030"/>
      <c r="AG72" s="690"/>
      <c r="AH72" s="690"/>
      <c r="AI72" s="696">
        <f t="shared" si="8"/>
        <v>1131250</v>
      </c>
      <c r="AJ72" s="697">
        <f t="shared" si="9"/>
        <v>1121563</v>
      </c>
      <c r="AK72" s="698"/>
      <c r="AL72" s="698"/>
    </row>
    <row r="73" spans="1:38" s="700" customFormat="1" ht="12.75" customHeight="1">
      <c r="A73" s="686" t="s">
        <v>202</v>
      </c>
      <c r="B73" s="686" t="s">
        <v>394</v>
      </c>
      <c r="C73" s="701" t="s">
        <v>91</v>
      </c>
      <c r="D73" s="701"/>
      <c r="E73" s="688">
        <v>100724</v>
      </c>
      <c r="F73" s="689">
        <v>4</v>
      </c>
      <c r="G73" s="1025"/>
      <c r="H73" s="690"/>
      <c r="I73" s="1030">
        <v>490210</v>
      </c>
      <c r="J73" s="690">
        <v>583013</v>
      </c>
      <c r="K73" s="1030"/>
      <c r="L73" s="690"/>
      <c r="M73" s="1025"/>
      <c r="N73" s="1030"/>
      <c r="O73" s="692">
        <f t="shared" si="2"/>
        <v>0</v>
      </c>
      <c r="P73" s="690"/>
      <c r="Q73" s="690"/>
      <c r="R73" s="691">
        <f t="shared" si="3"/>
        <v>0</v>
      </c>
      <c r="S73" s="692">
        <f t="shared" si="4"/>
        <v>490210</v>
      </c>
      <c r="T73" s="693">
        <f t="shared" si="5"/>
        <v>583013</v>
      </c>
      <c r="U73" s="1035"/>
      <c r="V73" s="690"/>
      <c r="W73" s="1025"/>
      <c r="X73" s="1030"/>
      <c r="Y73" s="694">
        <f t="shared" si="6"/>
        <v>0</v>
      </c>
      <c r="Z73" s="690"/>
      <c r="AA73" s="690"/>
      <c r="AB73" s="695">
        <f t="shared" si="7"/>
        <v>0</v>
      </c>
      <c r="AC73" s="1035"/>
      <c r="AD73" s="690"/>
      <c r="AE73" s="1025"/>
      <c r="AF73" s="1030"/>
      <c r="AG73" s="690"/>
      <c r="AH73" s="690"/>
      <c r="AI73" s="696">
        <f t="shared" si="8"/>
        <v>490210</v>
      </c>
      <c r="AJ73" s="697">
        <f t="shared" si="9"/>
        <v>583013</v>
      </c>
      <c r="AK73" s="698"/>
      <c r="AL73" s="698"/>
    </row>
    <row r="74" spans="1:38" s="700" customFormat="1" ht="12.75" customHeight="1">
      <c r="A74" s="686" t="s">
        <v>202</v>
      </c>
      <c r="B74" s="686" t="s">
        <v>395</v>
      </c>
      <c r="C74" s="699" t="s">
        <v>386</v>
      </c>
      <c r="D74" s="699"/>
      <c r="E74" s="688">
        <v>100724</v>
      </c>
      <c r="F74" s="689">
        <v>4</v>
      </c>
      <c r="G74" s="1025"/>
      <c r="H74" s="690"/>
      <c r="I74" s="1030"/>
      <c r="J74" s="690"/>
      <c r="K74" s="1030"/>
      <c r="L74" s="690"/>
      <c r="M74" s="1025"/>
      <c r="N74" s="1030"/>
      <c r="O74" s="692">
        <f t="shared" ref="O74:O137" si="10">SUM(M74:N74)</f>
        <v>0</v>
      </c>
      <c r="P74" s="690"/>
      <c r="Q74" s="690"/>
      <c r="R74" s="691">
        <f t="shared" ref="R74:R137" si="11">SUM(P74:Q74)</f>
        <v>0</v>
      </c>
      <c r="S74" s="692">
        <f t="shared" ref="S74:S137" si="12">SUM(G74,I74,K74,M74)</f>
        <v>0</v>
      </c>
      <c r="T74" s="693">
        <f t="shared" ref="T74:T137" si="13">SUM(H74,J74,L74,P74)</f>
        <v>0</v>
      </c>
      <c r="U74" s="1035"/>
      <c r="V74" s="690"/>
      <c r="W74" s="1025"/>
      <c r="X74" s="1030"/>
      <c r="Y74" s="694">
        <f t="shared" ref="Y74:Y137" si="14">SUM(W74:X74)</f>
        <v>0</v>
      </c>
      <c r="Z74" s="690"/>
      <c r="AA74" s="690"/>
      <c r="AB74" s="695">
        <f t="shared" ref="AB74:AB137" si="15">SUM(Z74:AA74)</f>
        <v>0</v>
      </c>
      <c r="AC74" s="1035"/>
      <c r="AD74" s="690"/>
      <c r="AE74" s="1025"/>
      <c r="AF74" s="1030"/>
      <c r="AG74" s="690"/>
      <c r="AH74" s="690"/>
      <c r="AI74" s="696">
        <f t="shared" ref="AI74:AI137" si="16">SUM(S74,U74,W74,AC74,AE74)</f>
        <v>0</v>
      </c>
      <c r="AJ74" s="697">
        <f t="shared" ref="AJ74:AJ137" si="17">SUM(T74,V74,Z74,AD74,AG74)</f>
        <v>0</v>
      </c>
      <c r="AK74" s="698"/>
      <c r="AL74" s="698"/>
    </row>
    <row r="75" spans="1:38" s="700" customFormat="1" ht="12.75" customHeight="1">
      <c r="A75" s="686" t="s">
        <v>202</v>
      </c>
      <c r="B75" s="686" t="s">
        <v>395</v>
      </c>
      <c r="C75" s="701" t="s">
        <v>87</v>
      </c>
      <c r="D75" s="701"/>
      <c r="E75" s="688">
        <v>100724</v>
      </c>
      <c r="F75" s="689">
        <v>4</v>
      </c>
      <c r="G75" s="1025"/>
      <c r="H75" s="690"/>
      <c r="I75" s="1155">
        <v>237742</v>
      </c>
      <c r="J75" s="690">
        <v>230610</v>
      </c>
      <c r="K75" s="1030"/>
      <c r="L75" s="690"/>
      <c r="M75" s="1025"/>
      <c r="N75" s="1030"/>
      <c r="O75" s="692">
        <f t="shared" si="10"/>
        <v>0</v>
      </c>
      <c r="P75" s="690"/>
      <c r="Q75" s="690"/>
      <c r="R75" s="691">
        <f t="shared" si="11"/>
        <v>0</v>
      </c>
      <c r="S75" s="692">
        <f t="shared" si="12"/>
        <v>237742</v>
      </c>
      <c r="T75" s="693">
        <f t="shared" si="13"/>
        <v>230610</v>
      </c>
      <c r="U75" s="1035"/>
      <c r="V75" s="690"/>
      <c r="W75" s="1025"/>
      <c r="X75" s="1030"/>
      <c r="Y75" s="694">
        <f t="shared" si="14"/>
        <v>0</v>
      </c>
      <c r="Z75" s="690"/>
      <c r="AA75" s="690"/>
      <c r="AB75" s="695">
        <f t="shared" si="15"/>
        <v>0</v>
      </c>
      <c r="AC75" s="1035"/>
      <c r="AD75" s="690"/>
      <c r="AE75" s="1025"/>
      <c r="AF75" s="1030"/>
      <c r="AG75" s="690"/>
      <c r="AH75" s="690"/>
      <c r="AI75" s="696">
        <f t="shared" si="16"/>
        <v>237742</v>
      </c>
      <c r="AJ75" s="697">
        <f t="shared" si="17"/>
        <v>230610</v>
      </c>
      <c r="AK75" s="698"/>
      <c r="AL75" s="698"/>
    </row>
    <row r="76" spans="1:38" s="700" customFormat="1" ht="12.75" customHeight="1">
      <c r="A76" s="686" t="s">
        <v>202</v>
      </c>
      <c r="B76" s="686" t="s">
        <v>392</v>
      </c>
      <c r="C76" s="687" t="s">
        <v>289</v>
      </c>
      <c r="D76" s="687"/>
      <c r="E76" s="688">
        <v>100830</v>
      </c>
      <c r="F76" s="689">
        <v>4</v>
      </c>
      <c r="G76" s="1025">
        <v>21654539</v>
      </c>
      <c r="H76" s="690">
        <v>21469099</v>
      </c>
      <c r="I76" s="1030"/>
      <c r="J76" s="690"/>
      <c r="K76" s="1030"/>
      <c r="L76" s="690"/>
      <c r="M76" s="1025">
        <v>29607814</v>
      </c>
      <c r="N76" s="1025">
        <v>1407247</v>
      </c>
      <c r="O76" s="692">
        <f t="shared" si="10"/>
        <v>31015061</v>
      </c>
      <c r="P76" s="690">
        <v>26580368</v>
      </c>
      <c r="Q76" s="690">
        <v>1553511</v>
      </c>
      <c r="R76" s="691">
        <f t="shared" si="11"/>
        <v>28133879</v>
      </c>
      <c r="S76" s="692">
        <f t="shared" si="12"/>
        <v>51262353</v>
      </c>
      <c r="T76" s="693">
        <f t="shared" si="13"/>
        <v>48049467</v>
      </c>
      <c r="U76" s="1035"/>
      <c r="V76" s="690"/>
      <c r="W76" s="1025"/>
      <c r="X76" s="1030"/>
      <c r="Y76" s="694">
        <f t="shared" si="14"/>
        <v>0</v>
      </c>
      <c r="Z76" s="690"/>
      <c r="AA76" s="690"/>
      <c r="AB76" s="695">
        <f t="shared" si="15"/>
        <v>0</v>
      </c>
      <c r="AC76" s="1035"/>
      <c r="AD76" s="690"/>
      <c r="AE76" s="1025"/>
      <c r="AF76" s="1030"/>
      <c r="AG76" s="690"/>
      <c r="AH76" s="690"/>
      <c r="AI76" s="696">
        <f t="shared" si="16"/>
        <v>51262353</v>
      </c>
      <c r="AJ76" s="697">
        <f t="shared" si="17"/>
        <v>48049467</v>
      </c>
      <c r="AK76" s="698"/>
      <c r="AL76" s="698"/>
    </row>
    <row r="77" spans="1:38" s="700" customFormat="1" ht="12.75" customHeight="1">
      <c r="A77" s="686" t="s">
        <v>202</v>
      </c>
      <c r="B77" s="686" t="s">
        <v>394</v>
      </c>
      <c r="C77" s="699" t="s">
        <v>451</v>
      </c>
      <c r="D77" s="699"/>
      <c r="E77" s="688">
        <v>100830</v>
      </c>
      <c r="F77" s="689">
        <v>4</v>
      </c>
      <c r="G77" s="1025"/>
      <c r="H77" s="690"/>
      <c r="I77" s="1030"/>
      <c r="J77" s="690"/>
      <c r="K77" s="1030"/>
      <c r="L77" s="690"/>
      <c r="M77" s="1025"/>
      <c r="N77" s="1030"/>
      <c r="O77" s="692">
        <f t="shared" si="10"/>
        <v>0</v>
      </c>
      <c r="P77" s="690"/>
      <c r="Q77" s="690"/>
      <c r="R77" s="691">
        <f t="shared" si="11"/>
        <v>0</v>
      </c>
      <c r="S77" s="692">
        <f t="shared" si="12"/>
        <v>0</v>
      </c>
      <c r="T77" s="693">
        <f t="shared" si="13"/>
        <v>0</v>
      </c>
      <c r="U77" s="1035"/>
      <c r="V77" s="690"/>
      <c r="W77" s="1025"/>
      <c r="X77" s="1030"/>
      <c r="Y77" s="694">
        <f t="shared" si="14"/>
        <v>0</v>
      </c>
      <c r="Z77" s="690"/>
      <c r="AA77" s="690"/>
      <c r="AB77" s="695">
        <f t="shared" si="15"/>
        <v>0</v>
      </c>
      <c r="AC77" s="1035"/>
      <c r="AD77" s="690"/>
      <c r="AE77" s="1025"/>
      <c r="AF77" s="1030"/>
      <c r="AG77" s="690"/>
      <c r="AH77" s="690"/>
      <c r="AI77" s="696">
        <f t="shared" si="16"/>
        <v>0</v>
      </c>
      <c r="AJ77" s="697">
        <f t="shared" si="17"/>
        <v>0</v>
      </c>
      <c r="AK77" s="698"/>
      <c r="AL77" s="698"/>
    </row>
    <row r="78" spans="1:38" s="700" customFormat="1" ht="12.75" customHeight="1">
      <c r="A78" s="686" t="s">
        <v>202</v>
      </c>
      <c r="B78" s="686" t="s">
        <v>394</v>
      </c>
      <c r="C78" s="701" t="s">
        <v>434</v>
      </c>
      <c r="D78" s="701"/>
      <c r="E78" s="688">
        <v>100830</v>
      </c>
      <c r="F78" s="689">
        <v>4</v>
      </c>
      <c r="G78" s="1025"/>
      <c r="H78" s="690"/>
      <c r="I78" s="1030">
        <v>269713</v>
      </c>
      <c r="J78" s="690">
        <v>291653</v>
      </c>
      <c r="K78" s="1030"/>
      <c r="L78" s="690"/>
      <c r="M78" s="1025"/>
      <c r="N78" s="1030"/>
      <c r="O78" s="692">
        <f t="shared" si="10"/>
        <v>0</v>
      </c>
      <c r="P78" s="690"/>
      <c r="Q78" s="690"/>
      <c r="R78" s="691">
        <f t="shared" si="11"/>
        <v>0</v>
      </c>
      <c r="S78" s="692">
        <f t="shared" si="12"/>
        <v>269713</v>
      </c>
      <c r="T78" s="693">
        <f t="shared" si="13"/>
        <v>291653</v>
      </c>
      <c r="U78" s="1035"/>
      <c r="V78" s="690"/>
      <c r="W78" s="1025"/>
      <c r="X78" s="1030"/>
      <c r="Y78" s="694">
        <f t="shared" si="14"/>
        <v>0</v>
      </c>
      <c r="Z78" s="690"/>
      <c r="AA78" s="690"/>
      <c r="AB78" s="695">
        <f t="shared" si="15"/>
        <v>0</v>
      </c>
      <c r="AC78" s="1035"/>
      <c r="AD78" s="690"/>
      <c r="AE78" s="1025"/>
      <c r="AF78" s="1030"/>
      <c r="AG78" s="690"/>
      <c r="AH78" s="690"/>
      <c r="AI78" s="696">
        <f t="shared" si="16"/>
        <v>269713</v>
      </c>
      <c r="AJ78" s="697">
        <f t="shared" si="17"/>
        <v>291653</v>
      </c>
      <c r="AK78" s="698"/>
      <c r="AL78" s="698"/>
    </row>
    <row r="79" spans="1:38" s="700" customFormat="1" ht="12.75" customHeight="1">
      <c r="A79" s="686" t="s">
        <v>202</v>
      </c>
      <c r="B79" s="686" t="s">
        <v>394</v>
      </c>
      <c r="C79" s="701" t="s">
        <v>435</v>
      </c>
      <c r="D79" s="701"/>
      <c r="E79" s="688">
        <v>100830</v>
      </c>
      <c r="F79" s="689">
        <v>4</v>
      </c>
      <c r="G79" s="1025"/>
      <c r="H79" s="690"/>
      <c r="I79" s="1030">
        <v>107919</v>
      </c>
      <c r="J79" s="690">
        <v>106995</v>
      </c>
      <c r="K79" s="1030"/>
      <c r="L79" s="690"/>
      <c r="M79" s="1025"/>
      <c r="N79" s="1030"/>
      <c r="O79" s="692">
        <f t="shared" si="10"/>
        <v>0</v>
      </c>
      <c r="P79" s="690"/>
      <c r="Q79" s="690"/>
      <c r="R79" s="691">
        <f t="shared" si="11"/>
        <v>0</v>
      </c>
      <c r="S79" s="692">
        <f t="shared" si="12"/>
        <v>107919</v>
      </c>
      <c r="T79" s="693">
        <f t="shared" si="13"/>
        <v>106995</v>
      </c>
      <c r="U79" s="1035"/>
      <c r="V79" s="690"/>
      <c r="W79" s="1025"/>
      <c r="X79" s="1030"/>
      <c r="Y79" s="694">
        <f t="shared" si="14"/>
        <v>0</v>
      </c>
      <c r="Z79" s="690"/>
      <c r="AA79" s="690"/>
      <c r="AB79" s="695">
        <f t="shared" si="15"/>
        <v>0</v>
      </c>
      <c r="AC79" s="1035"/>
      <c r="AD79" s="690"/>
      <c r="AE79" s="1025"/>
      <c r="AF79" s="1030"/>
      <c r="AG79" s="690"/>
      <c r="AH79" s="690"/>
      <c r="AI79" s="696">
        <f t="shared" si="16"/>
        <v>107919</v>
      </c>
      <c r="AJ79" s="697">
        <f t="shared" si="17"/>
        <v>106995</v>
      </c>
      <c r="AK79" s="698"/>
      <c r="AL79" s="698"/>
    </row>
    <row r="80" spans="1:38" s="700" customFormat="1" ht="12.75" customHeight="1">
      <c r="A80" s="686" t="s">
        <v>202</v>
      </c>
      <c r="B80" s="686" t="s">
        <v>394</v>
      </c>
      <c r="C80" s="701" t="s">
        <v>436</v>
      </c>
      <c r="D80" s="701"/>
      <c r="E80" s="688">
        <v>100830</v>
      </c>
      <c r="F80" s="689">
        <v>4</v>
      </c>
      <c r="G80" s="1025"/>
      <c r="H80" s="690"/>
      <c r="I80" s="1030">
        <v>107919</v>
      </c>
      <c r="J80" s="690">
        <v>106995</v>
      </c>
      <c r="K80" s="1030"/>
      <c r="L80" s="690"/>
      <c r="M80" s="1025"/>
      <c r="N80" s="1030"/>
      <c r="O80" s="692">
        <f t="shared" si="10"/>
        <v>0</v>
      </c>
      <c r="P80" s="690"/>
      <c r="Q80" s="690"/>
      <c r="R80" s="691">
        <f t="shared" si="11"/>
        <v>0</v>
      </c>
      <c r="S80" s="692">
        <f t="shared" si="12"/>
        <v>107919</v>
      </c>
      <c r="T80" s="693">
        <f t="shared" si="13"/>
        <v>106995</v>
      </c>
      <c r="U80" s="1035"/>
      <c r="V80" s="690"/>
      <c r="W80" s="1025"/>
      <c r="X80" s="1030"/>
      <c r="Y80" s="694">
        <f t="shared" si="14"/>
        <v>0</v>
      </c>
      <c r="Z80" s="690"/>
      <c r="AA80" s="690"/>
      <c r="AB80" s="695">
        <f t="shared" si="15"/>
        <v>0</v>
      </c>
      <c r="AC80" s="1035"/>
      <c r="AD80" s="690"/>
      <c r="AE80" s="1025"/>
      <c r="AF80" s="1030"/>
      <c r="AG80" s="690"/>
      <c r="AH80" s="690"/>
      <c r="AI80" s="696">
        <f t="shared" si="16"/>
        <v>107919</v>
      </c>
      <c r="AJ80" s="697">
        <f t="shared" si="17"/>
        <v>106995</v>
      </c>
      <c r="AK80" s="698"/>
      <c r="AL80" s="698"/>
    </row>
    <row r="81" spans="1:38" s="700" customFormat="1" ht="12.75" customHeight="1">
      <c r="A81" s="686" t="s">
        <v>202</v>
      </c>
      <c r="B81" s="686" t="s">
        <v>394</v>
      </c>
      <c r="C81" s="701" t="s">
        <v>492</v>
      </c>
      <c r="D81" s="701"/>
      <c r="E81" s="688">
        <v>100830</v>
      </c>
      <c r="F81" s="689">
        <v>4</v>
      </c>
      <c r="G81" s="1025"/>
      <c r="H81" s="690"/>
      <c r="I81" s="1030">
        <v>543000</v>
      </c>
      <c r="J81" s="690">
        <v>693550</v>
      </c>
      <c r="K81" s="1030"/>
      <c r="L81" s="690"/>
      <c r="M81" s="1025"/>
      <c r="N81" s="1030"/>
      <c r="O81" s="692">
        <f t="shared" si="10"/>
        <v>0</v>
      </c>
      <c r="P81" s="690"/>
      <c r="Q81" s="690"/>
      <c r="R81" s="691">
        <f t="shared" si="11"/>
        <v>0</v>
      </c>
      <c r="S81" s="692">
        <f t="shared" si="12"/>
        <v>543000</v>
      </c>
      <c r="T81" s="693">
        <f t="shared" si="13"/>
        <v>693550</v>
      </c>
      <c r="U81" s="1035"/>
      <c r="V81" s="690"/>
      <c r="W81" s="1025"/>
      <c r="X81" s="1030"/>
      <c r="Y81" s="694">
        <f t="shared" si="14"/>
        <v>0</v>
      </c>
      <c r="Z81" s="690"/>
      <c r="AA81" s="690"/>
      <c r="AB81" s="695">
        <f t="shared" si="15"/>
        <v>0</v>
      </c>
      <c r="AC81" s="1035"/>
      <c r="AD81" s="690"/>
      <c r="AE81" s="1025"/>
      <c r="AF81" s="1030"/>
      <c r="AG81" s="690"/>
      <c r="AH81" s="690"/>
      <c r="AI81" s="696">
        <f t="shared" si="16"/>
        <v>543000</v>
      </c>
      <c r="AJ81" s="697">
        <f t="shared" si="17"/>
        <v>693550</v>
      </c>
      <c r="AK81" s="698"/>
      <c r="AL81" s="698"/>
    </row>
    <row r="82" spans="1:38" s="700" customFormat="1" ht="12.75" customHeight="1">
      <c r="A82" s="686" t="s">
        <v>202</v>
      </c>
      <c r="B82" s="686" t="s">
        <v>394</v>
      </c>
      <c r="C82" s="701" t="s">
        <v>15</v>
      </c>
      <c r="D82" s="701"/>
      <c r="E82" s="688">
        <v>100830</v>
      </c>
      <c r="F82" s="689">
        <v>4</v>
      </c>
      <c r="G82" s="1025"/>
      <c r="H82" s="690"/>
      <c r="I82" s="1030">
        <v>159885</v>
      </c>
      <c r="J82" s="690">
        <v>158515</v>
      </c>
      <c r="K82" s="1030"/>
      <c r="L82" s="690"/>
      <c r="M82" s="1025"/>
      <c r="N82" s="1030"/>
      <c r="O82" s="692">
        <f t="shared" si="10"/>
        <v>0</v>
      </c>
      <c r="P82" s="690"/>
      <c r="Q82" s="690"/>
      <c r="R82" s="691">
        <f t="shared" si="11"/>
        <v>0</v>
      </c>
      <c r="S82" s="692">
        <f t="shared" si="12"/>
        <v>159885</v>
      </c>
      <c r="T82" s="693">
        <f t="shared" si="13"/>
        <v>158515</v>
      </c>
      <c r="U82" s="1035"/>
      <c r="V82" s="690"/>
      <c r="W82" s="1025"/>
      <c r="X82" s="1030"/>
      <c r="Y82" s="694">
        <f t="shared" si="14"/>
        <v>0</v>
      </c>
      <c r="Z82" s="690"/>
      <c r="AA82" s="690"/>
      <c r="AB82" s="695">
        <f t="shared" si="15"/>
        <v>0</v>
      </c>
      <c r="AC82" s="1035"/>
      <c r="AD82" s="690"/>
      <c r="AE82" s="1025"/>
      <c r="AF82" s="1030"/>
      <c r="AG82" s="690"/>
      <c r="AH82" s="690"/>
      <c r="AI82" s="696">
        <f t="shared" si="16"/>
        <v>159885</v>
      </c>
      <c r="AJ82" s="697">
        <f t="shared" si="17"/>
        <v>158515</v>
      </c>
      <c r="AK82" s="698"/>
      <c r="AL82" s="698"/>
    </row>
    <row r="83" spans="1:38" s="700" customFormat="1" ht="12.75" customHeight="1">
      <c r="A83" s="686" t="s">
        <v>202</v>
      </c>
      <c r="B83" s="686" t="s">
        <v>392</v>
      </c>
      <c r="C83" s="687" t="s">
        <v>487</v>
      </c>
      <c r="D83" s="687"/>
      <c r="E83" s="688">
        <v>101879</v>
      </c>
      <c r="F83" s="689">
        <v>4</v>
      </c>
      <c r="G83" s="1025">
        <v>24562345</v>
      </c>
      <c r="H83" s="690">
        <v>24352005</v>
      </c>
      <c r="I83" s="1030"/>
      <c r="J83" s="690"/>
      <c r="K83" s="1030"/>
      <c r="L83" s="690"/>
      <c r="M83" s="1025">
        <v>36203755</v>
      </c>
      <c r="N83" s="1025">
        <v>1321291</v>
      </c>
      <c r="O83" s="692">
        <f t="shared" si="10"/>
        <v>37525046</v>
      </c>
      <c r="P83" s="690">
        <v>37129981</v>
      </c>
      <c r="Q83" s="690">
        <v>1391291</v>
      </c>
      <c r="R83" s="691">
        <f t="shared" si="11"/>
        <v>38521272</v>
      </c>
      <c r="S83" s="692">
        <f t="shared" si="12"/>
        <v>60766100</v>
      </c>
      <c r="T83" s="693">
        <f t="shared" si="13"/>
        <v>61481986</v>
      </c>
      <c r="U83" s="1035"/>
      <c r="V83" s="690"/>
      <c r="W83" s="1025"/>
      <c r="X83" s="1030"/>
      <c r="Y83" s="694">
        <f t="shared" si="14"/>
        <v>0</v>
      </c>
      <c r="Z83" s="690"/>
      <c r="AA83" s="690"/>
      <c r="AB83" s="695">
        <f t="shared" si="15"/>
        <v>0</v>
      </c>
      <c r="AC83" s="1035"/>
      <c r="AD83" s="690"/>
      <c r="AE83" s="1025"/>
      <c r="AF83" s="1030"/>
      <c r="AG83" s="690"/>
      <c r="AH83" s="690"/>
      <c r="AI83" s="696">
        <f t="shared" si="16"/>
        <v>60766100</v>
      </c>
      <c r="AJ83" s="697">
        <f t="shared" si="17"/>
        <v>61481986</v>
      </c>
      <c r="AK83" s="698"/>
      <c r="AL83" s="698"/>
    </row>
    <row r="84" spans="1:38" s="700" customFormat="1" ht="12.75" customHeight="1">
      <c r="A84" s="686" t="s">
        <v>202</v>
      </c>
      <c r="B84" s="686" t="s">
        <v>395</v>
      </c>
      <c r="C84" s="699" t="s">
        <v>386</v>
      </c>
      <c r="D84" s="699"/>
      <c r="E84" s="688">
        <v>101879</v>
      </c>
      <c r="F84" s="689">
        <v>4</v>
      </c>
      <c r="G84" s="1025"/>
      <c r="H84" s="690"/>
      <c r="I84" s="1030"/>
      <c r="J84" s="690"/>
      <c r="K84" s="1030"/>
      <c r="L84" s="690"/>
      <c r="M84" s="1025"/>
      <c r="N84" s="1030"/>
      <c r="O84" s="692">
        <f t="shared" si="10"/>
        <v>0</v>
      </c>
      <c r="P84" s="690"/>
      <c r="Q84" s="690"/>
      <c r="R84" s="691">
        <f t="shared" si="11"/>
        <v>0</v>
      </c>
      <c r="S84" s="692">
        <f t="shared" si="12"/>
        <v>0</v>
      </c>
      <c r="T84" s="693">
        <f t="shared" si="13"/>
        <v>0</v>
      </c>
      <c r="U84" s="1035"/>
      <c r="V84" s="690"/>
      <c r="W84" s="1025"/>
      <c r="X84" s="1030"/>
      <c r="Y84" s="694">
        <f t="shared" si="14"/>
        <v>0</v>
      </c>
      <c r="Z84" s="690"/>
      <c r="AA84" s="690"/>
      <c r="AB84" s="695">
        <f t="shared" si="15"/>
        <v>0</v>
      </c>
      <c r="AC84" s="1035"/>
      <c r="AD84" s="690"/>
      <c r="AE84" s="1025"/>
      <c r="AF84" s="1030"/>
      <c r="AG84" s="690"/>
      <c r="AH84" s="690"/>
      <c r="AI84" s="696">
        <f t="shared" si="16"/>
        <v>0</v>
      </c>
      <c r="AJ84" s="697">
        <f t="shared" si="17"/>
        <v>0</v>
      </c>
      <c r="AK84" s="698"/>
      <c r="AL84" s="698"/>
    </row>
    <row r="85" spans="1:38" s="700" customFormat="1" ht="12.75" customHeight="1">
      <c r="A85" s="686" t="s">
        <v>202</v>
      </c>
      <c r="B85" s="686" t="s">
        <v>395</v>
      </c>
      <c r="C85" s="701" t="s">
        <v>87</v>
      </c>
      <c r="D85" s="701"/>
      <c r="E85" s="688">
        <v>101879</v>
      </c>
      <c r="F85" s="689">
        <v>4</v>
      </c>
      <c r="G85" s="1025"/>
      <c r="H85" s="690"/>
      <c r="I85" s="1155">
        <v>213742</v>
      </c>
      <c r="J85" s="690">
        <v>207330</v>
      </c>
      <c r="K85" s="1030"/>
      <c r="L85" s="690"/>
      <c r="M85" s="1025"/>
      <c r="N85" s="1030"/>
      <c r="O85" s="692">
        <f t="shared" si="10"/>
        <v>0</v>
      </c>
      <c r="P85" s="690"/>
      <c r="Q85" s="690"/>
      <c r="R85" s="691">
        <f t="shared" si="11"/>
        <v>0</v>
      </c>
      <c r="S85" s="692">
        <f t="shared" si="12"/>
        <v>213742</v>
      </c>
      <c r="T85" s="693">
        <f t="shared" si="13"/>
        <v>207330</v>
      </c>
      <c r="U85" s="1035"/>
      <c r="V85" s="690"/>
      <c r="W85" s="1025"/>
      <c r="X85" s="1030"/>
      <c r="Y85" s="694">
        <f t="shared" si="14"/>
        <v>0</v>
      </c>
      <c r="Z85" s="690"/>
      <c r="AA85" s="690"/>
      <c r="AB85" s="695">
        <f t="shared" si="15"/>
        <v>0</v>
      </c>
      <c r="AC85" s="1035"/>
      <c r="AD85" s="690"/>
      <c r="AE85" s="1025"/>
      <c r="AF85" s="1030"/>
      <c r="AG85" s="690"/>
      <c r="AH85" s="690"/>
      <c r="AI85" s="696">
        <f t="shared" si="16"/>
        <v>213742</v>
      </c>
      <c r="AJ85" s="697">
        <f t="shared" si="17"/>
        <v>207330</v>
      </c>
      <c r="AK85" s="698"/>
      <c r="AL85" s="698"/>
    </row>
    <row r="86" spans="1:38" s="700" customFormat="1" ht="12.75" customHeight="1">
      <c r="A86" s="686" t="s">
        <v>202</v>
      </c>
      <c r="B86" s="686" t="s">
        <v>392</v>
      </c>
      <c r="C86" s="687" t="s">
        <v>346</v>
      </c>
      <c r="D86" s="687"/>
      <c r="E86" s="688">
        <v>101709</v>
      </c>
      <c r="F86" s="689">
        <v>5</v>
      </c>
      <c r="G86" s="1025">
        <v>17408183</v>
      </c>
      <c r="H86" s="690">
        <v>17259107</v>
      </c>
      <c r="I86" s="1030"/>
      <c r="J86" s="690"/>
      <c r="K86" s="1030"/>
      <c r="L86" s="690"/>
      <c r="M86" s="1025">
        <v>21134729</v>
      </c>
      <c r="N86" s="1030"/>
      <c r="O86" s="692">
        <f t="shared" si="10"/>
        <v>21134729</v>
      </c>
      <c r="P86" s="690">
        <v>22990507</v>
      </c>
      <c r="Q86" s="690"/>
      <c r="R86" s="691">
        <f t="shared" si="11"/>
        <v>22990507</v>
      </c>
      <c r="S86" s="692">
        <f t="shared" si="12"/>
        <v>38542912</v>
      </c>
      <c r="T86" s="693">
        <f t="shared" si="13"/>
        <v>40249614</v>
      </c>
      <c r="U86" s="1035"/>
      <c r="V86" s="690"/>
      <c r="W86" s="1025"/>
      <c r="X86" s="1030"/>
      <c r="Y86" s="694">
        <f t="shared" si="14"/>
        <v>0</v>
      </c>
      <c r="Z86" s="690"/>
      <c r="AA86" s="690"/>
      <c r="AB86" s="695">
        <f t="shared" si="15"/>
        <v>0</v>
      </c>
      <c r="AC86" s="1035"/>
      <c r="AD86" s="690"/>
      <c r="AE86" s="1025"/>
      <c r="AF86" s="1030"/>
      <c r="AG86" s="690"/>
      <c r="AH86" s="690"/>
      <c r="AI86" s="696">
        <f t="shared" si="16"/>
        <v>38542912</v>
      </c>
      <c r="AJ86" s="697">
        <f t="shared" si="17"/>
        <v>40249614</v>
      </c>
      <c r="AK86" s="698"/>
      <c r="AL86" s="698"/>
    </row>
    <row r="87" spans="1:38" s="700" customFormat="1" ht="12.75" customHeight="1">
      <c r="A87" s="686" t="s">
        <v>202</v>
      </c>
      <c r="B87" s="686" t="s">
        <v>395</v>
      </c>
      <c r="C87" s="699" t="s">
        <v>386</v>
      </c>
      <c r="D87" s="699"/>
      <c r="E87" s="688">
        <v>101709</v>
      </c>
      <c r="F87" s="689">
        <v>5</v>
      </c>
      <c r="G87" s="1025"/>
      <c r="H87" s="690"/>
      <c r="I87" s="1030"/>
      <c r="J87" s="690"/>
      <c r="K87" s="1030"/>
      <c r="L87" s="690"/>
      <c r="M87" s="1025"/>
      <c r="N87" s="1030"/>
      <c r="O87" s="692">
        <f t="shared" si="10"/>
        <v>0</v>
      </c>
      <c r="P87" s="690"/>
      <c r="Q87" s="690"/>
      <c r="R87" s="691">
        <f t="shared" si="11"/>
        <v>0</v>
      </c>
      <c r="S87" s="692">
        <f t="shared" si="12"/>
        <v>0</v>
      </c>
      <c r="T87" s="693">
        <f t="shared" si="13"/>
        <v>0</v>
      </c>
      <c r="U87" s="1035"/>
      <c r="V87" s="690"/>
      <c r="W87" s="1025"/>
      <c r="X87" s="1030"/>
      <c r="Y87" s="694">
        <f t="shared" si="14"/>
        <v>0</v>
      </c>
      <c r="Z87" s="690"/>
      <c r="AA87" s="690"/>
      <c r="AB87" s="695">
        <f t="shared" si="15"/>
        <v>0</v>
      </c>
      <c r="AC87" s="1035"/>
      <c r="AD87" s="690"/>
      <c r="AE87" s="1025"/>
      <c r="AF87" s="1030"/>
      <c r="AG87" s="690"/>
      <c r="AH87" s="690"/>
      <c r="AI87" s="696">
        <f t="shared" si="16"/>
        <v>0</v>
      </c>
      <c r="AJ87" s="697">
        <f t="shared" si="17"/>
        <v>0</v>
      </c>
      <c r="AK87" s="698"/>
      <c r="AL87" s="698"/>
    </row>
    <row r="88" spans="1:38" s="700" customFormat="1" ht="12.75" customHeight="1">
      <c r="A88" s="686" t="s">
        <v>202</v>
      </c>
      <c r="B88" s="686" t="s">
        <v>395</v>
      </c>
      <c r="C88" s="701" t="s">
        <v>87</v>
      </c>
      <c r="D88" s="701"/>
      <c r="E88" s="688">
        <v>101709</v>
      </c>
      <c r="F88" s="689">
        <v>5</v>
      </c>
      <c r="G88" s="1025"/>
      <c r="H88" s="690"/>
      <c r="I88" s="1155">
        <v>246875</v>
      </c>
      <c r="J88" s="690">
        <v>239469</v>
      </c>
      <c r="K88" s="1030"/>
      <c r="L88" s="690"/>
      <c r="M88" s="1025"/>
      <c r="N88" s="1030"/>
      <c r="O88" s="692">
        <f t="shared" si="10"/>
        <v>0</v>
      </c>
      <c r="P88" s="690"/>
      <c r="Q88" s="690"/>
      <c r="R88" s="691">
        <f t="shared" si="11"/>
        <v>0</v>
      </c>
      <c r="S88" s="692">
        <f t="shared" si="12"/>
        <v>246875</v>
      </c>
      <c r="T88" s="693">
        <f t="shared" si="13"/>
        <v>239469</v>
      </c>
      <c r="U88" s="1035"/>
      <c r="V88" s="690"/>
      <c r="W88" s="1025"/>
      <c r="X88" s="1030"/>
      <c r="Y88" s="694">
        <f t="shared" si="14"/>
        <v>0</v>
      </c>
      <c r="Z88" s="690"/>
      <c r="AA88" s="690"/>
      <c r="AB88" s="695">
        <f t="shared" si="15"/>
        <v>0</v>
      </c>
      <c r="AC88" s="1035"/>
      <c r="AD88" s="690"/>
      <c r="AE88" s="1025"/>
      <c r="AF88" s="1030"/>
      <c r="AG88" s="690"/>
      <c r="AH88" s="690"/>
      <c r="AI88" s="696">
        <f t="shared" si="16"/>
        <v>246875</v>
      </c>
      <c r="AJ88" s="697">
        <f t="shared" si="17"/>
        <v>239469</v>
      </c>
      <c r="AK88" s="698"/>
      <c r="AL88" s="698"/>
    </row>
    <row r="89" spans="1:38" s="700" customFormat="1" ht="12.75" customHeight="1">
      <c r="A89" s="686" t="s">
        <v>202</v>
      </c>
      <c r="B89" s="686" t="s">
        <v>392</v>
      </c>
      <c r="C89" s="687" t="s">
        <v>347</v>
      </c>
      <c r="D89" s="687"/>
      <c r="E89" s="688">
        <v>101587</v>
      </c>
      <c r="F89" s="689">
        <v>5</v>
      </c>
      <c r="G89" s="1025">
        <v>11477236</v>
      </c>
      <c r="H89" s="690">
        <v>12154951</v>
      </c>
      <c r="I89" s="1030"/>
      <c r="J89" s="690"/>
      <c r="K89" s="1030"/>
      <c r="L89" s="690"/>
      <c r="M89" s="1025">
        <v>9776437</v>
      </c>
      <c r="N89" s="1025"/>
      <c r="O89" s="692">
        <f t="shared" si="10"/>
        <v>9776437</v>
      </c>
      <c r="P89" s="690">
        <v>10108178</v>
      </c>
      <c r="Q89" s="690"/>
      <c r="R89" s="691">
        <f t="shared" si="11"/>
        <v>10108178</v>
      </c>
      <c r="S89" s="692">
        <f t="shared" si="12"/>
        <v>21253673</v>
      </c>
      <c r="T89" s="693">
        <f t="shared" si="13"/>
        <v>22263129</v>
      </c>
      <c r="U89" s="1035"/>
      <c r="V89" s="690"/>
      <c r="W89" s="1025"/>
      <c r="X89" s="1030"/>
      <c r="Y89" s="694">
        <f t="shared" si="14"/>
        <v>0</v>
      </c>
      <c r="Z89" s="690"/>
      <c r="AA89" s="690"/>
      <c r="AB89" s="695">
        <f t="shared" si="15"/>
        <v>0</v>
      </c>
      <c r="AC89" s="1035"/>
      <c r="AD89" s="690"/>
      <c r="AE89" s="1025"/>
      <c r="AF89" s="1030"/>
      <c r="AG89" s="690"/>
      <c r="AH89" s="690"/>
      <c r="AI89" s="696">
        <f t="shared" si="16"/>
        <v>21253673</v>
      </c>
      <c r="AJ89" s="697">
        <f t="shared" si="17"/>
        <v>22263129</v>
      </c>
      <c r="AK89" s="698"/>
      <c r="AL89" s="698"/>
    </row>
    <row r="90" spans="1:38" s="700" customFormat="1" ht="12.75" customHeight="1">
      <c r="A90" s="686" t="s">
        <v>202</v>
      </c>
      <c r="B90" s="686" t="s">
        <v>394</v>
      </c>
      <c r="C90" s="699" t="s">
        <v>451</v>
      </c>
      <c r="D90" s="699"/>
      <c r="E90" s="688">
        <v>101587</v>
      </c>
      <c r="F90" s="689">
        <v>5</v>
      </c>
      <c r="G90" s="1025"/>
      <c r="H90" s="690"/>
      <c r="I90" s="1030"/>
      <c r="J90" s="690"/>
      <c r="K90" s="1030"/>
      <c r="L90" s="690"/>
      <c r="M90" s="1025"/>
      <c r="N90" s="1030"/>
      <c r="O90" s="692">
        <f t="shared" si="10"/>
        <v>0</v>
      </c>
      <c r="P90" s="690"/>
      <c r="Q90" s="690"/>
      <c r="R90" s="691">
        <f t="shared" si="11"/>
        <v>0</v>
      </c>
      <c r="S90" s="692">
        <f t="shared" si="12"/>
        <v>0</v>
      </c>
      <c r="T90" s="693">
        <f t="shared" si="13"/>
        <v>0</v>
      </c>
      <c r="U90" s="1035"/>
      <c r="V90" s="690"/>
      <c r="W90" s="1025"/>
      <c r="X90" s="1030"/>
      <c r="Y90" s="694">
        <f t="shared" si="14"/>
        <v>0</v>
      </c>
      <c r="Z90" s="690"/>
      <c r="AA90" s="690"/>
      <c r="AB90" s="695">
        <f t="shared" si="15"/>
        <v>0</v>
      </c>
      <c r="AC90" s="1035"/>
      <c r="AD90" s="690"/>
      <c r="AE90" s="1025"/>
      <c r="AF90" s="1030"/>
      <c r="AG90" s="690"/>
      <c r="AH90" s="690"/>
      <c r="AI90" s="696">
        <f t="shared" si="16"/>
        <v>0</v>
      </c>
      <c r="AJ90" s="697">
        <f t="shared" si="17"/>
        <v>0</v>
      </c>
      <c r="AK90" s="698"/>
      <c r="AL90" s="698"/>
    </row>
    <row r="91" spans="1:38" s="700" customFormat="1" ht="12.75" customHeight="1">
      <c r="A91" s="686" t="s">
        <v>202</v>
      </c>
      <c r="B91" s="686" t="s">
        <v>394</v>
      </c>
      <c r="C91" s="701" t="s">
        <v>493</v>
      </c>
      <c r="D91" s="701"/>
      <c r="E91" s="688">
        <v>101587</v>
      </c>
      <c r="F91" s="689">
        <v>5</v>
      </c>
      <c r="G91" s="1025"/>
      <c r="H91" s="690"/>
      <c r="I91" s="1030">
        <v>696617</v>
      </c>
      <c r="J91" s="690">
        <v>690652</v>
      </c>
      <c r="K91" s="1030"/>
      <c r="L91" s="690"/>
      <c r="M91" s="1025"/>
      <c r="N91" s="1030"/>
      <c r="O91" s="692">
        <f t="shared" si="10"/>
        <v>0</v>
      </c>
      <c r="P91" s="690"/>
      <c r="Q91" s="690"/>
      <c r="R91" s="691">
        <f t="shared" si="11"/>
        <v>0</v>
      </c>
      <c r="S91" s="692">
        <f t="shared" si="12"/>
        <v>696617</v>
      </c>
      <c r="T91" s="693">
        <f t="shared" si="13"/>
        <v>690652</v>
      </c>
      <c r="U91" s="1035"/>
      <c r="V91" s="690"/>
      <c r="W91" s="1025"/>
      <c r="X91" s="1030"/>
      <c r="Y91" s="694">
        <f t="shared" si="14"/>
        <v>0</v>
      </c>
      <c r="Z91" s="690"/>
      <c r="AA91" s="690"/>
      <c r="AB91" s="695">
        <f t="shared" si="15"/>
        <v>0</v>
      </c>
      <c r="AC91" s="1035"/>
      <c r="AD91" s="690"/>
      <c r="AE91" s="1025"/>
      <c r="AF91" s="1030"/>
      <c r="AG91" s="690"/>
      <c r="AH91" s="690"/>
      <c r="AI91" s="696">
        <f t="shared" si="16"/>
        <v>696617</v>
      </c>
      <c r="AJ91" s="697">
        <f t="shared" si="17"/>
        <v>690652</v>
      </c>
      <c r="AK91" s="698"/>
      <c r="AL91" s="698"/>
    </row>
    <row r="92" spans="1:38" s="700" customFormat="1" ht="12.75" customHeight="1">
      <c r="A92" s="686" t="s">
        <v>202</v>
      </c>
      <c r="B92" s="686" t="s">
        <v>394</v>
      </c>
      <c r="C92" s="701" t="s">
        <v>348</v>
      </c>
      <c r="D92" s="701"/>
      <c r="E92" s="688">
        <v>101587</v>
      </c>
      <c r="F92" s="689">
        <v>5</v>
      </c>
      <c r="G92" s="1025"/>
      <c r="H92" s="690"/>
      <c r="I92" s="1030">
        <v>199855</v>
      </c>
      <c r="J92" s="690">
        <v>198143</v>
      </c>
      <c r="K92" s="1030"/>
      <c r="L92" s="690"/>
      <c r="M92" s="1025"/>
      <c r="N92" s="1030"/>
      <c r="O92" s="692">
        <f t="shared" si="10"/>
        <v>0</v>
      </c>
      <c r="P92" s="690"/>
      <c r="Q92" s="690"/>
      <c r="R92" s="691">
        <f t="shared" si="11"/>
        <v>0</v>
      </c>
      <c r="S92" s="692">
        <f t="shared" si="12"/>
        <v>199855</v>
      </c>
      <c r="T92" s="693">
        <f t="shared" si="13"/>
        <v>198143</v>
      </c>
      <c r="U92" s="1035"/>
      <c r="V92" s="690"/>
      <c r="W92" s="1025"/>
      <c r="X92" s="1030"/>
      <c r="Y92" s="694">
        <f t="shared" si="14"/>
        <v>0</v>
      </c>
      <c r="Z92" s="690"/>
      <c r="AA92" s="690"/>
      <c r="AB92" s="695">
        <f t="shared" si="15"/>
        <v>0</v>
      </c>
      <c r="AC92" s="1035"/>
      <c r="AD92" s="690"/>
      <c r="AE92" s="1025"/>
      <c r="AF92" s="1030"/>
      <c r="AG92" s="690"/>
      <c r="AH92" s="690"/>
      <c r="AI92" s="696">
        <f t="shared" si="16"/>
        <v>199855</v>
      </c>
      <c r="AJ92" s="697">
        <f t="shared" si="17"/>
        <v>198143</v>
      </c>
      <c r="AK92" s="698"/>
      <c r="AL92" s="698"/>
    </row>
    <row r="93" spans="1:38" s="700" customFormat="1" ht="12.75" customHeight="1">
      <c r="A93" s="686" t="s">
        <v>202</v>
      </c>
      <c r="B93" s="686" t="s">
        <v>394</v>
      </c>
      <c r="C93" s="701" t="s">
        <v>308</v>
      </c>
      <c r="D93" s="701"/>
      <c r="E93" s="688">
        <v>101587</v>
      </c>
      <c r="F93" s="689">
        <v>5</v>
      </c>
      <c r="G93" s="1025"/>
      <c r="H93" s="690"/>
      <c r="I93" s="1030">
        <v>99927</v>
      </c>
      <c r="J93" s="690">
        <v>99072</v>
      </c>
      <c r="K93" s="1030"/>
      <c r="L93" s="690"/>
      <c r="M93" s="1025"/>
      <c r="N93" s="1030"/>
      <c r="O93" s="692">
        <f t="shared" si="10"/>
        <v>0</v>
      </c>
      <c r="P93" s="690"/>
      <c r="Q93" s="690"/>
      <c r="R93" s="691">
        <f t="shared" si="11"/>
        <v>0</v>
      </c>
      <c r="S93" s="692">
        <f t="shared" si="12"/>
        <v>99927</v>
      </c>
      <c r="T93" s="693">
        <f t="shared" si="13"/>
        <v>99072</v>
      </c>
      <c r="U93" s="1035"/>
      <c r="V93" s="690"/>
      <c r="W93" s="1025"/>
      <c r="X93" s="1030"/>
      <c r="Y93" s="694">
        <f t="shared" si="14"/>
        <v>0</v>
      </c>
      <c r="Z93" s="690"/>
      <c r="AA93" s="690"/>
      <c r="AB93" s="695">
        <f t="shared" si="15"/>
        <v>0</v>
      </c>
      <c r="AC93" s="1035"/>
      <c r="AD93" s="690"/>
      <c r="AE93" s="1025"/>
      <c r="AF93" s="1030"/>
      <c r="AG93" s="690"/>
      <c r="AH93" s="690"/>
      <c r="AI93" s="696">
        <f t="shared" si="16"/>
        <v>99927</v>
      </c>
      <c r="AJ93" s="697">
        <f t="shared" si="17"/>
        <v>99072</v>
      </c>
      <c r="AK93" s="698"/>
      <c r="AL93" s="698"/>
    </row>
    <row r="94" spans="1:38" s="700" customFormat="1" ht="12.75" customHeight="1">
      <c r="A94" s="686" t="s">
        <v>202</v>
      </c>
      <c r="B94" s="686" t="s">
        <v>394</v>
      </c>
      <c r="C94" s="701" t="s">
        <v>309</v>
      </c>
      <c r="D94" s="701"/>
      <c r="E94" s="688">
        <v>101587</v>
      </c>
      <c r="F94" s="689">
        <v>5</v>
      </c>
      <c r="G94" s="1025"/>
      <c r="H94" s="690"/>
      <c r="I94" s="1030">
        <v>226930</v>
      </c>
      <c r="J94" s="690">
        <v>273487</v>
      </c>
      <c r="K94" s="1030"/>
      <c r="L94" s="690"/>
      <c r="M94" s="1025"/>
      <c r="N94" s="1030"/>
      <c r="O94" s="692">
        <f t="shared" si="10"/>
        <v>0</v>
      </c>
      <c r="P94" s="690"/>
      <c r="Q94" s="690"/>
      <c r="R94" s="691">
        <f t="shared" si="11"/>
        <v>0</v>
      </c>
      <c r="S94" s="692">
        <f t="shared" si="12"/>
        <v>226930</v>
      </c>
      <c r="T94" s="693">
        <f t="shared" si="13"/>
        <v>273487</v>
      </c>
      <c r="U94" s="1035"/>
      <c r="V94" s="690"/>
      <c r="W94" s="1025"/>
      <c r="X94" s="1030"/>
      <c r="Y94" s="694">
        <f t="shared" si="14"/>
        <v>0</v>
      </c>
      <c r="Z94" s="690"/>
      <c r="AA94" s="690"/>
      <c r="AB94" s="695">
        <f t="shared" si="15"/>
        <v>0</v>
      </c>
      <c r="AC94" s="1035"/>
      <c r="AD94" s="690"/>
      <c r="AE94" s="1025"/>
      <c r="AF94" s="1030"/>
      <c r="AG94" s="690"/>
      <c r="AH94" s="690"/>
      <c r="AI94" s="696">
        <f t="shared" si="16"/>
        <v>226930</v>
      </c>
      <c r="AJ94" s="697">
        <f t="shared" si="17"/>
        <v>273487</v>
      </c>
      <c r="AK94" s="698"/>
      <c r="AL94" s="698"/>
    </row>
    <row r="95" spans="1:38" s="700" customFormat="1" ht="12.75" customHeight="1">
      <c r="A95" s="686" t="s">
        <v>202</v>
      </c>
      <c r="B95" s="686" t="s">
        <v>394</v>
      </c>
      <c r="C95" s="701" t="s">
        <v>310</v>
      </c>
      <c r="D95" s="701"/>
      <c r="E95" s="688">
        <v>101587</v>
      </c>
      <c r="F95" s="689">
        <v>5</v>
      </c>
      <c r="G95" s="1025"/>
      <c r="H95" s="690"/>
      <c r="I95" s="1030">
        <v>35974</v>
      </c>
      <c r="J95" s="690">
        <v>35666</v>
      </c>
      <c r="K95" s="1030"/>
      <c r="L95" s="690"/>
      <c r="M95" s="1025"/>
      <c r="N95" s="1030"/>
      <c r="O95" s="692">
        <f t="shared" si="10"/>
        <v>0</v>
      </c>
      <c r="P95" s="690"/>
      <c r="Q95" s="690"/>
      <c r="R95" s="691">
        <f t="shared" si="11"/>
        <v>0</v>
      </c>
      <c r="S95" s="692">
        <f t="shared" si="12"/>
        <v>35974</v>
      </c>
      <c r="T95" s="693">
        <f t="shared" si="13"/>
        <v>35666</v>
      </c>
      <c r="U95" s="1035"/>
      <c r="V95" s="690"/>
      <c r="W95" s="1025"/>
      <c r="X95" s="1030"/>
      <c r="Y95" s="694">
        <f t="shared" si="14"/>
        <v>0</v>
      </c>
      <c r="Z95" s="690"/>
      <c r="AA95" s="690"/>
      <c r="AB95" s="695">
        <f t="shared" si="15"/>
        <v>0</v>
      </c>
      <c r="AC95" s="1035"/>
      <c r="AD95" s="690"/>
      <c r="AE95" s="1025"/>
      <c r="AF95" s="1030"/>
      <c r="AG95" s="690"/>
      <c r="AH95" s="690"/>
      <c r="AI95" s="696">
        <f t="shared" si="16"/>
        <v>35974</v>
      </c>
      <c r="AJ95" s="697">
        <f t="shared" si="17"/>
        <v>35666</v>
      </c>
      <c r="AK95" s="698"/>
      <c r="AL95" s="698"/>
    </row>
    <row r="96" spans="1:38" s="700" customFormat="1" ht="12.75" customHeight="1">
      <c r="A96" s="686" t="s">
        <v>202</v>
      </c>
      <c r="B96" s="686" t="s">
        <v>394</v>
      </c>
      <c r="C96" s="701" t="s">
        <v>580</v>
      </c>
      <c r="D96" s="701"/>
      <c r="E96" s="688">
        <v>101587</v>
      </c>
      <c r="F96" s="689">
        <v>5</v>
      </c>
      <c r="G96" s="1025"/>
      <c r="H96" s="690"/>
      <c r="I96" s="1030"/>
      <c r="J96" s="690">
        <v>66930</v>
      </c>
      <c r="K96" s="1030"/>
      <c r="L96" s="690"/>
      <c r="M96" s="1025"/>
      <c r="N96" s="1030"/>
      <c r="O96" s="692">
        <f t="shared" si="10"/>
        <v>0</v>
      </c>
      <c r="P96" s="690"/>
      <c r="Q96" s="690"/>
      <c r="R96" s="691">
        <f t="shared" si="11"/>
        <v>0</v>
      </c>
      <c r="S96" s="692">
        <f t="shared" si="12"/>
        <v>0</v>
      </c>
      <c r="T96" s="693">
        <f t="shared" si="13"/>
        <v>66930</v>
      </c>
      <c r="U96" s="1035"/>
      <c r="V96" s="690"/>
      <c r="W96" s="1025"/>
      <c r="X96" s="1030"/>
      <c r="Y96" s="694">
        <f t="shared" si="14"/>
        <v>0</v>
      </c>
      <c r="Z96" s="690"/>
      <c r="AA96" s="690"/>
      <c r="AB96" s="695">
        <f t="shared" si="15"/>
        <v>0</v>
      </c>
      <c r="AC96" s="1035"/>
      <c r="AD96" s="690"/>
      <c r="AE96" s="1025"/>
      <c r="AF96" s="1030"/>
      <c r="AG96" s="690"/>
      <c r="AH96" s="690"/>
      <c r="AI96" s="696">
        <f t="shared" si="16"/>
        <v>0</v>
      </c>
      <c r="AJ96" s="697">
        <f t="shared" si="17"/>
        <v>66930</v>
      </c>
      <c r="AK96" s="698"/>
      <c r="AL96" s="698"/>
    </row>
    <row r="97" spans="1:38" s="700" customFormat="1" ht="12.75" customHeight="1">
      <c r="A97" s="686" t="s">
        <v>202</v>
      </c>
      <c r="B97" s="686" t="s">
        <v>392</v>
      </c>
      <c r="C97" s="687" t="s">
        <v>349</v>
      </c>
      <c r="D97" s="687"/>
      <c r="E97" s="702">
        <v>100812</v>
      </c>
      <c r="F97" s="689">
        <v>6</v>
      </c>
      <c r="G97" s="1025">
        <v>10901246</v>
      </c>
      <c r="H97" s="690">
        <v>10807893</v>
      </c>
      <c r="I97" s="1030"/>
      <c r="J97" s="690"/>
      <c r="K97" s="1030"/>
      <c r="L97" s="690"/>
      <c r="M97" s="1025">
        <v>13755690</v>
      </c>
      <c r="N97" s="1025">
        <v>1078352</v>
      </c>
      <c r="O97" s="692">
        <f t="shared" si="10"/>
        <v>14834042</v>
      </c>
      <c r="P97" s="690">
        <v>15200820</v>
      </c>
      <c r="Q97" s="690">
        <v>1200000</v>
      </c>
      <c r="R97" s="691">
        <f t="shared" si="11"/>
        <v>16400820</v>
      </c>
      <c r="S97" s="692">
        <f t="shared" si="12"/>
        <v>24656936</v>
      </c>
      <c r="T97" s="693">
        <f t="shared" si="13"/>
        <v>26008713</v>
      </c>
      <c r="U97" s="1035"/>
      <c r="V97" s="690"/>
      <c r="W97" s="1025"/>
      <c r="X97" s="1030"/>
      <c r="Y97" s="694">
        <f t="shared" si="14"/>
        <v>0</v>
      </c>
      <c r="Z97" s="690"/>
      <c r="AA97" s="690"/>
      <c r="AB97" s="695">
        <f t="shared" si="15"/>
        <v>0</v>
      </c>
      <c r="AC97" s="1035"/>
      <c r="AD97" s="690"/>
      <c r="AE97" s="1025"/>
      <c r="AF97" s="1030"/>
      <c r="AG97" s="690"/>
      <c r="AH97" s="690"/>
      <c r="AI97" s="696">
        <f t="shared" si="16"/>
        <v>24656936</v>
      </c>
      <c r="AJ97" s="697">
        <f t="shared" si="17"/>
        <v>26008713</v>
      </c>
      <c r="AK97" s="698"/>
      <c r="AL97" s="698"/>
    </row>
    <row r="98" spans="1:38" s="700" customFormat="1" ht="12.75" customHeight="1">
      <c r="A98" s="686" t="s">
        <v>202</v>
      </c>
      <c r="B98" s="686" t="s">
        <v>395</v>
      </c>
      <c r="C98" s="699" t="s">
        <v>386</v>
      </c>
      <c r="D98" s="699"/>
      <c r="E98" s="702">
        <v>100812</v>
      </c>
      <c r="F98" s="689">
        <v>6</v>
      </c>
      <c r="G98" s="1025"/>
      <c r="H98" s="690"/>
      <c r="I98" s="1030"/>
      <c r="J98" s="690"/>
      <c r="K98" s="1030"/>
      <c r="L98" s="690"/>
      <c r="M98" s="1025"/>
      <c r="N98" s="1030"/>
      <c r="O98" s="692">
        <f t="shared" si="10"/>
        <v>0</v>
      </c>
      <c r="P98" s="690"/>
      <c r="Q98" s="690"/>
      <c r="R98" s="691">
        <f t="shared" si="11"/>
        <v>0</v>
      </c>
      <c r="S98" s="692">
        <f t="shared" si="12"/>
        <v>0</v>
      </c>
      <c r="T98" s="693">
        <f t="shared" si="13"/>
        <v>0</v>
      </c>
      <c r="U98" s="1035"/>
      <c r="V98" s="690"/>
      <c r="W98" s="1025"/>
      <c r="X98" s="1030"/>
      <c r="Y98" s="694">
        <f t="shared" si="14"/>
        <v>0</v>
      </c>
      <c r="Z98" s="690"/>
      <c r="AA98" s="690"/>
      <c r="AB98" s="695">
        <f t="shared" si="15"/>
        <v>0</v>
      </c>
      <c r="AC98" s="1035"/>
      <c r="AD98" s="690"/>
      <c r="AE98" s="1025"/>
      <c r="AF98" s="1030"/>
      <c r="AG98" s="690"/>
      <c r="AH98" s="690"/>
      <c r="AI98" s="696">
        <f t="shared" si="16"/>
        <v>0</v>
      </c>
      <c r="AJ98" s="697">
        <f t="shared" si="17"/>
        <v>0</v>
      </c>
      <c r="AK98" s="698"/>
      <c r="AL98" s="698"/>
    </row>
    <row r="99" spans="1:38" s="700" customFormat="1" ht="12.75" customHeight="1">
      <c r="A99" s="686" t="s">
        <v>202</v>
      </c>
      <c r="B99" s="686" t="s">
        <v>395</v>
      </c>
      <c r="C99" s="701" t="s">
        <v>87</v>
      </c>
      <c r="D99" s="701"/>
      <c r="E99" s="702">
        <v>100812</v>
      </c>
      <c r="F99" s="689">
        <v>6</v>
      </c>
      <c r="G99" s="1025"/>
      <c r="H99" s="690"/>
      <c r="I99" s="1155">
        <v>230460</v>
      </c>
      <c r="J99" s="690">
        <v>223546</v>
      </c>
      <c r="K99" s="1030"/>
      <c r="L99" s="690"/>
      <c r="M99" s="1025"/>
      <c r="N99" s="1030"/>
      <c r="O99" s="692">
        <f t="shared" si="10"/>
        <v>0</v>
      </c>
      <c r="P99" s="690"/>
      <c r="Q99" s="690"/>
      <c r="R99" s="691">
        <f t="shared" si="11"/>
        <v>0</v>
      </c>
      <c r="S99" s="692">
        <f t="shared" si="12"/>
        <v>230460</v>
      </c>
      <c r="T99" s="693">
        <f t="shared" si="13"/>
        <v>223546</v>
      </c>
      <c r="U99" s="1035"/>
      <c r="V99" s="690"/>
      <c r="W99" s="1025"/>
      <c r="X99" s="1030"/>
      <c r="Y99" s="694">
        <f t="shared" si="14"/>
        <v>0</v>
      </c>
      <c r="Z99" s="690"/>
      <c r="AA99" s="690"/>
      <c r="AB99" s="695">
        <f t="shared" si="15"/>
        <v>0</v>
      </c>
      <c r="AC99" s="1035"/>
      <c r="AD99" s="690"/>
      <c r="AE99" s="1025"/>
      <c r="AF99" s="1030"/>
      <c r="AG99" s="690"/>
      <c r="AH99" s="690"/>
      <c r="AI99" s="696">
        <f t="shared" si="16"/>
        <v>230460</v>
      </c>
      <c r="AJ99" s="697">
        <f t="shared" si="17"/>
        <v>223546</v>
      </c>
      <c r="AK99" s="698"/>
      <c r="AL99" s="698"/>
    </row>
    <row r="100" spans="1:38" s="700" customFormat="1" ht="12.75" customHeight="1">
      <c r="A100" s="686" t="s">
        <v>202</v>
      </c>
      <c r="B100" s="686" t="s">
        <v>392</v>
      </c>
      <c r="C100" s="687" t="s">
        <v>350</v>
      </c>
      <c r="D100" s="687"/>
      <c r="E100" s="688">
        <v>101514</v>
      </c>
      <c r="F100" s="689">
        <v>8</v>
      </c>
      <c r="G100" s="1025">
        <v>20041648</v>
      </c>
      <c r="H100" s="690">
        <v>20165437</v>
      </c>
      <c r="I100" s="1030"/>
      <c r="J100" s="690"/>
      <c r="K100" s="1030"/>
      <c r="L100" s="690"/>
      <c r="M100" s="1025">
        <v>25768727.579999998</v>
      </c>
      <c r="N100" s="1025">
        <v>2927007</v>
      </c>
      <c r="O100" s="692">
        <f t="shared" si="10"/>
        <v>28695734.579999998</v>
      </c>
      <c r="P100" s="690">
        <v>26975134</v>
      </c>
      <c r="Q100" s="690">
        <v>2966656</v>
      </c>
      <c r="R100" s="691">
        <f t="shared" si="11"/>
        <v>29941790</v>
      </c>
      <c r="S100" s="692">
        <f t="shared" si="12"/>
        <v>45810375.579999998</v>
      </c>
      <c r="T100" s="693">
        <f t="shared" si="13"/>
        <v>47140571</v>
      </c>
      <c r="U100" s="1035"/>
      <c r="V100" s="690"/>
      <c r="W100" s="1025"/>
      <c r="X100" s="1030"/>
      <c r="Y100" s="694">
        <f t="shared" si="14"/>
        <v>0</v>
      </c>
      <c r="Z100" s="690"/>
      <c r="AA100" s="690"/>
      <c r="AB100" s="695">
        <f t="shared" si="15"/>
        <v>0</v>
      </c>
      <c r="AC100" s="1035"/>
      <c r="AD100" s="690"/>
      <c r="AE100" s="1025"/>
      <c r="AF100" s="1030"/>
      <c r="AG100" s="690"/>
      <c r="AH100" s="690"/>
      <c r="AI100" s="696">
        <f t="shared" si="16"/>
        <v>45810375.579999998</v>
      </c>
      <c r="AJ100" s="697">
        <f t="shared" si="17"/>
        <v>47140571</v>
      </c>
      <c r="AK100" s="698"/>
      <c r="AL100" s="698"/>
    </row>
    <row r="101" spans="1:38" s="700" customFormat="1" ht="12.75" customHeight="1">
      <c r="A101" s="686" t="s">
        <v>202</v>
      </c>
      <c r="B101" s="686" t="s">
        <v>400</v>
      </c>
      <c r="C101" s="699" t="s">
        <v>484</v>
      </c>
      <c r="D101" s="699"/>
      <c r="E101" s="688">
        <v>101514</v>
      </c>
      <c r="F101" s="689">
        <v>8</v>
      </c>
      <c r="G101" s="1025"/>
      <c r="H101" s="690"/>
      <c r="I101" s="1030"/>
      <c r="J101" s="690"/>
      <c r="K101" s="1030"/>
      <c r="L101" s="690"/>
      <c r="M101" s="1025"/>
      <c r="N101" s="1030"/>
      <c r="O101" s="692">
        <f t="shared" si="10"/>
        <v>0</v>
      </c>
      <c r="P101" s="690"/>
      <c r="Q101" s="690"/>
      <c r="R101" s="691">
        <f t="shared" si="11"/>
        <v>0</v>
      </c>
      <c r="S101" s="692">
        <f t="shared" si="12"/>
        <v>0</v>
      </c>
      <c r="T101" s="693">
        <f t="shared" si="13"/>
        <v>0</v>
      </c>
      <c r="U101" s="1035"/>
      <c r="V101" s="690"/>
      <c r="W101" s="1025"/>
      <c r="X101" s="1030"/>
      <c r="Y101" s="694">
        <f t="shared" si="14"/>
        <v>0</v>
      </c>
      <c r="Z101" s="690"/>
      <c r="AA101" s="690"/>
      <c r="AB101" s="695">
        <f t="shared" si="15"/>
        <v>0</v>
      </c>
      <c r="AC101" s="1035"/>
      <c r="AD101" s="690"/>
      <c r="AE101" s="1025"/>
      <c r="AF101" s="1030"/>
      <c r="AG101" s="690"/>
      <c r="AH101" s="690"/>
      <c r="AI101" s="696">
        <f t="shared" si="16"/>
        <v>0</v>
      </c>
      <c r="AJ101" s="697">
        <f t="shared" si="17"/>
        <v>0</v>
      </c>
      <c r="AK101" s="698"/>
      <c r="AL101" s="698"/>
    </row>
    <row r="102" spans="1:38" s="700" customFormat="1" ht="12.75" customHeight="1">
      <c r="A102" s="686" t="s">
        <v>202</v>
      </c>
      <c r="B102" s="686" t="s">
        <v>400</v>
      </c>
      <c r="C102" s="701" t="s">
        <v>352</v>
      </c>
      <c r="D102" s="701"/>
      <c r="E102" s="688">
        <v>101514</v>
      </c>
      <c r="F102" s="689">
        <v>8</v>
      </c>
      <c r="G102" s="1025"/>
      <c r="H102" s="690"/>
      <c r="I102" s="1030">
        <v>17705.490000000002</v>
      </c>
      <c r="J102" s="690">
        <v>208160</v>
      </c>
      <c r="K102" s="1030"/>
      <c r="L102" s="690"/>
      <c r="M102" s="1025"/>
      <c r="N102" s="1030"/>
      <c r="O102" s="692">
        <f t="shared" si="10"/>
        <v>0</v>
      </c>
      <c r="P102" s="690"/>
      <c r="Q102" s="690"/>
      <c r="R102" s="691">
        <f t="shared" si="11"/>
        <v>0</v>
      </c>
      <c r="S102" s="692">
        <f t="shared" si="12"/>
        <v>17705.490000000002</v>
      </c>
      <c r="T102" s="693">
        <f t="shared" si="13"/>
        <v>208160</v>
      </c>
      <c r="U102" s="1035"/>
      <c r="V102" s="690"/>
      <c r="W102" s="1025"/>
      <c r="X102" s="1030"/>
      <c r="Y102" s="694">
        <f t="shared" si="14"/>
        <v>0</v>
      </c>
      <c r="Z102" s="690"/>
      <c r="AA102" s="690"/>
      <c r="AB102" s="695">
        <f t="shared" si="15"/>
        <v>0</v>
      </c>
      <c r="AC102" s="1035"/>
      <c r="AD102" s="690"/>
      <c r="AE102" s="1025"/>
      <c r="AF102" s="1030"/>
      <c r="AG102" s="690"/>
      <c r="AH102" s="690"/>
      <c r="AI102" s="696">
        <f t="shared" si="16"/>
        <v>17705.490000000002</v>
      </c>
      <c r="AJ102" s="697">
        <f t="shared" si="17"/>
        <v>208160</v>
      </c>
      <c r="AK102" s="698"/>
      <c r="AL102" s="698"/>
    </row>
    <row r="103" spans="1:38" s="700" customFormat="1" ht="12.75" customHeight="1">
      <c r="A103" s="686" t="s">
        <v>202</v>
      </c>
      <c r="B103" s="686" t="s">
        <v>400</v>
      </c>
      <c r="C103" s="701" t="s">
        <v>315</v>
      </c>
      <c r="D103" s="701"/>
      <c r="E103" s="688">
        <v>101514</v>
      </c>
      <c r="F103" s="689">
        <v>8</v>
      </c>
      <c r="G103" s="1025"/>
      <c r="H103" s="690"/>
      <c r="I103" s="1030">
        <v>216419.59</v>
      </c>
      <c r="J103" s="690">
        <v>270569</v>
      </c>
      <c r="K103" s="1030"/>
      <c r="L103" s="690"/>
      <c r="M103" s="1025"/>
      <c r="N103" s="1030"/>
      <c r="O103" s="692">
        <f t="shared" si="10"/>
        <v>0</v>
      </c>
      <c r="P103" s="690"/>
      <c r="Q103" s="690"/>
      <c r="R103" s="691">
        <f t="shared" si="11"/>
        <v>0</v>
      </c>
      <c r="S103" s="692">
        <f t="shared" si="12"/>
        <v>216419.59</v>
      </c>
      <c r="T103" s="693">
        <f t="shared" si="13"/>
        <v>270569</v>
      </c>
      <c r="U103" s="1035"/>
      <c r="V103" s="690"/>
      <c r="W103" s="1025"/>
      <c r="X103" s="1030"/>
      <c r="Y103" s="694">
        <f t="shared" si="14"/>
        <v>0</v>
      </c>
      <c r="Z103" s="690"/>
      <c r="AA103" s="690"/>
      <c r="AB103" s="695">
        <f t="shared" si="15"/>
        <v>0</v>
      </c>
      <c r="AC103" s="1035"/>
      <c r="AD103" s="690"/>
      <c r="AE103" s="1025"/>
      <c r="AF103" s="1030"/>
      <c r="AG103" s="690"/>
      <c r="AH103" s="690"/>
      <c r="AI103" s="696">
        <f t="shared" si="16"/>
        <v>216419.59</v>
      </c>
      <c r="AJ103" s="697">
        <f t="shared" si="17"/>
        <v>270569</v>
      </c>
      <c r="AK103" s="698"/>
      <c r="AL103" s="698"/>
    </row>
    <row r="104" spans="1:38" s="700" customFormat="1" ht="12.75" customHeight="1">
      <c r="A104" s="686" t="s">
        <v>202</v>
      </c>
      <c r="B104" s="686" t="s">
        <v>392</v>
      </c>
      <c r="C104" s="687" t="s">
        <v>353</v>
      </c>
      <c r="D104" s="687"/>
      <c r="E104" s="688">
        <v>101505</v>
      </c>
      <c r="F104" s="689">
        <v>8</v>
      </c>
      <c r="G104" s="1025">
        <v>19369840</v>
      </c>
      <c r="H104" s="690">
        <v>19203965</v>
      </c>
      <c r="I104" s="1030"/>
      <c r="J104" s="690"/>
      <c r="K104" s="1030">
        <v>31444.38</v>
      </c>
      <c r="L104" s="690">
        <v>31444</v>
      </c>
      <c r="M104" s="1025">
        <v>18219885.300000001</v>
      </c>
      <c r="N104" s="1025">
        <v>4957174.91</v>
      </c>
      <c r="O104" s="692">
        <f t="shared" si="10"/>
        <v>23177060.210000001</v>
      </c>
      <c r="P104" s="690">
        <v>20420061</v>
      </c>
      <c r="Q104" s="690">
        <v>4860504</v>
      </c>
      <c r="R104" s="691">
        <f t="shared" si="11"/>
        <v>25280565</v>
      </c>
      <c r="S104" s="692">
        <f t="shared" si="12"/>
        <v>37621169.68</v>
      </c>
      <c r="T104" s="693">
        <f t="shared" si="13"/>
        <v>39655470</v>
      </c>
      <c r="U104" s="1035"/>
      <c r="V104" s="690"/>
      <c r="W104" s="1025"/>
      <c r="X104" s="1030"/>
      <c r="Y104" s="694">
        <f t="shared" si="14"/>
        <v>0</v>
      </c>
      <c r="Z104" s="690"/>
      <c r="AA104" s="690"/>
      <c r="AB104" s="695">
        <f t="shared" si="15"/>
        <v>0</v>
      </c>
      <c r="AC104" s="1035"/>
      <c r="AD104" s="690"/>
      <c r="AE104" s="1025"/>
      <c r="AF104" s="1030"/>
      <c r="AG104" s="690"/>
      <c r="AH104" s="690"/>
      <c r="AI104" s="696">
        <f t="shared" si="16"/>
        <v>37621169.68</v>
      </c>
      <c r="AJ104" s="697">
        <f t="shared" si="17"/>
        <v>39655470</v>
      </c>
      <c r="AK104" s="698"/>
      <c r="AL104" s="698"/>
    </row>
    <row r="105" spans="1:38" s="700" customFormat="1" ht="12.75" customHeight="1">
      <c r="A105" s="686" t="s">
        <v>202</v>
      </c>
      <c r="B105" s="686" t="s">
        <v>400</v>
      </c>
      <c r="C105" s="701" t="s">
        <v>352</v>
      </c>
      <c r="D105" s="701"/>
      <c r="E105" s="688">
        <v>101505</v>
      </c>
      <c r="F105" s="689">
        <v>8</v>
      </c>
      <c r="G105" s="1025"/>
      <c r="H105" s="690"/>
      <c r="I105" s="1030">
        <v>76373.3</v>
      </c>
      <c r="J105" s="690">
        <v>118759</v>
      </c>
      <c r="K105" s="1030"/>
      <c r="L105" s="690"/>
      <c r="M105" s="1025"/>
      <c r="N105" s="1030"/>
      <c r="O105" s="692">
        <f t="shared" si="10"/>
        <v>0</v>
      </c>
      <c r="P105" s="690"/>
      <c r="Q105" s="690"/>
      <c r="R105" s="691">
        <f t="shared" si="11"/>
        <v>0</v>
      </c>
      <c r="S105" s="692">
        <f t="shared" si="12"/>
        <v>76373.3</v>
      </c>
      <c r="T105" s="693">
        <f t="shared" si="13"/>
        <v>118759</v>
      </c>
      <c r="U105" s="1035"/>
      <c r="V105" s="690"/>
      <c r="W105" s="1025"/>
      <c r="X105" s="1030"/>
      <c r="Y105" s="694">
        <f t="shared" si="14"/>
        <v>0</v>
      </c>
      <c r="Z105" s="690"/>
      <c r="AA105" s="690"/>
      <c r="AB105" s="695">
        <f t="shared" si="15"/>
        <v>0</v>
      </c>
      <c r="AC105" s="1035"/>
      <c r="AD105" s="690"/>
      <c r="AE105" s="1025"/>
      <c r="AF105" s="1030"/>
      <c r="AG105" s="690"/>
      <c r="AH105" s="690"/>
      <c r="AI105" s="696">
        <f t="shared" si="16"/>
        <v>76373.3</v>
      </c>
      <c r="AJ105" s="697">
        <f t="shared" si="17"/>
        <v>118759</v>
      </c>
      <c r="AK105" s="698"/>
      <c r="AL105" s="698"/>
    </row>
    <row r="106" spans="1:38" s="700" customFormat="1" ht="12.75" customHeight="1">
      <c r="A106" s="686" t="s">
        <v>202</v>
      </c>
      <c r="B106" s="686" t="s">
        <v>400</v>
      </c>
      <c r="C106" s="701" t="s">
        <v>315</v>
      </c>
      <c r="D106" s="701"/>
      <c r="E106" s="688">
        <v>101505</v>
      </c>
      <c r="F106" s="689">
        <v>8</v>
      </c>
      <c r="G106" s="1025"/>
      <c r="H106" s="690"/>
      <c r="I106" s="1030">
        <v>118417.41</v>
      </c>
      <c r="J106" s="690">
        <v>122109</v>
      </c>
      <c r="K106" s="1030"/>
      <c r="L106" s="690"/>
      <c r="M106" s="1025"/>
      <c r="N106" s="1030"/>
      <c r="O106" s="692">
        <f t="shared" si="10"/>
        <v>0</v>
      </c>
      <c r="P106" s="690"/>
      <c r="Q106" s="690"/>
      <c r="R106" s="691">
        <f t="shared" si="11"/>
        <v>0</v>
      </c>
      <c r="S106" s="692">
        <f t="shared" si="12"/>
        <v>118417.41</v>
      </c>
      <c r="T106" s="693">
        <f t="shared" si="13"/>
        <v>122109</v>
      </c>
      <c r="U106" s="1035"/>
      <c r="V106" s="690"/>
      <c r="W106" s="1025"/>
      <c r="X106" s="1030"/>
      <c r="Y106" s="694">
        <f t="shared" si="14"/>
        <v>0</v>
      </c>
      <c r="Z106" s="690"/>
      <c r="AA106" s="690"/>
      <c r="AB106" s="695">
        <f t="shared" si="15"/>
        <v>0</v>
      </c>
      <c r="AC106" s="1035"/>
      <c r="AD106" s="690"/>
      <c r="AE106" s="1025"/>
      <c r="AF106" s="1030"/>
      <c r="AG106" s="690"/>
      <c r="AH106" s="690"/>
      <c r="AI106" s="696">
        <f t="shared" si="16"/>
        <v>118417.41</v>
      </c>
      <c r="AJ106" s="697">
        <f t="shared" si="17"/>
        <v>122109</v>
      </c>
      <c r="AK106" s="698"/>
      <c r="AL106" s="698"/>
    </row>
    <row r="107" spans="1:38" s="700" customFormat="1" ht="12.75" customHeight="1">
      <c r="A107" s="686" t="s">
        <v>202</v>
      </c>
      <c r="B107" s="686" t="s">
        <v>394</v>
      </c>
      <c r="C107" s="699" t="s">
        <v>451</v>
      </c>
      <c r="D107" s="699"/>
      <c r="E107" s="688">
        <v>101505</v>
      </c>
      <c r="F107" s="689">
        <v>8</v>
      </c>
      <c r="G107" s="1025"/>
      <c r="H107" s="690"/>
      <c r="I107" s="1030"/>
      <c r="J107" s="690"/>
      <c r="K107" s="1030"/>
      <c r="L107" s="690"/>
      <c r="M107" s="1025"/>
      <c r="N107" s="1030"/>
      <c r="O107" s="692">
        <f t="shared" si="10"/>
        <v>0</v>
      </c>
      <c r="P107" s="690"/>
      <c r="Q107" s="690"/>
      <c r="R107" s="691">
        <f t="shared" si="11"/>
        <v>0</v>
      </c>
      <c r="S107" s="692">
        <f t="shared" si="12"/>
        <v>0</v>
      </c>
      <c r="T107" s="693">
        <f t="shared" si="13"/>
        <v>0</v>
      </c>
      <c r="U107" s="1035"/>
      <c r="V107" s="690"/>
      <c r="W107" s="1025"/>
      <c r="X107" s="1030"/>
      <c r="Y107" s="694">
        <f t="shared" si="14"/>
        <v>0</v>
      </c>
      <c r="Z107" s="690"/>
      <c r="AA107" s="690"/>
      <c r="AB107" s="695">
        <f t="shared" si="15"/>
        <v>0</v>
      </c>
      <c r="AC107" s="1035"/>
      <c r="AD107" s="690"/>
      <c r="AE107" s="1025"/>
      <c r="AF107" s="1030"/>
      <c r="AG107" s="690"/>
      <c r="AH107" s="690"/>
      <c r="AI107" s="696">
        <f t="shared" si="16"/>
        <v>0</v>
      </c>
      <c r="AJ107" s="697">
        <f t="shared" si="17"/>
        <v>0</v>
      </c>
      <c r="AK107" s="698"/>
      <c r="AL107" s="698"/>
    </row>
    <row r="108" spans="1:38" s="700" customFormat="1" ht="12.75" customHeight="1">
      <c r="A108" s="686" t="s">
        <v>202</v>
      </c>
      <c r="B108" s="686" t="s">
        <v>394</v>
      </c>
      <c r="C108" s="701" t="s">
        <v>16</v>
      </c>
      <c r="D108" s="701"/>
      <c r="E108" s="688">
        <v>101505</v>
      </c>
      <c r="F108" s="689">
        <v>8</v>
      </c>
      <c r="G108" s="1025"/>
      <c r="H108" s="690"/>
      <c r="I108" s="1030">
        <v>159884</v>
      </c>
      <c r="J108" s="690"/>
      <c r="K108" s="1030"/>
      <c r="L108" s="690"/>
      <c r="M108" s="1025"/>
      <c r="N108" s="1030"/>
      <c r="O108" s="692">
        <f t="shared" si="10"/>
        <v>0</v>
      </c>
      <c r="P108" s="690"/>
      <c r="Q108" s="690"/>
      <c r="R108" s="691">
        <f t="shared" si="11"/>
        <v>0</v>
      </c>
      <c r="S108" s="692">
        <f t="shared" si="12"/>
        <v>159884</v>
      </c>
      <c r="T108" s="693">
        <f t="shared" si="13"/>
        <v>0</v>
      </c>
      <c r="U108" s="1035"/>
      <c r="V108" s="690"/>
      <c r="W108" s="1025"/>
      <c r="X108" s="1030"/>
      <c r="Y108" s="694">
        <f t="shared" si="14"/>
        <v>0</v>
      </c>
      <c r="Z108" s="690"/>
      <c r="AA108" s="690"/>
      <c r="AB108" s="695">
        <f t="shared" si="15"/>
        <v>0</v>
      </c>
      <c r="AC108" s="1035"/>
      <c r="AD108" s="690"/>
      <c r="AE108" s="1025"/>
      <c r="AF108" s="1030"/>
      <c r="AG108" s="690"/>
      <c r="AH108" s="690"/>
      <c r="AI108" s="696">
        <f t="shared" si="16"/>
        <v>159884</v>
      </c>
      <c r="AJ108" s="697">
        <f t="shared" si="17"/>
        <v>0</v>
      </c>
      <c r="AK108" s="698"/>
      <c r="AL108" s="698"/>
    </row>
    <row r="109" spans="1:38" s="700" customFormat="1" ht="12.75" customHeight="1">
      <c r="A109" s="686" t="s">
        <v>202</v>
      </c>
      <c r="B109" s="686" t="s">
        <v>394</v>
      </c>
      <c r="C109" s="701" t="s">
        <v>494</v>
      </c>
      <c r="D109" s="701"/>
      <c r="E109" s="688">
        <v>101505</v>
      </c>
      <c r="F109" s="689">
        <v>8</v>
      </c>
      <c r="G109" s="1025"/>
      <c r="H109" s="690"/>
      <c r="I109" s="1030">
        <v>590938</v>
      </c>
      <c r="J109" s="690">
        <v>634377</v>
      </c>
      <c r="K109" s="1030"/>
      <c r="L109" s="690"/>
      <c r="M109" s="1025"/>
      <c r="N109" s="1030"/>
      <c r="O109" s="692">
        <f t="shared" si="10"/>
        <v>0</v>
      </c>
      <c r="P109" s="690"/>
      <c r="Q109" s="690"/>
      <c r="R109" s="691">
        <f t="shared" si="11"/>
        <v>0</v>
      </c>
      <c r="S109" s="692">
        <f t="shared" si="12"/>
        <v>590938</v>
      </c>
      <c r="T109" s="693">
        <f t="shared" si="13"/>
        <v>634377</v>
      </c>
      <c r="U109" s="1035"/>
      <c r="V109" s="690"/>
      <c r="W109" s="1025"/>
      <c r="X109" s="1030"/>
      <c r="Y109" s="694">
        <f t="shared" si="14"/>
        <v>0</v>
      </c>
      <c r="Z109" s="690"/>
      <c r="AA109" s="690"/>
      <c r="AB109" s="695">
        <f t="shared" si="15"/>
        <v>0</v>
      </c>
      <c r="AC109" s="1035"/>
      <c r="AD109" s="690"/>
      <c r="AE109" s="1025"/>
      <c r="AF109" s="1030"/>
      <c r="AG109" s="690"/>
      <c r="AH109" s="690"/>
      <c r="AI109" s="696">
        <f t="shared" si="16"/>
        <v>590938</v>
      </c>
      <c r="AJ109" s="697">
        <f t="shared" si="17"/>
        <v>634377</v>
      </c>
      <c r="AK109" s="698"/>
      <c r="AL109" s="698"/>
    </row>
    <row r="110" spans="1:38" s="700" customFormat="1" ht="12.75" customHeight="1">
      <c r="A110" s="686" t="s">
        <v>202</v>
      </c>
      <c r="B110" s="686" t="s">
        <v>394</v>
      </c>
      <c r="C110" s="701" t="s">
        <v>495</v>
      </c>
      <c r="D110" s="701"/>
      <c r="E110" s="688">
        <v>101505</v>
      </c>
      <c r="F110" s="689">
        <v>8</v>
      </c>
      <c r="G110" s="1025"/>
      <c r="H110" s="690"/>
      <c r="I110" s="1030">
        <v>81450</v>
      </c>
      <c r="J110" s="690">
        <v>113086</v>
      </c>
      <c r="K110" s="1030"/>
      <c r="L110" s="690"/>
      <c r="M110" s="1025"/>
      <c r="N110" s="1030"/>
      <c r="O110" s="692">
        <f t="shared" si="10"/>
        <v>0</v>
      </c>
      <c r="P110" s="690"/>
      <c r="Q110" s="690"/>
      <c r="R110" s="691">
        <f t="shared" si="11"/>
        <v>0</v>
      </c>
      <c r="S110" s="692">
        <f t="shared" si="12"/>
        <v>81450</v>
      </c>
      <c r="T110" s="693">
        <f t="shared" si="13"/>
        <v>113086</v>
      </c>
      <c r="U110" s="1035"/>
      <c r="V110" s="690"/>
      <c r="W110" s="1025"/>
      <c r="X110" s="1030"/>
      <c r="Y110" s="694">
        <f t="shared" si="14"/>
        <v>0</v>
      </c>
      <c r="Z110" s="690"/>
      <c r="AA110" s="690"/>
      <c r="AB110" s="695">
        <f t="shared" si="15"/>
        <v>0</v>
      </c>
      <c r="AC110" s="1035"/>
      <c r="AD110" s="690"/>
      <c r="AE110" s="1025"/>
      <c r="AF110" s="1030"/>
      <c r="AG110" s="690"/>
      <c r="AH110" s="690"/>
      <c r="AI110" s="696">
        <f t="shared" si="16"/>
        <v>81450</v>
      </c>
      <c r="AJ110" s="697">
        <f t="shared" si="17"/>
        <v>113086</v>
      </c>
      <c r="AK110" s="698"/>
      <c r="AL110" s="698"/>
    </row>
    <row r="111" spans="1:38" s="700" customFormat="1" ht="12.75" customHeight="1">
      <c r="A111" s="686" t="s">
        <v>202</v>
      </c>
      <c r="B111" s="686" t="s">
        <v>392</v>
      </c>
      <c r="C111" s="687" t="s">
        <v>351</v>
      </c>
      <c r="D111" s="687"/>
      <c r="E111" s="688">
        <v>102429</v>
      </c>
      <c r="F111" s="689">
        <v>9</v>
      </c>
      <c r="G111" s="1025">
        <v>16271328</v>
      </c>
      <c r="H111" s="690">
        <v>16131988</v>
      </c>
      <c r="I111" s="1030"/>
      <c r="J111" s="690"/>
      <c r="K111" s="1030"/>
      <c r="L111" s="690"/>
      <c r="M111" s="1025">
        <v>10719256.300000001</v>
      </c>
      <c r="N111" s="1025">
        <v>1881546.04</v>
      </c>
      <c r="O111" s="692">
        <f t="shared" si="10"/>
        <v>12600802.34</v>
      </c>
      <c r="P111" s="690">
        <v>11156179</v>
      </c>
      <c r="Q111" s="690">
        <v>1626085</v>
      </c>
      <c r="R111" s="691">
        <f t="shared" si="11"/>
        <v>12782264</v>
      </c>
      <c r="S111" s="692">
        <f t="shared" si="12"/>
        <v>26990584.300000001</v>
      </c>
      <c r="T111" s="693">
        <f t="shared" si="13"/>
        <v>27288167</v>
      </c>
      <c r="U111" s="1035"/>
      <c r="V111" s="690"/>
      <c r="W111" s="1025"/>
      <c r="X111" s="1030"/>
      <c r="Y111" s="694">
        <f t="shared" si="14"/>
        <v>0</v>
      </c>
      <c r="Z111" s="690"/>
      <c r="AA111" s="690"/>
      <c r="AB111" s="695">
        <f t="shared" si="15"/>
        <v>0</v>
      </c>
      <c r="AC111" s="1035"/>
      <c r="AD111" s="690"/>
      <c r="AE111" s="1025"/>
      <c r="AF111" s="1030"/>
      <c r="AG111" s="690"/>
      <c r="AH111" s="690"/>
      <c r="AI111" s="696">
        <f t="shared" si="16"/>
        <v>26990584.300000001</v>
      </c>
      <c r="AJ111" s="697">
        <f t="shared" si="17"/>
        <v>27288167</v>
      </c>
      <c r="AK111" s="698"/>
      <c r="AL111" s="698"/>
    </row>
    <row r="112" spans="1:38" s="700" customFormat="1" ht="12.75" customHeight="1">
      <c r="A112" s="686" t="s">
        <v>202</v>
      </c>
      <c r="B112" s="686" t="s">
        <v>400</v>
      </c>
      <c r="C112" s="699" t="s">
        <v>484</v>
      </c>
      <c r="D112" s="699"/>
      <c r="E112" s="688">
        <v>102429</v>
      </c>
      <c r="F112" s="689">
        <v>9</v>
      </c>
      <c r="G112" s="1025"/>
      <c r="H112" s="690"/>
      <c r="I112" s="1030"/>
      <c r="J112" s="690"/>
      <c r="K112" s="1030"/>
      <c r="L112" s="690"/>
      <c r="M112" s="1025"/>
      <c r="N112" s="1030"/>
      <c r="O112" s="692">
        <f t="shared" si="10"/>
        <v>0</v>
      </c>
      <c r="P112" s="690"/>
      <c r="Q112" s="690"/>
      <c r="R112" s="691">
        <f t="shared" si="11"/>
        <v>0</v>
      </c>
      <c r="S112" s="692">
        <f t="shared" si="12"/>
        <v>0</v>
      </c>
      <c r="T112" s="693">
        <f t="shared" si="13"/>
        <v>0</v>
      </c>
      <c r="U112" s="1035"/>
      <c r="V112" s="690"/>
      <c r="W112" s="1025"/>
      <c r="X112" s="1030"/>
      <c r="Y112" s="694">
        <f t="shared" si="14"/>
        <v>0</v>
      </c>
      <c r="Z112" s="690"/>
      <c r="AA112" s="690"/>
      <c r="AB112" s="695">
        <f t="shared" si="15"/>
        <v>0</v>
      </c>
      <c r="AC112" s="1035"/>
      <c r="AD112" s="690"/>
      <c r="AE112" s="1025"/>
      <c r="AF112" s="1030"/>
      <c r="AG112" s="690"/>
      <c r="AH112" s="690"/>
      <c r="AI112" s="696">
        <f t="shared" si="16"/>
        <v>0</v>
      </c>
      <c r="AJ112" s="697">
        <f t="shared" si="17"/>
        <v>0</v>
      </c>
      <c r="AK112" s="698"/>
      <c r="AL112" s="698"/>
    </row>
    <row r="113" spans="1:38" s="700" customFormat="1" ht="12.75" customHeight="1">
      <c r="A113" s="686" t="s">
        <v>202</v>
      </c>
      <c r="B113" s="686" t="s">
        <v>400</v>
      </c>
      <c r="C113" s="701" t="s">
        <v>352</v>
      </c>
      <c r="D113" s="701"/>
      <c r="E113" s="688">
        <v>102429</v>
      </c>
      <c r="F113" s="689">
        <v>9</v>
      </c>
      <c r="G113" s="1025"/>
      <c r="H113" s="690"/>
      <c r="I113" s="1030">
        <v>117022.48</v>
      </c>
      <c r="J113" s="690">
        <v>290320</v>
      </c>
      <c r="K113" s="1030"/>
      <c r="L113" s="690"/>
      <c r="M113" s="1025"/>
      <c r="N113" s="1030"/>
      <c r="O113" s="692">
        <f t="shared" si="10"/>
        <v>0</v>
      </c>
      <c r="P113" s="690"/>
      <c r="Q113" s="690"/>
      <c r="R113" s="691">
        <f t="shared" si="11"/>
        <v>0</v>
      </c>
      <c r="S113" s="692">
        <f t="shared" si="12"/>
        <v>117022.48</v>
      </c>
      <c r="T113" s="693">
        <f t="shared" si="13"/>
        <v>290320</v>
      </c>
      <c r="U113" s="1035"/>
      <c r="V113" s="690"/>
      <c r="W113" s="1025"/>
      <c r="X113" s="1030"/>
      <c r="Y113" s="694">
        <f t="shared" si="14"/>
        <v>0</v>
      </c>
      <c r="Z113" s="690"/>
      <c r="AA113" s="690"/>
      <c r="AB113" s="695">
        <f t="shared" si="15"/>
        <v>0</v>
      </c>
      <c r="AC113" s="1035"/>
      <c r="AD113" s="690"/>
      <c r="AE113" s="1025"/>
      <c r="AF113" s="1030"/>
      <c r="AG113" s="690"/>
      <c r="AH113" s="690"/>
      <c r="AI113" s="696">
        <f t="shared" si="16"/>
        <v>117022.48</v>
      </c>
      <c r="AJ113" s="697">
        <f t="shared" si="17"/>
        <v>290320</v>
      </c>
      <c r="AK113" s="698"/>
      <c r="AL113" s="698"/>
    </row>
    <row r="114" spans="1:38" s="700" customFormat="1" ht="12.75" customHeight="1">
      <c r="A114" s="686" t="s">
        <v>202</v>
      </c>
      <c r="B114" s="686" t="s">
        <v>400</v>
      </c>
      <c r="C114" s="701" t="s">
        <v>315</v>
      </c>
      <c r="D114" s="701"/>
      <c r="E114" s="688">
        <v>102429</v>
      </c>
      <c r="F114" s="689">
        <v>9</v>
      </c>
      <c r="G114" s="1025"/>
      <c r="H114" s="690"/>
      <c r="I114" s="1030">
        <v>156437.53</v>
      </c>
      <c r="J114" s="690">
        <v>346133</v>
      </c>
      <c r="K114" s="1030"/>
      <c r="L114" s="690"/>
      <c r="M114" s="1025"/>
      <c r="N114" s="1030"/>
      <c r="O114" s="692">
        <f t="shared" si="10"/>
        <v>0</v>
      </c>
      <c r="P114" s="690"/>
      <c r="Q114" s="690"/>
      <c r="R114" s="691">
        <f t="shared" si="11"/>
        <v>0</v>
      </c>
      <c r="S114" s="692">
        <f t="shared" si="12"/>
        <v>156437.53</v>
      </c>
      <c r="T114" s="693">
        <f t="shared" si="13"/>
        <v>346133</v>
      </c>
      <c r="U114" s="1035"/>
      <c r="V114" s="690"/>
      <c r="W114" s="1025"/>
      <c r="X114" s="1030"/>
      <c r="Y114" s="694">
        <f t="shared" si="14"/>
        <v>0</v>
      </c>
      <c r="Z114" s="690"/>
      <c r="AA114" s="690"/>
      <c r="AB114" s="695">
        <f t="shared" si="15"/>
        <v>0</v>
      </c>
      <c r="AC114" s="1035"/>
      <c r="AD114" s="690"/>
      <c r="AE114" s="1025"/>
      <c r="AF114" s="1030"/>
      <c r="AG114" s="690"/>
      <c r="AH114" s="690"/>
      <c r="AI114" s="696">
        <f t="shared" si="16"/>
        <v>156437.53</v>
      </c>
      <c r="AJ114" s="697">
        <f t="shared" si="17"/>
        <v>346133</v>
      </c>
      <c r="AK114" s="698"/>
      <c r="AL114" s="698"/>
    </row>
    <row r="115" spans="1:38" s="700" customFormat="1" ht="12.75" customHeight="1">
      <c r="A115" s="686" t="s">
        <v>202</v>
      </c>
      <c r="B115" s="686" t="s">
        <v>392</v>
      </c>
      <c r="C115" s="687" t="s">
        <v>354</v>
      </c>
      <c r="D115" s="687"/>
      <c r="E115" s="688">
        <v>102030</v>
      </c>
      <c r="F115" s="689">
        <v>9</v>
      </c>
      <c r="G115" s="1025">
        <v>14597801</v>
      </c>
      <c r="H115" s="690">
        <v>14472792</v>
      </c>
      <c r="I115" s="1030"/>
      <c r="J115" s="690"/>
      <c r="K115" s="1030">
        <v>48228.639999999999</v>
      </c>
      <c r="L115" s="690">
        <v>52000</v>
      </c>
      <c r="M115" s="1025">
        <v>8041616.7000000002</v>
      </c>
      <c r="N115" s="1025">
        <v>1272393.05</v>
      </c>
      <c r="O115" s="692">
        <f t="shared" si="10"/>
        <v>9314009.75</v>
      </c>
      <c r="P115" s="690">
        <v>8832121</v>
      </c>
      <c r="Q115" s="690">
        <v>750465</v>
      </c>
      <c r="R115" s="691">
        <f t="shared" si="11"/>
        <v>9582586</v>
      </c>
      <c r="S115" s="692">
        <f t="shared" si="12"/>
        <v>22687646.34</v>
      </c>
      <c r="T115" s="693">
        <f t="shared" si="13"/>
        <v>23356913</v>
      </c>
      <c r="U115" s="1035"/>
      <c r="V115" s="690"/>
      <c r="W115" s="1025"/>
      <c r="X115" s="1030"/>
      <c r="Y115" s="694">
        <f t="shared" si="14"/>
        <v>0</v>
      </c>
      <c r="Z115" s="690"/>
      <c r="AA115" s="690"/>
      <c r="AB115" s="695">
        <f t="shared" si="15"/>
        <v>0</v>
      </c>
      <c r="AC115" s="1035"/>
      <c r="AD115" s="690"/>
      <c r="AE115" s="1025"/>
      <c r="AF115" s="1030"/>
      <c r="AG115" s="690"/>
      <c r="AH115" s="690"/>
      <c r="AI115" s="696">
        <f t="shared" si="16"/>
        <v>22687646.34</v>
      </c>
      <c r="AJ115" s="697">
        <f t="shared" si="17"/>
        <v>23356913</v>
      </c>
      <c r="AK115" s="698"/>
      <c r="AL115" s="698"/>
    </row>
    <row r="116" spans="1:38" s="700" customFormat="1" ht="12.75" customHeight="1">
      <c r="A116" s="686" t="s">
        <v>202</v>
      </c>
      <c r="B116" s="686" t="s">
        <v>400</v>
      </c>
      <c r="C116" s="699" t="s">
        <v>484</v>
      </c>
      <c r="D116" s="699"/>
      <c r="E116" s="688">
        <v>102030</v>
      </c>
      <c r="F116" s="689">
        <v>9</v>
      </c>
      <c r="G116" s="1025"/>
      <c r="H116" s="690"/>
      <c r="I116" s="1030"/>
      <c r="J116" s="690"/>
      <c r="K116" s="1030"/>
      <c r="L116" s="690"/>
      <c r="M116" s="1025"/>
      <c r="N116" s="1030"/>
      <c r="O116" s="692">
        <f t="shared" si="10"/>
        <v>0</v>
      </c>
      <c r="P116" s="690"/>
      <c r="Q116" s="690"/>
      <c r="R116" s="691">
        <f t="shared" si="11"/>
        <v>0</v>
      </c>
      <c r="S116" s="692">
        <f t="shared" si="12"/>
        <v>0</v>
      </c>
      <c r="T116" s="693">
        <f t="shared" si="13"/>
        <v>0</v>
      </c>
      <c r="U116" s="1035"/>
      <c r="V116" s="690"/>
      <c r="W116" s="1025"/>
      <c r="X116" s="1030"/>
      <c r="Y116" s="694">
        <f t="shared" si="14"/>
        <v>0</v>
      </c>
      <c r="Z116" s="690"/>
      <c r="AA116" s="690"/>
      <c r="AB116" s="695">
        <f t="shared" si="15"/>
        <v>0</v>
      </c>
      <c r="AC116" s="1035"/>
      <c r="AD116" s="690"/>
      <c r="AE116" s="1025"/>
      <c r="AF116" s="1030"/>
      <c r="AG116" s="690"/>
      <c r="AH116" s="690"/>
      <c r="AI116" s="696">
        <f t="shared" si="16"/>
        <v>0</v>
      </c>
      <c r="AJ116" s="697">
        <f t="shared" si="17"/>
        <v>0</v>
      </c>
      <c r="AK116" s="698"/>
      <c r="AL116" s="698"/>
    </row>
    <row r="117" spans="1:38" s="700" customFormat="1" ht="12.75" customHeight="1">
      <c r="A117" s="686" t="s">
        <v>202</v>
      </c>
      <c r="B117" s="686" t="s">
        <v>400</v>
      </c>
      <c r="C117" s="701" t="s">
        <v>352</v>
      </c>
      <c r="D117" s="701"/>
      <c r="E117" s="688">
        <v>102030</v>
      </c>
      <c r="F117" s="689">
        <v>9</v>
      </c>
      <c r="G117" s="1025"/>
      <c r="H117" s="690"/>
      <c r="I117" s="1030">
        <v>329717.78000000003</v>
      </c>
      <c r="J117" s="690">
        <v>242194</v>
      </c>
      <c r="K117" s="1030"/>
      <c r="L117" s="690"/>
      <c r="M117" s="1025"/>
      <c r="N117" s="1030"/>
      <c r="O117" s="692">
        <f t="shared" si="10"/>
        <v>0</v>
      </c>
      <c r="P117" s="690"/>
      <c r="Q117" s="690"/>
      <c r="R117" s="691">
        <f t="shared" si="11"/>
        <v>0</v>
      </c>
      <c r="S117" s="692">
        <f t="shared" si="12"/>
        <v>329717.78000000003</v>
      </c>
      <c r="T117" s="693">
        <f t="shared" si="13"/>
        <v>242194</v>
      </c>
      <c r="U117" s="1035"/>
      <c r="V117" s="690"/>
      <c r="W117" s="1025"/>
      <c r="X117" s="1030"/>
      <c r="Y117" s="694">
        <f t="shared" si="14"/>
        <v>0</v>
      </c>
      <c r="Z117" s="690"/>
      <c r="AA117" s="690"/>
      <c r="AB117" s="695">
        <f t="shared" si="15"/>
        <v>0</v>
      </c>
      <c r="AC117" s="1035"/>
      <c r="AD117" s="690"/>
      <c r="AE117" s="1025"/>
      <c r="AF117" s="1030"/>
      <c r="AG117" s="690"/>
      <c r="AH117" s="690"/>
      <c r="AI117" s="696">
        <f t="shared" si="16"/>
        <v>329717.78000000003</v>
      </c>
      <c r="AJ117" s="697">
        <f t="shared" si="17"/>
        <v>242194</v>
      </c>
      <c r="AK117" s="698"/>
      <c r="AL117" s="698"/>
    </row>
    <row r="118" spans="1:38" s="700" customFormat="1" ht="12.75" customHeight="1">
      <c r="A118" s="686" t="s">
        <v>202</v>
      </c>
      <c r="B118" s="686" t="s">
        <v>400</v>
      </c>
      <c r="C118" s="701" t="s">
        <v>315</v>
      </c>
      <c r="D118" s="701"/>
      <c r="E118" s="688">
        <v>102030</v>
      </c>
      <c r="F118" s="689">
        <v>9</v>
      </c>
      <c r="G118" s="1025"/>
      <c r="H118" s="690"/>
      <c r="I118" s="1030">
        <v>166925.73000000001</v>
      </c>
      <c r="J118" s="690">
        <v>92500</v>
      </c>
      <c r="K118" s="1030"/>
      <c r="L118" s="690"/>
      <c r="M118" s="1025"/>
      <c r="N118" s="1030"/>
      <c r="O118" s="692">
        <f t="shared" si="10"/>
        <v>0</v>
      </c>
      <c r="P118" s="690"/>
      <c r="Q118" s="690"/>
      <c r="R118" s="691">
        <f t="shared" si="11"/>
        <v>0</v>
      </c>
      <c r="S118" s="692">
        <f t="shared" si="12"/>
        <v>166925.73000000001</v>
      </c>
      <c r="T118" s="693">
        <f t="shared" si="13"/>
        <v>92500</v>
      </c>
      <c r="U118" s="1035"/>
      <c r="V118" s="690"/>
      <c r="W118" s="1025"/>
      <c r="X118" s="1030"/>
      <c r="Y118" s="694">
        <f t="shared" si="14"/>
        <v>0</v>
      </c>
      <c r="Z118" s="690"/>
      <c r="AA118" s="690"/>
      <c r="AB118" s="695">
        <f t="shared" si="15"/>
        <v>0</v>
      </c>
      <c r="AC118" s="1035"/>
      <c r="AD118" s="690"/>
      <c r="AE118" s="1025"/>
      <c r="AF118" s="1030"/>
      <c r="AG118" s="690"/>
      <c r="AH118" s="690"/>
      <c r="AI118" s="696">
        <f t="shared" si="16"/>
        <v>166925.73000000001</v>
      </c>
      <c r="AJ118" s="697">
        <f t="shared" si="17"/>
        <v>92500</v>
      </c>
      <c r="AK118" s="698"/>
      <c r="AL118" s="698"/>
    </row>
    <row r="119" spans="1:38" s="700" customFormat="1" ht="12.75" customHeight="1">
      <c r="A119" s="686" t="s">
        <v>202</v>
      </c>
      <c r="B119" s="686" t="s">
        <v>392</v>
      </c>
      <c r="C119" s="703" t="s">
        <v>355</v>
      </c>
      <c r="D119" s="1038" t="s">
        <v>1898</v>
      </c>
      <c r="E119" s="688">
        <v>101240</v>
      </c>
      <c r="F119" s="689">
        <v>9</v>
      </c>
      <c r="G119" s="1025">
        <v>23329898</v>
      </c>
      <c r="H119" s="690">
        <v>23111292</v>
      </c>
      <c r="I119" s="1030"/>
      <c r="J119" s="690"/>
      <c r="K119" s="1030">
        <v>710930.77</v>
      </c>
      <c r="L119" s="690">
        <v>700000</v>
      </c>
      <c r="M119" s="1025">
        <v>17075608.879999999</v>
      </c>
      <c r="N119" s="1025">
        <v>1985906.32</v>
      </c>
      <c r="O119" s="692">
        <f t="shared" si="10"/>
        <v>19061515.199999999</v>
      </c>
      <c r="P119" s="690">
        <v>16218470</v>
      </c>
      <c r="Q119" s="690">
        <v>1985908</v>
      </c>
      <c r="R119" s="691">
        <f t="shared" si="11"/>
        <v>18204378</v>
      </c>
      <c r="S119" s="692">
        <f t="shared" si="12"/>
        <v>41116437.649999999</v>
      </c>
      <c r="T119" s="693">
        <f t="shared" si="13"/>
        <v>40029762</v>
      </c>
      <c r="U119" s="1035"/>
      <c r="V119" s="690"/>
      <c r="W119" s="1025"/>
      <c r="X119" s="1030"/>
      <c r="Y119" s="694">
        <f t="shared" si="14"/>
        <v>0</v>
      </c>
      <c r="Z119" s="690"/>
      <c r="AA119" s="690"/>
      <c r="AB119" s="695">
        <f t="shared" si="15"/>
        <v>0</v>
      </c>
      <c r="AC119" s="1035"/>
      <c r="AD119" s="690"/>
      <c r="AE119" s="1025"/>
      <c r="AF119" s="1030"/>
      <c r="AG119" s="690"/>
      <c r="AH119" s="690"/>
      <c r="AI119" s="696">
        <f t="shared" si="16"/>
        <v>41116437.649999999</v>
      </c>
      <c r="AJ119" s="697">
        <f t="shared" si="17"/>
        <v>40029762</v>
      </c>
      <c r="AK119" s="698"/>
      <c r="AL119" s="698"/>
    </row>
    <row r="120" spans="1:38" s="700" customFormat="1" ht="12.75" customHeight="1">
      <c r="A120" s="686" t="s">
        <v>202</v>
      </c>
      <c r="B120" s="686" t="s">
        <v>400</v>
      </c>
      <c r="C120" s="699" t="s">
        <v>484</v>
      </c>
      <c r="D120" s="699"/>
      <c r="E120" s="688">
        <v>101240</v>
      </c>
      <c r="F120" s="689">
        <v>9</v>
      </c>
      <c r="G120" s="1025"/>
      <c r="H120" s="690"/>
      <c r="I120" s="1030"/>
      <c r="J120" s="690"/>
      <c r="K120" s="1030"/>
      <c r="L120" s="690"/>
      <c r="M120" s="1025"/>
      <c r="N120" s="1030"/>
      <c r="O120" s="692">
        <f t="shared" si="10"/>
        <v>0</v>
      </c>
      <c r="P120" s="690"/>
      <c r="Q120" s="690"/>
      <c r="R120" s="691">
        <f t="shared" si="11"/>
        <v>0</v>
      </c>
      <c r="S120" s="692">
        <f t="shared" si="12"/>
        <v>0</v>
      </c>
      <c r="T120" s="693">
        <f t="shared" si="13"/>
        <v>0</v>
      </c>
      <c r="U120" s="1035"/>
      <c r="V120" s="690"/>
      <c r="W120" s="1025"/>
      <c r="X120" s="1030"/>
      <c r="Y120" s="694">
        <f t="shared" si="14"/>
        <v>0</v>
      </c>
      <c r="Z120" s="690"/>
      <c r="AA120" s="690"/>
      <c r="AB120" s="695">
        <f t="shared" si="15"/>
        <v>0</v>
      </c>
      <c r="AC120" s="1035"/>
      <c r="AD120" s="690"/>
      <c r="AE120" s="1025"/>
      <c r="AF120" s="1030"/>
      <c r="AG120" s="690"/>
      <c r="AH120" s="690"/>
      <c r="AI120" s="696">
        <f t="shared" si="16"/>
        <v>0</v>
      </c>
      <c r="AJ120" s="697">
        <f t="shared" si="17"/>
        <v>0</v>
      </c>
      <c r="AK120" s="698"/>
      <c r="AL120" s="698"/>
    </row>
    <row r="121" spans="1:38" s="700" customFormat="1" ht="12.75" customHeight="1">
      <c r="A121" s="686" t="s">
        <v>202</v>
      </c>
      <c r="B121" s="686" t="s">
        <v>400</v>
      </c>
      <c r="C121" s="701" t="s">
        <v>352</v>
      </c>
      <c r="D121" s="701"/>
      <c r="E121" s="688">
        <v>101240</v>
      </c>
      <c r="F121" s="689">
        <v>9</v>
      </c>
      <c r="G121" s="1025"/>
      <c r="H121" s="690"/>
      <c r="I121" s="1030"/>
      <c r="J121" s="690">
        <v>62238</v>
      </c>
      <c r="K121" s="1030"/>
      <c r="L121" s="690"/>
      <c r="M121" s="1025"/>
      <c r="N121" s="1030"/>
      <c r="O121" s="692">
        <f t="shared" si="10"/>
        <v>0</v>
      </c>
      <c r="P121" s="690"/>
      <c r="Q121" s="690"/>
      <c r="R121" s="691">
        <f t="shared" si="11"/>
        <v>0</v>
      </c>
      <c r="S121" s="692">
        <f t="shared" si="12"/>
        <v>0</v>
      </c>
      <c r="T121" s="693">
        <f t="shared" si="13"/>
        <v>62238</v>
      </c>
      <c r="U121" s="1035"/>
      <c r="V121" s="690"/>
      <c r="W121" s="1025"/>
      <c r="X121" s="1030"/>
      <c r="Y121" s="694">
        <f t="shared" si="14"/>
        <v>0</v>
      </c>
      <c r="Z121" s="690"/>
      <c r="AA121" s="690"/>
      <c r="AB121" s="695">
        <f t="shared" si="15"/>
        <v>0</v>
      </c>
      <c r="AC121" s="1035"/>
      <c r="AD121" s="690"/>
      <c r="AE121" s="1025"/>
      <c r="AF121" s="1030"/>
      <c r="AG121" s="690"/>
      <c r="AH121" s="690"/>
      <c r="AI121" s="696">
        <f t="shared" si="16"/>
        <v>0</v>
      </c>
      <c r="AJ121" s="697">
        <f t="shared" si="17"/>
        <v>62238</v>
      </c>
      <c r="AK121" s="698"/>
      <c r="AL121" s="698"/>
    </row>
    <row r="122" spans="1:38" s="700" customFormat="1" ht="12.75" customHeight="1">
      <c r="A122" s="686" t="s">
        <v>202</v>
      </c>
      <c r="B122" s="686" t="s">
        <v>400</v>
      </c>
      <c r="C122" s="701" t="s">
        <v>315</v>
      </c>
      <c r="D122" s="701"/>
      <c r="E122" s="688">
        <v>101240</v>
      </c>
      <c r="F122" s="689">
        <v>9</v>
      </c>
      <c r="G122" s="1025"/>
      <c r="H122" s="690"/>
      <c r="I122" s="1030">
        <v>405329</v>
      </c>
      <c r="J122" s="690">
        <v>69000</v>
      </c>
      <c r="K122" s="1030"/>
      <c r="L122" s="690"/>
      <c r="M122" s="1025"/>
      <c r="N122" s="1030"/>
      <c r="O122" s="692">
        <f t="shared" si="10"/>
        <v>0</v>
      </c>
      <c r="P122" s="690"/>
      <c r="Q122" s="690"/>
      <c r="R122" s="691">
        <f t="shared" si="11"/>
        <v>0</v>
      </c>
      <c r="S122" s="692">
        <f t="shared" si="12"/>
        <v>405329</v>
      </c>
      <c r="T122" s="693">
        <f t="shared" si="13"/>
        <v>69000</v>
      </c>
      <c r="U122" s="1035"/>
      <c r="V122" s="690"/>
      <c r="W122" s="1025"/>
      <c r="X122" s="1030"/>
      <c r="Y122" s="694">
        <f t="shared" si="14"/>
        <v>0</v>
      </c>
      <c r="Z122" s="690"/>
      <c r="AA122" s="690"/>
      <c r="AB122" s="695">
        <f t="shared" si="15"/>
        <v>0</v>
      </c>
      <c r="AC122" s="1035"/>
      <c r="AD122" s="690"/>
      <c r="AE122" s="1025"/>
      <c r="AF122" s="1030"/>
      <c r="AG122" s="690"/>
      <c r="AH122" s="690"/>
      <c r="AI122" s="696">
        <f t="shared" si="16"/>
        <v>405329</v>
      </c>
      <c r="AJ122" s="697">
        <f t="shared" si="17"/>
        <v>69000</v>
      </c>
      <c r="AK122" s="698"/>
      <c r="AL122" s="698"/>
    </row>
    <row r="123" spans="1:38" s="700" customFormat="1" ht="12.75" customHeight="1">
      <c r="A123" s="686" t="s">
        <v>202</v>
      </c>
      <c r="B123" s="686" t="s">
        <v>392</v>
      </c>
      <c r="C123" s="687" t="s">
        <v>356</v>
      </c>
      <c r="D123" s="687"/>
      <c r="E123" s="688">
        <v>101286</v>
      </c>
      <c r="F123" s="689">
        <v>9</v>
      </c>
      <c r="G123" s="1025">
        <v>15099769</v>
      </c>
      <c r="H123" s="690">
        <v>14979749</v>
      </c>
      <c r="I123" s="1030"/>
      <c r="J123" s="690"/>
      <c r="K123" s="1030"/>
      <c r="L123" s="690"/>
      <c r="M123" s="1025">
        <v>12553769.539999999</v>
      </c>
      <c r="N123" s="1025">
        <v>839807.3</v>
      </c>
      <c r="O123" s="692">
        <f t="shared" si="10"/>
        <v>13393576.84</v>
      </c>
      <c r="P123" s="690">
        <v>10968259</v>
      </c>
      <c r="Q123" s="690">
        <v>831981</v>
      </c>
      <c r="R123" s="691">
        <f t="shared" si="11"/>
        <v>11800240</v>
      </c>
      <c r="S123" s="692">
        <f t="shared" si="12"/>
        <v>27653538.539999999</v>
      </c>
      <c r="T123" s="693">
        <f t="shared" si="13"/>
        <v>25948008</v>
      </c>
      <c r="U123" s="1035"/>
      <c r="V123" s="690"/>
      <c r="W123" s="1025"/>
      <c r="X123" s="1030"/>
      <c r="Y123" s="694">
        <f t="shared" si="14"/>
        <v>0</v>
      </c>
      <c r="Z123" s="690"/>
      <c r="AA123" s="690"/>
      <c r="AB123" s="695">
        <f t="shared" si="15"/>
        <v>0</v>
      </c>
      <c r="AC123" s="1035"/>
      <c r="AD123" s="690"/>
      <c r="AE123" s="1025"/>
      <c r="AF123" s="1030"/>
      <c r="AG123" s="690"/>
      <c r="AH123" s="690"/>
      <c r="AI123" s="696">
        <f t="shared" si="16"/>
        <v>27653538.539999999</v>
      </c>
      <c r="AJ123" s="697">
        <f t="shared" si="17"/>
        <v>25948008</v>
      </c>
      <c r="AK123" s="698"/>
      <c r="AL123" s="698"/>
    </row>
    <row r="124" spans="1:38" s="700" customFormat="1" ht="12.75" customHeight="1">
      <c r="A124" s="686" t="s">
        <v>202</v>
      </c>
      <c r="B124" s="686" t="s">
        <v>400</v>
      </c>
      <c r="C124" s="699" t="s">
        <v>484</v>
      </c>
      <c r="D124" s="699"/>
      <c r="E124" s="688">
        <v>101286</v>
      </c>
      <c r="F124" s="689">
        <v>9</v>
      </c>
      <c r="G124" s="1025"/>
      <c r="H124" s="690"/>
      <c r="I124" s="1030"/>
      <c r="J124" s="690"/>
      <c r="K124" s="1030"/>
      <c r="L124" s="690"/>
      <c r="M124" s="1025"/>
      <c r="N124" s="1030"/>
      <c r="O124" s="692">
        <f t="shared" si="10"/>
        <v>0</v>
      </c>
      <c r="P124" s="690"/>
      <c r="Q124" s="690"/>
      <c r="R124" s="691">
        <f t="shared" si="11"/>
        <v>0</v>
      </c>
      <c r="S124" s="692">
        <f t="shared" si="12"/>
        <v>0</v>
      </c>
      <c r="T124" s="693">
        <f t="shared" si="13"/>
        <v>0</v>
      </c>
      <c r="U124" s="1035"/>
      <c r="V124" s="690"/>
      <c r="W124" s="1025"/>
      <c r="X124" s="1030"/>
      <c r="Y124" s="694">
        <f t="shared" si="14"/>
        <v>0</v>
      </c>
      <c r="Z124" s="690"/>
      <c r="AA124" s="690"/>
      <c r="AB124" s="695">
        <f t="shared" si="15"/>
        <v>0</v>
      </c>
      <c r="AC124" s="1035"/>
      <c r="AD124" s="690"/>
      <c r="AE124" s="1025"/>
      <c r="AF124" s="1030"/>
      <c r="AG124" s="690"/>
      <c r="AH124" s="690"/>
      <c r="AI124" s="696">
        <f t="shared" si="16"/>
        <v>0</v>
      </c>
      <c r="AJ124" s="697">
        <f t="shared" si="17"/>
        <v>0</v>
      </c>
      <c r="AK124" s="698"/>
      <c r="AL124" s="698"/>
    </row>
    <row r="125" spans="1:38" s="700" customFormat="1" ht="12.75" customHeight="1">
      <c r="A125" s="686" t="s">
        <v>202</v>
      </c>
      <c r="B125" s="686" t="s">
        <v>400</v>
      </c>
      <c r="C125" s="701" t="s">
        <v>352</v>
      </c>
      <c r="D125" s="701"/>
      <c r="E125" s="688">
        <v>101286</v>
      </c>
      <c r="F125" s="689">
        <v>9</v>
      </c>
      <c r="G125" s="1025"/>
      <c r="H125" s="690"/>
      <c r="I125" s="1030">
        <v>49035.85</v>
      </c>
      <c r="J125" s="690">
        <v>50000</v>
      </c>
      <c r="K125" s="1030"/>
      <c r="L125" s="690"/>
      <c r="M125" s="1025"/>
      <c r="N125" s="1030"/>
      <c r="O125" s="692">
        <f t="shared" si="10"/>
        <v>0</v>
      </c>
      <c r="P125" s="690"/>
      <c r="Q125" s="690"/>
      <c r="R125" s="691">
        <f t="shared" si="11"/>
        <v>0</v>
      </c>
      <c r="S125" s="692">
        <f t="shared" si="12"/>
        <v>49035.85</v>
      </c>
      <c r="T125" s="693">
        <f t="shared" si="13"/>
        <v>50000</v>
      </c>
      <c r="U125" s="1035"/>
      <c r="V125" s="690"/>
      <c r="W125" s="1025"/>
      <c r="X125" s="1030"/>
      <c r="Y125" s="694">
        <f t="shared" si="14"/>
        <v>0</v>
      </c>
      <c r="Z125" s="690"/>
      <c r="AA125" s="690"/>
      <c r="AB125" s="695">
        <f t="shared" si="15"/>
        <v>0</v>
      </c>
      <c r="AC125" s="1035"/>
      <c r="AD125" s="690"/>
      <c r="AE125" s="1025"/>
      <c r="AF125" s="1030"/>
      <c r="AG125" s="690"/>
      <c r="AH125" s="690"/>
      <c r="AI125" s="696">
        <f t="shared" si="16"/>
        <v>49035.85</v>
      </c>
      <c r="AJ125" s="697">
        <f t="shared" si="17"/>
        <v>50000</v>
      </c>
      <c r="AK125" s="698"/>
      <c r="AL125" s="698"/>
    </row>
    <row r="126" spans="1:38" s="700" customFormat="1" ht="12.75" customHeight="1">
      <c r="A126" s="686" t="s">
        <v>202</v>
      </c>
      <c r="B126" s="686" t="s">
        <v>400</v>
      </c>
      <c r="C126" s="701" t="s">
        <v>315</v>
      </c>
      <c r="D126" s="701"/>
      <c r="E126" s="688">
        <v>101286</v>
      </c>
      <c r="F126" s="689">
        <v>9</v>
      </c>
      <c r="G126" s="1025"/>
      <c r="H126" s="690"/>
      <c r="I126" s="1030">
        <v>357828.6</v>
      </c>
      <c r="J126" s="690">
        <v>155000</v>
      </c>
      <c r="K126" s="1030"/>
      <c r="L126" s="690"/>
      <c r="M126" s="1025"/>
      <c r="N126" s="1030"/>
      <c r="O126" s="692">
        <f t="shared" si="10"/>
        <v>0</v>
      </c>
      <c r="P126" s="690"/>
      <c r="Q126" s="690"/>
      <c r="R126" s="691">
        <f t="shared" si="11"/>
        <v>0</v>
      </c>
      <c r="S126" s="692">
        <f t="shared" si="12"/>
        <v>357828.6</v>
      </c>
      <c r="T126" s="693">
        <f t="shared" si="13"/>
        <v>155000</v>
      </c>
      <c r="U126" s="1035"/>
      <c r="V126" s="690"/>
      <c r="W126" s="1025"/>
      <c r="X126" s="1030"/>
      <c r="Y126" s="694">
        <f t="shared" si="14"/>
        <v>0</v>
      </c>
      <c r="Z126" s="690"/>
      <c r="AA126" s="690"/>
      <c r="AB126" s="695">
        <f t="shared" si="15"/>
        <v>0</v>
      </c>
      <c r="AC126" s="1035"/>
      <c r="AD126" s="690"/>
      <c r="AE126" s="1025"/>
      <c r="AF126" s="1030"/>
      <c r="AG126" s="690"/>
      <c r="AH126" s="690"/>
      <c r="AI126" s="696">
        <f t="shared" si="16"/>
        <v>357828.6</v>
      </c>
      <c r="AJ126" s="697">
        <f t="shared" si="17"/>
        <v>155000</v>
      </c>
      <c r="AK126" s="698"/>
      <c r="AL126" s="698"/>
    </row>
    <row r="127" spans="1:38" s="700" customFormat="1" ht="12.75" customHeight="1">
      <c r="A127" s="686" t="s">
        <v>202</v>
      </c>
      <c r="B127" s="686" t="s">
        <v>392</v>
      </c>
      <c r="C127" s="687" t="s">
        <v>357</v>
      </c>
      <c r="D127" s="687"/>
      <c r="E127" s="688">
        <v>101161</v>
      </c>
      <c r="F127" s="689">
        <v>9</v>
      </c>
      <c r="G127" s="1025">
        <v>9528835</v>
      </c>
      <c r="H127" s="690">
        <v>9514933</v>
      </c>
      <c r="I127" s="1030"/>
      <c r="J127" s="690"/>
      <c r="K127" s="1030">
        <v>1123559.3899999999</v>
      </c>
      <c r="L127" s="690">
        <v>500000</v>
      </c>
      <c r="M127" s="1025">
        <v>11015531.52</v>
      </c>
      <c r="N127" s="1025">
        <v>1568648.86</v>
      </c>
      <c r="O127" s="692">
        <f t="shared" si="10"/>
        <v>12584180.379999999</v>
      </c>
      <c r="P127" s="690">
        <v>10941873</v>
      </c>
      <c r="Q127" s="690">
        <v>1653243</v>
      </c>
      <c r="R127" s="691">
        <f t="shared" si="11"/>
        <v>12595116</v>
      </c>
      <c r="S127" s="692">
        <f t="shared" si="12"/>
        <v>21667925.91</v>
      </c>
      <c r="T127" s="693">
        <f t="shared" si="13"/>
        <v>20956806</v>
      </c>
      <c r="U127" s="1035"/>
      <c r="V127" s="690"/>
      <c r="W127" s="1025"/>
      <c r="X127" s="1030"/>
      <c r="Y127" s="694">
        <f t="shared" si="14"/>
        <v>0</v>
      </c>
      <c r="Z127" s="690"/>
      <c r="AA127" s="690"/>
      <c r="AB127" s="695">
        <f t="shared" si="15"/>
        <v>0</v>
      </c>
      <c r="AC127" s="1035"/>
      <c r="AD127" s="690"/>
      <c r="AE127" s="1025"/>
      <c r="AF127" s="1030"/>
      <c r="AG127" s="690"/>
      <c r="AH127" s="690"/>
      <c r="AI127" s="696">
        <f t="shared" si="16"/>
        <v>21667925.91</v>
      </c>
      <c r="AJ127" s="697">
        <f t="shared" si="17"/>
        <v>20956806</v>
      </c>
      <c r="AK127" s="698"/>
      <c r="AL127" s="698"/>
    </row>
    <row r="128" spans="1:38" s="700" customFormat="1" ht="12.75" customHeight="1">
      <c r="A128" s="686" t="s">
        <v>202</v>
      </c>
      <c r="B128" s="686" t="s">
        <v>400</v>
      </c>
      <c r="C128" s="699" t="s">
        <v>484</v>
      </c>
      <c r="D128" s="699"/>
      <c r="E128" s="688">
        <v>101161</v>
      </c>
      <c r="F128" s="689">
        <v>9</v>
      </c>
      <c r="G128" s="1025"/>
      <c r="H128" s="690"/>
      <c r="I128" s="1030"/>
      <c r="J128" s="690"/>
      <c r="K128" s="1030"/>
      <c r="L128" s="690"/>
      <c r="M128" s="1025"/>
      <c r="N128" s="1030"/>
      <c r="O128" s="692">
        <f t="shared" si="10"/>
        <v>0</v>
      </c>
      <c r="P128" s="690"/>
      <c r="Q128" s="690"/>
      <c r="R128" s="691">
        <f t="shared" si="11"/>
        <v>0</v>
      </c>
      <c r="S128" s="692">
        <f t="shared" si="12"/>
        <v>0</v>
      </c>
      <c r="T128" s="693">
        <f t="shared" si="13"/>
        <v>0</v>
      </c>
      <c r="U128" s="1035"/>
      <c r="V128" s="690"/>
      <c r="W128" s="1025"/>
      <c r="X128" s="1030"/>
      <c r="Y128" s="694">
        <f t="shared" si="14"/>
        <v>0</v>
      </c>
      <c r="Z128" s="690"/>
      <c r="AA128" s="690"/>
      <c r="AB128" s="695">
        <f t="shared" si="15"/>
        <v>0</v>
      </c>
      <c r="AC128" s="1035"/>
      <c r="AD128" s="690"/>
      <c r="AE128" s="1025"/>
      <c r="AF128" s="1030"/>
      <c r="AG128" s="690"/>
      <c r="AH128" s="690"/>
      <c r="AI128" s="696">
        <f t="shared" si="16"/>
        <v>0</v>
      </c>
      <c r="AJ128" s="697">
        <f t="shared" si="17"/>
        <v>0</v>
      </c>
      <c r="AK128" s="698"/>
      <c r="AL128" s="698"/>
    </row>
    <row r="129" spans="1:38" s="700" customFormat="1" ht="12.75" customHeight="1">
      <c r="A129" s="686" t="s">
        <v>202</v>
      </c>
      <c r="B129" s="686" t="s">
        <v>400</v>
      </c>
      <c r="C129" s="701" t="s">
        <v>352</v>
      </c>
      <c r="D129" s="701"/>
      <c r="E129" s="688">
        <v>101161</v>
      </c>
      <c r="F129" s="689">
        <v>9</v>
      </c>
      <c r="G129" s="1025"/>
      <c r="H129" s="690"/>
      <c r="I129" s="1030">
        <v>47730</v>
      </c>
      <c r="J129" s="690">
        <v>47730</v>
      </c>
      <c r="K129" s="1030"/>
      <c r="L129" s="690"/>
      <c r="M129" s="1025"/>
      <c r="N129" s="1030"/>
      <c r="O129" s="692">
        <f t="shared" si="10"/>
        <v>0</v>
      </c>
      <c r="P129" s="690"/>
      <c r="Q129" s="690"/>
      <c r="R129" s="691">
        <f t="shared" si="11"/>
        <v>0</v>
      </c>
      <c r="S129" s="692">
        <f t="shared" si="12"/>
        <v>47730</v>
      </c>
      <c r="T129" s="693">
        <f t="shared" si="13"/>
        <v>47730</v>
      </c>
      <c r="U129" s="1035"/>
      <c r="V129" s="690"/>
      <c r="W129" s="1025"/>
      <c r="X129" s="1030"/>
      <c r="Y129" s="694">
        <f t="shared" si="14"/>
        <v>0</v>
      </c>
      <c r="Z129" s="690"/>
      <c r="AA129" s="690"/>
      <c r="AB129" s="695">
        <f t="shared" si="15"/>
        <v>0</v>
      </c>
      <c r="AC129" s="1035"/>
      <c r="AD129" s="690"/>
      <c r="AE129" s="1025"/>
      <c r="AF129" s="1030"/>
      <c r="AG129" s="690"/>
      <c r="AH129" s="690"/>
      <c r="AI129" s="696">
        <f t="shared" si="16"/>
        <v>47730</v>
      </c>
      <c r="AJ129" s="697">
        <f t="shared" si="17"/>
        <v>47730</v>
      </c>
      <c r="AK129" s="698"/>
      <c r="AL129" s="698"/>
    </row>
    <row r="130" spans="1:38" s="700" customFormat="1" ht="12.75" customHeight="1">
      <c r="A130" s="686" t="s">
        <v>202</v>
      </c>
      <c r="B130" s="686" t="s">
        <v>400</v>
      </c>
      <c r="C130" s="701" t="s">
        <v>315</v>
      </c>
      <c r="D130" s="701"/>
      <c r="E130" s="688">
        <v>101161</v>
      </c>
      <c r="F130" s="689">
        <v>9</v>
      </c>
      <c r="G130" s="1025"/>
      <c r="H130" s="690"/>
      <c r="I130" s="1030">
        <v>341048.62</v>
      </c>
      <c r="J130" s="690">
        <v>275773</v>
      </c>
      <c r="K130" s="1030"/>
      <c r="L130" s="690"/>
      <c r="M130" s="1025"/>
      <c r="N130" s="1030"/>
      <c r="O130" s="692">
        <f t="shared" si="10"/>
        <v>0</v>
      </c>
      <c r="P130" s="690"/>
      <c r="Q130" s="690"/>
      <c r="R130" s="691">
        <f t="shared" si="11"/>
        <v>0</v>
      </c>
      <c r="S130" s="692">
        <f t="shared" si="12"/>
        <v>341048.62</v>
      </c>
      <c r="T130" s="693">
        <f t="shared" si="13"/>
        <v>275773</v>
      </c>
      <c r="U130" s="1035"/>
      <c r="V130" s="690"/>
      <c r="W130" s="1025"/>
      <c r="X130" s="1030"/>
      <c r="Y130" s="694">
        <f t="shared" si="14"/>
        <v>0</v>
      </c>
      <c r="Z130" s="690"/>
      <c r="AA130" s="690"/>
      <c r="AB130" s="695">
        <f t="shared" si="15"/>
        <v>0</v>
      </c>
      <c r="AC130" s="1035"/>
      <c r="AD130" s="690"/>
      <c r="AE130" s="1025"/>
      <c r="AF130" s="1030"/>
      <c r="AG130" s="690"/>
      <c r="AH130" s="690"/>
      <c r="AI130" s="696">
        <f t="shared" si="16"/>
        <v>341048.62</v>
      </c>
      <c r="AJ130" s="697">
        <f t="shared" si="17"/>
        <v>275773</v>
      </c>
      <c r="AK130" s="698"/>
      <c r="AL130" s="698"/>
    </row>
    <row r="131" spans="1:38" s="700" customFormat="1" ht="12.75" customHeight="1">
      <c r="A131" s="686" t="s">
        <v>202</v>
      </c>
      <c r="B131" s="686" t="s">
        <v>392</v>
      </c>
      <c r="C131" s="687" t="s">
        <v>363</v>
      </c>
      <c r="D131" s="687"/>
      <c r="E131" s="688">
        <v>101569</v>
      </c>
      <c r="F131" s="689">
        <v>9</v>
      </c>
      <c r="G131" s="1025">
        <v>14777926</v>
      </c>
      <c r="H131" s="690">
        <v>14630677</v>
      </c>
      <c r="I131" s="1030"/>
      <c r="J131" s="690"/>
      <c r="K131" s="1030">
        <v>52407.3</v>
      </c>
      <c r="L131" s="690">
        <v>54000</v>
      </c>
      <c r="M131" s="1025">
        <v>12168037.050000001</v>
      </c>
      <c r="N131" s="1030">
        <v>1096823.51</v>
      </c>
      <c r="O131" s="692">
        <f t="shared" si="10"/>
        <v>13264860.560000001</v>
      </c>
      <c r="P131" s="690">
        <v>11785396</v>
      </c>
      <c r="Q131" s="690">
        <v>1096824</v>
      </c>
      <c r="R131" s="691">
        <f t="shared" si="11"/>
        <v>12882220</v>
      </c>
      <c r="S131" s="692">
        <f t="shared" si="12"/>
        <v>26998370.350000001</v>
      </c>
      <c r="T131" s="693">
        <f t="shared" si="13"/>
        <v>26470073</v>
      </c>
      <c r="U131" s="1035"/>
      <c r="V131" s="690"/>
      <c r="W131" s="1025"/>
      <c r="X131" s="1030"/>
      <c r="Y131" s="694">
        <f t="shared" si="14"/>
        <v>0</v>
      </c>
      <c r="Z131" s="690"/>
      <c r="AA131" s="690"/>
      <c r="AB131" s="695">
        <f t="shared" si="15"/>
        <v>0</v>
      </c>
      <c r="AC131" s="1035"/>
      <c r="AD131" s="690"/>
      <c r="AE131" s="1025"/>
      <c r="AF131" s="1030"/>
      <c r="AG131" s="690"/>
      <c r="AH131" s="690"/>
      <c r="AI131" s="696">
        <f t="shared" si="16"/>
        <v>26998370.350000001</v>
      </c>
      <c r="AJ131" s="697">
        <f t="shared" si="17"/>
        <v>26470073</v>
      </c>
      <c r="AK131" s="698"/>
      <c r="AL131" s="698"/>
    </row>
    <row r="132" spans="1:38" s="700" customFormat="1" ht="12.75" customHeight="1">
      <c r="A132" s="686" t="s">
        <v>202</v>
      </c>
      <c r="B132" s="686" t="s">
        <v>400</v>
      </c>
      <c r="C132" s="699" t="s">
        <v>484</v>
      </c>
      <c r="D132" s="699"/>
      <c r="E132" s="688">
        <v>101569</v>
      </c>
      <c r="F132" s="689">
        <v>9</v>
      </c>
      <c r="G132" s="1025"/>
      <c r="H132" s="690"/>
      <c r="I132" s="1030"/>
      <c r="J132" s="690"/>
      <c r="K132" s="1030"/>
      <c r="L132" s="690"/>
      <c r="M132" s="1025"/>
      <c r="N132" s="1030"/>
      <c r="O132" s="692">
        <f t="shared" si="10"/>
        <v>0</v>
      </c>
      <c r="P132" s="690"/>
      <c r="Q132" s="690"/>
      <c r="R132" s="691">
        <f t="shared" si="11"/>
        <v>0</v>
      </c>
      <c r="S132" s="692">
        <f t="shared" si="12"/>
        <v>0</v>
      </c>
      <c r="T132" s="693">
        <f t="shared" si="13"/>
        <v>0</v>
      </c>
      <c r="U132" s="1035"/>
      <c r="V132" s="690"/>
      <c r="W132" s="1025"/>
      <c r="X132" s="1030"/>
      <c r="Y132" s="694">
        <f t="shared" si="14"/>
        <v>0</v>
      </c>
      <c r="Z132" s="690"/>
      <c r="AA132" s="690"/>
      <c r="AB132" s="695">
        <f t="shared" si="15"/>
        <v>0</v>
      </c>
      <c r="AC132" s="1035"/>
      <c r="AD132" s="690"/>
      <c r="AE132" s="1025"/>
      <c r="AF132" s="1030"/>
      <c r="AG132" s="690"/>
      <c r="AH132" s="690"/>
      <c r="AI132" s="696">
        <f t="shared" si="16"/>
        <v>0</v>
      </c>
      <c r="AJ132" s="697">
        <f t="shared" si="17"/>
        <v>0</v>
      </c>
      <c r="AK132" s="698"/>
      <c r="AL132" s="698"/>
    </row>
    <row r="133" spans="1:38" s="700" customFormat="1" ht="12.75" customHeight="1">
      <c r="A133" s="686" t="s">
        <v>202</v>
      </c>
      <c r="B133" s="686" t="s">
        <v>400</v>
      </c>
      <c r="C133" s="701" t="s">
        <v>352</v>
      </c>
      <c r="D133" s="701"/>
      <c r="E133" s="688">
        <v>101569</v>
      </c>
      <c r="F133" s="689">
        <v>9</v>
      </c>
      <c r="G133" s="1025"/>
      <c r="H133" s="690"/>
      <c r="I133" s="1030">
        <v>301357.44</v>
      </c>
      <c r="J133" s="690">
        <v>161067</v>
      </c>
      <c r="K133" s="1030"/>
      <c r="L133" s="690"/>
      <c r="M133" s="1025"/>
      <c r="N133" s="1030"/>
      <c r="O133" s="692">
        <f t="shared" si="10"/>
        <v>0</v>
      </c>
      <c r="P133" s="690"/>
      <c r="Q133" s="690"/>
      <c r="R133" s="691">
        <f t="shared" si="11"/>
        <v>0</v>
      </c>
      <c r="S133" s="692">
        <f t="shared" si="12"/>
        <v>301357.44</v>
      </c>
      <c r="T133" s="693">
        <f t="shared" si="13"/>
        <v>161067</v>
      </c>
      <c r="U133" s="1035"/>
      <c r="V133" s="690"/>
      <c r="W133" s="1025"/>
      <c r="X133" s="1030"/>
      <c r="Y133" s="694">
        <f t="shared" si="14"/>
        <v>0</v>
      </c>
      <c r="Z133" s="690"/>
      <c r="AA133" s="690"/>
      <c r="AB133" s="695">
        <f t="shared" si="15"/>
        <v>0</v>
      </c>
      <c r="AC133" s="1035"/>
      <c r="AD133" s="690"/>
      <c r="AE133" s="1025"/>
      <c r="AF133" s="1030"/>
      <c r="AG133" s="690"/>
      <c r="AH133" s="690"/>
      <c r="AI133" s="696">
        <f t="shared" si="16"/>
        <v>301357.44</v>
      </c>
      <c r="AJ133" s="697">
        <f t="shared" si="17"/>
        <v>161067</v>
      </c>
      <c r="AK133" s="698"/>
      <c r="AL133" s="698"/>
    </row>
    <row r="134" spans="1:38" s="700" customFormat="1" ht="12.75" customHeight="1">
      <c r="A134" s="686" t="s">
        <v>202</v>
      </c>
      <c r="B134" s="686" t="s">
        <v>400</v>
      </c>
      <c r="C134" s="701" t="s">
        <v>315</v>
      </c>
      <c r="D134" s="701"/>
      <c r="E134" s="688">
        <v>101569</v>
      </c>
      <c r="F134" s="689">
        <v>9</v>
      </c>
      <c r="G134" s="1025"/>
      <c r="H134" s="690"/>
      <c r="I134" s="1030">
        <v>109716.12</v>
      </c>
      <c r="J134" s="690">
        <v>1942</v>
      </c>
      <c r="K134" s="1030"/>
      <c r="L134" s="690"/>
      <c r="M134" s="1025"/>
      <c r="N134" s="1030"/>
      <c r="O134" s="692">
        <f t="shared" si="10"/>
        <v>0</v>
      </c>
      <c r="P134" s="690"/>
      <c r="Q134" s="690"/>
      <c r="R134" s="691">
        <f t="shared" si="11"/>
        <v>0</v>
      </c>
      <c r="S134" s="692">
        <f t="shared" si="12"/>
        <v>109716.12</v>
      </c>
      <c r="T134" s="693">
        <f t="shared" si="13"/>
        <v>1942</v>
      </c>
      <c r="U134" s="1035"/>
      <c r="V134" s="690"/>
      <c r="W134" s="1025"/>
      <c r="X134" s="1030"/>
      <c r="Y134" s="694">
        <f t="shared" si="14"/>
        <v>0</v>
      </c>
      <c r="Z134" s="690"/>
      <c r="AA134" s="690"/>
      <c r="AB134" s="695">
        <f t="shared" si="15"/>
        <v>0</v>
      </c>
      <c r="AC134" s="1035"/>
      <c r="AD134" s="690"/>
      <c r="AE134" s="1025"/>
      <c r="AF134" s="1030"/>
      <c r="AG134" s="690"/>
      <c r="AH134" s="690"/>
      <c r="AI134" s="696">
        <f t="shared" si="16"/>
        <v>109716.12</v>
      </c>
      <c r="AJ134" s="697">
        <f t="shared" si="17"/>
        <v>1942</v>
      </c>
      <c r="AK134" s="698"/>
      <c r="AL134" s="698"/>
    </row>
    <row r="135" spans="1:38" s="700" customFormat="1" ht="12.75" customHeight="1">
      <c r="A135" s="686" t="s">
        <v>202</v>
      </c>
      <c r="B135" s="686" t="s">
        <v>392</v>
      </c>
      <c r="C135" s="687" t="s">
        <v>27</v>
      </c>
      <c r="D135" s="687"/>
      <c r="E135" s="688">
        <v>101736</v>
      </c>
      <c r="F135" s="689">
        <v>9</v>
      </c>
      <c r="G135" s="1025">
        <v>11036553</v>
      </c>
      <c r="H135" s="690">
        <v>11008071</v>
      </c>
      <c r="I135" s="1030"/>
      <c r="J135" s="690"/>
      <c r="K135" s="1030"/>
      <c r="L135" s="690"/>
      <c r="M135" s="1025">
        <v>10483209.82</v>
      </c>
      <c r="N135" s="1025">
        <v>988674.8</v>
      </c>
      <c r="O135" s="692">
        <f t="shared" si="10"/>
        <v>11471884.620000001</v>
      </c>
      <c r="P135" s="690">
        <v>10365597</v>
      </c>
      <c r="Q135" s="690">
        <v>732837</v>
      </c>
      <c r="R135" s="691">
        <f t="shared" si="11"/>
        <v>11098434</v>
      </c>
      <c r="S135" s="692">
        <f t="shared" si="12"/>
        <v>21519762.82</v>
      </c>
      <c r="T135" s="693">
        <f t="shared" si="13"/>
        <v>21373668</v>
      </c>
      <c r="U135" s="1035"/>
      <c r="V135" s="690"/>
      <c r="W135" s="1025"/>
      <c r="X135" s="1030"/>
      <c r="Y135" s="694">
        <f t="shared" si="14"/>
        <v>0</v>
      </c>
      <c r="Z135" s="690"/>
      <c r="AA135" s="690"/>
      <c r="AB135" s="695">
        <f t="shared" si="15"/>
        <v>0</v>
      </c>
      <c r="AC135" s="1035"/>
      <c r="AD135" s="690"/>
      <c r="AE135" s="1025"/>
      <c r="AF135" s="1030"/>
      <c r="AG135" s="690"/>
      <c r="AH135" s="690"/>
      <c r="AI135" s="696">
        <f t="shared" si="16"/>
        <v>21519762.82</v>
      </c>
      <c r="AJ135" s="697">
        <f t="shared" si="17"/>
        <v>21373668</v>
      </c>
      <c r="AK135" s="698"/>
      <c r="AL135" s="698"/>
    </row>
    <row r="136" spans="1:38" s="700" customFormat="1" ht="12.75" customHeight="1">
      <c r="A136" s="686" t="s">
        <v>202</v>
      </c>
      <c r="B136" s="686" t="s">
        <v>400</v>
      </c>
      <c r="C136" s="699" t="s">
        <v>484</v>
      </c>
      <c r="D136" s="699"/>
      <c r="E136" s="688">
        <v>101736</v>
      </c>
      <c r="F136" s="689">
        <v>9</v>
      </c>
      <c r="G136" s="1025"/>
      <c r="H136" s="690"/>
      <c r="I136" s="1030"/>
      <c r="J136" s="690"/>
      <c r="K136" s="1030"/>
      <c r="L136" s="690"/>
      <c r="M136" s="1025"/>
      <c r="N136" s="1030"/>
      <c r="O136" s="692">
        <f t="shared" si="10"/>
        <v>0</v>
      </c>
      <c r="P136" s="690"/>
      <c r="Q136" s="690"/>
      <c r="R136" s="691">
        <f t="shared" si="11"/>
        <v>0</v>
      </c>
      <c r="S136" s="692">
        <f t="shared" si="12"/>
        <v>0</v>
      </c>
      <c r="T136" s="693">
        <f t="shared" si="13"/>
        <v>0</v>
      </c>
      <c r="U136" s="1035"/>
      <c r="V136" s="690"/>
      <c r="W136" s="1025"/>
      <c r="X136" s="1030"/>
      <c r="Y136" s="694">
        <f t="shared" si="14"/>
        <v>0</v>
      </c>
      <c r="Z136" s="690"/>
      <c r="AA136" s="690"/>
      <c r="AB136" s="695">
        <f t="shared" si="15"/>
        <v>0</v>
      </c>
      <c r="AC136" s="1035"/>
      <c r="AD136" s="690"/>
      <c r="AE136" s="1025"/>
      <c r="AF136" s="1030"/>
      <c r="AG136" s="690"/>
      <c r="AH136" s="690"/>
      <c r="AI136" s="696">
        <f t="shared" si="16"/>
        <v>0</v>
      </c>
      <c r="AJ136" s="697">
        <f t="shared" si="17"/>
        <v>0</v>
      </c>
      <c r="AK136" s="698"/>
      <c r="AL136" s="698"/>
    </row>
    <row r="137" spans="1:38" s="700" customFormat="1" ht="12.75" customHeight="1">
      <c r="A137" s="686" t="s">
        <v>202</v>
      </c>
      <c r="B137" s="686" t="s">
        <v>400</v>
      </c>
      <c r="C137" s="701" t="s">
        <v>352</v>
      </c>
      <c r="D137" s="701"/>
      <c r="E137" s="688">
        <v>101736</v>
      </c>
      <c r="F137" s="689">
        <v>9</v>
      </c>
      <c r="G137" s="1025"/>
      <c r="H137" s="690"/>
      <c r="I137" s="1030">
        <v>163592</v>
      </c>
      <c r="J137" s="690">
        <v>382249</v>
      </c>
      <c r="K137" s="1030"/>
      <c r="L137" s="690"/>
      <c r="M137" s="1025"/>
      <c r="N137" s="1030"/>
      <c r="O137" s="692">
        <f t="shared" si="10"/>
        <v>0</v>
      </c>
      <c r="P137" s="690"/>
      <c r="Q137" s="690"/>
      <c r="R137" s="691">
        <f t="shared" si="11"/>
        <v>0</v>
      </c>
      <c r="S137" s="692">
        <f t="shared" si="12"/>
        <v>163592</v>
      </c>
      <c r="T137" s="693">
        <f t="shared" si="13"/>
        <v>382249</v>
      </c>
      <c r="U137" s="1035"/>
      <c r="V137" s="690"/>
      <c r="W137" s="1025"/>
      <c r="X137" s="1030"/>
      <c r="Y137" s="694">
        <f t="shared" si="14"/>
        <v>0</v>
      </c>
      <c r="Z137" s="690"/>
      <c r="AA137" s="690"/>
      <c r="AB137" s="695">
        <f t="shared" si="15"/>
        <v>0</v>
      </c>
      <c r="AC137" s="1035"/>
      <c r="AD137" s="690"/>
      <c r="AE137" s="1025"/>
      <c r="AF137" s="1030"/>
      <c r="AG137" s="690"/>
      <c r="AH137" s="690"/>
      <c r="AI137" s="696">
        <f t="shared" si="16"/>
        <v>163592</v>
      </c>
      <c r="AJ137" s="697">
        <f t="shared" si="17"/>
        <v>382249</v>
      </c>
      <c r="AK137" s="698"/>
      <c r="AL137" s="698"/>
    </row>
    <row r="138" spans="1:38" s="700" customFormat="1" ht="12.75" customHeight="1">
      <c r="A138" s="686" t="s">
        <v>202</v>
      </c>
      <c r="B138" s="686" t="s">
        <v>400</v>
      </c>
      <c r="C138" s="701" t="s">
        <v>315</v>
      </c>
      <c r="D138" s="701"/>
      <c r="E138" s="688">
        <v>101736</v>
      </c>
      <c r="F138" s="689">
        <v>9</v>
      </c>
      <c r="G138" s="1025"/>
      <c r="H138" s="690"/>
      <c r="I138" s="1030">
        <v>268378</v>
      </c>
      <c r="J138" s="690">
        <v>156977</v>
      </c>
      <c r="K138" s="1030"/>
      <c r="L138" s="690"/>
      <c r="M138" s="1025"/>
      <c r="N138" s="1030"/>
      <c r="O138" s="692">
        <f t="shared" ref="O138:O201" si="18">SUM(M138:N138)</f>
        <v>0</v>
      </c>
      <c r="P138" s="690"/>
      <c r="Q138" s="690"/>
      <c r="R138" s="691">
        <f t="shared" ref="R138:R201" si="19">SUM(P138:Q138)</f>
        <v>0</v>
      </c>
      <c r="S138" s="692">
        <f t="shared" ref="S138:S201" si="20">SUM(G138,I138,K138,M138)</f>
        <v>268378</v>
      </c>
      <c r="T138" s="693">
        <f t="shared" ref="T138:T201" si="21">SUM(H138,J138,L138,P138)</f>
        <v>156977</v>
      </c>
      <c r="U138" s="1035"/>
      <c r="V138" s="690"/>
      <c r="W138" s="1025"/>
      <c r="X138" s="1030"/>
      <c r="Y138" s="694">
        <f t="shared" ref="Y138:Y201" si="22">SUM(W138:X138)</f>
        <v>0</v>
      </c>
      <c r="Z138" s="690"/>
      <c r="AA138" s="690"/>
      <c r="AB138" s="695">
        <f t="shared" ref="AB138:AB201" si="23">SUM(Z138:AA138)</f>
        <v>0</v>
      </c>
      <c r="AC138" s="1035"/>
      <c r="AD138" s="690"/>
      <c r="AE138" s="1025"/>
      <c r="AF138" s="1030"/>
      <c r="AG138" s="690"/>
      <c r="AH138" s="690"/>
      <c r="AI138" s="696">
        <f t="shared" ref="AI138:AI201" si="24">SUM(S138,U138,W138,AC138,AE138)</f>
        <v>268378</v>
      </c>
      <c r="AJ138" s="697">
        <f t="shared" ref="AJ138:AJ201" si="25">SUM(T138,V138,Z138,AD138,AG138)</f>
        <v>156977</v>
      </c>
      <c r="AK138" s="698"/>
      <c r="AL138" s="698"/>
    </row>
    <row r="139" spans="1:38" s="700" customFormat="1" ht="12.75" customHeight="1">
      <c r="A139" s="686" t="s">
        <v>202</v>
      </c>
      <c r="B139" s="686" t="s">
        <v>392</v>
      </c>
      <c r="C139" s="703" t="s">
        <v>28</v>
      </c>
      <c r="D139" s="1038" t="s">
        <v>1900</v>
      </c>
      <c r="E139" s="688">
        <v>102067</v>
      </c>
      <c r="F139" s="689">
        <v>9</v>
      </c>
      <c r="G139" s="1025">
        <v>17484627</v>
      </c>
      <c r="H139" s="690">
        <v>17334896</v>
      </c>
      <c r="I139" s="1030"/>
      <c r="J139" s="690"/>
      <c r="K139" s="1030"/>
      <c r="L139" s="690"/>
      <c r="M139" s="1025">
        <v>13625100.59</v>
      </c>
      <c r="N139" s="1030">
        <v>2553268.75</v>
      </c>
      <c r="O139" s="692">
        <f t="shared" si="18"/>
        <v>16178369.34</v>
      </c>
      <c r="P139" s="690">
        <v>15116673</v>
      </c>
      <c r="Q139" s="690">
        <v>2539394</v>
      </c>
      <c r="R139" s="691">
        <f t="shared" si="19"/>
        <v>17656067</v>
      </c>
      <c r="S139" s="692">
        <f t="shared" si="20"/>
        <v>31109727.59</v>
      </c>
      <c r="T139" s="693">
        <f t="shared" si="21"/>
        <v>32451569</v>
      </c>
      <c r="U139" s="1035"/>
      <c r="V139" s="690"/>
      <c r="W139" s="1025"/>
      <c r="X139" s="1030"/>
      <c r="Y139" s="694">
        <f t="shared" si="22"/>
        <v>0</v>
      </c>
      <c r="Z139" s="690"/>
      <c r="AA139" s="690"/>
      <c r="AB139" s="695">
        <f t="shared" si="23"/>
        <v>0</v>
      </c>
      <c r="AC139" s="1035"/>
      <c r="AD139" s="690"/>
      <c r="AE139" s="1025"/>
      <c r="AF139" s="1030"/>
      <c r="AG139" s="690"/>
      <c r="AH139" s="690"/>
      <c r="AI139" s="696">
        <f t="shared" si="24"/>
        <v>31109727.59</v>
      </c>
      <c r="AJ139" s="697">
        <f t="shared" si="25"/>
        <v>32451569</v>
      </c>
      <c r="AK139" s="698"/>
      <c r="AL139" s="698"/>
    </row>
    <row r="140" spans="1:38" s="700" customFormat="1" ht="12.75" customHeight="1">
      <c r="A140" s="686" t="s">
        <v>202</v>
      </c>
      <c r="B140" s="686" t="s">
        <v>394</v>
      </c>
      <c r="C140" s="699" t="s">
        <v>451</v>
      </c>
      <c r="D140" s="699"/>
      <c r="E140" s="688">
        <v>102067</v>
      </c>
      <c r="F140" s="689">
        <v>9</v>
      </c>
      <c r="G140" s="1025"/>
      <c r="H140" s="690"/>
      <c r="I140" s="1030"/>
      <c r="J140" s="690"/>
      <c r="K140" s="1030"/>
      <c r="L140" s="690"/>
      <c r="M140" s="1025"/>
      <c r="N140" s="1030"/>
      <c r="O140" s="692">
        <f t="shared" si="18"/>
        <v>0</v>
      </c>
      <c r="P140" s="690"/>
      <c r="Q140" s="690"/>
      <c r="R140" s="691">
        <f t="shared" si="19"/>
        <v>0</v>
      </c>
      <c r="S140" s="692">
        <f t="shared" si="20"/>
        <v>0</v>
      </c>
      <c r="T140" s="693">
        <f t="shared" si="21"/>
        <v>0</v>
      </c>
      <c r="U140" s="1035"/>
      <c r="V140" s="690"/>
      <c r="W140" s="1025"/>
      <c r="X140" s="1030"/>
      <c r="Y140" s="694">
        <f t="shared" si="22"/>
        <v>0</v>
      </c>
      <c r="Z140" s="690"/>
      <c r="AA140" s="690"/>
      <c r="AB140" s="695">
        <f t="shared" si="23"/>
        <v>0</v>
      </c>
      <c r="AC140" s="1035"/>
      <c r="AD140" s="690"/>
      <c r="AE140" s="1025"/>
      <c r="AF140" s="1030"/>
      <c r="AG140" s="690"/>
      <c r="AH140" s="690"/>
      <c r="AI140" s="696">
        <f t="shared" si="24"/>
        <v>0</v>
      </c>
      <c r="AJ140" s="697">
        <f t="shared" si="25"/>
        <v>0</v>
      </c>
      <c r="AK140" s="698"/>
      <c r="AL140" s="698"/>
    </row>
    <row r="141" spans="1:38" s="700" customFormat="1" ht="12.75" customHeight="1">
      <c r="A141" s="686" t="s">
        <v>202</v>
      </c>
      <c r="B141" s="686" t="s">
        <v>394</v>
      </c>
      <c r="C141" s="701" t="s">
        <v>29</v>
      </c>
      <c r="D141" s="701"/>
      <c r="E141" s="688">
        <v>102067</v>
      </c>
      <c r="F141" s="689">
        <v>9</v>
      </c>
      <c r="G141" s="1025"/>
      <c r="H141" s="690"/>
      <c r="I141" s="1030">
        <v>3603408</v>
      </c>
      <c r="J141" s="690">
        <v>3731064</v>
      </c>
      <c r="K141" s="1030"/>
      <c r="L141" s="690"/>
      <c r="M141" s="1025"/>
      <c r="N141" s="1030"/>
      <c r="O141" s="692">
        <f t="shared" si="18"/>
        <v>0</v>
      </c>
      <c r="P141" s="690"/>
      <c r="Q141" s="690"/>
      <c r="R141" s="691">
        <f t="shared" si="19"/>
        <v>0</v>
      </c>
      <c r="S141" s="692">
        <f t="shared" si="20"/>
        <v>3603408</v>
      </c>
      <c r="T141" s="693">
        <f t="shared" si="21"/>
        <v>3731064</v>
      </c>
      <c r="U141" s="1035"/>
      <c r="V141" s="690"/>
      <c r="W141" s="1025"/>
      <c r="X141" s="1030"/>
      <c r="Y141" s="694">
        <f t="shared" si="22"/>
        <v>0</v>
      </c>
      <c r="Z141" s="690"/>
      <c r="AA141" s="690"/>
      <c r="AB141" s="695">
        <f t="shared" si="23"/>
        <v>0</v>
      </c>
      <c r="AC141" s="1035"/>
      <c r="AD141" s="690"/>
      <c r="AE141" s="1025"/>
      <c r="AF141" s="1030"/>
      <c r="AG141" s="690"/>
      <c r="AH141" s="690"/>
      <c r="AI141" s="696">
        <f t="shared" si="24"/>
        <v>3603408</v>
      </c>
      <c r="AJ141" s="697">
        <f t="shared" si="25"/>
        <v>3731064</v>
      </c>
      <c r="AK141" s="698"/>
      <c r="AL141" s="698"/>
    </row>
    <row r="142" spans="1:38" s="700" customFormat="1" ht="12.75" customHeight="1">
      <c r="A142" s="686" t="s">
        <v>202</v>
      </c>
      <c r="B142" s="686" t="s">
        <v>394</v>
      </c>
      <c r="C142" s="701" t="s">
        <v>17</v>
      </c>
      <c r="D142" s="701"/>
      <c r="E142" s="688">
        <v>102067</v>
      </c>
      <c r="F142" s="689">
        <v>9</v>
      </c>
      <c r="G142" s="1025"/>
      <c r="H142" s="690"/>
      <c r="I142" s="1030">
        <v>1039246</v>
      </c>
      <c r="J142" s="690">
        <v>1030346</v>
      </c>
      <c r="K142" s="1030"/>
      <c r="L142" s="690"/>
      <c r="M142" s="1025"/>
      <c r="N142" s="1030"/>
      <c r="O142" s="692">
        <f t="shared" si="18"/>
        <v>0</v>
      </c>
      <c r="P142" s="690"/>
      <c r="Q142" s="690"/>
      <c r="R142" s="691">
        <f t="shared" si="19"/>
        <v>0</v>
      </c>
      <c r="S142" s="692">
        <f t="shared" si="20"/>
        <v>1039246</v>
      </c>
      <c r="T142" s="693">
        <f t="shared" si="21"/>
        <v>1030346</v>
      </c>
      <c r="U142" s="1035"/>
      <c r="V142" s="690"/>
      <c r="W142" s="1025"/>
      <c r="X142" s="1030"/>
      <c r="Y142" s="694">
        <f t="shared" si="22"/>
        <v>0</v>
      </c>
      <c r="Z142" s="690"/>
      <c r="AA142" s="690"/>
      <c r="AB142" s="695">
        <f t="shared" si="23"/>
        <v>0</v>
      </c>
      <c r="AC142" s="1035"/>
      <c r="AD142" s="690"/>
      <c r="AE142" s="1025"/>
      <c r="AF142" s="1030"/>
      <c r="AG142" s="690"/>
      <c r="AH142" s="690"/>
      <c r="AI142" s="696">
        <f t="shared" si="24"/>
        <v>1039246</v>
      </c>
      <c r="AJ142" s="697">
        <f t="shared" si="25"/>
        <v>1030346</v>
      </c>
      <c r="AK142" s="698"/>
      <c r="AL142" s="698"/>
    </row>
    <row r="143" spans="1:38" s="700" customFormat="1" ht="12.75" customHeight="1">
      <c r="A143" s="686" t="s">
        <v>202</v>
      </c>
      <c r="B143" s="686" t="s">
        <v>394</v>
      </c>
      <c r="C143" s="701" t="s">
        <v>496</v>
      </c>
      <c r="D143" s="701"/>
      <c r="E143" s="688">
        <v>102067</v>
      </c>
      <c r="F143" s="689">
        <v>9</v>
      </c>
      <c r="G143" s="1025"/>
      <c r="H143" s="690"/>
      <c r="I143" s="1030">
        <v>181000</v>
      </c>
      <c r="J143" s="690">
        <v>179450</v>
      </c>
      <c r="K143" s="1030"/>
      <c r="L143" s="690"/>
      <c r="M143" s="1025"/>
      <c r="N143" s="1030"/>
      <c r="O143" s="692">
        <f t="shared" si="18"/>
        <v>0</v>
      </c>
      <c r="P143" s="690"/>
      <c r="Q143" s="690"/>
      <c r="R143" s="691">
        <f t="shared" si="19"/>
        <v>0</v>
      </c>
      <c r="S143" s="692">
        <f t="shared" si="20"/>
        <v>181000</v>
      </c>
      <c r="T143" s="693">
        <f t="shared" si="21"/>
        <v>179450</v>
      </c>
      <c r="U143" s="1035"/>
      <c r="V143" s="690"/>
      <c r="W143" s="1025"/>
      <c r="X143" s="1030"/>
      <c r="Y143" s="694">
        <f t="shared" si="22"/>
        <v>0</v>
      </c>
      <c r="Z143" s="690"/>
      <c r="AA143" s="690"/>
      <c r="AB143" s="695">
        <f t="shared" si="23"/>
        <v>0</v>
      </c>
      <c r="AC143" s="1035"/>
      <c r="AD143" s="690"/>
      <c r="AE143" s="1025"/>
      <c r="AF143" s="1030"/>
      <c r="AG143" s="690"/>
      <c r="AH143" s="690"/>
      <c r="AI143" s="696">
        <f t="shared" si="24"/>
        <v>181000</v>
      </c>
      <c r="AJ143" s="697">
        <f t="shared" si="25"/>
        <v>179450</v>
      </c>
      <c r="AK143" s="698"/>
      <c r="AL143" s="698"/>
    </row>
    <row r="144" spans="1:38" s="700" customFormat="1" ht="12.75" customHeight="1">
      <c r="A144" s="686" t="s">
        <v>202</v>
      </c>
      <c r="B144" s="686" t="s">
        <v>400</v>
      </c>
      <c r="C144" s="699" t="s">
        <v>484</v>
      </c>
      <c r="D144" s="699"/>
      <c r="E144" s="688">
        <v>102067</v>
      </c>
      <c r="F144" s="689">
        <v>9</v>
      </c>
      <c r="G144" s="1025"/>
      <c r="H144" s="690"/>
      <c r="I144" s="1030"/>
      <c r="J144" s="690"/>
      <c r="K144" s="1030"/>
      <c r="L144" s="690"/>
      <c r="M144" s="1025"/>
      <c r="N144" s="1030"/>
      <c r="O144" s="692">
        <f t="shared" si="18"/>
        <v>0</v>
      </c>
      <c r="P144" s="690"/>
      <c r="Q144" s="690"/>
      <c r="R144" s="691">
        <f t="shared" si="19"/>
        <v>0</v>
      </c>
      <c r="S144" s="692">
        <f t="shared" si="20"/>
        <v>0</v>
      </c>
      <c r="T144" s="693">
        <f t="shared" si="21"/>
        <v>0</v>
      </c>
      <c r="U144" s="1035"/>
      <c r="V144" s="690"/>
      <c r="W144" s="1025"/>
      <c r="X144" s="1030"/>
      <c r="Y144" s="694">
        <f t="shared" si="22"/>
        <v>0</v>
      </c>
      <c r="Z144" s="690"/>
      <c r="AA144" s="690"/>
      <c r="AB144" s="695">
        <f t="shared" si="23"/>
        <v>0</v>
      </c>
      <c r="AC144" s="1035"/>
      <c r="AD144" s="690"/>
      <c r="AE144" s="1025"/>
      <c r="AF144" s="1030"/>
      <c r="AG144" s="690"/>
      <c r="AH144" s="690"/>
      <c r="AI144" s="696">
        <f t="shared" si="24"/>
        <v>0</v>
      </c>
      <c r="AJ144" s="697">
        <f t="shared" si="25"/>
        <v>0</v>
      </c>
      <c r="AK144" s="698"/>
      <c r="AL144" s="698"/>
    </row>
    <row r="145" spans="1:38" s="700" customFormat="1" ht="12.75" customHeight="1">
      <c r="A145" s="686" t="s">
        <v>202</v>
      </c>
      <c r="B145" s="686" t="s">
        <v>400</v>
      </c>
      <c r="C145" s="701" t="s">
        <v>352</v>
      </c>
      <c r="D145" s="701"/>
      <c r="E145" s="688">
        <v>102067</v>
      </c>
      <c r="F145" s="689">
        <v>9</v>
      </c>
      <c r="G145" s="1025"/>
      <c r="H145" s="690"/>
      <c r="I145" s="1030">
        <v>137609</v>
      </c>
      <c r="J145" s="690">
        <v>201609</v>
      </c>
      <c r="K145" s="1030"/>
      <c r="L145" s="690"/>
      <c r="M145" s="1025"/>
      <c r="N145" s="1030"/>
      <c r="O145" s="692">
        <f t="shared" si="18"/>
        <v>0</v>
      </c>
      <c r="P145" s="690"/>
      <c r="Q145" s="690"/>
      <c r="R145" s="691">
        <f t="shared" si="19"/>
        <v>0</v>
      </c>
      <c r="S145" s="692">
        <f t="shared" si="20"/>
        <v>137609</v>
      </c>
      <c r="T145" s="693">
        <f t="shared" si="21"/>
        <v>201609</v>
      </c>
      <c r="U145" s="1035"/>
      <c r="V145" s="690"/>
      <c r="W145" s="1025"/>
      <c r="X145" s="1030"/>
      <c r="Y145" s="694">
        <f t="shared" si="22"/>
        <v>0</v>
      </c>
      <c r="Z145" s="690"/>
      <c r="AA145" s="690"/>
      <c r="AB145" s="695">
        <f t="shared" si="23"/>
        <v>0</v>
      </c>
      <c r="AC145" s="1035"/>
      <c r="AD145" s="690"/>
      <c r="AE145" s="1025"/>
      <c r="AF145" s="1030"/>
      <c r="AG145" s="690"/>
      <c r="AH145" s="690"/>
      <c r="AI145" s="696">
        <f t="shared" si="24"/>
        <v>137609</v>
      </c>
      <c r="AJ145" s="697">
        <f t="shared" si="25"/>
        <v>201609</v>
      </c>
      <c r="AK145" s="698"/>
      <c r="AL145" s="698"/>
    </row>
    <row r="146" spans="1:38" s="700" customFormat="1" ht="12.75" customHeight="1">
      <c r="A146" s="686" t="s">
        <v>202</v>
      </c>
      <c r="B146" s="686" t="s">
        <v>400</v>
      </c>
      <c r="C146" s="701" t="s">
        <v>315</v>
      </c>
      <c r="D146" s="701"/>
      <c r="E146" s="688">
        <v>102067</v>
      </c>
      <c r="F146" s="689">
        <v>9</v>
      </c>
      <c r="G146" s="1025"/>
      <c r="H146" s="690"/>
      <c r="I146" s="1030">
        <v>118891.42</v>
      </c>
      <c r="J146" s="690">
        <v>44769</v>
      </c>
      <c r="K146" s="1030"/>
      <c r="L146" s="690"/>
      <c r="M146" s="1025"/>
      <c r="N146" s="1030"/>
      <c r="O146" s="692">
        <f t="shared" si="18"/>
        <v>0</v>
      </c>
      <c r="P146" s="690"/>
      <c r="Q146" s="690"/>
      <c r="R146" s="691">
        <f t="shared" si="19"/>
        <v>0</v>
      </c>
      <c r="S146" s="692">
        <f t="shared" si="20"/>
        <v>118891.42</v>
      </c>
      <c r="T146" s="693">
        <f t="shared" si="21"/>
        <v>44769</v>
      </c>
      <c r="U146" s="1035"/>
      <c r="V146" s="690"/>
      <c r="W146" s="1025"/>
      <c r="X146" s="1030"/>
      <c r="Y146" s="694">
        <f t="shared" si="22"/>
        <v>0</v>
      </c>
      <c r="Z146" s="690"/>
      <c r="AA146" s="690"/>
      <c r="AB146" s="695">
        <f t="shared" si="23"/>
        <v>0</v>
      </c>
      <c r="AC146" s="1035"/>
      <c r="AD146" s="690"/>
      <c r="AE146" s="1025"/>
      <c r="AF146" s="1030"/>
      <c r="AG146" s="690"/>
      <c r="AH146" s="690"/>
      <c r="AI146" s="696">
        <f t="shared" si="24"/>
        <v>118891.42</v>
      </c>
      <c r="AJ146" s="697">
        <f t="shared" si="25"/>
        <v>44769</v>
      </c>
      <c r="AK146" s="698"/>
      <c r="AL146" s="698"/>
    </row>
    <row r="147" spans="1:38" s="700" customFormat="1" ht="12.75" customHeight="1">
      <c r="A147" s="686" t="s">
        <v>202</v>
      </c>
      <c r="B147" s="686" t="s">
        <v>392</v>
      </c>
      <c r="C147" s="687" t="s">
        <v>30</v>
      </c>
      <c r="D147" s="687"/>
      <c r="E147" s="688">
        <v>251260</v>
      </c>
      <c r="F147" s="689">
        <v>9</v>
      </c>
      <c r="G147" s="1025">
        <v>13474968</v>
      </c>
      <c r="H147" s="690">
        <v>13442901</v>
      </c>
      <c r="I147" s="1030"/>
      <c r="J147" s="690"/>
      <c r="K147" s="1030"/>
      <c r="L147" s="690"/>
      <c r="M147" s="1025">
        <v>12817488.029999999</v>
      </c>
      <c r="N147" s="1025">
        <v>1955028.34</v>
      </c>
      <c r="O147" s="692">
        <f t="shared" si="18"/>
        <v>14772516.369999999</v>
      </c>
      <c r="P147" s="690">
        <v>12866090</v>
      </c>
      <c r="Q147" s="690">
        <v>2217881</v>
      </c>
      <c r="R147" s="691">
        <f t="shared" si="19"/>
        <v>15083971</v>
      </c>
      <c r="S147" s="692">
        <f t="shared" si="20"/>
        <v>26292456.030000001</v>
      </c>
      <c r="T147" s="693">
        <f t="shared" si="21"/>
        <v>26308991</v>
      </c>
      <c r="U147" s="1035"/>
      <c r="V147" s="690"/>
      <c r="W147" s="1025"/>
      <c r="X147" s="1030"/>
      <c r="Y147" s="694">
        <f t="shared" si="22"/>
        <v>0</v>
      </c>
      <c r="Z147" s="690"/>
      <c r="AA147" s="690"/>
      <c r="AB147" s="695">
        <f t="shared" si="23"/>
        <v>0</v>
      </c>
      <c r="AC147" s="1035"/>
      <c r="AD147" s="690"/>
      <c r="AE147" s="1025"/>
      <c r="AF147" s="1030"/>
      <c r="AG147" s="690"/>
      <c r="AH147" s="690"/>
      <c r="AI147" s="696">
        <f t="shared" si="24"/>
        <v>26292456.030000001</v>
      </c>
      <c r="AJ147" s="697">
        <f t="shared" si="25"/>
        <v>26308991</v>
      </c>
      <c r="AK147" s="698"/>
      <c r="AL147" s="698"/>
    </row>
    <row r="148" spans="1:38" s="700" customFormat="1" ht="12.75" customHeight="1">
      <c r="A148" s="686" t="s">
        <v>202</v>
      </c>
      <c r="B148" s="686" t="s">
        <v>400</v>
      </c>
      <c r="C148" s="699" t="s">
        <v>484</v>
      </c>
      <c r="D148" s="699"/>
      <c r="E148" s="688">
        <v>251260</v>
      </c>
      <c r="F148" s="689">
        <v>9</v>
      </c>
      <c r="G148" s="1025"/>
      <c r="H148" s="690"/>
      <c r="I148" s="1030"/>
      <c r="J148" s="690"/>
      <c r="K148" s="1030"/>
      <c r="L148" s="690"/>
      <c r="M148" s="1025"/>
      <c r="N148" s="1030"/>
      <c r="O148" s="692">
        <f t="shared" si="18"/>
        <v>0</v>
      </c>
      <c r="P148" s="690"/>
      <c r="Q148" s="690"/>
      <c r="R148" s="691">
        <f t="shared" si="19"/>
        <v>0</v>
      </c>
      <c r="S148" s="692">
        <f t="shared" si="20"/>
        <v>0</v>
      </c>
      <c r="T148" s="693">
        <f t="shared" si="21"/>
        <v>0</v>
      </c>
      <c r="U148" s="1035"/>
      <c r="V148" s="690"/>
      <c r="W148" s="1025"/>
      <c r="X148" s="1030"/>
      <c r="Y148" s="694">
        <f t="shared" si="22"/>
        <v>0</v>
      </c>
      <c r="Z148" s="690"/>
      <c r="AA148" s="690"/>
      <c r="AB148" s="695">
        <f t="shared" si="23"/>
        <v>0</v>
      </c>
      <c r="AC148" s="1035"/>
      <c r="AD148" s="690"/>
      <c r="AE148" s="1025"/>
      <c r="AF148" s="1030"/>
      <c r="AG148" s="690"/>
      <c r="AH148" s="690"/>
      <c r="AI148" s="696">
        <f t="shared" si="24"/>
        <v>0</v>
      </c>
      <c r="AJ148" s="697">
        <f t="shared" si="25"/>
        <v>0</v>
      </c>
      <c r="AK148" s="698"/>
      <c r="AL148" s="698"/>
    </row>
    <row r="149" spans="1:38" s="700" customFormat="1" ht="12.75" customHeight="1">
      <c r="A149" s="686" t="s">
        <v>202</v>
      </c>
      <c r="B149" s="686" t="s">
        <v>400</v>
      </c>
      <c r="C149" s="701" t="s">
        <v>352</v>
      </c>
      <c r="D149" s="701"/>
      <c r="E149" s="688">
        <v>251260</v>
      </c>
      <c r="F149" s="689">
        <v>9</v>
      </c>
      <c r="G149" s="1025"/>
      <c r="H149" s="690"/>
      <c r="I149" s="1030">
        <v>24599.68</v>
      </c>
      <c r="J149" s="690">
        <v>27692</v>
      </c>
      <c r="K149" s="1030"/>
      <c r="L149" s="690"/>
      <c r="M149" s="1025"/>
      <c r="N149" s="1030"/>
      <c r="O149" s="692">
        <f t="shared" si="18"/>
        <v>0</v>
      </c>
      <c r="P149" s="690"/>
      <c r="Q149" s="690"/>
      <c r="R149" s="691">
        <f t="shared" si="19"/>
        <v>0</v>
      </c>
      <c r="S149" s="692">
        <f t="shared" si="20"/>
        <v>24599.68</v>
      </c>
      <c r="T149" s="693">
        <f t="shared" si="21"/>
        <v>27692</v>
      </c>
      <c r="U149" s="1035"/>
      <c r="V149" s="690"/>
      <c r="W149" s="1025"/>
      <c r="X149" s="1030"/>
      <c r="Y149" s="694">
        <f t="shared" si="22"/>
        <v>0</v>
      </c>
      <c r="Z149" s="690"/>
      <c r="AA149" s="690"/>
      <c r="AB149" s="695">
        <f t="shared" si="23"/>
        <v>0</v>
      </c>
      <c r="AC149" s="1035"/>
      <c r="AD149" s="690"/>
      <c r="AE149" s="1025"/>
      <c r="AF149" s="1030"/>
      <c r="AG149" s="690"/>
      <c r="AH149" s="690"/>
      <c r="AI149" s="696">
        <f t="shared" si="24"/>
        <v>24599.68</v>
      </c>
      <c r="AJ149" s="697">
        <f t="shared" si="25"/>
        <v>27692</v>
      </c>
      <c r="AK149" s="698"/>
      <c r="AL149" s="698"/>
    </row>
    <row r="150" spans="1:38" s="700" customFormat="1" ht="12.75" customHeight="1">
      <c r="A150" s="686" t="s">
        <v>202</v>
      </c>
      <c r="B150" s="686" t="s">
        <v>400</v>
      </c>
      <c r="C150" s="701" t="s">
        <v>315</v>
      </c>
      <c r="D150" s="701"/>
      <c r="E150" s="688">
        <v>251260</v>
      </c>
      <c r="F150" s="689">
        <v>9</v>
      </c>
      <c r="G150" s="1025"/>
      <c r="H150" s="690"/>
      <c r="I150" s="1030">
        <v>156933.17000000001</v>
      </c>
      <c r="J150" s="690">
        <v>414710</v>
      </c>
      <c r="K150" s="1030"/>
      <c r="L150" s="690"/>
      <c r="M150" s="1025"/>
      <c r="N150" s="1030"/>
      <c r="O150" s="692">
        <f t="shared" si="18"/>
        <v>0</v>
      </c>
      <c r="P150" s="690"/>
      <c r="Q150" s="690"/>
      <c r="R150" s="691">
        <f t="shared" si="19"/>
        <v>0</v>
      </c>
      <c r="S150" s="692">
        <f t="shared" si="20"/>
        <v>156933.17000000001</v>
      </c>
      <c r="T150" s="693">
        <f t="shared" si="21"/>
        <v>414710</v>
      </c>
      <c r="U150" s="1035"/>
      <c r="V150" s="690"/>
      <c r="W150" s="1025"/>
      <c r="X150" s="1030"/>
      <c r="Y150" s="694">
        <f t="shared" si="22"/>
        <v>0</v>
      </c>
      <c r="Z150" s="690"/>
      <c r="AA150" s="690"/>
      <c r="AB150" s="695">
        <f t="shared" si="23"/>
        <v>0</v>
      </c>
      <c r="AC150" s="1035"/>
      <c r="AD150" s="690"/>
      <c r="AE150" s="1025"/>
      <c r="AF150" s="1030"/>
      <c r="AG150" s="690"/>
      <c r="AH150" s="690"/>
      <c r="AI150" s="696">
        <f t="shared" si="24"/>
        <v>156933.17000000001</v>
      </c>
      <c r="AJ150" s="697">
        <f t="shared" si="25"/>
        <v>414710</v>
      </c>
      <c r="AK150" s="698"/>
      <c r="AL150" s="698"/>
    </row>
    <row r="151" spans="1:38" s="700" customFormat="1" ht="12.75" customHeight="1">
      <c r="A151" s="686" t="s">
        <v>202</v>
      </c>
      <c r="B151" s="686" t="s">
        <v>392</v>
      </c>
      <c r="C151" s="703" t="s">
        <v>31</v>
      </c>
      <c r="D151" s="1038" t="s">
        <v>1898</v>
      </c>
      <c r="E151" s="688">
        <v>101295</v>
      </c>
      <c r="F151" s="689">
        <v>9</v>
      </c>
      <c r="G151" s="1025">
        <v>15028007</v>
      </c>
      <c r="H151" s="690">
        <v>15078305</v>
      </c>
      <c r="I151" s="1030"/>
      <c r="J151" s="690"/>
      <c r="K151" s="1030"/>
      <c r="L151" s="690"/>
      <c r="M151" s="1025">
        <v>16597033.640000001</v>
      </c>
      <c r="N151" s="1025">
        <v>787454.38</v>
      </c>
      <c r="O151" s="692">
        <f t="shared" si="18"/>
        <v>17384488.02</v>
      </c>
      <c r="P151" s="690">
        <v>16806173</v>
      </c>
      <c r="Q151" s="690">
        <v>1560646</v>
      </c>
      <c r="R151" s="691">
        <f t="shared" si="19"/>
        <v>18366819</v>
      </c>
      <c r="S151" s="692">
        <f t="shared" si="20"/>
        <v>31625040.640000001</v>
      </c>
      <c r="T151" s="693">
        <f t="shared" si="21"/>
        <v>31884478</v>
      </c>
      <c r="U151" s="1035"/>
      <c r="V151" s="690"/>
      <c r="W151" s="1025"/>
      <c r="X151" s="1030"/>
      <c r="Y151" s="694">
        <f t="shared" si="22"/>
        <v>0</v>
      </c>
      <c r="Z151" s="690"/>
      <c r="AA151" s="690"/>
      <c r="AB151" s="695">
        <f t="shared" si="23"/>
        <v>0</v>
      </c>
      <c r="AC151" s="1035"/>
      <c r="AD151" s="690"/>
      <c r="AE151" s="1025"/>
      <c r="AF151" s="1030"/>
      <c r="AG151" s="690"/>
      <c r="AH151" s="690"/>
      <c r="AI151" s="696">
        <f t="shared" si="24"/>
        <v>31625040.640000001</v>
      </c>
      <c r="AJ151" s="697">
        <f t="shared" si="25"/>
        <v>31884478</v>
      </c>
      <c r="AK151" s="698"/>
      <c r="AL151" s="698"/>
    </row>
    <row r="152" spans="1:38" s="700" customFormat="1" ht="12.75" customHeight="1">
      <c r="A152" s="686" t="s">
        <v>202</v>
      </c>
      <c r="B152" s="686" t="s">
        <v>400</v>
      </c>
      <c r="C152" s="699" t="s">
        <v>484</v>
      </c>
      <c r="D152" s="699"/>
      <c r="E152" s="688">
        <v>101295</v>
      </c>
      <c r="F152" s="689">
        <v>9</v>
      </c>
      <c r="G152" s="1025"/>
      <c r="H152" s="690"/>
      <c r="I152" s="1030"/>
      <c r="J152" s="690"/>
      <c r="K152" s="1030"/>
      <c r="L152" s="690"/>
      <c r="M152" s="1025"/>
      <c r="N152" s="1030"/>
      <c r="O152" s="692">
        <f t="shared" si="18"/>
        <v>0</v>
      </c>
      <c r="P152" s="690"/>
      <c r="Q152" s="690"/>
      <c r="R152" s="691">
        <f t="shared" si="19"/>
        <v>0</v>
      </c>
      <c r="S152" s="692">
        <f t="shared" si="20"/>
        <v>0</v>
      </c>
      <c r="T152" s="693">
        <f t="shared" si="21"/>
        <v>0</v>
      </c>
      <c r="U152" s="1035"/>
      <c r="V152" s="690"/>
      <c r="W152" s="1025"/>
      <c r="X152" s="1030"/>
      <c r="Y152" s="694">
        <f t="shared" si="22"/>
        <v>0</v>
      </c>
      <c r="Z152" s="690"/>
      <c r="AA152" s="690"/>
      <c r="AB152" s="695">
        <f t="shared" si="23"/>
        <v>0</v>
      </c>
      <c r="AC152" s="1035"/>
      <c r="AD152" s="690"/>
      <c r="AE152" s="1025"/>
      <c r="AF152" s="1030"/>
      <c r="AG152" s="690"/>
      <c r="AH152" s="690"/>
      <c r="AI152" s="696">
        <f t="shared" si="24"/>
        <v>0</v>
      </c>
      <c r="AJ152" s="697">
        <f t="shared" si="25"/>
        <v>0</v>
      </c>
      <c r="AK152" s="698"/>
      <c r="AL152" s="698"/>
    </row>
    <row r="153" spans="1:38" s="700" customFormat="1" ht="12.75" customHeight="1">
      <c r="A153" s="686" t="s">
        <v>202</v>
      </c>
      <c r="B153" s="686" t="s">
        <v>400</v>
      </c>
      <c r="C153" s="701" t="s">
        <v>352</v>
      </c>
      <c r="D153" s="701"/>
      <c r="E153" s="688">
        <v>101295</v>
      </c>
      <c r="F153" s="689">
        <v>9</v>
      </c>
      <c r="G153" s="1025"/>
      <c r="H153" s="690"/>
      <c r="I153" s="1030">
        <v>96050.15</v>
      </c>
      <c r="J153" s="690">
        <v>158874</v>
      </c>
      <c r="K153" s="1030"/>
      <c r="L153" s="690"/>
      <c r="M153" s="1025"/>
      <c r="N153" s="1030"/>
      <c r="O153" s="692">
        <f t="shared" si="18"/>
        <v>0</v>
      </c>
      <c r="P153" s="690"/>
      <c r="Q153" s="690"/>
      <c r="R153" s="691">
        <f t="shared" si="19"/>
        <v>0</v>
      </c>
      <c r="S153" s="692">
        <f t="shared" si="20"/>
        <v>96050.15</v>
      </c>
      <c r="T153" s="693">
        <f t="shared" si="21"/>
        <v>158874</v>
      </c>
      <c r="U153" s="1035"/>
      <c r="V153" s="690"/>
      <c r="W153" s="1025"/>
      <c r="X153" s="1030"/>
      <c r="Y153" s="694">
        <f t="shared" si="22"/>
        <v>0</v>
      </c>
      <c r="Z153" s="690"/>
      <c r="AA153" s="690"/>
      <c r="AB153" s="695">
        <f t="shared" si="23"/>
        <v>0</v>
      </c>
      <c r="AC153" s="1035"/>
      <c r="AD153" s="690"/>
      <c r="AE153" s="1025"/>
      <c r="AF153" s="1030"/>
      <c r="AG153" s="690"/>
      <c r="AH153" s="690"/>
      <c r="AI153" s="696">
        <f t="shared" si="24"/>
        <v>96050.15</v>
      </c>
      <c r="AJ153" s="697">
        <f t="shared" si="25"/>
        <v>158874</v>
      </c>
      <c r="AK153" s="698"/>
      <c r="AL153" s="698"/>
    </row>
    <row r="154" spans="1:38" s="700" customFormat="1" ht="12.75" customHeight="1">
      <c r="A154" s="686" t="s">
        <v>202</v>
      </c>
      <c r="B154" s="686" t="s">
        <v>400</v>
      </c>
      <c r="C154" s="701" t="s">
        <v>315</v>
      </c>
      <c r="D154" s="701"/>
      <c r="E154" s="688">
        <v>101295</v>
      </c>
      <c r="F154" s="689">
        <v>9</v>
      </c>
      <c r="G154" s="1025"/>
      <c r="H154" s="690"/>
      <c r="I154" s="1030">
        <v>520535.72</v>
      </c>
      <c r="J154" s="690">
        <v>369489</v>
      </c>
      <c r="K154" s="1030"/>
      <c r="L154" s="690"/>
      <c r="M154" s="1025"/>
      <c r="N154" s="1030"/>
      <c r="O154" s="692">
        <f t="shared" si="18"/>
        <v>0</v>
      </c>
      <c r="P154" s="690"/>
      <c r="Q154" s="690"/>
      <c r="R154" s="691">
        <f t="shared" si="19"/>
        <v>0</v>
      </c>
      <c r="S154" s="692">
        <f t="shared" si="20"/>
        <v>520535.72</v>
      </c>
      <c r="T154" s="693">
        <f t="shared" si="21"/>
        <v>369489</v>
      </c>
      <c r="U154" s="1035"/>
      <c r="V154" s="690"/>
      <c r="W154" s="1025"/>
      <c r="X154" s="1030"/>
      <c r="Y154" s="694">
        <f t="shared" si="22"/>
        <v>0</v>
      </c>
      <c r="Z154" s="690"/>
      <c r="AA154" s="690"/>
      <c r="AB154" s="695">
        <f t="shared" si="23"/>
        <v>0</v>
      </c>
      <c r="AC154" s="1035"/>
      <c r="AD154" s="690"/>
      <c r="AE154" s="1025"/>
      <c r="AF154" s="1030"/>
      <c r="AG154" s="690"/>
      <c r="AH154" s="690"/>
      <c r="AI154" s="696">
        <f t="shared" si="24"/>
        <v>520535.72</v>
      </c>
      <c r="AJ154" s="697">
        <f t="shared" si="25"/>
        <v>369489</v>
      </c>
      <c r="AK154" s="698"/>
      <c r="AL154" s="698"/>
    </row>
    <row r="155" spans="1:38" s="700" customFormat="1" ht="12.75" customHeight="1">
      <c r="A155" s="686" t="s">
        <v>202</v>
      </c>
      <c r="B155" s="686" t="s">
        <v>392</v>
      </c>
      <c r="C155" s="687" t="s">
        <v>32</v>
      </c>
      <c r="D155" s="687"/>
      <c r="E155" s="688">
        <v>101949</v>
      </c>
      <c r="F155" s="689">
        <v>10</v>
      </c>
      <c r="G155" s="1025">
        <v>6630500</v>
      </c>
      <c r="H155" s="690">
        <v>6573719</v>
      </c>
      <c r="I155" s="1030"/>
      <c r="J155" s="690"/>
      <c r="K155" s="1030">
        <v>23060.04</v>
      </c>
      <c r="L155" s="690"/>
      <c r="M155" s="1025">
        <v>2865626.86</v>
      </c>
      <c r="N155" s="1030">
        <v>1395662.79</v>
      </c>
      <c r="O155" s="692">
        <f t="shared" si="18"/>
        <v>4261289.6500000004</v>
      </c>
      <c r="P155" s="690">
        <v>3135286</v>
      </c>
      <c r="Q155" s="690">
        <v>1200764</v>
      </c>
      <c r="R155" s="691">
        <f t="shared" si="19"/>
        <v>4336050</v>
      </c>
      <c r="S155" s="692">
        <f t="shared" si="20"/>
        <v>9519186.9000000004</v>
      </c>
      <c r="T155" s="693">
        <f t="shared" si="21"/>
        <v>9709005</v>
      </c>
      <c r="U155" s="1035"/>
      <c r="V155" s="690"/>
      <c r="W155" s="1025"/>
      <c r="X155" s="1030"/>
      <c r="Y155" s="694">
        <f t="shared" si="22"/>
        <v>0</v>
      </c>
      <c r="Z155" s="690"/>
      <c r="AA155" s="690"/>
      <c r="AB155" s="695">
        <f t="shared" si="23"/>
        <v>0</v>
      </c>
      <c r="AC155" s="1035"/>
      <c r="AD155" s="690"/>
      <c r="AE155" s="1025"/>
      <c r="AF155" s="1030"/>
      <c r="AG155" s="690"/>
      <c r="AH155" s="690"/>
      <c r="AI155" s="696">
        <f t="shared" si="24"/>
        <v>9519186.9000000004</v>
      </c>
      <c r="AJ155" s="697">
        <f t="shared" si="25"/>
        <v>9709005</v>
      </c>
      <c r="AK155" s="698"/>
      <c r="AL155" s="698"/>
    </row>
    <row r="156" spans="1:38" s="700" customFormat="1" ht="12.75" customHeight="1">
      <c r="A156" s="686" t="s">
        <v>202</v>
      </c>
      <c r="B156" s="686" t="s">
        <v>400</v>
      </c>
      <c r="C156" s="699" t="s">
        <v>484</v>
      </c>
      <c r="D156" s="699"/>
      <c r="E156" s="688">
        <v>101949</v>
      </c>
      <c r="F156" s="689">
        <v>10</v>
      </c>
      <c r="G156" s="1025"/>
      <c r="H156" s="690"/>
      <c r="I156" s="1030"/>
      <c r="J156" s="690"/>
      <c r="K156" s="1030"/>
      <c r="L156" s="690"/>
      <c r="M156" s="1025"/>
      <c r="N156" s="1030"/>
      <c r="O156" s="692">
        <f t="shared" si="18"/>
        <v>0</v>
      </c>
      <c r="P156" s="690"/>
      <c r="Q156" s="690"/>
      <c r="R156" s="691">
        <f t="shared" si="19"/>
        <v>0</v>
      </c>
      <c r="S156" s="692">
        <f t="shared" si="20"/>
        <v>0</v>
      </c>
      <c r="T156" s="693">
        <f t="shared" si="21"/>
        <v>0</v>
      </c>
      <c r="U156" s="1035"/>
      <c r="V156" s="690"/>
      <c r="W156" s="1025"/>
      <c r="X156" s="1030"/>
      <c r="Y156" s="694">
        <f t="shared" si="22"/>
        <v>0</v>
      </c>
      <c r="Z156" s="690"/>
      <c r="AA156" s="690"/>
      <c r="AB156" s="695">
        <f t="shared" si="23"/>
        <v>0</v>
      </c>
      <c r="AC156" s="1035"/>
      <c r="AD156" s="690"/>
      <c r="AE156" s="1025"/>
      <c r="AF156" s="1030"/>
      <c r="AG156" s="690"/>
      <c r="AH156" s="690"/>
      <c r="AI156" s="696">
        <f t="shared" si="24"/>
        <v>0</v>
      </c>
      <c r="AJ156" s="697">
        <f t="shared" si="25"/>
        <v>0</v>
      </c>
      <c r="AK156" s="698"/>
      <c r="AL156" s="698"/>
    </row>
    <row r="157" spans="1:38" s="700" customFormat="1" ht="12.75" customHeight="1">
      <c r="A157" s="686" t="s">
        <v>202</v>
      </c>
      <c r="B157" s="686" t="s">
        <v>400</v>
      </c>
      <c r="C157" s="701" t="s">
        <v>352</v>
      </c>
      <c r="D157" s="701"/>
      <c r="E157" s="688">
        <v>101949</v>
      </c>
      <c r="F157" s="689">
        <v>10</v>
      </c>
      <c r="G157" s="1025"/>
      <c r="H157" s="690"/>
      <c r="I157" s="1030">
        <v>2573000</v>
      </c>
      <c r="J157" s="690">
        <v>2495810</v>
      </c>
      <c r="K157" s="1030"/>
      <c r="L157" s="690"/>
      <c r="M157" s="1025"/>
      <c r="N157" s="1030"/>
      <c r="O157" s="692">
        <f t="shared" si="18"/>
        <v>0</v>
      </c>
      <c r="P157" s="690"/>
      <c r="Q157" s="690"/>
      <c r="R157" s="691">
        <f t="shared" si="19"/>
        <v>0</v>
      </c>
      <c r="S157" s="692">
        <f t="shared" si="20"/>
        <v>2573000</v>
      </c>
      <c r="T157" s="693">
        <f t="shared" si="21"/>
        <v>2495810</v>
      </c>
      <c r="U157" s="1035"/>
      <c r="V157" s="690"/>
      <c r="W157" s="1025"/>
      <c r="X157" s="1030"/>
      <c r="Y157" s="694">
        <f t="shared" si="22"/>
        <v>0</v>
      </c>
      <c r="Z157" s="690"/>
      <c r="AA157" s="690"/>
      <c r="AB157" s="695">
        <f t="shared" si="23"/>
        <v>0</v>
      </c>
      <c r="AC157" s="1035"/>
      <c r="AD157" s="690"/>
      <c r="AE157" s="1025"/>
      <c r="AF157" s="1030"/>
      <c r="AG157" s="690"/>
      <c r="AH157" s="690"/>
      <c r="AI157" s="696">
        <f t="shared" si="24"/>
        <v>2573000</v>
      </c>
      <c r="AJ157" s="697">
        <f t="shared" si="25"/>
        <v>2495810</v>
      </c>
      <c r="AK157" s="698"/>
      <c r="AL157" s="698"/>
    </row>
    <row r="158" spans="1:38" s="700" customFormat="1" ht="12.75" customHeight="1">
      <c r="A158" s="686" t="s">
        <v>202</v>
      </c>
      <c r="B158" s="686" t="s">
        <v>400</v>
      </c>
      <c r="C158" s="701" t="s">
        <v>315</v>
      </c>
      <c r="D158" s="701"/>
      <c r="E158" s="688">
        <v>101949</v>
      </c>
      <c r="F158" s="689">
        <v>10</v>
      </c>
      <c r="G158" s="1025"/>
      <c r="H158" s="690"/>
      <c r="I158" s="1030"/>
      <c r="J158" s="690">
        <v>214845</v>
      </c>
      <c r="K158" s="1030"/>
      <c r="L158" s="690"/>
      <c r="M158" s="1025"/>
      <c r="N158" s="1030"/>
      <c r="O158" s="692">
        <f t="shared" si="18"/>
        <v>0</v>
      </c>
      <c r="P158" s="690"/>
      <c r="Q158" s="690"/>
      <c r="R158" s="691">
        <f t="shared" si="19"/>
        <v>0</v>
      </c>
      <c r="S158" s="692">
        <f t="shared" si="20"/>
        <v>0</v>
      </c>
      <c r="T158" s="693">
        <f t="shared" si="21"/>
        <v>214845</v>
      </c>
      <c r="U158" s="1035"/>
      <c r="V158" s="690"/>
      <c r="W158" s="1025"/>
      <c r="X158" s="1030"/>
      <c r="Y158" s="694">
        <f t="shared" si="22"/>
        <v>0</v>
      </c>
      <c r="Z158" s="690"/>
      <c r="AA158" s="690"/>
      <c r="AB158" s="695">
        <f t="shared" si="23"/>
        <v>0</v>
      </c>
      <c r="AC158" s="1035"/>
      <c r="AD158" s="690"/>
      <c r="AE158" s="1025"/>
      <c r="AF158" s="1030"/>
      <c r="AG158" s="690"/>
      <c r="AH158" s="690"/>
      <c r="AI158" s="696">
        <f t="shared" si="24"/>
        <v>0</v>
      </c>
      <c r="AJ158" s="697">
        <f t="shared" si="25"/>
        <v>214845</v>
      </c>
      <c r="AK158" s="698"/>
      <c r="AL158" s="698"/>
    </row>
    <row r="159" spans="1:38" s="700" customFormat="1" ht="12.75" customHeight="1">
      <c r="A159" s="686" t="s">
        <v>202</v>
      </c>
      <c r="B159" s="686" t="s">
        <v>392</v>
      </c>
      <c r="C159" s="703" t="s">
        <v>33</v>
      </c>
      <c r="D159" s="1038" t="s">
        <v>1901</v>
      </c>
      <c r="E159" s="688">
        <v>100760</v>
      </c>
      <c r="F159" s="689">
        <v>10</v>
      </c>
      <c r="G159" s="1025">
        <f>8072715+250381</f>
        <v>8323096</v>
      </c>
      <c r="H159" s="690">
        <f>8003583+248237</f>
        <v>8251820</v>
      </c>
      <c r="I159" s="1030"/>
      <c r="J159" s="690"/>
      <c r="K159" s="1030"/>
      <c r="L159" s="690"/>
      <c r="M159" s="1025">
        <v>6395709.7400000002</v>
      </c>
      <c r="N159" s="1025">
        <v>691490.91</v>
      </c>
      <c r="O159" s="692">
        <f t="shared" si="18"/>
        <v>7087200.6500000004</v>
      </c>
      <c r="P159" s="690">
        <v>6186306</v>
      </c>
      <c r="Q159" s="690">
        <v>695000</v>
      </c>
      <c r="R159" s="691">
        <f t="shared" si="19"/>
        <v>6881306</v>
      </c>
      <c r="S159" s="692">
        <f t="shared" si="20"/>
        <v>14718805.74</v>
      </c>
      <c r="T159" s="693">
        <f t="shared" si="21"/>
        <v>14438126</v>
      </c>
      <c r="U159" s="1035"/>
      <c r="V159" s="690"/>
      <c r="W159" s="1025"/>
      <c r="X159" s="1030"/>
      <c r="Y159" s="694">
        <f t="shared" si="22"/>
        <v>0</v>
      </c>
      <c r="Z159" s="690"/>
      <c r="AA159" s="690"/>
      <c r="AB159" s="695">
        <f t="shared" si="23"/>
        <v>0</v>
      </c>
      <c r="AC159" s="1035"/>
      <c r="AD159" s="690"/>
      <c r="AE159" s="1025"/>
      <c r="AF159" s="1030"/>
      <c r="AG159" s="690"/>
      <c r="AH159" s="690"/>
      <c r="AI159" s="696">
        <f t="shared" si="24"/>
        <v>14718805.74</v>
      </c>
      <c r="AJ159" s="697">
        <f t="shared" si="25"/>
        <v>14438126</v>
      </c>
      <c r="AK159" s="698"/>
      <c r="AL159" s="698"/>
    </row>
    <row r="160" spans="1:38" s="700" customFormat="1" ht="12.75" customHeight="1">
      <c r="A160" s="686" t="s">
        <v>202</v>
      </c>
      <c r="B160" s="686" t="s">
        <v>400</v>
      </c>
      <c r="C160" s="699" t="s">
        <v>484</v>
      </c>
      <c r="D160" s="699"/>
      <c r="E160" s="688">
        <v>100760</v>
      </c>
      <c r="F160" s="689">
        <v>10</v>
      </c>
      <c r="G160" s="1025"/>
      <c r="H160" s="690"/>
      <c r="I160" s="1030"/>
      <c r="J160" s="690"/>
      <c r="K160" s="1030"/>
      <c r="L160" s="690"/>
      <c r="M160" s="1025"/>
      <c r="N160" s="1030"/>
      <c r="O160" s="692">
        <f t="shared" si="18"/>
        <v>0</v>
      </c>
      <c r="P160" s="690"/>
      <c r="Q160" s="690"/>
      <c r="R160" s="691">
        <f t="shared" si="19"/>
        <v>0</v>
      </c>
      <c r="S160" s="692">
        <f t="shared" si="20"/>
        <v>0</v>
      </c>
      <c r="T160" s="693">
        <f t="shared" si="21"/>
        <v>0</v>
      </c>
      <c r="U160" s="1035"/>
      <c r="V160" s="690"/>
      <c r="W160" s="1025"/>
      <c r="X160" s="1030"/>
      <c r="Y160" s="694">
        <f t="shared" si="22"/>
        <v>0</v>
      </c>
      <c r="Z160" s="690"/>
      <c r="AA160" s="690"/>
      <c r="AB160" s="695">
        <f t="shared" si="23"/>
        <v>0</v>
      </c>
      <c r="AC160" s="1035"/>
      <c r="AD160" s="690"/>
      <c r="AE160" s="1025"/>
      <c r="AF160" s="1030"/>
      <c r="AG160" s="690"/>
      <c r="AH160" s="690"/>
      <c r="AI160" s="696">
        <f t="shared" si="24"/>
        <v>0</v>
      </c>
      <c r="AJ160" s="697">
        <f t="shared" si="25"/>
        <v>0</v>
      </c>
      <c r="AK160" s="698"/>
      <c r="AL160" s="698"/>
    </row>
    <row r="161" spans="1:38" s="700" customFormat="1" ht="12.75" customHeight="1">
      <c r="A161" s="686" t="s">
        <v>202</v>
      </c>
      <c r="B161" s="686" t="s">
        <v>400</v>
      </c>
      <c r="C161" s="701" t="s">
        <v>352</v>
      </c>
      <c r="D161" s="701"/>
      <c r="E161" s="688">
        <v>100760</v>
      </c>
      <c r="F161" s="689">
        <v>10</v>
      </c>
      <c r="G161" s="1025"/>
      <c r="H161" s="690"/>
      <c r="I161" s="1030">
        <v>55410.239999999998</v>
      </c>
      <c r="J161" s="690">
        <v>49800</v>
      </c>
      <c r="K161" s="1030"/>
      <c r="L161" s="690"/>
      <c r="M161" s="1025"/>
      <c r="N161" s="1030"/>
      <c r="O161" s="692">
        <f t="shared" si="18"/>
        <v>0</v>
      </c>
      <c r="P161" s="690"/>
      <c r="Q161" s="690"/>
      <c r="R161" s="691">
        <f t="shared" si="19"/>
        <v>0</v>
      </c>
      <c r="S161" s="692">
        <f t="shared" si="20"/>
        <v>55410.239999999998</v>
      </c>
      <c r="T161" s="693">
        <f t="shared" si="21"/>
        <v>49800</v>
      </c>
      <c r="U161" s="1035"/>
      <c r="V161" s="690"/>
      <c r="W161" s="1025"/>
      <c r="X161" s="1030"/>
      <c r="Y161" s="694">
        <f t="shared" si="22"/>
        <v>0</v>
      </c>
      <c r="Z161" s="690"/>
      <c r="AA161" s="690"/>
      <c r="AB161" s="695">
        <f t="shared" si="23"/>
        <v>0</v>
      </c>
      <c r="AC161" s="1035"/>
      <c r="AD161" s="690"/>
      <c r="AE161" s="1025"/>
      <c r="AF161" s="1030"/>
      <c r="AG161" s="690"/>
      <c r="AH161" s="690"/>
      <c r="AI161" s="696">
        <f t="shared" si="24"/>
        <v>55410.239999999998</v>
      </c>
      <c r="AJ161" s="697">
        <f t="shared" si="25"/>
        <v>49800</v>
      </c>
      <c r="AK161" s="698"/>
      <c r="AL161" s="698"/>
    </row>
    <row r="162" spans="1:38" s="700" customFormat="1" ht="12.75" customHeight="1">
      <c r="A162" s="686" t="s">
        <v>202</v>
      </c>
      <c r="B162" s="686" t="s">
        <v>400</v>
      </c>
      <c r="C162" s="701" t="s">
        <v>315</v>
      </c>
      <c r="D162" s="701"/>
      <c r="E162" s="688">
        <v>100760</v>
      </c>
      <c r="F162" s="689">
        <v>10</v>
      </c>
      <c r="G162" s="1025"/>
      <c r="H162" s="690"/>
      <c r="I162" s="1030">
        <v>307896.57</v>
      </c>
      <c r="J162" s="690">
        <v>123725</v>
      </c>
      <c r="K162" s="1030"/>
      <c r="L162" s="690"/>
      <c r="M162" s="1025"/>
      <c r="N162" s="1030"/>
      <c r="O162" s="692">
        <f t="shared" si="18"/>
        <v>0</v>
      </c>
      <c r="P162" s="690"/>
      <c r="Q162" s="690"/>
      <c r="R162" s="691">
        <f t="shared" si="19"/>
        <v>0</v>
      </c>
      <c r="S162" s="692">
        <f t="shared" si="20"/>
        <v>307896.57</v>
      </c>
      <c r="T162" s="693">
        <f t="shared" si="21"/>
        <v>123725</v>
      </c>
      <c r="U162" s="1035"/>
      <c r="V162" s="690"/>
      <c r="W162" s="1025"/>
      <c r="X162" s="1030"/>
      <c r="Y162" s="694">
        <f t="shared" si="22"/>
        <v>0</v>
      </c>
      <c r="Z162" s="690"/>
      <c r="AA162" s="690"/>
      <c r="AB162" s="695">
        <f t="shared" si="23"/>
        <v>0</v>
      </c>
      <c r="AC162" s="1035"/>
      <c r="AD162" s="690"/>
      <c r="AE162" s="1025"/>
      <c r="AF162" s="1030"/>
      <c r="AG162" s="690"/>
      <c r="AH162" s="690"/>
      <c r="AI162" s="696">
        <f t="shared" si="24"/>
        <v>307896.57</v>
      </c>
      <c r="AJ162" s="697">
        <f t="shared" si="25"/>
        <v>123725</v>
      </c>
      <c r="AK162" s="698"/>
      <c r="AL162" s="698"/>
    </row>
    <row r="163" spans="1:38" s="700" customFormat="1" ht="12.75" customHeight="1">
      <c r="A163" s="686" t="s">
        <v>202</v>
      </c>
      <c r="B163" s="686" t="s">
        <v>392</v>
      </c>
      <c r="C163" s="687" t="s">
        <v>34</v>
      </c>
      <c r="D163" s="687"/>
      <c r="E163" s="688">
        <v>101028</v>
      </c>
      <c r="F163" s="689">
        <v>10</v>
      </c>
      <c r="G163" s="1025">
        <v>5205401</v>
      </c>
      <c r="H163" s="690">
        <v>5190410</v>
      </c>
      <c r="I163" s="1030"/>
      <c r="J163" s="690"/>
      <c r="K163" s="1030"/>
      <c r="L163" s="690"/>
      <c r="M163" s="1025">
        <v>4349472</v>
      </c>
      <c r="N163" s="1025">
        <v>564094.24</v>
      </c>
      <c r="O163" s="692">
        <f t="shared" si="18"/>
        <v>4913566.24</v>
      </c>
      <c r="P163" s="690">
        <v>4558962</v>
      </c>
      <c r="Q163" s="690">
        <v>621538</v>
      </c>
      <c r="R163" s="691">
        <f t="shared" si="19"/>
        <v>5180500</v>
      </c>
      <c r="S163" s="692">
        <f t="shared" si="20"/>
        <v>9554873</v>
      </c>
      <c r="T163" s="693">
        <f t="shared" si="21"/>
        <v>9749372</v>
      </c>
      <c r="U163" s="1035"/>
      <c r="V163" s="690"/>
      <c r="W163" s="1025"/>
      <c r="X163" s="1030"/>
      <c r="Y163" s="694">
        <f t="shared" si="22"/>
        <v>0</v>
      </c>
      <c r="Z163" s="690"/>
      <c r="AA163" s="690"/>
      <c r="AB163" s="695">
        <f t="shared" si="23"/>
        <v>0</v>
      </c>
      <c r="AC163" s="1035"/>
      <c r="AD163" s="690"/>
      <c r="AE163" s="1025"/>
      <c r="AF163" s="1030"/>
      <c r="AG163" s="690"/>
      <c r="AH163" s="690"/>
      <c r="AI163" s="696">
        <f t="shared" si="24"/>
        <v>9554873</v>
      </c>
      <c r="AJ163" s="697">
        <f t="shared" si="25"/>
        <v>9749372</v>
      </c>
      <c r="AK163" s="698"/>
      <c r="AL163" s="698"/>
    </row>
    <row r="164" spans="1:38" s="700" customFormat="1" ht="12.75" customHeight="1">
      <c r="A164" s="686" t="s">
        <v>202</v>
      </c>
      <c r="B164" s="686" t="s">
        <v>400</v>
      </c>
      <c r="C164" s="699" t="s">
        <v>484</v>
      </c>
      <c r="D164" s="699"/>
      <c r="E164" s="688">
        <v>101028</v>
      </c>
      <c r="F164" s="689">
        <v>10</v>
      </c>
      <c r="G164" s="1025"/>
      <c r="H164" s="690"/>
      <c r="I164" s="1030"/>
      <c r="J164" s="690"/>
      <c r="K164" s="1030"/>
      <c r="L164" s="690"/>
      <c r="M164" s="1025"/>
      <c r="N164" s="1030"/>
      <c r="O164" s="692">
        <f t="shared" si="18"/>
        <v>0</v>
      </c>
      <c r="P164" s="690"/>
      <c r="Q164" s="690"/>
      <c r="R164" s="691">
        <f t="shared" si="19"/>
        <v>0</v>
      </c>
      <c r="S164" s="692">
        <f t="shared" si="20"/>
        <v>0</v>
      </c>
      <c r="T164" s="693">
        <f t="shared" si="21"/>
        <v>0</v>
      </c>
      <c r="U164" s="1035"/>
      <c r="V164" s="690"/>
      <c r="W164" s="1025"/>
      <c r="X164" s="1030"/>
      <c r="Y164" s="694">
        <f t="shared" si="22"/>
        <v>0</v>
      </c>
      <c r="Z164" s="690"/>
      <c r="AA164" s="690"/>
      <c r="AB164" s="695">
        <f t="shared" si="23"/>
        <v>0</v>
      </c>
      <c r="AC164" s="1035"/>
      <c r="AD164" s="690"/>
      <c r="AE164" s="1025"/>
      <c r="AF164" s="1030"/>
      <c r="AG164" s="690"/>
      <c r="AH164" s="690"/>
      <c r="AI164" s="696">
        <f t="shared" si="24"/>
        <v>0</v>
      </c>
      <c r="AJ164" s="697">
        <f t="shared" si="25"/>
        <v>0</v>
      </c>
      <c r="AK164" s="698"/>
      <c r="AL164" s="698"/>
    </row>
    <row r="165" spans="1:38" s="700" customFormat="1" ht="12.75" customHeight="1">
      <c r="A165" s="686" t="s">
        <v>202</v>
      </c>
      <c r="B165" s="686" t="s">
        <v>400</v>
      </c>
      <c r="C165" s="701" t="s">
        <v>352</v>
      </c>
      <c r="D165" s="701"/>
      <c r="E165" s="688">
        <v>101028</v>
      </c>
      <c r="F165" s="689">
        <v>10</v>
      </c>
      <c r="G165" s="1025"/>
      <c r="H165" s="690"/>
      <c r="I165" s="1030">
        <v>84448.52</v>
      </c>
      <c r="J165" s="690">
        <v>131307</v>
      </c>
      <c r="K165" s="1030"/>
      <c r="L165" s="690"/>
      <c r="M165" s="1025"/>
      <c r="N165" s="1030"/>
      <c r="O165" s="692">
        <f t="shared" si="18"/>
        <v>0</v>
      </c>
      <c r="P165" s="690"/>
      <c r="Q165" s="690"/>
      <c r="R165" s="691">
        <f t="shared" si="19"/>
        <v>0</v>
      </c>
      <c r="S165" s="692">
        <f t="shared" si="20"/>
        <v>84448.52</v>
      </c>
      <c r="T165" s="693">
        <f t="shared" si="21"/>
        <v>131307</v>
      </c>
      <c r="U165" s="1035"/>
      <c r="V165" s="690"/>
      <c r="W165" s="1025"/>
      <c r="X165" s="1030"/>
      <c r="Y165" s="694">
        <f t="shared" si="22"/>
        <v>0</v>
      </c>
      <c r="Z165" s="690"/>
      <c r="AA165" s="690"/>
      <c r="AB165" s="695">
        <f t="shared" si="23"/>
        <v>0</v>
      </c>
      <c r="AC165" s="1035"/>
      <c r="AD165" s="690"/>
      <c r="AE165" s="1025"/>
      <c r="AF165" s="1030"/>
      <c r="AG165" s="690"/>
      <c r="AH165" s="690"/>
      <c r="AI165" s="696">
        <f t="shared" si="24"/>
        <v>84448.52</v>
      </c>
      <c r="AJ165" s="697">
        <f t="shared" si="25"/>
        <v>131307</v>
      </c>
      <c r="AK165" s="698"/>
      <c r="AL165" s="698"/>
    </row>
    <row r="166" spans="1:38" s="700" customFormat="1" ht="12.75" customHeight="1">
      <c r="A166" s="686" t="s">
        <v>202</v>
      </c>
      <c r="B166" s="686" t="s">
        <v>400</v>
      </c>
      <c r="C166" s="701" t="s">
        <v>315</v>
      </c>
      <c r="D166" s="701"/>
      <c r="E166" s="688">
        <v>101028</v>
      </c>
      <c r="F166" s="689">
        <v>10</v>
      </c>
      <c r="G166" s="1025"/>
      <c r="H166" s="690"/>
      <c r="I166" s="1030">
        <v>53386.5</v>
      </c>
      <c r="J166" s="690">
        <v>437448</v>
      </c>
      <c r="K166" s="1030"/>
      <c r="L166" s="690"/>
      <c r="M166" s="1025"/>
      <c r="N166" s="1030"/>
      <c r="O166" s="692">
        <f t="shared" si="18"/>
        <v>0</v>
      </c>
      <c r="P166" s="690"/>
      <c r="Q166" s="690"/>
      <c r="R166" s="691">
        <f t="shared" si="19"/>
        <v>0</v>
      </c>
      <c r="S166" s="692">
        <f t="shared" si="20"/>
        <v>53386.5</v>
      </c>
      <c r="T166" s="693">
        <f t="shared" si="21"/>
        <v>437448</v>
      </c>
      <c r="U166" s="1035"/>
      <c r="V166" s="690"/>
      <c r="W166" s="1025"/>
      <c r="X166" s="1030"/>
      <c r="Y166" s="694">
        <f t="shared" si="22"/>
        <v>0</v>
      </c>
      <c r="Z166" s="690"/>
      <c r="AA166" s="690"/>
      <c r="AB166" s="695">
        <f t="shared" si="23"/>
        <v>0</v>
      </c>
      <c r="AC166" s="1035"/>
      <c r="AD166" s="690"/>
      <c r="AE166" s="1025"/>
      <c r="AF166" s="1030"/>
      <c r="AG166" s="690"/>
      <c r="AH166" s="690"/>
      <c r="AI166" s="696">
        <f t="shared" si="24"/>
        <v>53386.5</v>
      </c>
      <c r="AJ166" s="697">
        <f t="shared" si="25"/>
        <v>437448</v>
      </c>
      <c r="AK166" s="698"/>
      <c r="AL166" s="698"/>
    </row>
    <row r="167" spans="1:38" s="700" customFormat="1" ht="12.75" customHeight="1">
      <c r="A167" s="686" t="s">
        <v>202</v>
      </c>
      <c r="B167" s="686" t="s">
        <v>392</v>
      </c>
      <c r="C167" s="703" t="s">
        <v>1902</v>
      </c>
      <c r="D167" s="1038" t="s">
        <v>1901</v>
      </c>
      <c r="E167" s="688">
        <v>101143</v>
      </c>
      <c r="F167" s="689">
        <v>10</v>
      </c>
      <c r="G167" s="1025">
        <v>8406914</v>
      </c>
      <c r="H167" s="690">
        <v>8376613</v>
      </c>
      <c r="I167" s="1030"/>
      <c r="J167" s="690"/>
      <c r="K167" s="1030"/>
      <c r="L167" s="690"/>
      <c r="M167" s="1025">
        <v>8520918.0399999991</v>
      </c>
      <c r="N167" s="1025">
        <v>448692.61</v>
      </c>
      <c r="O167" s="692">
        <f t="shared" si="18"/>
        <v>8969610.6499999985</v>
      </c>
      <c r="P167" s="690">
        <v>9907130</v>
      </c>
      <c r="Q167" s="690">
        <v>221765</v>
      </c>
      <c r="R167" s="691">
        <f t="shared" si="19"/>
        <v>10128895</v>
      </c>
      <c r="S167" s="692">
        <f t="shared" si="20"/>
        <v>16927832.039999999</v>
      </c>
      <c r="T167" s="693">
        <f t="shared" si="21"/>
        <v>18283743</v>
      </c>
      <c r="U167" s="1035"/>
      <c r="V167" s="690"/>
      <c r="W167" s="1025"/>
      <c r="X167" s="1030"/>
      <c r="Y167" s="694">
        <f t="shared" si="22"/>
        <v>0</v>
      </c>
      <c r="Z167" s="690"/>
      <c r="AA167" s="690"/>
      <c r="AB167" s="695">
        <f t="shared" si="23"/>
        <v>0</v>
      </c>
      <c r="AC167" s="1035"/>
      <c r="AD167" s="690"/>
      <c r="AE167" s="1025"/>
      <c r="AF167" s="1030"/>
      <c r="AG167" s="690"/>
      <c r="AH167" s="690"/>
      <c r="AI167" s="696">
        <f t="shared" si="24"/>
        <v>16927832.039999999</v>
      </c>
      <c r="AJ167" s="697">
        <f t="shared" si="25"/>
        <v>18283743</v>
      </c>
      <c r="AK167" s="698"/>
      <c r="AL167" s="698"/>
    </row>
    <row r="168" spans="1:38" s="700" customFormat="1" ht="12.75" customHeight="1">
      <c r="A168" s="686" t="s">
        <v>202</v>
      </c>
      <c r="B168" s="686" t="s">
        <v>400</v>
      </c>
      <c r="C168" s="699" t="s">
        <v>484</v>
      </c>
      <c r="D168" s="699"/>
      <c r="E168" s="688">
        <v>101143</v>
      </c>
      <c r="F168" s="689">
        <v>10</v>
      </c>
      <c r="G168" s="1025"/>
      <c r="H168" s="690"/>
      <c r="I168" s="1030"/>
      <c r="J168" s="690"/>
      <c r="K168" s="1030"/>
      <c r="L168" s="690"/>
      <c r="M168" s="1025"/>
      <c r="N168" s="1030"/>
      <c r="O168" s="692">
        <f t="shared" si="18"/>
        <v>0</v>
      </c>
      <c r="P168" s="690"/>
      <c r="Q168" s="690"/>
      <c r="R168" s="691">
        <f t="shared" si="19"/>
        <v>0</v>
      </c>
      <c r="S168" s="692">
        <f t="shared" si="20"/>
        <v>0</v>
      </c>
      <c r="T168" s="693">
        <f t="shared" si="21"/>
        <v>0</v>
      </c>
      <c r="U168" s="1035"/>
      <c r="V168" s="690"/>
      <c r="W168" s="1025"/>
      <c r="X168" s="1030"/>
      <c r="Y168" s="694">
        <f t="shared" si="22"/>
        <v>0</v>
      </c>
      <c r="Z168" s="690"/>
      <c r="AA168" s="690"/>
      <c r="AB168" s="695">
        <f t="shared" si="23"/>
        <v>0</v>
      </c>
      <c r="AC168" s="1035"/>
      <c r="AD168" s="690"/>
      <c r="AE168" s="1025"/>
      <c r="AF168" s="1030"/>
      <c r="AG168" s="690"/>
      <c r="AH168" s="690"/>
      <c r="AI168" s="696">
        <f t="shared" si="24"/>
        <v>0</v>
      </c>
      <c r="AJ168" s="697">
        <f t="shared" si="25"/>
        <v>0</v>
      </c>
      <c r="AK168" s="698"/>
      <c r="AL168" s="698"/>
    </row>
    <row r="169" spans="1:38" s="700" customFormat="1" ht="12.75" customHeight="1">
      <c r="A169" s="686" t="s">
        <v>202</v>
      </c>
      <c r="B169" s="686" t="s">
        <v>400</v>
      </c>
      <c r="C169" s="701" t="s">
        <v>315</v>
      </c>
      <c r="D169" s="701"/>
      <c r="E169" s="688">
        <v>101143</v>
      </c>
      <c r="F169" s="689">
        <v>10</v>
      </c>
      <c r="G169" s="1025"/>
      <c r="H169" s="690"/>
      <c r="I169" s="1030">
        <v>431758.79</v>
      </c>
      <c r="J169" s="690">
        <v>385200</v>
      </c>
      <c r="K169" s="1030"/>
      <c r="L169" s="690"/>
      <c r="M169" s="1025"/>
      <c r="N169" s="1030"/>
      <c r="O169" s="692">
        <f t="shared" si="18"/>
        <v>0</v>
      </c>
      <c r="P169" s="690"/>
      <c r="Q169" s="690"/>
      <c r="R169" s="691">
        <f t="shared" si="19"/>
        <v>0</v>
      </c>
      <c r="S169" s="692">
        <f t="shared" si="20"/>
        <v>431758.79</v>
      </c>
      <c r="T169" s="693">
        <f t="shared" si="21"/>
        <v>385200</v>
      </c>
      <c r="U169" s="1035"/>
      <c r="V169" s="690"/>
      <c r="W169" s="1025"/>
      <c r="X169" s="1030"/>
      <c r="Y169" s="694">
        <f t="shared" si="22"/>
        <v>0</v>
      </c>
      <c r="Z169" s="690"/>
      <c r="AA169" s="690"/>
      <c r="AB169" s="695">
        <f t="shared" si="23"/>
        <v>0</v>
      </c>
      <c r="AC169" s="1035"/>
      <c r="AD169" s="690"/>
      <c r="AE169" s="1025"/>
      <c r="AF169" s="1030"/>
      <c r="AG169" s="690"/>
      <c r="AH169" s="690"/>
      <c r="AI169" s="696">
        <f t="shared" si="24"/>
        <v>431758.79</v>
      </c>
      <c r="AJ169" s="697">
        <f t="shared" si="25"/>
        <v>385200</v>
      </c>
      <c r="AK169" s="698"/>
      <c r="AL169" s="698"/>
    </row>
    <row r="170" spans="1:38" s="700" customFormat="1" ht="12.75" customHeight="1">
      <c r="A170" s="686" t="s">
        <v>202</v>
      </c>
      <c r="B170" s="686" t="s">
        <v>392</v>
      </c>
      <c r="C170" s="687" t="s">
        <v>358</v>
      </c>
      <c r="D170" s="687"/>
      <c r="E170" s="688">
        <v>101301</v>
      </c>
      <c r="F170" s="689">
        <v>10</v>
      </c>
      <c r="G170" s="1025">
        <v>8069197</v>
      </c>
      <c r="H170" s="690">
        <v>8000096</v>
      </c>
      <c r="I170" s="1030"/>
      <c r="J170" s="690"/>
      <c r="K170" s="1030"/>
      <c r="L170" s="690"/>
      <c r="M170" s="1025">
        <v>6030930.2199999997</v>
      </c>
      <c r="N170" s="1030"/>
      <c r="O170" s="692">
        <f t="shared" si="18"/>
        <v>6030930.2199999997</v>
      </c>
      <c r="P170" s="690">
        <v>6166980</v>
      </c>
      <c r="Q170" s="690"/>
      <c r="R170" s="691">
        <f t="shared" si="19"/>
        <v>6166980</v>
      </c>
      <c r="S170" s="692">
        <f t="shared" si="20"/>
        <v>14100127.219999999</v>
      </c>
      <c r="T170" s="693">
        <f t="shared" si="21"/>
        <v>14167076</v>
      </c>
      <c r="U170" s="1035"/>
      <c r="V170" s="690"/>
      <c r="W170" s="1025"/>
      <c r="X170" s="1030"/>
      <c r="Y170" s="694">
        <f t="shared" si="22"/>
        <v>0</v>
      </c>
      <c r="Z170" s="690"/>
      <c r="AA170" s="690"/>
      <c r="AB170" s="695">
        <f t="shared" si="23"/>
        <v>0</v>
      </c>
      <c r="AC170" s="1035"/>
      <c r="AD170" s="690"/>
      <c r="AE170" s="1025"/>
      <c r="AF170" s="1030"/>
      <c r="AG170" s="690"/>
      <c r="AH170" s="690"/>
      <c r="AI170" s="696">
        <f t="shared" si="24"/>
        <v>14100127.219999999</v>
      </c>
      <c r="AJ170" s="697">
        <f t="shared" si="25"/>
        <v>14167076</v>
      </c>
      <c r="AK170" s="698"/>
      <c r="AL170" s="698"/>
    </row>
    <row r="171" spans="1:38" s="700" customFormat="1" ht="12.75" customHeight="1">
      <c r="A171" s="686" t="s">
        <v>202</v>
      </c>
      <c r="B171" s="686" t="s">
        <v>400</v>
      </c>
      <c r="C171" s="699" t="s">
        <v>484</v>
      </c>
      <c r="D171" s="699"/>
      <c r="E171" s="688">
        <v>101301</v>
      </c>
      <c r="F171" s="689">
        <v>10</v>
      </c>
      <c r="G171" s="1025"/>
      <c r="H171" s="690"/>
      <c r="I171" s="1030"/>
      <c r="J171" s="690"/>
      <c r="K171" s="1030"/>
      <c r="L171" s="690"/>
      <c r="M171" s="1025"/>
      <c r="N171" s="1030"/>
      <c r="O171" s="692">
        <f t="shared" si="18"/>
        <v>0</v>
      </c>
      <c r="P171" s="690"/>
      <c r="Q171" s="690"/>
      <c r="R171" s="691">
        <f t="shared" si="19"/>
        <v>0</v>
      </c>
      <c r="S171" s="692">
        <f t="shared" si="20"/>
        <v>0</v>
      </c>
      <c r="T171" s="693">
        <f t="shared" si="21"/>
        <v>0</v>
      </c>
      <c r="U171" s="1035"/>
      <c r="V171" s="690"/>
      <c r="W171" s="1025"/>
      <c r="X171" s="1030"/>
      <c r="Y171" s="694">
        <f t="shared" si="22"/>
        <v>0</v>
      </c>
      <c r="Z171" s="690"/>
      <c r="AA171" s="690"/>
      <c r="AB171" s="695">
        <f t="shared" si="23"/>
        <v>0</v>
      </c>
      <c r="AC171" s="1035"/>
      <c r="AD171" s="690"/>
      <c r="AE171" s="1025"/>
      <c r="AF171" s="1030"/>
      <c r="AG171" s="690"/>
      <c r="AH171" s="690"/>
      <c r="AI171" s="696">
        <f t="shared" si="24"/>
        <v>0</v>
      </c>
      <c r="AJ171" s="697">
        <f t="shared" si="25"/>
        <v>0</v>
      </c>
      <c r="AK171" s="698"/>
      <c r="AL171" s="698"/>
    </row>
    <row r="172" spans="1:38" s="700" customFormat="1" ht="12.75" customHeight="1">
      <c r="A172" s="686" t="s">
        <v>202</v>
      </c>
      <c r="B172" s="686" t="s">
        <v>400</v>
      </c>
      <c r="C172" s="701" t="s">
        <v>352</v>
      </c>
      <c r="D172" s="701"/>
      <c r="E172" s="688">
        <v>101301</v>
      </c>
      <c r="F172" s="689">
        <v>10</v>
      </c>
      <c r="G172" s="1025"/>
      <c r="H172" s="690"/>
      <c r="I172" s="1030">
        <v>28008.48</v>
      </c>
      <c r="J172" s="690">
        <v>50000</v>
      </c>
      <c r="K172" s="1030"/>
      <c r="L172" s="690"/>
      <c r="M172" s="1025"/>
      <c r="N172" s="1030"/>
      <c r="O172" s="692">
        <f t="shared" si="18"/>
        <v>0</v>
      </c>
      <c r="P172" s="690"/>
      <c r="Q172" s="690"/>
      <c r="R172" s="691">
        <f t="shared" si="19"/>
        <v>0</v>
      </c>
      <c r="S172" s="692">
        <f t="shared" si="20"/>
        <v>28008.48</v>
      </c>
      <c r="T172" s="693">
        <f t="shared" si="21"/>
        <v>50000</v>
      </c>
      <c r="U172" s="1035"/>
      <c r="V172" s="690"/>
      <c r="W172" s="1025"/>
      <c r="X172" s="1030"/>
      <c r="Y172" s="694">
        <f t="shared" si="22"/>
        <v>0</v>
      </c>
      <c r="Z172" s="690"/>
      <c r="AA172" s="690"/>
      <c r="AB172" s="695">
        <f t="shared" si="23"/>
        <v>0</v>
      </c>
      <c r="AC172" s="1035"/>
      <c r="AD172" s="690"/>
      <c r="AE172" s="1025"/>
      <c r="AF172" s="1030"/>
      <c r="AG172" s="690"/>
      <c r="AH172" s="690"/>
      <c r="AI172" s="696">
        <f t="shared" si="24"/>
        <v>28008.48</v>
      </c>
      <c r="AJ172" s="697">
        <f t="shared" si="25"/>
        <v>50000</v>
      </c>
      <c r="AK172" s="698"/>
      <c r="AL172" s="698"/>
    </row>
    <row r="173" spans="1:38" s="700" customFormat="1" ht="12.75" customHeight="1">
      <c r="A173" s="686" t="s">
        <v>202</v>
      </c>
      <c r="B173" s="686" t="s">
        <v>400</v>
      </c>
      <c r="C173" s="701" t="s">
        <v>315</v>
      </c>
      <c r="D173" s="701"/>
      <c r="E173" s="688">
        <v>101301</v>
      </c>
      <c r="F173" s="689">
        <v>10</v>
      </c>
      <c r="G173" s="1025"/>
      <c r="H173" s="690"/>
      <c r="I173" s="1030">
        <v>301666.65999999997</v>
      </c>
      <c r="J173" s="690">
        <v>481129</v>
      </c>
      <c r="K173" s="1030"/>
      <c r="L173" s="690"/>
      <c r="M173" s="1025"/>
      <c r="N173" s="1030"/>
      <c r="O173" s="692">
        <f t="shared" si="18"/>
        <v>0</v>
      </c>
      <c r="P173" s="690"/>
      <c r="Q173" s="690"/>
      <c r="R173" s="691">
        <f t="shared" si="19"/>
        <v>0</v>
      </c>
      <c r="S173" s="692">
        <f t="shared" si="20"/>
        <v>301666.65999999997</v>
      </c>
      <c r="T173" s="693">
        <f t="shared" si="21"/>
        <v>481129</v>
      </c>
      <c r="U173" s="1035"/>
      <c r="V173" s="690"/>
      <c r="W173" s="1025"/>
      <c r="X173" s="1030"/>
      <c r="Y173" s="694">
        <f t="shared" si="22"/>
        <v>0</v>
      </c>
      <c r="Z173" s="690"/>
      <c r="AA173" s="690"/>
      <c r="AB173" s="695">
        <f t="shared" si="23"/>
        <v>0</v>
      </c>
      <c r="AC173" s="1035"/>
      <c r="AD173" s="690"/>
      <c r="AE173" s="1025"/>
      <c r="AF173" s="1030"/>
      <c r="AG173" s="690"/>
      <c r="AH173" s="690"/>
      <c r="AI173" s="696">
        <f t="shared" si="24"/>
        <v>301666.65999999997</v>
      </c>
      <c r="AJ173" s="697">
        <f t="shared" si="25"/>
        <v>481129</v>
      </c>
      <c r="AK173" s="698"/>
      <c r="AL173" s="698"/>
    </row>
    <row r="174" spans="1:38" s="700" customFormat="1" ht="12.75" customHeight="1">
      <c r="A174" s="686" t="s">
        <v>202</v>
      </c>
      <c r="B174" s="686" t="s">
        <v>392</v>
      </c>
      <c r="C174" s="687" t="s">
        <v>359</v>
      </c>
      <c r="D174" s="687"/>
      <c r="E174" s="688">
        <v>101499</v>
      </c>
      <c r="F174" s="689">
        <v>10</v>
      </c>
      <c r="G174" s="1025">
        <v>5863635</v>
      </c>
      <c r="H174" s="690">
        <v>5821951</v>
      </c>
      <c r="I174" s="1030"/>
      <c r="J174" s="690"/>
      <c r="K174" s="1030"/>
      <c r="L174" s="690"/>
      <c r="M174" s="1025">
        <v>3478600.39</v>
      </c>
      <c r="N174" s="1030">
        <v>173469.96</v>
      </c>
      <c r="O174" s="692">
        <f t="shared" si="18"/>
        <v>3652070.35</v>
      </c>
      <c r="P174" s="690">
        <v>3556771</v>
      </c>
      <c r="Q174" s="690">
        <v>177090</v>
      </c>
      <c r="R174" s="691">
        <f t="shared" si="19"/>
        <v>3733861</v>
      </c>
      <c r="S174" s="692">
        <f t="shared" si="20"/>
        <v>9342235.3900000006</v>
      </c>
      <c r="T174" s="693">
        <f t="shared" si="21"/>
        <v>9378722</v>
      </c>
      <c r="U174" s="1035"/>
      <c r="V174" s="690"/>
      <c r="W174" s="1025"/>
      <c r="X174" s="1030"/>
      <c r="Y174" s="694">
        <f t="shared" si="22"/>
        <v>0</v>
      </c>
      <c r="Z174" s="690"/>
      <c r="AA174" s="690"/>
      <c r="AB174" s="695">
        <f t="shared" si="23"/>
        <v>0</v>
      </c>
      <c r="AC174" s="1035"/>
      <c r="AD174" s="690"/>
      <c r="AE174" s="1025"/>
      <c r="AF174" s="1030"/>
      <c r="AG174" s="690"/>
      <c r="AH174" s="690"/>
      <c r="AI174" s="696">
        <f t="shared" si="24"/>
        <v>9342235.3900000006</v>
      </c>
      <c r="AJ174" s="697">
        <f t="shared" si="25"/>
        <v>9378722</v>
      </c>
      <c r="AK174" s="698"/>
      <c r="AL174" s="698"/>
    </row>
    <row r="175" spans="1:38" s="700" customFormat="1" ht="12.75" customHeight="1">
      <c r="A175" s="686" t="s">
        <v>202</v>
      </c>
      <c r="B175" s="686" t="s">
        <v>400</v>
      </c>
      <c r="C175" s="699" t="s">
        <v>484</v>
      </c>
      <c r="D175" s="699"/>
      <c r="E175" s="688">
        <v>101499</v>
      </c>
      <c r="F175" s="689">
        <v>10</v>
      </c>
      <c r="G175" s="1025"/>
      <c r="H175" s="690"/>
      <c r="I175" s="1030"/>
      <c r="J175" s="690"/>
      <c r="K175" s="1030"/>
      <c r="L175" s="690"/>
      <c r="M175" s="1025"/>
      <c r="N175" s="1030"/>
      <c r="O175" s="692">
        <f t="shared" si="18"/>
        <v>0</v>
      </c>
      <c r="P175" s="690"/>
      <c r="Q175" s="690"/>
      <c r="R175" s="691">
        <f t="shared" si="19"/>
        <v>0</v>
      </c>
      <c r="S175" s="692">
        <f t="shared" si="20"/>
        <v>0</v>
      </c>
      <c r="T175" s="693">
        <f t="shared" si="21"/>
        <v>0</v>
      </c>
      <c r="U175" s="1035"/>
      <c r="V175" s="690"/>
      <c r="W175" s="1025"/>
      <c r="X175" s="1030"/>
      <c r="Y175" s="694">
        <f t="shared" si="22"/>
        <v>0</v>
      </c>
      <c r="Z175" s="690"/>
      <c r="AA175" s="690"/>
      <c r="AB175" s="695">
        <f t="shared" si="23"/>
        <v>0</v>
      </c>
      <c r="AC175" s="1035"/>
      <c r="AD175" s="690"/>
      <c r="AE175" s="1025"/>
      <c r="AF175" s="1030"/>
      <c r="AG175" s="690"/>
      <c r="AH175" s="690"/>
      <c r="AI175" s="696">
        <f t="shared" si="24"/>
        <v>0</v>
      </c>
      <c r="AJ175" s="697">
        <f t="shared" si="25"/>
        <v>0</v>
      </c>
      <c r="AK175" s="698"/>
      <c r="AL175" s="698"/>
    </row>
    <row r="176" spans="1:38" s="700" customFormat="1" ht="12.75" customHeight="1">
      <c r="A176" s="686" t="s">
        <v>202</v>
      </c>
      <c r="B176" s="686" t="s">
        <v>400</v>
      </c>
      <c r="C176" s="701" t="s">
        <v>352</v>
      </c>
      <c r="D176" s="701"/>
      <c r="E176" s="688">
        <v>101499</v>
      </c>
      <c r="F176" s="689">
        <v>10</v>
      </c>
      <c r="G176" s="1025"/>
      <c r="H176" s="690"/>
      <c r="I176" s="1030">
        <v>92500</v>
      </c>
      <c r="J176" s="690">
        <v>249797</v>
      </c>
      <c r="K176" s="1030"/>
      <c r="L176" s="690"/>
      <c r="M176" s="1025"/>
      <c r="N176" s="1030"/>
      <c r="O176" s="692">
        <f t="shared" si="18"/>
        <v>0</v>
      </c>
      <c r="P176" s="690"/>
      <c r="Q176" s="690"/>
      <c r="R176" s="691">
        <f t="shared" si="19"/>
        <v>0</v>
      </c>
      <c r="S176" s="692">
        <f t="shared" si="20"/>
        <v>92500</v>
      </c>
      <c r="T176" s="693">
        <f t="shared" si="21"/>
        <v>249797</v>
      </c>
      <c r="U176" s="1035"/>
      <c r="V176" s="690"/>
      <c r="W176" s="1025"/>
      <c r="X176" s="1030"/>
      <c r="Y176" s="694">
        <f t="shared" si="22"/>
        <v>0</v>
      </c>
      <c r="Z176" s="690"/>
      <c r="AA176" s="690"/>
      <c r="AB176" s="695">
        <f t="shared" si="23"/>
        <v>0</v>
      </c>
      <c r="AC176" s="1035"/>
      <c r="AD176" s="690"/>
      <c r="AE176" s="1025"/>
      <c r="AF176" s="1030"/>
      <c r="AG176" s="690"/>
      <c r="AH176" s="690"/>
      <c r="AI176" s="696">
        <f t="shared" si="24"/>
        <v>92500</v>
      </c>
      <c r="AJ176" s="697">
        <f t="shared" si="25"/>
        <v>249797</v>
      </c>
      <c r="AK176" s="698"/>
      <c r="AL176" s="698"/>
    </row>
    <row r="177" spans="1:38" s="700" customFormat="1" ht="12.75" customHeight="1">
      <c r="A177" s="686" t="s">
        <v>202</v>
      </c>
      <c r="B177" s="686" t="s">
        <v>400</v>
      </c>
      <c r="C177" s="701" t="s">
        <v>315</v>
      </c>
      <c r="D177" s="701"/>
      <c r="E177" s="688">
        <v>101499</v>
      </c>
      <c r="F177" s="689">
        <v>10</v>
      </c>
      <c r="G177" s="1025"/>
      <c r="H177" s="690"/>
      <c r="I177" s="1030">
        <v>199383.75</v>
      </c>
      <c r="J177" s="690"/>
      <c r="K177" s="1030"/>
      <c r="L177" s="690"/>
      <c r="M177" s="1025"/>
      <c r="N177" s="1030"/>
      <c r="O177" s="692">
        <f t="shared" si="18"/>
        <v>0</v>
      </c>
      <c r="P177" s="690"/>
      <c r="Q177" s="690"/>
      <c r="R177" s="691">
        <f t="shared" si="19"/>
        <v>0</v>
      </c>
      <c r="S177" s="692">
        <f t="shared" si="20"/>
        <v>199383.75</v>
      </c>
      <c r="T177" s="693">
        <f t="shared" si="21"/>
        <v>0</v>
      </c>
      <c r="U177" s="1035"/>
      <c r="V177" s="690"/>
      <c r="W177" s="1025"/>
      <c r="X177" s="1030"/>
      <c r="Y177" s="694">
        <f t="shared" si="22"/>
        <v>0</v>
      </c>
      <c r="Z177" s="690"/>
      <c r="AA177" s="690"/>
      <c r="AB177" s="695">
        <f t="shared" si="23"/>
        <v>0</v>
      </c>
      <c r="AC177" s="1035"/>
      <c r="AD177" s="690"/>
      <c r="AE177" s="1025"/>
      <c r="AF177" s="1030"/>
      <c r="AG177" s="690"/>
      <c r="AH177" s="690"/>
      <c r="AI177" s="696">
        <f t="shared" si="24"/>
        <v>199383.75</v>
      </c>
      <c r="AJ177" s="697">
        <f t="shared" si="25"/>
        <v>0</v>
      </c>
      <c r="AK177" s="698"/>
      <c r="AL177" s="698"/>
    </row>
    <row r="178" spans="1:38" s="700" customFormat="1" ht="12.75" customHeight="1">
      <c r="A178" s="686" t="s">
        <v>202</v>
      </c>
      <c r="B178" s="686" t="s">
        <v>392</v>
      </c>
      <c r="C178" s="687" t="s">
        <v>364</v>
      </c>
      <c r="D178" s="687"/>
      <c r="E178" s="688">
        <v>101602</v>
      </c>
      <c r="F178" s="689">
        <v>10</v>
      </c>
      <c r="G178" s="1025">
        <v>7016886</v>
      </c>
      <c r="H178" s="690">
        <v>6956796</v>
      </c>
      <c r="I178" s="1030"/>
      <c r="J178" s="690"/>
      <c r="K178" s="1030">
        <v>190480.89</v>
      </c>
      <c r="L178" s="690">
        <v>185000</v>
      </c>
      <c r="M178" s="1025">
        <v>4728799.24</v>
      </c>
      <c r="N178" s="1025">
        <v>465711.56</v>
      </c>
      <c r="O178" s="692">
        <f t="shared" si="18"/>
        <v>5194510.8</v>
      </c>
      <c r="P178" s="690">
        <v>4702551</v>
      </c>
      <c r="Q178" s="690">
        <v>363300</v>
      </c>
      <c r="R178" s="691">
        <f t="shared" si="19"/>
        <v>5065851</v>
      </c>
      <c r="S178" s="692">
        <f t="shared" si="20"/>
        <v>11936166.129999999</v>
      </c>
      <c r="T178" s="693">
        <f t="shared" si="21"/>
        <v>11844347</v>
      </c>
      <c r="U178" s="1035"/>
      <c r="V178" s="690"/>
      <c r="W178" s="1025"/>
      <c r="X178" s="1030"/>
      <c r="Y178" s="694">
        <f t="shared" si="22"/>
        <v>0</v>
      </c>
      <c r="Z178" s="690"/>
      <c r="AA178" s="690"/>
      <c r="AB178" s="695">
        <f t="shared" si="23"/>
        <v>0</v>
      </c>
      <c r="AC178" s="1035"/>
      <c r="AD178" s="690"/>
      <c r="AE178" s="1025"/>
      <c r="AF178" s="1030"/>
      <c r="AG178" s="690"/>
      <c r="AH178" s="690"/>
      <c r="AI178" s="696">
        <f t="shared" si="24"/>
        <v>11936166.129999999</v>
      </c>
      <c r="AJ178" s="697">
        <f t="shared" si="25"/>
        <v>11844347</v>
      </c>
      <c r="AK178" s="698"/>
      <c r="AL178" s="698"/>
    </row>
    <row r="179" spans="1:38" s="700" customFormat="1" ht="12.75" customHeight="1">
      <c r="A179" s="686" t="s">
        <v>202</v>
      </c>
      <c r="B179" s="686" t="s">
        <v>400</v>
      </c>
      <c r="C179" s="699" t="s">
        <v>484</v>
      </c>
      <c r="D179" s="699"/>
      <c r="E179" s="688">
        <v>101602</v>
      </c>
      <c r="F179" s="689">
        <v>10</v>
      </c>
      <c r="G179" s="1025"/>
      <c r="H179" s="690"/>
      <c r="I179" s="1030"/>
      <c r="J179" s="690"/>
      <c r="K179" s="1030"/>
      <c r="L179" s="690"/>
      <c r="M179" s="1025"/>
      <c r="N179" s="1030"/>
      <c r="O179" s="692">
        <f t="shared" si="18"/>
        <v>0</v>
      </c>
      <c r="P179" s="690"/>
      <c r="Q179" s="690"/>
      <c r="R179" s="691">
        <f t="shared" si="19"/>
        <v>0</v>
      </c>
      <c r="S179" s="692">
        <f t="shared" si="20"/>
        <v>0</v>
      </c>
      <c r="T179" s="693">
        <f t="shared" si="21"/>
        <v>0</v>
      </c>
      <c r="U179" s="1035"/>
      <c r="V179" s="690"/>
      <c r="W179" s="1025"/>
      <c r="X179" s="1030"/>
      <c r="Y179" s="694">
        <f t="shared" si="22"/>
        <v>0</v>
      </c>
      <c r="Z179" s="690"/>
      <c r="AA179" s="690"/>
      <c r="AB179" s="695">
        <f t="shared" si="23"/>
        <v>0</v>
      </c>
      <c r="AC179" s="1035"/>
      <c r="AD179" s="690"/>
      <c r="AE179" s="1025"/>
      <c r="AF179" s="1030"/>
      <c r="AG179" s="690"/>
      <c r="AH179" s="690"/>
      <c r="AI179" s="696">
        <f t="shared" si="24"/>
        <v>0</v>
      </c>
      <c r="AJ179" s="697">
        <f t="shared" si="25"/>
        <v>0</v>
      </c>
      <c r="AK179" s="698"/>
      <c r="AL179" s="698"/>
    </row>
    <row r="180" spans="1:38" s="700" customFormat="1" ht="12.75" customHeight="1">
      <c r="A180" s="686" t="s">
        <v>202</v>
      </c>
      <c r="B180" s="686" t="s">
        <v>400</v>
      </c>
      <c r="C180" s="701" t="s">
        <v>352</v>
      </c>
      <c r="D180" s="701"/>
      <c r="E180" s="688">
        <v>101602</v>
      </c>
      <c r="F180" s="689">
        <v>10</v>
      </c>
      <c r="G180" s="1025"/>
      <c r="H180" s="690"/>
      <c r="I180" s="1030">
        <v>27070.99</v>
      </c>
      <c r="J180" s="690">
        <v>35967</v>
      </c>
      <c r="K180" s="1030"/>
      <c r="L180" s="690"/>
      <c r="M180" s="1025"/>
      <c r="N180" s="1030"/>
      <c r="O180" s="692">
        <f t="shared" si="18"/>
        <v>0</v>
      </c>
      <c r="P180" s="690"/>
      <c r="Q180" s="690"/>
      <c r="R180" s="691">
        <f t="shared" si="19"/>
        <v>0</v>
      </c>
      <c r="S180" s="692">
        <f t="shared" si="20"/>
        <v>27070.99</v>
      </c>
      <c r="T180" s="693">
        <f t="shared" si="21"/>
        <v>35967</v>
      </c>
      <c r="U180" s="1035"/>
      <c r="V180" s="690"/>
      <c r="W180" s="1025"/>
      <c r="X180" s="1030"/>
      <c r="Y180" s="694">
        <f t="shared" si="22"/>
        <v>0</v>
      </c>
      <c r="Z180" s="690"/>
      <c r="AA180" s="690"/>
      <c r="AB180" s="695">
        <f t="shared" si="23"/>
        <v>0</v>
      </c>
      <c r="AC180" s="1035"/>
      <c r="AD180" s="690"/>
      <c r="AE180" s="1025"/>
      <c r="AF180" s="1030"/>
      <c r="AG180" s="690"/>
      <c r="AH180" s="690"/>
      <c r="AI180" s="696">
        <f t="shared" si="24"/>
        <v>27070.99</v>
      </c>
      <c r="AJ180" s="697">
        <f t="shared" si="25"/>
        <v>35967</v>
      </c>
      <c r="AK180" s="698"/>
      <c r="AL180" s="698"/>
    </row>
    <row r="181" spans="1:38" s="700" customFormat="1" ht="12.75" customHeight="1">
      <c r="A181" s="686" t="s">
        <v>202</v>
      </c>
      <c r="B181" s="686" t="s">
        <v>400</v>
      </c>
      <c r="C181" s="701" t="s">
        <v>315</v>
      </c>
      <c r="D181" s="701"/>
      <c r="E181" s="688">
        <v>101602</v>
      </c>
      <c r="F181" s="689">
        <v>10</v>
      </c>
      <c r="G181" s="1025"/>
      <c r="H181" s="690"/>
      <c r="I181" s="1030">
        <v>126080</v>
      </c>
      <c r="J181" s="690">
        <v>170849</v>
      </c>
      <c r="K181" s="1030"/>
      <c r="L181" s="690"/>
      <c r="M181" s="1025"/>
      <c r="N181" s="1030"/>
      <c r="O181" s="692">
        <f t="shared" si="18"/>
        <v>0</v>
      </c>
      <c r="P181" s="690"/>
      <c r="Q181" s="690"/>
      <c r="R181" s="691">
        <f t="shared" si="19"/>
        <v>0</v>
      </c>
      <c r="S181" s="692">
        <f t="shared" si="20"/>
        <v>126080</v>
      </c>
      <c r="T181" s="693">
        <f t="shared" si="21"/>
        <v>170849</v>
      </c>
      <c r="U181" s="1035"/>
      <c r="V181" s="690"/>
      <c r="W181" s="1025"/>
      <c r="X181" s="1030"/>
      <c r="Y181" s="694">
        <f t="shared" si="22"/>
        <v>0</v>
      </c>
      <c r="Z181" s="690"/>
      <c r="AA181" s="690"/>
      <c r="AB181" s="695">
        <f t="shared" si="23"/>
        <v>0</v>
      </c>
      <c r="AC181" s="1035"/>
      <c r="AD181" s="690"/>
      <c r="AE181" s="1025"/>
      <c r="AF181" s="1030"/>
      <c r="AG181" s="690"/>
      <c r="AH181" s="690"/>
      <c r="AI181" s="696">
        <f t="shared" si="24"/>
        <v>126080</v>
      </c>
      <c r="AJ181" s="697">
        <f t="shared" si="25"/>
        <v>170849</v>
      </c>
      <c r="AK181" s="698"/>
      <c r="AL181" s="698"/>
    </row>
    <row r="182" spans="1:38" s="700" customFormat="1" ht="12.75" customHeight="1">
      <c r="A182" s="686" t="s">
        <v>202</v>
      </c>
      <c r="B182" s="686" t="s">
        <v>392</v>
      </c>
      <c r="C182" s="1039" t="s">
        <v>365</v>
      </c>
      <c r="D182" s="1040" t="s">
        <v>1899</v>
      </c>
      <c r="E182" s="688">
        <v>101897</v>
      </c>
      <c r="F182" s="1041">
        <v>9</v>
      </c>
      <c r="G182" s="1025">
        <v>6029742</v>
      </c>
      <c r="H182" s="690">
        <v>6020175</v>
      </c>
      <c r="I182" s="1030"/>
      <c r="J182" s="690"/>
      <c r="K182" s="1030"/>
      <c r="L182" s="690"/>
      <c r="M182" s="1025">
        <v>9141639.0700000003</v>
      </c>
      <c r="N182" s="1030">
        <v>466366.26</v>
      </c>
      <c r="O182" s="692">
        <f t="shared" si="18"/>
        <v>9608005.3300000001</v>
      </c>
      <c r="P182" s="690">
        <v>9443418</v>
      </c>
      <c r="Q182" s="690">
        <v>905675</v>
      </c>
      <c r="R182" s="691">
        <f t="shared" si="19"/>
        <v>10349093</v>
      </c>
      <c r="S182" s="692">
        <f t="shared" si="20"/>
        <v>15171381.07</v>
      </c>
      <c r="T182" s="693">
        <f t="shared" si="21"/>
        <v>15463593</v>
      </c>
      <c r="U182" s="1035"/>
      <c r="V182" s="690"/>
      <c r="W182" s="1025"/>
      <c r="X182" s="1030"/>
      <c r="Y182" s="694">
        <f t="shared" si="22"/>
        <v>0</v>
      </c>
      <c r="Z182" s="690"/>
      <c r="AA182" s="690"/>
      <c r="AB182" s="695">
        <f t="shared" si="23"/>
        <v>0</v>
      </c>
      <c r="AC182" s="1035"/>
      <c r="AD182" s="690"/>
      <c r="AE182" s="1025"/>
      <c r="AF182" s="1030"/>
      <c r="AG182" s="690"/>
      <c r="AH182" s="690"/>
      <c r="AI182" s="696">
        <f t="shared" si="24"/>
        <v>15171381.07</v>
      </c>
      <c r="AJ182" s="697">
        <f t="shared" si="25"/>
        <v>15463593</v>
      </c>
      <c r="AK182" s="698"/>
      <c r="AL182" s="698"/>
    </row>
    <row r="183" spans="1:38" s="700" customFormat="1" ht="12.75" customHeight="1">
      <c r="A183" s="686" t="s">
        <v>202</v>
      </c>
      <c r="B183" s="686" t="s">
        <v>400</v>
      </c>
      <c r="C183" s="699" t="s">
        <v>484</v>
      </c>
      <c r="D183" s="699"/>
      <c r="E183" s="688">
        <v>101897</v>
      </c>
      <c r="F183" s="1041">
        <v>9</v>
      </c>
      <c r="G183" s="1025"/>
      <c r="H183" s="690"/>
      <c r="I183" s="1030"/>
      <c r="J183" s="690"/>
      <c r="K183" s="1030"/>
      <c r="L183" s="690"/>
      <c r="M183" s="1025"/>
      <c r="N183" s="1030"/>
      <c r="O183" s="692">
        <f t="shared" si="18"/>
        <v>0</v>
      </c>
      <c r="P183" s="690"/>
      <c r="Q183" s="690"/>
      <c r="R183" s="691">
        <f t="shared" si="19"/>
        <v>0</v>
      </c>
      <c r="S183" s="692">
        <f t="shared" si="20"/>
        <v>0</v>
      </c>
      <c r="T183" s="693">
        <f t="shared" si="21"/>
        <v>0</v>
      </c>
      <c r="U183" s="1035"/>
      <c r="V183" s="690"/>
      <c r="W183" s="1025"/>
      <c r="X183" s="1030"/>
      <c r="Y183" s="694">
        <f t="shared" si="22"/>
        <v>0</v>
      </c>
      <c r="Z183" s="690"/>
      <c r="AA183" s="690"/>
      <c r="AB183" s="695">
        <f t="shared" si="23"/>
        <v>0</v>
      </c>
      <c r="AC183" s="1035"/>
      <c r="AD183" s="690"/>
      <c r="AE183" s="1025"/>
      <c r="AF183" s="1030"/>
      <c r="AG183" s="690"/>
      <c r="AH183" s="690"/>
      <c r="AI183" s="696">
        <f t="shared" si="24"/>
        <v>0</v>
      </c>
      <c r="AJ183" s="697">
        <f t="shared" si="25"/>
        <v>0</v>
      </c>
      <c r="AK183" s="698"/>
      <c r="AL183" s="698"/>
    </row>
    <row r="184" spans="1:38" s="700" customFormat="1" ht="12.75" customHeight="1">
      <c r="A184" s="686" t="s">
        <v>202</v>
      </c>
      <c r="B184" s="686" t="s">
        <v>400</v>
      </c>
      <c r="C184" s="701" t="s">
        <v>352</v>
      </c>
      <c r="D184" s="701"/>
      <c r="E184" s="688">
        <v>101897</v>
      </c>
      <c r="F184" s="1041">
        <v>9</v>
      </c>
      <c r="G184" s="1025"/>
      <c r="H184" s="690"/>
      <c r="I184" s="1030">
        <v>41904.89</v>
      </c>
      <c r="J184" s="690">
        <v>185000</v>
      </c>
      <c r="K184" s="1030"/>
      <c r="L184" s="690"/>
      <c r="M184" s="1025"/>
      <c r="N184" s="1030"/>
      <c r="O184" s="692">
        <f t="shared" si="18"/>
        <v>0</v>
      </c>
      <c r="P184" s="690"/>
      <c r="Q184" s="690"/>
      <c r="R184" s="691">
        <f t="shared" si="19"/>
        <v>0</v>
      </c>
      <c r="S184" s="692">
        <f t="shared" si="20"/>
        <v>41904.89</v>
      </c>
      <c r="T184" s="693">
        <f t="shared" si="21"/>
        <v>185000</v>
      </c>
      <c r="U184" s="1035"/>
      <c r="V184" s="690"/>
      <c r="W184" s="1025"/>
      <c r="X184" s="1030"/>
      <c r="Y184" s="694">
        <f t="shared" si="22"/>
        <v>0</v>
      </c>
      <c r="Z184" s="690"/>
      <c r="AA184" s="690"/>
      <c r="AB184" s="695">
        <f t="shared" si="23"/>
        <v>0</v>
      </c>
      <c r="AC184" s="1035"/>
      <c r="AD184" s="690"/>
      <c r="AE184" s="1025"/>
      <c r="AF184" s="1030"/>
      <c r="AG184" s="690"/>
      <c r="AH184" s="690"/>
      <c r="AI184" s="696">
        <f t="shared" si="24"/>
        <v>41904.89</v>
      </c>
      <c r="AJ184" s="697">
        <f t="shared" si="25"/>
        <v>185000</v>
      </c>
      <c r="AK184" s="698"/>
      <c r="AL184" s="698"/>
    </row>
    <row r="185" spans="1:38" s="700" customFormat="1" ht="12.75" customHeight="1">
      <c r="A185" s="686" t="s">
        <v>202</v>
      </c>
      <c r="B185" s="686" t="s">
        <v>400</v>
      </c>
      <c r="C185" s="701" t="s">
        <v>315</v>
      </c>
      <c r="D185" s="701"/>
      <c r="E185" s="688">
        <v>101897</v>
      </c>
      <c r="F185" s="1041">
        <v>9</v>
      </c>
      <c r="G185" s="1025"/>
      <c r="H185" s="690"/>
      <c r="I185" s="1030">
        <v>111308</v>
      </c>
      <c r="J185" s="690">
        <v>165769</v>
      </c>
      <c r="K185" s="1030"/>
      <c r="L185" s="690"/>
      <c r="M185" s="1025"/>
      <c r="N185" s="1030"/>
      <c r="O185" s="692">
        <f t="shared" si="18"/>
        <v>0</v>
      </c>
      <c r="P185" s="690"/>
      <c r="Q185" s="690"/>
      <c r="R185" s="691">
        <f t="shared" si="19"/>
        <v>0</v>
      </c>
      <c r="S185" s="692">
        <f t="shared" si="20"/>
        <v>111308</v>
      </c>
      <c r="T185" s="693">
        <f t="shared" si="21"/>
        <v>165769</v>
      </c>
      <c r="U185" s="1035"/>
      <c r="V185" s="690"/>
      <c r="W185" s="1025"/>
      <c r="X185" s="1030"/>
      <c r="Y185" s="694">
        <f t="shared" si="22"/>
        <v>0</v>
      </c>
      <c r="Z185" s="690"/>
      <c r="AA185" s="690"/>
      <c r="AB185" s="695">
        <f t="shared" si="23"/>
        <v>0</v>
      </c>
      <c r="AC185" s="1035"/>
      <c r="AD185" s="690"/>
      <c r="AE185" s="1025"/>
      <c r="AF185" s="1030"/>
      <c r="AG185" s="690"/>
      <c r="AH185" s="690"/>
      <c r="AI185" s="696">
        <f t="shared" si="24"/>
        <v>111308</v>
      </c>
      <c r="AJ185" s="697">
        <f t="shared" si="25"/>
        <v>165769</v>
      </c>
      <c r="AK185" s="698"/>
      <c r="AL185" s="698"/>
    </row>
    <row r="186" spans="1:38" s="700" customFormat="1" ht="12.75" customHeight="1">
      <c r="A186" s="686" t="s">
        <v>202</v>
      </c>
      <c r="B186" s="686" t="s">
        <v>392</v>
      </c>
      <c r="C186" s="703" t="s">
        <v>366</v>
      </c>
      <c r="D186" s="1038" t="s">
        <v>1903</v>
      </c>
      <c r="E186" s="688">
        <v>102076</v>
      </c>
      <c r="F186" s="689">
        <v>10</v>
      </c>
      <c r="G186" s="1025">
        <v>5651668</v>
      </c>
      <c r="H186" s="690">
        <v>5633775</v>
      </c>
      <c r="I186" s="1030"/>
      <c r="J186" s="690"/>
      <c r="K186" s="1030"/>
      <c r="L186" s="690"/>
      <c r="M186" s="1025">
        <v>6425048.1200000001</v>
      </c>
      <c r="N186" s="1025">
        <v>571510.82999999996</v>
      </c>
      <c r="O186" s="692">
        <f t="shared" si="18"/>
        <v>6996558.9500000002</v>
      </c>
      <c r="P186" s="690">
        <v>6736577</v>
      </c>
      <c r="Q186" s="690">
        <v>508123</v>
      </c>
      <c r="R186" s="691">
        <f t="shared" si="19"/>
        <v>7244700</v>
      </c>
      <c r="S186" s="692">
        <f t="shared" si="20"/>
        <v>12076716.120000001</v>
      </c>
      <c r="T186" s="693">
        <f t="shared" si="21"/>
        <v>12370352</v>
      </c>
      <c r="U186" s="1035"/>
      <c r="V186" s="690"/>
      <c r="W186" s="1025"/>
      <c r="X186" s="1030"/>
      <c r="Y186" s="694">
        <f t="shared" si="22"/>
        <v>0</v>
      </c>
      <c r="Z186" s="690"/>
      <c r="AA186" s="690"/>
      <c r="AB186" s="695">
        <f t="shared" si="23"/>
        <v>0</v>
      </c>
      <c r="AC186" s="1035"/>
      <c r="AD186" s="690"/>
      <c r="AE186" s="1025"/>
      <c r="AF186" s="1030"/>
      <c r="AG186" s="690"/>
      <c r="AH186" s="690"/>
      <c r="AI186" s="696">
        <f t="shared" si="24"/>
        <v>12076716.120000001</v>
      </c>
      <c r="AJ186" s="697">
        <f t="shared" si="25"/>
        <v>12370352</v>
      </c>
      <c r="AK186" s="698"/>
      <c r="AL186" s="698"/>
    </row>
    <row r="187" spans="1:38" s="700" customFormat="1" ht="12.75" customHeight="1">
      <c r="A187" s="686" t="s">
        <v>202</v>
      </c>
      <c r="B187" s="686" t="s">
        <v>400</v>
      </c>
      <c r="C187" s="699" t="s">
        <v>484</v>
      </c>
      <c r="D187" s="699"/>
      <c r="E187" s="688">
        <v>102076</v>
      </c>
      <c r="F187" s="689">
        <v>10</v>
      </c>
      <c r="G187" s="1025"/>
      <c r="H187" s="690"/>
      <c r="I187" s="1030"/>
      <c r="J187" s="690"/>
      <c r="K187" s="1030"/>
      <c r="L187" s="690"/>
      <c r="M187" s="1025"/>
      <c r="N187" s="1030"/>
      <c r="O187" s="692">
        <f t="shared" si="18"/>
        <v>0</v>
      </c>
      <c r="P187" s="690"/>
      <c r="Q187" s="690"/>
      <c r="R187" s="691">
        <f t="shared" si="19"/>
        <v>0</v>
      </c>
      <c r="S187" s="692">
        <f t="shared" si="20"/>
        <v>0</v>
      </c>
      <c r="T187" s="693">
        <f t="shared" si="21"/>
        <v>0</v>
      </c>
      <c r="U187" s="1035"/>
      <c r="V187" s="690"/>
      <c r="W187" s="1025"/>
      <c r="X187" s="1030"/>
      <c r="Y187" s="694">
        <f t="shared" si="22"/>
        <v>0</v>
      </c>
      <c r="Z187" s="690"/>
      <c r="AA187" s="690"/>
      <c r="AB187" s="695">
        <f t="shared" si="23"/>
        <v>0</v>
      </c>
      <c r="AC187" s="1035"/>
      <c r="AD187" s="690"/>
      <c r="AE187" s="1025"/>
      <c r="AF187" s="1030"/>
      <c r="AG187" s="690"/>
      <c r="AH187" s="690"/>
      <c r="AI187" s="696">
        <f t="shared" si="24"/>
        <v>0</v>
      </c>
      <c r="AJ187" s="697">
        <f t="shared" si="25"/>
        <v>0</v>
      </c>
      <c r="AK187" s="698"/>
      <c r="AL187" s="698"/>
    </row>
    <row r="188" spans="1:38" s="700" customFormat="1" ht="12.75" customHeight="1">
      <c r="A188" s="686" t="s">
        <v>202</v>
      </c>
      <c r="B188" s="686" t="s">
        <v>400</v>
      </c>
      <c r="C188" s="701" t="s">
        <v>352</v>
      </c>
      <c r="D188" s="701"/>
      <c r="E188" s="688">
        <v>102076</v>
      </c>
      <c r="F188" s="689">
        <v>10</v>
      </c>
      <c r="G188" s="1025"/>
      <c r="H188" s="690"/>
      <c r="I188" s="1030">
        <v>32846.78</v>
      </c>
      <c r="J188" s="690">
        <v>55000</v>
      </c>
      <c r="K188" s="1030"/>
      <c r="L188" s="690"/>
      <c r="M188" s="1025"/>
      <c r="N188" s="1030"/>
      <c r="O188" s="692">
        <f t="shared" si="18"/>
        <v>0</v>
      </c>
      <c r="P188" s="690"/>
      <c r="Q188" s="690"/>
      <c r="R188" s="691">
        <f t="shared" si="19"/>
        <v>0</v>
      </c>
      <c r="S188" s="692">
        <f t="shared" si="20"/>
        <v>32846.78</v>
      </c>
      <c r="T188" s="693">
        <f t="shared" si="21"/>
        <v>55000</v>
      </c>
      <c r="U188" s="1035"/>
      <c r="V188" s="690"/>
      <c r="W188" s="1025"/>
      <c r="X188" s="1030"/>
      <c r="Y188" s="694">
        <f t="shared" si="22"/>
        <v>0</v>
      </c>
      <c r="Z188" s="690"/>
      <c r="AA188" s="690"/>
      <c r="AB188" s="695">
        <f t="shared" si="23"/>
        <v>0</v>
      </c>
      <c r="AC188" s="1035"/>
      <c r="AD188" s="690"/>
      <c r="AE188" s="1025"/>
      <c r="AF188" s="1030"/>
      <c r="AG188" s="690"/>
      <c r="AH188" s="690"/>
      <c r="AI188" s="696">
        <f t="shared" si="24"/>
        <v>32846.78</v>
      </c>
      <c r="AJ188" s="697">
        <f t="shared" si="25"/>
        <v>55000</v>
      </c>
      <c r="AK188" s="698"/>
      <c r="AL188" s="698"/>
    </row>
    <row r="189" spans="1:38" s="700" customFormat="1" ht="12.75" customHeight="1">
      <c r="A189" s="686" t="s">
        <v>202</v>
      </c>
      <c r="B189" s="686" t="s">
        <v>400</v>
      </c>
      <c r="C189" s="701" t="s">
        <v>315</v>
      </c>
      <c r="D189" s="701"/>
      <c r="E189" s="688">
        <v>102076</v>
      </c>
      <c r="F189" s="689">
        <v>10</v>
      </c>
      <c r="G189" s="1025"/>
      <c r="H189" s="690"/>
      <c r="I189" s="1030">
        <v>126281.71</v>
      </c>
      <c r="J189" s="690">
        <v>185551</v>
      </c>
      <c r="K189" s="1030"/>
      <c r="L189" s="690"/>
      <c r="M189" s="1025"/>
      <c r="N189" s="1030"/>
      <c r="O189" s="692">
        <f t="shared" si="18"/>
        <v>0</v>
      </c>
      <c r="P189" s="690"/>
      <c r="Q189" s="690"/>
      <c r="R189" s="691">
        <f t="shared" si="19"/>
        <v>0</v>
      </c>
      <c r="S189" s="692">
        <f t="shared" si="20"/>
        <v>126281.71</v>
      </c>
      <c r="T189" s="693">
        <f t="shared" si="21"/>
        <v>185551</v>
      </c>
      <c r="U189" s="1035"/>
      <c r="V189" s="690"/>
      <c r="W189" s="1025"/>
      <c r="X189" s="1030"/>
      <c r="Y189" s="694">
        <f t="shared" si="22"/>
        <v>0</v>
      </c>
      <c r="Z189" s="690"/>
      <c r="AA189" s="690"/>
      <c r="AB189" s="695">
        <f t="shared" si="23"/>
        <v>0</v>
      </c>
      <c r="AC189" s="1035"/>
      <c r="AD189" s="690"/>
      <c r="AE189" s="1025"/>
      <c r="AF189" s="1030"/>
      <c r="AG189" s="690"/>
      <c r="AH189" s="690"/>
      <c r="AI189" s="696">
        <f t="shared" si="24"/>
        <v>126281.71</v>
      </c>
      <c r="AJ189" s="697">
        <f t="shared" si="25"/>
        <v>185551</v>
      </c>
      <c r="AK189" s="698"/>
      <c r="AL189" s="698"/>
    </row>
    <row r="190" spans="1:38" s="700" customFormat="1" ht="12.75" customHeight="1">
      <c r="A190" s="686" t="s">
        <v>202</v>
      </c>
      <c r="B190" s="686" t="s">
        <v>392</v>
      </c>
      <c r="C190" s="687" t="s">
        <v>367</v>
      </c>
      <c r="D190" s="687"/>
      <c r="E190" s="688">
        <v>102313</v>
      </c>
      <c r="F190" s="705">
        <v>12</v>
      </c>
      <c r="G190" s="1025">
        <v>9673185</v>
      </c>
      <c r="H190" s="690">
        <v>9590348</v>
      </c>
      <c r="I190" s="1030"/>
      <c r="J190" s="690"/>
      <c r="K190" s="1030"/>
      <c r="L190" s="690"/>
      <c r="M190" s="1025">
        <v>4548225.1399999997</v>
      </c>
      <c r="N190" s="1030">
        <v>396932.42</v>
      </c>
      <c r="O190" s="692">
        <f t="shared" si="18"/>
        <v>4945157.5599999996</v>
      </c>
      <c r="P190" s="690">
        <v>4871214</v>
      </c>
      <c r="Q190" s="690">
        <v>393633</v>
      </c>
      <c r="R190" s="691">
        <f t="shared" si="19"/>
        <v>5264847</v>
      </c>
      <c r="S190" s="692">
        <f t="shared" si="20"/>
        <v>14221410.140000001</v>
      </c>
      <c r="T190" s="693">
        <f t="shared" si="21"/>
        <v>14461562</v>
      </c>
      <c r="U190" s="1035"/>
      <c r="V190" s="690"/>
      <c r="W190" s="1025"/>
      <c r="X190" s="1030"/>
      <c r="Y190" s="694">
        <f t="shared" si="22"/>
        <v>0</v>
      </c>
      <c r="Z190" s="690"/>
      <c r="AA190" s="690"/>
      <c r="AB190" s="695">
        <f t="shared" si="23"/>
        <v>0</v>
      </c>
      <c r="AC190" s="1035"/>
      <c r="AD190" s="690"/>
      <c r="AE190" s="1025"/>
      <c r="AF190" s="1030"/>
      <c r="AG190" s="690"/>
      <c r="AH190" s="690"/>
      <c r="AI190" s="696">
        <f t="shared" si="24"/>
        <v>14221410.140000001</v>
      </c>
      <c r="AJ190" s="697">
        <f t="shared" si="25"/>
        <v>14461562</v>
      </c>
      <c r="AK190" s="698"/>
      <c r="AL190" s="698"/>
    </row>
    <row r="191" spans="1:38" s="700" customFormat="1" ht="12.75" customHeight="1">
      <c r="A191" s="686" t="s">
        <v>202</v>
      </c>
      <c r="B191" s="686" t="s">
        <v>400</v>
      </c>
      <c r="C191" s="699" t="s">
        <v>484</v>
      </c>
      <c r="D191" s="699"/>
      <c r="E191" s="688">
        <v>102313</v>
      </c>
      <c r="F191" s="705">
        <v>12</v>
      </c>
      <c r="G191" s="1025"/>
      <c r="H191" s="690"/>
      <c r="I191" s="1030"/>
      <c r="J191" s="690"/>
      <c r="K191" s="1030"/>
      <c r="L191" s="690"/>
      <c r="M191" s="1025"/>
      <c r="N191" s="1030"/>
      <c r="O191" s="692">
        <f t="shared" si="18"/>
        <v>0</v>
      </c>
      <c r="P191" s="690"/>
      <c r="Q191" s="690"/>
      <c r="R191" s="691">
        <f t="shared" si="19"/>
        <v>0</v>
      </c>
      <c r="S191" s="692">
        <f t="shared" si="20"/>
        <v>0</v>
      </c>
      <c r="T191" s="693">
        <f t="shared" si="21"/>
        <v>0</v>
      </c>
      <c r="U191" s="1035"/>
      <c r="V191" s="690"/>
      <c r="W191" s="1025"/>
      <c r="X191" s="1030"/>
      <c r="Y191" s="694">
        <f t="shared" si="22"/>
        <v>0</v>
      </c>
      <c r="Z191" s="690"/>
      <c r="AA191" s="690"/>
      <c r="AB191" s="695">
        <f t="shared" si="23"/>
        <v>0</v>
      </c>
      <c r="AC191" s="1035"/>
      <c r="AD191" s="690"/>
      <c r="AE191" s="1025"/>
      <c r="AF191" s="1030"/>
      <c r="AG191" s="690"/>
      <c r="AH191" s="690"/>
      <c r="AI191" s="696">
        <f t="shared" si="24"/>
        <v>0</v>
      </c>
      <c r="AJ191" s="697">
        <f t="shared" si="25"/>
        <v>0</v>
      </c>
      <c r="AK191" s="698"/>
      <c r="AL191" s="698"/>
    </row>
    <row r="192" spans="1:38" s="700" customFormat="1" ht="12.75" customHeight="1">
      <c r="A192" s="686" t="s">
        <v>202</v>
      </c>
      <c r="B192" s="686" t="s">
        <v>400</v>
      </c>
      <c r="C192" s="701" t="s">
        <v>352</v>
      </c>
      <c r="D192" s="701"/>
      <c r="E192" s="688">
        <v>102313</v>
      </c>
      <c r="F192" s="705">
        <v>12</v>
      </c>
      <c r="G192" s="1025"/>
      <c r="H192" s="690"/>
      <c r="I192" s="1030">
        <v>23125</v>
      </c>
      <c r="J192" s="690"/>
      <c r="K192" s="1030"/>
      <c r="L192" s="690"/>
      <c r="M192" s="1025"/>
      <c r="N192" s="1030"/>
      <c r="O192" s="692">
        <f t="shared" si="18"/>
        <v>0</v>
      </c>
      <c r="P192" s="690"/>
      <c r="Q192" s="690"/>
      <c r="R192" s="691">
        <f t="shared" si="19"/>
        <v>0</v>
      </c>
      <c r="S192" s="692">
        <f t="shared" si="20"/>
        <v>23125</v>
      </c>
      <c r="T192" s="693">
        <f t="shared" si="21"/>
        <v>0</v>
      </c>
      <c r="U192" s="1035"/>
      <c r="V192" s="690"/>
      <c r="W192" s="1025"/>
      <c r="X192" s="1030"/>
      <c r="Y192" s="694">
        <f t="shared" si="22"/>
        <v>0</v>
      </c>
      <c r="Z192" s="690"/>
      <c r="AA192" s="690"/>
      <c r="AB192" s="695">
        <f t="shared" si="23"/>
        <v>0</v>
      </c>
      <c r="AC192" s="1035"/>
      <c r="AD192" s="690"/>
      <c r="AE192" s="1025"/>
      <c r="AF192" s="1030"/>
      <c r="AG192" s="690"/>
      <c r="AH192" s="690"/>
      <c r="AI192" s="696">
        <f t="shared" si="24"/>
        <v>23125</v>
      </c>
      <c r="AJ192" s="697">
        <f t="shared" si="25"/>
        <v>0</v>
      </c>
      <c r="AK192" s="698"/>
      <c r="AL192" s="698"/>
    </row>
    <row r="193" spans="1:38" s="700" customFormat="1" ht="12.75" customHeight="1">
      <c r="A193" s="686" t="s">
        <v>202</v>
      </c>
      <c r="B193" s="686" t="s">
        <v>400</v>
      </c>
      <c r="C193" s="701" t="s">
        <v>315</v>
      </c>
      <c r="D193" s="701"/>
      <c r="E193" s="688">
        <v>102313</v>
      </c>
      <c r="F193" s="705">
        <v>12</v>
      </c>
      <c r="G193" s="1025"/>
      <c r="H193" s="690"/>
      <c r="I193" s="1030">
        <v>34122</v>
      </c>
      <c r="J193" s="690">
        <v>145192</v>
      </c>
      <c r="K193" s="1030"/>
      <c r="L193" s="690"/>
      <c r="M193" s="1025"/>
      <c r="N193" s="1030"/>
      <c r="O193" s="692">
        <f t="shared" si="18"/>
        <v>0</v>
      </c>
      <c r="P193" s="690"/>
      <c r="Q193" s="690"/>
      <c r="R193" s="691">
        <f t="shared" si="19"/>
        <v>0</v>
      </c>
      <c r="S193" s="692">
        <f t="shared" si="20"/>
        <v>34122</v>
      </c>
      <c r="T193" s="693">
        <f t="shared" si="21"/>
        <v>145192</v>
      </c>
      <c r="U193" s="1035"/>
      <c r="V193" s="690"/>
      <c r="W193" s="1025"/>
      <c r="X193" s="1030"/>
      <c r="Y193" s="694">
        <f t="shared" si="22"/>
        <v>0</v>
      </c>
      <c r="Z193" s="690"/>
      <c r="AA193" s="690"/>
      <c r="AB193" s="695">
        <f t="shared" si="23"/>
        <v>0</v>
      </c>
      <c r="AC193" s="1035"/>
      <c r="AD193" s="690"/>
      <c r="AE193" s="1025"/>
      <c r="AF193" s="1030"/>
      <c r="AG193" s="690"/>
      <c r="AH193" s="690"/>
      <c r="AI193" s="696">
        <f t="shared" si="24"/>
        <v>34122</v>
      </c>
      <c r="AJ193" s="697">
        <f t="shared" si="25"/>
        <v>145192</v>
      </c>
      <c r="AK193" s="698"/>
      <c r="AL193" s="698"/>
    </row>
    <row r="194" spans="1:38" s="700" customFormat="1" ht="12.75" customHeight="1">
      <c r="A194" s="686" t="s">
        <v>202</v>
      </c>
      <c r="B194" s="686" t="s">
        <v>392</v>
      </c>
      <c r="C194" s="703" t="s">
        <v>368</v>
      </c>
      <c r="D194" s="1038" t="s">
        <v>1904</v>
      </c>
      <c r="E194" s="688">
        <v>101462</v>
      </c>
      <c r="F194" s="705">
        <v>13</v>
      </c>
      <c r="G194" s="1025">
        <v>3664286</v>
      </c>
      <c r="H194" s="690">
        <v>3679391</v>
      </c>
      <c r="I194" s="1030"/>
      <c r="J194" s="690"/>
      <c r="K194" s="1030"/>
      <c r="L194" s="690"/>
      <c r="M194" s="1025">
        <v>3429855.44</v>
      </c>
      <c r="N194" s="1030">
        <v>295300</v>
      </c>
      <c r="O194" s="692">
        <f t="shared" si="18"/>
        <v>3725155.44</v>
      </c>
      <c r="P194" s="690">
        <v>3284259</v>
      </c>
      <c r="Q194" s="690">
        <v>295030</v>
      </c>
      <c r="R194" s="691">
        <f t="shared" si="19"/>
        <v>3579289</v>
      </c>
      <c r="S194" s="692">
        <f t="shared" si="20"/>
        <v>7094141.4399999995</v>
      </c>
      <c r="T194" s="693">
        <f t="shared" si="21"/>
        <v>6963650</v>
      </c>
      <c r="U194" s="1035"/>
      <c r="V194" s="690"/>
      <c r="W194" s="1025"/>
      <c r="X194" s="1030"/>
      <c r="Y194" s="694">
        <f t="shared" si="22"/>
        <v>0</v>
      </c>
      <c r="Z194" s="690"/>
      <c r="AA194" s="690"/>
      <c r="AB194" s="695">
        <f t="shared" si="23"/>
        <v>0</v>
      </c>
      <c r="AC194" s="1035"/>
      <c r="AD194" s="690"/>
      <c r="AE194" s="1025"/>
      <c r="AF194" s="1030"/>
      <c r="AG194" s="690"/>
      <c r="AH194" s="690"/>
      <c r="AI194" s="696">
        <f t="shared" si="24"/>
        <v>7094141.4399999995</v>
      </c>
      <c r="AJ194" s="697">
        <f t="shared" si="25"/>
        <v>6963650</v>
      </c>
      <c r="AK194" s="698"/>
      <c r="AL194" s="698"/>
    </row>
    <row r="195" spans="1:38" s="700" customFormat="1" ht="12.75" customHeight="1">
      <c r="A195" s="686" t="s">
        <v>202</v>
      </c>
      <c r="B195" s="686" t="s">
        <v>400</v>
      </c>
      <c r="C195" s="699" t="s">
        <v>484</v>
      </c>
      <c r="D195" s="699"/>
      <c r="E195" s="688">
        <v>101462</v>
      </c>
      <c r="F195" s="705">
        <v>13</v>
      </c>
      <c r="G195" s="1025"/>
      <c r="H195" s="690"/>
      <c r="I195" s="1030"/>
      <c r="J195" s="690"/>
      <c r="K195" s="1030"/>
      <c r="L195" s="690"/>
      <c r="M195" s="1025"/>
      <c r="N195" s="1030"/>
      <c r="O195" s="692">
        <f t="shared" si="18"/>
        <v>0</v>
      </c>
      <c r="P195" s="690"/>
      <c r="Q195" s="690"/>
      <c r="R195" s="691">
        <f t="shared" si="19"/>
        <v>0</v>
      </c>
      <c r="S195" s="692">
        <f t="shared" si="20"/>
        <v>0</v>
      </c>
      <c r="T195" s="693">
        <f t="shared" si="21"/>
        <v>0</v>
      </c>
      <c r="U195" s="1035"/>
      <c r="V195" s="690"/>
      <c r="W195" s="1025"/>
      <c r="X195" s="1030"/>
      <c r="Y195" s="694">
        <f t="shared" si="22"/>
        <v>0</v>
      </c>
      <c r="Z195" s="690"/>
      <c r="AA195" s="690"/>
      <c r="AB195" s="695">
        <f t="shared" si="23"/>
        <v>0</v>
      </c>
      <c r="AC195" s="1035"/>
      <c r="AD195" s="690"/>
      <c r="AE195" s="1025"/>
      <c r="AF195" s="1030"/>
      <c r="AG195" s="690"/>
      <c r="AH195" s="690"/>
      <c r="AI195" s="696">
        <f t="shared" si="24"/>
        <v>0</v>
      </c>
      <c r="AJ195" s="697">
        <f t="shared" si="25"/>
        <v>0</v>
      </c>
      <c r="AK195" s="698"/>
      <c r="AL195" s="698"/>
    </row>
    <row r="196" spans="1:38" s="700" customFormat="1" ht="12.75" customHeight="1">
      <c r="A196" s="686" t="s">
        <v>202</v>
      </c>
      <c r="B196" s="686" t="s">
        <v>400</v>
      </c>
      <c r="C196" s="701" t="s">
        <v>352</v>
      </c>
      <c r="D196" s="701"/>
      <c r="E196" s="688">
        <v>101462</v>
      </c>
      <c r="F196" s="705">
        <v>13</v>
      </c>
      <c r="G196" s="1025"/>
      <c r="H196" s="690"/>
      <c r="I196" s="1030">
        <v>258538</v>
      </c>
      <c r="J196" s="690">
        <v>25000</v>
      </c>
      <c r="K196" s="1030"/>
      <c r="L196" s="690"/>
      <c r="M196" s="1025"/>
      <c r="N196" s="1030"/>
      <c r="O196" s="692">
        <f t="shared" si="18"/>
        <v>0</v>
      </c>
      <c r="P196" s="690"/>
      <c r="Q196" s="690"/>
      <c r="R196" s="691">
        <f t="shared" si="19"/>
        <v>0</v>
      </c>
      <c r="S196" s="692">
        <f t="shared" si="20"/>
        <v>258538</v>
      </c>
      <c r="T196" s="693">
        <f t="shared" si="21"/>
        <v>25000</v>
      </c>
      <c r="U196" s="1035"/>
      <c r="V196" s="690"/>
      <c r="W196" s="1025"/>
      <c r="X196" s="1030"/>
      <c r="Y196" s="694">
        <f t="shared" si="22"/>
        <v>0</v>
      </c>
      <c r="Z196" s="690"/>
      <c r="AA196" s="690"/>
      <c r="AB196" s="695">
        <f t="shared" si="23"/>
        <v>0</v>
      </c>
      <c r="AC196" s="1035"/>
      <c r="AD196" s="690"/>
      <c r="AE196" s="1025"/>
      <c r="AF196" s="1030"/>
      <c r="AG196" s="690"/>
      <c r="AH196" s="690"/>
      <c r="AI196" s="696">
        <f t="shared" si="24"/>
        <v>258538</v>
      </c>
      <c r="AJ196" s="697">
        <f t="shared" si="25"/>
        <v>25000</v>
      </c>
      <c r="AK196" s="698"/>
      <c r="AL196" s="698"/>
    </row>
    <row r="197" spans="1:38" s="700" customFormat="1" ht="12.75" customHeight="1">
      <c r="A197" s="686" t="s">
        <v>202</v>
      </c>
      <c r="B197" s="686" t="s">
        <v>400</v>
      </c>
      <c r="C197" s="701" t="s">
        <v>315</v>
      </c>
      <c r="D197" s="701"/>
      <c r="E197" s="688">
        <v>101462</v>
      </c>
      <c r="F197" s="705">
        <v>13</v>
      </c>
      <c r="G197" s="1025"/>
      <c r="H197" s="690"/>
      <c r="I197" s="1030">
        <v>205041</v>
      </c>
      <c r="J197" s="690">
        <v>125889</v>
      </c>
      <c r="K197" s="1030"/>
      <c r="L197" s="690"/>
      <c r="M197" s="1025"/>
      <c r="N197" s="1030"/>
      <c r="O197" s="692">
        <f t="shared" si="18"/>
        <v>0</v>
      </c>
      <c r="P197" s="690"/>
      <c r="Q197" s="690"/>
      <c r="R197" s="691">
        <f t="shared" si="19"/>
        <v>0</v>
      </c>
      <c r="S197" s="692">
        <f t="shared" si="20"/>
        <v>205041</v>
      </c>
      <c r="T197" s="693">
        <f t="shared" si="21"/>
        <v>125889</v>
      </c>
      <c r="U197" s="1035"/>
      <c r="V197" s="690"/>
      <c r="W197" s="1025"/>
      <c r="X197" s="1030"/>
      <c r="Y197" s="694">
        <f t="shared" si="22"/>
        <v>0</v>
      </c>
      <c r="Z197" s="690"/>
      <c r="AA197" s="690"/>
      <c r="AB197" s="695">
        <f t="shared" si="23"/>
        <v>0</v>
      </c>
      <c r="AC197" s="1035"/>
      <c r="AD197" s="690"/>
      <c r="AE197" s="1025"/>
      <c r="AF197" s="1030"/>
      <c r="AG197" s="690"/>
      <c r="AH197" s="690"/>
      <c r="AI197" s="696">
        <f t="shared" si="24"/>
        <v>205041</v>
      </c>
      <c r="AJ197" s="697">
        <f t="shared" si="25"/>
        <v>125889</v>
      </c>
      <c r="AK197" s="698"/>
      <c r="AL197" s="698"/>
    </row>
    <row r="198" spans="1:38" s="700" customFormat="1" ht="12.75" customHeight="1">
      <c r="A198" s="686" t="s">
        <v>202</v>
      </c>
      <c r="B198" s="686" t="s">
        <v>392</v>
      </c>
      <c r="C198" s="687" t="s">
        <v>369</v>
      </c>
      <c r="D198" s="687"/>
      <c r="E198" s="688">
        <v>101471</v>
      </c>
      <c r="F198" s="705">
        <v>13</v>
      </c>
      <c r="G198" s="1025">
        <v>6164813</v>
      </c>
      <c r="H198" s="690">
        <v>6110765</v>
      </c>
      <c r="I198" s="1030"/>
      <c r="J198" s="690"/>
      <c r="K198" s="1030"/>
      <c r="L198" s="690"/>
      <c r="M198" s="1025">
        <v>2219176.75</v>
      </c>
      <c r="N198" s="1030"/>
      <c r="O198" s="692">
        <f t="shared" si="18"/>
        <v>2219176.75</v>
      </c>
      <c r="P198" s="690">
        <v>2308800</v>
      </c>
      <c r="Q198" s="690"/>
      <c r="R198" s="691">
        <f t="shared" si="19"/>
        <v>2308800</v>
      </c>
      <c r="S198" s="692">
        <f t="shared" si="20"/>
        <v>8383989.75</v>
      </c>
      <c r="T198" s="693">
        <f t="shared" si="21"/>
        <v>8419565</v>
      </c>
      <c r="U198" s="1035"/>
      <c r="V198" s="690"/>
      <c r="W198" s="1025"/>
      <c r="X198" s="1030"/>
      <c r="Y198" s="694">
        <f t="shared" si="22"/>
        <v>0</v>
      </c>
      <c r="Z198" s="690"/>
      <c r="AA198" s="690"/>
      <c r="AB198" s="695">
        <f t="shared" si="23"/>
        <v>0</v>
      </c>
      <c r="AC198" s="1035"/>
      <c r="AD198" s="690"/>
      <c r="AE198" s="1025"/>
      <c r="AF198" s="1030"/>
      <c r="AG198" s="690"/>
      <c r="AH198" s="690"/>
      <c r="AI198" s="696">
        <f t="shared" si="24"/>
        <v>8383989.75</v>
      </c>
      <c r="AJ198" s="697">
        <f t="shared" si="25"/>
        <v>8419565</v>
      </c>
      <c r="AK198" s="698"/>
      <c r="AL198" s="698"/>
    </row>
    <row r="199" spans="1:38" s="700" customFormat="1" ht="12.75" customHeight="1">
      <c r="A199" s="686" t="s">
        <v>202</v>
      </c>
      <c r="B199" s="686" t="s">
        <v>400</v>
      </c>
      <c r="C199" s="699" t="s">
        <v>484</v>
      </c>
      <c r="D199" s="699"/>
      <c r="E199" s="688">
        <v>101471</v>
      </c>
      <c r="F199" s="705">
        <v>13</v>
      </c>
      <c r="G199" s="1025"/>
      <c r="H199" s="690"/>
      <c r="I199" s="1030"/>
      <c r="J199" s="690"/>
      <c r="K199" s="1030"/>
      <c r="L199" s="690"/>
      <c r="M199" s="1025"/>
      <c r="N199" s="1030"/>
      <c r="O199" s="692">
        <f t="shared" si="18"/>
        <v>0</v>
      </c>
      <c r="P199" s="690"/>
      <c r="Q199" s="690"/>
      <c r="R199" s="691">
        <f t="shared" si="19"/>
        <v>0</v>
      </c>
      <c r="S199" s="692">
        <f t="shared" si="20"/>
        <v>0</v>
      </c>
      <c r="T199" s="693">
        <f t="shared" si="21"/>
        <v>0</v>
      </c>
      <c r="U199" s="1035"/>
      <c r="V199" s="690"/>
      <c r="W199" s="1025"/>
      <c r="X199" s="1030"/>
      <c r="Y199" s="694">
        <f t="shared" si="22"/>
        <v>0</v>
      </c>
      <c r="Z199" s="690"/>
      <c r="AA199" s="690"/>
      <c r="AB199" s="695">
        <f t="shared" si="23"/>
        <v>0</v>
      </c>
      <c r="AC199" s="1035"/>
      <c r="AD199" s="690"/>
      <c r="AE199" s="1025"/>
      <c r="AF199" s="1030"/>
      <c r="AG199" s="690"/>
      <c r="AH199" s="690"/>
      <c r="AI199" s="696">
        <f t="shared" si="24"/>
        <v>0</v>
      </c>
      <c r="AJ199" s="697">
        <f t="shared" si="25"/>
        <v>0</v>
      </c>
      <c r="AK199" s="698"/>
      <c r="AL199" s="698"/>
    </row>
    <row r="200" spans="1:38" s="700" customFormat="1" ht="12.75" customHeight="1">
      <c r="A200" s="686" t="s">
        <v>202</v>
      </c>
      <c r="B200" s="686" t="s">
        <v>400</v>
      </c>
      <c r="C200" s="701" t="s">
        <v>352</v>
      </c>
      <c r="D200" s="701"/>
      <c r="E200" s="688">
        <v>101471</v>
      </c>
      <c r="F200" s="705">
        <v>13</v>
      </c>
      <c r="G200" s="1025"/>
      <c r="H200" s="690"/>
      <c r="I200" s="1030"/>
      <c r="J200" s="690">
        <v>92729</v>
      </c>
      <c r="K200" s="1030"/>
      <c r="L200" s="690"/>
      <c r="M200" s="1025"/>
      <c r="N200" s="1030"/>
      <c r="O200" s="692">
        <f t="shared" si="18"/>
        <v>0</v>
      </c>
      <c r="P200" s="690"/>
      <c r="Q200" s="690"/>
      <c r="R200" s="691">
        <f t="shared" si="19"/>
        <v>0</v>
      </c>
      <c r="S200" s="692">
        <f t="shared" si="20"/>
        <v>0</v>
      </c>
      <c r="T200" s="693">
        <f t="shared" si="21"/>
        <v>92729</v>
      </c>
      <c r="U200" s="1035"/>
      <c r="V200" s="690"/>
      <c r="W200" s="1025"/>
      <c r="X200" s="1030"/>
      <c r="Y200" s="694">
        <f t="shared" si="22"/>
        <v>0</v>
      </c>
      <c r="Z200" s="690"/>
      <c r="AA200" s="690"/>
      <c r="AB200" s="695">
        <f t="shared" si="23"/>
        <v>0</v>
      </c>
      <c r="AC200" s="1035"/>
      <c r="AD200" s="690"/>
      <c r="AE200" s="1025"/>
      <c r="AF200" s="1030"/>
      <c r="AG200" s="690"/>
      <c r="AH200" s="690"/>
      <c r="AI200" s="696">
        <f t="shared" si="24"/>
        <v>0</v>
      </c>
      <c r="AJ200" s="697">
        <f t="shared" si="25"/>
        <v>92729</v>
      </c>
      <c r="AK200" s="698"/>
      <c r="AL200" s="698"/>
    </row>
    <row r="201" spans="1:38" s="700" customFormat="1" ht="12.75" customHeight="1">
      <c r="A201" s="686" t="s">
        <v>202</v>
      </c>
      <c r="B201" s="686" t="s">
        <v>392</v>
      </c>
      <c r="C201" s="687" t="s">
        <v>370</v>
      </c>
      <c r="D201" s="687"/>
      <c r="E201" s="688">
        <v>101994</v>
      </c>
      <c r="F201" s="705">
        <v>13</v>
      </c>
      <c r="G201" s="1025">
        <v>4177612</v>
      </c>
      <c r="H201" s="690">
        <v>4141837</v>
      </c>
      <c r="I201" s="1030"/>
      <c r="J201" s="690"/>
      <c r="K201" s="1030"/>
      <c r="L201" s="690"/>
      <c r="M201" s="1025">
        <v>2364866.15</v>
      </c>
      <c r="N201" s="1025">
        <v>248744.59</v>
      </c>
      <c r="O201" s="692">
        <f t="shared" si="18"/>
        <v>2613610.7399999998</v>
      </c>
      <c r="P201" s="690">
        <v>2334439</v>
      </c>
      <c r="Q201" s="690">
        <v>249890</v>
      </c>
      <c r="R201" s="691">
        <f t="shared" si="19"/>
        <v>2584329</v>
      </c>
      <c r="S201" s="692">
        <f t="shared" si="20"/>
        <v>6542478.1500000004</v>
      </c>
      <c r="T201" s="693">
        <f t="shared" si="21"/>
        <v>6476276</v>
      </c>
      <c r="U201" s="1035"/>
      <c r="V201" s="690"/>
      <c r="W201" s="1025"/>
      <c r="X201" s="1030"/>
      <c r="Y201" s="694">
        <f t="shared" si="22"/>
        <v>0</v>
      </c>
      <c r="Z201" s="690"/>
      <c r="AA201" s="690"/>
      <c r="AB201" s="695">
        <f t="shared" si="23"/>
        <v>0</v>
      </c>
      <c r="AC201" s="1035"/>
      <c r="AD201" s="690"/>
      <c r="AE201" s="1025"/>
      <c r="AF201" s="1030"/>
      <c r="AG201" s="690"/>
      <c r="AH201" s="690"/>
      <c r="AI201" s="696">
        <f t="shared" si="24"/>
        <v>6542478.1500000004</v>
      </c>
      <c r="AJ201" s="697">
        <f t="shared" si="25"/>
        <v>6476276</v>
      </c>
      <c r="AK201" s="698"/>
      <c r="AL201" s="698"/>
    </row>
    <row r="202" spans="1:38" s="700" customFormat="1" ht="12.75" customHeight="1">
      <c r="A202" s="686" t="s">
        <v>202</v>
      </c>
      <c r="B202" s="686" t="s">
        <v>400</v>
      </c>
      <c r="C202" s="699" t="s">
        <v>484</v>
      </c>
      <c r="D202" s="699"/>
      <c r="E202" s="688">
        <v>101994</v>
      </c>
      <c r="F202" s="705">
        <v>13</v>
      </c>
      <c r="G202" s="1025"/>
      <c r="H202" s="690"/>
      <c r="I202" s="1030"/>
      <c r="J202" s="690"/>
      <c r="K202" s="1030"/>
      <c r="L202" s="690"/>
      <c r="M202" s="1025"/>
      <c r="N202" s="1030"/>
      <c r="O202" s="692">
        <f t="shared" ref="O202:O265" si="26">SUM(M202:N202)</f>
        <v>0</v>
      </c>
      <c r="P202" s="690"/>
      <c r="Q202" s="690"/>
      <c r="R202" s="691">
        <f t="shared" ref="R202:R265" si="27">SUM(P202:Q202)</f>
        <v>0</v>
      </c>
      <c r="S202" s="692">
        <f t="shared" ref="S202:S265" si="28">SUM(G202,I202,K202,M202)</f>
        <v>0</v>
      </c>
      <c r="T202" s="693">
        <f t="shared" ref="T202:T265" si="29">SUM(H202,J202,L202,P202)</f>
        <v>0</v>
      </c>
      <c r="U202" s="1035"/>
      <c r="V202" s="690"/>
      <c r="W202" s="1025"/>
      <c r="X202" s="1030"/>
      <c r="Y202" s="694">
        <f t="shared" ref="Y202:Y265" si="30">SUM(W202:X202)</f>
        <v>0</v>
      </c>
      <c r="Z202" s="690"/>
      <c r="AA202" s="690"/>
      <c r="AB202" s="695">
        <f t="shared" ref="AB202:AB265" si="31">SUM(Z202:AA202)</f>
        <v>0</v>
      </c>
      <c r="AC202" s="1035"/>
      <c r="AD202" s="690"/>
      <c r="AE202" s="1025"/>
      <c r="AF202" s="1030"/>
      <c r="AG202" s="690"/>
      <c r="AH202" s="690"/>
      <c r="AI202" s="696">
        <f t="shared" ref="AI202:AI265" si="32">SUM(S202,U202,W202,AC202,AE202)</f>
        <v>0</v>
      </c>
      <c r="AJ202" s="697">
        <f t="shared" ref="AJ202:AJ265" si="33">SUM(T202,V202,Z202,AD202,AG202)</f>
        <v>0</v>
      </c>
      <c r="AK202" s="698"/>
      <c r="AL202" s="698"/>
    </row>
    <row r="203" spans="1:38" s="700" customFormat="1" ht="12.75" customHeight="1">
      <c r="A203" s="686" t="s">
        <v>202</v>
      </c>
      <c r="B203" s="686" t="s">
        <v>400</v>
      </c>
      <c r="C203" s="701" t="s">
        <v>352</v>
      </c>
      <c r="D203" s="701"/>
      <c r="E203" s="688">
        <v>101994</v>
      </c>
      <c r="F203" s="705">
        <v>13</v>
      </c>
      <c r="G203" s="1025"/>
      <c r="H203" s="690"/>
      <c r="I203" s="1030">
        <v>280187.40000000002</v>
      </c>
      <c r="J203" s="690">
        <v>4990</v>
      </c>
      <c r="K203" s="1030"/>
      <c r="L203" s="690"/>
      <c r="M203" s="1025"/>
      <c r="N203" s="1030"/>
      <c r="O203" s="692">
        <f t="shared" si="26"/>
        <v>0</v>
      </c>
      <c r="P203" s="690"/>
      <c r="Q203" s="690"/>
      <c r="R203" s="691">
        <f t="shared" si="27"/>
        <v>0</v>
      </c>
      <c r="S203" s="692">
        <f t="shared" si="28"/>
        <v>280187.40000000002</v>
      </c>
      <c r="T203" s="693">
        <f t="shared" si="29"/>
        <v>4990</v>
      </c>
      <c r="U203" s="1035"/>
      <c r="V203" s="690"/>
      <c r="W203" s="1025"/>
      <c r="X203" s="1030"/>
      <c r="Y203" s="694">
        <f t="shared" si="30"/>
        <v>0</v>
      </c>
      <c r="Z203" s="690"/>
      <c r="AA203" s="690"/>
      <c r="AB203" s="695">
        <f t="shared" si="31"/>
        <v>0</v>
      </c>
      <c r="AC203" s="1035"/>
      <c r="AD203" s="690"/>
      <c r="AE203" s="1025"/>
      <c r="AF203" s="1030"/>
      <c r="AG203" s="690"/>
      <c r="AH203" s="690"/>
      <c r="AI203" s="696">
        <f t="shared" si="32"/>
        <v>280187.40000000002</v>
      </c>
      <c r="AJ203" s="697">
        <f t="shared" si="33"/>
        <v>4990</v>
      </c>
      <c r="AK203" s="698"/>
      <c r="AL203" s="698"/>
    </row>
    <row r="204" spans="1:38" s="700" customFormat="1" ht="12.75" customHeight="1">
      <c r="A204" s="686" t="s">
        <v>202</v>
      </c>
      <c r="B204" s="686" t="s">
        <v>400</v>
      </c>
      <c r="C204" s="701" t="s">
        <v>315</v>
      </c>
      <c r="D204" s="701"/>
      <c r="E204" s="688">
        <v>101994</v>
      </c>
      <c r="F204" s="705">
        <v>13</v>
      </c>
      <c r="G204" s="1025"/>
      <c r="H204" s="690"/>
      <c r="I204" s="1030">
        <v>128509.11</v>
      </c>
      <c r="J204" s="690">
        <v>280482</v>
      </c>
      <c r="K204" s="1030"/>
      <c r="L204" s="690"/>
      <c r="M204" s="1025"/>
      <c r="N204" s="1030"/>
      <c r="O204" s="692">
        <f t="shared" si="26"/>
        <v>0</v>
      </c>
      <c r="P204" s="690"/>
      <c r="Q204" s="690"/>
      <c r="R204" s="691">
        <f t="shared" si="27"/>
        <v>0</v>
      </c>
      <c r="S204" s="692">
        <f t="shared" si="28"/>
        <v>128509.11</v>
      </c>
      <c r="T204" s="693">
        <f t="shared" si="29"/>
        <v>280482</v>
      </c>
      <c r="U204" s="1035"/>
      <c r="V204" s="690"/>
      <c r="W204" s="1025"/>
      <c r="X204" s="1030"/>
      <c r="Y204" s="694">
        <f t="shared" si="30"/>
        <v>0</v>
      </c>
      <c r="Z204" s="690"/>
      <c r="AA204" s="690"/>
      <c r="AB204" s="695">
        <f t="shared" si="31"/>
        <v>0</v>
      </c>
      <c r="AC204" s="1035"/>
      <c r="AD204" s="690"/>
      <c r="AE204" s="1025"/>
      <c r="AF204" s="1030"/>
      <c r="AG204" s="690"/>
      <c r="AH204" s="690"/>
      <c r="AI204" s="696">
        <f t="shared" si="32"/>
        <v>128509.11</v>
      </c>
      <c r="AJ204" s="697">
        <f t="shared" si="33"/>
        <v>280482</v>
      </c>
      <c r="AK204" s="698"/>
      <c r="AL204" s="698"/>
    </row>
    <row r="205" spans="1:38" s="700" customFormat="1" ht="12.75" customHeight="1">
      <c r="A205" s="686" t="s">
        <v>202</v>
      </c>
      <c r="B205" s="686" t="s">
        <v>430</v>
      </c>
      <c r="C205" s="706" t="s">
        <v>311</v>
      </c>
      <c r="D205" s="706"/>
      <c r="E205" s="688">
        <v>101648</v>
      </c>
      <c r="F205" s="705">
        <v>15</v>
      </c>
      <c r="G205" s="1025"/>
      <c r="H205" s="690"/>
      <c r="I205" s="1030"/>
      <c r="J205" s="690"/>
      <c r="K205" s="1030"/>
      <c r="L205" s="690"/>
      <c r="M205" s="1025"/>
      <c r="N205" s="1030"/>
      <c r="O205" s="692">
        <f t="shared" si="26"/>
        <v>0</v>
      </c>
      <c r="P205" s="690"/>
      <c r="Q205" s="690"/>
      <c r="R205" s="691">
        <f t="shared" si="27"/>
        <v>0</v>
      </c>
      <c r="S205" s="692">
        <f t="shared" si="28"/>
        <v>0</v>
      </c>
      <c r="T205" s="693">
        <f t="shared" si="29"/>
        <v>0</v>
      </c>
      <c r="U205" s="1025">
        <v>5925939</v>
      </c>
      <c r="V205" s="690">
        <v>5875192</v>
      </c>
      <c r="W205" s="1025">
        <v>4711616.91</v>
      </c>
      <c r="X205" s="1025">
        <v>181829.22</v>
      </c>
      <c r="Y205" s="694">
        <f t="shared" si="30"/>
        <v>4893446.13</v>
      </c>
      <c r="Z205" s="690">
        <v>4208010</v>
      </c>
      <c r="AA205" s="690">
        <v>179300</v>
      </c>
      <c r="AB205" s="695">
        <f t="shared" si="31"/>
        <v>4387310</v>
      </c>
      <c r="AC205" s="1035"/>
      <c r="AD205" s="690"/>
      <c r="AE205" s="1025"/>
      <c r="AF205" s="1030"/>
      <c r="AG205" s="690"/>
      <c r="AH205" s="690"/>
      <c r="AI205" s="696">
        <f t="shared" si="32"/>
        <v>10637555.91</v>
      </c>
      <c r="AJ205" s="697">
        <f t="shared" si="33"/>
        <v>10083202</v>
      </c>
      <c r="AK205" s="698"/>
      <c r="AL205" s="698"/>
    </row>
    <row r="206" spans="1:38" s="700" customFormat="1" ht="12.75" customHeight="1">
      <c r="A206" s="686" t="s">
        <v>202</v>
      </c>
      <c r="B206" s="686" t="s">
        <v>401</v>
      </c>
      <c r="C206" s="707" t="s">
        <v>290</v>
      </c>
      <c r="D206" s="707"/>
      <c r="E206" s="688"/>
      <c r="F206" s="689"/>
      <c r="G206" s="1025"/>
      <c r="H206" s="690"/>
      <c r="I206" s="1030"/>
      <c r="J206" s="690"/>
      <c r="K206" s="1030"/>
      <c r="L206" s="690"/>
      <c r="M206" s="1025"/>
      <c r="N206" s="1030"/>
      <c r="O206" s="692">
        <f t="shared" si="26"/>
        <v>0</v>
      </c>
      <c r="P206" s="690"/>
      <c r="Q206" s="690"/>
      <c r="R206" s="691">
        <f t="shared" si="27"/>
        <v>0</v>
      </c>
      <c r="S206" s="692">
        <f t="shared" si="28"/>
        <v>0</v>
      </c>
      <c r="T206" s="693">
        <f t="shared" si="29"/>
        <v>0</v>
      </c>
      <c r="U206" s="1035"/>
      <c r="V206" s="690"/>
      <c r="W206" s="1025"/>
      <c r="X206" s="1030"/>
      <c r="Y206" s="694">
        <f t="shared" si="30"/>
        <v>0</v>
      </c>
      <c r="Z206" s="690"/>
      <c r="AA206" s="690"/>
      <c r="AB206" s="695">
        <f t="shared" si="31"/>
        <v>0</v>
      </c>
      <c r="AC206" s="1035"/>
      <c r="AD206" s="690"/>
      <c r="AE206" s="1025"/>
      <c r="AF206" s="1030"/>
      <c r="AG206" s="690"/>
      <c r="AH206" s="690"/>
      <c r="AI206" s="696">
        <f t="shared" si="32"/>
        <v>0</v>
      </c>
      <c r="AJ206" s="697">
        <f t="shared" si="33"/>
        <v>0</v>
      </c>
      <c r="AK206" s="698"/>
      <c r="AL206" s="698"/>
    </row>
    <row r="207" spans="1:38" s="700" customFormat="1" ht="12.75" customHeight="1">
      <c r="A207" s="686" t="s">
        <v>202</v>
      </c>
      <c r="B207" s="686" t="s">
        <v>406</v>
      </c>
      <c r="C207" s="699" t="s">
        <v>441</v>
      </c>
      <c r="D207" s="699"/>
      <c r="E207" s="708"/>
      <c r="F207" s="709"/>
      <c r="G207" s="1025"/>
      <c r="H207" s="690"/>
      <c r="I207" s="1030"/>
      <c r="J207" s="690"/>
      <c r="K207" s="1030"/>
      <c r="L207" s="690"/>
      <c r="M207" s="1025"/>
      <c r="N207" s="1030"/>
      <c r="O207" s="692">
        <f t="shared" si="26"/>
        <v>0</v>
      </c>
      <c r="P207" s="690"/>
      <c r="Q207" s="690"/>
      <c r="R207" s="691">
        <f t="shared" si="27"/>
        <v>0</v>
      </c>
      <c r="S207" s="692">
        <f t="shared" si="28"/>
        <v>0</v>
      </c>
      <c r="T207" s="693">
        <f t="shared" si="29"/>
        <v>0</v>
      </c>
      <c r="U207" s="1035"/>
      <c r="V207" s="690"/>
      <c r="W207" s="1025"/>
      <c r="X207" s="1030"/>
      <c r="Y207" s="694">
        <f t="shared" si="30"/>
        <v>0</v>
      </c>
      <c r="Z207" s="690"/>
      <c r="AA207" s="690"/>
      <c r="AB207" s="695">
        <f t="shared" si="31"/>
        <v>0</v>
      </c>
      <c r="AC207" s="1035"/>
      <c r="AD207" s="690"/>
      <c r="AE207" s="1025"/>
      <c r="AF207" s="1030"/>
      <c r="AG207" s="690"/>
      <c r="AH207" s="690"/>
      <c r="AI207" s="696">
        <f t="shared" si="32"/>
        <v>0</v>
      </c>
      <c r="AJ207" s="697">
        <f t="shared" si="33"/>
        <v>0</v>
      </c>
      <c r="AK207" s="698"/>
      <c r="AL207" s="698"/>
    </row>
    <row r="208" spans="1:38" s="700" customFormat="1" ht="12.75" customHeight="1">
      <c r="A208" s="686" t="s">
        <v>202</v>
      </c>
      <c r="B208" s="686" t="s">
        <v>406</v>
      </c>
      <c r="C208" s="701" t="s">
        <v>371</v>
      </c>
      <c r="D208" s="701"/>
      <c r="E208" s="708"/>
      <c r="F208" s="709"/>
      <c r="G208" s="1025"/>
      <c r="H208" s="690"/>
      <c r="I208" s="1030">
        <v>1200824</v>
      </c>
      <c r="J208" s="818">
        <v>1184945</v>
      </c>
      <c r="K208" s="1030"/>
      <c r="L208" s="690"/>
      <c r="M208" s="1025"/>
      <c r="N208" s="1030"/>
      <c r="O208" s="692">
        <f t="shared" si="26"/>
        <v>0</v>
      </c>
      <c r="P208" s="690"/>
      <c r="Q208" s="690"/>
      <c r="R208" s="691">
        <f t="shared" si="27"/>
        <v>0</v>
      </c>
      <c r="S208" s="692">
        <f t="shared" si="28"/>
        <v>1200824</v>
      </c>
      <c r="T208" s="693">
        <f t="shared" si="29"/>
        <v>1184945</v>
      </c>
      <c r="U208" s="1035"/>
      <c r="V208" s="690"/>
      <c r="W208" s="1025"/>
      <c r="X208" s="1030"/>
      <c r="Y208" s="694">
        <f t="shared" si="30"/>
        <v>0</v>
      </c>
      <c r="Z208" s="690"/>
      <c r="AA208" s="690"/>
      <c r="AB208" s="695">
        <f t="shared" si="31"/>
        <v>0</v>
      </c>
      <c r="AC208" s="1035"/>
      <c r="AD208" s="690"/>
      <c r="AE208" s="1025"/>
      <c r="AF208" s="1030"/>
      <c r="AG208" s="690"/>
      <c r="AH208" s="690"/>
      <c r="AI208" s="696">
        <f t="shared" si="32"/>
        <v>1200824</v>
      </c>
      <c r="AJ208" s="697">
        <f t="shared" si="33"/>
        <v>1184945</v>
      </c>
      <c r="AK208" s="698"/>
      <c r="AL208" s="698"/>
    </row>
    <row r="209" spans="1:38" s="700" customFormat="1" ht="12.75" customHeight="1">
      <c r="A209" s="686" t="s">
        <v>202</v>
      </c>
      <c r="B209" s="686" t="s">
        <v>406</v>
      </c>
      <c r="C209" s="701" t="s">
        <v>312</v>
      </c>
      <c r="D209" s="701"/>
      <c r="E209" s="708"/>
      <c r="F209" s="709"/>
      <c r="G209" s="1025"/>
      <c r="H209" s="690"/>
      <c r="I209" s="1030">
        <v>3499430</v>
      </c>
      <c r="J209" s="690">
        <v>3469463</v>
      </c>
      <c r="K209" s="1030"/>
      <c r="L209" s="690"/>
      <c r="M209" s="1025"/>
      <c r="N209" s="1030"/>
      <c r="O209" s="692">
        <f t="shared" si="26"/>
        <v>0</v>
      </c>
      <c r="P209" s="690"/>
      <c r="Q209" s="690"/>
      <c r="R209" s="691">
        <f t="shared" si="27"/>
        <v>0</v>
      </c>
      <c r="S209" s="692">
        <f t="shared" si="28"/>
        <v>3499430</v>
      </c>
      <c r="T209" s="693">
        <f t="shared" si="29"/>
        <v>3469463</v>
      </c>
      <c r="U209" s="1035"/>
      <c r="V209" s="690"/>
      <c r="W209" s="1025"/>
      <c r="X209" s="1030"/>
      <c r="Y209" s="694">
        <f t="shared" si="30"/>
        <v>0</v>
      </c>
      <c r="Z209" s="690"/>
      <c r="AA209" s="690"/>
      <c r="AB209" s="695">
        <f t="shared" si="31"/>
        <v>0</v>
      </c>
      <c r="AC209" s="1035"/>
      <c r="AD209" s="690"/>
      <c r="AE209" s="1025"/>
      <c r="AF209" s="1030"/>
      <c r="AG209" s="690"/>
      <c r="AH209" s="690"/>
      <c r="AI209" s="696">
        <f t="shared" si="32"/>
        <v>3499430</v>
      </c>
      <c r="AJ209" s="697">
        <f t="shared" si="33"/>
        <v>3469463</v>
      </c>
      <c r="AK209" s="698"/>
      <c r="AL209" s="698"/>
    </row>
    <row r="210" spans="1:38" s="700" customFormat="1" ht="12.75" customHeight="1">
      <c r="A210" s="686" t="s">
        <v>202</v>
      </c>
      <c r="B210" s="686" t="s">
        <v>407</v>
      </c>
      <c r="C210" s="699" t="s">
        <v>484</v>
      </c>
      <c r="D210" s="699"/>
      <c r="E210" s="708"/>
      <c r="F210" s="709"/>
      <c r="G210" s="1025"/>
      <c r="H210" s="690"/>
      <c r="I210" s="1030"/>
      <c r="J210" s="690"/>
      <c r="K210" s="1030"/>
      <c r="L210" s="690"/>
      <c r="M210" s="1025"/>
      <c r="N210" s="1030"/>
      <c r="O210" s="692">
        <f t="shared" si="26"/>
        <v>0</v>
      </c>
      <c r="P210" s="690"/>
      <c r="Q210" s="690"/>
      <c r="R210" s="691">
        <f t="shared" si="27"/>
        <v>0</v>
      </c>
      <c r="S210" s="692">
        <f t="shared" si="28"/>
        <v>0</v>
      </c>
      <c r="T210" s="693">
        <f t="shared" si="29"/>
        <v>0</v>
      </c>
      <c r="U210" s="1035"/>
      <c r="V210" s="690"/>
      <c r="W210" s="1025"/>
      <c r="X210" s="1030"/>
      <c r="Y210" s="694">
        <f t="shared" si="30"/>
        <v>0</v>
      </c>
      <c r="Z210" s="690"/>
      <c r="AA210" s="690"/>
      <c r="AB210" s="695">
        <f t="shared" si="31"/>
        <v>0</v>
      </c>
      <c r="AC210" s="1035"/>
      <c r="AD210" s="690"/>
      <c r="AE210" s="1025"/>
      <c r="AF210" s="1030"/>
      <c r="AG210" s="690"/>
      <c r="AH210" s="690"/>
      <c r="AI210" s="696">
        <f t="shared" si="32"/>
        <v>0</v>
      </c>
      <c r="AJ210" s="697">
        <f t="shared" si="33"/>
        <v>0</v>
      </c>
      <c r="AK210" s="698"/>
      <c r="AL210" s="698"/>
    </row>
    <row r="211" spans="1:38" s="700" customFormat="1" ht="12.75" customHeight="1">
      <c r="A211" s="686" t="s">
        <v>202</v>
      </c>
      <c r="B211" s="686" t="s">
        <v>407</v>
      </c>
      <c r="C211" s="701" t="s">
        <v>372</v>
      </c>
      <c r="D211" s="701"/>
      <c r="E211" s="708"/>
      <c r="F211" s="709"/>
      <c r="G211" s="1025"/>
      <c r="H211" s="690"/>
      <c r="I211" s="1030">
        <v>259124</v>
      </c>
      <c r="J211" s="818">
        <v>313821</v>
      </c>
      <c r="K211" s="1030"/>
      <c r="L211" s="690"/>
      <c r="M211" s="1025"/>
      <c r="N211" s="1030"/>
      <c r="O211" s="692">
        <f t="shared" si="26"/>
        <v>0</v>
      </c>
      <c r="P211" s="690"/>
      <c r="Q211" s="690"/>
      <c r="R211" s="691">
        <f t="shared" si="27"/>
        <v>0</v>
      </c>
      <c r="S211" s="692">
        <f t="shared" si="28"/>
        <v>259124</v>
      </c>
      <c r="T211" s="693">
        <f t="shared" si="29"/>
        <v>313821</v>
      </c>
      <c r="U211" s="1035"/>
      <c r="V211" s="690"/>
      <c r="W211" s="1025"/>
      <c r="X211" s="1030"/>
      <c r="Y211" s="694">
        <f t="shared" si="30"/>
        <v>0</v>
      </c>
      <c r="Z211" s="690"/>
      <c r="AA211" s="690"/>
      <c r="AB211" s="695">
        <f t="shared" si="31"/>
        <v>0</v>
      </c>
      <c r="AC211" s="1035"/>
      <c r="AD211" s="690"/>
      <c r="AE211" s="1025"/>
      <c r="AF211" s="1030"/>
      <c r="AG211" s="690"/>
      <c r="AH211" s="690"/>
      <c r="AI211" s="696">
        <f t="shared" si="32"/>
        <v>259124</v>
      </c>
      <c r="AJ211" s="697">
        <f t="shared" si="33"/>
        <v>313821</v>
      </c>
      <c r="AK211" s="698"/>
      <c r="AL211" s="698"/>
    </row>
    <row r="212" spans="1:38" s="700" customFormat="1" ht="12.75" customHeight="1">
      <c r="A212" s="686" t="s">
        <v>202</v>
      </c>
      <c r="B212" s="686" t="s">
        <v>407</v>
      </c>
      <c r="C212" s="701" t="s">
        <v>282</v>
      </c>
      <c r="D212" s="701"/>
      <c r="E212" s="708"/>
      <c r="F212" s="709"/>
      <c r="G212" s="1025"/>
      <c r="H212" s="690"/>
      <c r="I212" s="1030">
        <v>1885141</v>
      </c>
      <c r="J212" s="690">
        <f>5996413-2225000-2225000</f>
        <v>1546413</v>
      </c>
      <c r="K212" s="1030"/>
      <c r="L212" s="690"/>
      <c r="M212" s="1025"/>
      <c r="N212" s="1030"/>
      <c r="O212" s="692">
        <f t="shared" si="26"/>
        <v>0</v>
      </c>
      <c r="P212" s="690"/>
      <c r="Q212" s="690"/>
      <c r="R212" s="691">
        <f t="shared" si="27"/>
        <v>0</v>
      </c>
      <c r="S212" s="692">
        <f t="shared" si="28"/>
        <v>1885141</v>
      </c>
      <c r="T212" s="693">
        <f t="shared" si="29"/>
        <v>1546413</v>
      </c>
      <c r="U212" s="1035"/>
      <c r="V212" s="690"/>
      <c r="W212" s="1025"/>
      <c r="X212" s="1030"/>
      <c r="Y212" s="694">
        <f t="shared" si="30"/>
        <v>0</v>
      </c>
      <c r="Z212" s="690"/>
      <c r="AA212" s="690"/>
      <c r="AB212" s="695">
        <f t="shared" si="31"/>
        <v>0</v>
      </c>
      <c r="AC212" s="1035"/>
      <c r="AD212" s="690"/>
      <c r="AE212" s="1025"/>
      <c r="AF212" s="1030"/>
      <c r="AG212" s="690"/>
      <c r="AH212" s="690"/>
      <c r="AI212" s="696">
        <f t="shared" si="32"/>
        <v>1885141</v>
      </c>
      <c r="AJ212" s="697">
        <f t="shared" si="33"/>
        <v>1546413</v>
      </c>
      <c r="AK212" s="698"/>
      <c r="AL212" s="698"/>
    </row>
    <row r="213" spans="1:38" s="700" customFormat="1" ht="12.75" customHeight="1">
      <c r="A213" s="686" t="s">
        <v>202</v>
      </c>
      <c r="B213" s="686" t="s">
        <v>407</v>
      </c>
      <c r="C213" s="701" t="s">
        <v>373</v>
      </c>
      <c r="D213" s="701"/>
      <c r="E213" s="708"/>
      <c r="F213" s="709"/>
      <c r="G213" s="1025"/>
      <c r="H213" s="690"/>
      <c r="I213" s="1030">
        <v>12193805</v>
      </c>
      <c r="J213" s="818">
        <v>12656223</v>
      </c>
      <c r="K213" s="1030"/>
      <c r="L213" s="690"/>
      <c r="M213" s="1025"/>
      <c r="N213" s="1030"/>
      <c r="O213" s="692">
        <f t="shared" si="26"/>
        <v>0</v>
      </c>
      <c r="P213" s="690"/>
      <c r="Q213" s="690"/>
      <c r="R213" s="691">
        <f t="shared" si="27"/>
        <v>0</v>
      </c>
      <c r="S213" s="692">
        <f t="shared" si="28"/>
        <v>12193805</v>
      </c>
      <c r="T213" s="693">
        <f t="shared" si="29"/>
        <v>12656223</v>
      </c>
      <c r="U213" s="1035"/>
      <c r="V213" s="690"/>
      <c r="W213" s="1025"/>
      <c r="X213" s="1030"/>
      <c r="Y213" s="694">
        <f t="shared" si="30"/>
        <v>0</v>
      </c>
      <c r="Z213" s="690"/>
      <c r="AA213" s="690"/>
      <c r="AB213" s="695">
        <f t="shared" si="31"/>
        <v>0</v>
      </c>
      <c r="AC213" s="1035"/>
      <c r="AD213" s="690"/>
      <c r="AE213" s="1025"/>
      <c r="AF213" s="1030"/>
      <c r="AG213" s="690"/>
      <c r="AH213" s="690"/>
      <c r="AI213" s="696">
        <f t="shared" si="32"/>
        <v>12193805</v>
      </c>
      <c r="AJ213" s="697">
        <f t="shared" si="33"/>
        <v>12656223</v>
      </c>
      <c r="AK213" s="698"/>
      <c r="AL213" s="698"/>
    </row>
    <row r="214" spans="1:38" s="700" customFormat="1" ht="12.75" customHeight="1">
      <c r="A214" s="686" t="s">
        <v>202</v>
      </c>
      <c r="B214" s="686" t="s">
        <v>407</v>
      </c>
      <c r="C214" s="701" t="s">
        <v>151</v>
      </c>
      <c r="D214" s="701"/>
      <c r="E214" s="708"/>
      <c r="F214" s="709"/>
      <c r="G214" s="1025"/>
      <c r="H214" s="690"/>
      <c r="I214" s="1030">
        <v>4755040</v>
      </c>
      <c r="J214" s="690">
        <v>4753120</v>
      </c>
      <c r="K214" s="1030"/>
      <c r="L214" s="690"/>
      <c r="M214" s="1025"/>
      <c r="N214" s="1030"/>
      <c r="O214" s="692">
        <f t="shared" si="26"/>
        <v>0</v>
      </c>
      <c r="P214" s="690"/>
      <c r="Q214" s="690"/>
      <c r="R214" s="691">
        <f t="shared" si="27"/>
        <v>0</v>
      </c>
      <c r="S214" s="692">
        <f t="shared" si="28"/>
        <v>4755040</v>
      </c>
      <c r="T214" s="693">
        <f t="shared" si="29"/>
        <v>4753120</v>
      </c>
      <c r="U214" s="1035"/>
      <c r="V214" s="690"/>
      <c r="W214" s="1025"/>
      <c r="X214" s="1030"/>
      <c r="Y214" s="694">
        <f t="shared" si="30"/>
        <v>0</v>
      </c>
      <c r="Z214" s="690"/>
      <c r="AA214" s="690"/>
      <c r="AB214" s="695">
        <f t="shared" si="31"/>
        <v>0</v>
      </c>
      <c r="AC214" s="1035"/>
      <c r="AD214" s="690"/>
      <c r="AE214" s="1025"/>
      <c r="AF214" s="1030"/>
      <c r="AG214" s="690"/>
      <c r="AH214" s="690"/>
      <c r="AI214" s="696">
        <f t="shared" si="32"/>
        <v>4755040</v>
      </c>
      <c r="AJ214" s="697">
        <f t="shared" si="33"/>
        <v>4753120</v>
      </c>
      <c r="AK214" s="698"/>
      <c r="AL214" s="698"/>
    </row>
    <row r="215" spans="1:38" s="700" customFormat="1" ht="12.75" customHeight="1">
      <c r="A215" s="686" t="s">
        <v>202</v>
      </c>
      <c r="B215" s="686" t="s">
        <v>407</v>
      </c>
      <c r="C215" s="701" t="s">
        <v>352</v>
      </c>
      <c r="D215" s="701"/>
      <c r="E215" s="708"/>
      <c r="F215" s="709"/>
      <c r="G215" s="1025"/>
      <c r="H215" s="690"/>
      <c r="I215" s="1030">
        <v>42805.53</v>
      </c>
      <c r="J215" s="818">
        <v>0</v>
      </c>
      <c r="K215" s="1030"/>
      <c r="L215" s="690"/>
      <c r="M215" s="1025"/>
      <c r="N215" s="1030"/>
      <c r="O215" s="692">
        <f t="shared" si="26"/>
        <v>0</v>
      </c>
      <c r="P215" s="690"/>
      <c r="Q215" s="690"/>
      <c r="R215" s="691">
        <f t="shared" si="27"/>
        <v>0</v>
      </c>
      <c r="S215" s="692">
        <f t="shared" si="28"/>
        <v>42805.53</v>
      </c>
      <c r="T215" s="693">
        <f t="shared" si="29"/>
        <v>0</v>
      </c>
      <c r="U215" s="1035"/>
      <c r="V215" s="690"/>
      <c r="W215" s="1025"/>
      <c r="X215" s="1030"/>
      <c r="Y215" s="694">
        <f t="shared" si="30"/>
        <v>0</v>
      </c>
      <c r="Z215" s="690"/>
      <c r="AA215" s="690"/>
      <c r="AB215" s="695">
        <f t="shared" si="31"/>
        <v>0</v>
      </c>
      <c r="AC215" s="1035"/>
      <c r="AD215" s="690"/>
      <c r="AE215" s="1025"/>
      <c r="AF215" s="1030"/>
      <c r="AG215" s="690"/>
      <c r="AH215" s="690"/>
      <c r="AI215" s="696">
        <f t="shared" si="32"/>
        <v>42805.53</v>
      </c>
      <c r="AJ215" s="697">
        <f t="shared" si="33"/>
        <v>0</v>
      </c>
      <c r="AK215" s="698"/>
      <c r="AL215" s="698"/>
    </row>
    <row r="216" spans="1:38" s="700" customFormat="1" ht="12.75" customHeight="1">
      <c r="A216" s="686" t="s">
        <v>202</v>
      </c>
      <c r="B216" s="686" t="s">
        <v>407</v>
      </c>
      <c r="C216" s="701" t="s">
        <v>313</v>
      </c>
      <c r="D216" s="701"/>
      <c r="E216" s="688"/>
      <c r="F216" s="689"/>
      <c r="G216" s="1025"/>
      <c r="H216" s="690"/>
      <c r="I216" s="1030">
        <v>1821497</v>
      </c>
      <c r="J216" s="690">
        <v>1999898</v>
      </c>
      <c r="K216" s="1030"/>
      <c r="L216" s="690"/>
      <c r="M216" s="1025"/>
      <c r="N216" s="1030"/>
      <c r="O216" s="692">
        <f t="shared" si="26"/>
        <v>0</v>
      </c>
      <c r="P216" s="690"/>
      <c r="Q216" s="690"/>
      <c r="R216" s="691">
        <f t="shared" si="27"/>
        <v>0</v>
      </c>
      <c r="S216" s="692">
        <f t="shared" si="28"/>
        <v>1821497</v>
      </c>
      <c r="T216" s="693">
        <f t="shared" si="29"/>
        <v>1999898</v>
      </c>
      <c r="U216" s="1035"/>
      <c r="V216" s="690"/>
      <c r="W216" s="1025"/>
      <c r="X216" s="1030"/>
      <c r="Y216" s="694">
        <f t="shared" si="30"/>
        <v>0</v>
      </c>
      <c r="Z216" s="690"/>
      <c r="AA216" s="690"/>
      <c r="AB216" s="695">
        <f t="shared" si="31"/>
        <v>0</v>
      </c>
      <c r="AC216" s="1035"/>
      <c r="AD216" s="690"/>
      <c r="AE216" s="1025"/>
      <c r="AF216" s="1030"/>
      <c r="AG216" s="690"/>
      <c r="AH216" s="690"/>
      <c r="AI216" s="696">
        <f t="shared" si="32"/>
        <v>1821497</v>
      </c>
      <c r="AJ216" s="697">
        <f t="shared" si="33"/>
        <v>1999898</v>
      </c>
      <c r="AK216" s="698"/>
      <c r="AL216" s="698"/>
    </row>
    <row r="217" spans="1:38" s="700" customFormat="1" ht="12.75" customHeight="1">
      <c r="A217" s="686" t="s">
        <v>202</v>
      </c>
      <c r="B217" s="686" t="s">
        <v>407</v>
      </c>
      <c r="C217" s="701" t="s">
        <v>314</v>
      </c>
      <c r="D217" s="701"/>
      <c r="E217" s="688"/>
      <c r="F217" s="689"/>
      <c r="G217" s="1025"/>
      <c r="H217" s="690"/>
      <c r="I217" s="1030">
        <v>438469</v>
      </c>
      <c r="J217" s="690"/>
      <c r="K217" s="1030"/>
      <c r="L217" s="690"/>
      <c r="M217" s="1025"/>
      <c r="N217" s="1030"/>
      <c r="O217" s="692">
        <f t="shared" si="26"/>
        <v>0</v>
      </c>
      <c r="P217" s="690"/>
      <c r="Q217" s="690"/>
      <c r="R217" s="691">
        <f t="shared" si="27"/>
        <v>0</v>
      </c>
      <c r="S217" s="692">
        <f t="shared" si="28"/>
        <v>438469</v>
      </c>
      <c r="T217" s="693">
        <f t="shared" si="29"/>
        <v>0</v>
      </c>
      <c r="U217" s="1035"/>
      <c r="V217" s="690"/>
      <c r="W217" s="1025"/>
      <c r="X217" s="1030"/>
      <c r="Y217" s="694">
        <f t="shared" si="30"/>
        <v>0</v>
      </c>
      <c r="Z217" s="690"/>
      <c r="AA217" s="690"/>
      <c r="AB217" s="695">
        <f t="shared" si="31"/>
        <v>0</v>
      </c>
      <c r="AC217" s="1035"/>
      <c r="AD217" s="690"/>
      <c r="AE217" s="1025"/>
      <c r="AF217" s="1030"/>
      <c r="AG217" s="690"/>
      <c r="AH217" s="690"/>
      <c r="AI217" s="696">
        <f t="shared" si="32"/>
        <v>438469</v>
      </c>
      <c r="AJ217" s="697">
        <f t="shared" si="33"/>
        <v>0</v>
      </c>
      <c r="AK217" s="698"/>
      <c r="AL217" s="698"/>
    </row>
    <row r="218" spans="1:38" s="700" customFormat="1" ht="12.75" customHeight="1">
      <c r="A218" s="686" t="s">
        <v>202</v>
      </c>
      <c r="B218" s="686" t="s">
        <v>407</v>
      </c>
      <c r="C218" s="701" t="s">
        <v>315</v>
      </c>
      <c r="D218" s="701"/>
      <c r="E218" s="688"/>
      <c r="F218" s="689"/>
      <c r="G218" s="1025"/>
      <c r="H218" s="690"/>
      <c r="I218" s="1030">
        <v>228000</v>
      </c>
      <c r="J218" s="818">
        <v>904907</v>
      </c>
      <c r="K218" s="1030"/>
      <c r="L218" s="690"/>
      <c r="M218" s="1025"/>
      <c r="N218" s="1030"/>
      <c r="O218" s="692">
        <f t="shared" si="26"/>
        <v>0</v>
      </c>
      <c r="P218" s="690"/>
      <c r="Q218" s="690"/>
      <c r="R218" s="691">
        <f t="shared" si="27"/>
        <v>0</v>
      </c>
      <c r="S218" s="692">
        <f t="shared" si="28"/>
        <v>228000</v>
      </c>
      <c r="T218" s="693">
        <f t="shared" si="29"/>
        <v>904907</v>
      </c>
      <c r="U218" s="1035"/>
      <c r="V218" s="690"/>
      <c r="W218" s="1025"/>
      <c r="X218" s="1030"/>
      <c r="Y218" s="694">
        <f t="shared" si="30"/>
        <v>0</v>
      </c>
      <c r="Z218" s="690"/>
      <c r="AA218" s="690"/>
      <c r="AB218" s="695">
        <f t="shared" si="31"/>
        <v>0</v>
      </c>
      <c r="AC218" s="1035"/>
      <c r="AD218" s="690"/>
      <c r="AE218" s="1025"/>
      <c r="AF218" s="1030"/>
      <c r="AG218" s="690"/>
      <c r="AH218" s="690"/>
      <c r="AI218" s="696">
        <f t="shared" si="32"/>
        <v>228000</v>
      </c>
      <c r="AJ218" s="697">
        <f t="shared" si="33"/>
        <v>904907</v>
      </c>
      <c r="AK218" s="698"/>
      <c r="AL218" s="698"/>
    </row>
    <row r="219" spans="1:38" s="700" customFormat="1" ht="12.75" customHeight="1">
      <c r="A219" s="686" t="s">
        <v>202</v>
      </c>
      <c r="B219" s="686" t="s">
        <v>407</v>
      </c>
      <c r="C219" s="701" t="s">
        <v>497</v>
      </c>
      <c r="D219" s="701"/>
      <c r="E219" s="688"/>
      <c r="F219" s="689"/>
      <c r="G219" s="1025"/>
      <c r="H219" s="690"/>
      <c r="I219" s="1030">
        <v>53275</v>
      </c>
      <c r="J219" s="818">
        <v>49030</v>
      </c>
      <c r="K219" s="1030"/>
      <c r="L219" s="690"/>
      <c r="M219" s="1025"/>
      <c r="N219" s="1030"/>
      <c r="O219" s="692">
        <f t="shared" si="26"/>
        <v>0</v>
      </c>
      <c r="P219" s="690"/>
      <c r="Q219" s="690"/>
      <c r="R219" s="691">
        <f t="shared" si="27"/>
        <v>0</v>
      </c>
      <c r="S219" s="692">
        <f t="shared" si="28"/>
        <v>53275</v>
      </c>
      <c r="T219" s="693">
        <f t="shared" si="29"/>
        <v>49030</v>
      </c>
      <c r="U219" s="1035"/>
      <c r="V219" s="690"/>
      <c r="W219" s="1025"/>
      <c r="X219" s="1030"/>
      <c r="Y219" s="694">
        <f t="shared" si="30"/>
        <v>0</v>
      </c>
      <c r="Z219" s="690"/>
      <c r="AA219" s="690"/>
      <c r="AB219" s="695">
        <f t="shared" si="31"/>
        <v>0</v>
      </c>
      <c r="AC219" s="1035"/>
      <c r="AD219" s="690"/>
      <c r="AE219" s="1025"/>
      <c r="AF219" s="1030"/>
      <c r="AG219" s="690"/>
      <c r="AH219" s="690"/>
      <c r="AI219" s="696">
        <f t="shared" si="32"/>
        <v>53275</v>
      </c>
      <c r="AJ219" s="697">
        <f t="shared" si="33"/>
        <v>49030</v>
      </c>
      <c r="AK219" s="698"/>
      <c r="AL219" s="698"/>
    </row>
    <row r="220" spans="1:38" s="700" customFormat="1" ht="12.75" customHeight="1">
      <c r="A220" s="686" t="s">
        <v>202</v>
      </c>
      <c r="B220" s="686" t="s">
        <v>407</v>
      </c>
      <c r="C220" s="701" t="s">
        <v>581</v>
      </c>
      <c r="D220" s="701"/>
      <c r="E220" s="688"/>
      <c r="F220" s="689"/>
      <c r="G220" s="1025"/>
      <c r="H220" s="690"/>
      <c r="I220" s="1030"/>
      <c r="J220" s="818">
        <v>0</v>
      </c>
      <c r="K220" s="1030"/>
      <c r="L220" s="690"/>
      <c r="M220" s="1025"/>
      <c r="N220" s="1030"/>
      <c r="O220" s="692">
        <f t="shared" si="26"/>
        <v>0</v>
      </c>
      <c r="P220" s="690"/>
      <c r="Q220" s="690"/>
      <c r="R220" s="691">
        <f t="shared" si="27"/>
        <v>0</v>
      </c>
      <c r="S220" s="692">
        <f t="shared" si="28"/>
        <v>0</v>
      </c>
      <c r="T220" s="693">
        <f t="shared" si="29"/>
        <v>0</v>
      </c>
      <c r="U220" s="1035"/>
      <c r="V220" s="690"/>
      <c r="W220" s="1025"/>
      <c r="X220" s="1030"/>
      <c r="Y220" s="694">
        <f t="shared" si="30"/>
        <v>0</v>
      </c>
      <c r="Z220" s="690"/>
      <c r="AA220" s="690"/>
      <c r="AB220" s="695">
        <f t="shared" si="31"/>
        <v>0</v>
      </c>
      <c r="AC220" s="1035"/>
      <c r="AD220" s="690"/>
      <c r="AE220" s="1025"/>
      <c r="AF220" s="1030"/>
      <c r="AG220" s="690"/>
      <c r="AH220" s="690"/>
      <c r="AI220" s="696">
        <f t="shared" si="32"/>
        <v>0</v>
      </c>
      <c r="AJ220" s="697">
        <f t="shared" si="33"/>
        <v>0</v>
      </c>
      <c r="AK220" s="698"/>
      <c r="AL220" s="698"/>
    </row>
    <row r="221" spans="1:38" s="700" customFormat="1" ht="12.75" customHeight="1">
      <c r="A221" s="686" t="s">
        <v>202</v>
      </c>
      <c r="B221" s="686" t="s">
        <v>407</v>
      </c>
      <c r="C221" s="701" t="s">
        <v>152</v>
      </c>
      <c r="D221" s="701"/>
      <c r="E221" s="708"/>
      <c r="F221" s="709"/>
      <c r="G221" s="1025"/>
      <c r="H221" s="690"/>
      <c r="I221" s="1030">
        <v>239822</v>
      </c>
      <c r="J221" s="690">
        <v>237768</v>
      </c>
      <c r="K221" s="1030"/>
      <c r="L221" s="690"/>
      <c r="M221" s="1025"/>
      <c r="N221" s="1030"/>
      <c r="O221" s="692">
        <f t="shared" si="26"/>
        <v>0</v>
      </c>
      <c r="P221" s="690"/>
      <c r="Q221" s="690"/>
      <c r="R221" s="691">
        <f t="shared" si="27"/>
        <v>0</v>
      </c>
      <c r="S221" s="692">
        <f t="shared" si="28"/>
        <v>239822</v>
      </c>
      <c r="T221" s="693">
        <f t="shared" si="29"/>
        <v>237768</v>
      </c>
      <c r="U221" s="1035"/>
      <c r="V221" s="690"/>
      <c r="W221" s="1025"/>
      <c r="X221" s="1030"/>
      <c r="Y221" s="694">
        <f t="shared" si="30"/>
        <v>0</v>
      </c>
      <c r="Z221" s="690"/>
      <c r="AA221" s="690"/>
      <c r="AB221" s="695">
        <f t="shared" si="31"/>
        <v>0</v>
      </c>
      <c r="AC221" s="1035"/>
      <c r="AD221" s="690"/>
      <c r="AE221" s="1025"/>
      <c r="AF221" s="1030"/>
      <c r="AG221" s="690"/>
      <c r="AH221" s="690"/>
      <c r="AI221" s="696">
        <f t="shared" si="32"/>
        <v>239822</v>
      </c>
      <c r="AJ221" s="697">
        <f t="shared" si="33"/>
        <v>237768</v>
      </c>
      <c r="AK221" s="698"/>
      <c r="AL221" s="698"/>
    </row>
    <row r="222" spans="1:38" s="700" customFormat="1" ht="12.75" customHeight="1">
      <c r="A222" s="686" t="s">
        <v>202</v>
      </c>
      <c r="B222" s="686" t="s">
        <v>407</v>
      </c>
      <c r="C222" s="701" t="s">
        <v>483</v>
      </c>
      <c r="D222" s="701"/>
      <c r="E222" s="708"/>
      <c r="F222" s="709"/>
      <c r="G222" s="1025"/>
      <c r="H222" s="690"/>
      <c r="I222" s="1030">
        <v>33573637</v>
      </c>
      <c r="J222" s="690">
        <f>33286128+223100</f>
        <v>33509228</v>
      </c>
      <c r="K222" s="1030"/>
      <c r="L222" s="690"/>
      <c r="M222" s="1025"/>
      <c r="N222" s="1030"/>
      <c r="O222" s="692">
        <f t="shared" si="26"/>
        <v>0</v>
      </c>
      <c r="P222" s="690"/>
      <c r="Q222" s="690"/>
      <c r="R222" s="691">
        <f t="shared" si="27"/>
        <v>0</v>
      </c>
      <c r="S222" s="692">
        <f t="shared" si="28"/>
        <v>33573637</v>
      </c>
      <c r="T222" s="693">
        <f t="shared" si="29"/>
        <v>33509228</v>
      </c>
      <c r="U222" s="1035"/>
      <c r="V222" s="690"/>
      <c r="W222" s="1025"/>
      <c r="X222" s="1030"/>
      <c r="Y222" s="694">
        <f t="shared" si="30"/>
        <v>0</v>
      </c>
      <c r="Z222" s="690"/>
      <c r="AA222" s="690"/>
      <c r="AB222" s="695">
        <f t="shared" si="31"/>
        <v>0</v>
      </c>
      <c r="AC222" s="1035"/>
      <c r="AD222" s="690"/>
      <c r="AE222" s="1025"/>
      <c r="AF222" s="1030"/>
      <c r="AG222" s="690"/>
      <c r="AH222" s="690"/>
      <c r="AI222" s="696">
        <f t="shared" si="32"/>
        <v>33573637</v>
      </c>
      <c r="AJ222" s="697">
        <f t="shared" si="33"/>
        <v>33509228</v>
      </c>
      <c r="AK222" s="698"/>
      <c r="AL222" s="698"/>
    </row>
    <row r="223" spans="1:38" s="700" customFormat="1" ht="12.75" customHeight="1">
      <c r="A223" s="686" t="s">
        <v>202</v>
      </c>
      <c r="B223" s="686" t="s">
        <v>431</v>
      </c>
      <c r="C223" s="707" t="s">
        <v>291</v>
      </c>
      <c r="D223" s="707"/>
      <c r="E223" s="708"/>
      <c r="F223" s="709"/>
      <c r="G223" s="1025"/>
      <c r="H223" s="690"/>
      <c r="I223" s="1030"/>
      <c r="J223" s="690"/>
      <c r="K223" s="1030"/>
      <c r="L223" s="690"/>
      <c r="M223" s="1025"/>
      <c r="N223" s="1030"/>
      <c r="O223" s="692">
        <f t="shared" si="26"/>
        <v>0</v>
      </c>
      <c r="P223" s="690"/>
      <c r="Q223" s="690"/>
      <c r="R223" s="691">
        <f t="shared" si="27"/>
        <v>0</v>
      </c>
      <c r="S223" s="692">
        <f t="shared" si="28"/>
        <v>0</v>
      </c>
      <c r="T223" s="693">
        <f t="shared" si="29"/>
        <v>0</v>
      </c>
      <c r="U223" s="1035"/>
      <c r="V223" s="690"/>
      <c r="W223" s="1025"/>
      <c r="X223" s="1030"/>
      <c r="Y223" s="694">
        <f t="shared" si="30"/>
        <v>0</v>
      </c>
      <c r="Z223" s="690"/>
      <c r="AA223" s="690"/>
      <c r="AB223" s="695">
        <f t="shared" si="31"/>
        <v>0</v>
      </c>
      <c r="AC223" s="1035"/>
      <c r="AD223" s="690"/>
      <c r="AE223" s="1025"/>
      <c r="AF223" s="1030"/>
      <c r="AG223" s="690"/>
      <c r="AH223" s="690"/>
      <c r="AI223" s="696">
        <f t="shared" si="32"/>
        <v>0</v>
      </c>
      <c r="AJ223" s="697">
        <f t="shared" si="33"/>
        <v>0</v>
      </c>
      <c r="AK223" s="698"/>
      <c r="AL223" s="698"/>
    </row>
    <row r="224" spans="1:38" s="700" customFormat="1" ht="12.75" customHeight="1">
      <c r="A224" s="686" t="s">
        <v>202</v>
      </c>
      <c r="B224" s="686" t="s">
        <v>431</v>
      </c>
      <c r="C224" s="701" t="s">
        <v>153</v>
      </c>
      <c r="D224" s="701"/>
      <c r="E224" s="708"/>
      <c r="F224" s="709"/>
      <c r="G224" s="1025"/>
      <c r="H224" s="690"/>
      <c r="I224" s="1030">
        <v>1119169</v>
      </c>
      <c r="J224" s="690">
        <v>1109585</v>
      </c>
      <c r="K224" s="1030"/>
      <c r="L224" s="690"/>
      <c r="M224" s="1025"/>
      <c r="N224" s="1030"/>
      <c r="O224" s="692">
        <f t="shared" si="26"/>
        <v>0</v>
      </c>
      <c r="P224" s="690"/>
      <c r="Q224" s="690"/>
      <c r="R224" s="691">
        <f t="shared" si="27"/>
        <v>0</v>
      </c>
      <c r="S224" s="692">
        <f t="shared" si="28"/>
        <v>1119169</v>
      </c>
      <c r="T224" s="693">
        <f t="shared" si="29"/>
        <v>1109585</v>
      </c>
      <c r="U224" s="1035"/>
      <c r="V224" s="690"/>
      <c r="W224" s="1025"/>
      <c r="X224" s="1030"/>
      <c r="Y224" s="694">
        <f t="shared" si="30"/>
        <v>0</v>
      </c>
      <c r="Z224" s="690"/>
      <c r="AA224" s="690"/>
      <c r="AB224" s="695">
        <f t="shared" si="31"/>
        <v>0</v>
      </c>
      <c r="AC224" s="1035"/>
      <c r="AD224" s="690"/>
      <c r="AE224" s="1025"/>
      <c r="AF224" s="1030"/>
      <c r="AG224" s="690"/>
      <c r="AH224" s="690"/>
      <c r="AI224" s="696">
        <f t="shared" si="32"/>
        <v>1119169</v>
      </c>
      <c r="AJ224" s="697">
        <f t="shared" si="33"/>
        <v>1109585</v>
      </c>
      <c r="AK224" s="698"/>
      <c r="AL224" s="698"/>
    </row>
    <row r="225" spans="1:38" s="700" customFormat="1" ht="12.75" customHeight="1">
      <c r="A225" s="686" t="s">
        <v>202</v>
      </c>
      <c r="B225" s="686" t="s">
        <v>431</v>
      </c>
      <c r="C225" s="701" t="s">
        <v>154</v>
      </c>
      <c r="D225" s="701"/>
      <c r="E225" s="708"/>
      <c r="F225" s="709"/>
      <c r="G225" s="1025"/>
      <c r="H225" s="690"/>
      <c r="I225" s="1030">
        <v>366729</v>
      </c>
      <c r="J225" s="818">
        <v>385164</v>
      </c>
      <c r="K225" s="1030"/>
      <c r="L225" s="690"/>
      <c r="M225" s="1025"/>
      <c r="N225" s="1030"/>
      <c r="O225" s="692">
        <f t="shared" si="26"/>
        <v>0</v>
      </c>
      <c r="P225" s="690"/>
      <c r="Q225" s="690"/>
      <c r="R225" s="691">
        <f t="shared" si="27"/>
        <v>0</v>
      </c>
      <c r="S225" s="692">
        <f t="shared" si="28"/>
        <v>366729</v>
      </c>
      <c r="T225" s="693">
        <f t="shared" si="29"/>
        <v>385164</v>
      </c>
      <c r="U225" s="1035"/>
      <c r="V225" s="690"/>
      <c r="W225" s="1025"/>
      <c r="X225" s="1030"/>
      <c r="Y225" s="694">
        <f t="shared" si="30"/>
        <v>0</v>
      </c>
      <c r="Z225" s="690"/>
      <c r="AA225" s="690"/>
      <c r="AB225" s="695">
        <f t="shared" si="31"/>
        <v>0</v>
      </c>
      <c r="AC225" s="1035"/>
      <c r="AD225" s="690"/>
      <c r="AE225" s="1025"/>
      <c r="AF225" s="1030"/>
      <c r="AG225" s="690"/>
      <c r="AH225" s="690"/>
      <c r="AI225" s="696">
        <f t="shared" si="32"/>
        <v>366729</v>
      </c>
      <c r="AJ225" s="697">
        <f t="shared" si="33"/>
        <v>385164</v>
      </c>
      <c r="AK225" s="698"/>
      <c r="AL225" s="698"/>
    </row>
    <row r="226" spans="1:38" s="700" customFormat="1" ht="12.75" customHeight="1">
      <c r="A226" s="686" t="s">
        <v>202</v>
      </c>
      <c r="B226" s="686" t="s">
        <v>431</v>
      </c>
      <c r="C226" s="701" t="s">
        <v>155</v>
      </c>
      <c r="D226" s="701"/>
      <c r="E226" s="688"/>
      <c r="F226" s="689"/>
      <c r="G226" s="1025"/>
      <c r="H226" s="690"/>
      <c r="I226" s="1155">
        <v>8235633</v>
      </c>
      <c r="J226" s="818">
        <f>4236162+998972</f>
        <v>5235134</v>
      </c>
      <c r="K226" s="1030"/>
      <c r="L226" s="690"/>
      <c r="M226" s="1025"/>
      <c r="N226" s="1030"/>
      <c r="O226" s="692">
        <f t="shared" si="26"/>
        <v>0</v>
      </c>
      <c r="P226" s="690"/>
      <c r="Q226" s="690"/>
      <c r="R226" s="691">
        <f t="shared" si="27"/>
        <v>0</v>
      </c>
      <c r="S226" s="692">
        <f t="shared" si="28"/>
        <v>8235633</v>
      </c>
      <c r="T226" s="693">
        <f t="shared" si="29"/>
        <v>5235134</v>
      </c>
      <c r="U226" s="1035"/>
      <c r="V226" s="690"/>
      <c r="W226" s="1025"/>
      <c r="X226" s="1030"/>
      <c r="Y226" s="694">
        <f t="shared" si="30"/>
        <v>0</v>
      </c>
      <c r="Z226" s="690"/>
      <c r="AA226" s="690"/>
      <c r="AB226" s="695">
        <f t="shared" si="31"/>
        <v>0</v>
      </c>
      <c r="AC226" s="1035"/>
      <c r="AD226" s="690"/>
      <c r="AE226" s="1025"/>
      <c r="AF226" s="1030"/>
      <c r="AG226" s="690"/>
      <c r="AH226" s="690"/>
      <c r="AI226" s="696">
        <f t="shared" si="32"/>
        <v>8235633</v>
      </c>
      <c r="AJ226" s="697">
        <f t="shared" si="33"/>
        <v>5235134</v>
      </c>
      <c r="AK226" s="698"/>
      <c r="AL226" s="698"/>
    </row>
    <row r="227" spans="1:38" s="700" customFormat="1" ht="12.75" customHeight="1">
      <c r="A227" s="686" t="s">
        <v>202</v>
      </c>
      <c r="B227" s="686" t="s">
        <v>431</v>
      </c>
      <c r="C227" s="701" t="s">
        <v>156</v>
      </c>
      <c r="D227" s="701"/>
      <c r="E227" s="688"/>
      <c r="F227" s="689"/>
      <c r="G227" s="1025"/>
      <c r="H227" s="690"/>
      <c r="I227" s="1030">
        <v>79940</v>
      </c>
      <c r="J227" s="690">
        <v>79256</v>
      </c>
      <c r="K227" s="1030"/>
      <c r="L227" s="690"/>
      <c r="M227" s="1025"/>
      <c r="N227" s="1030"/>
      <c r="O227" s="692">
        <f t="shared" si="26"/>
        <v>0</v>
      </c>
      <c r="P227" s="690"/>
      <c r="Q227" s="690"/>
      <c r="R227" s="691">
        <f t="shared" si="27"/>
        <v>0</v>
      </c>
      <c r="S227" s="692">
        <f t="shared" si="28"/>
        <v>79940</v>
      </c>
      <c r="T227" s="693">
        <f t="shared" si="29"/>
        <v>79256</v>
      </c>
      <c r="U227" s="1035"/>
      <c r="V227" s="690"/>
      <c r="W227" s="1025"/>
      <c r="X227" s="1030"/>
      <c r="Y227" s="694">
        <f t="shared" si="30"/>
        <v>0</v>
      </c>
      <c r="Z227" s="690"/>
      <c r="AA227" s="690"/>
      <c r="AB227" s="695">
        <f t="shared" si="31"/>
        <v>0</v>
      </c>
      <c r="AC227" s="1035"/>
      <c r="AD227" s="690"/>
      <c r="AE227" s="1025"/>
      <c r="AF227" s="1030"/>
      <c r="AG227" s="690"/>
      <c r="AH227" s="690"/>
      <c r="AI227" s="696">
        <f t="shared" si="32"/>
        <v>79940</v>
      </c>
      <c r="AJ227" s="697">
        <f t="shared" si="33"/>
        <v>79256</v>
      </c>
      <c r="AK227" s="698"/>
      <c r="AL227" s="698"/>
    </row>
    <row r="228" spans="1:38" s="700" customFormat="1" ht="12.75" customHeight="1">
      <c r="A228" s="686" t="s">
        <v>202</v>
      </c>
      <c r="B228" s="686" t="s">
        <v>409</v>
      </c>
      <c r="C228" s="710" t="s">
        <v>157</v>
      </c>
      <c r="D228" s="710"/>
      <c r="E228" s="708"/>
      <c r="F228" s="709"/>
      <c r="G228" s="1025"/>
      <c r="H228" s="690"/>
      <c r="I228" s="1030"/>
      <c r="J228" s="690"/>
      <c r="K228" s="1030"/>
      <c r="L228" s="690"/>
      <c r="M228" s="1025"/>
      <c r="N228" s="1030"/>
      <c r="O228" s="692">
        <f t="shared" si="26"/>
        <v>0</v>
      </c>
      <c r="P228" s="690"/>
      <c r="Q228" s="690"/>
      <c r="R228" s="691">
        <f t="shared" si="27"/>
        <v>0</v>
      </c>
      <c r="S228" s="692">
        <f t="shared" si="28"/>
        <v>0</v>
      </c>
      <c r="T228" s="693">
        <f t="shared" si="29"/>
        <v>0</v>
      </c>
      <c r="U228" s="1035"/>
      <c r="V228" s="690"/>
      <c r="W228" s="1025"/>
      <c r="X228" s="1030"/>
      <c r="Y228" s="694">
        <f t="shared" si="30"/>
        <v>0</v>
      </c>
      <c r="Z228" s="690"/>
      <c r="AA228" s="690"/>
      <c r="AB228" s="695">
        <f t="shared" si="31"/>
        <v>0</v>
      </c>
      <c r="AC228" s="1035"/>
      <c r="AD228" s="690"/>
      <c r="AE228" s="1025"/>
      <c r="AF228" s="1030"/>
      <c r="AG228" s="690"/>
      <c r="AH228" s="690"/>
      <c r="AI228" s="696">
        <f t="shared" si="32"/>
        <v>0</v>
      </c>
      <c r="AJ228" s="697">
        <f t="shared" si="33"/>
        <v>0</v>
      </c>
      <c r="AK228" s="698"/>
      <c r="AL228" s="698"/>
    </row>
    <row r="229" spans="1:38" s="700" customFormat="1" ht="12.75" customHeight="1">
      <c r="A229" s="686" t="s">
        <v>202</v>
      </c>
      <c r="B229" s="686" t="s">
        <v>410</v>
      </c>
      <c r="C229" s="699" t="s">
        <v>200</v>
      </c>
      <c r="D229" s="699"/>
      <c r="E229" s="708"/>
      <c r="F229" s="709"/>
      <c r="G229" s="1025"/>
      <c r="H229" s="690"/>
      <c r="I229" s="1030"/>
      <c r="J229" s="690"/>
      <c r="K229" s="1030"/>
      <c r="L229" s="690"/>
      <c r="M229" s="1025"/>
      <c r="N229" s="1030"/>
      <c r="O229" s="692">
        <f t="shared" si="26"/>
        <v>0</v>
      </c>
      <c r="P229" s="690"/>
      <c r="Q229" s="690"/>
      <c r="R229" s="691">
        <f t="shared" si="27"/>
        <v>0</v>
      </c>
      <c r="S229" s="692">
        <f t="shared" si="28"/>
        <v>0</v>
      </c>
      <c r="T229" s="693">
        <f t="shared" si="29"/>
        <v>0</v>
      </c>
      <c r="U229" s="1035"/>
      <c r="V229" s="690"/>
      <c r="W229" s="1025"/>
      <c r="X229" s="1030"/>
      <c r="Y229" s="694">
        <f t="shared" si="30"/>
        <v>0</v>
      </c>
      <c r="Z229" s="690"/>
      <c r="AA229" s="690"/>
      <c r="AB229" s="695">
        <f t="shared" si="31"/>
        <v>0</v>
      </c>
      <c r="AC229" s="1035"/>
      <c r="AD229" s="690"/>
      <c r="AE229" s="1025"/>
      <c r="AF229" s="1030"/>
      <c r="AG229" s="690"/>
      <c r="AH229" s="690"/>
      <c r="AI229" s="696">
        <f t="shared" si="32"/>
        <v>0</v>
      </c>
      <c r="AJ229" s="697">
        <f t="shared" si="33"/>
        <v>0</v>
      </c>
      <c r="AK229" s="698"/>
      <c r="AL229" s="698"/>
    </row>
    <row r="230" spans="1:38" s="700" customFormat="1" ht="12.75" customHeight="1">
      <c r="A230" s="686" t="s">
        <v>202</v>
      </c>
      <c r="B230" s="686" t="s">
        <v>410</v>
      </c>
      <c r="C230" s="701" t="s">
        <v>360</v>
      </c>
      <c r="D230" s="701"/>
      <c r="E230" s="708"/>
      <c r="F230" s="709"/>
      <c r="G230" s="1025"/>
      <c r="H230" s="690"/>
      <c r="I230" s="1030"/>
      <c r="J230" s="690"/>
      <c r="K230" s="1030"/>
      <c r="L230" s="690"/>
      <c r="M230" s="1025"/>
      <c r="N230" s="1030"/>
      <c r="O230" s="692">
        <f t="shared" si="26"/>
        <v>0</v>
      </c>
      <c r="P230" s="690"/>
      <c r="Q230" s="690"/>
      <c r="R230" s="691">
        <f t="shared" si="27"/>
        <v>0</v>
      </c>
      <c r="S230" s="692">
        <f t="shared" si="28"/>
        <v>0</v>
      </c>
      <c r="T230" s="693">
        <f t="shared" si="29"/>
        <v>0</v>
      </c>
      <c r="U230" s="1035">
        <v>2524781</v>
      </c>
      <c r="V230" s="818">
        <v>2587322</v>
      </c>
      <c r="W230" s="1025"/>
      <c r="X230" s="1030"/>
      <c r="Y230" s="694">
        <f t="shared" si="30"/>
        <v>0</v>
      </c>
      <c r="Z230" s="690"/>
      <c r="AA230" s="690"/>
      <c r="AB230" s="695">
        <f t="shared" si="31"/>
        <v>0</v>
      </c>
      <c r="AC230" s="1035"/>
      <c r="AD230" s="690"/>
      <c r="AE230" s="1025"/>
      <c r="AF230" s="1030"/>
      <c r="AG230" s="690"/>
      <c r="AH230" s="690"/>
      <c r="AI230" s="696">
        <f t="shared" si="32"/>
        <v>2524781</v>
      </c>
      <c r="AJ230" s="697">
        <f t="shared" si="33"/>
        <v>2587322</v>
      </c>
      <c r="AK230" s="698"/>
      <c r="AL230" s="698"/>
    </row>
    <row r="231" spans="1:38" s="700" customFormat="1" ht="12.75" customHeight="1">
      <c r="A231" s="686" t="s">
        <v>202</v>
      </c>
      <c r="B231" s="686" t="s">
        <v>411</v>
      </c>
      <c r="C231" s="699" t="s">
        <v>199</v>
      </c>
      <c r="D231" s="699"/>
      <c r="E231" s="708"/>
      <c r="F231" s="709"/>
      <c r="G231" s="1025"/>
      <c r="H231" s="690"/>
      <c r="I231" s="1030"/>
      <c r="J231" s="690"/>
      <c r="K231" s="1030"/>
      <c r="L231" s="690"/>
      <c r="M231" s="1025"/>
      <c r="N231" s="1030"/>
      <c r="O231" s="692">
        <f t="shared" si="26"/>
        <v>0</v>
      </c>
      <c r="P231" s="690"/>
      <c r="Q231" s="690"/>
      <c r="R231" s="691">
        <f t="shared" si="27"/>
        <v>0</v>
      </c>
      <c r="S231" s="692">
        <f t="shared" si="28"/>
        <v>0</v>
      </c>
      <c r="T231" s="693">
        <f t="shared" si="29"/>
        <v>0</v>
      </c>
      <c r="U231" s="1035"/>
      <c r="V231" s="690"/>
      <c r="W231" s="1025"/>
      <c r="X231" s="1030"/>
      <c r="Y231" s="694">
        <f t="shared" si="30"/>
        <v>0</v>
      </c>
      <c r="Z231" s="690"/>
      <c r="AA231" s="690"/>
      <c r="AB231" s="695">
        <f t="shared" si="31"/>
        <v>0</v>
      </c>
      <c r="AC231" s="1035"/>
      <c r="AD231" s="690"/>
      <c r="AE231" s="1025"/>
      <c r="AF231" s="1030"/>
      <c r="AG231" s="690"/>
      <c r="AH231" s="690"/>
      <c r="AI231" s="696">
        <f t="shared" si="32"/>
        <v>0</v>
      </c>
      <c r="AJ231" s="697">
        <f t="shared" si="33"/>
        <v>0</v>
      </c>
      <c r="AK231" s="698"/>
      <c r="AL231" s="698"/>
    </row>
    <row r="232" spans="1:38" s="700" customFormat="1" ht="12.75" customHeight="1">
      <c r="A232" s="686" t="s">
        <v>202</v>
      </c>
      <c r="B232" s="686" t="s">
        <v>411</v>
      </c>
      <c r="C232" s="701" t="s">
        <v>361</v>
      </c>
      <c r="D232" s="701"/>
      <c r="E232" s="708"/>
      <c r="F232" s="709"/>
      <c r="G232" s="1025"/>
      <c r="H232" s="690"/>
      <c r="I232" s="1030"/>
      <c r="J232" s="690"/>
      <c r="K232" s="1030"/>
      <c r="L232" s="690"/>
      <c r="M232" s="1025"/>
      <c r="N232" s="1030"/>
      <c r="O232" s="692">
        <f t="shared" si="26"/>
        <v>0</v>
      </c>
      <c r="P232" s="690"/>
      <c r="Q232" s="690"/>
      <c r="R232" s="691">
        <f t="shared" si="27"/>
        <v>0</v>
      </c>
      <c r="S232" s="692">
        <f t="shared" si="28"/>
        <v>0</v>
      </c>
      <c r="T232" s="693">
        <f t="shared" si="29"/>
        <v>0</v>
      </c>
      <c r="U232" s="1035">
        <v>5068554</v>
      </c>
      <c r="V232" s="818">
        <v>4980050</v>
      </c>
      <c r="W232" s="1025"/>
      <c r="X232" s="1030"/>
      <c r="Y232" s="694">
        <f t="shared" si="30"/>
        <v>0</v>
      </c>
      <c r="Z232" s="690"/>
      <c r="AA232" s="690"/>
      <c r="AB232" s="695">
        <f t="shared" si="31"/>
        <v>0</v>
      </c>
      <c r="AC232" s="1035"/>
      <c r="AD232" s="690"/>
      <c r="AE232" s="1025"/>
      <c r="AF232" s="1030"/>
      <c r="AG232" s="690"/>
      <c r="AH232" s="690"/>
      <c r="AI232" s="696">
        <f t="shared" si="32"/>
        <v>5068554</v>
      </c>
      <c r="AJ232" s="697">
        <f t="shared" si="33"/>
        <v>4980050</v>
      </c>
      <c r="AK232" s="698"/>
      <c r="AL232" s="698"/>
    </row>
    <row r="233" spans="1:38" s="700" customFormat="1" ht="12.75" customHeight="1">
      <c r="A233" s="686" t="s">
        <v>202</v>
      </c>
      <c r="B233" s="686" t="s">
        <v>412</v>
      </c>
      <c r="C233" s="699" t="s">
        <v>198</v>
      </c>
      <c r="D233" s="699"/>
      <c r="E233" s="708"/>
      <c r="F233" s="709"/>
      <c r="G233" s="1025"/>
      <c r="H233" s="690"/>
      <c r="I233" s="1030"/>
      <c r="J233" s="690"/>
      <c r="K233" s="1030"/>
      <c r="L233" s="690"/>
      <c r="M233" s="1025"/>
      <c r="N233" s="1030"/>
      <c r="O233" s="692">
        <f t="shared" si="26"/>
        <v>0</v>
      </c>
      <c r="P233" s="690"/>
      <c r="Q233" s="690"/>
      <c r="R233" s="691">
        <f t="shared" si="27"/>
        <v>0</v>
      </c>
      <c r="S233" s="692">
        <f t="shared" si="28"/>
        <v>0</v>
      </c>
      <c r="T233" s="693">
        <f t="shared" si="29"/>
        <v>0</v>
      </c>
      <c r="U233" s="1035"/>
      <c r="V233" s="690"/>
      <c r="W233" s="1025"/>
      <c r="X233" s="1030"/>
      <c r="Y233" s="694">
        <f t="shared" si="30"/>
        <v>0</v>
      </c>
      <c r="Z233" s="690"/>
      <c r="AA233" s="690"/>
      <c r="AB233" s="695">
        <f t="shared" si="31"/>
        <v>0</v>
      </c>
      <c r="AC233" s="1035"/>
      <c r="AD233" s="690"/>
      <c r="AE233" s="1025"/>
      <c r="AF233" s="1030"/>
      <c r="AG233" s="690"/>
      <c r="AH233" s="690"/>
      <c r="AI233" s="696">
        <f t="shared" si="32"/>
        <v>0</v>
      </c>
      <c r="AJ233" s="697">
        <f t="shared" si="33"/>
        <v>0</v>
      </c>
      <c r="AK233" s="698"/>
      <c r="AL233" s="698"/>
    </row>
    <row r="234" spans="1:38" s="700" customFormat="1" ht="12.75" customHeight="1">
      <c r="A234" s="686" t="s">
        <v>202</v>
      </c>
      <c r="B234" s="686" t="s">
        <v>412</v>
      </c>
      <c r="C234" s="701" t="s">
        <v>362</v>
      </c>
      <c r="D234" s="701"/>
      <c r="E234" s="708"/>
      <c r="F234" s="709"/>
      <c r="G234" s="1025"/>
      <c r="H234" s="690"/>
      <c r="I234" s="1030"/>
      <c r="J234" s="690"/>
      <c r="K234" s="1030"/>
      <c r="L234" s="690"/>
      <c r="M234" s="1025"/>
      <c r="N234" s="1030"/>
      <c r="O234" s="692">
        <f t="shared" si="26"/>
        <v>0</v>
      </c>
      <c r="P234" s="690"/>
      <c r="Q234" s="690"/>
      <c r="R234" s="691">
        <f t="shared" si="27"/>
        <v>0</v>
      </c>
      <c r="S234" s="692">
        <f t="shared" si="28"/>
        <v>0</v>
      </c>
      <c r="T234" s="693">
        <f t="shared" si="29"/>
        <v>0</v>
      </c>
      <c r="U234" s="1035">
        <v>201550</v>
      </c>
      <c r="V234" s="690">
        <v>205123</v>
      </c>
      <c r="W234" s="1025"/>
      <c r="X234" s="1030"/>
      <c r="Y234" s="694">
        <f t="shared" si="30"/>
        <v>0</v>
      </c>
      <c r="Z234" s="690"/>
      <c r="AA234" s="690"/>
      <c r="AB234" s="695">
        <f t="shared" si="31"/>
        <v>0</v>
      </c>
      <c r="AC234" s="1035"/>
      <c r="AD234" s="690"/>
      <c r="AE234" s="1025"/>
      <c r="AF234" s="1030"/>
      <c r="AG234" s="690"/>
      <c r="AH234" s="690"/>
      <c r="AI234" s="696">
        <f t="shared" si="32"/>
        <v>201550</v>
      </c>
      <c r="AJ234" s="697">
        <f t="shared" si="33"/>
        <v>205123</v>
      </c>
      <c r="AK234" s="698"/>
      <c r="AL234" s="698"/>
    </row>
    <row r="235" spans="1:38" s="700" customFormat="1" ht="12.75" customHeight="1">
      <c r="A235" s="686" t="s">
        <v>202</v>
      </c>
      <c r="B235" s="686" t="s">
        <v>412</v>
      </c>
      <c r="C235" s="701" t="s">
        <v>158</v>
      </c>
      <c r="D235" s="701"/>
      <c r="E235" s="708"/>
      <c r="F235" s="709"/>
      <c r="G235" s="1025"/>
      <c r="H235" s="690"/>
      <c r="I235" s="1030"/>
      <c r="J235" s="690"/>
      <c r="K235" s="1030"/>
      <c r="L235" s="690"/>
      <c r="M235" s="1025"/>
      <c r="N235" s="1030"/>
      <c r="O235" s="692">
        <f t="shared" si="26"/>
        <v>0</v>
      </c>
      <c r="P235" s="690"/>
      <c r="Q235" s="690"/>
      <c r="R235" s="691">
        <f t="shared" si="27"/>
        <v>0</v>
      </c>
      <c r="S235" s="692">
        <f t="shared" si="28"/>
        <v>0</v>
      </c>
      <c r="T235" s="693">
        <f t="shared" si="29"/>
        <v>0</v>
      </c>
      <c r="U235" s="1035">
        <v>53450</v>
      </c>
      <c r="V235" s="818">
        <v>33169</v>
      </c>
      <c r="W235" s="1025"/>
      <c r="X235" s="1030"/>
      <c r="Y235" s="694">
        <f t="shared" si="30"/>
        <v>0</v>
      </c>
      <c r="Z235" s="690"/>
      <c r="AA235" s="690"/>
      <c r="AB235" s="695">
        <f t="shared" si="31"/>
        <v>0</v>
      </c>
      <c r="AC235" s="1035"/>
      <c r="AD235" s="690"/>
      <c r="AE235" s="1025"/>
      <c r="AF235" s="1030"/>
      <c r="AG235" s="690"/>
      <c r="AH235" s="690"/>
      <c r="AI235" s="696">
        <f t="shared" si="32"/>
        <v>53450</v>
      </c>
      <c r="AJ235" s="697">
        <f t="shared" si="33"/>
        <v>33169</v>
      </c>
      <c r="AK235" s="698"/>
      <c r="AL235" s="698"/>
    </row>
    <row r="236" spans="1:38" s="700" customFormat="1" ht="12.75" customHeight="1">
      <c r="A236" s="686" t="s">
        <v>202</v>
      </c>
      <c r="B236" s="686" t="s">
        <v>413</v>
      </c>
      <c r="C236" s="699" t="s">
        <v>159</v>
      </c>
      <c r="D236" s="699"/>
      <c r="E236" s="708"/>
      <c r="F236" s="709"/>
      <c r="G236" s="1025"/>
      <c r="H236" s="690"/>
      <c r="I236" s="1030"/>
      <c r="J236" s="690"/>
      <c r="K236" s="1030"/>
      <c r="L236" s="690"/>
      <c r="M236" s="1025"/>
      <c r="N236" s="1030"/>
      <c r="O236" s="692">
        <f t="shared" si="26"/>
        <v>0</v>
      </c>
      <c r="P236" s="690"/>
      <c r="Q236" s="690"/>
      <c r="R236" s="691">
        <f t="shared" si="27"/>
        <v>0</v>
      </c>
      <c r="S236" s="692">
        <f t="shared" si="28"/>
        <v>0</v>
      </c>
      <c r="T236" s="693">
        <f t="shared" si="29"/>
        <v>0</v>
      </c>
      <c r="U236" s="1035">
        <v>175001</v>
      </c>
      <c r="V236" s="818">
        <v>124442</v>
      </c>
      <c r="W236" s="1025"/>
      <c r="X236" s="1030"/>
      <c r="Y236" s="694">
        <f t="shared" si="30"/>
        <v>0</v>
      </c>
      <c r="Z236" s="690"/>
      <c r="AA236" s="690"/>
      <c r="AB236" s="695">
        <f t="shared" si="31"/>
        <v>0</v>
      </c>
      <c r="AC236" s="1035"/>
      <c r="AD236" s="690"/>
      <c r="AE236" s="1025"/>
      <c r="AF236" s="1030"/>
      <c r="AG236" s="690"/>
      <c r="AH236" s="690"/>
      <c r="AI236" s="696">
        <f t="shared" si="32"/>
        <v>175001</v>
      </c>
      <c r="AJ236" s="697">
        <f t="shared" si="33"/>
        <v>124442</v>
      </c>
      <c r="AK236" s="698"/>
      <c r="AL236" s="698"/>
    </row>
    <row r="237" spans="1:38" s="700" customFormat="1" ht="12.75" customHeight="1">
      <c r="A237" s="686" t="s">
        <v>202</v>
      </c>
      <c r="B237" s="686" t="s">
        <v>414</v>
      </c>
      <c r="C237" s="710" t="s">
        <v>160</v>
      </c>
      <c r="D237" s="710"/>
      <c r="E237" s="708"/>
      <c r="F237" s="709"/>
      <c r="G237" s="1025"/>
      <c r="H237" s="690"/>
      <c r="I237" s="1030"/>
      <c r="J237" s="690"/>
      <c r="K237" s="1030"/>
      <c r="L237" s="690"/>
      <c r="M237" s="1025"/>
      <c r="N237" s="1030"/>
      <c r="O237" s="692">
        <f t="shared" si="26"/>
        <v>0</v>
      </c>
      <c r="P237" s="690"/>
      <c r="Q237" s="690"/>
      <c r="R237" s="691">
        <f t="shared" si="27"/>
        <v>0</v>
      </c>
      <c r="S237" s="692">
        <f t="shared" si="28"/>
        <v>0</v>
      </c>
      <c r="T237" s="693">
        <f t="shared" si="29"/>
        <v>0</v>
      </c>
      <c r="U237" s="1035"/>
      <c r="V237" s="690"/>
      <c r="W237" s="1025"/>
      <c r="X237" s="1030"/>
      <c r="Y237" s="694">
        <f t="shared" si="30"/>
        <v>0</v>
      </c>
      <c r="Z237" s="690"/>
      <c r="AA237" s="690"/>
      <c r="AB237" s="695">
        <f t="shared" si="31"/>
        <v>0</v>
      </c>
      <c r="AC237" s="1035"/>
      <c r="AD237" s="690"/>
      <c r="AE237" s="1025"/>
      <c r="AF237" s="1030"/>
      <c r="AG237" s="690"/>
      <c r="AH237" s="690"/>
      <c r="AI237" s="696">
        <f t="shared" si="32"/>
        <v>0</v>
      </c>
      <c r="AJ237" s="697">
        <f t="shared" si="33"/>
        <v>0</v>
      </c>
      <c r="AK237" s="698"/>
      <c r="AL237" s="698"/>
    </row>
    <row r="238" spans="1:38" s="700" customFormat="1" ht="12.75" customHeight="1">
      <c r="A238" s="686" t="s">
        <v>202</v>
      </c>
      <c r="B238" s="686" t="s">
        <v>414</v>
      </c>
      <c r="C238" s="701" t="s">
        <v>161</v>
      </c>
      <c r="D238" s="701"/>
      <c r="E238" s="708"/>
      <c r="F238" s="709"/>
      <c r="G238" s="1025"/>
      <c r="H238" s="690"/>
      <c r="I238" s="1030"/>
      <c r="J238" s="690"/>
      <c r="K238" s="1030"/>
      <c r="L238" s="690"/>
      <c r="M238" s="1025"/>
      <c r="N238" s="1030"/>
      <c r="O238" s="692">
        <f t="shared" si="26"/>
        <v>0</v>
      </c>
      <c r="P238" s="690"/>
      <c r="Q238" s="690"/>
      <c r="R238" s="691">
        <f t="shared" si="27"/>
        <v>0</v>
      </c>
      <c r="S238" s="692">
        <f t="shared" si="28"/>
        <v>0</v>
      </c>
      <c r="T238" s="693">
        <f t="shared" si="29"/>
        <v>0</v>
      </c>
      <c r="U238" s="1035">
        <v>362332</v>
      </c>
      <c r="V238" s="690">
        <v>359229</v>
      </c>
      <c r="W238" s="1025"/>
      <c r="X238" s="1030"/>
      <c r="Y238" s="694">
        <f t="shared" si="30"/>
        <v>0</v>
      </c>
      <c r="Z238" s="690"/>
      <c r="AA238" s="690"/>
      <c r="AB238" s="695">
        <f t="shared" si="31"/>
        <v>0</v>
      </c>
      <c r="AC238" s="1035"/>
      <c r="AD238" s="690"/>
      <c r="AE238" s="1025"/>
      <c r="AF238" s="1030"/>
      <c r="AG238" s="690"/>
      <c r="AH238" s="690"/>
      <c r="AI238" s="696">
        <f t="shared" si="32"/>
        <v>362332</v>
      </c>
      <c r="AJ238" s="697">
        <f t="shared" si="33"/>
        <v>359229</v>
      </c>
      <c r="AK238" s="698"/>
      <c r="AL238" s="698"/>
    </row>
    <row r="239" spans="1:38" s="700" customFormat="1" ht="12.75" customHeight="1">
      <c r="A239" s="686" t="s">
        <v>202</v>
      </c>
      <c r="B239" s="686" t="s">
        <v>414</v>
      </c>
      <c r="C239" s="701" t="s">
        <v>162</v>
      </c>
      <c r="D239" s="701"/>
      <c r="E239" s="708"/>
      <c r="F239" s="709"/>
      <c r="G239" s="1025"/>
      <c r="H239" s="690"/>
      <c r="I239" s="1030"/>
      <c r="J239" s="690"/>
      <c r="K239" s="1030"/>
      <c r="L239" s="690"/>
      <c r="M239" s="1025"/>
      <c r="N239" s="1030"/>
      <c r="O239" s="692">
        <f t="shared" si="26"/>
        <v>0</v>
      </c>
      <c r="P239" s="690"/>
      <c r="Q239" s="690"/>
      <c r="R239" s="691">
        <f t="shared" si="27"/>
        <v>0</v>
      </c>
      <c r="S239" s="692">
        <f t="shared" si="28"/>
        <v>0</v>
      </c>
      <c r="T239" s="693">
        <f t="shared" si="29"/>
        <v>0</v>
      </c>
      <c r="U239" s="1035">
        <v>837356</v>
      </c>
      <c r="V239" s="690">
        <v>830185</v>
      </c>
      <c r="W239" s="1025"/>
      <c r="X239" s="1030"/>
      <c r="Y239" s="694">
        <f t="shared" si="30"/>
        <v>0</v>
      </c>
      <c r="Z239" s="690"/>
      <c r="AA239" s="690"/>
      <c r="AB239" s="695">
        <f t="shared" si="31"/>
        <v>0</v>
      </c>
      <c r="AC239" s="1035"/>
      <c r="AD239" s="690"/>
      <c r="AE239" s="1025"/>
      <c r="AF239" s="1030"/>
      <c r="AG239" s="690"/>
      <c r="AH239" s="690"/>
      <c r="AI239" s="696">
        <f t="shared" si="32"/>
        <v>837356</v>
      </c>
      <c r="AJ239" s="697">
        <f t="shared" si="33"/>
        <v>830185</v>
      </c>
      <c r="AK239" s="698"/>
      <c r="AL239" s="698"/>
    </row>
    <row r="240" spans="1:38" s="700" customFormat="1" ht="12.75" customHeight="1">
      <c r="A240" s="686" t="s">
        <v>202</v>
      </c>
      <c r="B240" s="686" t="s">
        <v>414</v>
      </c>
      <c r="C240" s="701" t="s">
        <v>163</v>
      </c>
      <c r="D240" s="701"/>
      <c r="E240" s="708"/>
      <c r="F240" s="709"/>
      <c r="G240" s="1025"/>
      <c r="H240" s="690"/>
      <c r="I240" s="1030"/>
      <c r="J240" s="690"/>
      <c r="K240" s="1030"/>
      <c r="L240" s="690"/>
      <c r="M240" s="1025"/>
      <c r="N240" s="1030"/>
      <c r="O240" s="692">
        <f t="shared" si="26"/>
        <v>0</v>
      </c>
      <c r="P240" s="690"/>
      <c r="Q240" s="690"/>
      <c r="R240" s="691">
        <f t="shared" si="27"/>
        <v>0</v>
      </c>
      <c r="S240" s="692">
        <f t="shared" si="28"/>
        <v>0</v>
      </c>
      <c r="T240" s="693">
        <f t="shared" si="29"/>
        <v>0</v>
      </c>
      <c r="U240" s="1035">
        <v>9494174</v>
      </c>
      <c r="V240" s="690">
        <v>9412870</v>
      </c>
      <c r="W240" s="1025"/>
      <c r="X240" s="1030"/>
      <c r="Y240" s="694">
        <f t="shared" si="30"/>
        <v>0</v>
      </c>
      <c r="Z240" s="690"/>
      <c r="AA240" s="690"/>
      <c r="AB240" s="695">
        <f t="shared" si="31"/>
        <v>0</v>
      </c>
      <c r="AC240" s="1035"/>
      <c r="AD240" s="690"/>
      <c r="AE240" s="1025"/>
      <c r="AF240" s="1030"/>
      <c r="AG240" s="690"/>
      <c r="AH240" s="690"/>
      <c r="AI240" s="696">
        <f t="shared" si="32"/>
        <v>9494174</v>
      </c>
      <c r="AJ240" s="697">
        <f t="shared" si="33"/>
        <v>9412870</v>
      </c>
      <c r="AK240" s="698"/>
      <c r="AL240" s="698"/>
    </row>
    <row r="241" spans="1:38" s="700" customFormat="1" ht="12.75" customHeight="1">
      <c r="A241" s="686" t="s">
        <v>202</v>
      </c>
      <c r="B241" s="686" t="s">
        <v>414</v>
      </c>
      <c r="C241" s="701" t="s">
        <v>164</v>
      </c>
      <c r="D241" s="701"/>
      <c r="E241" s="708"/>
      <c r="F241" s="709"/>
      <c r="G241" s="1025"/>
      <c r="H241" s="690"/>
      <c r="I241" s="1030"/>
      <c r="J241" s="690"/>
      <c r="K241" s="1030"/>
      <c r="L241" s="690"/>
      <c r="M241" s="1025"/>
      <c r="N241" s="1030"/>
      <c r="O241" s="692">
        <f t="shared" si="26"/>
        <v>0</v>
      </c>
      <c r="P241" s="690"/>
      <c r="Q241" s="690"/>
      <c r="R241" s="691">
        <f t="shared" si="27"/>
        <v>0</v>
      </c>
      <c r="S241" s="692">
        <f t="shared" si="28"/>
        <v>0</v>
      </c>
      <c r="T241" s="693">
        <f t="shared" si="29"/>
        <v>0</v>
      </c>
      <c r="U241" s="1035">
        <v>1779430</v>
      </c>
      <c r="V241" s="690">
        <v>2225000</v>
      </c>
      <c r="W241" s="1025"/>
      <c r="X241" s="1030"/>
      <c r="Y241" s="694">
        <f t="shared" si="30"/>
        <v>0</v>
      </c>
      <c r="Z241" s="690"/>
      <c r="AA241" s="690"/>
      <c r="AB241" s="695">
        <f t="shared" si="31"/>
        <v>0</v>
      </c>
      <c r="AC241" s="1035"/>
      <c r="AD241" s="690"/>
      <c r="AE241" s="1025"/>
      <c r="AF241" s="1030"/>
      <c r="AG241" s="690"/>
      <c r="AH241" s="690"/>
      <c r="AI241" s="696">
        <f t="shared" si="32"/>
        <v>1779430</v>
      </c>
      <c r="AJ241" s="697">
        <f t="shared" si="33"/>
        <v>2225000</v>
      </c>
      <c r="AK241" s="698"/>
      <c r="AL241" s="698"/>
    </row>
    <row r="242" spans="1:38" s="700" customFormat="1" ht="12.75" customHeight="1">
      <c r="A242" s="686" t="s">
        <v>202</v>
      </c>
      <c r="B242" s="686" t="s">
        <v>415</v>
      </c>
      <c r="C242" s="710" t="s">
        <v>165</v>
      </c>
      <c r="D242" s="710"/>
      <c r="E242" s="708"/>
      <c r="F242" s="709"/>
      <c r="G242" s="1025"/>
      <c r="H242" s="690"/>
      <c r="I242" s="1030"/>
      <c r="J242" s="690"/>
      <c r="K242" s="1030"/>
      <c r="L242" s="690"/>
      <c r="M242" s="1025"/>
      <c r="N242" s="1030"/>
      <c r="O242" s="692">
        <f t="shared" si="26"/>
        <v>0</v>
      </c>
      <c r="P242" s="690"/>
      <c r="Q242" s="690"/>
      <c r="R242" s="691">
        <f t="shared" si="27"/>
        <v>0</v>
      </c>
      <c r="S242" s="692">
        <f t="shared" si="28"/>
        <v>0</v>
      </c>
      <c r="T242" s="693">
        <f t="shared" si="29"/>
        <v>0</v>
      </c>
      <c r="U242" s="1035"/>
      <c r="V242" s="690"/>
      <c r="W242" s="1025"/>
      <c r="X242" s="1030"/>
      <c r="Y242" s="694">
        <f t="shared" si="30"/>
        <v>0</v>
      </c>
      <c r="Z242" s="690"/>
      <c r="AA242" s="690"/>
      <c r="AB242" s="695">
        <f t="shared" si="31"/>
        <v>0</v>
      </c>
      <c r="AC242" s="1035"/>
      <c r="AD242" s="690"/>
      <c r="AE242" s="1025"/>
      <c r="AF242" s="1030"/>
      <c r="AG242" s="690"/>
      <c r="AH242" s="690"/>
      <c r="AI242" s="696">
        <f t="shared" si="32"/>
        <v>0</v>
      </c>
      <c r="AJ242" s="697">
        <f t="shared" si="33"/>
        <v>0</v>
      </c>
      <c r="AK242" s="698"/>
      <c r="AL242" s="698"/>
    </row>
    <row r="243" spans="1:38" s="700" customFormat="1" ht="12.75" customHeight="1">
      <c r="A243" s="686" t="s">
        <v>202</v>
      </c>
      <c r="B243" s="686" t="s">
        <v>416</v>
      </c>
      <c r="C243" s="699" t="s">
        <v>166</v>
      </c>
      <c r="D243" s="699"/>
      <c r="E243" s="708"/>
      <c r="F243" s="709"/>
      <c r="G243" s="1025"/>
      <c r="H243" s="690"/>
      <c r="I243" s="1030"/>
      <c r="J243" s="690"/>
      <c r="K243" s="1030"/>
      <c r="L243" s="690"/>
      <c r="M243" s="1025"/>
      <c r="N243" s="1030"/>
      <c r="O243" s="692">
        <f t="shared" si="26"/>
        <v>0</v>
      </c>
      <c r="P243" s="690"/>
      <c r="Q243" s="690"/>
      <c r="R243" s="691">
        <f t="shared" si="27"/>
        <v>0</v>
      </c>
      <c r="S243" s="692">
        <f t="shared" si="28"/>
        <v>0</v>
      </c>
      <c r="T243" s="693">
        <f t="shared" si="29"/>
        <v>0</v>
      </c>
      <c r="U243" s="1035"/>
      <c r="V243" s="690"/>
      <c r="W243" s="1025"/>
      <c r="X243" s="1030"/>
      <c r="Y243" s="694">
        <f t="shared" si="30"/>
        <v>0</v>
      </c>
      <c r="Z243" s="690"/>
      <c r="AA243" s="690"/>
      <c r="AB243" s="695">
        <f t="shared" si="31"/>
        <v>0</v>
      </c>
      <c r="AC243" s="1035"/>
      <c r="AD243" s="690"/>
      <c r="AE243" s="1025"/>
      <c r="AF243" s="1030"/>
      <c r="AG243" s="690"/>
      <c r="AH243" s="690"/>
      <c r="AI243" s="696">
        <f t="shared" si="32"/>
        <v>0</v>
      </c>
      <c r="AJ243" s="697">
        <f t="shared" si="33"/>
        <v>0</v>
      </c>
      <c r="AK243" s="698"/>
      <c r="AL243" s="698"/>
    </row>
    <row r="244" spans="1:38" s="700" customFormat="1" ht="12.75" customHeight="1">
      <c r="A244" s="686" t="s">
        <v>202</v>
      </c>
      <c r="B244" s="686" t="s">
        <v>416</v>
      </c>
      <c r="C244" s="701" t="s">
        <v>167</v>
      </c>
      <c r="D244" s="701"/>
      <c r="E244" s="708"/>
      <c r="F244" s="709"/>
      <c r="G244" s="1025"/>
      <c r="H244" s="690"/>
      <c r="I244" s="1030"/>
      <c r="J244" s="690"/>
      <c r="K244" s="1030"/>
      <c r="L244" s="690"/>
      <c r="M244" s="1025"/>
      <c r="N244" s="1030"/>
      <c r="O244" s="692">
        <f t="shared" si="26"/>
        <v>0</v>
      </c>
      <c r="P244" s="690"/>
      <c r="Q244" s="690"/>
      <c r="R244" s="691">
        <f t="shared" si="27"/>
        <v>0</v>
      </c>
      <c r="S244" s="692">
        <f t="shared" si="28"/>
        <v>0</v>
      </c>
      <c r="T244" s="693">
        <f t="shared" si="29"/>
        <v>0</v>
      </c>
      <c r="U244" s="1035"/>
      <c r="V244" s="690"/>
      <c r="W244" s="1025"/>
      <c r="X244" s="1030"/>
      <c r="Y244" s="694">
        <f t="shared" si="30"/>
        <v>0</v>
      </c>
      <c r="Z244" s="690"/>
      <c r="AA244" s="690"/>
      <c r="AB244" s="695">
        <f t="shared" si="31"/>
        <v>0</v>
      </c>
      <c r="AC244" s="1035"/>
      <c r="AD244" s="690"/>
      <c r="AE244" s="1025"/>
      <c r="AF244" s="1030"/>
      <c r="AG244" s="690"/>
      <c r="AH244" s="690"/>
      <c r="AI244" s="696">
        <f t="shared" si="32"/>
        <v>0</v>
      </c>
      <c r="AJ244" s="697">
        <f t="shared" si="33"/>
        <v>0</v>
      </c>
      <c r="AK244" s="698"/>
      <c r="AL244" s="698"/>
    </row>
    <row r="245" spans="1:38" s="700" customFormat="1" ht="12.75" customHeight="1">
      <c r="A245" s="686" t="s">
        <v>202</v>
      </c>
      <c r="B245" s="686" t="s">
        <v>417</v>
      </c>
      <c r="C245" s="699" t="s">
        <v>168</v>
      </c>
      <c r="D245" s="699"/>
      <c r="E245" s="708"/>
      <c r="F245" s="709"/>
      <c r="G245" s="1025"/>
      <c r="H245" s="690"/>
      <c r="I245" s="1030"/>
      <c r="J245" s="690"/>
      <c r="K245" s="1030"/>
      <c r="L245" s="690"/>
      <c r="M245" s="1025"/>
      <c r="N245" s="1030"/>
      <c r="O245" s="692">
        <f t="shared" si="26"/>
        <v>0</v>
      </c>
      <c r="P245" s="690"/>
      <c r="Q245" s="690"/>
      <c r="R245" s="691">
        <f t="shared" si="27"/>
        <v>0</v>
      </c>
      <c r="S245" s="692">
        <f t="shared" si="28"/>
        <v>0</v>
      </c>
      <c r="T245" s="693">
        <f t="shared" si="29"/>
        <v>0</v>
      </c>
      <c r="U245" s="1035"/>
      <c r="V245" s="690"/>
      <c r="W245" s="1025"/>
      <c r="X245" s="1030"/>
      <c r="Y245" s="694">
        <f t="shared" si="30"/>
        <v>0</v>
      </c>
      <c r="Z245" s="690"/>
      <c r="AA245" s="690"/>
      <c r="AB245" s="695">
        <f t="shared" si="31"/>
        <v>0</v>
      </c>
      <c r="AC245" s="1035"/>
      <c r="AD245" s="690"/>
      <c r="AE245" s="1025"/>
      <c r="AF245" s="1030"/>
      <c r="AG245" s="690"/>
      <c r="AH245" s="690"/>
      <c r="AI245" s="696">
        <f t="shared" si="32"/>
        <v>0</v>
      </c>
      <c r="AJ245" s="697">
        <f t="shared" si="33"/>
        <v>0</v>
      </c>
      <c r="AK245" s="698"/>
      <c r="AL245" s="698"/>
    </row>
    <row r="246" spans="1:38" s="700" customFormat="1" ht="12.75" customHeight="1">
      <c r="A246" s="686" t="s">
        <v>202</v>
      </c>
      <c r="B246" s="686" t="s">
        <v>418</v>
      </c>
      <c r="C246" s="699" t="s">
        <v>197</v>
      </c>
      <c r="D246" s="699"/>
      <c r="E246" s="708"/>
      <c r="F246" s="709"/>
      <c r="G246" s="1025"/>
      <c r="H246" s="690"/>
      <c r="I246" s="1030"/>
      <c r="J246" s="690"/>
      <c r="K246" s="1030"/>
      <c r="L246" s="690"/>
      <c r="M246" s="1025"/>
      <c r="N246" s="1030"/>
      <c r="O246" s="692">
        <f t="shared" si="26"/>
        <v>0</v>
      </c>
      <c r="P246" s="690"/>
      <c r="Q246" s="690"/>
      <c r="R246" s="691">
        <f t="shared" si="27"/>
        <v>0</v>
      </c>
      <c r="S246" s="692">
        <f t="shared" si="28"/>
        <v>0</v>
      </c>
      <c r="T246" s="693">
        <f t="shared" si="29"/>
        <v>0</v>
      </c>
      <c r="U246" s="1035">
        <v>40500</v>
      </c>
      <c r="V246" s="690">
        <v>40500</v>
      </c>
      <c r="W246" s="1025"/>
      <c r="X246" s="1030"/>
      <c r="Y246" s="694">
        <f t="shared" si="30"/>
        <v>0</v>
      </c>
      <c r="Z246" s="690"/>
      <c r="AA246" s="690"/>
      <c r="AB246" s="695">
        <f t="shared" si="31"/>
        <v>0</v>
      </c>
      <c r="AC246" s="1035"/>
      <c r="AD246" s="690"/>
      <c r="AE246" s="1025"/>
      <c r="AF246" s="1030"/>
      <c r="AG246" s="690"/>
      <c r="AH246" s="690"/>
      <c r="AI246" s="696">
        <f t="shared" si="32"/>
        <v>40500</v>
      </c>
      <c r="AJ246" s="697">
        <f t="shared" si="33"/>
        <v>40500</v>
      </c>
      <c r="AK246" s="698"/>
      <c r="AL246" s="698"/>
    </row>
    <row r="247" spans="1:38" s="700" customFormat="1" ht="12.75" customHeight="1">
      <c r="A247" s="686" t="s">
        <v>202</v>
      </c>
      <c r="B247" s="686" t="s">
        <v>419</v>
      </c>
      <c r="C247" s="710" t="s">
        <v>50</v>
      </c>
      <c r="D247" s="710"/>
      <c r="E247" s="708"/>
      <c r="F247" s="709"/>
      <c r="G247" s="1025"/>
      <c r="H247" s="690"/>
      <c r="I247" s="1030"/>
      <c r="J247" s="690"/>
      <c r="K247" s="1030"/>
      <c r="L247" s="690"/>
      <c r="M247" s="1025"/>
      <c r="N247" s="1030"/>
      <c r="O247" s="692">
        <f t="shared" si="26"/>
        <v>0</v>
      </c>
      <c r="P247" s="690"/>
      <c r="Q247" s="690"/>
      <c r="R247" s="691">
        <f t="shared" si="27"/>
        <v>0</v>
      </c>
      <c r="S247" s="692">
        <f t="shared" si="28"/>
        <v>0</v>
      </c>
      <c r="T247" s="693">
        <f t="shared" si="29"/>
        <v>0</v>
      </c>
      <c r="U247" s="1035"/>
      <c r="V247" s="690"/>
      <c r="W247" s="1025"/>
      <c r="X247" s="1030"/>
      <c r="Y247" s="694">
        <f t="shared" si="30"/>
        <v>0</v>
      </c>
      <c r="Z247" s="690"/>
      <c r="AA247" s="690"/>
      <c r="AB247" s="695">
        <f t="shared" si="31"/>
        <v>0</v>
      </c>
      <c r="AC247" s="1035"/>
      <c r="AD247" s="690"/>
      <c r="AE247" s="1025"/>
      <c r="AF247" s="1030"/>
      <c r="AG247" s="690"/>
      <c r="AH247" s="690"/>
      <c r="AI247" s="696">
        <f t="shared" si="32"/>
        <v>0</v>
      </c>
      <c r="AJ247" s="697">
        <f t="shared" si="33"/>
        <v>0</v>
      </c>
      <c r="AK247" s="698"/>
      <c r="AL247" s="698"/>
    </row>
    <row r="248" spans="1:38" s="700" customFormat="1" ht="12.75" customHeight="1">
      <c r="A248" s="686" t="s">
        <v>202</v>
      </c>
      <c r="B248" s="686" t="s">
        <v>420</v>
      </c>
      <c r="C248" s="711" t="s">
        <v>51</v>
      </c>
      <c r="D248" s="711"/>
      <c r="E248" s="708"/>
      <c r="F248" s="709"/>
      <c r="G248" s="1025"/>
      <c r="H248" s="690"/>
      <c r="I248" s="1030"/>
      <c r="J248" s="690"/>
      <c r="K248" s="1030"/>
      <c r="L248" s="690"/>
      <c r="M248" s="1025"/>
      <c r="N248" s="1030"/>
      <c r="O248" s="692">
        <f t="shared" si="26"/>
        <v>0</v>
      </c>
      <c r="P248" s="690"/>
      <c r="Q248" s="690"/>
      <c r="R248" s="691">
        <f t="shared" si="27"/>
        <v>0</v>
      </c>
      <c r="S248" s="692">
        <f t="shared" si="28"/>
        <v>0</v>
      </c>
      <c r="T248" s="693">
        <f t="shared" si="29"/>
        <v>0</v>
      </c>
      <c r="U248" s="1035"/>
      <c r="V248" s="690"/>
      <c r="W248" s="1025"/>
      <c r="X248" s="1030"/>
      <c r="Y248" s="694">
        <f t="shared" si="30"/>
        <v>0</v>
      </c>
      <c r="Z248" s="690"/>
      <c r="AA248" s="690"/>
      <c r="AB248" s="695">
        <f t="shared" si="31"/>
        <v>0</v>
      </c>
      <c r="AC248" s="1035"/>
      <c r="AD248" s="690"/>
      <c r="AE248" s="1025"/>
      <c r="AF248" s="1030"/>
      <c r="AG248" s="690"/>
      <c r="AH248" s="690"/>
      <c r="AI248" s="696">
        <f t="shared" si="32"/>
        <v>0</v>
      </c>
      <c r="AJ248" s="697">
        <f t="shared" si="33"/>
        <v>0</v>
      </c>
      <c r="AK248" s="698"/>
      <c r="AL248" s="698"/>
    </row>
    <row r="249" spans="1:38" s="700" customFormat="1" ht="12.75" customHeight="1">
      <c r="A249" s="686" t="s">
        <v>202</v>
      </c>
      <c r="B249" s="686" t="s">
        <v>420</v>
      </c>
      <c r="C249" s="712" t="s">
        <v>52</v>
      </c>
      <c r="D249" s="712"/>
      <c r="E249" s="708"/>
      <c r="F249" s="709"/>
      <c r="G249" s="1025"/>
      <c r="H249" s="690"/>
      <c r="I249" s="1030"/>
      <c r="J249" s="690"/>
      <c r="K249" s="1030"/>
      <c r="L249" s="690"/>
      <c r="M249" s="1025"/>
      <c r="N249" s="1030"/>
      <c r="O249" s="692">
        <f t="shared" si="26"/>
        <v>0</v>
      </c>
      <c r="P249" s="690"/>
      <c r="Q249" s="690"/>
      <c r="R249" s="691">
        <f t="shared" si="27"/>
        <v>0</v>
      </c>
      <c r="S249" s="692">
        <f t="shared" si="28"/>
        <v>0</v>
      </c>
      <c r="T249" s="693">
        <f t="shared" si="29"/>
        <v>0</v>
      </c>
      <c r="U249" s="1035"/>
      <c r="V249" s="690"/>
      <c r="W249" s="1025"/>
      <c r="X249" s="1030"/>
      <c r="Y249" s="694">
        <f t="shared" si="30"/>
        <v>0</v>
      </c>
      <c r="Z249" s="690"/>
      <c r="AA249" s="690"/>
      <c r="AB249" s="695">
        <f t="shared" si="31"/>
        <v>0</v>
      </c>
      <c r="AC249" s="1035"/>
      <c r="AD249" s="690"/>
      <c r="AE249" s="1025"/>
      <c r="AF249" s="1030"/>
      <c r="AG249" s="690"/>
      <c r="AH249" s="690"/>
      <c r="AI249" s="696">
        <f t="shared" si="32"/>
        <v>0</v>
      </c>
      <c r="AJ249" s="697">
        <f t="shared" si="33"/>
        <v>0</v>
      </c>
      <c r="AK249" s="698"/>
      <c r="AL249" s="698"/>
    </row>
    <row r="250" spans="1:38" s="700" customFormat="1" ht="12.75" customHeight="1">
      <c r="A250" s="686" t="s">
        <v>202</v>
      </c>
      <c r="B250" s="686" t="s">
        <v>442</v>
      </c>
      <c r="C250" s="713" t="s">
        <v>443</v>
      </c>
      <c r="D250" s="713"/>
      <c r="E250" s="708"/>
      <c r="F250" s="709"/>
      <c r="G250" s="1025"/>
      <c r="H250" s="690"/>
      <c r="I250" s="1030"/>
      <c r="J250" s="690"/>
      <c r="K250" s="1030"/>
      <c r="L250" s="690"/>
      <c r="M250" s="1025"/>
      <c r="N250" s="1030"/>
      <c r="O250" s="692">
        <f t="shared" si="26"/>
        <v>0</v>
      </c>
      <c r="P250" s="690"/>
      <c r="Q250" s="690"/>
      <c r="R250" s="691">
        <f t="shared" si="27"/>
        <v>0</v>
      </c>
      <c r="S250" s="692">
        <f t="shared" si="28"/>
        <v>0</v>
      </c>
      <c r="T250" s="693">
        <f t="shared" si="29"/>
        <v>0</v>
      </c>
      <c r="U250" s="1035"/>
      <c r="V250" s="690"/>
      <c r="W250" s="1025"/>
      <c r="X250" s="1030"/>
      <c r="Y250" s="694">
        <f t="shared" si="30"/>
        <v>0</v>
      </c>
      <c r="Z250" s="690"/>
      <c r="AA250" s="690"/>
      <c r="AB250" s="695">
        <f t="shared" si="31"/>
        <v>0</v>
      </c>
      <c r="AC250" s="1035"/>
      <c r="AD250" s="690"/>
      <c r="AE250" s="1025"/>
      <c r="AF250" s="1030"/>
      <c r="AG250" s="690"/>
      <c r="AH250" s="690"/>
      <c r="AI250" s="696">
        <f t="shared" si="32"/>
        <v>0</v>
      </c>
      <c r="AJ250" s="697">
        <f t="shared" si="33"/>
        <v>0</v>
      </c>
      <c r="AK250" s="698"/>
      <c r="AL250" s="698"/>
    </row>
    <row r="251" spans="1:38" s="700" customFormat="1" ht="12.75" customHeight="1">
      <c r="A251" s="686" t="s">
        <v>202</v>
      </c>
      <c r="B251" s="686" t="s">
        <v>379</v>
      </c>
      <c r="C251" s="713" t="s">
        <v>377</v>
      </c>
      <c r="D251" s="713"/>
      <c r="E251" s="708"/>
      <c r="F251" s="709"/>
      <c r="G251" s="1025"/>
      <c r="H251" s="690"/>
      <c r="I251" s="1030"/>
      <c r="J251" s="690"/>
      <c r="K251" s="1030"/>
      <c r="L251" s="690"/>
      <c r="M251" s="1025"/>
      <c r="N251" s="1030"/>
      <c r="O251" s="692">
        <f t="shared" si="26"/>
        <v>0</v>
      </c>
      <c r="P251" s="690"/>
      <c r="Q251" s="690"/>
      <c r="R251" s="691">
        <f t="shared" si="27"/>
        <v>0</v>
      </c>
      <c r="S251" s="692">
        <f t="shared" si="28"/>
        <v>0</v>
      </c>
      <c r="T251" s="693">
        <f t="shared" si="29"/>
        <v>0</v>
      </c>
      <c r="U251" s="1035">
        <v>1040920</v>
      </c>
      <c r="V251" s="690">
        <v>1031038</v>
      </c>
      <c r="W251" s="1025"/>
      <c r="X251" s="1030"/>
      <c r="Y251" s="694">
        <f t="shared" si="30"/>
        <v>0</v>
      </c>
      <c r="Z251" s="690"/>
      <c r="AA251" s="690"/>
      <c r="AB251" s="695">
        <f t="shared" si="31"/>
        <v>0</v>
      </c>
      <c r="AC251" s="1035"/>
      <c r="AD251" s="690"/>
      <c r="AE251" s="1025"/>
      <c r="AF251" s="1030"/>
      <c r="AG251" s="690"/>
      <c r="AH251" s="690"/>
      <c r="AI251" s="696">
        <f t="shared" si="32"/>
        <v>1040920</v>
      </c>
      <c r="AJ251" s="697">
        <f t="shared" si="33"/>
        <v>1031038</v>
      </c>
      <c r="AK251" s="698"/>
      <c r="AL251" s="698"/>
    </row>
    <row r="252" spans="1:38" s="700" customFormat="1" ht="12.75" customHeight="1">
      <c r="A252" s="686" t="s">
        <v>202</v>
      </c>
      <c r="B252" s="714" t="s">
        <v>295</v>
      </c>
      <c r="C252" s="713" t="s">
        <v>53</v>
      </c>
      <c r="D252" s="713"/>
      <c r="E252" s="708"/>
      <c r="F252" s="709"/>
      <c r="G252" s="1025"/>
      <c r="H252" s="690"/>
      <c r="I252" s="1030"/>
      <c r="J252" s="690"/>
      <c r="K252" s="1030"/>
      <c r="L252" s="690"/>
      <c r="M252" s="1025"/>
      <c r="N252" s="1030"/>
      <c r="O252" s="692">
        <f t="shared" si="26"/>
        <v>0</v>
      </c>
      <c r="P252" s="690"/>
      <c r="Q252" s="690"/>
      <c r="R252" s="691">
        <f t="shared" si="27"/>
        <v>0</v>
      </c>
      <c r="S252" s="692">
        <f t="shared" si="28"/>
        <v>0</v>
      </c>
      <c r="T252" s="693">
        <f t="shared" si="29"/>
        <v>0</v>
      </c>
      <c r="U252" s="1035"/>
      <c r="V252" s="690"/>
      <c r="W252" s="1025"/>
      <c r="X252" s="1030"/>
      <c r="Y252" s="694">
        <f t="shared" si="30"/>
        <v>0</v>
      </c>
      <c r="Z252" s="690"/>
      <c r="AA252" s="690"/>
      <c r="AB252" s="695">
        <f t="shared" si="31"/>
        <v>0</v>
      </c>
      <c r="AC252" s="1035"/>
      <c r="AD252" s="690"/>
      <c r="AE252" s="1025"/>
      <c r="AF252" s="1030"/>
      <c r="AG252" s="690"/>
      <c r="AH252" s="690"/>
      <c r="AI252" s="696">
        <f t="shared" si="32"/>
        <v>0</v>
      </c>
      <c r="AJ252" s="697">
        <f t="shared" si="33"/>
        <v>0</v>
      </c>
      <c r="AK252" s="698"/>
      <c r="AL252" s="698"/>
    </row>
    <row r="253" spans="1:38" s="700" customFormat="1" ht="12.75" customHeight="1">
      <c r="A253" s="686" t="s">
        <v>202</v>
      </c>
      <c r="B253" s="714" t="s">
        <v>296</v>
      </c>
      <c r="C253" s="713" t="s">
        <v>443</v>
      </c>
      <c r="D253" s="713"/>
      <c r="E253" s="708"/>
      <c r="F253" s="709"/>
      <c r="G253" s="1025"/>
      <c r="H253" s="690"/>
      <c r="I253" s="1030"/>
      <c r="J253" s="690"/>
      <c r="K253" s="1030"/>
      <c r="L253" s="690"/>
      <c r="M253" s="1025"/>
      <c r="N253" s="1030"/>
      <c r="O253" s="692">
        <f t="shared" si="26"/>
        <v>0</v>
      </c>
      <c r="P253" s="690"/>
      <c r="Q253" s="690"/>
      <c r="R253" s="691">
        <f t="shared" si="27"/>
        <v>0</v>
      </c>
      <c r="S253" s="692">
        <f t="shared" si="28"/>
        <v>0</v>
      </c>
      <c r="T253" s="693">
        <f t="shared" si="29"/>
        <v>0</v>
      </c>
      <c r="U253" s="1035"/>
      <c r="V253" s="690"/>
      <c r="W253" s="1025"/>
      <c r="X253" s="1030"/>
      <c r="Y253" s="694">
        <f t="shared" si="30"/>
        <v>0</v>
      </c>
      <c r="Z253" s="690"/>
      <c r="AA253" s="690"/>
      <c r="AB253" s="695">
        <f t="shared" si="31"/>
        <v>0</v>
      </c>
      <c r="AC253" s="1035"/>
      <c r="AD253" s="690"/>
      <c r="AE253" s="1025"/>
      <c r="AF253" s="1030"/>
      <c r="AG253" s="690"/>
      <c r="AH253" s="690"/>
      <c r="AI253" s="696">
        <f t="shared" si="32"/>
        <v>0</v>
      </c>
      <c r="AJ253" s="697">
        <f t="shared" si="33"/>
        <v>0</v>
      </c>
      <c r="AK253" s="698"/>
      <c r="AL253" s="698"/>
    </row>
    <row r="254" spans="1:38" s="700" customFormat="1" ht="12.75" customHeight="1">
      <c r="A254" s="686" t="s">
        <v>202</v>
      </c>
      <c r="B254" s="714" t="s">
        <v>278</v>
      </c>
      <c r="C254" s="713" t="s">
        <v>377</v>
      </c>
      <c r="D254" s="713"/>
      <c r="E254" s="708"/>
      <c r="F254" s="709"/>
      <c r="G254" s="1025"/>
      <c r="H254" s="690"/>
      <c r="I254" s="1030"/>
      <c r="J254" s="690"/>
      <c r="K254" s="1030"/>
      <c r="L254" s="690"/>
      <c r="M254" s="1025"/>
      <c r="N254" s="1030"/>
      <c r="O254" s="692">
        <f t="shared" si="26"/>
        <v>0</v>
      </c>
      <c r="P254" s="690"/>
      <c r="Q254" s="690"/>
      <c r="R254" s="691">
        <f t="shared" si="27"/>
        <v>0</v>
      </c>
      <c r="S254" s="692">
        <f t="shared" si="28"/>
        <v>0</v>
      </c>
      <c r="T254" s="693">
        <f t="shared" si="29"/>
        <v>0</v>
      </c>
      <c r="U254" s="1035"/>
      <c r="V254" s="690"/>
      <c r="W254" s="1025"/>
      <c r="X254" s="1030"/>
      <c r="Y254" s="694">
        <f t="shared" si="30"/>
        <v>0</v>
      </c>
      <c r="Z254" s="690"/>
      <c r="AA254" s="690"/>
      <c r="AB254" s="695">
        <f t="shared" si="31"/>
        <v>0</v>
      </c>
      <c r="AC254" s="1035"/>
      <c r="AD254" s="690"/>
      <c r="AE254" s="1025"/>
      <c r="AF254" s="1030"/>
      <c r="AG254" s="690"/>
      <c r="AH254" s="690"/>
      <c r="AI254" s="696">
        <f t="shared" si="32"/>
        <v>0</v>
      </c>
      <c r="AJ254" s="697">
        <f t="shared" si="33"/>
        <v>0</v>
      </c>
      <c r="AK254" s="698"/>
      <c r="AL254" s="698"/>
    </row>
    <row r="255" spans="1:38" s="700" customFormat="1" ht="12.75" customHeight="1">
      <c r="A255" s="686" t="s">
        <v>202</v>
      </c>
      <c r="B255" s="714" t="s">
        <v>279</v>
      </c>
      <c r="C255" s="713" t="s">
        <v>54</v>
      </c>
      <c r="D255" s="713"/>
      <c r="E255" s="708"/>
      <c r="F255" s="709"/>
      <c r="G255" s="1025"/>
      <c r="H255" s="690"/>
      <c r="I255" s="1030"/>
      <c r="J255" s="690"/>
      <c r="K255" s="1030"/>
      <c r="L255" s="690"/>
      <c r="M255" s="1025"/>
      <c r="N255" s="1030"/>
      <c r="O255" s="692">
        <f t="shared" si="26"/>
        <v>0</v>
      </c>
      <c r="P255" s="690"/>
      <c r="Q255" s="690"/>
      <c r="R255" s="691">
        <f t="shared" si="27"/>
        <v>0</v>
      </c>
      <c r="S255" s="692">
        <f t="shared" si="28"/>
        <v>0</v>
      </c>
      <c r="T255" s="693">
        <f t="shared" si="29"/>
        <v>0</v>
      </c>
      <c r="U255" s="1035"/>
      <c r="V255" s="690"/>
      <c r="W255" s="1025"/>
      <c r="X255" s="1030"/>
      <c r="Y255" s="694">
        <f t="shared" si="30"/>
        <v>0</v>
      </c>
      <c r="Z255" s="690"/>
      <c r="AA255" s="690"/>
      <c r="AB255" s="695">
        <f t="shared" si="31"/>
        <v>0</v>
      </c>
      <c r="AC255" s="1035"/>
      <c r="AD255" s="690"/>
      <c r="AE255" s="1025"/>
      <c r="AF255" s="1030"/>
      <c r="AG255" s="690"/>
      <c r="AH255" s="690"/>
      <c r="AI255" s="696">
        <f t="shared" si="32"/>
        <v>0</v>
      </c>
      <c r="AJ255" s="697">
        <f t="shared" si="33"/>
        <v>0</v>
      </c>
      <c r="AK255" s="698"/>
      <c r="AL255" s="698"/>
    </row>
    <row r="256" spans="1:38" s="700" customFormat="1" ht="12.75" customHeight="1">
      <c r="A256" s="686" t="s">
        <v>202</v>
      </c>
      <c r="B256" s="714" t="s">
        <v>317</v>
      </c>
      <c r="C256" s="713" t="s">
        <v>443</v>
      </c>
      <c r="D256" s="713"/>
      <c r="E256" s="708"/>
      <c r="F256" s="709"/>
      <c r="G256" s="1025"/>
      <c r="H256" s="690"/>
      <c r="I256" s="1030"/>
      <c r="J256" s="690"/>
      <c r="K256" s="1030"/>
      <c r="L256" s="690"/>
      <c r="M256" s="1025"/>
      <c r="N256" s="1030"/>
      <c r="O256" s="692">
        <f t="shared" si="26"/>
        <v>0</v>
      </c>
      <c r="P256" s="690"/>
      <c r="Q256" s="690"/>
      <c r="R256" s="691">
        <f t="shared" si="27"/>
        <v>0</v>
      </c>
      <c r="S256" s="692">
        <f t="shared" si="28"/>
        <v>0</v>
      </c>
      <c r="T256" s="693">
        <f t="shared" si="29"/>
        <v>0</v>
      </c>
      <c r="U256" s="1035"/>
      <c r="V256" s="690"/>
      <c r="W256" s="1025"/>
      <c r="X256" s="1030"/>
      <c r="Y256" s="694">
        <f t="shared" si="30"/>
        <v>0</v>
      </c>
      <c r="Z256" s="690"/>
      <c r="AA256" s="690"/>
      <c r="AB256" s="695">
        <f t="shared" si="31"/>
        <v>0</v>
      </c>
      <c r="AC256" s="1035"/>
      <c r="AD256" s="690"/>
      <c r="AE256" s="1025"/>
      <c r="AF256" s="1030"/>
      <c r="AG256" s="690"/>
      <c r="AH256" s="690"/>
      <c r="AI256" s="696">
        <f t="shared" si="32"/>
        <v>0</v>
      </c>
      <c r="AJ256" s="697">
        <f t="shared" si="33"/>
        <v>0</v>
      </c>
      <c r="AK256" s="698"/>
      <c r="AL256" s="698"/>
    </row>
    <row r="257" spans="1:38" s="700" customFormat="1" ht="12.75" customHeight="1">
      <c r="A257" s="686" t="s">
        <v>202</v>
      </c>
      <c r="B257" s="714" t="s">
        <v>318</v>
      </c>
      <c r="C257" s="713" t="s">
        <v>377</v>
      </c>
      <c r="D257" s="713"/>
      <c r="E257" s="708"/>
      <c r="F257" s="709"/>
      <c r="G257" s="1025"/>
      <c r="H257" s="690"/>
      <c r="I257" s="1030"/>
      <c r="J257" s="690"/>
      <c r="K257" s="1030"/>
      <c r="L257" s="690"/>
      <c r="M257" s="1025"/>
      <c r="N257" s="1030"/>
      <c r="O257" s="692">
        <f t="shared" si="26"/>
        <v>0</v>
      </c>
      <c r="P257" s="690"/>
      <c r="Q257" s="690"/>
      <c r="R257" s="691">
        <f t="shared" si="27"/>
        <v>0</v>
      </c>
      <c r="S257" s="692">
        <f t="shared" si="28"/>
        <v>0</v>
      </c>
      <c r="T257" s="693">
        <f t="shared" si="29"/>
        <v>0</v>
      </c>
      <c r="U257" s="1035"/>
      <c r="V257" s="690"/>
      <c r="W257" s="1025"/>
      <c r="X257" s="1030"/>
      <c r="Y257" s="694">
        <f t="shared" si="30"/>
        <v>0</v>
      </c>
      <c r="Z257" s="690"/>
      <c r="AA257" s="690"/>
      <c r="AB257" s="695">
        <f t="shared" si="31"/>
        <v>0</v>
      </c>
      <c r="AC257" s="1035"/>
      <c r="AD257" s="690"/>
      <c r="AE257" s="1025"/>
      <c r="AF257" s="1030"/>
      <c r="AG257" s="690"/>
      <c r="AH257" s="690"/>
      <c r="AI257" s="696">
        <f t="shared" si="32"/>
        <v>0</v>
      </c>
      <c r="AJ257" s="697">
        <f t="shared" si="33"/>
        <v>0</v>
      </c>
      <c r="AK257" s="698"/>
      <c r="AL257" s="698"/>
    </row>
    <row r="258" spans="1:38" s="700" customFormat="1" ht="12.75" customHeight="1">
      <c r="A258" s="686" t="s">
        <v>202</v>
      </c>
      <c r="B258" s="686" t="s">
        <v>420</v>
      </c>
      <c r="C258" s="712" t="s">
        <v>55</v>
      </c>
      <c r="D258" s="712"/>
      <c r="E258" s="708"/>
      <c r="F258" s="709"/>
      <c r="G258" s="1025"/>
      <c r="H258" s="690"/>
      <c r="I258" s="1030"/>
      <c r="J258" s="690"/>
      <c r="K258" s="1030"/>
      <c r="L258" s="690"/>
      <c r="M258" s="1025"/>
      <c r="N258" s="1030"/>
      <c r="O258" s="692">
        <f t="shared" si="26"/>
        <v>0</v>
      </c>
      <c r="P258" s="690"/>
      <c r="Q258" s="690"/>
      <c r="R258" s="691">
        <f t="shared" si="27"/>
        <v>0</v>
      </c>
      <c r="S258" s="692">
        <f t="shared" si="28"/>
        <v>0</v>
      </c>
      <c r="T258" s="693">
        <f t="shared" si="29"/>
        <v>0</v>
      </c>
      <c r="U258" s="1035"/>
      <c r="V258" s="690"/>
      <c r="W258" s="1025"/>
      <c r="X258" s="1030"/>
      <c r="Y258" s="694">
        <f t="shared" si="30"/>
        <v>0</v>
      </c>
      <c r="Z258" s="690"/>
      <c r="AA258" s="690"/>
      <c r="AB258" s="695">
        <f t="shared" si="31"/>
        <v>0</v>
      </c>
      <c r="AC258" s="1035"/>
      <c r="AD258" s="690"/>
      <c r="AE258" s="1025"/>
      <c r="AF258" s="1030"/>
      <c r="AG258" s="690"/>
      <c r="AH258" s="690"/>
      <c r="AI258" s="696">
        <f t="shared" si="32"/>
        <v>0</v>
      </c>
      <c r="AJ258" s="697">
        <f t="shared" si="33"/>
        <v>0</v>
      </c>
      <c r="AK258" s="698"/>
      <c r="AL258" s="698"/>
    </row>
    <row r="259" spans="1:38" s="700" customFormat="1" ht="12.75" customHeight="1">
      <c r="A259" s="686" t="s">
        <v>202</v>
      </c>
      <c r="B259" s="686" t="s">
        <v>442</v>
      </c>
      <c r="C259" s="713" t="s">
        <v>443</v>
      </c>
      <c r="D259" s="713"/>
      <c r="E259" s="708"/>
      <c r="F259" s="709"/>
      <c r="G259" s="1025"/>
      <c r="H259" s="690"/>
      <c r="I259" s="1030"/>
      <c r="J259" s="690"/>
      <c r="K259" s="1030"/>
      <c r="L259" s="690"/>
      <c r="M259" s="1025"/>
      <c r="N259" s="1030"/>
      <c r="O259" s="692">
        <f t="shared" si="26"/>
        <v>0</v>
      </c>
      <c r="P259" s="690"/>
      <c r="Q259" s="690"/>
      <c r="R259" s="691">
        <f t="shared" si="27"/>
        <v>0</v>
      </c>
      <c r="S259" s="692">
        <f t="shared" si="28"/>
        <v>0</v>
      </c>
      <c r="T259" s="693">
        <f t="shared" si="29"/>
        <v>0</v>
      </c>
      <c r="U259" s="1035"/>
      <c r="V259" s="690"/>
      <c r="W259" s="1025"/>
      <c r="X259" s="1030"/>
      <c r="Y259" s="694">
        <f t="shared" si="30"/>
        <v>0</v>
      </c>
      <c r="Z259" s="690"/>
      <c r="AA259" s="690"/>
      <c r="AB259" s="695">
        <f t="shared" si="31"/>
        <v>0</v>
      </c>
      <c r="AC259" s="1035"/>
      <c r="AD259" s="690"/>
      <c r="AE259" s="1025"/>
      <c r="AF259" s="1030"/>
      <c r="AG259" s="690"/>
      <c r="AH259" s="690"/>
      <c r="AI259" s="696">
        <f t="shared" si="32"/>
        <v>0</v>
      </c>
      <c r="AJ259" s="697">
        <f t="shared" si="33"/>
        <v>0</v>
      </c>
      <c r="AK259" s="698"/>
      <c r="AL259" s="698"/>
    </row>
    <row r="260" spans="1:38" s="700" customFormat="1" ht="12.75" customHeight="1">
      <c r="A260" s="686" t="s">
        <v>202</v>
      </c>
      <c r="B260" s="686" t="s">
        <v>379</v>
      </c>
      <c r="C260" s="713" t="s">
        <v>377</v>
      </c>
      <c r="D260" s="713"/>
      <c r="E260" s="708"/>
      <c r="F260" s="709"/>
      <c r="G260" s="1025"/>
      <c r="H260" s="690"/>
      <c r="I260" s="1030"/>
      <c r="J260" s="690"/>
      <c r="K260" s="1030"/>
      <c r="L260" s="690"/>
      <c r="M260" s="1025"/>
      <c r="N260" s="1030"/>
      <c r="O260" s="692">
        <f t="shared" si="26"/>
        <v>0</v>
      </c>
      <c r="P260" s="690"/>
      <c r="Q260" s="690"/>
      <c r="R260" s="691">
        <f t="shared" si="27"/>
        <v>0</v>
      </c>
      <c r="S260" s="692">
        <f t="shared" si="28"/>
        <v>0</v>
      </c>
      <c r="T260" s="693">
        <f t="shared" si="29"/>
        <v>0</v>
      </c>
      <c r="U260" s="1035">
        <v>267801</v>
      </c>
      <c r="V260" s="690">
        <v>265508</v>
      </c>
      <c r="W260" s="1025"/>
      <c r="X260" s="1030"/>
      <c r="Y260" s="694">
        <f t="shared" si="30"/>
        <v>0</v>
      </c>
      <c r="Z260" s="690"/>
      <c r="AA260" s="690"/>
      <c r="AB260" s="695">
        <f t="shared" si="31"/>
        <v>0</v>
      </c>
      <c r="AC260" s="1035"/>
      <c r="AD260" s="690"/>
      <c r="AE260" s="1025"/>
      <c r="AF260" s="1030"/>
      <c r="AG260" s="690"/>
      <c r="AH260" s="690"/>
      <c r="AI260" s="696">
        <f t="shared" si="32"/>
        <v>267801</v>
      </c>
      <c r="AJ260" s="697">
        <f t="shared" si="33"/>
        <v>265508</v>
      </c>
      <c r="AK260" s="698"/>
      <c r="AL260" s="698"/>
    </row>
    <row r="261" spans="1:38" s="700" customFormat="1" ht="12.75" customHeight="1">
      <c r="A261" s="686" t="s">
        <v>202</v>
      </c>
      <c r="B261" s="714" t="s">
        <v>295</v>
      </c>
      <c r="C261" s="713" t="s">
        <v>53</v>
      </c>
      <c r="D261" s="713"/>
      <c r="E261" s="708"/>
      <c r="F261" s="709"/>
      <c r="G261" s="1025"/>
      <c r="H261" s="690"/>
      <c r="I261" s="1030"/>
      <c r="J261" s="690"/>
      <c r="K261" s="1030"/>
      <c r="L261" s="690"/>
      <c r="M261" s="1025"/>
      <c r="N261" s="1030"/>
      <c r="O261" s="692">
        <f t="shared" si="26"/>
        <v>0</v>
      </c>
      <c r="P261" s="690"/>
      <c r="Q261" s="690"/>
      <c r="R261" s="691">
        <f t="shared" si="27"/>
        <v>0</v>
      </c>
      <c r="S261" s="692">
        <f t="shared" si="28"/>
        <v>0</v>
      </c>
      <c r="T261" s="693">
        <f t="shared" si="29"/>
        <v>0</v>
      </c>
      <c r="U261" s="1035"/>
      <c r="V261" s="690"/>
      <c r="W261" s="1025"/>
      <c r="X261" s="1030"/>
      <c r="Y261" s="694">
        <f t="shared" si="30"/>
        <v>0</v>
      </c>
      <c r="Z261" s="690"/>
      <c r="AA261" s="690"/>
      <c r="AB261" s="695">
        <f t="shared" si="31"/>
        <v>0</v>
      </c>
      <c r="AC261" s="1035"/>
      <c r="AD261" s="690"/>
      <c r="AE261" s="1025"/>
      <c r="AF261" s="1030"/>
      <c r="AG261" s="690"/>
      <c r="AH261" s="690"/>
      <c r="AI261" s="696">
        <f t="shared" si="32"/>
        <v>0</v>
      </c>
      <c r="AJ261" s="697">
        <f t="shared" si="33"/>
        <v>0</v>
      </c>
      <c r="AK261" s="698"/>
      <c r="AL261" s="698"/>
    </row>
    <row r="262" spans="1:38" s="700" customFormat="1" ht="12.75" customHeight="1">
      <c r="A262" s="686" t="s">
        <v>202</v>
      </c>
      <c r="B262" s="714" t="s">
        <v>296</v>
      </c>
      <c r="C262" s="713" t="s">
        <v>443</v>
      </c>
      <c r="D262" s="713"/>
      <c r="E262" s="708"/>
      <c r="F262" s="709"/>
      <c r="G262" s="1025"/>
      <c r="H262" s="690"/>
      <c r="I262" s="1030"/>
      <c r="J262" s="690"/>
      <c r="K262" s="1030"/>
      <c r="L262" s="690"/>
      <c r="M262" s="1025"/>
      <c r="N262" s="1030"/>
      <c r="O262" s="692">
        <f t="shared" si="26"/>
        <v>0</v>
      </c>
      <c r="P262" s="690"/>
      <c r="Q262" s="690"/>
      <c r="R262" s="691">
        <f t="shared" si="27"/>
        <v>0</v>
      </c>
      <c r="S262" s="692">
        <f t="shared" si="28"/>
        <v>0</v>
      </c>
      <c r="T262" s="693">
        <f t="shared" si="29"/>
        <v>0</v>
      </c>
      <c r="U262" s="1035"/>
      <c r="V262" s="690"/>
      <c r="W262" s="1025"/>
      <c r="X262" s="1030"/>
      <c r="Y262" s="694">
        <f t="shared" si="30"/>
        <v>0</v>
      </c>
      <c r="Z262" s="690"/>
      <c r="AA262" s="690"/>
      <c r="AB262" s="695">
        <f t="shared" si="31"/>
        <v>0</v>
      </c>
      <c r="AC262" s="1035"/>
      <c r="AD262" s="690"/>
      <c r="AE262" s="1025"/>
      <c r="AF262" s="1030"/>
      <c r="AG262" s="690"/>
      <c r="AH262" s="690"/>
      <c r="AI262" s="696">
        <f t="shared" si="32"/>
        <v>0</v>
      </c>
      <c r="AJ262" s="697">
        <f t="shared" si="33"/>
        <v>0</v>
      </c>
      <c r="AK262" s="698"/>
      <c r="AL262" s="698"/>
    </row>
    <row r="263" spans="1:38" s="700" customFormat="1" ht="12.75" customHeight="1">
      <c r="A263" s="686" t="s">
        <v>202</v>
      </c>
      <c r="B263" s="714" t="s">
        <v>278</v>
      </c>
      <c r="C263" s="713" t="s">
        <v>377</v>
      </c>
      <c r="D263" s="713"/>
      <c r="E263" s="708"/>
      <c r="F263" s="709"/>
      <c r="G263" s="1025"/>
      <c r="H263" s="690"/>
      <c r="I263" s="1030"/>
      <c r="J263" s="690"/>
      <c r="K263" s="1030"/>
      <c r="L263" s="690"/>
      <c r="M263" s="1025"/>
      <c r="N263" s="1030"/>
      <c r="O263" s="692">
        <f t="shared" si="26"/>
        <v>0</v>
      </c>
      <c r="P263" s="690"/>
      <c r="Q263" s="690"/>
      <c r="R263" s="691">
        <f t="shared" si="27"/>
        <v>0</v>
      </c>
      <c r="S263" s="692">
        <f t="shared" si="28"/>
        <v>0</v>
      </c>
      <c r="T263" s="693">
        <f t="shared" si="29"/>
        <v>0</v>
      </c>
      <c r="U263" s="1035"/>
      <c r="V263" s="690"/>
      <c r="W263" s="1025"/>
      <c r="X263" s="1030"/>
      <c r="Y263" s="694">
        <f t="shared" si="30"/>
        <v>0</v>
      </c>
      <c r="Z263" s="690"/>
      <c r="AA263" s="690"/>
      <c r="AB263" s="695">
        <f t="shared" si="31"/>
        <v>0</v>
      </c>
      <c r="AC263" s="1035"/>
      <c r="AD263" s="690"/>
      <c r="AE263" s="1025"/>
      <c r="AF263" s="1030"/>
      <c r="AG263" s="690"/>
      <c r="AH263" s="690"/>
      <c r="AI263" s="696">
        <f t="shared" si="32"/>
        <v>0</v>
      </c>
      <c r="AJ263" s="697">
        <f t="shared" si="33"/>
        <v>0</v>
      </c>
      <c r="AK263" s="698"/>
      <c r="AL263" s="698"/>
    </row>
    <row r="264" spans="1:38" s="700" customFormat="1" ht="12.75" customHeight="1">
      <c r="A264" s="686" t="s">
        <v>202</v>
      </c>
      <c r="B264" s="714" t="s">
        <v>279</v>
      </c>
      <c r="C264" s="713" t="s">
        <v>54</v>
      </c>
      <c r="D264" s="713"/>
      <c r="E264" s="708"/>
      <c r="F264" s="709"/>
      <c r="G264" s="1025"/>
      <c r="H264" s="690"/>
      <c r="I264" s="1030"/>
      <c r="J264" s="690"/>
      <c r="K264" s="1030"/>
      <c r="L264" s="690"/>
      <c r="M264" s="1025"/>
      <c r="N264" s="1030"/>
      <c r="O264" s="692">
        <f t="shared" si="26"/>
        <v>0</v>
      </c>
      <c r="P264" s="690"/>
      <c r="Q264" s="690"/>
      <c r="R264" s="691">
        <f t="shared" si="27"/>
        <v>0</v>
      </c>
      <c r="S264" s="692">
        <f t="shared" si="28"/>
        <v>0</v>
      </c>
      <c r="T264" s="693">
        <f t="shared" si="29"/>
        <v>0</v>
      </c>
      <c r="U264" s="1035"/>
      <c r="V264" s="690"/>
      <c r="W264" s="1025"/>
      <c r="X264" s="1030"/>
      <c r="Y264" s="694">
        <f t="shared" si="30"/>
        <v>0</v>
      </c>
      <c r="Z264" s="690"/>
      <c r="AA264" s="690"/>
      <c r="AB264" s="695">
        <f t="shared" si="31"/>
        <v>0</v>
      </c>
      <c r="AC264" s="1035"/>
      <c r="AD264" s="690"/>
      <c r="AE264" s="1025"/>
      <c r="AF264" s="1030"/>
      <c r="AG264" s="690"/>
      <c r="AH264" s="690"/>
      <c r="AI264" s="696">
        <f t="shared" si="32"/>
        <v>0</v>
      </c>
      <c r="AJ264" s="697">
        <f t="shared" si="33"/>
        <v>0</v>
      </c>
      <c r="AK264" s="698"/>
      <c r="AL264" s="698"/>
    </row>
    <row r="265" spans="1:38" s="700" customFormat="1" ht="12.75" customHeight="1">
      <c r="A265" s="686" t="s">
        <v>202</v>
      </c>
      <c r="B265" s="714" t="s">
        <v>317</v>
      </c>
      <c r="C265" s="713" t="s">
        <v>443</v>
      </c>
      <c r="D265" s="713"/>
      <c r="E265" s="708"/>
      <c r="F265" s="709"/>
      <c r="G265" s="1025"/>
      <c r="H265" s="690"/>
      <c r="I265" s="1030"/>
      <c r="J265" s="690"/>
      <c r="K265" s="1030"/>
      <c r="L265" s="690"/>
      <c r="M265" s="1025"/>
      <c r="N265" s="1030"/>
      <c r="O265" s="692">
        <f t="shared" si="26"/>
        <v>0</v>
      </c>
      <c r="P265" s="690"/>
      <c r="Q265" s="690"/>
      <c r="R265" s="691">
        <f t="shared" si="27"/>
        <v>0</v>
      </c>
      <c r="S265" s="692">
        <f t="shared" si="28"/>
        <v>0</v>
      </c>
      <c r="T265" s="693">
        <f t="shared" si="29"/>
        <v>0</v>
      </c>
      <c r="U265" s="1035"/>
      <c r="V265" s="690"/>
      <c r="W265" s="1025"/>
      <c r="X265" s="1030"/>
      <c r="Y265" s="694">
        <f t="shared" si="30"/>
        <v>0</v>
      </c>
      <c r="Z265" s="690"/>
      <c r="AA265" s="690"/>
      <c r="AB265" s="695">
        <f t="shared" si="31"/>
        <v>0</v>
      </c>
      <c r="AC265" s="1035"/>
      <c r="AD265" s="690"/>
      <c r="AE265" s="1025"/>
      <c r="AF265" s="1030"/>
      <c r="AG265" s="690"/>
      <c r="AH265" s="690"/>
      <c r="AI265" s="696">
        <f t="shared" si="32"/>
        <v>0</v>
      </c>
      <c r="AJ265" s="697">
        <f t="shared" si="33"/>
        <v>0</v>
      </c>
      <c r="AK265" s="698"/>
      <c r="AL265" s="698"/>
    </row>
    <row r="266" spans="1:38" s="700" customFormat="1" ht="12.75" customHeight="1">
      <c r="A266" s="686" t="s">
        <v>202</v>
      </c>
      <c r="B266" s="714" t="s">
        <v>318</v>
      </c>
      <c r="C266" s="713" t="s">
        <v>377</v>
      </c>
      <c r="D266" s="713"/>
      <c r="E266" s="708"/>
      <c r="F266" s="709"/>
      <c r="G266" s="1025"/>
      <c r="H266" s="690"/>
      <c r="I266" s="1030"/>
      <c r="J266" s="690"/>
      <c r="K266" s="1030"/>
      <c r="L266" s="690"/>
      <c r="M266" s="1025"/>
      <c r="N266" s="1030"/>
      <c r="O266" s="692">
        <f t="shared" ref="O266:O329" si="34">SUM(M266:N266)</f>
        <v>0</v>
      </c>
      <c r="P266" s="690"/>
      <c r="Q266" s="690"/>
      <c r="R266" s="691">
        <f t="shared" ref="R266:R329" si="35">SUM(P266:Q266)</f>
        <v>0</v>
      </c>
      <c r="S266" s="692">
        <f t="shared" ref="S266:S329" si="36">SUM(G266,I266,K266,M266)</f>
        <v>0</v>
      </c>
      <c r="T266" s="693">
        <f t="shared" ref="T266:T329" si="37">SUM(H266,J266,L266,P266)</f>
        <v>0</v>
      </c>
      <c r="U266" s="1035"/>
      <c r="V266" s="690"/>
      <c r="W266" s="1025"/>
      <c r="X266" s="1030"/>
      <c r="Y266" s="694">
        <f t="shared" ref="Y266:Y329" si="38">SUM(W266:X266)</f>
        <v>0</v>
      </c>
      <c r="Z266" s="690"/>
      <c r="AA266" s="690"/>
      <c r="AB266" s="695">
        <f t="shared" ref="AB266:AB329" si="39">SUM(Z266:AA266)</f>
        <v>0</v>
      </c>
      <c r="AC266" s="1035"/>
      <c r="AD266" s="690"/>
      <c r="AE266" s="1025"/>
      <c r="AF266" s="1030"/>
      <c r="AG266" s="690"/>
      <c r="AH266" s="690"/>
      <c r="AI266" s="696">
        <f t="shared" ref="AI266:AI329" si="40">SUM(S266,U266,W266,AC266,AE266)</f>
        <v>0</v>
      </c>
      <c r="AJ266" s="697">
        <f t="shared" ref="AJ266:AJ329" si="41">SUM(T266,V266,Z266,AD266,AG266)</f>
        <v>0</v>
      </c>
      <c r="AK266" s="698"/>
      <c r="AL266" s="698"/>
    </row>
    <row r="267" spans="1:38" s="700" customFormat="1" ht="12.75" customHeight="1">
      <c r="A267" s="686" t="s">
        <v>202</v>
      </c>
      <c r="B267" s="686" t="s">
        <v>420</v>
      </c>
      <c r="C267" s="712" t="s">
        <v>56</v>
      </c>
      <c r="D267" s="712"/>
      <c r="E267" s="708"/>
      <c r="F267" s="709"/>
      <c r="G267" s="1025"/>
      <c r="H267" s="690"/>
      <c r="I267" s="1030"/>
      <c r="J267" s="690"/>
      <c r="K267" s="1030"/>
      <c r="L267" s="690"/>
      <c r="M267" s="1025"/>
      <c r="N267" s="1030"/>
      <c r="O267" s="692">
        <f t="shared" si="34"/>
        <v>0</v>
      </c>
      <c r="P267" s="690"/>
      <c r="Q267" s="690"/>
      <c r="R267" s="691">
        <f t="shared" si="35"/>
        <v>0</v>
      </c>
      <c r="S267" s="692">
        <f t="shared" si="36"/>
        <v>0</v>
      </c>
      <c r="T267" s="693">
        <f t="shared" si="37"/>
        <v>0</v>
      </c>
      <c r="U267" s="1035"/>
      <c r="V267" s="690"/>
      <c r="W267" s="1025"/>
      <c r="X267" s="1030"/>
      <c r="Y267" s="694">
        <f t="shared" si="38"/>
        <v>0</v>
      </c>
      <c r="Z267" s="690"/>
      <c r="AA267" s="690"/>
      <c r="AB267" s="695">
        <f t="shared" si="39"/>
        <v>0</v>
      </c>
      <c r="AC267" s="1035"/>
      <c r="AD267" s="690"/>
      <c r="AE267" s="1025"/>
      <c r="AF267" s="1030"/>
      <c r="AG267" s="690"/>
      <c r="AH267" s="690"/>
      <c r="AI267" s="696">
        <f t="shared" si="40"/>
        <v>0</v>
      </c>
      <c r="AJ267" s="697">
        <f t="shared" si="41"/>
        <v>0</v>
      </c>
      <c r="AK267" s="698"/>
      <c r="AL267" s="698"/>
    </row>
    <row r="268" spans="1:38" s="700" customFormat="1" ht="12.75" customHeight="1">
      <c r="A268" s="686" t="s">
        <v>202</v>
      </c>
      <c r="B268" s="686" t="s">
        <v>442</v>
      </c>
      <c r="C268" s="713" t="s">
        <v>443</v>
      </c>
      <c r="D268" s="713"/>
      <c r="E268" s="708"/>
      <c r="F268" s="709"/>
      <c r="G268" s="1025"/>
      <c r="H268" s="690"/>
      <c r="I268" s="1030"/>
      <c r="J268" s="690"/>
      <c r="K268" s="1030"/>
      <c r="L268" s="690"/>
      <c r="M268" s="1025"/>
      <c r="N268" s="1030"/>
      <c r="O268" s="692">
        <f t="shared" si="34"/>
        <v>0</v>
      </c>
      <c r="P268" s="690"/>
      <c r="Q268" s="690"/>
      <c r="R268" s="691">
        <f t="shared" si="35"/>
        <v>0</v>
      </c>
      <c r="S268" s="692">
        <f t="shared" si="36"/>
        <v>0</v>
      </c>
      <c r="T268" s="693">
        <f t="shared" si="37"/>
        <v>0</v>
      </c>
      <c r="U268" s="1035"/>
      <c r="V268" s="690"/>
      <c r="W268" s="1025"/>
      <c r="X268" s="1030"/>
      <c r="Y268" s="694">
        <f t="shared" si="38"/>
        <v>0</v>
      </c>
      <c r="Z268" s="690"/>
      <c r="AA268" s="690"/>
      <c r="AB268" s="695">
        <f t="shared" si="39"/>
        <v>0</v>
      </c>
      <c r="AC268" s="1035"/>
      <c r="AD268" s="690"/>
      <c r="AE268" s="1025"/>
      <c r="AF268" s="1030"/>
      <c r="AG268" s="690"/>
      <c r="AH268" s="690"/>
      <c r="AI268" s="696">
        <f t="shared" si="40"/>
        <v>0</v>
      </c>
      <c r="AJ268" s="697">
        <f t="shared" si="41"/>
        <v>0</v>
      </c>
      <c r="AK268" s="698"/>
      <c r="AL268" s="698"/>
    </row>
    <row r="269" spans="1:38" s="700" customFormat="1" ht="12.75" customHeight="1">
      <c r="A269" s="686" t="s">
        <v>202</v>
      </c>
      <c r="B269" s="686" t="s">
        <v>379</v>
      </c>
      <c r="C269" s="713" t="s">
        <v>377</v>
      </c>
      <c r="D269" s="713"/>
      <c r="E269" s="708"/>
      <c r="F269" s="709"/>
      <c r="G269" s="1025"/>
      <c r="H269" s="690"/>
      <c r="I269" s="1030"/>
      <c r="J269" s="690"/>
      <c r="K269" s="1030"/>
      <c r="L269" s="690"/>
      <c r="M269" s="1025"/>
      <c r="N269" s="1030"/>
      <c r="O269" s="692">
        <f t="shared" si="34"/>
        <v>0</v>
      </c>
      <c r="P269" s="690"/>
      <c r="Q269" s="690"/>
      <c r="R269" s="691">
        <f t="shared" si="35"/>
        <v>0</v>
      </c>
      <c r="S269" s="692">
        <f t="shared" si="36"/>
        <v>0</v>
      </c>
      <c r="T269" s="693">
        <f t="shared" si="37"/>
        <v>0</v>
      </c>
      <c r="U269" s="1035">
        <v>150289</v>
      </c>
      <c r="V269" s="690">
        <v>149002</v>
      </c>
      <c r="W269" s="1025"/>
      <c r="X269" s="1030"/>
      <c r="Y269" s="694">
        <f t="shared" si="38"/>
        <v>0</v>
      </c>
      <c r="Z269" s="690"/>
      <c r="AA269" s="690"/>
      <c r="AB269" s="695">
        <f t="shared" si="39"/>
        <v>0</v>
      </c>
      <c r="AC269" s="1035"/>
      <c r="AD269" s="690"/>
      <c r="AE269" s="1025"/>
      <c r="AF269" s="1030"/>
      <c r="AG269" s="690"/>
      <c r="AH269" s="690"/>
      <c r="AI269" s="696">
        <f t="shared" si="40"/>
        <v>150289</v>
      </c>
      <c r="AJ269" s="697">
        <f t="shared" si="41"/>
        <v>149002</v>
      </c>
      <c r="AK269" s="698"/>
      <c r="AL269" s="698"/>
    </row>
    <row r="270" spans="1:38" s="700" customFormat="1" ht="12.75" customHeight="1">
      <c r="A270" s="686" t="s">
        <v>202</v>
      </c>
      <c r="B270" s="714" t="s">
        <v>295</v>
      </c>
      <c r="C270" s="713" t="s">
        <v>53</v>
      </c>
      <c r="D270" s="713"/>
      <c r="E270" s="708"/>
      <c r="F270" s="709"/>
      <c r="G270" s="1025"/>
      <c r="H270" s="690"/>
      <c r="I270" s="1030"/>
      <c r="J270" s="690"/>
      <c r="K270" s="1030"/>
      <c r="L270" s="690"/>
      <c r="M270" s="1025"/>
      <c r="N270" s="1030"/>
      <c r="O270" s="692">
        <f t="shared" si="34"/>
        <v>0</v>
      </c>
      <c r="P270" s="690"/>
      <c r="Q270" s="690"/>
      <c r="R270" s="691">
        <f t="shared" si="35"/>
        <v>0</v>
      </c>
      <c r="S270" s="692">
        <f t="shared" si="36"/>
        <v>0</v>
      </c>
      <c r="T270" s="693">
        <f t="shared" si="37"/>
        <v>0</v>
      </c>
      <c r="U270" s="1035"/>
      <c r="V270" s="690"/>
      <c r="W270" s="1025"/>
      <c r="X270" s="1030"/>
      <c r="Y270" s="694">
        <f t="shared" si="38"/>
        <v>0</v>
      </c>
      <c r="Z270" s="690"/>
      <c r="AA270" s="690"/>
      <c r="AB270" s="695">
        <f t="shared" si="39"/>
        <v>0</v>
      </c>
      <c r="AC270" s="1035"/>
      <c r="AD270" s="690"/>
      <c r="AE270" s="1025"/>
      <c r="AF270" s="1030"/>
      <c r="AG270" s="690"/>
      <c r="AH270" s="690"/>
      <c r="AI270" s="696">
        <f t="shared" si="40"/>
        <v>0</v>
      </c>
      <c r="AJ270" s="697">
        <f t="shared" si="41"/>
        <v>0</v>
      </c>
      <c r="AK270" s="698"/>
      <c r="AL270" s="698"/>
    </row>
    <row r="271" spans="1:38" s="700" customFormat="1" ht="12.75" customHeight="1">
      <c r="A271" s="686" t="s">
        <v>202</v>
      </c>
      <c r="B271" s="714" t="s">
        <v>296</v>
      </c>
      <c r="C271" s="713" t="s">
        <v>443</v>
      </c>
      <c r="D271" s="713"/>
      <c r="E271" s="708"/>
      <c r="F271" s="709"/>
      <c r="G271" s="1025"/>
      <c r="H271" s="690"/>
      <c r="I271" s="1030"/>
      <c r="J271" s="690"/>
      <c r="K271" s="1030"/>
      <c r="L271" s="690"/>
      <c r="M271" s="1025"/>
      <c r="N271" s="1030"/>
      <c r="O271" s="692">
        <f t="shared" si="34"/>
        <v>0</v>
      </c>
      <c r="P271" s="690"/>
      <c r="Q271" s="690"/>
      <c r="R271" s="691">
        <f t="shared" si="35"/>
        <v>0</v>
      </c>
      <c r="S271" s="692">
        <f t="shared" si="36"/>
        <v>0</v>
      </c>
      <c r="T271" s="693">
        <f t="shared" si="37"/>
        <v>0</v>
      </c>
      <c r="U271" s="1035"/>
      <c r="V271" s="690"/>
      <c r="W271" s="1025"/>
      <c r="X271" s="1030"/>
      <c r="Y271" s="694">
        <f t="shared" si="38"/>
        <v>0</v>
      </c>
      <c r="Z271" s="690"/>
      <c r="AA271" s="690"/>
      <c r="AB271" s="695">
        <f t="shared" si="39"/>
        <v>0</v>
      </c>
      <c r="AC271" s="1035"/>
      <c r="AD271" s="690"/>
      <c r="AE271" s="1025"/>
      <c r="AF271" s="1030"/>
      <c r="AG271" s="690"/>
      <c r="AH271" s="690"/>
      <c r="AI271" s="696">
        <f t="shared" si="40"/>
        <v>0</v>
      </c>
      <c r="AJ271" s="697">
        <f t="shared" si="41"/>
        <v>0</v>
      </c>
      <c r="AK271" s="698"/>
      <c r="AL271" s="698"/>
    </row>
    <row r="272" spans="1:38" s="700" customFormat="1" ht="12.75" customHeight="1">
      <c r="A272" s="686" t="s">
        <v>202</v>
      </c>
      <c r="B272" s="714" t="s">
        <v>278</v>
      </c>
      <c r="C272" s="713" t="s">
        <v>377</v>
      </c>
      <c r="D272" s="713"/>
      <c r="E272" s="708"/>
      <c r="F272" s="709"/>
      <c r="G272" s="1025"/>
      <c r="H272" s="690"/>
      <c r="I272" s="1030"/>
      <c r="J272" s="690"/>
      <c r="K272" s="1030"/>
      <c r="L272" s="690"/>
      <c r="M272" s="1025"/>
      <c r="N272" s="1030"/>
      <c r="O272" s="692">
        <f t="shared" si="34"/>
        <v>0</v>
      </c>
      <c r="P272" s="690"/>
      <c r="Q272" s="690"/>
      <c r="R272" s="691">
        <f t="shared" si="35"/>
        <v>0</v>
      </c>
      <c r="S272" s="692">
        <f t="shared" si="36"/>
        <v>0</v>
      </c>
      <c r="T272" s="693">
        <f t="shared" si="37"/>
        <v>0</v>
      </c>
      <c r="U272" s="1035"/>
      <c r="V272" s="690"/>
      <c r="W272" s="1025"/>
      <c r="X272" s="1030"/>
      <c r="Y272" s="694">
        <f t="shared" si="38"/>
        <v>0</v>
      </c>
      <c r="Z272" s="690"/>
      <c r="AA272" s="690"/>
      <c r="AB272" s="695">
        <f t="shared" si="39"/>
        <v>0</v>
      </c>
      <c r="AC272" s="1035"/>
      <c r="AD272" s="690"/>
      <c r="AE272" s="1025"/>
      <c r="AF272" s="1030"/>
      <c r="AG272" s="690"/>
      <c r="AH272" s="690"/>
      <c r="AI272" s="696">
        <f t="shared" si="40"/>
        <v>0</v>
      </c>
      <c r="AJ272" s="697">
        <f t="shared" si="41"/>
        <v>0</v>
      </c>
      <c r="AK272" s="698"/>
      <c r="AL272" s="698"/>
    </row>
    <row r="273" spans="1:38" s="700" customFormat="1" ht="12.75" customHeight="1">
      <c r="A273" s="686" t="s">
        <v>202</v>
      </c>
      <c r="B273" s="714" t="s">
        <v>279</v>
      </c>
      <c r="C273" s="713" t="s">
        <v>54</v>
      </c>
      <c r="D273" s="713"/>
      <c r="E273" s="708"/>
      <c r="F273" s="709"/>
      <c r="G273" s="1025"/>
      <c r="H273" s="690"/>
      <c r="I273" s="1030"/>
      <c r="J273" s="690"/>
      <c r="K273" s="1030"/>
      <c r="L273" s="690"/>
      <c r="M273" s="1025"/>
      <c r="N273" s="1030"/>
      <c r="O273" s="692">
        <f t="shared" si="34"/>
        <v>0</v>
      </c>
      <c r="P273" s="690"/>
      <c r="Q273" s="690"/>
      <c r="R273" s="691">
        <f t="shared" si="35"/>
        <v>0</v>
      </c>
      <c r="S273" s="692">
        <f t="shared" si="36"/>
        <v>0</v>
      </c>
      <c r="T273" s="693">
        <f t="shared" si="37"/>
        <v>0</v>
      </c>
      <c r="U273" s="1035"/>
      <c r="V273" s="690"/>
      <c r="W273" s="1025"/>
      <c r="X273" s="1030"/>
      <c r="Y273" s="694">
        <f t="shared" si="38"/>
        <v>0</v>
      </c>
      <c r="Z273" s="690"/>
      <c r="AA273" s="690"/>
      <c r="AB273" s="695">
        <f t="shared" si="39"/>
        <v>0</v>
      </c>
      <c r="AC273" s="1035"/>
      <c r="AD273" s="690"/>
      <c r="AE273" s="1025"/>
      <c r="AF273" s="1030"/>
      <c r="AG273" s="690"/>
      <c r="AH273" s="690"/>
      <c r="AI273" s="696">
        <f t="shared" si="40"/>
        <v>0</v>
      </c>
      <c r="AJ273" s="697">
        <f t="shared" si="41"/>
        <v>0</v>
      </c>
      <c r="AK273" s="698"/>
      <c r="AL273" s="698"/>
    </row>
    <row r="274" spans="1:38" s="700" customFormat="1" ht="12.75" customHeight="1">
      <c r="A274" s="686" t="s">
        <v>202</v>
      </c>
      <c r="B274" s="714" t="s">
        <v>317</v>
      </c>
      <c r="C274" s="713" t="s">
        <v>443</v>
      </c>
      <c r="D274" s="713"/>
      <c r="E274" s="708"/>
      <c r="F274" s="709"/>
      <c r="G274" s="1025"/>
      <c r="H274" s="690"/>
      <c r="I274" s="1030"/>
      <c r="J274" s="690"/>
      <c r="K274" s="1030"/>
      <c r="L274" s="690"/>
      <c r="M274" s="1025"/>
      <c r="N274" s="1030"/>
      <c r="O274" s="692">
        <f t="shared" si="34"/>
        <v>0</v>
      </c>
      <c r="P274" s="690"/>
      <c r="Q274" s="690"/>
      <c r="R274" s="691">
        <f t="shared" si="35"/>
        <v>0</v>
      </c>
      <c r="S274" s="692">
        <f t="shared" si="36"/>
        <v>0</v>
      </c>
      <c r="T274" s="693">
        <f t="shared" si="37"/>
        <v>0</v>
      </c>
      <c r="U274" s="1035"/>
      <c r="V274" s="690"/>
      <c r="W274" s="1025"/>
      <c r="X274" s="1030"/>
      <c r="Y274" s="694">
        <f t="shared" si="38"/>
        <v>0</v>
      </c>
      <c r="Z274" s="690"/>
      <c r="AA274" s="690"/>
      <c r="AB274" s="695">
        <f t="shared" si="39"/>
        <v>0</v>
      </c>
      <c r="AC274" s="1035"/>
      <c r="AD274" s="690"/>
      <c r="AE274" s="1025"/>
      <c r="AF274" s="1030"/>
      <c r="AG274" s="690"/>
      <c r="AH274" s="690"/>
      <c r="AI274" s="696">
        <f t="shared" si="40"/>
        <v>0</v>
      </c>
      <c r="AJ274" s="697">
        <f t="shared" si="41"/>
        <v>0</v>
      </c>
      <c r="AK274" s="698"/>
      <c r="AL274" s="698"/>
    </row>
    <row r="275" spans="1:38" s="700" customFormat="1" ht="12.75" customHeight="1">
      <c r="A275" s="686" t="s">
        <v>202</v>
      </c>
      <c r="B275" s="714" t="s">
        <v>318</v>
      </c>
      <c r="C275" s="713" t="s">
        <v>377</v>
      </c>
      <c r="D275" s="713"/>
      <c r="E275" s="708"/>
      <c r="F275" s="709"/>
      <c r="G275" s="1025"/>
      <c r="H275" s="690"/>
      <c r="I275" s="1030"/>
      <c r="J275" s="690"/>
      <c r="K275" s="1030"/>
      <c r="L275" s="690"/>
      <c r="M275" s="1025"/>
      <c r="N275" s="1030"/>
      <c r="O275" s="692">
        <f t="shared" si="34"/>
        <v>0</v>
      </c>
      <c r="P275" s="690"/>
      <c r="Q275" s="690"/>
      <c r="R275" s="691">
        <f t="shared" si="35"/>
        <v>0</v>
      </c>
      <c r="S275" s="692">
        <f t="shared" si="36"/>
        <v>0</v>
      </c>
      <c r="T275" s="693">
        <f t="shared" si="37"/>
        <v>0</v>
      </c>
      <c r="U275" s="1035"/>
      <c r="V275" s="690"/>
      <c r="W275" s="1025"/>
      <c r="X275" s="1030"/>
      <c r="Y275" s="694">
        <f t="shared" si="38"/>
        <v>0</v>
      </c>
      <c r="Z275" s="690"/>
      <c r="AA275" s="690"/>
      <c r="AB275" s="695">
        <f t="shared" si="39"/>
        <v>0</v>
      </c>
      <c r="AC275" s="1035"/>
      <c r="AD275" s="690"/>
      <c r="AE275" s="1025"/>
      <c r="AF275" s="1030"/>
      <c r="AG275" s="690"/>
      <c r="AH275" s="690"/>
      <c r="AI275" s="696">
        <f t="shared" si="40"/>
        <v>0</v>
      </c>
      <c r="AJ275" s="697">
        <f t="shared" si="41"/>
        <v>0</v>
      </c>
      <c r="AK275" s="698"/>
      <c r="AL275" s="698"/>
    </row>
    <row r="276" spans="1:38" s="700" customFormat="1" ht="12.75" customHeight="1">
      <c r="A276" s="686" t="s">
        <v>202</v>
      </c>
      <c r="B276" s="686" t="s">
        <v>420</v>
      </c>
      <c r="C276" s="712" t="s">
        <v>57</v>
      </c>
      <c r="D276" s="712"/>
      <c r="E276" s="708"/>
      <c r="F276" s="709"/>
      <c r="G276" s="1025"/>
      <c r="H276" s="690"/>
      <c r="I276" s="1030"/>
      <c r="J276" s="690"/>
      <c r="K276" s="1030"/>
      <c r="L276" s="690"/>
      <c r="M276" s="1025"/>
      <c r="N276" s="1030"/>
      <c r="O276" s="692">
        <f t="shared" si="34"/>
        <v>0</v>
      </c>
      <c r="P276" s="690"/>
      <c r="Q276" s="690"/>
      <c r="R276" s="691">
        <f t="shared" si="35"/>
        <v>0</v>
      </c>
      <c r="S276" s="692">
        <f t="shared" si="36"/>
        <v>0</v>
      </c>
      <c r="T276" s="693">
        <f t="shared" si="37"/>
        <v>0</v>
      </c>
      <c r="U276" s="1035"/>
      <c r="V276" s="690"/>
      <c r="W276" s="1025"/>
      <c r="X276" s="1030"/>
      <c r="Y276" s="694">
        <f t="shared" si="38"/>
        <v>0</v>
      </c>
      <c r="Z276" s="690"/>
      <c r="AA276" s="690"/>
      <c r="AB276" s="695">
        <f t="shared" si="39"/>
        <v>0</v>
      </c>
      <c r="AC276" s="1035"/>
      <c r="AD276" s="690"/>
      <c r="AE276" s="1025"/>
      <c r="AF276" s="1030"/>
      <c r="AG276" s="690"/>
      <c r="AH276" s="690"/>
      <c r="AI276" s="696">
        <f t="shared" si="40"/>
        <v>0</v>
      </c>
      <c r="AJ276" s="697">
        <f t="shared" si="41"/>
        <v>0</v>
      </c>
      <c r="AK276" s="698"/>
      <c r="AL276" s="698"/>
    </row>
    <row r="277" spans="1:38" s="700" customFormat="1" ht="12.75" customHeight="1">
      <c r="A277" s="686" t="s">
        <v>202</v>
      </c>
      <c r="B277" s="686" t="s">
        <v>442</v>
      </c>
      <c r="C277" s="713" t="s">
        <v>443</v>
      </c>
      <c r="D277" s="713"/>
      <c r="E277" s="708"/>
      <c r="F277" s="709"/>
      <c r="G277" s="1025"/>
      <c r="H277" s="690"/>
      <c r="I277" s="1030"/>
      <c r="J277" s="690"/>
      <c r="K277" s="1030"/>
      <c r="L277" s="690"/>
      <c r="M277" s="1025"/>
      <c r="N277" s="1030"/>
      <c r="O277" s="692">
        <f t="shared" si="34"/>
        <v>0</v>
      </c>
      <c r="P277" s="690"/>
      <c r="Q277" s="690"/>
      <c r="R277" s="691">
        <f t="shared" si="35"/>
        <v>0</v>
      </c>
      <c r="S277" s="692">
        <f t="shared" si="36"/>
        <v>0</v>
      </c>
      <c r="T277" s="693">
        <f t="shared" si="37"/>
        <v>0</v>
      </c>
      <c r="U277" s="1035"/>
      <c r="V277" s="690"/>
      <c r="W277" s="1025"/>
      <c r="X277" s="1030"/>
      <c r="Y277" s="694">
        <f t="shared" si="38"/>
        <v>0</v>
      </c>
      <c r="Z277" s="690"/>
      <c r="AA277" s="690"/>
      <c r="AB277" s="695">
        <f t="shared" si="39"/>
        <v>0</v>
      </c>
      <c r="AC277" s="1035"/>
      <c r="AD277" s="690"/>
      <c r="AE277" s="1025"/>
      <c r="AF277" s="1030"/>
      <c r="AG277" s="690"/>
      <c r="AH277" s="690"/>
      <c r="AI277" s="696">
        <f t="shared" si="40"/>
        <v>0</v>
      </c>
      <c r="AJ277" s="697">
        <f t="shared" si="41"/>
        <v>0</v>
      </c>
      <c r="AK277" s="698"/>
      <c r="AL277" s="698"/>
    </row>
    <row r="278" spans="1:38" s="700" customFormat="1" ht="12.75" customHeight="1">
      <c r="A278" s="686" t="s">
        <v>202</v>
      </c>
      <c r="B278" s="686" t="s">
        <v>379</v>
      </c>
      <c r="C278" s="713" t="s">
        <v>377</v>
      </c>
      <c r="D278" s="713"/>
      <c r="E278" s="708"/>
      <c r="F278" s="709"/>
      <c r="G278" s="1025"/>
      <c r="H278" s="690"/>
      <c r="I278" s="1030"/>
      <c r="J278" s="690"/>
      <c r="K278" s="1030"/>
      <c r="L278" s="690"/>
      <c r="M278" s="1025"/>
      <c r="N278" s="1030"/>
      <c r="O278" s="692">
        <f t="shared" si="34"/>
        <v>0</v>
      </c>
      <c r="P278" s="690"/>
      <c r="Q278" s="690"/>
      <c r="R278" s="691">
        <f t="shared" si="35"/>
        <v>0</v>
      </c>
      <c r="S278" s="692">
        <f t="shared" si="36"/>
        <v>0</v>
      </c>
      <c r="T278" s="693">
        <f t="shared" si="37"/>
        <v>0</v>
      </c>
      <c r="U278" s="1035"/>
      <c r="V278" s="690"/>
      <c r="W278" s="1025"/>
      <c r="X278" s="1030"/>
      <c r="Y278" s="694">
        <f t="shared" si="38"/>
        <v>0</v>
      </c>
      <c r="Z278" s="690"/>
      <c r="AA278" s="690"/>
      <c r="AB278" s="695">
        <f t="shared" si="39"/>
        <v>0</v>
      </c>
      <c r="AC278" s="1035"/>
      <c r="AD278" s="690"/>
      <c r="AE278" s="1025"/>
      <c r="AF278" s="1030"/>
      <c r="AG278" s="690"/>
      <c r="AH278" s="690"/>
      <c r="AI278" s="696">
        <f t="shared" si="40"/>
        <v>0</v>
      </c>
      <c r="AJ278" s="697">
        <f t="shared" si="41"/>
        <v>0</v>
      </c>
      <c r="AK278" s="698"/>
      <c r="AL278" s="698"/>
    </row>
    <row r="279" spans="1:38" s="700" customFormat="1" ht="12.75" customHeight="1">
      <c r="A279" s="686" t="s">
        <v>202</v>
      </c>
      <c r="B279" s="714" t="s">
        <v>295</v>
      </c>
      <c r="C279" s="713" t="s">
        <v>53</v>
      </c>
      <c r="D279" s="713"/>
      <c r="E279" s="708"/>
      <c r="F279" s="709"/>
      <c r="G279" s="1025"/>
      <c r="H279" s="690"/>
      <c r="I279" s="1030"/>
      <c r="J279" s="690"/>
      <c r="K279" s="1030"/>
      <c r="L279" s="690"/>
      <c r="M279" s="1025"/>
      <c r="N279" s="1030"/>
      <c r="O279" s="692">
        <f t="shared" si="34"/>
        <v>0</v>
      </c>
      <c r="P279" s="690"/>
      <c r="Q279" s="690"/>
      <c r="R279" s="691">
        <f t="shared" si="35"/>
        <v>0</v>
      </c>
      <c r="S279" s="692">
        <f t="shared" si="36"/>
        <v>0</v>
      </c>
      <c r="T279" s="693">
        <f t="shared" si="37"/>
        <v>0</v>
      </c>
      <c r="U279" s="1035"/>
      <c r="V279" s="690"/>
      <c r="W279" s="1025"/>
      <c r="X279" s="1030"/>
      <c r="Y279" s="694">
        <f t="shared" si="38"/>
        <v>0</v>
      </c>
      <c r="Z279" s="690"/>
      <c r="AA279" s="690"/>
      <c r="AB279" s="695">
        <f t="shared" si="39"/>
        <v>0</v>
      </c>
      <c r="AC279" s="1035"/>
      <c r="AD279" s="690"/>
      <c r="AE279" s="1025"/>
      <c r="AF279" s="1030"/>
      <c r="AG279" s="690"/>
      <c r="AH279" s="690"/>
      <c r="AI279" s="696">
        <f t="shared" si="40"/>
        <v>0</v>
      </c>
      <c r="AJ279" s="697">
        <f t="shared" si="41"/>
        <v>0</v>
      </c>
      <c r="AK279" s="698"/>
      <c r="AL279" s="698"/>
    </row>
    <row r="280" spans="1:38" s="700" customFormat="1" ht="12.75" customHeight="1">
      <c r="A280" s="686" t="s">
        <v>202</v>
      </c>
      <c r="B280" s="714" t="s">
        <v>296</v>
      </c>
      <c r="C280" s="713" t="s">
        <v>443</v>
      </c>
      <c r="D280" s="713"/>
      <c r="E280" s="708"/>
      <c r="F280" s="709"/>
      <c r="G280" s="1025"/>
      <c r="H280" s="690"/>
      <c r="I280" s="1030"/>
      <c r="J280" s="690"/>
      <c r="K280" s="1030"/>
      <c r="L280" s="690"/>
      <c r="M280" s="1025"/>
      <c r="N280" s="1030"/>
      <c r="O280" s="692">
        <f t="shared" si="34"/>
        <v>0</v>
      </c>
      <c r="P280" s="690"/>
      <c r="Q280" s="690"/>
      <c r="R280" s="691">
        <f t="shared" si="35"/>
        <v>0</v>
      </c>
      <c r="S280" s="692">
        <f t="shared" si="36"/>
        <v>0</v>
      </c>
      <c r="T280" s="693">
        <f t="shared" si="37"/>
        <v>0</v>
      </c>
      <c r="U280" s="1035"/>
      <c r="V280" s="690"/>
      <c r="W280" s="1025"/>
      <c r="X280" s="1030"/>
      <c r="Y280" s="694">
        <f t="shared" si="38"/>
        <v>0</v>
      </c>
      <c r="Z280" s="690"/>
      <c r="AA280" s="690"/>
      <c r="AB280" s="695">
        <f t="shared" si="39"/>
        <v>0</v>
      </c>
      <c r="AC280" s="1035"/>
      <c r="AD280" s="690"/>
      <c r="AE280" s="1025"/>
      <c r="AF280" s="1030"/>
      <c r="AG280" s="690"/>
      <c r="AH280" s="690"/>
      <c r="AI280" s="696">
        <f t="shared" si="40"/>
        <v>0</v>
      </c>
      <c r="AJ280" s="697">
        <f t="shared" si="41"/>
        <v>0</v>
      </c>
      <c r="AK280" s="698"/>
      <c r="AL280" s="698"/>
    </row>
    <row r="281" spans="1:38" s="700" customFormat="1" ht="12.75" customHeight="1">
      <c r="A281" s="686" t="s">
        <v>202</v>
      </c>
      <c r="B281" s="714" t="s">
        <v>278</v>
      </c>
      <c r="C281" s="713" t="s">
        <v>377</v>
      </c>
      <c r="D281" s="713"/>
      <c r="E281" s="708"/>
      <c r="F281" s="709"/>
      <c r="G281" s="1025"/>
      <c r="H281" s="690"/>
      <c r="I281" s="1030"/>
      <c r="J281" s="690"/>
      <c r="K281" s="1030"/>
      <c r="L281" s="690"/>
      <c r="M281" s="1025"/>
      <c r="N281" s="1030"/>
      <c r="O281" s="692">
        <f t="shared" si="34"/>
        <v>0</v>
      </c>
      <c r="P281" s="690"/>
      <c r="Q281" s="690"/>
      <c r="R281" s="691">
        <f t="shared" si="35"/>
        <v>0</v>
      </c>
      <c r="S281" s="692">
        <f t="shared" si="36"/>
        <v>0</v>
      </c>
      <c r="T281" s="693">
        <f t="shared" si="37"/>
        <v>0</v>
      </c>
      <c r="U281" s="1035"/>
      <c r="V281" s="690"/>
      <c r="W281" s="1025"/>
      <c r="X281" s="1030"/>
      <c r="Y281" s="694">
        <f t="shared" si="38"/>
        <v>0</v>
      </c>
      <c r="Z281" s="690"/>
      <c r="AA281" s="690"/>
      <c r="AB281" s="695">
        <f t="shared" si="39"/>
        <v>0</v>
      </c>
      <c r="AC281" s="1035"/>
      <c r="AD281" s="690"/>
      <c r="AE281" s="1025"/>
      <c r="AF281" s="1030"/>
      <c r="AG281" s="690"/>
      <c r="AH281" s="690"/>
      <c r="AI281" s="696">
        <f t="shared" si="40"/>
        <v>0</v>
      </c>
      <c r="AJ281" s="697">
        <f t="shared" si="41"/>
        <v>0</v>
      </c>
      <c r="AK281" s="698"/>
      <c r="AL281" s="698"/>
    </row>
    <row r="282" spans="1:38" s="700" customFormat="1" ht="12.75" customHeight="1">
      <c r="A282" s="686" t="s">
        <v>202</v>
      </c>
      <c r="B282" s="714" t="s">
        <v>279</v>
      </c>
      <c r="C282" s="713" t="s">
        <v>54</v>
      </c>
      <c r="D282" s="713"/>
      <c r="E282" s="708"/>
      <c r="F282" s="709"/>
      <c r="G282" s="1025"/>
      <c r="H282" s="690"/>
      <c r="I282" s="1030"/>
      <c r="J282" s="690"/>
      <c r="K282" s="1030"/>
      <c r="L282" s="690"/>
      <c r="M282" s="1025"/>
      <c r="N282" s="1030"/>
      <c r="O282" s="692">
        <f t="shared" si="34"/>
        <v>0</v>
      </c>
      <c r="P282" s="690"/>
      <c r="Q282" s="690"/>
      <c r="R282" s="691">
        <f t="shared" si="35"/>
        <v>0</v>
      </c>
      <c r="S282" s="692">
        <f t="shared" si="36"/>
        <v>0</v>
      </c>
      <c r="T282" s="693">
        <f t="shared" si="37"/>
        <v>0</v>
      </c>
      <c r="U282" s="1035"/>
      <c r="V282" s="690"/>
      <c r="W282" s="1025"/>
      <c r="X282" s="1030"/>
      <c r="Y282" s="694">
        <f t="shared" si="38"/>
        <v>0</v>
      </c>
      <c r="Z282" s="690"/>
      <c r="AA282" s="690"/>
      <c r="AB282" s="695">
        <f t="shared" si="39"/>
        <v>0</v>
      </c>
      <c r="AC282" s="1035"/>
      <c r="AD282" s="690"/>
      <c r="AE282" s="1025"/>
      <c r="AF282" s="1030"/>
      <c r="AG282" s="690"/>
      <c r="AH282" s="690"/>
      <c r="AI282" s="696">
        <f t="shared" si="40"/>
        <v>0</v>
      </c>
      <c r="AJ282" s="697">
        <f t="shared" si="41"/>
        <v>0</v>
      </c>
      <c r="AK282" s="698"/>
      <c r="AL282" s="698"/>
    </row>
    <row r="283" spans="1:38" s="700" customFormat="1" ht="12.75" customHeight="1">
      <c r="A283" s="686" t="s">
        <v>202</v>
      </c>
      <c r="B283" s="714" t="s">
        <v>317</v>
      </c>
      <c r="C283" s="713" t="s">
        <v>443</v>
      </c>
      <c r="D283" s="713"/>
      <c r="E283" s="708"/>
      <c r="F283" s="709"/>
      <c r="G283" s="1025"/>
      <c r="H283" s="690"/>
      <c r="I283" s="1030"/>
      <c r="J283" s="690"/>
      <c r="K283" s="1030"/>
      <c r="L283" s="690"/>
      <c r="M283" s="1025"/>
      <c r="N283" s="1030"/>
      <c r="O283" s="692">
        <f t="shared" si="34"/>
        <v>0</v>
      </c>
      <c r="P283" s="690"/>
      <c r="Q283" s="690"/>
      <c r="R283" s="691">
        <f t="shared" si="35"/>
        <v>0</v>
      </c>
      <c r="S283" s="692">
        <f t="shared" si="36"/>
        <v>0</v>
      </c>
      <c r="T283" s="693">
        <f t="shared" si="37"/>
        <v>0</v>
      </c>
      <c r="U283" s="1035"/>
      <c r="V283" s="690"/>
      <c r="W283" s="1025"/>
      <c r="X283" s="1030"/>
      <c r="Y283" s="694">
        <f t="shared" si="38"/>
        <v>0</v>
      </c>
      <c r="Z283" s="690"/>
      <c r="AA283" s="690"/>
      <c r="AB283" s="695">
        <f t="shared" si="39"/>
        <v>0</v>
      </c>
      <c r="AC283" s="1035"/>
      <c r="AD283" s="690"/>
      <c r="AE283" s="1025"/>
      <c r="AF283" s="1030"/>
      <c r="AG283" s="690"/>
      <c r="AH283" s="690"/>
      <c r="AI283" s="696">
        <f t="shared" si="40"/>
        <v>0</v>
      </c>
      <c r="AJ283" s="697">
        <f t="shared" si="41"/>
        <v>0</v>
      </c>
      <c r="AK283" s="698"/>
      <c r="AL283" s="698"/>
    </row>
    <row r="284" spans="1:38" s="700" customFormat="1" ht="12.75" customHeight="1">
      <c r="A284" s="686" t="s">
        <v>202</v>
      </c>
      <c r="B284" s="714" t="s">
        <v>318</v>
      </c>
      <c r="C284" s="713" t="s">
        <v>377</v>
      </c>
      <c r="D284" s="713"/>
      <c r="E284" s="708"/>
      <c r="F284" s="709"/>
      <c r="G284" s="1025"/>
      <c r="H284" s="690"/>
      <c r="I284" s="1030"/>
      <c r="J284" s="690"/>
      <c r="K284" s="1030"/>
      <c r="L284" s="690"/>
      <c r="M284" s="1025"/>
      <c r="N284" s="1030"/>
      <c r="O284" s="692">
        <f t="shared" si="34"/>
        <v>0</v>
      </c>
      <c r="P284" s="690"/>
      <c r="Q284" s="690"/>
      <c r="R284" s="691">
        <f t="shared" si="35"/>
        <v>0</v>
      </c>
      <c r="S284" s="692">
        <f t="shared" si="36"/>
        <v>0</v>
      </c>
      <c r="T284" s="693">
        <f t="shared" si="37"/>
        <v>0</v>
      </c>
      <c r="U284" s="1035">
        <v>28620</v>
      </c>
      <c r="V284" s="818">
        <v>24626</v>
      </c>
      <c r="W284" s="1025"/>
      <c r="X284" s="1030"/>
      <c r="Y284" s="694">
        <f t="shared" si="38"/>
        <v>0</v>
      </c>
      <c r="Z284" s="690"/>
      <c r="AA284" s="690"/>
      <c r="AB284" s="695">
        <f t="shared" si="39"/>
        <v>0</v>
      </c>
      <c r="AC284" s="1035"/>
      <c r="AD284" s="690"/>
      <c r="AE284" s="1025"/>
      <c r="AF284" s="1030"/>
      <c r="AG284" s="690"/>
      <c r="AH284" s="690"/>
      <c r="AI284" s="696">
        <f t="shared" si="40"/>
        <v>28620</v>
      </c>
      <c r="AJ284" s="697">
        <f t="shared" si="41"/>
        <v>24626</v>
      </c>
      <c r="AK284" s="698"/>
      <c r="AL284" s="698"/>
    </row>
    <row r="285" spans="1:38" s="700" customFormat="1" ht="12.75" customHeight="1">
      <c r="A285" s="686" t="s">
        <v>202</v>
      </c>
      <c r="B285" s="686" t="s">
        <v>420</v>
      </c>
      <c r="C285" s="712" t="s">
        <v>58</v>
      </c>
      <c r="D285" s="712"/>
      <c r="E285" s="708"/>
      <c r="F285" s="709"/>
      <c r="G285" s="1025"/>
      <c r="H285" s="690"/>
      <c r="I285" s="1030"/>
      <c r="J285" s="690"/>
      <c r="K285" s="1030"/>
      <c r="L285" s="690"/>
      <c r="M285" s="1025"/>
      <c r="N285" s="1030"/>
      <c r="O285" s="692">
        <f t="shared" si="34"/>
        <v>0</v>
      </c>
      <c r="P285" s="690"/>
      <c r="Q285" s="690"/>
      <c r="R285" s="691">
        <f t="shared" si="35"/>
        <v>0</v>
      </c>
      <c r="S285" s="692">
        <f t="shared" si="36"/>
        <v>0</v>
      </c>
      <c r="T285" s="693">
        <f t="shared" si="37"/>
        <v>0</v>
      </c>
      <c r="U285" s="1035"/>
      <c r="V285" s="690"/>
      <c r="W285" s="1025"/>
      <c r="X285" s="1030"/>
      <c r="Y285" s="694">
        <f t="shared" si="38"/>
        <v>0</v>
      </c>
      <c r="Z285" s="690"/>
      <c r="AA285" s="690"/>
      <c r="AB285" s="695">
        <f t="shared" si="39"/>
        <v>0</v>
      </c>
      <c r="AC285" s="1035"/>
      <c r="AD285" s="690"/>
      <c r="AE285" s="1025"/>
      <c r="AF285" s="1030"/>
      <c r="AG285" s="690"/>
      <c r="AH285" s="690"/>
      <c r="AI285" s="696">
        <f t="shared" si="40"/>
        <v>0</v>
      </c>
      <c r="AJ285" s="697">
        <f t="shared" si="41"/>
        <v>0</v>
      </c>
      <c r="AK285" s="698"/>
      <c r="AL285" s="698"/>
    </row>
    <row r="286" spans="1:38" s="700" customFormat="1" ht="12.75" customHeight="1">
      <c r="A286" s="686" t="s">
        <v>202</v>
      </c>
      <c r="B286" s="686" t="s">
        <v>442</v>
      </c>
      <c r="C286" s="713" t="s">
        <v>443</v>
      </c>
      <c r="D286" s="713"/>
      <c r="E286" s="708"/>
      <c r="F286" s="709"/>
      <c r="G286" s="1025"/>
      <c r="H286" s="690"/>
      <c r="I286" s="1030"/>
      <c r="J286" s="690"/>
      <c r="K286" s="1030"/>
      <c r="L286" s="690"/>
      <c r="M286" s="1025"/>
      <c r="N286" s="1030"/>
      <c r="O286" s="692">
        <f t="shared" si="34"/>
        <v>0</v>
      </c>
      <c r="P286" s="690"/>
      <c r="Q286" s="690"/>
      <c r="R286" s="691">
        <f t="shared" si="35"/>
        <v>0</v>
      </c>
      <c r="S286" s="692">
        <f t="shared" si="36"/>
        <v>0</v>
      </c>
      <c r="T286" s="693">
        <f t="shared" si="37"/>
        <v>0</v>
      </c>
      <c r="U286" s="1035"/>
      <c r="V286" s="690"/>
      <c r="W286" s="1025"/>
      <c r="X286" s="1030"/>
      <c r="Y286" s="694">
        <f t="shared" si="38"/>
        <v>0</v>
      </c>
      <c r="Z286" s="690"/>
      <c r="AA286" s="690"/>
      <c r="AB286" s="695">
        <f t="shared" si="39"/>
        <v>0</v>
      </c>
      <c r="AC286" s="1035"/>
      <c r="AD286" s="690"/>
      <c r="AE286" s="1025"/>
      <c r="AF286" s="1030"/>
      <c r="AG286" s="690"/>
      <c r="AH286" s="690"/>
      <c r="AI286" s="696">
        <f t="shared" si="40"/>
        <v>0</v>
      </c>
      <c r="AJ286" s="697">
        <f t="shared" si="41"/>
        <v>0</v>
      </c>
      <c r="AK286" s="698"/>
      <c r="AL286" s="698"/>
    </row>
    <row r="287" spans="1:38" s="700" customFormat="1" ht="12.75" customHeight="1">
      <c r="A287" s="686" t="s">
        <v>202</v>
      </c>
      <c r="B287" s="686" t="s">
        <v>379</v>
      </c>
      <c r="C287" s="713" t="s">
        <v>377</v>
      </c>
      <c r="D287" s="713"/>
      <c r="E287" s="708"/>
      <c r="F287" s="709"/>
      <c r="G287" s="1025"/>
      <c r="H287" s="690"/>
      <c r="I287" s="1030"/>
      <c r="J287" s="690"/>
      <c r="K287" s="1030"/>
      <c r="L287" s="690"/>
      <c r="M287" s="1025"/>
      <c r="N287" s="1030"/>
      <c r="O287" s="692">
        <f t="shared" si="34"/>
        <v>0</v>
      </c>
      <c r="P287" s="690"/>
      <c r="Q287" s="690"/>
      <c r="R287" s="691">
        <f t="shared" si="35"/>
        <v>0</v>
      </c>
      <c r="S287" s="692">
        <f t="shared" si="36"/>
        <v>0</v>
      </c>
      <c r="T287" s="693">
        <f t="shared" si="37"/>
        <v>0</v>
      </c>
      <c r="U287" s="1035">
        <v>232585</v>
      </c>
      <c r="V287" s="818">
        <v>228272</v>
      </c>
      <c r="W287" s="1025"/>
      <c r="X287" s="1030"/>
      <c r="Y287" s="694">
        <f t="shared" si="38"/>
        <v>0</v>
      </c>
      <c r="Z287" s="690"/>
      <c r="AA287" s="690"/>
      <c r="AB287" s="695">
        <f t="shared" si="39"/>
        <v>0</v>
      </c>
      <c r="AC287" s="1035"/>
      <c r="AD287" s="690"/>
      <c r="AE287" s="1025"/>
      <c r="AF287" s="1030"/>
      <c r="AG287" s="690"/>
      <c r="AH287" s="690"/>
      <c r="AI287" s="696">
        <f t="shared" si="40"/>
        <v>232585</v>
      </c>
      <c r="AJ287" s="697">
        <f t="shared" si="41"/>
        <v>228272</v>
      </c>
      <c r="AK287" s="698"/>
      <c r="AL287" s="698"/>
    </row>
    <row r="288" spans="1:38" s="700" customFormat="1" ht="12.75" customHeight="1">
      <c r="A288" s="686" t="s">
        <v>202</v>
      </c>
      <c r="B288" s="714" t="s">
        <v>295</v>
      </c>
      <c r="C288" s="713" t="s">
        <v>53</v>
      </c>
      <c r="D288" s="713"/>
      <c r="E288" s="708"/>
      <c r="F288" s="709"/>
      <c r="G288" s="1025"/>
      <c r="H288" s="690"/>
      <c r="I288" s="1030"/>
      <c r="J288" s="690"/>
      <c r="K288" s="1030"/>
      <c r="L288" s="690"/>
      <c r="M288" s="1025"/>
      <c r="N288" s="1030"/>
      <c r="O288" s="692">
        <f t="shared" si="34"/>
        <v>0</v>
      </c>
      <c r="P288" s="690"/>
      <c r="Q288" s="690"/>
      <c r="R288" s="691">
        <f t="shared" si="35"/>
        <v>0</v>
      </c>
      <c r="S288" s="692">
        <f t="shared" si="36"/>
        <v>0</v>
      </c>
      <c r="T288" s="693">
        <f t="shared" si="37"/>
        <v>0</v>
      </c>
      <c r="U288" s="1035"/>
      <c r="V288" s="690"/>
      <c r="W288" s="1025"/>
      <c r="X288" s="1030"/>
      <c r="Y288" s="694">
        <f t="shared" si="38"/>
        <v>0</v>
      </c>
      <c r="Z288" s="690"/>
      <c r="AA288" s="690"/>
      <c r="AB288" s="695">
        <f t="shared" si="39"/>
        <v>0</v>
      </c>
      <c r="AC288" s="1035"/>
      <c r="AD288" s="690"/>
      <c r="AE288" s="1025"/>
      <c r="AF288" s="1030"/>
      <c r="AG288" s="690"/>
      <c r="AH288" s="690"/>
      <c r="AI288" s="696">
        <f t="shared" si="40"/>
        <v>0</v>
      </c>
      <c r="AJ288" s="697">
        <f t="shared" si="41"/>
        <v>0</v>
      </c>
      <c r="AK288" s="698"/>
      <c r="AL288" s="698"/>
    </row>
    <row r="289" spans="1:38" s="700" customFormat="1" ht="12.75" customHeight="1">
      <c r="A289" s="686" t="s">
        <v>202</v>
      </c>
      <c r="B289" s="714" t="s">
        <v>296</v>
      </c>
      <c r="C289" s="713" t="s">
        <v>443</v>
      </c>
      <c r="D289" s="713"/>
      <c r="E289" s="708"/>
      <c r="F289" s="709"/>
      <c r="G289" s="1025"/>
      <c r="H289" s="690"/>
      <c r="I289" s="1030"/>
      <c r="J289" s="690"/>
      <c r="K289" s="1030"/>
      <c r="L289" s="690"/>
      <c r="M289" s="1025"/>
      <c r="N289" s="1030"/>
      <c r="O289" s="692">
        <f t="shared" si="34"/>
        <v>0</v>
      </c>
      <c r="P289" s="690"/>
      <c r="Q289" s="690"/>
      <c r="R289" s="691">
        <f t="shared" si="35"/>
        <v>0</v>
      </c>
      <c r="S289" s="692">
        <f t="shared" si="36"/>
        <v>0</v>
      </c>
      <c r="T289" s="693">
        <f t="shared" si="37"/>
        <v>0</v>
      </c>
      <c r="U289" s="1035"/>
      <c r="V289" s="690"/>
      <c r="W289" s="1025"/>
      <c r="X289" s="1030"/>
      <c r="Y289" s="694">
        <f t="shared" si="38"/>
        <v>0</v>
      </c>
      <c r="Z289" s="690"/>
      <c r="AA289" s="690"/>
      <c r="AB289" s="695">
        <f t="shared" si="39"/>
        <v>0</v>
      </c>
      <c r="AC289" s="1035"/>
      <c r="AD289" s="690"/>
      <c r="AE289" s="1025"/>
      <c r="AF289" s="1030"/>
      <c r="AG289" s="690"/>
      <c r="AH289" s="690"/>
      <c r="AI289" s="696">
        <f t="shared" si="40"/>
        <v>0</v>
      </c>
      <c r="AJ289" s="697">
        <f t="shared" si="41"/>
        <v>0</v>
      </c>
      <c r="AK289" s="698"/>
      <c r="AL289" s="698"/>
    </row>
    <row r="290" spans="1:38" s="700" customFormat="1" ht="12.75" customHeight="1">
      <c r="A290" s="686" t="s">
        <v>202</v>
      </c>
      <c r="B290" s="714" t="s">
        <v>278</v>
      </c>
      <c r="C290" s="713" t="s">
        <v>377</v>
      </c>
      <c r="D290" s="713"/>
      <c r="E290" s="708"/>
      <c r="F290" s="709"/>
      <c r="G290" s="1025"/>
      <c r="H290" s="690"/>
      <c r="I290" s="1030"/>
      <c r="J290" s="690"/>
      <c r="K290" s="1030"/>
      <c r="L290" s="690"/>
      <c r="M290" s="1025"/>
      <c r="N290" s="1030"/>
      <c r="O290" s="692">
        <f t="shared" si="34"/>
        <v>0</v>
      </c>
      <c r="P290" s="690"/>
      <c r="Q290" s="690"/>
      <c r="R290" s="691">
        <f t="shared" si="35"/>
        <v>0</v>
      </c>
      <c r="S290" s="692">
        <f t="shared" si="36"/>
        <v>0</v>
      </c>
      <c r="T290" s="693">
        <f t="shared" si="37"/>
        <v>0</v>
      </c>
      <c r="U290" s="1035"/>
      <c r="V290" s="690"/>
      <c r="W290" s="1025"/>
      <c r="X290" s="1030"/>
      <c r="Y290" s="694">
        <f t="shared" si="38"/>
        <v>0</v>
      </c>
      <c r="Z290" s="690"/>
      <c r="AA290" s="690"/>
      <c r="AB290" s="695">
        <f t="shared" si="39"/>
        <v>0</v>
      </c>
      <c r="AC290" s="1035"/>
      <c r="AD290" s="690"/>
      <c r="AE290" s="1025"/>
      <c r="AF290" s="1030"/>
      <c r="AG290" s="690"/>
      <c r="AH290" s="690"/>
      <c r="AI290" s="696">
        <f t="shared" si="40"/>
        <v>0</v>
      </c>
      <c r="AJ290" s="697">
        <f t="shared" si="41"/>
        <v>0</v>
      </c>
      <c r="AK290" s="698"/>
      <c r="AL290" s="698"/>
    </row>
    <row r="291" spans="1:38" s="700" customFormat="1" ht="12.75" customHeight="1">
      <c r="A291" s="686" t="s">
        <v>202</v>
      </c>
      <c r="B291" s="714" t="s">
        <v>279</v>
      </c>
      <c r="C291" s="713" t="s">
        <v>54</v>
      </c>
      <c r="D291" s="713"/>
      <c r="E291" s="708"/>
      <c r="F291" s="709"/>
      <c r="G291" s="1025"/>
      <c r="H291" s="690"/>
      <c r="I291" s="1030"/>
      <c r="J291" s="690"/>
      <c r="K291" s="1030"/>
      <c r="L291" s="690"/>
      <c r="M291" s="1025"/>
      <c r="N291" s="1030"/>
      <c r="O291" s="692">
        <f t="shared" si="34"/>
        <v>0</v>
      </c>
      <c r="P291" s="690"/>
      <c r="Q291" s="690"/>
      <c r="R291" s="691">
        <f t="shared" si="35"/>
        <v>0</v>
      </c>
      <c r="S291" s="692">
        <f t="shared" si="36"/>
        <v>0</v>
      </c>
      <c r="T291" s="693">
        <f t="shared" si="37"/>
        <v>0</v>
      </c>
      <c r="U291" s="1035"/>
      <c r="V291" s="690"/>
      <c r="W291" s="1025"/>
      <c r="X291" s="1030"/>
      <c r="Y291" s="694">
        <f t="shared" si="38"/>
        <v>0</v>
      </c>
      <c r="Z291" s="690"/>
      <c r="AA291" s="690"/>
      <c r="AB291" s="695">
        <f t="shared" si="39"/>
        <v>0</v>
      </c>
      <c r="AC291" s="1035"/>
      <c r="AD291" s="690"/>
      <c r="AE291" s="1025"/>
      <c r="AF291" s="1030"/>
      <c r="AG291" s="690"/>
      <c r="AH291" s="690"/>
      <c r="AI291" s="696">
        <f t="shared" si="40"/>
        <v>0</v>
      </c>
      <c r="AJ291" s="697">
        <f t="shared" si="41"/>
        <v>0</v>
      </c>
      <c r="AK291" s="698"/>
      <c r="AL291" s="698"/>
    </row>
    <row r="292" spans="1:38" s="700" customFormat="1" ht="12.75" customHeight="1">
      <c r="A292" s="686" t="s">
        <v>202</v>
      </c>
      <c r="B292" s="714" t="s">
        <v>317</v>
      </c>
      <c r="C292" s="713" t="s">
        <v>443</v>
      </c>
      <c r="D292" s="713"/>
      <c r="E292" s="708"/>
      <c r="F292" s="709"/>
      <c r="G292" s="1025"/>
      <c r="H292" s="690"/>
      <c r="I292" s="1030"/>
      <c r="J292" s="690"/>
      <c r="K292" s="1030"/>
      <c r="L292" s="690"/>
      <c r="M292" s="1025"/>
      <c r="N292" s="1030"/>
      <c r="O292" s="692">
        <f t="shared" si="34"/>
        <v>0</v>
      </c>
      <c r="P292" s="690"/>
      <c r="Q292" s="690"/>
      <c r="R292" s="691">
        <f t="shared" si="35"/>
        <v>0</v>
      </c>
      <c r="S292" s="692">
        <f t="shared" si="36"/>
        <v>0</v>
      </c>
      <c r="T292" s="693">
        <f t="shared" si="37"/>
        <v>0</v>
      </c>
      <c r="U292" s="1035"/>
      <c r="V292" s="690"/>
      <c r="W292" s="1025"/>
      <c r="X292" s="1030"/>
      <c r="Y292" s="694">
        <f t="shared" si="38"/>
        <v>0</v>
      </c>
      <c r="Z292" s="690"/>
      <c r="AA292" s="690"/>
      <c r="AB292" s="695">
        <f t="shared" si="39"/>
        <v>0</v>
      </c>
      <c r="AC292" s="1035"/>
      <c r="AD292" s="690"/>
      <c r="AE292" s="1025"/>
      <c r="AF292" s="1030"/>
      <c r="AG292" s="690"/>
      <c r="AH292" s="690"/>
      <c r="AI292" s="696">
        <f t="shared" si="40"/>
        <v>0</v>
      </c>
      <c r="AJ292" s="697">
        <f t="shared" si="41"/>
        <v>0</v>
      </c>
      <c r="AK292" s="698"/>
      <c r="AL292" s="698"/>
    </row>
    <row r="293" spans="1:38" s="700" customFormat="1" ht="12.75" customHeight="1">
      <c r="A293" s="686" t="s">
        <v>202</v>
      </c>
      <c r="B293" s="714" t="s">
        <v>318</v>
      </c>
      <c r="C293" s="713" t="s">
        <v>377</v>
      </c>
      <c r="D293" s="713"/>
      <c r="E293" s="708"/>
      <c r="F293" s="709"/>
      <c r="G293" s="1025"/>
      <c r="H293" s="690"/>
      <c r="I293" s="1030"/>
      <c r="J293" s="690"/>
      <c r="K293" s="1030"/>
      <c r="L293" s="690"/>
      <c r="M293" s="1025"/>
      <c r="N293" s="1030"/>
      <c r="O293" s="692">
        <f t="shared" si="34"/>
        <v>0</v>
      </c>
      <c r="P293" s="690"/>
      <c r="Q293" s="690"/>
      <c r="R293" s="691">
        <f t="shared" si="35"/>
        <v>0</v>
      </c>
      <c r="S293" s="692">
        <f t="shared" si="36"/>
        <v>0</v>
      </c>
      <c r="T293" s="693">
        <f t="shared" si="37"/>
        <v>0</v>
      </c>
      <c r="U293" s="1035"/>
      <c r="V293" s="690"/>
      <c r="W293" s="1025"/>
      <c r="X293" s="1030"/>
      <c r="Y293" s="694">
        <f t="shared" si="38"/>
        <v>0</v>
      </c>
      <c r="Z293" s="690"/>
      <c r="AA293" s="690"/>
      <c r="AB293" s="695">
        <f t="shared" si="39"/>
        <v>0</v>
      </c>
      <c r="AC293" s="1035"/>
      <c r="AD293" s="690"/>
      <c r="AE293" s="1025"/>
      <c r="AF293" s="1030"/>
      <c r="AG293" s="690"/>
      <c r="AH293" s="690"/>
      <c r="AI293" s="696">
        <f t="shared" si="40"/>
        <v>0</v>
      </c>
      <c r="AJ293" s="697">
        <f t="shared" si="41"/>
        <v>0</v>
      </c>
      <c r="AK293" s="698"/>
      <c r="AL293" s="698"/>
    </row>
    <row r="294" spans="1:38" s="700" customFormat="1" ht="12.75" customHeight="1">
      <c r="A294" s="686" t="s">
        <v>202</v>
      </c>
      <c r="B294" s="686" t="s">
        <v>420</v>
      </c>
      <c r="C294" s="712" t="s">
        <v>59</v>
      </c>
      <c r="D294" s="712"/>
      <c r="E294" s="708"/>
      <c r="F294" s="709"/>
      <c r="G294" s="1025"/>
      <c r="H294" s="690"/>
      <c r="I294" s="1030"/>
      <c r="J294" s="690"/>
      <c r="K294" s="1030"/>
      <c r="L294" s="690"/>
      <c r="M294" s="1025"/>
      <c r="N294" s="1030"/>
      <c r="O294" s="692">
        <f t="shared" si="34"/>
        <v>0</v>
      </c>
      <c r="P294" s="690"/>
      <c r="Q294" s="690"/>
      <c r="R294" s="691">
        <f t="shared" si="35"/>
        <v>0</v>
      </c>
      <c r="S294" s="692">
        <f t="shared" si="36"/>
        <v>0</v>
      </c>
      <c r="T294" s="693">
        <f t="shared" si="37"/>
        <v>0</v>
      </c>
      <c r="U294" s="1035"/>
      <c r="V294" s="690"/>
      <c r="W294" s="1025"/>
      <c r="X294" s="1030"/>
      <c r="Y294" s="694">
        <f t="shared" si="38"/>
        <v>0</v>
      </c>
      <c r="Z294" s="690"/>
      <c r="AA294" s="690"/>
      <c r="AB294" s="695">
        <f t="shared" si="39"/>
        <v>0</v>
      </c>
      <c r="AC294" s="1035"/>
      <c r="AD294" s="690"/>
      <c r="AE294" s="1025"/>
      <c r="AF294" s="1030"/>
      <c r="AG294" s="690"/>
      <c r="AH294" s="690"/>
      <c r="AI294" s="696">
        <f t="shared" si="40"/>
        <v>0</v>
      </c>
      <c r="AJ294" s="697">
        <f t="shared" si="41"/>
        <v>0</v>
      </c>
      <c r="AK294" s="698"/>
      <c r="AL294" s="698"/>
    </row>
    <row r="295" spans="1:38" s="700" customFormat="1" ht="12.75" customHeight="1">
      <c r="A295" s="686" t="s">
        <v>202</v>
      </c>
      <c r="B295" s="714" t="s">
        <v>295</v>
      </c>
      <c r="C295" s="713" t="s">
        <v>53</v>
      </c>
      <c r="D295" s="713"/>
      <c r="E295" s="708"/>
      <c r="F295" s="709"/>
      <c r="G295" s="1025"/>
      <c r="H295" s="690"/>
      <c r="I295" s="1030"/>
      <c r="J295" s="690"/>
      <c r="K295" s="1030"/>
      <c r="L295" s="690"/>
      <c r="M295" s="1025"/>
      <c r="N295" s="1030"/>
      <c r="O295" s="692">
        <f t="shared" si="34"/>
        <v>0</v>
      </c>
      <c r="P295" s="690"/>
      <c r="Q295" s="690"/>
      <c r="R295" s="691">
        <f t="shared" si="35"/>
        <v>0</v>
      </c>
      <c r="S295" s="692">
        <f t="shared" si="36"/>
        <v>0</v>
      </c>
      <c r="T295" s="693">
        <f t="shared" si="37"/>
        <v>0</v>
      </c>
      <c r="U295" s="1035"/>
      <c r="V295" s="690"/>
      <c r="W295" s="1025"/>
      <c r="X295" s="1030"/>
      <c r="Y295" s="694">
        <f t="shared" si="38"/>
        <v>0</v>
      </c>
      <c r="Z295" s="690"/>
      <c r="AA295" s="690"/>
      <c r="AB295" s="695">
        <f t="shared" si="39"/>
        <v>0</v>
      </c>
      <c r="AC295" s="1035"/>
      <c r="AD295" s="690"/>
      <c r="AE295" s="1025"/>
      <c r="AF295" s="1030"/>
      <c r="AG295" s="690"/>
      <c r="AH295" s="690"/>
      <c r="AI295" s="696">
        <f t="shared" si="40"/>
        <v>0</v>
      </c>
      <c r="AJ295" s="697">
        <f t="shared" si="41"/>
        <v>0</v>
      </c>
      <c r="AK295" s="698"/>
      <c r="AL295" s="698"/>
    </row>
    <row r="296" spans="1:38" s="700" customFormat="1" ht="12.75" customHeight="1">
      <c r="A296" s="686" t="s">
        <v>202</v>
      </c>
      <c r="B296" s="714" t="s">
        <v>296</v>
      </c>
      <c r="C296" s="713" t="s">
        <v>443</v>
      </c>
      <c r="D296" s="713"/>
      <c r="E296" s="708"/>
      <c r="F296" s="709"/>
      <c r="G296" s="1025"/>
      <c r="H296" s="690"/>
      <c r="I296" s="1030"/>
      <c r="J296" s="690"/>
      <c r="K296" s="1030"/>
      <c r="L296" s="690"/>
      <c r="M296" s="1025"/>
      <c r="N296" s="1030"/>
      <c r="O296" s="692">
        <f t="shared" si="34"/>
        <v>0</v>
      </c>
      <c r="P296" s="690"/>
      <c r="Q296" s="690"/>
      <c r="R296" s="691">
        <f t="shared" si="35"/>
        <v>0</v>
      </c>
      <c r="S296" s="692">
        <f t="shared" si="36"/>
        <v>0</v>
      </c>
      <c r="T296" s="693">
        <f t="shared" si="37"/>
        <v>0</v>
      </c>
      <c r="U296" s="1035"/>
      <c r="V296" s="690"/>
      <c r="W296" s="1025"/>
      <c r="X296" s="1030"/>
      <c r="Y296" s="694">
        <f t="shared" si="38"/>
        <v>0</v>
      </c>
      <c r="Z296" s="690"/>
      <c r="AA296" s="690"/>
      <c r="AB296" s="695">
        <f t="shared" si="39"/>
        <v>0</v>
      </c>
      <c r="AC296" s="1035"/>
      <c r="AD296" s="690"/>
      <c r="AE296" s="1025"/>
      <c r="AF296" s="1030"/>
      <c r="AG296" s="690"/>
      <c r="AH296" s="690"/>
      <c r="AI296" s="696">
        <f t="shared" si="40"/>
        <v>0</v>
      </c>
      <c r="AJ296" s="697">
        <f t="shared" si="41"/>
        <v>0</v>
      </c>
      <c r="AK296" s="698"/>
      <c r="AL296" s="698"/>
    </row>
    <row r="297" spans="1:38" s="700" customFormat="1" ht="12.75" customHeight="1">
      <c r="A297" s="686" t="s">
        <v>202</v>
      </c>
      <c r="B297" s="714" t="s">
        <v>278</v>
      </c>
      <c r="C297" s="713" t="s">
        <v>377</v>
      </c>
      <c r="D297" s="713"/>
      <c r="E297" s="708"/>
      <c r="F297" s="709"/>
      <c r="G297" s="1025"/>
      <c r="H297" s="690"/>
      <c r="I297" s="1030"/>
      <c r="J297" s="690"/>
      <c r="K297" s="1030"/>
      <c r="L297" s="690"/>
      <c r="M297" s="1025"/>
      <c r="N297" s="1030"/>
      <c r="O297" s="692">
        <f t="shared" si="34"/>
        <v>0</v>
      </c>
      <c r="P297" s="690"/>
      <c r="Q297" s="690"/>
      <c r="R297" s="691">
        <f t="shared" si="35"/>
        <v>0</v>
      </c>
      <c r="S297" s="692">
        <f t="shared" si="36"/>
        <v>0</v>
      </c>
      <c r="T297" s="693">
        <f t="shared" si="37"/>
        <v>0</v>
      </c>
      <c r="U297" s="1035">
        <v>358985</v>
      </c>
      <c r="V297" s="690">
        <v>350000</v>
      </c>
      <c r="W297" s="1025"/>
      <c r="X297" s="1030"/>
      <c r="Y297" s="694">
        <f t="shared" si="38"/>
        <v>0</v>
      </c>
      <c r="Z297" s="690"/>
      <c r="AA297" s="690"/>
      <c r="AB297" s="695">
        <f t="shared" si="39"/>
        <v>0</v>
      </c>
      <c r="AC297" s="1035"/>
      <c r="AD297" s="690"/>
      <c r="AE297" s="1025"/>
      <c r="AF297" s="1030"/>
      <c r="AG297" s="690"/>
      <c r="AH297" s="690"/>
      <c r="AI297" s="696">
        <f t="shared" si="40"/>
        <v>358985</v>
      </c>
      <c r="AJ297" s="697">
        <f t="shared" si="41"/>
        <v>350000</v>
      </c>
      <c r="AK297" s="698"/>
      <c r="AL297" s="698"/>
    </row>
    <row r="298" spans="1:38" s="700" customFormat="1" ht="12.75" customHeight="1">
      <c r="A298" s="686" t="s">
        <v>202</v>
      </c>
      <c r="B298" s="714" t="s">
        <v>279</v>
      </c>
      <c r="C298" s="713" t="s">
        <v>54</v>
      </c>
      <c r="D298" s="713"/>
      <c r="E298" s="708"/>
      <c r="F298" s="709"/>
      <c r="G298" s="1025"/>
      <c r="H298" s="690"/>
      <c r="I298" s="1030"/>
      <c r="J298" s="690"/>
      <c r="K298" s="1030"/>
      <c r="L298" s="690"/>
      <c r="M298" s="1025"/>
      <c r="N298" s="1030"/>
      <c r="O298" s="692">
        <f t="shared" si="34"/>
        <v>0</v>
      </c>
      <c r="P298" s="690"/>
      <c r="Q298" s="690"/>
      <c r="R298" s="691">
        <f t="shared" si="35"/>
        <v>0</v>
      </c>
      <c r="S298" s="692">
        <f t="shared" si="36"/>
        <v>0</v>
      </c>
      <c r="T298" s="693">
        <f t="shared" si="37"/>
        <v>0</v>
      </c>
      <c r="U298" s="1035"/>
      <c r="V298" s="690"/>
      <c r="W298" s="1025"/>
      <c r="X298" s="1030"/>
      <c r="Y298" s="694">
        <f t="shared" si="38"/>
        <v>0</v>
      </c>
      <c r="Z298" s="690"/>
      <c r="AA298" s="690"/>
      <c r="AB298" s="695">
        <f t="shared" si="39"/>
        <v>0</v>
      </c>
      <c r="AC298" s="1035"/>
      <c r="AD298" s="690"/>
      <c r="AE298" s="1025"/>
      <c r="AF298" s="1030"/>
      <c r="AG298" s="690"/>
      <c r="AH298" s="690"/>
      <c r="AI298" s="696">
        <f t="shared" si="40"/>
        <v>0</v>
      </c>
      <c r="AJ298" s="697">
        <f t="shared" si="41"/>
        <v>0</v>
      </c>
      <c r="AK298" s="698"/>
      <c r="AL298" s="698"/>
    </row>
    <row r="299" spans="1:38" s="700" customFormat="1" ht="12.75" customHeight="1">
      <c r="A299" s="686" t="s">
        <v>202</v>
      </c>
      <c r="B299" s="714" t="s">
        <v>317</v>
      </c>
      <c r="C299" s="713" t="s">
        <v>443</v>
      </c>
      <c r="D299" s="713"/>
      <c r="E299" s="708"/>
      <c r="F299" s="709"/>
      <c r="G299" s="1025"/>
      <c r="H299" s="690"/>
      <c r="I299" s="1030"/>
      <c r="J299" s="690"/>
      <c r="K299" s="1030"/>
      <c r="L299" s="690"/>
      <c r="M299" s="1025"/>
      <c r="N299" s="1030"/>
      <c r="O299" s="692">
        <f t="shared" si="34"/>
        <v>0</v>
      </c>
      <c r="P299" s="690"/>
      <c r="Q299" s="690"/>
      <c r="R299" s="691">
        <f t="shared" si="35"/>
        <v>0</v>
      </c>
      <c r="S299" s="692">
        <f t="shared" si="36"/>
        <v>0</v>
      </c>
      <c r="T299" s="693">
        <f t="shared" si="37"/>
        <v>0</v>
      </c>
      <c r="U299" s="1035"/>
      <c r="V299" s="690"/>
      <c r="W299" s="1025"/>
      <c r="X299" s="1030"/>
      <c r="Y299" s="694">
        <f t="shared" si="38"/>
        <v>0</v>
      </c>
      <c r="Z299" s="690"/>
      <c r="AA299" s="690"/>
      <c r="AB299" s="695">
        <f t="shared" si="39"/>
        <v>0</v>
      </c>
      <c r="AC299" s="1035"/>
      <c r="AD299" s="690"/>
      <c r="AE299" s="1025"/>
      <c r="AF299" s="1030"/>
      <c r="AG299" s="690"/>
      <c r="AH299" s="690"/>
      <c r="AI299" s="696">
        <f t="shared" si="40"/>
        <v>0</v>
      </c>
      <c r="AJ299" s="697">
        <f t="shared" si="41"/>
        <v>0</v>
      </c>
      <c r="AK299" s="698"/>
      <c r="AL299" s="698"/>
    </row>
    <row r="300" spans="1:38" s="700" customFormat="1" ht="12.75" customHeight="1">
      <c r="A300" s="686" t="s">
        <v>202</v>
      </c>
      <c r="B300" s="714" t="s">
        <v>318</v>
      </c>
      <c r="C300" s="713" t="s">
        <v>377</v>
      </c>
      <c r="D300" s="713"/>
      <c r="E300" s="708"/>
      <c r="F300" s="709"/>
      <c r="G300" s="1025"/>
      <c r="H300" s="690"/>
      <c r="I300" s="1030"/>
      <c r="J300" s="690"/>
      <c r="K300" s="1030"/>
      <c r="L300" s="690"/>
      <c r="M300" s="1025"/>
      <c r="N300" s="1030"/>
      <c r="O300" s="692">
        <f t="shared" si="34"/>
        <v>0</v>
      </c>
      <c r="P300" s="690"/>
      <c r="Q300" s="690"/>
      <c r="R300" s="691">
        <f t="shared" si="35"/>
        <v>0</v>
      </c>
      <c r="S300" s="692">
        <f t="shared" si="36"/>
        <v>0</v>
      </c>
      <c r="T300" s="693">
        <f t="shared" si="37"/>
        <v>0</v>
      </c>
      <c r="U300" s="1035"/>
      <c r="V300" s="690"/>
      <c r="W300" s="1025"/>
      <c r="X300" s="1030"/>
      <c r="Y300" s="694">
        <f t="shared" si="38"/>
        <v>0</v>
      </c>
      <c r="Z300" s="690"/>
      <c r="AA300" s="690"/>
      <c r="AB300" s="695">
        <f t="shared" si="39"/>
        <v>0</v>
      </c>
      <c r="AC300" s="1035"/>
      <c r="AD300" s="690"/>
      <c r="AE300" s="1025"/>
      <c r="AF300" s="1030"/>
      <c r="AG300" s="690"/>
      <c r="AH300" s="690"/>
      <c r="AI300" s="696">
        <f t="shared" si="40"/>
        <v>0</v>
      </c>
      <c r="AJ300" s="697">
        <f t="shared" si="41"/>
        <v>0</v>
      </c>
      <c r="AK300" s="698"/>
      <c r="AL300" s="698"/>
    </row>
    <row r="301" spans="1:38" s="700" customFormat="1" ht="12.75" customHeight="1">
      <c r="A301" s="686" t="s">
        <v>202</v>
      </c>
      <c r="B301" s="686" t="s">
        <v>420</v>
      </c>
      <c r="C301" s="712" t="s">
        <v>255</v>
      </c>
      <c r="D301" s="712"/>
      <c r="E301" s="708"/>
      <c r="F301" s="709"/>
      <c r="G301" s="1025"/>
      <c r="H301" s="690"/>
      <c r="I301" s="1030"/>
      <c r="J301" s="690"/>
      <c r="K301" s="1030"/>
      <c r="L301" s="690"/>
      <c r="M301" s="1025"/>
      <c r="N301" s="1030"/>
      <c r="O301" s="692">
        <f t="shared" si="34"/>
        <v>0</v>
      </c>
      <c r="P301" s="690"/>
      <c r="Q301" s="690"/>
      <c r="R301" s="691">
        <f t="shared" si="35"/>
        <v>0</v>
      </c>
      <c r="S301" s="692">
        <f t="shared" si="36"/>
        <v>0</v>
      </c>
      <c r="T301" s="693">
        <f t="shared" si="37"/>
        <v>0</v>
      </c>
      <c r="U301" s="1035"/>
      <c r="V301" s="690"/>
      <c r="W301" s="1025"/>
      <c r="X301" s="1030"/>
      <c r="Y301" s="694">
        <f t="shared" si="38"/>
        <v>0</v>
      </c>
      <c r="Z301" s="690"/>
      <c r="AA301" s="690"/>
      <c r="AB301" s="695">
        <f t="shared" si="39"/>
        <v>0</v>
      </c>
      <c r="AC301" s="1035"/>
      <c r="AD301" s="690"/>
      <c r="AE301" s="1025"/>
      <c r="AF301" s="1030"/>
      <c r="AG301" s="690"/>
      <c r="AH301" s="690"/>
      <c r="AI301" s="696">
        <f t="shared" si="40"/>
        <v>0</v>
      </c>
      <c r="AJ301" s="697">
        <f t="shared" si="41"/>
        <v>0</v>
      </c>
      <c r="AK301" s="698"/>
      <c r="AL301" s="698"/>
    </row>
    <row r="302" spans="1:38" s="700" customFormat="1" ht="12.75" customHeight="1">
      <c r="A302" s="686" t="s">
        <v>202</v>
      </c>
      <c r="B302" s="714" t="s">
        <v>295</v>
      </c>
      <c r="C302" s="713" t="s">
        <v>53</v>
      </c>
      <c r="D302" s="713"/>
      <c r="E302" s="708"/>
      <c r="F302" s="709"/>
      <c r="G302" s="1025"/>
      <c r="H302" s="690"/>
      <c r="I302" s="1030"/>
      <c r="J302" s="690"/>
      <c r="K302" s="1030"/>
      <c r="L302" s="690"/>
      <c r="M302" s="1025"/>
      <c r="N302" s="1030"/>
      <c r="O302" s="692">
        <f t="shared" si="34"/>
        <v>0</v>
      </c>
      <c r="P302" s="690"/>
      <c r="Q302" s="690"/>
      <c r="R302" s="691">
        <f t="shared" si="35"/>
        <v>0</v>
      </c>
      <c r="S302" s="692">
        <f t="shared" si="36"/>
        <v>0</v>
      </c>
      <c r="T302" s="693">
        <f t="shared" si="37"/>
        <v>0</v>
      </c>
      <c r="U302" s="1035"/>
      <c r="V302" s="690"/>
      <c r="W302" s="1025"/>
      <c r="X302" s="1030"/>
      <c r="Y302" s="694">
        <f t="shared" si="38"/>
        <v>0</v>
      </c>
      <c r="Z302" s="690"/>
      <c r="AA302" s="690"/>
      <c r="AB302" s="695">
        <f t="shared" si="39"/>
        <v>0</v>
      </c>
      <c r="AC302" s="1035"/>
      <c r="AD302" s="690"/>
      <c r="AE302" s="1025"/>
      <c r="AF302" s="1030"/>
      <c r="AG302" s="690"/>
      <c r="AH302" s="690"/>
      <c r="AI302" s="696">
        <f t="shared" si="40"/>
        <v>0</v>
      </c>
      <c r="AJ302" s="697">
        <f t="shared" si="41"/>
        <v>0</v>
      </c>
      <c r="AK302" s="698"/>
      <c r="AL302" s="698"/>
    </row>
    <row r="303" spans="1:38" s="700" customFormat="1" ht="12.75" customHeight="1">
      <c r="A303" s="686" t="s">
        <v>202</v>
      </c>
      <c r="B303" s="714" t="s">
        <v>296</v>
      </c>
      <c r="C303" s="713" t="s">
        <v>443</v>
      </c>
      <c r="D303" s="713"/>
      <c r="E303" s="708"/>
      <c r="F303" s="709"/>
      <c r="G303" s="1025"/>
      <c r="H303" s="690"/>
      <c r="I303" s="1030"/>
      <c r="J303" s="690"/>
      <c r="K303" s="1030"/>
      <c r="L303" s="690"/>
      <c r="M303" s="1025"/>
      <c r="N303" s="1030"/>
      <c r="O303" s="692">
        <f t="shared" si="34"/>
        <v>0</v>
      </c>
      <c r="P303" s="690"/>
      <c r="Q303" s="690"/>
      <c r="R303" s="691">
        <f t="shared" si="35"/>
        <v>0</v>
      </c>
      <c r="S303" s="692">
        <f t="shared" si="36"/>
        <v>0</v>
      </c>
      <c r="T303" s="693">
        <f t="shared" si="37"/>
        <v>0</v>
      </c>
      <c r="U303" s="1035">
        <v>2246979</v>
      </c>
      <c r="V303" s="818">
        <v>2220461</v>
      </c>
      <c r="W303" s="1025"/>
      <c r="X303" s="1030"/>
      <c r="Y303" s="694">
        <f t="shared" si="38"/>
        <v>0</v>
      </c>
      <c r="Z303" s="690"/>
      <c r="AA303" s="690"/>
      <c r="AB303" s="695">
        <f t="shared" si="39"/>
        <v>0</v>
      </c>
      <c r="AC303" s="1035"/>
      <c r="AD303" s="690"/>
      <c r="AE303" s="1025"/>
      <c r="AF303" s="1030"/>
      <c r="AG303" s="690"/>
      <c r="AH303" s="690"/>
      <c r="AI303" s="696">
        <f t="shared" si="40"/>
        <v>2246979</v>
      </c>
      <c r="AJ303" s="697">
        <f t="shared" si="41"/>
        <v>2220461</v>
      </c>
      <c r="AK303" s="698"/>
      <c r="AL303" s="698"/>
    </row>
    <row r="304" spans="1:38" s="700" customFormat="1" ht="12.75" customHeight="1">
      <c r="A304" s="686" t="s">
        <v>202</v>
      </c>
      <c r="B304" s="714" t="s">
        <v>278</v>
      </c>
      <c r="C304" s="713" t="s">
        <v>377</v>
      </c>
      <c r="D304" s="713"/>
      <c r="E304" s="708"/>
      <c r="F304" s="709"/>
      <c r="G304" s="1025"/>
      <c r="H304" s="690"/>
      <c r="I304" s="1030"/>
      <c r="J304" s="690"/>
      <c r="K304" s="1030"/>
      <c r="L304" s="690"/>
      <c r="M304" s="1025"/>
      <c r="N304" s="1030"/>
      <c r="O304" s="692">
        <f t="shared" si="34"/>
        <v>0</v>
      </c>
      <c r="P304" s="690"/>
      <c r="Q304" s="690"/>
      <c r="R304" s="691">
        <f t="shared" si="35"/>
        <v>0</v>
      </c>
      <c r="S304" s="692">
        <f t="shared" si="36"/>
        <v>0</v>
      </c>
      <c r="T304" s="693">
        <f t="shared" si="37"/>
        <v>0</v>
      </c>
      <c r="U304" s="1035"/>
      <c r="V304" s="690"/>
      <c r="W304" s="1025"/>
      <c r="X304" s="1030"/>
      <c r="Y304" s="694">
        <f t="shared" si="38"/>
        <v>0</v>
      </c>
      <c r="Z304" s="690"/>
      <c r="AA304" s="690"/>
      <c r="AB304" s="695">
        <f t="shared" si="39"/>
        <v>0</v>
      </c>
      <c r="AC304" s="1035"/>
      <c r="AD304" s="690"/>
      <c r="AE304" s="1025"/>
      <c r="AF304" s="1030"/>
      <c r="AG304" s="690"/>
      <c r="AH304" s="690"/>
      <c r="AI304" s="696">
        <f t="shared" si="40"/>
        <v>0</v>
      </c>
      <c r="AJ304" s="697">
        <f t="shared" si="41"/>
        <v>0</v>
      </c>
      <c r="AK304" s="698"/>
      <c r="AL304" s="698"/>
    </row>
    <row r="305" spans="1:38" s="700" customFormat="1" ht="12.75" customHeight="1">
      <c r="A305" s="686" t="s">
        <v>202</v>
      </c>
      <c r="B305" s="714" t="s">
        <v>279</v>
      </c>
      <c r="C305" s="713" t="s">
        <v>54</v>
      </c>
      <c r="D305" s="713"/>
      <c r="E305" s="708"/>
      <c r="F305" s="709"/>
      <c r="G305" s="1025"/>
      <c r="H305" s="690"/>
      <c r="I305" s="1030"/>
      <c r="J305" s="690"/>
      <c r="K305" s="1030"/>
      <c r="L305" s="690"/>
      <c r="M305" s="1025"/>
      <c r="N305" s="1030"/>
      <c r="O305" s="692">
        <f t="shared" si="34"/>
        <v>0</v>
      </c>
      <c r="P305" s="690"/>
      <c r="Q305" s="690"/>
      <c r="R305" s="691">
        <f t="shared" si="35"/>
        <v>0</v>
      </c>
      <c r="S305" s="692">
        <f t="shared" si="36"/>
        <v>0</v>
      </c>
      <c r="T305" s="693">
        <f t="shared" si="37"/>
        <v>0</v>
      </c>
      <c r="U305" s="1035"/>
      <c r="V305" s="690"/>
      <c r="W305" s="1025"/>
      <c r="X305" s="1030"/>
      <c r="Y305" s="694">
        <f t="shared" si="38"/>
        <v>0</v>
      </c>
      <c r="Z305" s="690"/>
      <c r="AA305" s="690"/>
      <c r="AB305" s="695">
        <f t="shared" si="39"/>
        <v>0</v>
      </c>
      <c r="AC305" s="1035"/>
      <c r="AD305" s="690"/>
      <c r="AE305" s="1025"/>
      <c r="AF305" s="1030"/>
      <c r="AG305" s="690"/>
      <c r="AH305" s="690"/>
      <c r="AI305" s="696">
        <f t="shared" si="40"/>
        <v>0</v>
      </c>
      <c r="AJ305" s="697">
        <f t="shared" si="41"/>
        <v>0</v>
      </c>
      <c r="AK305" s="698"/>
      <c r="AL305" s="698"/>
    </row>
    <row r="306" spans="1:38" s="700" customFormat="1" ht="12.75" customHeight="1">
      <c r="A306" s="686" t="s">
        <v>202</v>
      </c>
      <c r="B306" s="714" t="s">
        <v>317</v>
      </c>
      <c r="C306" s="713" t="s">
        <v>443</v>
      </c>
      <c r="D306" s="713"/>
      <c r="E306" s="708"/>
      <c r="F306" s="709"/>
      <c r="G306" s="1025"/>
      <c r="H306" s="690"/>
      <c r="I306" s="1030"/>
      <c r="J306" s="690"/>
      <c r="K306" s="1030"/>
      <c r="L306" s="690"/>
      <c r="M306" s="1025"/>
      <c r="N306" s="1030"/>
      <c r="O306" s="692">
        <f t="shared" si="34"/>
        <v>0</v>
      </c>
      <c r="P306" s="690"/>
      <c r="Q306" s="690"/>
      <c r="R306" s="691">
        <f t="shared" si="35"/>
        <v>0</v>
      </c>
      <c r="S306" s="692">
        <f t="shared" si="36"/>
        <v>0</v>
      </c>
      <c r="T306" s="693">
        <f t="shared" si="37"/>
        <v>0</v>
      </c>
      <c r="U306" s="1035">
        <v>548921</v>
      </c>
      <c r="V306" s="818">
        <v>531607</v>
      </c>
      <c r="W306" s="1025"/>
      <c r="X306" s="1030"/>
      <c r="Y306" s="694">
        <f t="shared" si="38"/>
        <v>0</v>
      </c>
      <c r="Z306" s="690"/>
      <c r="AA306" s="690"/>
      <c r="AB306" s="695">
        <f t="shared" si="39"/>
        <v>0</v>
      </c>
      <c r="AC306" s="1035"/>
      <c r="AD306" s="690"/>
      <c r="AE306" s="1025"/>
      <c r="AF306" s="1030"/>
      <c r="AG306" s="690"/>
      <c r="AH306" s="690"/>
      <c r="AI306" s="696">
        <f t="shared" si="40"/>
        <v>548921</v>
      </c>
      <c r="AJ306" s="697">
        <f t="shared" si="41"/>
        <v>531607</v>
      </c>
      <c r="AK306" s="698"/>
      <c r="AL306" s="698"/>
    </row>
    <row r="307" spans="1:38" s="700" customFormat="1" ht="12.75" customHeight="1">
      <c r="A307" s="686" t="s">
        <v>202</v>
      </c>
      <c r="B307" s="714" t="s">
        <v>318</v>
      </c>
      <c r="C307" s="713" t="s">
        <v>377</v>
      </c>
      <c r="D307" s="713"/>
      <c r="E307" s="708"/>
      <c r="F307" s="709"/>
      <c r="G307" s="1025"/>
      <c r="H307" s="690"/>
      <c r="I307" s="1030"/>
      <c r="J307" s="690"/>
      <c r="K307" s="1030"/>
      <c r="L307" s="690"/>
      <c r="M307" s="1025"/>
      <c r="N307" s="1030"/>
      <c r="O307" s="692">
        <f t="shared" si="34"/>
        <v>0</v>
      </c>
      <c r="P307" s="690"/>
      <c r="Q307" s="690"/>
      <c r="R307" s="691">
        <f t="shared" si="35"/>
        <v>0</v>
      </c>
      <c r="S307" s="692">
        <f t="shared" si="36"/>
        <v>0</v>
      </c>
      <c r="T307" s="693">
        <f t="shared" si="37"/>
        <v>0</v>
      </c>
      <c r="U307" s="1035"/>
      <c r="V307" s="690"/>
      <c r="W307" s="1025"/>
      <c r="X307" s="1030"/>
      <c r="Y307" s="694">
        <f t="shared" si="38"/>
        <v>0</v>
      </c>
      <c r="Z307" s="690"/>
      <c r="AA307" s="690"/>
      <c r="AB307" s="695">
        <f t="shared" si="39"/>
        <v>0</v>
      </c>
      <c r="AC307" s="1035"/>
      <c r="AD307" s="690"/>
      <c r="AE307" s="1025"/>
      <c r="AF307" s="1030"/>
      <c r="AG307" s="690"/>
      <c r="AH307" s="690"/>
      <c r="AI307" s="696">
        <f t="shared" si="40"/>
        <v>0</v>
      </c>
      <c r="AJ307" s="697">
        <f t="shared" si="41"/>
        <v>0</v>
      </c>
      <c r="AK307" s="698"/>
      <c r="AL307" s="698"/>
    </row>
    <row r="308" spans="1:38" s="700" customFormat="1" ht="12.75" customHeight="1">
      <c r="A308" s="686" t="s">
        <v>202</v>
      </c>
      <c r="B308" s="686" t="s">
        <v>420</v>
      </c>
      <c r="C308" s="712" t="s">
        <v>18</v>
      </c>
      <c r="D308" s="712"/>
      <c r="E308" s="708"/>
      <c r="F308" s="709"/>
      <c r="G308" s="1025"/>
      <c r="H308" s="690"/>
      <c r="I308" s="1030"/>
      <c r="J308" s="690"/>
      <c r="K308" s="1030"/>
      <c r="L308" s="690"/>
      <c r="M308" s="1025"/>
      <c r="N308" s="1030"/>
      <c r="O308" s="692">
        <f t="shared" si="34"/>
        <v>0</v>
      </c>
      <c r="P308" s="690"/>
      <c r="Q308" s="690"/>
      <c r="R308" s="691">
        <f t="shared" si="35"/>
        <v>0</v>
      </c>
      <c r="S308" s="692">
        <f t="shared" si="36"/>
        <v>0</v>
      </c>
      <c r="T308" s="693">
        <f t="shared" si="37"/>
        <v>0</v>
      </c>
      <c r="U308" s="1035"/>
      <c r="V308" s="690"/>
      <c r="W308" s="1025"/>
      <c r="X308" s="1030"/>
      <c r="Y308" s="694">
        <f t="shared" si="38"/>
        <v>0</v>
      </c>
      <c r="Z308" s="690"/>
      <c r="AA308" s="690"/>
      <c r="AB308" s="695">
        <f t="shared" si="39"/>
        <v>0</v>
      </c>
      <c r="AC308" s="1035"/>
      <c r="AD308" s="690"/>
      <c r="AE308" s="1025"/>
      <c r="AF308" s="1030"/>
      <c r="AG308" s="690"/>
      <c r="AH308" s="690"/>
      <c r="AI308" s="696">
        <f t="shared" si="40"/>
        <v>0</v>
      </c>
      <c r="AJ308" s="697">
        <f t="shared" si="41"/>
        <v>0</v>
      </c>
      <c r="AK308" s="698"/>
      <c r="AL308" s="698"/>
    </row>
    <row r="309" spans="1:38" s="700" customFormat="1" ht="12.75" customHeight="1">
      <c r="A309" s="686" t="s">
        <v>202</v>
      </c>
      <c r="B309" s="714" t="s">
        <v>295</v>
      </c>
      <c r="C309" s="713" t="s">
        <v>53</v>
      </c>
      <c r="D309" s="713"/>
      <c r="E309" s="708"/>
      <c r="F309" s="709"/>
      <c r="G309" s="1025"/>
      <c r="H309" s="690"/>
      <c r="I309" s="1030"/>
      <c r="J309" s="690"/>
      <c r="K309" s="1030"/>
      <c r="L309" s="690"/>
      <c r="M309" s="1025"/>
      <c r="N309" s="1030"/>
      <c r="O309" s="692">
        <f t="shared" si="34"/>
        <v>0</v>
      </c>
      <c r="P309" s="690"/>
      <c r="Q309" s="690"/>
      <c r="R309" s="691">
        <f t="shared" si="35"/>
        <v>0</v>
      </c>
      <c r="S309" s="692">
        <f t="shared" si="36"/>
        <v>0</v>
      </c>
      <c r="T309" s="693">
        <f t="shared" si="37"/>
        <v>0</v>
      </c>
      <c r="U309" s="1035"/>
      <c r="V309" s="690"/>
      <c r="W309" s="1025"/>
      <c r="X309" s="1030"/>
      <c r="Y309" s="694">
        <f t="shared" si="38"/>
        <v>0</v>
      </c>
      <c r="Z309" s="690"/>
      <c r="AA309" s="690"/>
      <c r="AB309" s="695">
        <f t="shared" si="39"/>
        <v>0</v>
      </c>
      <c r="AC309" s="1035"/>
      <c r="AD309" s="690"/>
      <c r="AE309" s="1025"/>
      <c r="AF309" s="1030"/>
      <c r="AG309" s="690"/>
      <c r="AH309" s="690"/>
      <c r="AI309" s="696">
        <f t="shared" si="40"/>
        <v>0</v>
      </c>
      <c r="AJ309" s="697">
        <f t="shared" si="41"/>
        <v>0</v>
      </c>
      <c r="AK309" s="698"/>
      <c r="AL309" s="698"/>
    </row>
    <row r="310" spans="1:38" s="700" customFormat="1" ht="12.75" customHeight="1">
      <c r="A310" s="686" t="s">
        <v>202</v>
      </c>
      <c r="B310" s="714" t="s">
        <v>296</v>
      </c>
      <c r="C310" s="713" t="s">
        <v>443</v>
      </c>
      <c r="D310" s="713"/>
      <c r="E310" s="708"/>
      <c r="F310" s="709"/>
      <c r="G310" s="1025"/>
      <c r="H310" s="690"/>
      <c r="I310" s="1030"/>
      <c r="J310" s="690"/>
      <c r="K310" s="1030"/>
      <c r="L310" s="690"/>
      <c r="M310" s="1025"/>
      <c r="N310" s="1030"/>
      <c r="O310" s="692">
        <f t="shared" si="34"/>
        <v>0</v>
      </c>
      <c r="P310" s="690"/>
      <c r="Q310" s="690"/>
      <c r="R310" s="691">
        <f t="shared" si="35"/>
        <v>0</v>
      </c>
      <c r="S310" s="692">
        <f t="shared" si="36"/>
        <v>0</v>
      </c>
      <c r="T310" s="693">
        <f t="shared" si="37"/>
        <v>0</v>
      </c>
      <c r="U310" s="1035"/>
      <c r="V310" s="690"/>
      <c r="W310" s="1025"/>
      <c r="X310" s="1030"/>
      <c r="Y310" s="694">
        <f t="shared" si="38"/>
        <v>0</v>
      </c>
      <c r="Z310" s="690"/>
      <c r="AA310" s="690"/>
      <c r="AB310" s="695">
        <f t="shared" si="39"/>
        <v>0</v>
      </c>
      <c r="AC310" s="1035"/>
      <c r="AD310" s="690"/>
      <c r="AE310" s="1025"/>
      <c r="AF310" s="1030"/>
      <c r="AG310" s="690"/>
      <c r="AH310" s="690"/>
      <c r="AI310" s="696">
        <f t="shared" si="40"/>
        <v>0</v>
      </c>
      <c r="AJ310" s="697">
        <f t="shared" si="41"/>
        <v>0</v>
      </c>
      <c r="AK310" s="698"/>
      <c r="AL310" s="698"/>
    </row>
    <row r="311" spans="1:38" s="700" customFormat="1" ht="12.75" customHeight="1">
      <c r="A311" s="686" t="s">
        <v>202</v>
      </c>
      <c r="B311" s="714" t="s">
        <v>278</v>
      </c>
      <c r="C311" s="713" t="s">
        <v>377</v>
      </c>
      <c r="D311" s="713"/>
      <c r="E311" s="708"/>
      <c r="F311" s="709"/>
      <c r="G311" s="1025"/>
      <c r="H311" s="690"/>
      <c r="I311" s="1030"/>
      <c r="J311" s="690"/>
      <c r="K311" s="1030"/>
      <c r="L311" s="690"/>
      <c r="M311" s="1025"/>
      <c r="N311" s="1030"/>
      <c r="O311" s="692">
        <f t="shared" si="34"/>
        <v>0</v>
      </c>
      <c r="P311" s="690"/>
      <c r="Q311" s="690"/>
      <c r="R311" s="691">
        <f t="shared" si="35"/>
        <v>0</v>
      </c>
      <c r="S311" s="692">
        <f t="shared" si="36"/>
        <v>0</v>
      </c>
      <c r="T311" s="693">
        <f t="shared" si="37"/>
        <v>0</v>
      </c>
      <c r="U311" s="1035"/>
      <c r="V311" s="690"/>
      <c r="W311" s="1025"/>
      <c r="X311" s="1030"/>
      <c r="Y311" s="694">
        <f t="shared" si="38"/>
        <v>0</v>
      </c>
      <c r="Z311" s="690"/>
      <c r="AA311" s="690"/>
      <c r="AB311" s="695">
        <f t="shared" si="39"/>
        <v>0</v>
      </c>
      <c r="AC311" s="1035"/>
      <c r="AD311" s="690"/>
      <c r="AE311" s="1025"/>
      <c r="AF311" s="1030"/>
      <c r="AG311" s="690"/>
      <c r="AH311" s="690"/>
      <c r="AI311" s="696">
        <f t="shared" si="40"/>
        <v>0</v>
      </c>
      <c r="AJ311" s="697">
        <f t="shared" si="41"/>
        <v>0</v>
      </c>
      <c r="AK311" s="698"/>
      <c r="AL311" s="698"/>
    </row>
    <row r="312" spans="1:38" s="700" customFormat="1" ht="12.75" customHeight="1">
      <c r="A312" s="686" t="s">
        <v>202</v>
      </c>
      <c r="B312" s="714" t="s">
        <v>279</v>
      </c>
      <c r="C312" s="713" t="s">
        <v>54</v>
      </c>
      <c r="D312" s="713"/>
      <c r="E312" s="708"/>
      <c r="F312" s="709"/>
      <c r="G312" s="1025"/>
      <c r="H312" s="690"/>
      <c r="I312" s="1030"/>
      <c r="J312" s="690"/>
      <c r="K312" s="1030"/>
      <c r="L312" s="690"/>
      <c r="M312" s="1025"/>
      <c r="N312" s="1030"/>
      <c r="O312" s="692">
        <f t="shared" si="34"/>
        <v>0</v>
      </c>
      <c r="P312" s="690"/>
      <c r="Q312" s="690"/>
      <c r="R312" s="691">
        <f t="shared" si="35"/>
        <v>0</v>
      </c>
      <c r="S312" s="692">
        <f t="shared" si="36"/>
        <v>0</v>
      </c>
      <c r="T312" s="693">
        <f t="shared" si="37"/>
        <v>0</v>
      </c>
      <c r="U312" s="1035"/>
      <c r="V312" s="690"/>
      <c r="W312" s="1025"/>
      <c r="X312" s="1030"/>
      <c r="Y312" s="694">
        <f t="shared" si="38"/>
        <v>0</v>
      </c>
      <c r="Z312" s="690"/>
      <c r="AA312" s="690"/>
      <c r="AB312" s="695">
        <f t="shared" si="39"/>
        <v>0</v>
      </c>
      <c r="AC312" s="1035"/>
      <c r="AD312" s="690"/>
      <c r="AE312" s="1025"/>
      <c r="AF312" s="1030"/>
      <c r="AG312" s="690"/>
      <c r="AH312" s="690"/>
      <c r="AI312" s="696">
        <f t="shared" si="40"/>
        <v>0</v>
      </c>
      <c r="AJ312" s="697">
        <f t="shared" si="41"/>
        <v>0</v>
      </c>
      <c r="AK312" s="698"/>
      <c r="AL312" s="698"/>
    </row>
    <row r="313" spans="1:38" s="700" customFormat="1" ht="12.75" customHeight="1">
      <c r="A313" s="686" t="s">
        <v>202</v>
      </c>
      <c r="B313" s="714" t="s">
        <v>317</v>
      </c>
      <c r="C313" s="713" t="s">
        <v>443</v>
      </c>
      <c r="D313" s="713"/>
      <c r="E313" s="708"/>
      <c r="F313" s="709"/>
      <c r="G313" s="1025"/>
      <c r="H313" s="690"/>
      <c r="I313" s="1030"/>
      <c r="J313" s="690"/>
      <c r="K313" s="1030"/>
      <c r="L313" s="690"/>
      <c r="M313" s="1025"/>
      <c r="N313" s="1030"/>
      <c r="O313" s="692">
        <f t="shared" si="34"/>
        <v>0</v>
      </c>
      <c r="P313" s="690"/>
      <c r="Q313" s="690"/>
      <c r="R313" s="691">
        <f t="shared" si="35"/>
        <v>0</v>
      </c>
      <c r="S313" s="692">
        <f t="shared" si="36"/>
        <v>0</v>
      </c>
      <c r="T313" s="693">
        <f t="shared" si="37"/>
        <v>0</v>
      </c>
      <c r="U313" s="1035"/>
      <c r="V313" s="690"/>
      <c r="W313" s="1025"/>
      <c r="X313" s="1030"/>
      <c r="Y313" s="694">
        <f t="shared" si="38"/>
        <v>0</v>
      </c>
      <c r="Z313" s="690"/>
      <c r="AA313" s="690"/>
      <c r="AB313" s="695">
        <f t="shared" si="39"/>
        <v>0</v>
      </c>
      <c r="AC313" s="1035"/>
      <c r="AD313" s="690"/>
      <c r="AE313" s="1025"/>
      <c r="AF313" s="1030"/>
      <c r="AG313" s="690"/>
      <c r="AH313" s="690"/>
      <c r="AI313" s="696">
        <f t="shared" si="40"/>
        <v>0</v>
      </c>
      <c r="AJ313" s="697">
        <f t="shared" si="41"/>
        <v>0</v>
      </c>
      <c r="AK313" s="698"/>
      <c r="AL313" s="698"/>
    </row>
    <row r="314" spans="1:38" s="700" customFormat="1" ht="12.75" customHeight="1">
      <c r="A314" s="686" t="s">
        <v>202</v>
      </c>
      <c r="B314" s="714" t="s">
        <v>318</v>
      </c>
      <c r="C314" s="713" t="s">
        <v>377</v>
      </c>
      <c r="D314" s="713"/>
      <c r="E314" s="708"/>
      <c r="F314" s="709"/>
      <c r="G314" s="1025"/>
      <c r="H314" s="690"/>
      <c r="I314" s="1030"/>
      <c r="J314" s="690"/>
      <c r="K314" s="1030"/>
      <c r="L314" s="690"/>
      <c r="M314" s="1025"/>
      <c r="N314" s="1030"/>
      <c r="O314" s="692">
        <f t="shared" si="34"/>
        <v>0</v>
      </c>
      <c r="P314" s="690"/>
      <c r="Q314" s="690"/>
      <c r="R314" s="691">
        <f t="shared" si="35"/>
        <v>0</v>
      </c>
      <c r="S314" s="692">
        <f t="shared" si="36"/>
        <v>0</v>
      </c>
      <c r="T314" s="693">
        <f t="shared" si="37"/>
        <v>0</v>
      </c>
      <c r="U314" s="1035"/>
      <c r="V314" s="690"/>
      <c r="W314" s="1025"/>
      <c r="X314" s="1030"/>
      <c r="Y314" s="694">
        <f t="shared" si="38"/>
        <v>0</v>
      </c>
      <c r="Z314" s="690"/>
      <c r="AA314" s="690"/>
      <c r="AB314" s="695">
        <f t="shared" si="39"/>
        <v>0</v>
      </c>
      <c r="AC314" s="1035"/>
      <c r="AD314" s="690"/>
      <c r="AE314" s="1025"/>
      <c r="AF314" s="1030"/>
      <c r="AG314" s="690"/>
      <c r="AH314" s="690"/>
      <c r="AI314" s="696">
        <f t="shared" si="40"/>
        <v>0</v>
      </c>
      <c r="AJ314" s="697">
        <f t="shared" si="41"/>
        <v>0</v>
      </c>
      <c r="AK314" s="698"/>
      <c r="AL314" s="698"/>
    </row>
    <row r="315" spans="1:38" s="700" customFormat="1" ht="12.75" customHeight="1">
      <c r="A315" s="686" t="s">
        <v>202</v>
      </c>
      <c r="B315" s="715" t="s">
        <v>420</v>
      </c>
      <c r="C315" s="712" t="s">
        <v>257</v>
      </c>
      <c r="D315" s="712"/>
      <c r="E315" s="708"/>
      <c r="F315" s="716"/>
      <c r="G315" s="1025"/>
      <c r="H315" s="690"/>
      <c r="I315" s="1030"/>
      <c r="J315" s="690"/>
      <c r="K315" s="1030"/>
      <c r="L315" s="690"/>
      <c r="M315" s="1025"/>
      <c r="N315" s="1030"/>
      <c r="O315" s="692">
        <f t="shared" si="34"/>
        <v>0</v>
      </c>
      <c r="P315" s="690"/>
      <c r="Q315" s="690"/>
      <c r="R315" s="691">
        <f t="shared" si="35"/>
        <v>0</v>
      </c>
      <c r="S315" s="692">
        <f t="shared" si="36"/>
        <v>0</v>
      </c>
      <c r="T315" s="693">
        <f t="shared" si="37"/>
        <v>0</v>
      </c>
      <c r="U315" s="1035"/>
      <c r="V315" s="690"/>
      <c r="W315" s="1025"/>
      <c r="X315" s="1030"/>
      <c r="Y315" s="694">
        <f t="shared" si="38"/>
        <v>0</v>
      </c>
      <c r="Z315" s="690"/>
      <c r="AA315" s="690"/>
      <c r="AB315" s="695">
        <f t="shared" si="39"/>
        <v>0</v>
      </c>
      <c r="AC315" s="1035"/>
      <c r="AD315" s="690"/>
      <c r="AE315" s="1025"/>
      <c r="AF315" s="1030"/>
      <c r="AG315" s="690"/>
      <c r="AH315" s="690"/>
      <c r="AI315" s="696">
        <f t="shared" si="40"/>
        <v>0</v>
      </c>
      <c r="AJ315" s="697">
        <f t="shared" si="41"/>
        <v>0</v>
      </c>
      <c r="AK315" s="698"/>
      <c r="AL315" s="698"/>
    </row>
    <row r="316" spans="1:38" s="700" customFormat="1" ht="12.75" customHeight="1">
      <c r="A316" s="686" t="s">
        <v>202</v>
      </c>
      <c r="B316" s="686" t="s">
        <v>442</v>
      </c>
      <c r="C316" s="713" t="s">
        <v>443</v>
      </c>
      <c r="D316" s="713"/>
      <c r="E316" s="708"/>
      <c r="F316" s="709"/>
      <c r="G316" s="1025"/>
      <c r="H316" s="690"/>
      <c r="I316" s="1030"/>
      <c r="J316" s="690"/>
      <c r="K316" s="1030"/>
      <c r="L316" s="690"/>
      <c r="M316" s="1025"/>
      <c r="N316" s="1030"/>
      <c r="O316" s="692">
        <f t="shared" si="34"/>
        <v>0</v>
      </c>
      <c r="P316" s="690"/>
      <c r="Q316" s="690"/>
      <c r="R316" s="691">
        <f t="shared" si="35"/>
        <v>0</v>
      </c>
      <c r="S316" s="692">
        <f t="shared" si="36"/>
        <v>0</v>
      </c>
      <c r="T316" s="693">
        <f t="shared" si="37"/>
        <v>0</v>
      </c>
      <c r="U316" s="1035">
        <v>10405</v>
      </c>
      <c r="V316" s="690">
        <v>10316</v>
      </c>
      <c r="W316" s="1025"/>
      <c r="X316" s="1030"/>
      <c r="Y316" s="694">
        <f t="shared" si="38"/>
        <v>0</v>
      </c>
      <c r="Z316" s="690"/>
      <c r="AA316" s="690"/>
      <c r="AB316" s="695">
        <f t="shared" si="39"/>
        <v>0</v>
      </c>
      <c r="AC316" s="1035"/>
      <c r="AD316" s="690"/>
      <c r="AE316" s="1025"/>
      <c r="AF316" s="1030"/>
      <c r="AG316" s="690"/>
      <c r="AH316" s="690"/>
      <c r="AI316" s="696">
        <f t="shared" si="40"/>
        <v>10405</v>
      </c>
      <c r="AJ316" s="697">
        <f t="shared" si="41"/>
        <v>10316</v>
      </c>
      <c r="AK316" s="698"/>
      <c r="AL316" s="698"/>
    </row>
    <row r="317" spans="1:38" s="700" customFormat="1" ht="12.75" customHeight="1">
      <c r="A317" s="686" t="s">
        <v>202</v>
      </c>
      <c r="B317" s="686" t="s">
        <v>379</v>
      </c>
      <c r="C317" s="713" t="s">
        <v>377</v>
      </c>
      <c r="D317" s="713"/>
      <c r="E317" s="708"/>
      <c r="F317" s="709"/>
      <c r="G317" s="1025"/>
      <c r="H317" s="690"/>
      <c r="I317" s="1030"/>
      <c r="J317" s="690"/>
      <c r="K317" s="1030"/>
      <c r="L317" s="690"/>
      <c r="M317" s="1025"/>
      <c r="N317" s="1030"/>
      <c r="O317" s="692">
        <f t="shared" si="34"/>
        <v>0</v>
      </c>
      <c r="P317" s="690"/>
      <c r="Q317" s="690"/>
      <c r="R317" s="691">
        <f t="shared" si="35"/>
        <v>0</v>
      </c>
      <c r="S317" s="692">
        <f t="shared" si="36"/>
        <v>0</v>
      </c>
      <c r="T317" s="693">
        <f t="shared" si="37"/>
        <v>0</v>
      </c>
      <c r="U317" s="1035"/>
      <c r="V317" s="690"/>
      <c r="W317" s="1025"/>
      <c r="X317" s="1030"/>
      <c r="Y317" s="694">
        <f t="shared" si="38"/>
        <v>0</v>
      </c>
      <c r="Z317" s="690"/>
      <c r="AA317" s="690"/>
      <c r="AB317" s="695">
        <f t="shared" si="39"/>
        <v>0</v>
      </c>
      <c r="AC317" s="1035"/>
      <c r="AD317" s="690"/>
      <c r="AE317" s="1025"/>
      <c r="AF317" s="1030"/>
      <c r="AG317" s="690"/>
      <c r="AH317" s="690"/>
      <c r="AI317" s="696">
        <f t="shared" si="40"/>
        <v>0</v>
      </c>
      <c r="AJ317" s="697">
        <f t="shared" si="41"/>
        <v>0</v>
      </c>
      <c r="AK317" s="698"/>
      <c r="AL317" s="698"/>
    </row>
    <row r="318" spans="1:38" s="700" customFormat="1" ht="12.75" customHeight="1">
      <c r="A318" s="686" t="s">
        <v>202</v>
      </c>
      <c r="B318" s="714" t="s">
        <v>295</v>
      </c>
      <c r="C318" s="713" t="s">
        <v>53</v>
      </c>
      <c r="D318" s="713"/>
      <c r="E318" s="708"/>
      <c r="F318" s="709"/>
      <c r="G318" s="1025"/>
      <c r="H318" s="690"/>
      <c r="I318" s="1030"/>
      <c r="J318" s="690"/>
      <c r="K318" s="1030"/>
      <c r="L318" s="690"/>
      <c r="M318" s="1025"/>
      <c r="N318" s="1030"/>
      <c r="O318" s="692">
        <f t="shared" si="34"/>
        <v>0</v>
      </c>
      <c r="P318" s="690"/>
      <c r="Q318" s="690"/>
      <c r="R318" s="691">
        <f t="shared" si="35"/>
        <v>0</v>
      </c>
      <c r="S318" s="692">
        <f t="shared" si="36"/>
        <v>0</v>
      </c>
      <c r="T318" s="693">
        <f t="shared" si="37"/>
        <v>0</v>
      </c>
      <c r="U318" s="1035"/>
      <c r="V318" s="690"/>
      <c r="W318" s="1025"/>
      <c r="X318" s="1030"/>
      <c r="Y318" s="694">
        <f t="shared" si="38"/>
        <v>0</v>
      </c>
      <c r="Z318" s="690"/>
      <c r="AA318" s="690"/>
      <c r="AB318" s="695">
        <f t="shared" si="39"/>
        <v>0</v>
      </c>
      <c r="AC318" s="1035"/>
      <c r="AD318" s="690"/>
      <c r="AE318" s="1025"/>
      <c r="AF318" s="1030"/>
      <c r="AG318" s="690"/>
      <c r="AH318" s="690"/>
      <c r="AI318" s="696">
        <f t="shared" si="40"/>
        <v>0</v>
      </c>
      <c r="AJ318" s="697">
        <f t="shared" si="41"/>
        <v>0</v>
      </c>
      <c r="AK318" s="698"/>
      <c r="AL318" s="698"/>
    </row>
    <row r="319" spans="1:38" s="700" customFormat="1" ht="12.75" customHeight="1">
      <c r="A319" s="686" t="s">
        <v>202</v>
      </c>
      <c r="B319" s="714" t="s">
        <v>296</v>
      </c>
      <c r="C319" s="713" t="s">
        <v>443</v>
      </c>
      <c r="D319" s="713"/>
      <c r="E319" s="708"/>
      <c r="F319" s="709"/>
      <c r="G319" s="1025"/>
      <c r="H319" s="690"/>
      <c r="I319" s="1030"/>
      <c r="J319" s="690"/>
      <c r="K319" s="1030"/>
      <c r="L319" s="690"/>
      <c r="M319" s="1025"/>
      <c r="N319" s="1030"/>
      <c r="O319" s="692">
        <f t="shared" si="34"/>
        <v>0</v>
      </c>
      <c r="P319" s="690"/>
      <c r="Q319" s="690"/>
      <c r="R319" s="691">
        <f t="shared" si="35"/>
        <v>0</v>
      </c>
      <c r="S319" s="692">
        <f t="shared" si="36"/>
        <v>0</v>
      </c>
      <c r="T319" s="693">
        <f t="shared" si="37"/>
        <v>0</v>
      </c>
      <c r="U319" s="1035"/>
      <c r="V319" s="690"/>
      <c r="W319" s="1025"/>
      <c r="X319" s="1030"/>
      <c r="Y319" s="694">
        <f t="shared" si="38"/>
        <v>0</v>
      </c>
      <c r="Z319" s="690"/>
      <c r="AA319" s="690"/>
      <c r="AB319" s="695">
        <f t="shared" si="39"/>
        <v>0</v>
      </c>
      <c r="AC319" s="1035"/>
      <c r="AD319" s="690"/>
      <c r="AE319" s="1025"/>
      <c r="AF319" s="1030"/>
      <c r="AG319" s="690"/>
      <c r="AH319" s="690"/>
      <c r="AI319" s="696">
        <f t="shared" si="40"/>
        <v>0</v>
      </c>
      <c r="AJ319" s="697">
        <f t="shared" si="41"/>
        <v>0</v>
      </c>
      <c r="AK319" s="698"/>
      <c r="AL319" s="698"/>
    </row>
    <row r="320" spans="1:38" s="700" customFormat="1" ht="12.75" customHeight="1">
      <c r="A320" s="686" t="s">
        <v>202</v>
      </c>
      <c r="B320" s="714" t="s">
        <v>278</v>
      </c>
      <c r="C320" s="713" t="s">
        <v>377</v>
      </c>
      <c r="D320" s="713"/>
      <c r="E320" s="708"/>
      <c r="F320" s="709"/>
      <c r="G320" s="1025"/>
      <c r="H320" s="690"/>
      <c r="I320" s="1030"/>
      <c r="J320" s="690"/>
      <c r="K320" s="1030"/>
      <c r="L320" s="690"/>
      <c r="M320" s="1025"/>
      <c r="N320" s="1030"/>
      <c r="O320" s="692">
        <f t="shared" si="34"/>
        <v>0</v>
      </c>
      <c r="P320" s="690"/>
      <c r="Q320" s="690"/>
      <c r="R320" s="691">
        <f t="shared" si="35"/>
        <v>0</v>
      </c>
      <c r="S320" s="692">
        <f t="shared" si="36"/>
        <v>0</v>
      </c>
      <c r="T320" s="693">
        <f t="shared" si="37"/>
        <v>0</v>
      </c>
      <c r="U320" s="1035"/>
      <c r="V320" s="690"/>
      <c r="W320" s="1025"/>
      <c r="X320" s="1030"/>
      <c r="Y320" s="694">
        <f t="shared" si="38"/>
        <v>0</v>
      </c>
      <c r="Z320" s="690"/>
      <c r="AA320" s="690"/>
      <c r="AB320" s="695">
        <f t="shared" si="39"/>
        <v>0</v>
      </c>
      <c r="AC320" s="1035"/>
      <c r="AD320" s="690"/>
      <c r="AE320" s="1025"/>
      <c r="AF320" s="1030"/>
      <c r="AG320" s="690"/>
      <c r="AH320" s="690"/>
      <c r="AI320" s="696">
        <f t="shared" si="40"/>
        <v>0</v>
      </c>
      <c r="AJ320" s="697">
        <f t="shared" si="41"/>
        <v>0</v>
      </c>
      <c r="AK320" s="698"/>
      <c r="AL320" s="698"/>
    </row>
    <row r="321" spans="1:38" s="700" customFormat="1" ht="12.75" customHeight="1">
      <c r="A321" s="686" t="s">
        <v>202</v>
      </c>
      <c r="B321" s="714" t="s">
        <v>279</v>
      </c>
      <c r="C321" s="713" t="s">
        <v>54</v>
      </c>
      <c r="D321" s="713"/>
      <c r="E321" s="708"/>
      <c r="F321" s="709"/>
      <c r="G321" s="1025"/>
      <c r="H321" s="690"/>
      <c r="I321" s="1030"/>
      <c r="J321" s="690"/>
      <c r="K321" s="1030"/>
      <c r="L321" s="690"/>
      <c r="M321" s="1025"/>
      <c r="N321" s="1030"/>
      <c r="O321" s="692">
        <f t="shared" si="34"/>
        <v>0</v>
      </c>
      <c r="P321" s="690"/>
      <c r="Q321" s="690"/>
      <c r="R321" s="691">
        <f t="shared" si="35"/>
        <v>0</v>
      </c>
      <c r="S321" s="692">
        <f t="shared" si="36"/>
        <v>0</v>
      </c>
      <c r="T321" s="693">
        <f t="shared" si="37"/>
        <v>0</v>
      </c>
      <c r="U321" s="1035"/>
      <c r="V321" s="690"/>
      <c r="W321" s="1025"/>
      <c r="X321" s="1030"/>
      <c r="Y321" s="694">
        <f t="shared" si="38"/>
        <v>0</v>
      </c>
      <c r="Z321" s="690"/>
      <c r="AA321" s="690"/>
      <c r="AB321" s="695">
        <f t="shared" si="39"/>
        <v>0</v>
      </c>
      <c r="AC321" s="1035"/>
      <c r="AD321" s="690"/>
      <c r="AE321" s="1025"/>
      <c r="AF321" s="1030"/>
      <c r="AG321" s="690"/>
      <c r="AH321" s="690"/>
      <c r="AI321" s="696">
        <f t="shared" si="40"/>
        <v>0</v>
      </c>
      <c r="AJ321" s="697">
        <f t="shared" si="41"/>
        <v>0</v>
      </c>
      <c r="AK321" s="698"/>
      <c r="AL321" s="698"/>
    </row>
    <row r="322" spans="1:38" s="700" customFormat="1" ht="12.75" customHeight="1">
      <c r="A322" s="686" t="s">
        <v>202</v>
      </c>
      <c r="B322" s="714" t="s">
        <v>317</v>
      </c>
      <c r="C322" s="713" t="s">
        <v>443</v>
      </c>
      <c r="D322" s="713"/>
      <c r="E322" s="708"/>
      <c r="F322" s="709"/>
      <c r="G322" s="1025"/>
      <c r="H322" s="690"/>
      <c r="I322" s="1030"/>
      <c r="J322" s="690"/>
      <c r="K322" s="1030"/>
      <c r="L322" s="690"/>
      <c r="M322" s="1025"/>
      <c r="N322" s="1030"/>
      <c r="O322" s="692">
        <f t="shared" si="34"/>
        <v>0</v>
      </c>
      <c r="P322" s="690"/>
      <c r="Q322" s="690"/>
      <c r="R322" s="691">
        <f t="shared" si="35"/>
        <v>0</v>
      </c>
      <c r="S322" s="692">
        <f t="shared" si="36"/>
        <v>0</v>
      </c>
      <c r="T322" s="693">
        <f t="shared" si="37"/>
        <v>0</v>
      </c>
      <c r="U322" s="1035"/>
      <c r="V322" s="690"/>
      <c r="W322" s="1025"/>
      <c r="X322" s="1030"/>
      <c r="Y322" s="694">
        <f t="shared" si="38"/>
        <v>0</v>
      </c>
      <c r="Z322" s="690"/>
      <c r="AA322" s="690"/>
      <c r="AB322" s="695">
        <f t="shared" si="39"/>
        <v>0</v>
      </c>
      <c r="AC322" s="1035"/>
      <c r="AD322" s="690"/>
      <c r="AE322" s="1025"/>
      <c r="AF322" s="1030"/>
      <c r="AG322" s="690"/>
      <c r="AH322" s="690"/>
      <c r="AI322" s="696">
        <f t="shared" si="40"/>
        <v>0</v>
      </c>
      <c r="AJ322" s="697">
        <f t="shared" si="41"/>
        <v>0</v>
      </c>
      <c r="AK322" s="698"/>
      <c r="AL322" s="698"/>
    </row>
    <row r="323" spans="1:38" s="700" customFormat="1" ht="12.75" customHeight="1">
      <c r="A323" s="686" t="s">
        <v>202</v>
      </c>
      <c r="B323" s="714" t="s">
        <v>318</v>
      </c>
      <c r="C323" s="713" t="s">
        <v>377</v>
      </c>
      <c r="D323" s="713"/>
      <c r="E323" s="708"/>
      <c r="F323" s="709"/>
      <c r="G323" s="1025"/>
      <c r="H323" s="690"/>
      <c r="I323" s="1030"/>
      <c r="J323" s="690"/>
      <c r="K323" s="1030"/>
      <c r="L323" s="690"/>
      <c r="M323" s="1025"/>
      <c r="N323" s="1030"/>
      <c r="O323" s="692">
        <f t="shared" si="34"/>
        <v>0</v>
      </c>
      <c r="P323" s="690"/>
      <c r="Q323" s="690"/>
      <c r="R323" s="691">
        <f t="shared" si="35"/>
        <v>0</v>
      </c>
      <c r="S323" s="692">
        <f t="shared" si="36"/>
        <v>0</v>
      </c>
      <c r="T323" s="693">
        <f t="shared" si="37"/>
        <v>0</v>
      </c>
      <c r="U323" s="1035"/>
      <c r="V323" s="690"/>
      <c r="W323" s="1025"/>
      <c r="X323" s="1030"/>
      <c r="Y323" s="694">
        <f t="shared" si="38"/>
        <v>0</v>
      </c>
      <c r="Z323" s="690"/>
      <c r="AA323" s="690"/>
      <c r="AB323" s="695">
        <f t="shared" si="39"/>
        <v>0</v>
      </c>
      <c r="AC323" s="1035"/>
      <c r="AD323" s="690"/>
      <c r="AE323" s="1025"/>
      <c r="AF323" s="1030"/>
      <c r="AG323" s="690"/>
      <c r="AH323" s="690"/>
      <c r="AI323" s="696">
        <f t="shared" si="40"/>
        <v>0</v>
      </c>
      <c r="AJ323" s="697">
        <f t="shared" si="41"/>
        <v>0</v>
      </c>
      <c r="AK323" s="698"/>
      <c r="AL323" s="698"/>
    </row>
    <row r="324" spans="1:38" s="700" customFormat="1" ht="12.75" customHeight="1">
      <c r="A324" s="686" t="s">
        <v>202</v>
      </c>
      <c r="B324" s="715" t="s">
        <v>420</v>
      </c>
      <c r="C324" s="712" t="s">
        <v>258</v>
      </c>
      <c r="D324" s="712"/>
      <c r="E324" s="708"/>
      <c r="F324" s="716"/>
      <c r="G324" s="1025"/>
      <c r="H324" s="690"/>
      <c r="I324" s="1030"/>
      <c r="J324" s="690"/>
      <c r="K324" s="1030"/>
      <c r="L324" s="690"/>
      <c r="M324" s="1025"/>
      <c r="N324" s="1030"/>
      <c r="O324" s="692">
        <f t="shared" si="34"/>
        <v>0</v>
      </c>
      <c r="P324" s="690"/>
      <c r="Q324" s="690"/>
      <c r="R324" s="691">
        <f t="shared" si="35"/>
        <v>0</v>
      </c>
      <c r="S324" s="692">
        <f t="shared" si="36"/>
        <v>0</v>
      </c>
      <c r="T324" s="693">
        <f t="shared" si="37"/>
        <v>0</v>
      </c>
      <c r="U324" s="1035"/>
      <c r="V324" s="690"/>
      <c r="W324" s="1025"/>
      <c r="X324" s="1030"/>
      <c r="Y324" s="694">
        <f t="shared" si="38"/>
        <v>0</v>
      </c>
      <c r="Z324" s="690"/>
      <c r="AA324" s="690"/>
      <c r="AB324" s="695">
        <f t="shared" si="39"/>
        <v>0</v>
      </c>
      <c r="AC324" s="1035"/>
      <c r="AD324" s="690"/>
      <c r="AE324" s="1025"/>
      <c r="AF324" s="1030"/>
      <c r="AG324" s="690"/>
      <c r="AH324" s="690"/>
      <c r="AI324" s="696">
        <f t="shared" si="40"/>
        <v>0</v>
      </c>
      <c r="AJ324" s="697">
        <f t="shared" si="41"/>
        <v>0</v>
      </c>
      <c r="AK324" s="698"/>
      <c r="AL324" s="698"/>
    </row>
    <row r="325" spans="1:38" s="700" customFormat="1" ht="12.75" customHeight="1">
      <c r="A325" s="686" t="s">
        <v>202</v>
      </c>
      <c r="B325" s="714" t="s">
        <v>295</v>
      </c>
      <c r="C325" s="713" t="s">
        <v>53</v>
      </c>
      <c r="D325" s="713"/>
      <c r="E325" s="708"/>
      <c r="F325" s="709"/>
      <c r="G325" s="1025"/>
      <c r="H325" s="690"/>
      <c r="I325" s="1030"/>
      <c r="J325" s="690"/>
      <c r="K325" s="1030"/>
      <c r="L325" s="690"/>
      <c r="M325" s="1025"/>
      <c r="N325" s="1030"/>
      <c r="O325" s="692">
        <f t="shared" si="34"/>
        <v>0</v>
      </c>
      <c r="P325" s="690"/>
      <c r="Q325" s="690"/>
      <c r="R325" s="691">
        <f t="shared" si="35"/>
        <v>0</v>
      </c>
      <c r="S325" s="692">
        <f t="shared" si="36"/>
        <v>0</v>
      </c>
      <c r="T325" s="693">
        <f t="shared" si="37"/>
        <v>0</v>
      </c>
      <c r="U325" s="1035"/>
      <c r="V325" s="690"/>
      <c r="W325" s="1025"/>
      <c r="X325" s="1030"/>
      <c r="Y325" s="694">
        <f t="shared" si="38"/>
        <v>0</v>
      </c>
      <c r="Z325" s="690"/>
      <c r="AA325" s="690"/>
      <c r="AB325" s="695">
        <f t="shared" si="39"/>
        <v>0</v>
      </c>
      <c r="AC325" s="1035"/>
      <c r="AD325" s="690"/>
      <c r="AE325" s="1025"/>
      <c r="AF325" s="1030"/>
      <c r="AG325" s="690"/>
      <c r="AH325" s="690"/>
      <c r="AI325" s="696">
        <f t="shared" si="40"/>
        <v>0</v>
      </c>
      <c r="AJ325" s="697">
        <f t="shared" si="41"/>
        <v>0</v>
      </c>
      <c r="AK325" s="698"/>
      <c r="AL325" s="698"/>
    </row>
    <row r="326" spans="1:38" s="700" customFormat="1" ht="12.75" customHeight="1">
      <c r="A326" s="686" t="s">
        <v>202</v>
      </c>
      <c r="B326" s="714" t="s">
        <v>296</v>
      </c>
      <c r="C326" s="713" t="s">
        <v>443</v>
      </c>
      <c r="D326" s="713"/>
      <c r="E326" s="708"/>
      <c r="F326" s="709"/>
      <c r="G326" s="1025"/>
      <c r="H326" s="690"/>
      <c r="I326" s="1030"/>
      <c r="J326" s="690"/>
      <c r="K326" s="1030"/>
      <c r="L326" s="690"/>
      <c r="M326" s="1025"/>
      <c r="N326" s="1030"/>
      <c r="O326" s="692">
        <f t="shared" si="34"/>
        <v>0</v>
      </c>
      <c r="P326" s="690"/>
      <c r="Q326" s="690"/>
      <c r="R326" s="691">
        <f t="shared" si="35"/>
        <v>0</v>
      </c>
      <c r="S326" s="692">
        <f t="shared" si="36"/>
        <v>0</v>
      </c>
      <c r="T326" s="693">
        <f t="shared" si="37"/>
        <v>0</v>
      </c>
      <c r="U326" s="1035"/>
      <c r="V326" s="690"/>
      <c r="W326" s="1025"/>
      <c r="X326" s="1030"/>
      <c r="Y326" s="694">
        <f t="shared" si="38"/>
        <v>0</v>
      </c>
      <c r="Z326" s="690"/>
      <c r="AA326" s="690"/>
      <c r="AB326" s="695">
        <f t="shared" si="39"/>
        <v>0</v>
      </c>
      <c r="AC326" s="1035"/>
      <c r="AD326" s="690"/>
      <c r="AE326" s="1025"/>
      <c r="AF326" s="1030"/>
      <c r="AG326" s="690"/>
      <c r="AH326" s="690"/>
      <c r="AI326" s="696">
        <f t="shared" si="40"/>
        <v>0</v>
      </c>
      <c r="AJ326" s="697">
        <f t="shared" si="41"/>
        <v>0</v>
      </c>
      <c r="AK326" s="698"/>
      <c r="AL326" s="698"/>
    </row>
    <row r="327" spans="1:38" s="700" customFormat="1" ht="12.75" customHeight="1">
      <c r="A327" s="686" t="s">
        <v>202</v>
      </c>
      <c r="B327" s="714" t="s">
        <v>278</v>
      </c>
      <c r="C327" s="713" t="s">
        <v>377</v>
      </c>
      <c r="D327" s="713"/>
      <c r="E327" s="708"/>
      <c r="F327" s="709"/>
      <c r="G327" s="1025"/>
      <c r="H327" s="690"/>
      <c r="I327" s="1030"/>
      <c r="J327" s="690"/>
      <c r="K327" s="1030"/>
      <c r="L327" s="690"/>
      <c r="M327" s="1025"/>
      <c r="N327" s="1030"/>
      <c r="O327" s="692">
        <f t="shared" si="34"/>
        <v>0</v>
      </c>
      <c r="P327" s="690"/>
      <c r="Q327" s="690"/>
      <c r="R327" s="691">
        <f t="shared" si="35"/>
        <v>0</v>
      </c>
      <c r="S327" s="692">
        <f t="shared" si="36"/>
        <v>0</v>
      </c>
      <c r="T327" s="693">
        <f t="shared" si="37"/>
        <v>0</v>
      </c>
      <c r="U327" s="1035">
        <v>32181278</v>
      </c>
      <c r="V327" s="818">
        <v>38383099</v>
      </c>
      <c r="W327" s="1025"/>
      <c r="X327" s="1030"/>
      <c r="Y327" s="694">
        <f t="shared" si="38"/>
        <v>0</v>
      </c>
      <c r="Z327" s="690"/>
      <c r="AA327" s="690"/>
      <c r="AB327" s="695">
        <f t="shared" si="39"/>
        <v>0</v>
      </c>
      <c r="AC327" s="1035"/>
      <c r="AD327" s="690"/>
      <c r="AE327" s="1025"/>
      <c r="AF327" s="1030"/>
      <c r="AG327" s="690"/>
      <c r="AH327" s="690"/>
      <c r="AI327" s="696">
        <f t="shared" si="40"/>
        <v>32181278</v>
      </c>
      <c r="AJ327" s="697">
        <f t="shared" si="41"/>
        <v>38383099</v>
      </c>
      <c r="AK327" s="698"/>
      <c r="AL327" s="698"/>
    </row>
    <row r="328" spans="1:38" s="700" customFormat="1" ht="12.75" customHeight="1">
      <c r="A328" s="686" t="s">
        <v>202</v>
      </c>
      <c r="B328" s="714" t="s">
        <v>279</v>
      </c>
      <c r="C328" s="713" t="s">
        <v>54</v>
      </c>
      <c r="D328" s="713"/>
      <c r="E328" s="708"/>
      <c r="F328" s="709"/>
      <c r="G328" s="1025"/>
      <c r="H328" s="690"/>
      <c r="I328" s="1030"/>
      <c r="J328" s="690"/>
      <c r="K328" s="1030"/>
      <c r="L328" s="690"/>
      <c r="M328" s="1025"/>
      <c r="N328" s="1030"/>
      <c r="O328" s="692">
        <f t="shared" si="34"/>
        <v>0</v>
      </c>
      <c r="P328" s="690"/>
      <c r="Q328" s="690"/>
      <c r="R328" s="691">
        <f t="shared" si="35"/>
        <v>0</v>
      </c>
      <c r="S328" s="692">
        <f t="shared" si="36"/>
        <v>0</v>
      </c>
      <c r="T328" s="693">
        <f t="shared" si="37"/>
        <v>0</v>
      </c>
      <c r="U328" s="1035"/>
      <c r="V328" s="690"/>
      <c r="W328" s="1025"/>
      <c r="X328" s="1030"/>
      <c r="Y328" s="694">
        <f t="shared" si="38"/>
        <v>0</v>
      </c>
      <c r="Z328" s="690"/>
      <c r="AA328" s="690"/>
      <c r="AB328" s="695">
        <f t="shared" si="39"/>
        <v>0</v>
      </c>
      <c r="AC328" s="1035"/>
      <c r="AD328" s="690"/>
      <c r="AE328" s="1025"/>
      <c r="AF328" s="1030"/>
      <c r="AG328" s="690"/>
      <c r="AH328" s="690"/>
      <c r="AI328" s="696">
        <f t="shared" si="40"/>
        <v>0</v>
      </c>
      <c r="AJ328" s="697">
        <f t="shared" si="41"/>
        <v>0</v>
      </c>
      <c r="AK328" s="698"/>
      <c r="AL328" s="698"/>
    </row>
    <row r="329" spans="1:38" s="700" customFormat="1" ht="12.75" customHeight="1">
      <c r="A329" s="686" t="s">
        <v>202</v>
      </c>
      <c r="B329" s="714" t="s">
        <v>317</v>
      </c>
      <c r="C329" s="713" t="s">
        <v>443</v>
      </c>
      <c r="D329" s="713"/>
      <c r="E329" s="708"/>
      <c r="F329" s="709"/>
      <c r="G329" s="1025"/>
      <c r="H329" s="690"/>
      <c r="I329" s="1030"/>
      <c r="J329" s="690"/>
      <c r="K329" s="1030"/>
      <c r="L329" s="690"/>
      <c r="M329" s="1025"/>
      <c r="N329" s="1030"/>
      <c r="O329" s="692">
        <f t="shared" si="34"/>
        <v>0</v>
      </c>
      <c r="P329" s="690"/>
      <c r="Q329" s="690"/>
      <c r="R329" s="691">
        <f t="shared" si="35"/>
        <v>0</v>
      </c>
      <c r="S329" s="692">
        <f t="shared" si="36"/>
        <v>0</v>
      </c>
      <c r="T329" s="693">
        <f t="shared" si="37"/>
        <v>0</v>
      </c>
      <c r="U329" s="1035"/>
      <c r="V329" s="690"/>
      <c r="W329" s="1025"/>
      <c r="X329" s="1030"/>
      <c r="Y329" s="694">
        <f t="shared" si="38"/>
        <v>0</v>
      </c>
      <c r="Z329" s="690"/>
      <c r="AA329" s="690"/>
      <c r="AB329" s="695">
        <f t="shared" si="39"/>
        <v>0</v>
      </c>
      <c r="AC329" s="1035"/>
      <c r="AD329" s="690"/>
      <c r="AE329" s="1025"/>
      <c r="AF329" s="1030"/>
      <c r="AG329" s="690"/>
      <c r="AH329" s="690"/>
      <c r="AI329" s="696">
        <f t="shared" si="40"/>
        <v>0</v>
      </c>
      <c r="AJ329" s="697">
        <f t="shared" si="41"/>
        <v>0</v>
      </c>
      <c r="AK329" s="698"/>
      <c r="AL329" s="698"/>
    </row>
    <row r="330" spans="1:38" s="700" customFormat="1" ht="12.75" customHeight="1">
      <c r="A330" s="686" t="s">
        <v>202</v>
      </c>
      <c r="B330" s="714" t="s">
        <v>318</v>
      </c>
      <c r="C330" s="713" t="s">
        <v>377</v>
      </c>
      <c r="D330" s="713"/>
      <c r="E330" s="708"/>
      <c r="F330" s="709"/>
      <c r="G330" s="1025"/>
      <c r="H330" s="690"/>
      <c r="I330" s="1030"/>
      <c r="J330" s="690"/>
      <c r="K330" s="1030"/>
      <c r="L330" s="690"/>
      <c r="M330" s="1025"/>
      <c r="N330" s="1030"/>
      <c r="O330" s="692">
        <f t="shared" ref="O330:O382" si="42">SUM(M330:N330)</f>
        <v>0</v>
      </c>
      <c r="P330" s="690"/>
      <c r="Q330" s="690"/>
      <c r="R330" s="691">
        <f t="shared" ref="R330:R393" si="43">SUM(P330:Q330)</f>
        <v>0</v>
      </c>
      <c r="S330" s="692">
        <f t="shared" ref="S330:S393" si="44">SUM(G330,I330,K330,M330)</f>
        <v>0</v>
      </c>
      <c r="T330" s="693">
        <f t="shared" ref="T330:T393" si="45">SUM(H330,J330,L330,P330)</f>
        <v>0</v>
      </c>
      <c r="U330" s="1035"/>
      <c r="V330" s="690"/>
      <c r="W330" s="1025"/>
      <c r="X330" s="1030"/>
      <c r="Y330" s="694">
        <f t="shared" ref="Y330:Y393" si="46">SUM(W330:X330)</f>
        <v>0</v>
      </c>
      <c r="Z330" s="690"/>
      <c r="AA330" s="690"/>
      <c r="AB330" s="695">
        <f t="shared" ref="AB330:AB393" si="47">SUM(Z330:AA330)</f>
        <v>0</v>
      </c>
      <c r="AC330" s="1035"/>
      <c r="AD330" s="690"/>
      <c r="AE330" s="1025"/>
      <c r="AF330" s="1030"/>
      <c r="AG330" s="690"/>
      <c r="AH330" s="690"/>
      <c r="AI330" s="696">
        <f t="shared" ref="AI330:AI393" si="48">SUM(S330,U330,W330,AC330,AE330)</f>
        <v>0</v>
      </c>
      <c r="AJ330" s="697">
        <f t="shared" ref="AJ330:AJ393" si="49">SUM(T330,V330,Z330,AD330,AG330)</f>
        <v>0</v>
      </c>
      <c r="AK330" s="698"/>
      <c r="AL330" s="698"/>
    </row>
    <row r="331" spans="1:38" s="700" customFormat="1" ht="12.75" customHeight="1">
      <c r="A331" s="686" t="s">
        <v>202</v>
      </c>
      <c r="B331" s="715" t="s">
        <v>420</v>
      </c>
      <c r="C331" s="712" t="s">
        <v>259</v>
      </c>
      <c r="D331" s="712"/>
      <c r="E331" s="708"/>
      <c r="F331" s="716"/>
      <c r="G331" s="1025"/>
      <c r="H331" s="690"/>
      <c r="I331" s="1030"/>
      <c r="J331" s="690"/>
      <c r="K331" s="1030"/>
      <c r="L331" s="690"/>
      <c r="M331" s="1025"/>
      <c r="N331" s="1030"/>
      <c r="O331" s="692">
        <f t="shared" si="42"/>
        <v>0</v>
      </c>
      <c r="P331" s="690"/>
      <c r="Q331" s="690"/>
      <c r="R331" s="691">
        <f t="shared" si="43"/>
        <v>0</v>
      </c>
      <c r="S331" s="692">
        <f t="shared" si="44"/>
        <v>0</v>
      </c>
      <c r="T331" s="693">
        <f t="shared" si="45"/>
        <v>0</v>
      </c>
      <c r="U331" s="1035"/>
      <c r="V331" s="690"/>
      <c r="W331" s="1025"/>
      <c r="X331" s="1030"/>
      <c r="Y331" s="694">
        <f t="shared" si="46"/>
        <v>0</v>
      </c>
      <c r="Z331" s="690"/>
      <c r="AA331" s="690"/>
      <c r="AB331" s="695">
        <f t="shared" si="47"/>
        <v>0</v>
      </c>
      <c r="AC331" s="1035"/>
      <c r="AD331" s="690"/>
      <c r="AE331" s="1025"/>
      <c r="AF331" s="1030"/>
      <c r="AG331" s="690"/>
      <c r="AH331" s="690"/>
      <c r="AI331" s="696">
        <f t="shared" si="48"/>
        <v>0</v>
      </c>
      <c r="AJ331" s="697">
        <f t="shared" si="49"/>
        <v>0</v>
      </c>
      <c r="AK331" s="698"/>
      <c r="AL331" s="698"/>
    </row>
    <row r="332" spans="1:38" s="700" customFormat="1" ht="12.75" customHeight="1">
      <c r="A332" s="686" t="s">
        <v>202</v>
      </c>
      <c r="B332" s="714" t="s">
        <v>295</v>
      </c>
      <c r="C332" s="713" t="s">
        <v>53</v>
      </c>
      <c r="D332" s="713"/>
      <c r="E332" s="708"/>
      <c r="F332" s="709"/>
      <c r="G332" s="1025"/>
      <c r="H332" s="690"/>
      <c r="I332" s="1030"/>
      <c r="J332" s="690"/>
      <c r="K332" s="1030"/>
      <c r="L332" s="690"/>
      <c r="M332" s="1025"/>
      <c r="N332" s="1030"/>
      <c r="O332" s="692">
        <f t="shared" si="42"/>
        <v>0</v>
      </c>
      <c r="P332" s="690"/>
      <c r="Q332" s="690"/>
      <c r="R332" s="691">
        <f t="shared" si="43"/>
        <v>0</v>
      </c>
      <c r="S332" s="692">
        <f t="shared" si="44"/>
        <v>0</v>
      </c>
      <c r="T332" s="693">
        <f t="shared" si="45"/>
        <v>0</v>
      </c>
      <c r="U332" s="1035"/>
      <c r="V332" s="690"/>
      <c r="W332" s="1025"/>
      <c r="X332" s="1030"/>
      <c r="Y332" s="694">
        <f t="shared" si="46"/>
        <v>0</v>
      </c>
      <c r="Z332" s="690"/>
      <c r="AA332" s="690"/>
      <c r="AB332" s="695">
        <f t="shared" si="47"/>
        <v>0</v>
      </c>
      <c r="AC332" s="1035"/>
      <c r="AD332" s="690"/>
      <c r="AE332" s="1025"/>
      <c r="AF332" s="1030"/>
      <c r="AG332" s="690"/>
      <c r="AH332" s="690"/>
      <c r="AI332" s="696">
        <f t="shared" si="48"/>
        <v>0</v>
      </c>
      <c r="AJ332" s="697">
        <f t="shared" si="49"/>
        <v>0</v>
      </c>
      <c r="AK332" s="698"/>
      <c r="AL332" s="698"/>
    </row>
    <row r="333" spans="1:38" s="700" customFormat="1" ht="12.75" customHeight="1">
      <c r="A333" s="686" t="s">
        <v>202</v>
      </c>
      <c r="B333" s="714" t="s">
        <v>296</v>
      </c>
      <c r="C333" s="713" t="s">
        <v>443</v>
      </c>
      <c r="D333" s="713"/>
      <c r="E333" s="708"/>
      <c r="F333" s="709"/>
      <c r="G333" s="1025"/>
      <c r="H333" s="690"/>
      <c r="I333" s="1030"/>
      <c r="J333" s="690"/>
      <c r="K333" s="1030"/>
      <c r="L333" s="690"/>
      <c r="M333" s="1025"/>
      <c r="N333" s="1030"/>
      <c r="O333" s="692">
        <f t="shared" si="42"/>
        <v>0</v>
      </c>
      <c r="P333" s="690"/>
      <c r="Q333" s="690"/>
      <c r="R333" s="691">
        <f t="shared" si="43"/>
        <v>0</v>
      </c>
      <c r="S333" s="692">
        <f t="shared" si="44"/>
        <v>0</v>
      </c>
      <c r="T333" s="693">
        <f t="shared" si="45"/>
        <v>0</v>
      </c>
      <c r="U333" s="1035"/>
      <c r="V333" s="690"/>
      <c r="W333" s="1025"/>
      <c r="X333" s="1030"/>
      <c r="Y333" s="694">
        <f t="shared" si="46"/>
        <v>0</v>
      </c>
      <c r="Z333" s="690"/>
      <c r="AA333" s="690"/>
      <c r="AB333" s="695">
        <f t="shared" si="47"/>
        <v>0</v>
      </c>
      <c r="AC333" s="1035"/>
      <c r="AD333" s="690"/>
      <c r="AE333" s="1025"/>
      <c r="AF333" s="1030"/>
      <c r="AG333" s="690"/>
      <c r="AH333" s="690"/>
      <c r="AI333" s="696">
        <f t="shared" si="48"/>
        <v>0</v>
      </c>
      <c r="AJ333" s="697">
        <f t="shared" si="49"/>
        <v>0</v>
      </c>
      <c r="AK333" s="698"/>
      <c r="AL333" s="698"/>
    </row>
    <row r="334" spans="1:38" s="700" customFormat="1" ht="12.75" customHeight="1">
      <c r="A334" s="686" t="s">
        <v>202</v>
      </c>
      <c r="B334" s="714" t="s">
        <v>278</v>
      </c>
      <c r="C334" s="713" t="s">
        <v>377</v>
      </c>
      <c r="D334" s="713"/>
      <c r="E334" s="708"/>
      <c r="F334" s="709"/>
      <c r="G334" s="1025"/>
      <c r="H334" s="690"/>
      <c r="I334" s="1030"/>
      <c r="J334" s="690"/>
      <c r="K334" s="1030"/>
      <c r="L334" s="690"/>
      <c r="M334" s="1025"/>
      <c r="N334" s="1030"/>
      <c r="O334" s="692">
        <f t="shared" si="42"/>
        <v>0</v>
      </c>
      <c r="P334" s="690"/>
      <c r="Q334" s="690"/>
      <c r="R334" s="691">
        <f t="shared" si="43"/>
        <v>0</v>
      </c>
      <c r="S334" s="692">
        <f t="shared" si="44"/>
        <v>0</v>
      </c>
      <c r="T334" s="693">
        <f t="shared" si="45"/>
        <v>0</v>
      </c>
      <c r="U334" s="1035">
        <v>161703</v>
      </c>
      <c r="V334" s="818">
        <v>80897</v>
      </c>
      <c r="W334" s="1025"/>
      <c r="X334" s="1030"/>
      <c r="Y334" s="694">
        <f t="shared" si="46"/>
        <v>0</v>
      </c>
      <c r="Z334" s="690"/>
      <c r="AA334" s="690"/>
      <c r="AB334" s="695">
        <f t="shared" si="47"/>
        <v>0</v>
      </c>
      <c r="AC334" s="1035"/>
      <c r="AD334" s="690"/>
      <c r="AE334" s="1025"/>
      <c r="AF334" s="1030"/>
      <c r="AG334" s="690"/>
      <c r="AH334" s="690"/>
      <c r="AI334" s="696">
        <f t="shared" si="48"/>
        <v>161703</v>
      </c>
      <c r="AJ334" s="697">
        <f t="shared" si="49"/>
        <v>80897</v>
      </c>
      <c r="AK334" s="698"/>
      <c r="AL334" s="698"/>
    </row>
    <row r="335" spans="1:38" s="700" customFormat="1" ht="12.75" customHeight="1">
      <c r="A335" s="686" t="s">
        <v>202</v>
      </c>
      <c r="B335" s="714" t="s">
        <v>279</v>
      </c>
      <c r="C335" s="713" t="s">
        <v>54</v>
      </c>
      <c r="D335" s="713"/>
      <c r="E335" s="708"/>
      <c r="F335" s="709"/>
      <c r="G335" s="1025"/>
      <c r="H335" s="690"/>
      <c r="I335" s="1030"/>
      <c r="J335" s="690"/>
      <c r="K335" s="1030"/>
      <c r="L335" s="690"/>
      <c r="M335" s="1025"/>
      <c r="N335" s="1030"/>
      <c r="O335" s="692">
        <f t="shared" si="42"/>
        <v>0</v>
      </c>
      <c r="P335" s="690"/>
      <c r="Q335" s="690"/>
      <c r="R335" s="691">
        <f t="shared" si="43"/>
        <v>0</v>
      </c>
      <c r="S335" s="692">
        <f t="shared" si="44"/>
        <v>0</v>
      </c>
      <c r="T335" s="693">
        <f t="shared" si="45"/>
        <v>0</v>
      </c>
      <c r="U335" s="1035"/>
      <c r="V335" s="690"/>
      <c r="W335" s="1025"/>
      <c r="X335" s="1030"/>
      <c r="Y335" s="694">
        <f t="shared" si="46"/>
        <v>0</v>
      </c>
      <c r="Z335" s="690"/>
      <c r="AA335" s="690"/>
      <c r="AB335" s="695">
        <f t="shared" si="47"/>
        <v>0</v>
      </c>
      <c r="AC335" s="1035"/>
      <c r="AD335" s="690"/>
      <c r="AE335" s="1025"/>
      <c r="AF335" s="1030"/>
      <c r="AG335" s="690"/>
      <c r="AH335" s="690"/>
      <c r="AI335" s="696">
        <f t="shared" si="48"/>
        <v>0</v>
      </c>
      <c r="AJ335" s="697">
        <f t="shared" si="49"/>
        <v>0</v>
      </c>
      <c r="AK335" s="698"/>
      <c r="AL335" s="698"/>
    </row>
    <row r="336" spans="1:38" s="700" customFormat="1" ht="12.75" customHeight="1">
      <c r="A336" s="686" t="s">
        <v>202</v>
      </c>
      <c r="B336" s="714" t="s">
        <v>317</v>
      </c>
      <c r="C336" s="713" t="s">
        <v>443</v>
      </c>
      <c r="D336" s="713"/>
      <c r="E336" s="708"/>
      <c r="F336" s="709"/>
      <c r="G336" s="1025"/>
      <c r="H336" s="690"/>
      <c r="I336" s="1030"/>
      <c r="J336" s="690"/>
      <c r="K336" s="1030"/>
      <c r="L336" s="690"/>
      <c r="M336" s="1025"/>
      <c r="N336" s="1030"/>
      <c r="O336" s="692">
        <f t="shared" si="42"/>
        <v>0</v>
      </c>
      <c r="P336" s="690"/>
      <c r="Q336" s="690"/>
      <c r="R336" s="691">
        <f t="shared" si="43"/>
        <v>0</v>
      </c>
      <c r="S336" s="692">
        <f t="shared" si="44"/>
        <v>0</v>
      </c>
      <c r="T336" s="693">
        <f t="shared" si="45"/>
        <v>0</v>
      </c>
      <c r="U336" s="1035"/>
      <c r="V336" s="690"/>
      <c r="W336" s="1025"/>
      <c r="X336" s="1030"/>
      <c r="Y336" s="694">
        <f t="shared" si="46"/>
        <v>0</v>
      </c>
      <c r="Z336" s="690"/>
      <c r="AA336" s="690"/>
      <c r="AB336" s="695">
        <f t="shared" si="47"/>
        <v>0</v>
      </c>
      <c r="AC336" s="1035"/>
      <c r="AD336" s="690"/>
      <c r="AE336" s="1025"/>
      <c r="AF336" s="1030"/>
      <c r="AG336" s="690"/>
      <c r="AH336" s="690"/>
      <c r="AI336" s="696">
        <f t="shared" si="48"/>
        <v>0</v>
      </c>
      <c r="AJ336" s="697">
        <f t="shared" si="49"/>
        <v>0</v>
      </c>
      <c r="AK336" s="698"/>
      <c r="AL336" s="698"/>
    </row>
    <row r="337" spans="1:38" s="700" customFormat="1" ht="12.75" customHeight="1">
      <c r="A337" s="686" t="s">
        <v>202</v>
      </c>
      <c r="B337" s="714" t="s">
        <v>318</v>
      </c>
      <c r="C337" s="713" t="s">
        <v>377</v>
      </c>
      <c r="D337" s="713"/>
      <c r="E337" s="708"/>
      <c r="F337" s="709"/>
      <c r="G337" s="1025"/>
      <c r="H337" s="690"/>
      <c r="I337" s="1030"/>
      <c r="J337" s="690"/>
      <c r="K337" s="1030"/>
      <c r="L337" s="690"/>
      <c r="M337" s="1025"/>
      <c r="N337" s="1030"/>
      <c r="O337" s="692">
        <f t="shared" si="42"/>
        <v>0</v>
      </c>
      <c r="P337" s="690"/>
      <c r="Q337" s="690"/>
      <c r="R337" s="691">
        <f t="shared" si="43"/>
        <v>0</v>
      </c>
      <c r="S337" s="692">
        <f t="shared" si="44"/>
        <v>0</v>
      </c>
      <c r="T337" s="693">
        <f t="shared" si="45"/>
        <v>0</v>
      </c>
      <c r="U337" s="1035"/>
      <c r="V337" s="690"/>
      <c r="W337" s="1025"/>
      <c r="X337" s="1030"/>
      <c r="Y337" s="694">
        <f t="shared" si="46"/>
        <v>0</v>
      </c>
      <c r="Z337" s="690"/>
      <c r="AA337" s="690"/>
      <c r="AB337" s="695">
        <f t="shared" si="47"/>
        <v>0</v>
      </c>
      <c r="AC337" s="1035"/>
      <c r="AD337" s="690"/>
      <c r="AE337" s="1025"/>
      <c r="AF337" s="1030"/>
      <c r="AG337" s="690"/>
      <c r="AH337" s="690"/>
      <c r="AI337" s="696">
        <f t="shared" si="48"/>
        <v>0</v>
      </c>
      <c r="AJ337" s="697">
        <f t="shared" si="49"/>
        <v>0</v>
      </c>
      <c r="AK337" s="698"/>
      <c r="AL337" s="698"/>
    </row>
    <row r="338" spans="1:38" s="700" customFormat="1" ht="12.75" customHeight="1">
      <c r="A338" s="686" t="s">
        <v>202</v>
      </c>
      <c r="B338" s="715" t="s">
        <v>420</v>
      </c>
      <c r="C338" s="712" t="s">
        <v>260</v>
      </c>
      <c r="D338" s="712"/>
      <c r="E338" s="708"/>
      <c r="F338" s="716"/>
      <c r="G338" s="1025"/>
      <c r="H338" s="690"/>
      <c r="I338" s="1030"/>
      <c r="J338" s="690"/>
      <c r="K338" s="1030"/>
      <c r="L338" s="690"/>
      <c r="M338" s="1025"/>
      <c r="N338" s="1030"/>
      <c r="O338" s="692">
        <f t="shared" si="42"/>
        <v>0</v>
      </c>
      <c r="P338" s="690"/>
      <c r="Q338" s="690"/>
      <c r="R338" s="691">
        <f t="shared" si="43"/>
        <v>0</v>
      </c>
      <c r="S338" s="692">
        <f t="shared" si="44"/>
        <v>0</v>
      </c>
      <c r="T338" s="693">
        <f t="shared" si="45"/>
        <v>0</v>
      </c>
      <c r="U338" s="1035"/>
      <c r="V338" s="690"/>
      <c r="W338" s="1025"/>
      <c r="X338" s="1030"/>
      <c r="Y338" s="694">
        <f t="shared" si="46"/>
        <v>0</v>
      </c>
      <c r="Z338" s="690"/>
      <c r="AA338" s="690"/>
      <c r="AB338" s="695">
        <f t="shared" si="47"/>
        <v>0</v>
      </c>
      <c r="AC338" s="1035"/>
      <c r="AD338" s="690"/>
      <c r="AE338" s="1025"/>
      <c r="AF338" s="1030"/>
      <c r="AG338" s="690"/>
      <c r="AH338" s="690"/>
      <c r="AI338" s="696">
        <f t="shared" si="48"/>
        <v>0</v>
      </c>
      <c r="AJ338" s="697">
        <f t="shared" si="49"/>
        <v>0</v>
      </c>
      <c r="AK338" s="698"/>
      <c r="AL338" s="698"/>
    </row>
    <row r="339" spans="1:38" s="700" customFormat="1" ht="12.75" customHeight="1">
      <c r="A339" s="686" t="s">
        <v>202</v>
      </c>
      <c r="B339" s="714" t="s">
        <v>295</v>
      </c>
      <c r="C339" s="713" t="s">
        <v>53</v>
      </c>
      <c r="D339" s="713"/>
      <c r="E339" s="708"/>
      <c r="F339" s="709"/>
      <c r="G339" s="1025"/>
      <c r="H339" s="690"/>
      <c r="I339" s="1030"/>
      <c r="J339" s="690"/>
      <c r="K339" s="1030"/>
      <c r="L339" s="690"/>
      <c r="M339" s="1025"/>
      <c r="N339" s="1030"/>
      <c r="O339" s="692">
        <f t="shared" si="42"/>
        <v>0</v>
      </c>
      <c r="P339" s="690"/>
      <c r="Q339" s="690"/>
      <c r="R339" s="691">
        <f t="shared" si="43"/>
        <v>0</v>
      </c>
      <c r="S339" s="692">
        <f t="shared" si="44"/>
        <v>0</v>
      </c>
      <c r="T339" s="693">
        <f t="shared" si="45"/>
        <v>0</v>
      </c>
      <c r="U339" s="1035"/>
      <c r="V339" s="690"/>
      <c r="W339" s="1025"/>
      <c r="X339" s="1030"/>
      <c r="Y339" s="694">
        <f t="shared" si="46"/>
        <v>0</v>
      </c>
      <c r="Z339" s="690"/>
      <c r="AA339" s="690"/>
      <c r="AB339" s="695">
        <f t="shared" si="47"/>
        <v>0</v>
      </c>
      <c r="AC339" s="1035"/>
      <c r="AD339" s="690"/>
      <c r="AE339" s="1025"/>
      <c r="AF339" s="1030"/>
      <c r="AG339" s="690"/>
      <c r="AH339" s="690"/>
      <c r="AI339" s="696">
        <f t="shared" si="48"/>
        <v>0</v>
      </c>
      <c r="AJ339" s="697">
        <f t="shared" si="49"/>
        <v>0</v>
      </c>
      <c r="AK339" s="698"/>
      <c r="AL339" s="698"/>
    </row>
    <row r="340" spans="1:38" s="700" customFormat="1" ht="12.75" customHeight="1">
      <c r="A340" s="686" t="s">
        <v>202</v>
      </c>
      <c r="B340" s="714" t="s">
        <v>296</v>
      </c>
      <c r="C340" s="713" t="s">
        <v>443</v>
      </c>
      <c r="D340" s="713"/>
      <c r="E340" s="708"/>
      <c r="F340" s="709"/>
      <c r="G340" s="1025"/>
      <c r="H340" s="690"/>
      <c r="I340" s="1030"/>
      <c r="J340" s="690"/>
      <c r="K340" s="1030"/>
      <c r="L340" s="690"/>
      <c r="M340" s="1025"/>
      <c r="N340" s="1030"/>
      <c r="O340" s="692">
        <f t="shared" si="42"/>
        <v>0</v>
      </c>
      <c r="P340" s="690"/>
      <c r="Q340" s="690"/>
      <c r="R340" s="691">
        <f t="shared" si="43"/>
        <v>0</v>
      </c>
      <c r="S340" s="692">
        <f t="shared" si="44"/>
        <v>0</v>
      </c>
      <c r="T340" s="693">
        <f t="shared" si="45"/>
        <v>0</v>
      </c>
      <c r="U340" s="1035"/>
      <c r="V340" s="690"/>
      <c r="W340" s="1025"/>
      <c r="X340" s="1030"/>
      <c r="Y340" s="694">
        <f t="shared" si="46"/>
        <v>0</v>
      </c>
      <c r="Z340" s="690"/>
      <c r="AA340" s="690"/>
      <c r="AB340" s="695">
        <f t="shared" si="47"/>
        <v>0</v>
      </c>
      <c r="AC340" s="1035"/>
      <c r="AD340" s="690"/>
      <c r="AE340" s="1025"/>
      <c r="AF340" s="1030"/>
      <c r="AG340" s="690"/>
      <c r="AH340" s="690"/>
      <c r="AI340" s="696">
        <f t="shared" si="48"/>
        <v>0</v>
      </c>
      <c r="AJ340" s="697">
        <f t="shared" si="49"/>
        <v>0</v>
      </c>
      <c r="AK340" s="698"/>
      <c r="AL340" s="698"/>
    </row>
    <row r="341" spans="1:38" s="700" customFormat="1" ht="12.75" customHeight="1">
      <c r="A341" s="686" t="s">
        <v>202</v>
      </c>
      <c r="B341" s="714" t="s">
        <v>278</v>
      </c>
      <c r="C341" s="713" t="s">
        <v>377</v>
      </c>
      <c r="D341" s="713"/>
      <c r="E341" s="708"/>
      <c r="F341" s="709"/>
      <c r="G341" s="1025"/>
      <c r="H341" s="690"/>
      <c r="I341" s="1030"/>
      <c r="J341" s="690"/>
      <c r="K341" s="1030"/>
      <c r="L341" s="690"/>
      <c r="M341" s="1025"/>
      <c r="N341" s="1030"/>
      <c r="O341" s="692">
        <f t="shared" si="42"/>
        <v>0</v>
      </c>
      <c r="P341" s="690"/>
      <c r="Q341" s="690"/>
      <c r="R341" s="691">
        <f t="shared" si="43"/>
        <v>0</v>
      </c>
      <c r="S341" s="692">
        <f t="shared" si="44"/>
        <v>0</v>
      </c>
      <c r="T341" s="693">
        <f t="shared" si="45"/>
        <v>0</v>
      </c>
      <c r="U341" s="1035">
        <v>449261</v>
      </c>
      <c r="V341" s="818">
        <v>321623</v>
      </c>
      <c r="W341" s="1025"/>
      <c r="X341" s="1030"/>
      <c r="Y341" s="694">
        <f t="shared" si="46"/>
        <v>0</v>
      </c>
      <c r="Z341" s="690"/>
      <c r="AA341" s="690"/>
      <c r="AB341" s="695">
        <f t="shared" si="47"/>
        <v>0</v>
      </c>
      <c r="AC341" s="1035"/>
      <c r="AD341" s="690"/>
      <c r="AE341" s="1025"/>
      <c r="AF341" s="1030"/>
      <c r="AG341" s="690"/>
      <c r="AH341" s="690"/>
      <c r="AI341" s="696">
        <f t="shared" si="48"/>
        <v>449261</v>
      </c>
      <c r="AJ341" s="697">
        <f t="shared" si="49"/>
        <v>321623</v>
      </c>
      <c r="AK341" s="698"/>
      <c r="AL341" s="698"/>
    </row>
    <row r="342" spans="1:38" s="700" customFormat="1" ht="12.75" customHeight="1">
      <c r="A342" s="686" t="s">
        <v>202</v>
      </c>
      <c r="B342" s="714" t="s">
        <v>279</v>
      </c>
      <c r="C342" s="713" t="s">
        <v>54</v>
      </c>
      <c r="D342" s="713"/>
      <c r="E342" s="708"/>
      <c r="F342" s="709"/>
      <c r="G342" s="1025"/>
      <c r="H342" s="690"/>
      <c r="I342" s="1030"/>
      <c r="J342" s="690"/>
      <c r="K342" s="1030"/>
      <c r="L342" s="690"/>
      <c r="M342" s="1025"/>
      <c r="N342" s="1030"/>
      <c r="O342" s="692">
        <f t="shared" si="42"/>
        <v>0</v>
      </c>
      <c r="P342" s="690"/>
      <c r="Q342" s="690"/>
      <c r="R342" s="691">
        <f t="shared" si="43"/>
        <v>0</v>
      </c>
      <c r="S342" s="692">
        <f t="shared" si="44"/>
        <v>0</v>
      </c>
      <c r="T342" s="693">
        <f t="shared" si="45"/>
        <v>0</v>
      </c>
      <c r="U342" s="1035"/>
      <c r="V342" s="690"/>
      <c r="W342" s="1025"/>
      <c r="X342" s="1030"/>
      <c r="Y342" s="694">
        <f t="shared" si="46"/>
        <v>0</v>
      </c>
      <c r="Z342" s="690"/>
      <c r="AA342" s="690"/>
      <c r="AB342" s="695">
        <f t="shared" si="47"/>
        <v>0</v>
      </c>
      <c r="AC342" s="1035"/>
      <c r="AD342" s="690"/>
      <c r="AE342" s="1025"/>
      <c r="AF342" s="1030"/>
      <c r="AG342" s="690"/>
      <c r="AH342" s="690"/>
      <c r="AI342" s="696">
        <f t="shared" si="48"/>
        <v>0</v>
      </c>
      <c r="AJ342" s="697">
        <f t="shared" si="49"/>
        <v>0</v>
      </c>
      <c r="AK342" s="698"/>
      <c r="AL342" s="698"/>
    </row>
    <row r="343" spans="1:38" s="700" customFormat="1" ht="12.75" customHeight="1">
      <c r="A343" s="686" t="s">
        <v>202</v>
      </c>
      <c r="B343" s="714" t="s">
        <v>317</v>
      </c>
      <c r="C343" s="713" t="s">
        <v>443</v>
      </c>
      <c r="D343" s="713"/>
      <c r="E343" s="708"/>
      <c r="F343" s="709"/>
      <c r="G343" s="1025"/>
      <c r="H343" s="690"/>
      <c r="I343" s="1030"/>
      <c r="J343" s="690"/>
      <c r="K343" s="1030"/>
      <c r="L343" s="690"/>
      <c r="M343" s="1025"/>
      <c r="N343" s="1030"/>
      <c r="O343" s="692">
        <f t="shared" si="42"/>
        <v>0</v>
      </c>
      <c r="P343" s="690"/>
      <c r="Q343" s="690"/>
      <c r="R343" s="691">
        <f t="shared" si="43"/>
        <v>0</v>
      </c>
      <c r="S343" s="692">
        <f t="shared" si="44"/>
        <v>0</v>
      </c>
      <c r="T343" s="693">
        <f t="shared" si="45"/>
        <v>0</v>
      </c>
      <c r="U343" s="1035"/>
      <c r="V343" s="690"/>
      <c r="W343" s="1025"/>
      <c r="X343" s="1030"/>
      <c r="Y343" s="694">
        <f t="shared" si="46"/>
        <v>0</v>
      </c>
      <c r="Z343" s="690"/>
      <c r="AA343" s="690"/>
      <c r="AB343" s="695">
        <f t="shared" si="47"/>
        <v>0</v>
      </c>
      <c r="AC343" s="1035"/>
      <c r="AD343" s="690"/>
      <c r="AE343" s="1025"/>
      <c r="AF343" s="1030"/>
      <c r="AG343" s="690"/>
      <c r="AH343" s="690"/>
      <c r="AI343" s="696">
        <f t="shared" si="48"/>
        <v>0</v>
      </c>
      <c r="AJ343" s="697">
        <f t="shared" si="49"/>
        <v>0</v>
      </c>
      <c r="AK343" s="698"/>
      <c r="AL343" s="698"/>
    </row>
    <row r="344" spans="1:38" s="700" customFormat="1" ht="12.75" customHeight="1">
      <c r="A344" s="686" t="s">
        <v>202</v>
      </c>
      <c r="B344" s="714" t="s">
        <v>318</v>
      </c>
      <c r="C344" s="713" t="s">
        <v>377</v>
      </c>
      <c r="D344" s="713"/>
      <c r="E344" s="708"/>
      <c r="F344" s="709"/>
      <c r="G344" s="1025"/>
      <c r="H344" s="690"/>
      <c r="I344" s="1030"/>
      <c r="J344" s="690"/>
      <c r="K344" s="1030"/>
      <c r="L344" s="690"/>
      <c r="M344" s="1025"/>
      <c r="N344" s="1030"/>
      <c r="O344" s="692">
        <f t="shared" si="42"/>
        <v>0</v>
      </c>
      <c r="P344" s="690"/>
      <c r="Q344" s="690"/>
      <c r="R344" s="691">
        <f t="shared" si="43"/>
        <v>0</v>
      </c>
      <c r="S344" s="692">
        <f t="shared" si="44"/>
        <v>0</v>
      </c>
      <c r="T344" s="693">
        <f t="shared" si="45"/>
        <v>0</v>
      </c>
      <c r="U344" s="1035">
        <v>95037</v>
      </c>
      <c r="V344" s="818">
        <v>61230</v>
      </c>
      <c r="W344" s="1025"/>
      <c r="X344" s="1030"/>
      <c r="Y344" s="694">
        <f t="shared" si="46"/>
        <v>0</v>
      </c>
      <c r="Z344" s="690"/>
      <c r="AA344" s="690"/>
      <c r="AB344" s="695">
        <f t="shared" si="47"/>
        <v>0</v>
      </c>
      <c r="AC344" s="1035"/>
      <c r="AD344" s="690"/>
      <c r="AE344" s="1025"/>
      <c r="AF344" s="1030"/>
      <c r="AG344" s="690"/>
      <c r="AH344" s="690"/>
      <c r="AI344" s="696">
        <f t="shared" si="48"/>
        <v>95037</v>
      </c>
      <c r="AJ344" s="697">
        <f t="shared" si="49"/>
        <v>61230</v>
      </c>
      <c r="AK344" s="698"/>
      <c r="AL344" s="698"/>
    </row>
    <row r="345" spans="1:38" s="700" customFormat="1" ht="12.75" customHeight="1">
      <c r="A345" s="686" t="s">
        <v>202</v>
      </c>
      <c r="B345" s="714" t="s">
        <v>421</v>
      </c>
      <c r="C345" s="717" t="s">
        <v>19</v>
      </c>
      <c r="D345" s="717"/>
      <c r="E345" s="708"/>
      <c r="F345" s="709"/>
      <c r="G345" s="1025"/>
      <c r="H345" s="690"/>
      <c r="I345" s="1030"/>
      <c r="J345" s="690"/>
      <c r="K345" s="1030"/>
      <c r="L345" s="690"/>
      <c r="M345" s="1025"/>
      <c r="N345" s="1030"/>
      <c r="O345" s="692">
        <f t="shared" si="42"/>
        <v>0</v>
      </c>
      <c r="P345" s="690"/>
      <c r="Q345" s="690"/>
      <c r="R345" s="691">
        <f t="shared" si="43"/>
        <v>0</v>
      </c>
      <c r="S345" s="692">
        <f t="shared" si="44"/>
        <v>0</v>
      </c>
      <c r="T345" s="693">
        <f t="shared" si="45"/>
        <v>0</v>
      </c>
      <c r="U345" s="1035"/>
      <c r="V345" s="690"/>
      <c r="W345" s="1025"/>
      <c r="X345" s="1030"/>
      <c r="Y345" s="694">
        <f t="shared" si="46"/>
        <v>0</v>
      </c>
      <c r="Z345" s="690"/>
      <c r="AA345" s="690"/>
      <c r="AB345" s="695">
        <f t="shared" si="47"/>
        <v>0</v>
      </c>
      <c r="AC345" s="1035"/>
      <c r="AD345" s="690"/>
      <c r="AE345" s="1025"/>
      <c r="AF345" s="1030"/>
      <c r="AG345" s="690"/>
      <c r="AH345" s="690"/>
      <c r="AI345" s="696">
        <f t="shared" si="48"/>
        <v>0</v>
      </c>
      <c r="AJ345" s="697">
        <f t="shared" si="49"/>
        <v>0</v>
      </c>
      <c r="AK345" s="698"/>
      <c r="AL345" s="698"/>
    </row>
    <row r="346" spans="1:38" s="700" customFormat="1" ht="12.75" customHeight="1">
      <c r="A346" s="686" t="s">
        <v>202</v>
      </c>
      <c r="B346" s="686" t="s">
        <v>420</v>
      </c>
      <c r="C346" s="712" t="s">
        <v>256</v>
      </c>
      <c r="D346" s="712"/>
      <c r="E346" s="708"/>
      <c r="F346" s="709"/>
      <c r="G346" s="1025"/>
      <c r="H346" s="690"/>
      <c r="I346" s="1030"/>
      <c r="J346" s="690"/>
      <c r="K346" s="1030"/>
      <c r="L346" s="690"/>
      <c r="M346" s="1025"/>
      <c r="N346" s="1030"/>
      <c r="O346" s="692">
        <f t="shared" si="42"/>
        <v>0</v>
      </c>
      <c r="P346" s="690"/>
      <c r="Q346" s="690"/>
      <c r="R346" s="691">
        <f t="shared" si="43"/>
        <v>0</v>
      </c>
      <c r="S346" s="692">
        <f t="shared" si="44"/>
        <v>0</v>
      </c>
      <c r="T346" s="693">
        <f t="shared" si="45"/>
        <v>0</v>
      </c>
      <c r="U346" s="1035"/>
      <c r="V346" s="690"/>
      <c r="W346" s="1025"/>
      <c r="X346" s="1030"/>
      <c r="Y346" s="694">
        <f t="shared" si="46"/>
        <v>0</v>
      </c>
      <c r="Z346" s="690"/>
      <c r="AA346" s="690"/>
      <c r="AB346" s="695">
        <f t="shared" si="47"/>
        <v>0</v>
      </c>
      <c r="AC346" s="1035"/>
      <c r="AD346" s="690"/>
      <c r="AE346" s="1025"/>
      <c r="AF346" s="1030"/>
      <c r="AG346" s="690"/>
      <c r="AH346" s="690"/>
      <c r="AI346" s="696">
        <f t="shared" si="48"/>
        <v>0</v>
      </c>
      <c r="AJ346" s="697">
        <f t="shared" si="49"/>
        <v>0</v>
      </c>
      <c r="AK346" s="698"/>
      <c r="AL346" s="698"/>
    </row>
    <row r="347" spans="1:38" s="700" customFormat="1" ht="12.75" customHeight="1">
      <c r="A347" s="686" t="s">
        <v>202</v>
      </c>
      <c r="B347" s="714" t="s">
        <v>380</v>
      </c>
      <c r="C347" s="713" t="s">
        <v>443</v>
      </c>
      <c r="D347" s="713"/>
      <c r="E347" s="708"/>
      <c r="F347" s="709"/>
      <c r="G347" s="1025"/>
      <c r="H347" s="690"/>
      <c r="I347" s="1030"/>
      <c r="J347" s="690"/>
      <c r="K347" s="1030"/>
      <c r="L347" s="690"/>
      <c r="M347" s="1025"/>
      <c r="N347" s="1030"/>
      <c r="O347" s="692">
        <f t="shared" si="42"/>
        <v>0</v>
      </c>
      <c r="P347" s="690"/>
      <c r="Q347" s="690"/>
      <c r="R347" s="691">
        <f t="shared" si="43"/>
        <v>0</v>
      </c>
      <c r="S347" s="692">
        <f t="shared" si="44"/>
        <v>0</v>
      </c>
      <c r="T347" s="693">
        <f t="shared" si="45"/>
        <v>0</v>
      </c>
      <c r="U347" s="1035"/>
      <c r="V347" s="690"/>
      <c r="W347" s="1025"/>
      <c r="X347" s="1030"/>
      <c r="Y347" s="694">
        <f t="shared" si="46"/>
        <v>0</v>
      </c>
      <c r="Z347" s="690"/>
      <c r="AA347" s="690"/>
      <c r="AB347" s="695">
        <f t="shared" si="47"/>
        <v>0</v>
      </c>
      <c r="AC347" s="1035"/>
      <c r="AD347" s="690"/>
      <c r="AE347" s="1025"/>
      <c r="AF347" s="1030"/>
      <c r="AG347" s="690"/>
      <c r="AH347" s="690"/>
      <c r="AI347" s="696">
        <f t="shared" si="48"/>
        <v>0</v>
      </c>
      <c r="AJ347" s="697">
        <f t="shared" si="49"/>
        <v>0</v>
      </c>
      <c r="AK347" s="698"/>
      <c r="AL347" s="698"/>
    </row>
    <row r="348" spans="1:38" s="700" customFormat="1" ht="12.75" customHeight="1">
      <c r="A348" s="686" t="s">
        <v>202</v>
      </c>
      <c r="B348" s="714" t="s">
        <v>381</v>
      </c>
      <c r="C348" s="713" t="s">
        <v>377</v>
      </c>
      <c r="D348" s="713"/>
      <c r="E348" s="708"/>
      <c r="F348" s="709"/>
      <c r="G348" s="1025"/>
      <c r="H348" s="690"/>
      <c r="I348" s="1030"/>
      <c r="J348" s="690"/>
      <c r="K348" s="1030"/>
      <c r="L348" s="690"/>
      <c r="M348" s="1025"/>
      <c r="N348" s="1030"/>
      <c r="O348" s="692">
        <f t="shared" si="42"/>
        <v>0</v>
      </c>
      <c r="P348" s="690"/>
      <c r="Q348" s="690"/>
      <c r="R348" s="691">
        <f t="shared" si="43"/>
        <v>0</v>
      </c>
      <c r="S348" s="692">
        <f t="shared" si="44"/>
        <v>0</v>
      </c>
      <c r="T348" s="693">
        <f t="shared" si="45"/>
        <v>0</v>
      </c>
      <c r="U348" s="1035">
        <v>112500</v>
      </c>
      <c r="V348" s="690">
        <v>112500</v>
      </c>
      <c r="W348" s="1025"/>
      <c r="X348" s="1030"/>
      <c r="Y348" s="694">
        <f t="shared" si="46"/>
        <v>0</v>
      </c>
      <c r="Z348" s="690"/>
      <c r="AA348" s="690"/>
      <c r="AB348" s="695">
        <f t="shared" si="47"/>
        <v>0</v>
      </c>
      <c r="AC348" s="1035"/>
      <c r="AD348" s="690"/>
      <c r="AE348" s="1025"/>
      <c r="AF348" s="1030"/>
      <c r="AG348" s="690"/>
      <c r="AH348" s="690"/>
      <c r="AI348" s="696">
        <f t="shared" si="48"/>
        <v>112500</v>
      </c>
      <c r="AJ348" s="697">
        <f t="shared" si="49"/>
        <v>112500</v>
      </c>
      <c r="AK348" s="698"/>
      <c r="AL348" s="698"/>
    </row>
    <row r="349" spans="1:38" s="700" customFormat="1" ht="12.75" customHeight="1">
      <c r="A349" s="686" t="s">
        <v>202</v>
      </c>
      <c r="B349" s="714" t="s">
        <v>422</v>
      </c>
      <c r="C349" s="717" t="s">
        <v>150</v>
      </c>
      <c r="D349" s="717"/>
      <c r="E349" s="708"/>
      <c r="F349" s="709"/>
      <c r="G349" s="1025"/>
      <c r="H349" s="690"/>
      <c r="I349" s="1030"/>
      <c r="J349" s="690"/>
      <c r="K349" s="1030"/>
      <c r="L349" s="690"/>
      <c r="M349" s="1025"/>
      <c r="N349" s="1030"/>
      <c r="O349" s="692">
        <f t="shared" si="42"/>
        <v>0</v>
      </c>
      <c r="P349" s="690"/>
      <c r="Q349" s="690"/>
      <c r="R349" s="691">
        <f t="shared" si="43"/>
        <v>0</v>
      </c>
      <c r="S349" s="692">
        <f t="shared" si="44"/>
        <v>0</v>
      </c>
      <c r="T349" s="693">
        <f t="shared" si="45"/>
        <v>0</v>
      </c>
      <c r="U349" s="1035"/>
      <c r="V349" s="690"/>
      <c r="W349" s="1025"/>
      <c r="X349" s="1030"/>
      <c r="Y349" s="694">
        <f t="shared" si="46"/>
        <v>0</v>
      </c>
      <c r="Z349" s="690"/>
      <c r="AA349" s="690"/>
      <c r="AB349" s="695">
        <f t="shared" si="47"/>
        <v>0</v>
      </c>
      <c r="AC349" s="1035"/>
      <c r="AD349" s="690"/>
      <c r="AE349" s="1025"/>
      <c r="AF349" s="1030"/>
      <c r="AG349" s="690"/>
      <c r="AH349" s="690"/>
      <c r="AI349" s="696">
        <f t="shared" si="48"/>
        <v>0</v>
      </c>
      <c r="AJ349" s="697">
        <f t="shared" si="49"/>
        <v>0</v>
      </c>
      <c r="AK349" s="698"/>
      <c r="AL349" s="698"/>
    </row>
    <row r="350" spans="1:38" s="700" customFormat="1" ht="12.75" customHeight="1">
      <c r="A350" s="686" t="s">
        <v>202</v>
      </c>
      <c r="B350" s="715" t="s">
        <v>422</v>
      </c>
      <c r="C350" s="712" t="s">
        <v>261</v>
      </c>
      <c r="D350" s="712"/>
      <c r="E350" s="708"/>
      <c r="F350" s="716"/>
      <c r="G350" s="1025"/>
      <c r="H350" s="690"/>
      <c r="I350" s="1030"/>
      <c r="J350" s="690"/>
      <c r="K350" s="1030"/>
      <c r="L350" s="690"/>
      <c r="M350" s="1025"/>
      <c r="N350" s="1030"/>
      <c r="O350" s="692">
        <f t="shared" si="42"/>
        <v>0</v>
      </c>
      <c r="P350" s="690"/>
      <c r="Q350" s="690"/>
      <c r="R350" s="691">
        <f t="shared" si="43"/>
        <v>0</v>
      </c>
      <c r="S350" s="692">
        <f t="shared" si="44"/>
        <v>0</v>
      </c>
      <c r="T350" s="693">
        <f t="shared" si="45"/>
        <v>0</v>
      </c>
      <c r="U350" s="1035"/>
      <c r="V350" s="690"/>
      <c r="W350" s="1025"/>
      <c r="X350" s="1030"/>
      <c r="Y350" s="694">
        <f t="shared" si="46"/>
        <v>0</v>
      </c>
      <c r="Z350" s="690"/>
      <c r="AA350" s="690"/>
      <c r="AB350" s="695">
        <f t="shared" si="47"/>
        <v>0</v>
      </c>
      <c r="AC350" s="1035"/>
      <c r="AD350" s="690"/>
      <c r="AE350" s="1025"/>
      <c r="AF350" s="1030"/>
      <c r="AG350" s="690"/>
      <c r="AH350" s="690"/>
      <c r="AI350" s="696">
        <f t="shared" si="48"/>
        <v>0</v>
      </c>
      <c r="AJ350" s="697">
        <f t="shared" si="49"/>
        <v>0</v>
      </c>
      <c r="AK350" s="698"/>
      <c r="AL350" s="698"/>
    </row>
    <row r="351" spans="1:38" s="700" customFormat="1" ht="12.75" customHeight="1">
      <c r="A351" s="686" t="s">
        <v>202</v>
      </c>
      <c r="B351" s="714" t="s">
        <v>382</v>
      </c>
      <c r="C351" s="713" t="s">
        <v>443</v>
      </c>
      <c r="D351" s="713"/>
      <c r="E351" s="708"/>
      <c r="F351" s="709"/>
      <c r="G351" s="1025"/>
      <c r="H351" s="690"/>
      <c r="I351" s="1030"/>
      <c r="J351" s="690"/>
      <c r="K351" s="1030"/>
      <c r="L351" s="690"/>
      <c r="M351" s="1025"/>
      <c r="N351" s="1030"/>
      <c r="O351" s="692">
        <f t="shared" si="42"/>
        <v>0</v>
      </c>
      <c r="P351" s="690"/>
      <c r="Q351" s="690"/>
      <c r="R351" s="691">
        <f t="shared" si="43"/>
        <v>0</v>
      </c>
      <c r="S351" s="692">
        <f t="shared" si="44"/>
        <v>0</v>
      </c>
      <c r="T351" s="693">
        <f t="shared" si="45"/>
        <v>0</v>
      </c>
      <c r="U351" s="1035"/>
      <c r="V351" s="690"/>
      <c r="W351" s="1025"/>
      <c r="X351" s="1030"/>
      <c r="Y351" s="694">
        <f t="shared" si="46"/>
        <v>0</v>
      </c>
      <c r="Z351" s="690"/>
      <c r="AA351" s="690"/>
      <c r="AB351" s="695">
        <f t="shared" si="47"/>
        <v>0</v>
      </c>
      <c r="AC351" s="1035"/>
      <c r="AD351" s="690"/>
      <c r="AE351" s="1025"/>
      <c r="AF351" s="1030"/>
      <c r="AG351" s="690"/>
      <c r="AH351" s="690"/>
      <c r="AI351" s="696">
        <f t="shared" si="48"/>
        <v>0</v>
      </c>
      <c r="AJ351" s="697">
        <f t="shared" si="49"/>
        <v>0</v>
      </c>
      <c r="AK351" s="698"/>
      <c r="AL351" s="698"/>
    </row>
    <row r="352" spans="1:38" s="700" customFormat="1" ht="12.75" customHeight="1">
      <c r="A352" s="686" t="s">
        <v>202</v>
      </c>
      <c r="B352" s="714" t="s">
        <v>383</v>
      </c>
      <c r="C352" s="713" t="s">
        <v>377</v>
      </c>
      <c r="D352" s="713"/>
      <c r="E352" s="708"/>
      <c r="F352" s="709"/>
      <c r="G352" s="1025"/>
      <c r="H352" s="690"/>
      <c r="I352" s="1030"/>
      <c r="J352" s="690"/>
      <c r="K352" s="1030"/>
      <c r="L352" s="690"/>
      <c r="M352" s="1025"/>
      <c r="N352" s="1030"/>
      <c r="O352" s="692">
        <f t="shared" si="42"/>
        <v>0</v>
      </c>
      <c r="P352" s="690"/>
      <c r="Q352" s="690"/>
      <c r="R352" s="691">
        <f t="shared" si="43"/>
        <v>0</v>
      </c>
      <c r="S352" s="692">
        <f t="shared" si="44"/>
        <v>0</v>
      </c>
      <c r="T352" s="693">
        <f t="shared" si="45"/>
        <v>0</v>
      </c>
      <c r="U352" s="1035">
        <v>2213292</v>
      </c>
      <c r="V352" s="818">
        <v>2175808</v>
      </c>
      <c r="W352" s="1025"/>
      <c r="X352" s="1030"/>
      <c r="Y352" s="694">
        <f t="shared" si="46"/>
        <v>0</v>
      </c>
      <c r="Z352" s="690"/>
      <c r="AA352" s="690"/>
      <c r="AB352" s="695">
        <f t="shared" si="47"/>
        <v>0</v>
      </c>
      <c r="AC352" s="1035"/>
      <c r="AD352" s="690"/>
      <c r="AE352" s="1025"/>
      <c r="AF352" s="1030"/>
      <c r="AG352" s="690"/>
      <c r="AH352" s="690"/>
      <c r="AI352" s="696">
        <f t="shared" si="48"/>
        <v>2213292</v>
      </c>
      <c r="AJ352" s="697">
        <f t="shared" si="49"/>
        <v>2175808</v>
      </c>
      <c r="AK352" s="698"/>
      <c r="AL352" s="698"/>
    </row>
    <row r="353" spans="1:36" s="700" customFormat="1" ht="12.75" customHeight="1">
      <c r="A353" s="718" t="s">
        <v>203</v>
      </c>
      <c r="B353" s="719" t="s">
        <v>392</v>
      </c>
      <c r="C353" s="720" t="s">
        <v>582</v>
      </c>
      <c r="D353" s="720"/>
      <c r="E353" s="721">
        <v>106397</v>
      </c>
      <c r="F353" s="722">
        <v>1</v>
      </c>
      <c r="G353" s="1025">
        <v>118602540</v>
      </c>
      <c r="H353" s="690">
        <v>120946912</v>
      </c>
      <c r="I353" s="1030"/>
      <c r="J353" s="690"/>
      <c r="K353" s="1030"/>
      <c r="L353" s="690"/>
      <c r="M353" s="1025">
        <v>131918432</v>
      </c>
      <c r="N353" s="1030"/>
      <c r="O353" s="692">
        <f t="shared" si="42"/>
        <v>131918432</v>
      </c>
      <c r="P353" s="690">
        <v>107384455</v>
      </c>
      <c r="Q353" s="690"/>
      <c r="R353" s="691">
        <f t="shared" si="43"/>
        <v>107384455</v>
      </c>
      <c r="S353" s="692">
        <f t="shared" si="44"/>
        <v>250520972</v>
      </c>
      <c r="T353" s="693">
        <f t="shared" si="45"/>
        <v>228331367</v>
      </c>
      <c r="U353" s="1035">
        <f>SUM(U248:U352)</f>
        <v>40098576</v>
      </c>
      <c r="V353" s="1035">
        <f>SUM(V248:V352)</f>
        <v>45945987</v>
      </c>
      <c r="W353" s="1025"/>
      <c r="X353" s="1030"/>
      <c r="Y353" s="694">
        <f t="shared" si="46"/>
        <v>0</v>
      </c>
      <c r="Z353" s="690"/>
      <c r="AA353" s="690"/>
      <c r="AB353" s="695">
        <f t="shared" si="47"/>
        <v>0</v>
      </c>
      <c r="AC353" s="1035"/>
      <c r="AD353" s="690"/>
      <c r="AE353" s="1025"/>
      <c r="AF353" s="1030"/>
      <c r="AG353" s="690"/>
      <c r="AH353" s="690"/>
      <c r="AI353" s="696">
        <f t="shared" si="48"/>
        <v>290619548</v>
      </c>
      <c r="AJ353" s="697">
        <f t="shared" si="49"/>
        <v>274277354</v>
      </c>
    </row>
    <row r="354" spans="1:36" s="700" customFormat="1" ht="12.75" customHeight="1">
      <c r="A354" s="719" t="s">
        <v>203</v>
      </c>
      <c r="B354" s="719" t="s">
        <v>404</v>
      </c>
      <c r="C354" s="723" t="s">
        <v>385</v>
      </c>
      <c r="D354" s="723"/>
      <c r="E354" s="721">
        <v>106397</v>
      </c>
      <c r="F354" s="722">
        <v>1</v>
      </c>
      <c r="G354" s="1025"/>
      <c r="H354" s="690"/>
      <c r="I354" s="1030"/>
      <c r="J354" s="690"/>
      <c r="K354" s="1030"/>
      <c r="L354" s="690"/>
      <c r="M354" s="1025"/>
      <c r="N354" s="1030"/>
      <c r="O354" s="692">
        <f t="shared" si="42"/>
        <v>0</v>
      </c>
      <c r="P354" s="690"/>
      <c r="Q354" s="690"/>
      <c r="R354" s="691">
        <f t="shared" si="43"/>
        <v>0</v>
      </c>
      <c r="S354" s="692">
        <f t="shared" si="44"/>
        <v>0</v>
      </c>
      <c r="T354" s="693">
        <f t="shared" si="45"/>
        <v>0</v>
      </c>
      <c r="U354" s="1035"/>
      <c r="V354" s="690"/>
      <c r="W354" s="1025"/>
      <c r="X354" s="1030"/>
      <c r="Y354" s="694">
        <f t="shared" si="46"/>
        <v>0</v>
      </c>
      <c r="Z354" s="690"/>
      <c r="AA354" s="690"/>
      <c r="AB354" s="695">
        <f t="shared" si="47"/>
        <v>0</v>
      </c>
      <c r="AC354" s="1035"/>
      <c r="AD354" s="690"/>
      <c r="AE354" s="1025"/>
      <c r="AF354" s="1030"/>
      <c r="AG354" s="690"/>
      <c r="AH354" s="690"/>
      <c r="AI354" s="696">
        <f t="shared" si="48"/>
        <v>0</v>
      </c>
      <c r="AJ354" s="697">
        <f t="shared" si="49"/>
        <v>0</v>
      </c>
    </row>
    <row r="355" spans="1:36" s="700" customFormat="1" ht="12.75" customHeight="1">
      <c r="A355" s="719" t="s">
        <v>203</v>
      </c>
      <c r="B355" s="719" t="s">
        <v>404</v>
      </c>
      <c r="C355" s="724" t="s">
        <v>583</v>
      </c>
      <c r="D355" s="724"/>
      <c r="E355" s="721">
        <v>106397</v>
      </c>
      <c r="F355" s="722">
        <v>1</v>
      </c>
      <c r="G355" s="1025"/>
      <c r="H355" s="690"/>
      <c r="I355" s="1030">
        <v>66495861</v>
      </c>
      <c r="J355" s="690">
        <v>67788504</v>
      </c>
      <c r="K355" s="1030"/>
      <c r="L355" s="690"/>
      <c r="M355" s="1025"/>
      <c r="N355" s="1030"/>
      <c r="O355" s="692">
        <f t="shared" si="42"/>
        <v>0</v>
      </c>
      <c r="P355" s="690"/>
      <c r="Q355" s="690"/>
      <c r="R355" s="691">
        <f t="shared" si="43"/>
        <v>0</v>
      </c>
      <c r="S355" s="692">
        <f t="shared" si="44"/>
        <v>66495861</v>
      </c>
      <c r="T355" s="693">
        <f t="shared" si="45"/>
        <v>67788504</v>
      </c>
      <c r="U355" s="1035"/>
      <c r="V355" s="690"/>
      <c r="W355" s="1025"/>
      <c r="X355" s="1030"/>
      <c r="Y355" s="694">
        <f t="shared" si="46"/>
        <v>0</v>
      </c>
      <c r="Z355" s="690"/>
      <c r="AA355" s="690"/>
      <c r="AB355" s="695">
        <f t="shared" si="47"/>
        <v>0</v>
      </c>
      <c r="AC355" s="1035"/>
      <c r="AD355" s="690"/>
      <c r="AE355" s="1025"/>
      <c r="AF355" s="1030"/>
      <c r="AG355" s="690"/>
      <c r="AH355" s="690"/>
      <c r="AI355" s="696">
        <f t="shared" si="48"/>
        <v>66495861</v>
      </c>
      <c r="AJ355" s="697">
        <f t="shared" si="49"/>
        <v>67788504</v>
      </c>
    </row>
    <row r="356" spans="1:36" s="700" customFormat="1" ht="12.75" customHeight="1">
      <c r="A356" s="719" t="s">
        <v>203</v>
      </c>
      <c r="B356" s="719" t="s">
        <v>406</v>
      </c>
      <c r="C356" s="724" t="s">
        <v>584</v>
      </c>
      <c r="D356" s="724"/>
      <c r="E356" s="721">
        <v>106397</v>
      </c>
      <c r="F356" s="722">
        <v>1</v>
      </c>
      <c r="G356" s="1025"/>
      <c r="H356" s="690"/>
      <c r="I356" s="1030">
        <v>2395720</v>
      </c>
      <c r="J356" s="690">
        <v>2447364</v>
      </c>
      <c r="K356" s="1030"/>
      <c r="L356" s="690"/>
      <c r="M356" s="1025"/>
      <c r="N356" s="1030"/>
      <c r="O356" s="692">
        <f t="shared" si="42"/>
        <v>0</v>
      </c>
      <c r="P356" s="690"/>
      <c r="Q356" s="690"/>
      <c r="R356" s="691">
        <f t="shared" si="43"/>
        <v>0</v>
      </c>
      <c r="S356" s="692">
        <f t="shared" si="44"/>
        <v>2395720</v>
      </c>
      <c r="T356" s="693">
        <f t="shared" si="45"/>
        <v>2447364</v>
      </c>
      <c r="U356" s="1035"/>
      <c r="V356" s="690"/>
      <c r="W356" s="1025"/>
      <c r="X356" s="1030"/>
      <c r="Y356" s="694">
        <f t="shared" si="46"/>
        <v>0</v>
      </c>
      <c r="Z356" s="690"/>
      <c r="AA356" s="690"/>
      <c r="AB356" s="695">
        <f t="shared" si="47"/>
        <v>0</v>
      </c>
      <c r="AC356" s="1035"/>
      <c r="AD356" s="690"/>
      <c r="AE356" s="1025"/>
      <c r="AF356" s="1030"/>
      <c r="AG356" s="690"/>
      <c r="AH356" s="690"/>
      <c r="AI356" s="696">
        <f t="shared" si="48"/>
        <v>2395720</v>
      </c>
      <c r="AJ356" s="697">
        <f t="shared" si="49"/>
        <v>2447364</v>
      </c>
    </row>
    <row r="357" spans="1:36" s="700" customFormat="1" ht="12.75" customHeight="1">
      <c r="A357" s="719" t="s">
        <v>203</v>
      </c>
      <c r="B357" s="719" t="s">
        <v>406</v>
      </c>
      <c r="C357" s="724" t="s">
        <v>585</v>
      </c>
      <c r="D357" s="724"/>
      <c r="E357" s="721">
        <v>106397</v>
      </c>
      <c r="F357" s="722">
        <v>1</v>
      </c>
      <c r="G357" s="1025"/>
      <c r="H357" s="690"/>
      <c r="I357" s="1030">
        <v>1779832</v>
      </c>
      <c r="J357" s="690">
        <v>1825769</v>
      </c>
      <c r="K357" s="1030"/>
      <c r="L357" s="690"/>
      <c r="M357" s="1025"/>
      <c r="N357" s="1030"/>
      <c r="O357" s="692">
        <f t="shared" si="42"/>
        <v>0</v>
      </c>
      <c r="P357" s="690"/>
      <c r="Q357" s="690"/>
      <c r="R357" s="691">
        <f t="shared" si="43"/>
        <v>0</v>
      </c>
      <c r="S357" s="692">
        <f t="shared" si="44"/>
        <v>1779832</v>
      </c>
      <c r="T357" s="693">
        <f t="shared" si="45"/>
        <v>1825769</v>
      </c>
      <c r="U357" s="1035"/>
      <c r="V357" s="690"/>
      <c r="W357" s="1025"/>
      <c r="X357" s="1030"/>
      <c r="Y357" s="694">
        <f t="shared" si="46"/>
        <v>0</v>
      </c>
      <c r="Z357" s="690"/>
      <c r="AA357" s="690"/>
      <c r="AB357" s="695">
        <f t="shared" si="47"/>
        <v>0</v>
      </c>
      <c r="AC357" s="1035"/>
      <c r="AD357" s="690"/>
      <c r="AE357" s="1025"/>
      <c r="AF357" s="1030"/>
      <c r="AG357" s="690"/>
      <c r="AH357" s="690"/>
      <c r="AI357" s="696">
        <f t="shared" si="48"/>
        <v>1779832</v>
      </c>
      <c r="AJ357" s="697">
        <f t="shared" si="49"/>
        <v>1825769</v>
      </c>
    </row>
    <row r="358" spans="1:36" s="700" customFormat="1" ht="12.75" customHeight="1">
      <c r="A358" s="719" t="s">
        <v>203</v>
      </c>
      <c r="B358" s="719" t="s">
        <v>394</v>
      </c>
      <c r="C358" s="723" t="s">
        <v>451</v>
      </c>
      <c r="D358" s="723"/>
      <c r="E358" s="721">
        <v>106397</v>
      </c>
      <c r="F358" s="722">
        <v>1</v>
      </c>
      <c r="G358" s="1025"/>
      <c r="H358" s="690"/>
      <c r="I358" s="1030"/>
      <c r="J358" s="690"/>
      <c r="K358" s="1030"/>
      <c r="L358" s="690"/>
      <c r="M358" s="1025"/>
      <c r="N358" s="1030"/>
      <c r="O358" s="692">
        <f t="shared" si="42"/>
        <v>0</v>
      </c>
      <c r="P358" s="690"/>
      <c r="Q358" s="690"/>
      <c r="R358" s="691">
        <f t="shared" si="43"/>
        <v>0</v>
      </c>
      <c r="S358" s="692">
        <f t="shared" si="44"/>
        <v>0</v>
      </c>
      <c r="T358" s="693">
        <f t="shared" si="45"/>
        <v>0</v>
      </c>
      <c r="U358" s="1035"/>
      <c r="V358" s="690"/>
      <c r="W358" s="1025"/>
      <c r="X358" s="1030"/>
      <c r="Y358" s="694">
        <f t="shared" si="46"/>
        <v>0</v>
      </c>
      <c r="Z358" s="690"/>
      <c r="AA358" s="690"/>
      <c r="AB358" s="695">
        <f t="shared" si="47"/>
        <v>0</v>
      </c>
      <c r="AC358" s="1035"/>
      <c r="AD358" s="690"/>
      <c r="AE358" s="1025"/>
      <c r="AF358" s="1030"/>
      <c r="AG358" s="690"/>
      <c r="AH358" s="690"/>
      <c r="AI358" s="696">
        <f t="shared" si="48"/>
        <v>0</v>
      </c>
      <c r="AJ358" s="697">
        <f t="shared" si="49"/>
        <v>0</v>
      </c>
    </row>
    <row r="359" spans="1:36" s="700" customFormat="1" ht="12.75" customHeight="1">
      <c r="A359" s="719" t="s">
        <v>203</v>
      </c>
      <c r="B359" s="719" t="s">
        <v>394</v>
      </c>
      <c r="C359" s="724" t="s">
        <v>586</v>
      </c>
      <c r="D359" s="724"/>
      <c r="E359" s="721"/>
      <c r="F359" s="722">
        <v>1</v>
      </c>
      <c r="G359" s="1025"/>
      <c r="H359" s="690"/>
      <c r="I359" s="1030">
        <v>8045714</v>
      </c>
      <c r="J359" s="690">
        <v>7694467</v>
      </c>
      <c r="K359" s="1030"/>
      <c r="L359" s="690"/>
      <c r="M359" s="1025"/>
      <c r="N359" s="1030"/>
      <c r="O359" s="692">
        <f t="shared" si="42"/>
        <v>0</v>
      </c>
      <c r="P359" s="690"/>
      <c r="Q359" s="690"/>
      <c r="R359" s="691">
        <f t="shared" si="43"/>
        <v>0</v>
      </c>
      <c r="S359" s="692">
        <f t="shared" si="44"/>
        <v>8045714</v>
      </c>
      <c r="T359" s="693">
        <f t="shared" si="45"/>
        <v>7694467</v>
      </c>
      <c r="U359" s="1035"/>
      <c r="V359" s="690"/>
      <c r="W359" s="1025"/>
      <c r="X359" s="1030"/>
      <c r="Y359" s="694">
        <f t="shared" si="46"/>
        <v>0</v>
      </c>
      <c r="Z359" s="690"/>
      <c r="AA359" s="690"/>
      <c r="AB359" s="695">
        <f t="shared" si="47"/>
        <v>0</v>
      </c>
      <c r="AC359" s="1035"/>
      <c r="AD359" s="690"/>
      <c r="AE359" s="1025"/>
      <c r="AF359" s="1030"/>
      <c r="AG359" s="690"/>
      <c r="AH359" s="690"/>
      <c r="AI359" s="696">
        <f t="shared" si="48"/>
        <v>8045714</v>
      </c>
      <c r="AJ359" s="697">
        <f t="shared" si="49"/>
        <v>7694467</v>
      </c>
    </row>
    <row r="360" spans="1:36" s="700" customFormat="1" ht="12.75" customHeight="1">
      <c r="A360" s="718" t="s">
        <v>203</v>
      </c>
      <c r="B360" s="719" t="s">
        <v>392</v>
      </c>
      <c r="C360" s="724" t="s">
        <v>587</v>
      </c>
      <c r="D360" s="724"/>
      <c r="E360" s="721">
        <v>106397</v>
      </c>
      <c r="F360" s="722">
        <v>1</v>
      </c>
      <c r="G360" s="1025"/>
      <c r="H360" s="690"/>
      <c r="I360" s="1030">
        <v>2237817</v>
      </c>
      <c r="J360" s="690">
        <v>2295575</v>
      </c>
      <c r="K360" s="1030"/>
      <c r="L360" s="690"/>
      <c r="M360" s="1025">
        <v>462600</v>
      </c>
      <c r="N360" s="1030"/>
      <c r="O360" s="692">
        <f t="shared" si="42"/>
        <v>462600</v>
      </c>
      <c r="P360" s="690">
        <v>479298</v>
      </c>
      <c r="Q360" s="690"/>
      <c r="R360" s="691">
        <f t="shared" si="43"/>
        <v>479298</v>
      </c>
      <c r="S360" s="692">
        <f t="shared" si="44"/>
        <v>2700417</v>
      </c>
      <c r="T360" s="693">
        <f t="shared" si="45"/>
        <v>2774873</v>
      </c>
      <c r="U360" s="1035"/>
      <c r="V360" s="690"/>
      <c r="W360" s="1025"/>
      <c r="X360" s="1030"/>
      <c r="Y360" s="694">
        <f t="shared" si="46"/>
        <v>0</v>
      </c>
      <c r="Z360" s="690"/>
      <c r="AA360" s="690"/>
      <c r="AB360" s="695">
        <f t="shared" si="47"/>
        <v>0</v>
      </c>
      <c r="AC360" s="1035"/>
      <c r="AD360" s="690"/>
      <c r="AE360" s="1025"/>
      <c r="AF360" s="1030"/>
      <c r="AG360" s="690"/>
      <c r="AH360" s="690"/>
      <c r="AI360" s="696">
        <f t="shared" si="48"/>
        <v>2700417</v>
      </c>
      <c r="AJ360" s="697">
        <f t="shared" si="49"/>
        <v>2774873</v>
      </c>
    </row>
    <row r="361" spans="1:36" s="700" customFormat="1" ht="12.75" customHeight="1">
      <c r="A361" s="719" t="s">
        <v>203</v>
      </c>
      <c r="B361" s="719" t="s">
        <v>392</v>
      </c>
      <c r="C361" s="720" t="s">
        <v>588</v>
      </c>
      <c r="D361" s="720"/>
      <c r="E361" s="721">
        <v>106458</v>
      </c>
      <c r="F361" s="722">
        <v>3</v>
      </c>
      <c r="G361" s="1025">
        <v>58028329</v>
      </c>
      <c r="H361" s="690">
        <v>59054066</v>
      </c>
      <c r="I361" s="1030"/>
      <c r="J361" s="690"/>
      <c r="K361" s="1030"/>
      <c r="L361" s="690"/>
      <c r="M361" s="1025">
        <v>73194110</v>
      </c>
      <c r="N361" s="1030"/>
      <c r="O361" s="692">
        <f t="shared" si="42"/>
        <v>73194110</v>
      </c>
      <c r="P361" s="690">
        <v>66342947</v>
      </c>
      <c r="Q361" s="690"/>
      <c r="R361" s="691">
        <f t="shared" si="43"/>
        <v>66342947</v>
      </c>
      <c r="S361" s="692">
        <f t="shared" si="44"/>
        <v>131222439</v>
      </c>
      <c r="T361" s="693">
        <f t="shared" si="45"/>
        <v>125397013</v>
      </c>
      <c r="U361" s="1035"/>
      <c r="V361" s="690"/>
      <c r="W361" s="1025"/>
      <c r="X361" s="1030"/>
      <c r="Y361" s="694">
        <f t="shared" si="46"/>
        <v>0</v>
      </c>
      <c r="Z361" s="690"/>
      <c r="AA361" s="690"/>
      <c r="AB361" s="695">
        <f t="shared" si="47"/>
        <v>0</v>
      </c>
      <c r="AC361" s="1035"/>
      <c r="AD361" s="690"/>
      <c r="AE361" s="1025"/>
      <c r="AF361" s="1030"/>
      <c r="AG361" s="690"/>
      <c r="AH361" s="690"/>
      <c r="AI361" s="696">
        <f t="shared" si="48"/>
        <v>131222439</v>
      </c>
      <c r="AJ361" s="697">
        <f t="shared" si="49"/>
        <v>125397013</v>
      </c>
    </row>
    <row r="362" spans="1:36" s="700" customFormat="1" ht="12.75" customHeight="1">
      <c r="A362" s="719" t="s">
        <v>203</v>
      </c>
      <c r="B362" s="719" t="s">
        <v>394</v>
      </c>
      <c r="C362" s="723" t="s">
        <v>451</v>
      </c>
      <c r="D362" s="723"/>
      <c r="E362" s="721">
        <v>106458</v>
      </c>
      <c r="F362" s="722">
        <v>3</v>
      </c>
      <c r="G362" s="1025"/>
      <c r="H362" s="690"/>
      <c r="I362" s="1030"/>
      <c r="J362" s="690"/>
      <c r="K362" s="1030"/>
      <c r="L362" s="690"/>
      <c r="M362" s="1025"/>
      <c r="N362" s="1030"/>
      <c r="O362" s="692">
        <f t="shared" si="42"/>
        <v>0</v>
      </c>
      <c r="P362" s="690"/>
      <c r="Q362" s="690"/>
      <c r="R362" s="691">
        <f t="shared" si="43"/>
        <v>0</v>
      </c>
      <c r="S362" s="692">
        <f t="shared" si="44"/>
        <v>0</v>
      </c>
      <c r="T362" s="693">
        <f t="shared" si="45"/>
        <v>0</v>
      </c>
      <c r="U362" s="1035"/>
      <c r="V362" s="690"/>
      <c r="W362" s="1025"/>
      <c r="X362" s="1030"/>
      <c r="Y362" s="694">
        <f t="shared" si="46"/>
        <v>0</v>
      </c>
      <c r="Z362" s="690"/>
      <c r="AA362" s="690"/>
      <c r="AB362" s="695">
        <f t="shared" si="47"/>
        <v>0</v>
      </c>
      <c r="AC362" s="1035"/>
      <c r="AD362" s="690"/>
      <c r="AE362" s="1025"/>
      <c r="AF362" s="1030"/>
      <c r="AG362" s="690"/>
      <c r="AH362" s="690"/>
      <c r="AI362" s="696">
        <f t="shared" si="48"/>
        <v>0</v>
      </c>
      <c r="AJ362" s="697">
        <f t="shared" si="49"/>
        <v>0</v>
      </c>
    </row>
    <row r="363" spans="1:36" s="700" customFormat="1" ht="12.75" customHeight="1">
      <c r="A363" s="719" t="s">
        <v>203</v>
      </c>
      <c r="B363" s="719" t="s">
        <v>392</v>
      </c>
      <c r="C363" s="720" t="s">
        <v>589</v>
      </c>
      <c r="D363" s="720"/>
      <c r="E363" s="721">
        <v>106245</v>
      </c>
      <c r="F363" s="722">
        <v>3</v>
      </c>
      <c r="G363" s="1025">
        <v>59932420</v>
      </c>
      <c r="H363" s="690">
        <v>61063662</v>
      </c>
      <c r="I363" s="1030"/>
      <c r="J363" s="690"/>
      <c r="K363" s="1030"/>
      <c r="L363" s="690"/>
      <c r="M363" s="1025">
        <v>65238119</v>
      </c>
      <c r="N363" s="1030"/>
      <c r="O363" s="692">
        <f t="shared" si="42"/>
        <v>65238119</v>
      </c>
      <c r="P363" s="690">
        <v>70604406</v>
      </c>
      <c r="Q363" s="690"/>
      <c r="R363" s="691">
        <f t="shared" si="43"/>
        <v>70604406</v>
      </c>
      <c r="S363" s="692">
        <f t="shared" si="44"/>
        <v>125170539</v>
      </c>
      <c r="T363" s="693">
        <f t="shared" si="45"/>
        <v>131668068</v>
      </c>
      <c r="U363" s="1035"/>
      <c r="V363" s="690"/>
      <c r="W363" s="1025"/>
      <c r="X363" s="1030"/>
      <c r="Y363" s="694">
        <f t="shared" si="46"/>
        <v>0</v>
      </c>
      <c r="Z363" s="690"/>
      <c r="AA363" s="690"/>
      <c r="AB363" s="695">
        <f t="shared" si="47"/>
        <v>0</v>
      </c>
      <c r="AC363" s="1035"/>
      <c r="AD363" s="690"/>
      <c r="AE363" s="1025"/>
      <c r="AF363" s="1030"/>
      <c r="AG363" s="690"/>
      <c r="AH363" s="690"/>
      <c r="AI363" s="696">
        <f t="shared" si="48"/>
        <v>125170539</v>
      </c>
      <c r="AJ363" s="697">
        <f t="shared" si="49"/>
        <v>131668068</v>
      </c>
    </row>
    <row r="364" spans="1:36" s="700" customFormat="1" ht="12.75" customHeight="1">
      <c r="A364" s="719" t="s">
        <v>203</v>
      </c>
      <c r="B364" s="719" t="s">
        <v>394</v>
      </c>
      <c r="C364" s="723" t="s">
        <v>451</v>
      </c>
      <c r="D364" s="723"/>
      <c r="E364" s="721">
        <v>106245</v>
      </c>
      <c r="F364" s="722">
        <v>3</v>
      </c>
      <c r="G364" s="1025"/>
      <c r="H364" s="690"/>
      <c r="I364" s="1030"/>
      <c r="J364" s="690"/>
      <c r="K364" s="1030"/>
      <c r="L364" s="690"/>
      <c r="M364" s="1025"/>
      <c r="N364" s="1030"/>
      <c r="O364" s="692">
        <f t="shared" si="42"/>
        <v>0</v>
      </c>
      <c r="P364" s="690"/>
      <c r="Q364" s="690"/>
      <c r="R364" s="691">
        <f t="shared" si="43"/>
        <v>0</v>
      </c>
      <c r="S364" s="692">
        <f t="shared" si="44"/>
        <v>0</v>
      </c>
      <c r="T364" s="693">
        <f t="shared" si="45"/>
        <v>0</v>
      </c>
      <c r="U364" s="1035"/>
      <c r="V364" s="690"/>
      <c r="W364" s="1025"/>
      <c r="X364" s="1030"/>
      <c r="Y364" s="694">
        <f t="shared" si="46"/>
        <v>0</v>
      </c>
      <c r="Z364" s="690"/>
      <c r="AA364" s="690"/>
      <c r="AB364" s="695">
        <f t="shared" si="47"/>
        <v>0</v>
      </c>
      <c r="AC364" s="1035"/>
      <c r="AD364" s="690"/>
      <c r="AE364" s="1025"/>
      <c r="AF364" s="1030"/>
      <c r="AG364" s="690"/>
      <c r="AH364" s="690"/>
      <c r="AI364" s="696">
        <f t="shared" si="48"/>
        <v>0</v>
      </c>
      <c r="AJ364" s="697">
        <f t="shared" si="49"/>
        <v>0</v>
      </c>
    </row>
    <row r="365" spans="1:36" s="700" customFormat="1" ht="12.75" customHeight="1">
      <c r="A365" s="719" t="s">
        <v>203</v>
      </c>
      <c r="B365" s="719" t="s">
        <v>394</v>
      </c>
      <c r="C365" s="724" t="s">
        <v>590</v>
      </c>
      <c r="D365" s="724"/>
      <c r="E365" s="721">
        <v>106245</v>
      </c>
      <c r="F365" s="722">
        <v>3</v>
      </c>
      <c r="G365" s="1025"/>
      <c r="H365" s="690"/>
      <c r="I365" s="1030">
        <v>3498617</v>
      </c>
      <c r="J365" s="690">
        <v>3588916</v>
      </c>
      <c r="K365" s="1030"/>
      <c r="L365" s="690"/>
      <c r="M365" s="1025"/>
      <c r="N365" s="1030"/>
      <c r="O365" s="692">
        <f t="shared" si="42"/>
        <v>0</v>
      </c>
      <c r="P365" s="690"/>
      <c r="Q365" s="690"/>
      <c r="R365" s="691">
        <f t="shared" si="43"/>
        <v>0</v>
      </c>
      <c r="S365" s="692">
        <f t="shared" si="44"/>
        <v>3498617</v>
      </c>
      <c r="T365" s="693">
        <f t="shared" si="45"/>
        <v>3588916</v>
      </c>
      <c r="U365" s="1035"/>
      <c r="V365" s="690"/>
      <c r="W365" s="1025"/>
      <c r="X365" s="1030"/>
      <c r="Y365" s="694">
        <f t="shared" si="46"/>
        <v>0</v>
      </c>
      <c r="Z365" s="690"/>
      <c r="AA365" s="690"/>
      <c r="AB365" s="695">
        <f t="shared" si="47"/>
        <v>0</v>
      </c>
      <c r="AC365" s="1035"/>
      <c r="AD365" s="690"/>
      <c r="AE365" s="1025"/>
      <c r="AF365" s="1030"/>
      <c r="AG365" s="690"/>
      <c r="AH365" s="690"/>
      <c r="AI365" s="696">
        <f t="shared" si="48"/>
        <v>3498617</v>
      </c>
      <c r="AJ365" s="697">
        <f t="shared" si="49"/>
        <v>3588916</v>
      </c>
    </row>
    <row r="366" spans="1:36" s="700" customFormat="1" ht="12.75" customHeight="1">
      <c r="A366" s="719" t="s">
        <v>203</v>
      </c>
      <c r="B366" s="719" t="s">
        <v>392</v>
      </c>
      <c r="C366" s="720" t="s">
        <v>591</v>
      </c>
      <c r="D366" s="720"/>
      <c r="E366" s="721">
        <v>106704</v>
      </c>
      <c r="F366" s="722">
        <v>3</v>
      </c>
      <c r="G366" s="1025">
        <v>55150546</v>
      </c>
      <c r="H366" s="690">
        <v>56213798</v>
      </c>
      <c r="I366" s="1030"/>
      <c r="J366" s="690"/>
      <c r="K366" s="1030"/>
      <c r="L366" s="690"/>
      <c r="M366" s="1025">
        <v>68479631.370000005</v>
      </c>
      <c r="N366" s="1030"/>
      <c r="O366" s="692">
        <f t="shared" si="42"/>
        <v>68479631.370000005</v>
      </c>
      <c r="P366" s="690">
        <v>66830470</v>
      </c>
      <c r="Q366" s="690"/>
      <c r="R366" s="691">
        <f t="shared" si="43"/>
        <v>66830470</v>
      </c>
      <c r="S366" s="692">
        <f t="shared" si="44"/>
        <v>123630177.37</v>
      </c>
      <c r="T366" s="693">
        <f t="shared" si="45"/>
        <v>123044268</v>
      </c>
      <c r="U366" s="1035"/>
      <c r="V366" s="690"/>
      <c r="W366" s="1025"/>
      <c r="X366" s="1030"/>
      <c r="Y366" s="694">
        <f t="shared" si="46"/>
        <v>0</v>
      </c>
      <c r="Z366" s="690"/>
      <c r="AA366" s="690"/>
      <c r="AB366" s="695">
        <f t="shared" si="47"/>
        <v>0</v>
      </c>
      <c r="AC366" s="1035"/>
      <c r="AD366" s="690"/>
      <c r="AE366" s="1025"/>
      <c r="AF366" s="1030"/>
      <c r="AG366" s="690"/>
      <c r="AH366" s="690"/>
      <c r="AI366" s="696">
        <f t="shared" si="48"/>
        <v>123630177.37</v>
      </c>
      <c r="AJ366" s="697">
        <f t="shared" si="49"/>
        <v>123044268</v>
      </c>
    </row>
    <row r="367" spans="1:36" s="700" customFormat="1" ht="12.75" customHeight="1">
      <c r="A367" s="719" t="s">
        <v>203</v>
      </c>
      <c r="B367" s="719" t="s">
        <v>392</v>
      </c>
      <c r="C367" s="725" t="s">
        <v>1905</v>
      </c>
      <c r="D367" s="1045" t="s">
        <v>1897</v>
      </c>
      <c r="E367" s="721">
        <v>106467</v>
      </c>
      <c r="F367" s="722">
        <v>4</v>
      </c>
      <c r="G367" s="1025">
        <v>30208099</v>
      </c>
      <c r="H367" s="690">
        <v>30829562</v>
      </c>
      <c r="I367" s="1030"/>
      <c r="J367" s="690"/>
      <c r="K367" s="1030"/>
      <c r="L367" s="690"/>
      <c r="M367" s="1025">
        <v>37941465</v>
      </c>
      <c r="N367" s="1030"/>
      <c r="O367" s="692">
        <f t="shared" si="42"/>
        <v>37941465</v>
      </c>
      <c r="P367" s="690">
        <v>37045510</v>
      </c>
      <c r="Q367" s="690"/>
      <c r="R367" s="691">
        <f t="shared" si="43"/>
        <v>37045510</v>
      </c>
      <c r="S367" s="692">
        <f t="shared" si="44"/>
        <v>68149564</v>
      </c>
      <c r="T367" s="693">
        <f t="shared" si="45"/>
        <v>67875072</v>
      </c>
      <c r="U367" s="1035"/>
      <c r="V367" s="690"/>
      <c r="W367" s="1025"/>
      <c r="X367" s="1030"/>
      <c r="Y367" s="694">
        <f t="shared" si="46"/>
        <v>0</v>
      </c>
      <c r="Z367" s="690"/>
      <c r="AA367" s="690"/>
      <c r="AB367" s="695">
        <f t="shared" si="47"/>
        <v>0</v>
      </c>
      <c r="AC367" s="1035"/>
      <c r="AD367" s="690"/>
      <c r="AE367" s="1025"/>
      <c r="AF367" s="1030"/>
      <c r="AG367" s="690"/>
      <c r="AH367" s="690"/>
      <c r="AI367" s="696">
        <f t="shared" si="48"/>
        <v>68149564</v>
      </c>
      <c r="AJ367" s="697">
        <f t="shared" si="49"/>
        <v>67875072</v>
      </c>
    </row>
    <row r="368" spans="1:36" s="700" customFormat="1" ht="12.75" customHeight="1">
      <c r="A368" s="719" t="s">
        <v>203</v>
      </c>
      <c r="B368" s="719" t="s">
        <v>394</v>
      </c>
      <c r="C368" s="723" t="s">
        <v>451</v>
      </c>
      <c r="D368" s="723"/>
      <c r="E368" s="721">
        <v>106467</v>
      </c>
      <c r="F368" s="722">
        <v>4</v>
      </c>
      <c r="G368" s="1025"/>
      <c r="H368" s="690"/>
      <c r="I368" s="1030"/>
      <c r="J368" s="690"/>
      <c r="K368" s="1030"/>
      <c r="L368" s="690"/>
      <c r="M368" s="1025"/>
      <c r="N368" s="1030"/>
      <c r="O368" s="692">
        <f t="shared" si="42"/>
        <v>0</v>
      </c>
      <c r="P368" s="690"/>
      <c r="Q368" s="690"/>
      <c r="R368" s="691">
        <f t="shared" si="43"/>
        <v>0</v>
      </c>
      <c r="S368" s="692">
        <f t="shared" si="44"/>
        <v>0</v>
      </c>
      <c r="T368" s="693">
        <f t="shared" si="45"/>
        <v>0</v>
      </c>
      <c r="U368" s="1035"/>
      <c r="V368" s="690"/>
      <c r="W368" s="1025"/>
      <c r="X368" s="1030"/>
      <c r="Y368" s="694">
        <f t="shared" si="46"/>
        <v>0</v>
      </c>
      <c r="Z368" s="690"/>
      <c r="AA368" s="690"/>
      <c r="AB368" s="695">
        <f t="shared" si="47"/>
        <v>0</v>
      </c>
      <c r="AC368" s="1035"/>
      <c r="AD368" s="690"/>
      <c r="AE368" s="1025"/>
      <c r="AF368" s="1030"/>
      <c r="AG368" s="690"/>
      <c r="AH368" s="690"/>
      <c r="AI368" s="696">
        <f t="shared" si="48"/>
        <v>0</v>
      </c>
      <c r="AJ368" s="697">
        <f t="shared" si="49"/>
        <v>0</v>
      </c>
    </row>
    <row r="369" spans="1:36" s="700" customFormat="1" ht="12.75" customHeight="1">
      <c r="A369" s="719" t="s">
        <v>203</v>
      </c>
      <c r="B369" s="719" t="s">
        <v>394</v>
      </c>
      <c r="C369" s="724" t="s">
        <v>592</v>
      </c>
      <c r="D369" s="724"/>
      <c r="E369" s="721">
        <v>106467</v>
      </c>
      <c r="F369" s="722">
        <v>4</v>
      </c>
      <c r="G369" s="1025"/>
      <c r="H369" s="690"/>
      <c r="I369" s="1030">
        <v>3019214</v>
      </c>
      <c r="J369" s="690">
        <v>3156908</v>
      </c>
      <c r="K369" s="1030"/>
      <c r="L369" s="690"/>
      <c r="M369" s="1025">
        <v>1784893</v>
      </c>
      <c r="N369" s="1030"/>
      <c r="O369" s="692">
        <f t="shared" si="42"/>
        <v>1784893</v>
      </c>
      <c r="P369" s="690">
        <v>1571187</v>
      </c>
      <c r="Q369" s="690"/>
      <c r="R369" s="691">
        <f t="shared" si="43"/>
        <v>1571187</v>
      </c>
      <c r="S369" s="692">
        <f t="shared" si="44"/>
        <v>4804107</v>
      </c>
      <c r="T369" s="693">
        <f t="shared" si="45"/>
        <v>4728095</v>
      </c>
      <c r="U369" s="1035"/>
      <c r="V369" s="690"/>
      <c r="W369" s="1025"/>
      <c r="X369" s="1030"/>
      <c r="Y369" s="694">
        <f t="shared" si="46"/>
        <v>0</v>
      </c>
      <c r="Z369" s="690"/>
      <c r="AA369" s="690"/>
      <c r="AB369" s="695">
        <f t="shared" si="47"/>
        <v>0</v>
      </c>
      <c r="AC369" s="1035"/>
      <c r="AD369" s="690"/>
      <c r="AE369" s="1025"/>
      <c r="AF369" s="1030"/>
      <c r="AG369" s="690"/>
      <c r="AH369" s="690"/>
      <c r="AI369" s="696">
        <f t="shared" si="48"/>
        <v>4804107</v>
      </c>
      <c r="AJ369" s="697">
        <f t="shared" si="49"/>
        <v>4728095</v>
      </c>
    </row>
    <row r="370" spans="1:36" s="700" customFormat="1" ht="12.75" customHeight="1">
      <c r="A370" s="719" t="s">
        <v>203</v>
      </c>
      <c r="B370" s="719" t="s">
        <v>392</v>
      </c>
      <c r="C370" s="720" t="s">
        <v>593</v>
      </c>
      <c r="D370" s="720"/>
      <c r="E370" s="721">
        <v>107071</v>
      </c>
      <c r="F370" s="722">
        <v>4</v>
      </c>
      <c r="G370" s="1025">
        <v>20075962</v>
      </c>
      <c r="H370" s="690">
        <v>20430463</v>
      </c>
      <c r="I370" s="1030"/>
      <c r="J370" s="690"/>
      <c r="K370" s="1030"/>
      <c r="L370" s="690"/>
      <c r="M370" s="1025">
        <v>21456177</v>
      </c>
      <c r="N370" s="1030"/>
      <c r="O370" s="692">
        <f t="shared" si="42"/>
        <v>21456177</v>
      </c>
      <c r="P370" s="690">
        <v>22167360</v>
      </c>
      <c r="Q370" s="690"/>
      <c r="R370" s="691">
        <f t="shared" si="43"/>
        <v>22167360</v>
      </c>
      <c r="S370" s="692">
        <f t="shared" si="44"/>
        <v>41532139</v>
      </c>
      <c r="T370" s="693">
        <f t="shared" si="45"/>
        <v>42597823</v>
      </c>
      <c r="U370" s="1035"/>
      <c r="V370" s="690"/>
      <c r="W370" s="1025"/>
      <c r="X370" s="1030"/>
      <c r="Y370" s="694">
        <f t="shared" si="46"/>
        <v>0</v>
      </c>
      <c r="Z370" s="690"/>
      <c r="AA370" s="690"/>
      <c r="AB370" s="695">
        <f t="shared" si="47"/>
        <v>0</v>
      </c>
      <c r="AC370" s="1035"/>
      <c r="AD370" s="690"/>
      <c r="AE370" s="1025"/>
      <c r="AF370" s="1030"/>
      <c r="AG370" s="690"/>
      <c r="AH370" s="690"/>
      <c r="AI370" s="696">
        <f t="shared" si="48"/>
        <v>41532139</v>
      </c>
      <c r="AJ370" s="697">
        <f t="shared" si="49"/>
        <v>42597823</v>
      </c>
    </row>
    <row r="371" spans="1:36" s="700" customFormat="1" ht="12.75" customHeight="1">
      <c r="A371" s="719" t="s">
        <v>203</v>
      </c>
      <c r="B371" s="719" t="s">
        <v>394</v>
      </c>
      <c r="C371" s="723" t="s">
        <v>451</v>
      </c>
      <c r="D371" s="723"/>
      <c r="E371" s="721">
        <v>107071</v>
      </c>
      <c r="F371" s="722">
        <v>4</v>
      </c>
      <c r="G371" s="1025"/>
      <c r="H371" s="690"/>
      <c r="I371" s="1030"/>
      <c r="J371" s="690"/>
      <c r="K371" s="1030"/>
      <c r="L371" s="690"/>
      <c r="M371" s="1025"/>
      <c r="N371" s="1030"/>
      <c r="O371" s="692">
        <f t="shared" si="42"/>
        <v>0</v>
      </c>
      <c r="P371" s="690"/>
      <c r="Q371" s="690"/>
      <c r="R371" s="691">
        <f t="shared" si="43"/>
        <v>0</v>
      </c>
      <c r="S371" s="692">
        <f t="shared" si="44"/>
        <v>0</v>
      </c>
      <c r="T371" s="693">
        <f t="shared" si="45"/>
        <v>0</v>
      </c>
      <c r="U371" s="1035"/>
      <c r="V371" s="690"/>
      <c r="W371" s="1025"/>
      <c r="X371" s="1030"/>
      <c r="Y371" s="694">
        <f t="shared" si="46"/>
        <v>0</v>
      </c>
      <c r="Z371" s="690"/>
      <c r="AA371" s="690"/>
      <c r="AB371" s="695">
        <f t="shared" si="47"/>
        <v>0</v>
      </c>
      <c r="AC371" s="1035"/>
      <c r="AD371" s="690"/>
      <c r="AE371" s="1025"/>
      <c r="AF371" s="1030"/>
      <c r="AG371" s="690"/>
      <c r="AH371" s="690"/>
      <c r="AI371" s="696">
        <f t="shared" si="48"/>
        <v>0</v>
      </c>
      <c r="AJ371" s="697">
        <f t="shared" si="49"/>
        <v>0</v>
      </c>
    </row>
    <row r="372" spans="1:36" s="700" customFormat="1" ht="12.75" customHeight="1">
      <c r="A372" s="719" t="s">
        <v>203</v>
      </c>
      <c r="B372" s="719" t="s">
        <v>394</v>
      </c>
      <c r="C372" s="724" t="s">
        <v>594</v>
      </c>
      <c r="D372" s="724"/>
      <c r="E372" s="721">
        <v>107071</v>
      </c>
      <c r="F372" s="722">
        <v>4</v>
      </c>
      <c r="G372" s="1025"/>
      <c r="H372" s="690"/>
      <c r="I372" s="1030">
        <v>205287</v>
      </c>
      <c r="J372" s="690">
        <v>210585</v>
      </c>
      <c r="K372" s="1030"/>
      <c r="L372" s="690"/>
      <c r="M372" s="1025"/>
      <c r="N372" s="1030"/>
      <c r="O372" s="692">
        <f t="shared" si="42"/>
        <v>0</v>
      </c>
      <c r="P372" s="690"/>
      <c r="Q372" s="690"/>
      <c r="R372" s="691">
        <f t="shared" si="43"/>
        <v>0</v>
      </c>
      <c r="S372" s="692">
        <f t="shared" si="44"/>
        <v>205287</v>
      </c>
      <c r="T372" s="693">
        <f t="shared" si="45"/>
        <v>210585</v>
      </c>
      <c r="U372" s="1035"/>
      <c r="V372" s="690"/>
      <c r="W372" s="1025"/>
      <c r="X372" s="1030"/>
      <c r="Y372" s="694">
        <f t="shared" si="46"/>
        <v>0</v>
      </c>
      <c r="Z372" s="690"/>
      <c r="AA372" s="690"/>
      <c r="AB372" s="695">
        <f t="shared" si="47"/>
        <v>0</v>
      </c>
      <c r="AC372" s="1035"/>
      <c r="AD372" s="690"/>
      <c r="AE372" s="1025"/>
      <c r="AF372" s="1030"/>
      <c r="AG372" s="690"/>
      <c r="AH372" s="690"/>
      <c r="AI372" s="696">
        <f t="shared" si="48"/>
        <v>205287</v>
      </c>
      <c r="AJ372" s="697">
        <f t="shared" si="49"/>
        <v>210585</v>
      </c>
    </row>
    <row r="373" spans="1:36" s="700" customFormat="1" ht="12.75" customHeight="1">
      <c r="A373" s="719" t="s">
        <v>203</v>
      </c>
      <c r="B373" s="719" t="s">
        <v>392</v>
      </c>
      <c r="C373" s="720" t="s">
        <v>595</v>
      </c>
      <c r="D373" s="720"/>
      <c r="E373" s="721">
        <v>106485</v>
      </c>
      <c r="F373" s="722">
        <v>5</v>
      </c>
      <c r="G373" s="1025">
        <v>13668359</v>
      </c>
      <c r="H373" s="690">
        <v>13937633</v>
      </c>
      <c r="I373" s="1030"/>
      <c r="J373" s="690"/>
      <c r="K373" s="1030"/>
      <c r="L373" s="690"/>
      <c r="M373" s="1025">
        <v>11759934</v>
      </c>
      <c r="N373" s="1030"/>
      <c r="O373" s="692">
        <f t="shared" si="42"/>
        <v>11759934</v>
      </c>
      <c r="P373" s="690">
        <v>11278507</v>
      </c>
      <c r="Q373" s="690"/>
      <c r="R373" s="691">
        <f t="shared" si="43"/>
        <v>11278507</v>
      </c>
      <c r="S373" s="692">
        <f t="shared" si="44"/>
        <v>25428293</v>
      </c>
      <c r="T373" s="693">
        <f t="shared" si="45"/>
        <v>25216140</v>
      </c>
      <c r="U373" s="1035"/>
      <c r="V373" s="690"/>
      <c r="W373" s="1025"/>
      <c r="X373" s="1030"/>
      <c r="Y373" s="694">
        <f t="shared" si="46"/>
        <v>0</v>
      </c>
      <c r="Z373" s="690"/>
      <c r="AA373" s="690"/>
      <c r="AB373" s="695">
        <f t="shared" si="47"/>
        <v>0</v>
      </c>
      <c r="AC373" s="1035"/>
      <c r="AD373" s="690"/>
      <c r="AE373" s="1025"/>
      <c r="AF373" s="1030"/>
      <c r="AG373" s="690"/>
      <c r="AH373" s="690"/>
      <c r="AI373" s="696">
        <f t="shared" si="48"/>
        <v>25428293</v>
      </c>
      <c r="AJ373" s="697">
        <f t="shared" si="49"/>
        <v>25216140</v>
      </c>
    </row>
    <row r="374" spans="1:36" s="700" customFormat="1" ht="12.75" customHeight="1">
      <c r="A374" s="719" t="s">
        <v>203</v>
      </c>
      <c r="B374" s="719" t="s">
        <v>394</v>
      </c>
      <c r="C374" s="723" t="s">
        <v>451</v>
      </c>
      <c r="D374" s="723"/>
      <c r="E374" s="721">
        <v>106485</v>
      </c>
      <c r="F374" s="722">
        <v>5</v>
      </c>
      <c r="G374" s="1025"/>
      <c r="H374" s="690"/>
      <c r="I374" s="1030"/>
      <c r="J374" s="690"/>
      <c r="K374" s="1030"/>
      <c r="L374" s="690"/>
      <c r="M374" s="1025"/>
      <c r="N374" s="1030"/>
      <c r="O374" s="692">
        <f t="shared" si="42"/>
        <v>0</v>
      </c>
      <c r="P374" s="690"/>
      <c r="Q374" s="690"/>
      <c r="R374" s="691">
        <f t="shared" si="43"/>
        <v>0</v>
      </c>
      <c r="S374" s="692">
        <f t="shared" si="44"/>
        <v>0</v>
      </c>
      <c r="T374" s="693">
        <f t="shared" si="45"/>
        <v>0</v>
      </c>
      <c r="U374" s="1035"/>
      <c r="V374" s="690"/>
      <c r="W374" s="1025"/>
      <c r="X374" s="1030"/>
      <c r="Y374" s="694">
        <f t="shared" si="46"/>
        <v>0</v>
      </c>
      <c r="Z374" s="690"/>
      <c r="AA374" s="690"/>
      <c r="AB374" s="695">
        <f t="shared" si="47"/>
        <v>0</v>
      </c>
      <c r="AC374" s="1035"/>
      <c r="AD374" s="690"/>
      <c r="AE374" s="1025"/>
      <c r="AF374" s="1030"/>
      <c r="AG374" s="690"/>
      <c r="AH374" s="690"/>
      <c r="AI374" s="696">
        <f t="shared" si="48"/>
        <v>0</v>
      </c>
      <c r="AJ374" s="697">
        <f t="shared" si="49"/>
        <v>0</v>
      </c>
    </row>
    <row r="375" spans="1:36" s="700" customFormat="1" ht="12.75" customHeight="1">
      <c r="A375" s="719" t="s">
        <v>203</v>
      </c>
      <c r="B375" s="719" t="s">
        <v>394</v>
      </c>
      <c r="C375" s="724" t="s">
        <v>596</v>
      </c>
      <c r="D375" s="724"/>
      <c r="E375" s="721">
        <v>106485</v>
      </c>
      <c r="F375" s="722">
        <v>5</v>
      </c>
      <c r="G375" s="1025"/>
      <c r="H375" s="690"/>
      <c r="I375" s="1030">
        <v>2289466</v>
      </c>
      <c r="J375" s="690">
        <v>2401697</v>
      </c>
      <c r="K375" s="1030"/>
      <c r="L375" s="690"/>
      <c r="M375" s="1025">
        <v>778161</v>
      </c>
      <c r="N375" s="1030"/>
      <c r="O375" s="692">
        <f t="shared" si="42"/>
        <v>778161</v>
      </c>
      <c r="P375" s="690">
        <v>716947</v>
      </c>
      <c r="Q375" s="690"/>
      <c r="R375" s="691">
        <f t="shared" si="43"/>
        <v>716947</v>
      </c>
      <c r="S375" s="692">
        <f t="shared" si="44"/>
        <v>3067627</v>
      </c>
      <c r="T375" s="693">
        <f t="shared" si="45"/>
        <v>3118644</v>
      </c>
      <c r="U375" s="1035"/>
      <c r="V375" s="690"/>
      <c r="W375" s="1025"/>
      <c r="X375" s="1030"/>
      <c r="Y375" s="694">
        <f t="shared" si="46"/>
        <v>0</v>
      </c>
      <c r="Z375" s="690"/>
      <c r="AA375" s="690"/>
      <c r="AB375" s="695">
        <f t="shared" si="47"/>
        <v>0</v>
      </c>
      <c r="AC375" s="1035"/>
      <c r="AD375" s="690"/>
      <c r="AE375" s="1025"/>
      <c r="AF375" s="1030"/>
      <c r="AG375" s="690"/>
      <c r="AH375" s="690"/>
      <c r="AI375" s="696">
        <f t="shared" si="48"/>
        <v>3067627</v>
      </c>
      <c r="AJ375" s="697">
        <f t="shared" si="49"/>
        <v>3118644</v>
      </c>
    </row>
    <row r="376" spans="1:36" s="700" customFormat="1" ht="12.75" customHeight="1">
      <c r="A376" s="719" t="s">
        <v>203</v>
      </c>
      <c r="B376" s="719" t="s">
        <v>394</v>
      </c>
      <c r="C376" s="724" t="s">
        <v>597</v>
      </c>
      <c r="D376" s="724"/>
      <c r="E376" s="721">
        <v>106485</v>
      </c>
      <c r="F376" s="722">
        <v>5</v>
      </c>
      <c r="G376" s="1025"/>
      <c r="H376" s="690"/>
      <c r="I376" s="1030">
        <v>1691382</v>
      </c>
      <c r="J376" s="690">
        <v>1784442</v>
      </c>
      <c r="K376" s="1030"/>
      <c r="L376" s="690"/>
      <c r="M376" s="1025">
        <v>626339</v>
      </c>
      <c r="N376" s="1030"/>
      <c r="O376" s="692">
        <f t="shared" si="42"/>
        <v>626339</v>
      </c>
      <c r="P376" s="690">
        <v>539776</v>
      </c>
      <c r="Q376" s="690"/>
      <c r="R376" s="691">
        <f t="shared" si="43"/>
        <v>539776</v>
      </c>
      <c r="S376" s="692">
        <f t="shared" si="44"/>
        <v>2317721</v>
      </c>
      <c r="T376" s="693">
        <f t="shared" si="45"/>
        <v>2324218</v>
      </c>
      <c r="U376" s="1035"/>
      <c r="V376" s="690"/>
      <c r="W376" s="1025"/>
      <c r="X376" s="1030"/>
      <c r="Y376" s="694">
        <f t="shared" si="46"/>
        <v>0</v>
      </c>
      <c r="Z376" s="690"/>
      <c r="AA376" s="690"/>
      <c r="AB376" s="695">
        <f t="shared" si="47"/>
        <v>0</v>
      </c>
      <c r="AC376" s="1035"/>
      <c r="AD376" s="690"/>
      <c r="AE376" s="1025"/>
      <c r="AF376" s="1030"/>
      <c r="AG376" s="690"/>
      <c r="AH376" s="690"/>
      <c r="AI376" s="696">
        <f t="shared" si="48"/>
        <v>2317721</v>
      </c>
      <c r="AJ376" s="697">
        <f t="shared" si="49"/>
        <v>2324218</v>
      </c>
    </row>
    <row r="377" spans="1:36" s="700" customFormat="1" ht="12.75" customHeight="1">
      <c r="A377" s="719" t="s">
        <v>203</v>
      </c>
      <c r="B377" s="719" t="s">
        <v>392</v>
      </c>
      <c r="C377" s="725" t="s">
        <v>598</v>
      </c>
      <c r="D377" s="1045" t="s">
        <v>1906</v>
      </c>
      <c r="E377" s="721">
        <v>107983</v>
      </c>
      <c r="F377" s="722">
        <v>5</v>
      </c>
      <c r="G377" s="1025">
        <v>16265914</v>
      </c>
      <c r="H377" s="690">
        <v>16588978</v>
      </c>
      <c r="I377" s="1030"/>
      <c r="J377" s="690"/>
      <c r="K377" s="1030"/>
      <c r="L377" s="690"/>
      <c r="M377" s="1025">
        <v>17992393</v>
      </c>
      <c r="N377" s="1030"/>
      <c r="O377" s="692">
        <f t="shared" si="42"/>
        <v>17992393</v>
      </c>
      <c r="P377" s="690">
        <v>18381247</v>
      </c>
      <c r="Q377" s="690"/>
      <c r="R377" s="691">
        <f t="shared" si="43"/>
        <v>18381247</v>
      </c>
      <c r="S377" s="692">
        <f t="shared" si="44"/>
        <v>34258307</v>
      </c>
      <c r="T377" s="693">
        <f t="shared" si="45"/>
        <v>34970225</v>
      </c>
      <c r="U377" s="1035"/>
      <c r="V377" s="690"/>
      <c r="W377" s="1025"/>
      <c r="X377" s="1030"/>
      <c r="Y377" s="694">
        <f t="shared" si="46"/>
        <v>0</v>
      </c>
      <c r="Z377" s="690"/>
      <c r="AA377" s="690"/>
      <c r="AB377" s="695">
        <f t="shared" si="47"/>
        <v>0</v>
      </c>
      <c r="AC377" s="1035"/>
      <c r="AD377" s="690"/>
      <c r="AE377" s="1025"/>
      <c r="AF377" s="1030"/>
      <c r="AG377" s="690"/>
      <c r="AH377" s="690"/>
      <c r="AI377" s="696">
        <f t="shared" si="48"/>
        <v>34258307</v>
      </c>
      <c r="AJ377" s="697">
        <f t="shared" si="49"/>
        <v>34970225</v>
      </c>
    </row>
    <row r="378" spans="1:36" s="700" customFormat="1" ht="12.75" customHeight="1">
      <c r="A378" s="719" t="s">
        <v>203</v>
      </c>
      <c r="B378" s="719" t="s">
        <v>392</v>
      </c>
      <c r="C378" s="725" t="s">
        <v>599</v>
      </c>
      <c r="D378" s="725"/>
      <c r="E378" s="721">
        <v>108092</v>
      </c>
      <c r="F378" s="722">
        <v>6</v>
      </c>
      <c r="G378" s="1025">
        <v>22596446</v>
      </c>
      <c r="H378" s="690">
        <v>22939853</v>
      </c>
      <c r="I378" s="1030"/>
      <c r="J378" s="690"/>
      <c r="K378" s="1030">
        <v>5286908</v>
      </c>
      <c r="L378" s="690">
        <v>5200000</v>
      </c>
      <c r="M378" s="1025">
        <v>25380584</v>
      </c>
      <c r="N378" s="1030"/>
      <c r="O378" s="692">
        <f t="shared" si="42"/>
        <v>25380584</v>
      </c>
      <c r="P378" s="690">
        <v>27758747</v>
      </c>
      <c r="Q378" s="690"/>
      <c r="R378" s="691">
        <f t="shared" si="43"/>
        <v>27758747</v>
      </c>
      <c r="S378" s="692">
        <f t="shared" si="44"/>
        <v>53263938</v>
      </c>
      <c r="T378" s="693">
        <f t="shared" si="45"/>
        <v>55898600</v>
      </c>
      <c r="U378" s="1035"/>
      <c r="V378" s="690"/>
      <c r="W378" s="1025"/>
      <c r="X378" s="1030"/>
      <c r="Y378" s="694">
        <f t="shared" si="46"/>
        <v>0</v>
      </c>
      <c r="Z378" s="690"/>
      <c r="AA378" s="690"/>
      <c r="AB378" s="695">
        <f t="shared" si="47"/>
        <v>0</v>
      </c>
      <c r="AC378" s="1035"/>
      <c r="AD378" s="690"/>
      <c r="AE378" s="1025"/>
      <c r="AF378" s="1030"/>
      <c r="AG378" s="690"/>
      <c r="AH378" s="690"/>
      <c r="AI378" s="696">
        <f t="shared" si="48"/>
        <v>53263938</v>
      </c>
      <c r="AJ378" s="697">
        <f t="shared" si="49"/>
        <v>55898600</v>
      </c>
    </row>
    <row r="379" spans="1:36" s="700" customFormat="1" ht="12.75" customHeight="1">
      <c r="A379" s="719" t="s">
        <v>203</v>
      </c>
      <c r="B379" s="719" t="s">
        <v>392</v>
      </c>
      <c r="C379" s="725" t="s">
        <v>600</v>
      </c>
      <c r="D379" s="1045" t="s">
        <v>1907</v>
      </c>
      <c r="E379" s="721">
        <v>106412</v>
      </c>
      <c r="F379" s="722">
        <v>6</v>
      </c>
      <c r="G379" s="1025">
        <v>26400367</v>
      </c>
      <c r="H379" s="690">
        <v>26936796</v>
      </c>
      <c r="I379" s="1030"/>
      <c r="J379" s="690"/>
      <c r="K379" s="1030"/>
      <c r="L379" s="690"/>
      <c r="M379" s="1025">
        <v>19365175</v>
      </c>
      <c r="N379" s="1030"/>
      <c r="O379" s="692">
        <f t="shared" si="42"/>
        <v>19365175</v>
      </c>
      <c r="P379" s="690">
        <v>16074684</v>
      </c>
      <c r="Q379" s="690"/>
      <c r="R379" s="691">
        <f t="shared" si="43"/>
        <v>16074684</v>
      </c>
      <c r="S379" s="692">
        <f t="shared" si="44"/>
        <v>45765542</v>
      </c>
      <c r="T379" s="693">
        <f t="shared" si="45"/>
        <v>43011480</v>
      </c>
      <c r="U379" s="1035"/>
      <c r="V379" s="690"/>
      <c r="W379" s="1025"/>
      <c r="X379" s="1030"/>
      <c r="Y379" s="694">
        <f t="shared" si="46"/>
        <v>0</v>
      </c>
      <c r="Z379" s="690"/>
      <c r="AA379" s="690"/>
      <c r="AB379" s="695">
        <f t="shared" si="47"/>
        <v>0</v>
      </c>
      <c r="AC379" s="1035"/>
      <c r="AD379" s="690"/>
      <c r="AE379" s="1025"/>
      <c r="AF379" s="1030"/>
      <c r="AG379" s="690"/>
      <c r="AH379" s="690"/>
      <c r="AI379" s="696">
        <f t="shared" si="48"/>
        <v>45765542</v>
      </c>
      <c r="AJ379" s="697">
        <f t="shared" si="49"/>
        <v>43011480</v>
      </c>
    </row>
    <row r="380" spans="1:36" s="700" customFormat="1" ht="12.75" customHeight="1">
      <c r="A380" s="719" t="s">
        <v>203</v>
      </c>
      <c r="B380" s="719" t="s">
        <v>392</v>
      </c>
      <c r="C380" s="720" t="s">
        <v>601</v>
      </c>
      <c r="D380" s="720"/>
      <c r="E380" s="721">
        <v>107664</v>
      </c>
      <c r="F380" s="722">
        <v>8</v>
      </c>
      <c r="G380" s="1025">
        <v>15908696</v>
      </c>
      <c r="H380" s="690">
        <v>16490356</v>
      </c>
      <c r="I380" s="1030"/>
      <c r="J380" s="690"/>
      <c r="K380" s="1030"/>
      <c r="L380" s="690"/>
      <c r="M380" s="1025">
        <v>24150584</v>
      </c>
      <c r="N380" s="1030"/>
      <c r="O380" s="692">
        <f t="shared" si="42"/>
        <v>24150584</v>
      </c>
      <c r="P380" s="690">
        <v>23936160</v>
      </c>
      <c r="Q380" s="690"/>
      <c r="R380" s="691">
        <f t="shared" si="43"/>
        <v>23936160</v>
      </c>
      <c r="S380" s="692">
        <f t="shared" si="44"/>
        <v>40059280</v>
      </c>
      <c r="T380" s="693">
        <f t="shared" si="45"/>
        <v>40426516</v>
      </c>
      <c r="U380" s="1035"/>
      <c r="V380" s="690"/>
      <c r="W380" s="1025"/>
      <c r="X380" s="1030"/>
      <c r="Y380" s="694">
        <f t="shared" si="46"/>
        <v>0</v>
      </c>
      <c r="Z380" s="690"/>
      <c r="AA380" s="690"/>
      <c r="AB380" s="695">
        <f t="shared" si="47"/>
        <v>0</v>
      </c>
      <c r="AC380" s="1035"/>
      <c r="AD380" s="690"/>
      <c r="AE380" s="1025"/>
      <c r="AF380" s="1030"/>
      <c r="AG380" s="690"/>
      <c r="AH380" s="690"/>
      <c r="AI380" s="696">
        <f t="shared" si="48"/>
        <v>40059280</v>
      </c>
      <c r="AJ380" s="697">
        <f t="shared" si="49"/>
        <v>40426516</v>
      </c>
    </row>
    <row r="381" spans="1:36" s="700" customFormat="1" ht="12.75" customHeight="1">
      <c r="A381" s="719" t="s">
        <v>203</v>
      </c>
      <c r="B381" s="719" t="s">
        <v>392</v>
      </c>
      <c r="C381" s="720" t="s">
        <v>602</v>
      </c>
      <c r="D381" s="720"/>
      <c r="E381" s="721">
        <v>106449</v>
      </c>
      <c r="F381" s="722">
        <v>9</v>
      </c>
      <c r="G381" s="1025">
        <v>13835556</v>
      </c>
      <c r="H381" s="690">
        <v>14140377</v>
      </c>
      <c r="I381" s="1030"/>
      <c r="J381" s="690"/>
      <c r="K381" s="1030">
        <v>1649254</v>
      </c>
      <c r="L381" s="690">
        <v>1600000</v>
      </c>
      <c r="M381" s="1025">
        <v>10020000</v>
      </c>
      <c r="N381" s="1030"/>
      <c r="O381" s="692">
        <f t="shared" si="42"/>
        <v>10020000</v>
      </c>
      <c r="P381" s="690">
        <v>10136000</v>
      </c>
      <c r="Q381" s="690"/>
      <c r="R381" s="691">
        <f t="shared" si="43"/>
        <v>10136000</v>
      </c>
      <c r="S381" s="692">
        <f t="shared" si="44"/>
        <v>25504810</v>
      </c>
      <c r="T381" s="693">
        <f t="shared" si="45"/>
        <v>25876377</v>
      </c>
      <c r="U381" s="1035"/>
      <c r="V381" s="690"/>
      <c r="W381" s="1025"/>
      <c r="X381" s="1030"/>
      <c r="Y381" s="694">
        <f t="shared" si="46"/>
        <v>0</v>
      </c>
      <c r="Z381" s="690"/>
      <c r="AA381" s="690"/>
      <c r="AB381" s="695">
        <f t="shared" si="47"/>
        <v>0</v>
      </c>
      <c r="AC381" s="1035"/>
      <c r="AD381" s="690"/>
      <c r="AE381" s="1025"/>
      <c r="AF381" s="1030"/>
      <c r="AG381" s="690"/>
      <c r="AH381" s="690"/>
      <c r="AI381" s="696">
        <f t="shared" si="48"/>
        <v>25504810</v>
      </c>
      <c r="AJ381" s="697">
        <f t="shared" si="49"/>
        <v>25876377</v>
      </c>
    </row>
    <row r="382" spans="1:36" s="700" customFormat="1" ht="12.75" customHeight="1">
      <c r="A382" s="719" t="s">
        <v>203</v>
      </c>
      <c r="B382" s="719" t="s">
        <v>392</v>
      </c>
      <c r="C382" s="725" t="s">
        <v>603</v>
      </c>
      <c r="D382" s="1045" t="s">
        <v>1909</v>
      </c>
      <c r="E382" s="721">
        <v>367459</v>
      </c>
      <c r="F382" s="722">
        <v>9</v>
      </c>
      <c r="G382" s="1025">
        <v>10507932</v>
      </c>
      <c r="H382" s="690">
        <v>10701252</v>
      </c>
      <c r="I382" s="1030"/>
      <c r="J382" s="690"/>
      <c r="K382" s="1030">
        <v>6604779.2300000004</v>
      </c>
      <c r="L382" s="690">
        <v>6500000</v>
      </c>
      <c r="M382" s="1025">
        <v>19583336.34</v>
      </c>
      <c r="N382" s="1030"/>
      <c r="O382" s="692">
        <f t="shared" si="42"/>
        <v>19583336.34</v>
      </c>
      <c r="P382" s="690">
        <v>22652147</v>
      </c>
      <c r="Q382" s="690"/>
      <c r="R382" s="691">
        <f t="shared" si="43"/>
        <v>22652147</v>
      </c>
      <c r="S382" s="692">
        <f t="shared" si="44"/>
        <v>36696047.57</v>
      </c>
      <c r="T382" s="693">
        <f t="shared" si="45"/>
        <v>39853399</v>
      </c>
      <c r="U382" s="1035"/>
      <c r="V382" s="690"/>
      <c r="W382" s="1025"/>
      <c r="X382" s="1030"/>
      <c r="Y382" s="694">
        <f t="shared" si="46"/>
        <v>0</v>
      </c>
      <c r="Z382" s="690"/>
      <c r="AA382" s="690"/>
      <c r="AB382" s="695">
        <f t="shared" si="47"/>
        <v>0</v>
      </c>
      <c r="AC382" s="1035"/>
      <c r="AD382" s="690"/>
      <c r="AE382" s="1025"/>
      <c r="AF382" s="1030"/>
      <c r="AG382" s="690"/>
      <c r="AH382" s="690"/>
      <c r="AI382" s="696">
        <f t="shared" si="48"/>
        <v>36696047.57</v>
      </c>
      <c r="AJ382" s="697">
        <f t="shared" si="49"/>
        <v>39853399</v>
      </c>
    </row>
    <row r="383" spans="1:36" s="700" customFormat="1" ht="12.75" customHeight="1">
      <c r="A383" s="719" t="s">
        <v>203</v>
      </c>
      <c r="B383" s="719" t="s">
        <v>392</v>
      </c>
      <c r="C383" s="720" t="s">
        <v>604</v>
      </c>
      <c r="D383" s="720"/>
      <c r="E383" s="721">
        <v>107327</v>
      </c>
      <c r="F383" s="722">
        <v>10</v>
      </c>
      <c r="G383" s="1025">
        <v>9694372</v>
      </c>
      <c r="H383" s="690">
        <v>9943125</v>
      </c>
      <c r="I383" s="1030"/>
      <c r="J383" s="690"/>
      <c r="K383" s="1030"/>
      <c r="L383" s="690"/>
      <c r="M383" s="1025">
        <v>3165868</v>
      </c>
      <c r="N383" s="1030"/>
      <c r="O383" s="692">
        <f t="shared" ref="O383:O393" si="50">SUM(M383:N383)</f>
        <v>3165868</v>
      </c>
      <c r="P383" s="690">
        <v>2821153</v>
      </c>
      <c r="Q383" s="690"/>
      <c r="R383" s="691">
        <f t="shared" si="43"/>
        <v>2821153</v>
      </c>
      <c r="S383" s="692">
        <f t="shared" si="44"/>
        <v>12860240</v>
      </c>
      <c r="T383" s="693">
        <f t="shared" si="45"/>
        <v>12764278</v>
      </c>
      <c r="U383" s="1035"/>
      <c r="V383" s="690"/>
      <c r="W383" s="1025"/>
      <c r="X383" s="1030"/>
      <c r="Y383" s="694">
        <f t="shared" si="46"/>
        <v>0</v>
      </c>
      <c r="Z383" s="690"/>
      <c r="AA383" s="690"/>
      <c r="AB383" s="695">
        <f t="shared" si="47"/>
        <v>0</v>
      </c>
      <c r="AC383" s="1035"/>
      <c r="AD383" s="690"/>
      <c r="AE383" s="1025"/>
      <c r="AF383" s="1030"/>
      <c r="AG383" s="690"/>
      <c r="AH383" s="690"/>
      <c r="AI383" s="696">
        <f t="shared" si="48"/>
        <v>12860240</v>
      </c>
      <c r="AJ383" s="697">
        <f t="shared" si="49"/>
        <v>12764278</v>
      </c>
    </row>
    <row r="384" spans="1:36" s="700" customFormat="1" ht="12.75" customHeight="1">
      <c r="A384" s="719" t="s">
        <v>203</v>
      </c>
      <c r="B384" s="719" t="s">
        <v>392</v>
      </c>
      <c r="C384" s="720" t="s">
        <v>605</v>
      </c>
      <c r="D384" s="720"/>
      <c r="E384" s="721">
        <v>420538</v>
      </c>
      <c r="F384" s="722">
        <v>10</v>
      </c>
      <c r="G384" s="1025">
        <v>4176380</v>
      </c>
      <c r="H384" s="690">
        <v>4346156</v>
      </c>
      <c r="I384" s="1030"/>
      <c r="J384" s="690"/>
      <c r="K384" s="1030">
        <v>1180217</v>
      </c>
      <c r="L384" s="690">
        <v>1100000</v>
      </c>
      <c r="M384" s="1025">
        <v>3680525.98</v>
      </c>
      <c r="N384" s="1030"/>
      <c r="O384" s="692">
        <f t="shared" si="50"/>
        <v>3680525.98</v>
      </c>
      <c r="P384" s="690">
        <v>4077715</v>
      </c>
      <c r="Q384" s="690"/>
      <c r="R384" s="691">
        <f t="shared" si="43"/>
        <v>4077715</v>
      </c>
      <c r="S384" s="692">
        <f t="shared" si="44"/>
        <v>9037122.9800000004</v>
      </c>
      <c r="T384" s="693">
        <f t="shared" si="45"/>
        <v>9523871</v>
      </c>
      <c r="U384" s="1035"/>
      <c r="V384" s="690"/>
      <c r="W384" s="1025"/>
      <c r="X384" s="1030"/>
      <c r="Y384" s="694">
        <f t="shared" si="46"/>
        <v>0</v>
      </c>
      <c r="Z384" s="690"/>
      <c r="AA384" s="690"/>
      <c r="AB384" s="695">
        <f t="shared" si="47"/>
        <v>0</v>
      </c>
      <c r="AC384" s="1035"/>
      <c r="AD384" s="690"/>
      <c r="AE384" s="1025"/>
      <c r="AF384" s="1030"/>
      <c r="AG384" s="690"/>
      <c r="AH384" s="690"/>
      <c r="AI384" s="696">
        <f t="shared" si="48"/>
        <v>9037122.9800000004</v>
      </c>
      <c r="AJ384" s="697">
        <f t="shared" si="49"/>
        <v>9523871</v>
      </c>
    </row>
    <row r="385" spans="1:36" s="700" customFormat="1" ht="12.75" customHeight="1">
      <c r="A385" s="719" t="s">
        <v>203</v>
      </c>
      <c r="B385" s="719" t="s">
        <v>392</v>
      </c>
      <c r="C385" s="720" t="s">
        <v>606</v>
      </c>
      <c r="D385" s="720"/>
      <c r="E385" s="721">
        <v>440402</v>
      </c>
      <c r="F385" s="722">
        <v>10</v>
      </c>
      <c r="G385" s="1025">
        <v>7063557</v>
      </c>
      <c r="H385" s="690">
        <v>7352514</v>
      </c>
      <c r="I385" s="1030"/>
      <c r="J385" s="690"/>
      <c r="K385" s="1030">
        <v>945886</v>
      </c>
      <c r="L385" s="690">
        <v>940000</v>
      </c>
      <c r="M385" s="1025">
        <v>3923655</v>
      </c>
      <c r="N385" s="1030"/>
      <c r="O385" s="692">
        <f t="shared" si="50"/>
        <v>3923655</v>
      </c>
      <c r="P385" s="690">
        <v>3007000</v>
      </c>
      <c r="Q385" s="690"/>
      <c r="R385" s="691">
        <f t="shared" si="43"/>
        <v>3007000</v>
      </c>
      <c r="S385" s="692">
        <f t="shared" si="44"/>
        <v>11933098</v>
      </c>
      <c r="T385" s="693">
        <f t="shared" si="45"/>
        <v>11299514</v>
      </c>
      <c r="U385" s="1035"/>
      <c r="V385" s="690"/>
      <c r="W385" s="1025"/>
      <c r="X385" s="1030"/>
      <c r="Y385" s="694">
        <f t="shared" si="46"/>
        <v>0</v>
      </c>
      <c r="Z385" s="690"/>
      <c r="AA385" s="690"/>
      <c r="AB385" s="695">
        <f t="shared" si="47"/>
        <v>0</v>
      </c>
      <c r="AC385" s="1035"/>
      <c r="AD385" s="690"/>
      <c r="AE385" s="1025"/>
      <c r="AF385" s="1030"/>
      <c r="AG385" s="690"/>
      <c r="AH385" s="690"/>
      <c r="AI385" s="696">
        <f t="shared" si="48"/>
        <v>11933098</v>
      </c>
      <c r="AJ385" s="697">
        <f t="shared" si="49"/>
        <v>11299514</v>
      </c>
    </row>
    <row r="386" spans="1:36" s="700" customFormat="1" ht="12.75" customHeight="1">
      <c r="A386" s="719" t="s">
        <v>203</v>
      </c>
      <c r="B386" s="719" t="s">
        <v>392</v>
      </c>
      <c r="C386" s="725" t="s">
        <v>607</v>
      </c>
      <c r="D386" s="1045" t="s">
        <v>1903</v>
      </c>
      <c r="E386" s="721">
        <v>106625</v>
      </c>
      <c r="F386" s="722">
        <v>10</v>
      </c>
      <c r="G386" s="1025">
        <v>7795314</v>
      </c>
      <c r="H386" s="690">
        <v>8165416</v>
      </c>
      <c r="I386" s="1030"/>
      <c r="J386" s="690"/>
      <c r="K386" s="1030"/>
      <c r="L386" s="690"/>
      <c r="M386" s="1025">
        <v>4584304</v>
      </c>
      <c r="N386" s="1030"/>
      <c r="O386" s="692">
        <f t="shared" si="50"/>
        <v>4584304</v>
      </c>
      <c r="P386" s="690">
        <v>4400000</v>
      </c>
      <c r="Q386" s="690"/>
      <c r="R386" s="691">
        <f t="shared" si="43"/>
        <v>4400000</v>
      </c>
      <c r="S386" s="692">
        <f t="shared" si="44"/>
        <v>12379618</v>
      </c>
      <c r="T386" s="693">
        <f t="shared" si="45"/>
        <v>12565416</v>
      </c>
      <c r="U386" s="1035"/>
      <c r="V386" s="690"/>
      <c r="W386" s="1025"/>
      <c r="X386" s="1030"/>
      <c r="Y386" s="694">
        <f t="shared" si="46"/>
        <v>0</v>
      </c>
      <c r="Z386" s="690"/>
      <c r="AA386" s="690"/>
      <c r="AB386" s="695">
        <f t="shared" si="47"/>
        <v>0</v>
      </c>
      <c r="AC386" s="1035"/>
      <c r="AD386" s="690"/>
      <c r="AE386" s="1025"/>
      <c r="AF386" s="1030"/>
      <c r="AG386" s="690"/>
      <c r="AH386" s="690"/>
      <c r="AI386" s="696">
        <f t="shared" si="48"/>
        <v>12379618</v>
      </c>
      <c r="AJ386" s="697">
        <f t="shared" si="49"/>
        <v>12565416</v>
      </c>
    </row>
    <row r="387" spans="1:36" s="700" customFormat="1" ht="12.75" customHeight="1">
      <c r="A387" s="719" t="s">
        <v>203</v>
      </c>
      <c r="B387" s="719" t="s">
        <v>392</v>
      </c>
      <c r="C387" s="720" t="s">
        <v>608</v>
      </c>
      <c r="D387" s="720"/>
      <c r="E387" s="721">
        <v>106795</v>
      </c>
      <c r="F387" s="722">
        <v>10</v>
      </c>
      <c r="G387" s="1025">
        <v>4407874</v>
      </c>
      <c r="H387" s="690">
        <v>4623226</v>
      </c>
      <c r="I387" s="1030"/>
      <c r="J387" s="690"/>
      <c r="K387" s="1030">
        <v>1195474</v>
      </c>
      <c r="L387" s="690">
        <v>1100000</v>
      </c>
      <c r="M387" s="1025">
        <v>2461354</v>
      </c>
      <c r="N387" s="1030"/>
      <c r="O387" s="692">
        <f t="shared" si="50"/>
        <v>2461354</v>
      </c>
      <c r="P387" s="690">
        <v>2502350</v>
      </c>
      <c r="Q387" s="690"/>
      <c r="R387" s="691">
        <f t="shared" si="43"/>
        <v>2502350</v>
      </c>
      <c r="S387" s="692">
        <f t="shared" si="44"/>
        <v>8064702</v>
      </c>
      <c r="T387" s="693">
        <f t="shared" si="45"/>
        <v>8225576</v>
      </c>
      <c r="U387" s="1035"/>
      <c r="V387" s="690"/>
      <c r="W387" s="1025"/>
      <c r="X387" s="1030"/>
      <c r="Y387" s="694">
        <f t="shared" si="46"/>
        <v>0</v>
      </c>
      <c r="Z387" s="690"/>
      <c r="AA387" s="690"/>
      <c r="AB387" s="695">
        <f t="shared" si="47"/>
        <v>0</v>
      </c>
      <c r="AC387" s="1035"/>
      <c r="AD387" s="690"/>
      <c r="AE387" s="1025"/>
      <c r="AF387" s="1030"/>
      <c r="AG387" s="690"/>
      <c r="AH387" s="690"/>
      <c r="AI387" s="696">
        <f t="shared" si="48"/>
        <v>8064702</v>
      </c>
      <c r="AJ387" s="697">
        <f t="shared" si="49"/>
        <v>8225576</v>
      </c>
    </row>
    <row r="388" spans="1:36" s="700" customFormat="1" ht="12.75" customHeight="1">
      <c r="A388" s="719" t="s">
        <v>203</v>
      </c>
      <c r="B388" s="719" t="s">
        <v>392</v>
      </c>
      <c r="C388" s="720" t="s">
        <v>609</v>
      </c>
      <c r="D388" s="720"/>
      <c r="E388" s="721">
        <v>106883</v>
      </c>
      <c r="F388" s="722">
        <v>10</v>
      </c>
      <c r="G388" s="1025">
        <v>6376338</v>
      </c>
      <c r="H388" s="690">
        <v>6481981</v>
      </c>
      <c r="I388" s="1030"/>
      <c r="J388" s="690"/>
      <c r="K388" s="1030"/>
      <c r="L388" s="690"/>
      <c r="M388" s="1025">
        <v>2923060.37</v>
      </c>
      <c r="N388" s="1030"/>
      <c r="O388" s="692">
        <f t="shared" si="50"/>
        <v>2923060.37</v>
      </c>
      <c r="P388" s="690">
        <v>2100000</v>
      </c>
      <c r="Q388" s="690"/>
      <c r="R388" s="691">
        <f t="shared" si="43"/>
        <v>2100000</v>
      </c>
      <c r="S388" s="692">
        <f t="shared" si="44"/>
        <v>9299398.370000001</v>
      </c>
      <c r="T388" s="693">
        <f t="shared" si="45"/>
        <v>8581981</v>
      </c>
      <c r="U388" s="1035"/>
      <c r="V388" s="690"/>
      <c r="W388" s="1025"/>
      <c r="X388" s="1030"/>
      <c r="Y388" s="694">
        <f t="shared" si="46"/>
        <v>0</v>
      </c>
      <c r="Z388" s="690"/>
      <c r="AA388" s="690"/>
      <c r="AB388" s="695">
        <f t="shared" si="47"/>
        <v>0</v>
      </c>
      <c r="AC388" s="1035"/>
      <c r="AD388" s="690"/>
      <c r="AE388" s="1025"/>
      <c r="AF388" s="1030"/>
      <c r="AG388" s="690"/>
      <c r="AH388" s="690"/>
      <c r="AI388" s="696">
        <f t="shared" si="48"/>
        <v>9299398.370000001</v>
      </c>
      <c r="AJ388" s="697">
        <f t="shared" si="49"/>
        <v>8581981</v>
      </c>
    </row>
    <row r="389" spans="1:36" s="700" customFormat="1" ht="12.75" customHeight="1">
      <c r="A389" s="719" t="s">
        <v>203</v>
      </c>
      <c r="B389" s="719" t="s">
        <v>392</v>
      </c>
      <c r="C389" s="720" t="s">
        <v>610</v>
      </c>
      <c r="D389" s="720"/>
      <c r="E389" s="721">
        <v>107318</v>
      </c>
      <c r="F389" s="722">
        <v>10</v>
      </c>
      <c r="G389" s="1025">
        <v>5584991</v>
      </c>
      <c r="H389" s="690">
        <v>5893961</v>
      </c>
      <c r="I389" s="1030"/>
      <c r="J389" s="690"/>
      <c r="K389" s="1030">
        <v>82632</v>
      </c>
      <c r="L389" s="690">
        <v>80000</v>
      </c>
      <c r="M389" s="1025">
        <v>3785433</v>
      </c>
      <c r="N389" s="1030"/>
      <c r="O389" s="692">
        <f t="shared" si="50"/>
        <v>3785433</v>
      </c>
      <c r="P389" s="690">
        <v>3827895</v>
      </c>
      <c r="Q389" s="690"/>
      <c r="R389" s="691">
        <f t="shared" si="43"/>
        <v>3827895</v>
      </c>
      <c r="S389" s="692">
        <f t="shared" si="44"/>
        <v>9453056</v>
      </c>
      <c r="T389" s="693">
        <f t="shared" si="45"/>
        <v>9801856</v>
      </c>
      <c r="U389" s="1035"/>
      <c r="V389" s="690"/>
      <c r="W389" s="1025"/>
      <c r="X389" s="1030"/>
      <c r="Y389" s="694">
        <f t="shared" si="46"/>
        <v>0</v>
      </c>
      <c r="Z389" s="690"/>
      <c r="AA389" s="690"/>
      <c r="AB389" s="695">
        <f t="shared" si="47"/>
        <v>0</v>
      </c>
      <c r="AC389" s="1035"/>
      <c r="AD389" s="690"/>
      <c r="AE389" s="1025"/>
      <c r="AF389" s="1030"/>
      <c r="AG389" s="690"/>
      <c r="AH389" s="690"/>
      <c r="AI389" s="696">
        <f t="shared" si="48"/>
        <v>9453056</v>
      </c>
      <c r="AJ389" s="697">
        <f t="shared" si="49"/>
        <v>9801856</v>
      </c>
    </row>
    <row r="390" spans="1:36" s="700" customFormat="1" ht="12.75" customHeight="1">
      <c r="A390" s="719" t="s">
        <v>203</v>
      </c>
      <c r="B390" s="719" t="s">
        <v>392</v>
      </c>
      <c r="C390" s="1042" t="s">
        <v>611</v>
      </c>
      <c r="D390" s="1043" t="s">
        <v>1908</v>
      </c>
      <c r="E390" s="721">
        <v>106980</v>
      </c>
      <c r="F390" s="1044">
        <v>9</v>
      </c>
      <c r="G390" s="1025">
        <v>10349878</v>
      </c>
      <c r="H390" s="690">
        <v>10579127</v>
      </c>
      <c r="I390" s="1030"/>
      <c r="J390" s="690"/>
      <c r="K390" s="1030"/>
      <c r="L390" s="690"/>
      <c r="M390" s="1025">
        <v>6623655</v>
      </c>
      <c r="N390" s="1030"/>
      <c r="O390" s="692">
        <f t="shared" si="50"/>
        <v>6623655</v>
      </c>
      <c r="P390" s="690">
        <v>6650380</v>
      </c>
      <c r="Q390" s="690"/>
      <c r="R390" s="691">
        <f t="shared" si="43"/>
        <v>6650380</v>
      </c>
      <c r="S390" s="692">
        <f t="shared" si="44"/>
        <v>16973533</v>
      </c>
      <c r="T390" s="693">
        <f t="shared" si="45"/>
        <v>17229507</v>
      </c>
      <c r="U390" s="1035"/>
      <c r="V390" s="690"/>
      <c r="W390" s="1025"/>
      <c r="X390" s="1030"/>
      <c r="Y390" s="694">
        <f t="shared" si="46"/>
        <v>0</v>
      </c>
      <c r="Z390" s="690"/>
      <c r="AA390" s="690"/>
      <c r="AB390" s="695">
        <f t="shared" si="47"/>
        <v>0</v>
      </c>
      <c r="AC390" s="1035"/>
      <c r="AD390" s="690"/>
      <c r="AE390" s="1025"/>
      <c r="AF390" s="1030"/>
      <c r="AG390" s="690"/>
      <c r="AH390" s="690"/>
      <c r="AI390" s="696">
        <f t="shared" si="48"/>
        <v>16973533</v>
      </c>
      <c r="AJ390" s="697">
        <f t="shared" si="49"/>
        <v>17229507</v>
      </c>
    </row>
    <row r="391" spans="1:36" s="700" customFormat="1" ht="12.75" customHeight="1">
      <c r="A391" s="719" t="s">
        <v>203</v>
      </c>
      <c r="B391" s="719" t="s">
        <v>392</v>
      </c>
      <c r="C391" s="720" t="s">
        <v>612</v>
      </c>
      <c r="D391" s="720"/>
      <c r="E391" s="721">
        <v>107460</v>
      </c>
      <c r="F391" s="722">
        <v>10</v>
      </c>
      <c r="G391" s="1025">
        <v>8694915</v>
      </c>
      <c r="H391" s="690">
        <v>8927798</v>
      </c>
      <c r="I391" s="1030"/>
      <c r="J391" s="690"/>
      <c r="K391" s="1030"/>
      <c r="L391" s="690"/>
      <c r="M391" s="1025">
        <v>4304046</v>
      </c>
      <c r="N391" s="1030"/>
      <c r="O391" s="692">
        <f t="shared" si="50"/>
        <v>4304046</v>
      </c>
      <c r="P391" s="690">
        <v>4326400</v>
      </c>
      <c r="Q391" s="690"/>
      <c r="R391" s="691">
        <f t="shared" si="43"/>
        <v>4326400</v>
      </c>
      <c r="S391" s="692">
        <f t="shared" si="44"/>
        <v>12998961</v>
      </c>
      <c r="T391" s="693">
        <f t="shared" si="45"/>
        <v>13254198</v>
      </c>
      <c r="U391" s="1035"/>
      <c r="V391" s="690"/>
      <c r="W391" s="1025"/>
      <c r="X391" s="1030"/>
      <c r="Y391" s="694">
        <f t="shared" si="46"/>
        <v>0</v>
      </c>
      <c r="Z391" s="690"/>
      <c r="AA391" s="690"/>
      <c r="AB391" s="695">
        <f t="shared" si="47"/>
        <v>0</v>
      </c>
      <c r="AC391" s="1035"/>
      <c r="AD391" s="690"/>
      <c r="AE391" s="1025"/>
      <c r="AF391" s="1030"/>
      <c r="AG391" s="690"/>
      <c r="AH391" s="690"/>
      <c r="AI391" s="696">
        <f t="shared" si="48"/>
        <v>12998961</v>
      </c>
      <c r="AJ391" s="697">
        <f t="shared" si="49"/>
        <v>13254198</v>
      </c>
    </row>
    <row r="392" spans="1:36" s="700" customFormat="1" ht="12.75" customHeight="1">
      <c r="A392" s="719" t="s">
        <v>203</v>
      </c>
      <c r="B392" s="719" t="s">
        <v>392</v>
      </c>
      <c r="C392" s="720" t="s">
        <v>613</v>
      </c>
      <c r="D392" s="720"/>
      <c r="E392" s="721">
        <v>107521</v>
      </c>
      <c r="F392" s="722">
        <v>10</v>
      </c>
      <c r="G392" s="1025">
        <v>4414729</v>
      </c>
      <c r="H392" s="690">
        <v>4615668</v>
      </c>
      <c r="I392" s="1030"/>
      <c r="J392" s="690"/>
      <c r="K392" s="1030"/>
      <c r="L392" s="690"/>
      <c r="M392" s="1025">
        <v>2571115</v>
      </c>
      <c r="N392" s="1030"/>
      <c r="O392" s="692">
        <f t="shared" si="50"/>
        <v>2571115</v>
      </c>
      <c r="P392" s="690">
        <v>1965848</v>
      </c>
      <c r="Q392" s="690"/>
      <c r="R392" s="691">
        <f t="shared" si="43"/>
        <v>1965848</v>
      </c>
      <c r="S392" s="692">
        <f t="shared" si="44"/>
        <v>6985844</v>
      </c>
      <c r="T392" s="693">
        <f t="shared" si="45"/>
        <v>6581516</v>
      </c>
      <c r="U392" s="1035"/>
      <c r="V392" s="690"/>
      <c r="W392" s="1025"/>
      <c r="X392" s="1030"/>
      <c r="Y392" s="694">
        <f t="shared" si="46"/>
        <v>0</v>
      </c>
      <c r="Z392" s="690"/>
      <c r="AA392" s="690"/>
      <c r="AB392" s="695">
        <f t="shared" si="47"/>
        <v>0</v>
      </c>
      <c r="AC392" s="1035"/>
      <c r="AD392" s="690"/>
      <c r="AE392" s="1025"/>
      <c r="AF392" s="1030"/>
      <c r="AG392" s="690"/>
      <c r="AH392" s="690"/>
      <c r="AI392" s="696">
        <f t="shared" si="48"/>
        <v>6985844</v>
      </c>
      <c r="AJ392" s="697">
        <f t="shared" si="49"/>
        <v>6581516</v>
      </c>
    </row>
    <row r="393" spans="1:36" s="700" customFormat="1" ht="12.75" customHeight="1">
      <c r="A393" s="719" t="s">
        <v>203</v>
      </c>
      <c r="B393" s="719" t="s">
        <v>392</v>
      </c>
      <c r="C393" s="720" t="s">
        <v>614</v>
      </c>
      <c r="D393" s="720"/>
      <c r="E393" s="721">
        <v>107549</v>
      </c>
      <c r="F393" s="722">
        <v>10</v>
      </c>
      <c r="G393" s="1025">
        <v>3981489</v>
      </c>
      <c r="H393" s="690">
        <v>4179930</v>
      </c>
      <c r="I393" s="1030"/>
      <c r="J393" s="690"/>
      <c r="K393" s="1030"/>
      <c r="L393" s="690"/>
      <c r="M393" s="1025">
        <v>2863626</v>
      </c>
      <c r="N393" s="1030"/>
      <c r="O393" s="692">
        <f t="shared" si="50"/>
        <v>2863626</v>
      </c>
      <c r="P393" s="690">
        <v>3020950</v>
      </c>
      <c r="Q393" s="690"/>
      <c r="R393" s="691">
        <f t="shared" si="43"/>
        <v>3020950</v>
      </c>
      <c r="S393" s="692">
        <f t="shared" si="44"/>
        <v>6845115</v>
      </c>
      <c r="T393" s="693">
        <f t="shared" si="45"/>
        <v>7200880</v>
      </c>
      <c r="U393" s="1035"/>
      <c r="V393" s="690"/>
      <c r="W393" s="1025"/>
      <c r="X393" s="1030"/>
      <c r="Y393" s="694">
        <f t="shared" si="46"/>
        <v>0</v>
      </c>
      <c r="Z393" s="690"/>
      <c r="AA393" s="690"/>
      <c r="AB393" s="695">
        <f t="shared" si="47"/>
        <v>0</v>
      </c>
      <c r="AC393" s="1035"/>
      <c r="AD393" s="690"/>
      <c r="AE393" s="1025"/>
      <c r="AF393" s="1030"/>
      <c r="AG393" s="690"/>
      <c r="AH393" s="690"/>
      <c r="AI393" s="696">
        <f t="shared" si="48"/>
        <v>6845115</v>
      </c>
      <c r="AJ393" s="697">
        <f t="shared" si="49"/>
        <v>7200880</v>
      </c>
    </row>
    <row r="394" spans="1:36" s="700" customFormat="1" ht="12.75" customHeight="1">
      <c r="A394" s="719" t="s">
        <v>203</v>
      </c>
      <c r="B394" s="719" t="s">
        <v>392</v>
      </c>
      <c r="C394" s="720" t="s">
        <v>615</v>
      </c>
      <c r="D394" s="720"/>
      <c r="E394" s="721">
        <v>107619</v>
      </c>
      <c r="F394" s="722">
        <v>10</v>
      </c>
      <c r="G394" s="1025">
        <v>10006534</v>
      </c>
      <c r="H394" s="690">
        <v>10247276</v>
      </c>
      <c r="I394" s="1030"/>
      <c r="J394" s="690"/>
      <c r="K394" s="1030">
        <v>1758374</v>
      </c>
      <c r="L394" s="690">
        <v>1750000</v>
      </c>
      <c r="M394" s="1025">
        <v>3160368</v>
      </c>
      <c r="N394" s="1030"/>
      <c r="O394" s="692">
        <f t="shared" ref="O394:O457" si="51">SUM(M394:N394)</f>
        <v>3160368</v>
      </c>
      <c r="P394" s="690">
        <v>3152000</v>
      </c>
      <c r="Q394" s="690"/>
      <c r="R394" s="691">
        <f t="shared" ref="R394:R457" si="52">SUM(P394:Q394)</f>
        <v>3152000</v>
      </c>
      <c r="S394" s="692">
        <f t="shared" ref="S394:S457" si="53">SUM(G394,I394,K394,M394)</f>
        <v>14925276</v>
      </c>
      <c r="T394" s="693">
        <f t="shared" ref="T394:T457" si="54">SUM(H394,J394,L394,P394)</f>
        <v>15149276</v>
      </c>
      <c r="U394" s="1035"/>
      <c r="V394" s="690"/>
      <c r="W394" s="1025"/>
      <c r="X394" s="1030"/>
      <c r="Y394" s="694">
        <f t="shared" ref="Y394:Y457" si="55">SUM(W394:X394)</f>
        <v>0</v>
      </c>
      <c r="Z394" s="690"/>
      <c r="AA394" s="690"/>
      <c r="AB394" s="695">
        <f t="shared" ref="AB394:AB457" si="56">SUM(Z394:AA394)</f>
        <v>0</v>
      </c>
      <c r="AC394" s="1035"/>
      <c r="AD394" s="690"/>
      <c r="AE394" s="1025"/>
      <c r="AF394" s="1030"/>
      <c r="AG394" s="690"/>
      <c r="AH394" s="690"/>
      <c r="AI394" s="696">
        <f t="shared" ref="AI394:AI457" si="57">SUM(S394,U394,W394,AC394,AE394)</f>
        <v>14925276</v>
      </c>
      <c r="AJ394" s="697">
        <f t="shared" ref="AJ394:AJ457" si="58">SUM(T394,V394,Z394,AD394,AG394)</f>
        <v>15149276</v>
      </c>
    </row>
    <row r="395" spans="1:36" s="700" customFormat="1" ht="12.75" customHeight="1">
      <c r="A395" s="719" t="s">
        <v>203</v>
      </c>
      <c r="B395" s="719" t="s">
        <v>392</v>
      </c>
      <c r="C395" s="720" t="s">
        <v>616</v>
      </c>
      <c r="D395" s="720"/>
      <c r="E395" s="721">
        <v>107743</v>
      </c>
      <c r="F395" s="722">
        <v>10</v>
      </c>
      <c r="G395" s="1025">
        <v>3314431</v>
      </c>
      <c r="H395" s="690">
        <v>3384422</v>
      </c>
      <c r="I395" s="1030"/>
      <c r="J395" s="690"/>
      <c r="K395" s="1030"/>
      <c r="L395" s="690"/>
      <c r="M395" s="1025">
        <v>1481069.08</v>
      </c>
      <c r="N395" s="1030"/>
      <c r="O395" s="692">
        <f t="shared" si="51"/>
        <v>1481069.08</v>
      </c>
      <c r="P395" s="690">
        <v>1419925</v>
      </c>
      <c r="Q395" s="690"/>
      <c r="R395" s="691">
        <f t="shared" si="52"/>
        <v>1419925</v>
      </c>
      <c r="S395" s="692">
        <f t="shared" si="53"/>
        <v>4795500.08</v>
      </c>
      <c r="T395" s="693">
        <f t="shared" si="54"/>
        <v>4804347</v>
      </c>
      <c r="U395" s="1035"/>
      <c r="V395" s="690"/>
      <c r="W395" s="1025"/>
      <c r="X395" s="1030"/>
      <c r="Y395" s="694">
        <f t="shared" si="55"/>
        <v>0</v>
      </c>
      <c r="Z395" s="690"/>
      <c r="AA395" s="690"/>
      <c r="AB395" s="695">
        <f t="shared" si="56"/>
        <v>0</v>
      </c>
      <c r="AC395" s="1035"/>
      <c r="AD395" s="690"/>
      <c r="AE395" s="1025"/>
      <c r="AF395" s="1030"/>
      <c r="AG395" s="690"/>
      <c r="AH395" s="690"/>
      <c r="AI395" s="696">
        <f t="shared" si="57"/>
        <v>4795500.08</v>
      </c>
      <c r="AJ395" s="697">
        <f t="shared" si="58"/>
        <v>4804347</v>
      </c>
    </row>
    <row r="396" spans="1:36" s="700" customFormat="1" ht="12.75" customHeight="1">
      <c r="A396" s="719" t="s">
        <v>203</v>
      </c>
      <c r="B396" s="719" t="s">
        <v>392</v>
      </c>
      <c r="C396" s="720" t="s">
        <v>617</v>
      </c>
      <c r="D396" s="720"/>
      <c r="E396" s="721">
        <v>107974</v>
      </c>
      <c r="F396" s="722">
        <v>10</v>
      </c>
      <c r="G396" s="1025">
        <v>6743167</v>
      </c>
      <c r="H396" s="690">
        <v>6911616</v>
      </c>
      <c r="I396" s="1030"/>
      <c r="J396" s="690"/>
      <c r="K396" s="1030"/>
      <c r="L396" s="690"/>
      <c r="M396" s="1025">
        <v>3979476</v>
      </c>
      <c r="N396" s="1030"/>
      <c r="O396" s="692">
        <f t="shared" si="51"/>
        <v>3979476</v>
      </c>
      <c r="P396" s="690">
        <v>3795582</v>
      </c>
      <c r="Q396" s="690"/>
      <c r="R396" s="691">
        <f t="shared" si="52"/>
        <v>3795582</v>
      </c>
      <c r="S396" s="692">
        <f t="shared" si="53"/>
        <v>10722643</v>
      </c>
      <c r="T396" s="693">
        <f t="shared" si="54"/>
        <v>10707198</v>
      </c>
      <c r="U396" s="1035"/>
      <c r="V396" s="690"/>
      <c r="W396" s="1025"/>
      <c r="X396" s="1030"/>
      <c r="Y396" s="694">
        <f t="shared" si="55"/>
        <v>0</v>
      </c>
      <c r="Z396" s="690"/>
      <c r="AA396" s="690"/>
      <c r="AB396" s="695">
        <f t="shared" si="56"/>
        <v>0</v>
      </c>
      <c r="AC396" s="1035"/>
      <c r="AD396" s="690"/>
      <c r="AE396" s="1025"/>
      <c r="AF396" s="1030"/>
      <c r="AG396" s="690"/>
      <c r="AH396" s="690"/>
      <c r="AI396" s="696">
        <f t="shared" si="57"/>
        <v>10722643</v>
      </c>
      <c r="AJ396" s="697">
        <f t="shared" si="58"/>
        <v>10707198</v>
      </c>
    </row>
    <row r="397" spans="1:36" s="700" customFormat="1" ht="12.75" customHeight="1">
      <c r="A397" s="719" t="s">
        <v>203</v>
      </c>
      <c r="B397" s="719" t="s">
        <v>392</v>
      </c>
      <c r="C397" s="720" t="s">
        <v>618</v>
      </c>
      <c r="D397" s="720"/>
      <c r="E397" s="721">
        <v>107637</v>
      </c>
      <c r="F397" s="722">
        <v>10</v>
      </c>
      <c r="G397" s="1025">
        <v>7197648</v>
      </c>
      <c r="H397" s="690">
        <v>7532013</v>
      </c>
      <c r="I397" s="1030"/>
      <c r="J397" s="690"/>
      <c r="K397" s="1030"/>
      <c r="L397" s="690"/>
      <c r="M397" s="1025">
        <v>4091285</v>
      </c>
      <c r="N397" s="1030"/>
      <c r="O397" s="692">
        <f t="shared" si="51"/>
        <v>4091285</v>
      </c>
      <c r="P397" s="690">
        <v>3752415</v>
      </c>
      <c r="Q397" s="690"/>
      <c r="R397" s="691">
        <f t="shared" si="52"/>
        <v>3752415</v>
      </c>
      <c r="S397" s="692">
        <f t="shared" si="53"/>
        <v>11288933</v>
      </c>
      <c r="T397" s="693">
        <f t="shared" si="54"/>
        <v>11284428</v>
      </c>
      <c r="U397" s="1035"/>
      <c r="V397" s="690"/>
      <c r="W397" s="1025"/>
      <c r="X397" s="1030"/>
      <c r="Y397" s="694">
        <f t="shared" si="55"/>
        <v>0</v>
      </c>
      <c r="Z397" s="690"/>
      <c r="AA397" s="690"/>
      <c r="AB397" s="695">
        <f t="shared" si="56"/>
        <v>0</v>
      </c>
      <c r="AC397" s="1035"/>
      <c r="AD397" s="690"/>
      <c r="AE397" s="1025"/>
      <c r="AF397" s="1030"/>
      <c r="AG397" s="690"/>
      <c r="AH397" s="690"/>
      <c r="AI397" s="696">
        <f t="shared" si="57"/>
        <v>11288933</v>
      </c>
      <c r="AJ397" s="697">
        <f t="shared" si="58"/>
        <v>11284428</v>
      </c>
    </row>
    <row r="398" spans="1:36" s="700" customFormat="1" ht="12.75" customHeight="1">
      <c r="A398" s="719" t="s">
        <v>203</v>
      </c>
      <c r="B398" s="719" t="s">
        <v>392</v>
      </c>
      <c r="C398" s="720" t="s">
        <v>619</v>
      </c>
      <c r="D398" s="720"/>
      <c r="E398" s="721">
        <v>107992</v>
      </c>
      <c r="F398" s="722">
        <v>10</v>
      </c>
      <c r="G398" s="1025">
        <v>5668295</v>
      </c>
      <c r="H398" s="690">
        <v>5798707</v>
      </c>
      <c r="I398" s="1030"/>
      <c r="J398" s="690"/>
      <c r="K398" s="1030"/>
      <c r="L398" s="690"/>
      <c r="M398" s="1025">
        <v>4110949</v>
      </c>
      <c r="N398" s="1030"/>
      <c r="O398" s="692">
        <f t="shared" si="51"/>
        <v>4110949</v>
      </c>
      <c r="P398" s="690">
        <v>4214555</v>
      </c>
      <c r="Q398" s="690"/>
      <c r="R398" s="691">
        <f t="shared" si="52"/>
        <v>4214555</v>
      </c>
      <c r="S398" s="692">
        <f t="shared" si="53"/>
        <v>9779244</v>
      </c>
      <c r="T398" s="693">
        <f t="shared" si="54"/>
        <v>10013262</v>
      </c>
      <c r="U398" s="1035"/>
      <c r="V398" s="690"/>
      <c r="W398" s="1025"/>
      <c r="X398" s="1030"/>
      <c r="Y398" s="694">
        <f t="shared" si="55"/>
        <v>0</v>
      </c>
      <c r="Z398" s="690"/>
      <c r="AA398" s="690"/>
      <c r="AB398" s="695">
        <f t="shared" si="56"/>
        <v>0</v>
      </c>
      <c r="AC398" s="1035"/>
      <c r="AD398" s="690"/>
      <c r="AE398" s="1025"/>
      <c r="AF398" s="1030"/>
      <c r="AG398" s="690"/>
      <c r="AH398" s="690"/>
      <c r="AI398" s="696">
        <f t="shared" si="57"/>
        <v>9779244</v>
      </c>
      <c r="AJ398" s="697">
        <f t="shared" si="58"/>
        <v>10013262</v>
      </c>
    </row>
    <row r="399" spans="1:36" s="700" customFormat="1" ht="12.75" customHeight="1">
      <c r="A399" s="719" t="s">
        <v>203</v>
      </c>
      <c r="B399" s="719" t="s">
        <v>394</v>
      </c>
      <c r="C399" s="726" t="s">
        <v>620</v>
      </c>
      <c r="D399" s="726"/>
      <c r="E399" s="721">
        <v>107992</v>
      </c>
      <c r="F399" s="722">
        <v>10</v>
      </c>
      <c r="G399" s="1025"/>
      <c r="H399" s="690"/>
      <c r="I399" s="1030">
        <v>2085557</v>
      </c>
      <c r="J399" s="690">
        <v>2130018</v>
      </c>
      <c r="K399" s="1030"/>
      <c r="L399" s="690"/>
      <c r="M399" s="1025">
        <v>543836</v>
      </c>
      <c r="N399" s="1030"/>
      <c r="O399" s="692">
        <f t="shared" si="51"/>
        <v>543836</v>
      </c>
      <c r="P399" s="690">
        <v>562580</v>
      </c>
      <c r="Q399" s="690"/>
      <c r="R399" s="691">
        <f t="shared" si="52"/>
        <v>562580</v>
      </c>
      <c r="S399" s="692">
        <f t="shared" si="53"/>
        <v>2629393</v>
      </c>
      <c r="T399" s="693">
        <f t="shared" si="54"/>
        <v>2692598</v>
      </c>
      <c r="U399" s="1035"/>
      <c r="V399" s="690"/>
      <c r="W399" s="1025"/>
      <c r="X399" s="1030"/>
      <c r="Y399" s="694">
        <f t="shared" si="55"/>
        <v>0</v>
      </c>
      <c r="Z399" s="690"/>
      <c r="AA399" s="690"/>
      <c r="AB399" s="695">
        <f t="shared" si="56"/>
        <v>0</v>
      </c>
      <c r="AC399" s="1035"/>
      <c r="AD399" s="690"/>
      <c r="AE399" s="1025"/>
      <c r="AF399" s="1030"/>
      <c r="AG399" s="690"/>
      <c r="AH399" s="690"/>
      <c r="AI399" s="696">
        <f t="shared" si="57"/>
        <v>2629393</v>
      </c>
      <c r="AJ399" s="697">
        <f t="shared" si="58"/>
        <v>2692598</v>
      </c>
    </row>
    <row r="400" spans="1:36" s="700" customFormat="1" ht="12.75" customHeight="1">
      <c r="A400" s="719" t="s">
        <v>203</v>
      </c>
      <c r="B400" s="719" t="s">
        <v>392</v>
      </c>
      <c r="C400" s="720" t="s">
        <v>621</v>
      </c>
      <c r="D400" s="720"/>
      <c r="E400" s="721">
        <v>106999</v>
      </c>
      <c r="F400" s="722">
        <v>10</v>
      </c>
      <c r="G400" s="1025">
        <v>4666655</v>
      </c>
      <c r="H400" s="690">
        <v>4852307</v>
      </c>
      <c r="I400" s="1030"/>
      <c r="J400" s="690"/>
      <c r="K400" s="1030">
        <v>1203834</v>
      </c>
      <c r="L400" s="690">
        <v>1200000</v>
      </c>
      <c r="M400" s="1025">
        <v>3650284</v>
      </c>
      <c r="N400" s="1030"/>
      <c r="O400" s="692">
        <f t="shared" si="51"/>
        <v>3650284</v>
      </c>
      <c r="P400" s="690">
        <v>3745179</v>
      </c>
      <c r="Q400" s="690"/>
      <c r="R400" s="691">
        <f t="shared" si="52"/>
        <v>3745179</v>
      </c>
      <c r="S400" s="692">
        <f t="shared" si="53"/>
        <v>9520773</v>
      </c>
      <c r="T400" s="693">
        <f t="shared" si="54"/>
        <v>9797486</v>
      </c>
      <c r="U400" s="1035"/>
      <c r="V400" s="690"/>
      <c r="W400" s="1025"/>
      <c r="X400" s="1030"/>
      <c r="Y400" s="694">
        <f t="shared" si="55"/>
        <v>0</v>
      </c>
      <c r="Z400" s="690"/>
      <c r="AA400" s="690"/>
      <c r="AB400" s="695">
        <f t="shared" si="56"/>
        <v>0</v>
      </c>
      <c r="AC400" s="1035"/>
      <c r="AD400" s="690"/>
      <c r="AE400" s="1025"/>
      <c r="AF400" s="1030"/>
      <c r="AG400" s="690"/>
      <c r="AH400" s="690"/>
      <c r="AI400" s="696">
        <f t="shared" si="57"/>
        <v>9520773</v>
      </c>
      <c r="AJ400" s="697">
        <f t="shared" si="58"/>
        <v>9797486</v>
      </c>
    </row>
    <row r="401" spans="1:36" s="700" customFormat="1" ht="12.75" customHeight="1">
      <c r="A401" s="719" t="s">
        <v>203</v>
      </c>
      <c r="B401" s="719" t="s">
        <v>392</v>
      </c>
      <c r="C401" s="720" t="s">
        <v>622</v>
      </c>
      <c r="D401" s="720"/>
      <c r="E401" s="721">
        <v>107725</v>
      </c>
      <c r="F401" s="722">
        <v>10</v>
      </c>
      <c r="G401" s="1025">
        <v>6067641</v>
      </c>
      <c r="H401" s="690">
        <v>6371618</v>
      </c>
      <c r="I401" s="1030"/>
      <c r="J401" s="690"/>
      <c r="K401" s="1030">
        <v>689762</v>
      </c>
      <c r="L401" s="690">
        <v>650000</v>
      </c>
      <c r="M401" s="1025">
        <v>2410218</v>
      </c>
      <c r="N401" s="1030"/>
      <c r="O401" s="692">
        <f t="shared" si="51"/>
        <v>2410218</v>
      </c>
      <c r="P401" s="690">
        <v>2328221</v>
      </c>
      <c r="Q401" s="690"/>
      <c r="R401" s="691">
        <f t="shared" si="52"/>
        <v>2328221</v>
      </c>
      <c r="S401" s="692">
        <f t="shared" si="53"/>
        <v>9167621</v>
      </c>
      <c r="T401" s="693">
        <f t="shared" si="54"/>
        <v>9349839</v>
      </c>
      <c r="U401" s="1035"/>
      <c r="V401" s="690"/>
      <c r="W401" s="1025"/>
      <c r="X401" s="1030"/>
      <c r="Y401" s="694">
        <f t="shared" si="55"/>
        <v>0</v>
      </c>
      <c r="Z401" s="690"/>
      <c r="AA401" s="690"/>
      <c r="AB401" s="695">
        <f t="shared" si="56"/>
        <v>0</v>
      </c>
      <c r="AC401" s="1035"/>
      <c r="AD401" s="690"/>
      <c r="AE401" s="1025"/>
      <c r="AF401" s="1030"/>
      <c r="AG401" s="690"/>
      <c r="AH401" s="690"/>
      <c r="AI401" s="696">
        <f t="shared" si="57"/>
        <v>9167621</v>
      </c>
      <c r="AJ401" s="697">
        <f t="shared" si="58"/>
        <v>9349839</v>
      </c>
    </row>
    <row r="402" spans="1:36" s="700" customFormat="1" ht="12.75" customHeight="1">
      <c r="A402" s="719" t="s">
        <v>203</v>
      </c>
      <c r="B402" s="719" t="s">
        <v>392</v>
      </c>
      <c r="C402" s="720" t="s">
        <v>623</v>
      </c>
      <c r="D402" s="720"/>
      <c r="E402" s="721">
        <v>107585</v>
      </c>
      <c r="F402" s="722">
        <v>10</v>
      </c>
      <c r="G402" s="1025">
        <v>5729750</v>
      </c>
      <c r="H402" s="690">
        <v>5974770</v>
      </c>
      <c r="I402" s="1030"/>
      <c r="J402" s="690"/>
      <c r="K402" s="1030">
        <v>639865</v>
      </c>
      <c r="L402" s="690">
        <v>625000</v>
      </c>
      <c r="M402" s="1025">
        <v>5652061</v>
      </c>
      <c r="N402" s="1030"/>
      <c r="O402" s="692">
        <f t="shared" si="51"/>
        <v>5652061</v>
      </c>
      <c r="P402" s="690">
        <v>6072974</v>
      </c>
      <c r="Q402" s="690"/>
      <c r="R402" s="691">
        <f t="shared" si="52"/>
        <v>6072974</v>
      </c>
      <c r="S402" s="692">
        <f t="shared" si="53"/>
        <v>12021676</v>
      </c>
      <c r="T402" s="693">
        <f t="shared" si="54"/>
        <v>12672744</v>
      </c>
      <c r="U402" s="1035"/>
      <c r="V402" s="690"/>
      <c r="W402" s="1025"/>
      <c r="X402" s="1030"/>
      <c r="Y402" s="694">
        <f t="shared" si="55"/>
        <v>0</v>
      </c>
      <c r="Z402" s="690"/>
      <c r="AA402" s="690"/>
      <c r="AB402" s="695">
        <f t="shared" si="56"/>
        <v>0</v>
      </c>
      <c r="AC402" s="1035"/>
      <c r="AD402" s="690"/>
      <c r="AE402" s="1025"/>
      <c r="AF402" s="1030"/>
      <c r="AG402" s="690"/>
      <c r="AH402" s="690"/>
      <c r="AI402" s="696">
        <f t="shared" si="57"/>
        <v>12021676</v>
      </c>
      <c r="AJ402" s="697">
        <f t="shared" si="58"/>
        <v>12672744</v>
      </c>
    </row>
    <row r="403" spans="1:36" s="700" customFormat="1" ht="12.75" customHeight="1">
      <c r="A403" s="719" t="s">
        <v>203</v>
      </c>
      <c r="B403" s="719" t="s">
        <v>429</v>
      </c>
      <c r="C403" s="720" t="s">
        <v>624</v>
      </c>
      <c r="D403" s="720"/>
      <c r="E403" s="721">
        <v>106263</v>
      </c>
      <c r="F403" s="722">
        <v>15</v>
      </c>
      <c r="G403" s="1025"/>
      <c r="H403" s="690"/>
      <c r="I403" s="1030"/>
      <c r="J403" s="690"/>
      <c r="K403" s="1030"/>
      <c r="L403" s="690"/>
      <c r="M403" s="1025"/>
      <c r="N403" s="1030"/>
      <c r="O403" s="692">
        <f t="shared" si="51"/>
        <v>0</v>
      </c>
      <c r="P403" s="690"/>
      <c r="Q403" s="690"/>
      <c r="R403" s="691">
        <f t="shared" si="52"/>
        <v>0</v>
      </c>
      <c r="S403" s="692">
        <f t="shared" si="53"/>
        <v>0</v>
      </c>
      <c r="T403" s="693">
        <f t="shared" si="54"/>
        <v>0</v>
      </c>
      <c r="U403" s="1035"/>
      <c r="V403" s="690"/>
      <c r="W403" s="1025"/>
      <c r="X403" s="1030"/>
      <c r="Y403" s="694">
        <f t="shared" si="55"/>
        <v>0</v>
      </c>
      <c r="Z403" s="690"/>
      <c r="AA403" s="690"/>
      <c r="AB403" s="695">
        <f t="shared" si="56"/>
        <v>0</v>
      </c>
      <c r="AC403" s="1035">
        <v>110155737</v>
      </c>
      <c r="AD403" s="690">
        <v>112265445</v>
      </c>
      <c r="AE403" s="1025">
        <v>21753119</v>
      </c>
      <c r="AF403" s="1030">
        <v>28520211</v>
      </c>
      <c r="AG403" s="690"/>
      <c r="AH403" s="690"/>
      <c r="AI403" s="696">
        <f t="shared" si="57"/>
        <v>131908856</v>
      </c>
      <c r="AJ403" s="697">
        <f t="shared" si="58"/>
        <v>112265445</v>
      </c>
    </row>
    <row r="404" spans="1:36" s="700" customFormat="1" ht="12.75" customHeight="1">
      <c r="A404" s="719" t="s">
        <v>203</v>
      </c>
      <c r="B404" s="719" t="s">
        <v>431</v>
      </c>
      <c r="C404" s="727" t="s">
        <v>625</v>
      </c>
      <c r="D404" s="727"/>
      <c r="E404" s="721"/>
      <c r="F404" s="722"/>
      <c r="G404" s="1025"/>
      <c r="H404" s="690"/>
      <c r="I404" s="1030"/>
      <c r="J404" s="690"/>
      <c r="K404" s="1030"/>
      <c r="L404" s="690"/>
      <c r="M404" s="1025"/>
      <c r="N404" s="1030"/>
      <c r="O404" s="692">
        <f t="shared" si="51"/>
        <v>0</v>
      </c>
      <c r="P404" s="690"/>
      <c r="Q404" s="690"/>
      <c r="R404" s="691">
        <f t="shared" si="52"/>
        <v>0</v>
      </c>
      <c r="S404" s="692">
        <f t="shared" si="53"/>
        <v>0</v>
      </c>
      <c r="T404" s="693">
        <f t="shared" si="54"/>
        <v>0</v>
      </c>
      <c r="U404" s="1035"/>
      <c r="V404" s="690"/>
      <c r="W404" s="1025"/>
      <c r="X404" s="1030"/>
      <c r="Y404" s="694">
        <f t="shared" si="55"/>
        <v>0</v>
      </c>
      <c r="Z404" s="690"/>
      <c r="AA404" s="690"/>
      <c r="AB404" s="695">
        <f t="shared" si="56"/>
        <v>0</v>
      </c>
      <c r="AC404" s="1035"/>
      <c r="AD404" s="690"/>
      <c r="AE404" s="1025"/>
      <c r="AF404" s="1030"/>
      <c r="AG404" s="690"/>
      <c r="AH404" s="690"/>
      <c r="AI404" s="696">
        <f t="shared" si="57"/>
        <v>0</v>
      </c>
      <c r="AJ404" s="697">
        <f t="shared" si="58"/>
        <v>0</v>
      </c>
    </row>
    <row r="405" spans="1:36" s="700" customFormat="1" ht="12.75" customHeight="1">
      <c r="A405" s="719" t="s">
        <v>203</v>
      </c>
      <c r="B405" s="719" t="s">
        <v>431</v>
      </c>
      <c r="C405" s="724" t="s">
        <v>626</v>
      </c>
      <c r="D405" s="724"/>
      <c r="E405" s="721"/>
      <c r="F405" s="722"/>
      <c r="G405" s="1025"/>
      <c r="H405" s="690"/>
      <c r="I405" s="1030">
        <v>40000</v>
      </c>
      <c r="J405" s="690">
        <v>40000</v>
      </c>
      <c r="K405" s="1030"/>
      <c r="L405" s="690"/>
      <c r="M405" s="1025"/>
      <c r="N405" s="1030"/>
      <c r="O405" s="692">
        <f t="shared" si="51"/>
        <v>0</v>
      </c>
      <c r="P405" s="690"/>
      <c r="Q405" s="690"/>
      <c r="R405" s="691">
        <f t="shared" si="52"/>
        <v>0</v>
      </c>
      <c r="S405" s="692">
        <f t="shared" si="53"/>
        <v>40000</v>
      </c>
      <c r="T405" s="693">
        <f t="shared" si="54"/>
        <v>40000</v>
      </c>
      <c r="U405" s="1035"/>
      <c r="V405" s="690"/>
      <c r="W405" s="1025"/>
      <c r="X405" s="1030"/>
      <c r="Y405" s="694">
        <f t="shared" si="55"/>
        <v>0</v>
      </c>
      <c r="Z405" s="690"/>
      <c r="AA405" s="690"/>
      <c r="AB405" s="695">
        <f t="shared" si="56"/>
        <v>0</v>
      </c>
      <c r="AC405" s="1035"/>
      <c r="AD405" s="690"/>
      <c r="AE405" s="1025"/>
      <c r="AF405" s="1030"/>
      <c r="AG405" s="690"/>
      <c r="AH405" s="690"/>
      <c r="AI405" s="696">
        <f t="shared" si="57"/>
        <v>40000</v>
      </c>
      <c r="AJ405" s="697">
        <f t="shared" si="58"/>
        <v>40000</v>
      </c>
    </row>
    <row r="406" spans="1:36" s="700" customFormat="1" ht="12.75" customHeight="1">
      <c r="A406" s="719" t="s">
        <v>203</v>
      </c>
      <c r="B406" s="719" t="s">
        <v>431</v>
      </c>
      <c r="C406" s="724" t="s">
        <v>627</v>
      </c>
      <c r="D406" s="724"/>
      <c r="E406" s="721"/>
      <c r="F406" s="722"/>
      <c r="G406" s="1025"/>
      <c r="H406" s="690"/>
      <c r="I406" s="1030">
        <v>350000</v>
      </c>
      <c r="J406" s="690">
        <v>350000</v>
      </c>
      <c r="K406" s="1030"/>
      <c r="L406" s="690"/>
      <c r="M406" s="1025"/>
      <c r="N406" s="1030"/>
      <c r="O406" s="692">
        <f t="shared" si="51"/>
        <v>0</v>
      </c>
      <c r="P406" s="690"/>
      <c r="Q406" s="690"/>
      <c r="R406" s="691">
        <f t="shared" si="52"/>
        <v>0</v>
      </c>
      <c r="S406" s="692">
        <f t="shared" si="53"/>
        <v>350000</v>
      </c>
      <c r="T406" s="693">
        <f t="shared" si="54"/>
        <v>350000</v>
      </c>
      <c r="U406" s="1035"/>
      <c r="V406" s="690"/>
      <c r="W406" s="1025"/>
      <c r="X406" s="1030"/>
      <c r="Y406" s="694">
        <f t="shared" si="55"/>
        <v>0</v>
      </c>
      <c r="Z406" s="690"/>
      <c r="AA406" s="690"/>
      <c r="AB406" s="695">
        <f t="shared" si="56"/>
        <v>0</v>
      </c>
      <c r="AC406" s="1035"/>
      <c r="AD406" s="690"/>
      <c r="AE406" s="1025"/>
      <c r="AF406" s="1030"/>
      <c r="AG406" s="690"/>
      <c r="AH406" s="690"/>
      <c r="AI406" s="696">
        <f t="shared" si="57"/>
        <v>350000</v>
      </c>
      <c r="AJ406" s="697">
        <f t="shared" si="58"/>
        <v>350000</v>
      </c>
    </row>
    <row r="407" spans="1:36" s="700" customFormat="1" ht="12.75" customHeight="1">
      <c r="A407" s="719" t="s">
        <v>203</v>
      </c>
      <c r="B407" s="719" t="s">
        <v>409</v>
      </c>
      <c r="C407" s="727" t="s">
        <v>157</v>
      </c>
      <c r="D407" s="727"/>
      <c r="E407" s="721"/>
      <c r="F407" s="722"/>
      <c r="G407" s="1025"/>
      <c r="H407" s="690"/>
      <c r="I407" s="1030"/>
      <c r="J407" s="690"/>
      <c r="K407" s="1030"/>
      <c r="L407" s="690"/>
      <c r="M407" s="1025"/>
      <c r="N407" s="1030"/>
      <c r="O407" s="692">
        <f t="shared" si="51"/>
        <v>0</v>
      </c>
      <c r="P407" s="690"/>
      <c r="Q407" s="690"/>
      <c r="R407" s="691">
        <f t="shared" si="52"/>
        <v>0</v>
      </c>
      <c r="S407" s="692">
        <f t="shared" si="53"/>
        <v>0</v>
      </c>
      <c r="T407" s="693">
        <f t="shared" si="54"/>
        <v>0</v>
      </c>
      <c r="U407" s="1035"/>
      <c r="V407" s="690"/>
      <c r="W407" s="1025"/>
      <c r="X407" s="1030"/>
      <c r="Y407" s="694">
        <f t="shared" si="55"/>
        <v>0</v>
      </c>
      <c r="Z407" s="690"/>
      <c r="AA407" s="690"/>
      <c r="AB407" s="695">
        <f t="shared" si="56"/>
        <v>0</v>
      </c>
      <c r="AC407" s="1035"/>
      <c r="AD407" s="690"/>
      <c r="AE407" s="1025"/>
      <c r="AF407" s="1030"/>
      <c r="AG407" s="690"/>
      <c r="AH407" s="690"/>
      <c r="AI407" s="696">
        <f t="shared" si="57"/>
        <v>0</v>
      </c>
      <c r="AJ407" s="697">
        <f t="shared" si="58"/>
        <v>0</v>
      </c>
    </row>
    <row r="408" spans="1:36" s="700" customFormat="1" ht="12.75" customHeight="1">
      <c r="A408" s="719" t="s">
        <v>203</v>
      </c>
      <c r="B408" s="719" t="s">
        <v>410</v>
      </c>
      <c r="C408" s="723" t="s">
        <v>200</v>
      </c>
      <c r="D408" s="723"/>
      <c r="E408" s="721"/>
      <c r="F408" s="722"/>
      <c r="G408" s="1025"/>
      <c r="H408" s="690"/>
      <c r="I408" s="1030"/>
      <c r="J408" s="690"/>
      <c r="K408" s="1030"/>
      <c r="L408" s="690"/>
      <c r="M408" s="1025"/>
      <c r="N408" s="1030"/>
      <c r="O408" s="692">
        <f t="shared" si="51"/>
        <v>0</v>
      </c>
      <c r="P408" s="690"/>
      <c r="Q408" s="690"/>
      <c r="R408" s="691">
        <f t="shared" si="52"/>
        <v>0</v>
      </c>
      <c r="S408" s="692">
        <f t="shared" si="53"/>
        <v>0</v>
      </c>
      <c r="T408" s="693">
        <f t="shared" si="54"/>
        <v>0</v>
      </c>
      <c r="U408" s="1035"/>
      <c r="V408" s="690"/>
      <c r="W408" s="1025"/>
      <c r="X408" s="1030"/>
      <c r="Y408" s="694">
        <f t="shared" si="55"/>
        <v>0</v>
      </c>
      <c r="Z408" s="690"/>
      <c r="AA408" s="690"/>
      <c r="AB408" s="695">
        <f t="shared" si="56"/>
        <v>0</v>
      </c>
      <c r="AC408" s="1035"/>
      <c r="AD408" s="690"/>
      <c r="AE408" s="1025"/>
      <c r="AF408" s="1030"/>
      <c r="AG408" s="690"/>
      <c r="AH408" s="690"/>
      <c r="AI408" s="696">
        <f t="shared" si="57"/>
        <v>0</v>
      </c>
      <c r="AJ408" s="697">
        <f t="shared" si="58"/>
        <v>0</v>
      </c>
    </row>
    <row r="409" spans="1:36" s="700" customFormat="1" ht="12.75" customHeight="1">
      <c r="A409" s="719" t="s">
        <v>203</v>
      </c>
      <c r="B409" s="719" t="s">
        <v>410</v>
      </c>
      <c r="C409" s="724" t="s">
        <v>628</v>
      </c>
      <c r="D409" s="724"/>
      <c r="E409" s="721"/>
      <c r="F409" s="722"/>
      <c r="G409" s="1025"/>
      <c r="H409" s="690"/>
      <c r="I409" s="1030"/>
      <c r="J409" s="690"/>
      <c r="K409" s="1030"/>
      <c r="L409" s="690"/>
      <c r="M409" s="1025"/>
      <c r="N409" s="1030"/>
      <c r="O409" s="692">
        <f t="shared" si="51"/>
        <v>0</v>
      </c>
      <c r="P409" s="690"/>
      <c r="Q409" s="690"/>
      <c r="R409" s="691">
        <f t="shared" si="52"/>
        <v>0</v>
      </c>
      <c r="S409" s="692">
        <f t="shared" si="53"/>
        <v>0</v>
      </c>
      <c r="T409" s="693">
        <f t="shared" si="54"/>
        <v>0</v>
      </c>
      <c r="U409" s="1035">
        <v>3196699</v>
      </c>
      <c r="V409" s="690">
        <v>4237758</v>
      </c>
      <c r="W409" s="1025"/>
      <c r="X409" s="1030"/>
      <c r="Y409" s="694">
        <f t="shared" si="55"/>
        <v>0</v>
      </c>
      <c r="Z409" s="690"/>
      <c r="AA409" s="690"/>
      <c r="AB409" s="695">
        <f t="shared" si="56"/>
        <v>0</v>
      </c>
      <c r="AC409" s="1035"/>
      <c r="AD409" s="690"/>
      <c r="AE409" s="1025"/>
      <c r="AF409" s="1030"/>
      <c r="AG409" s="690"/>
      <c r="AH409" s="690"/>
      <c r="AI409" s="696">
        <f t="shared" si="57"/>
        <v>3196699</v>
      </c>
      <c r="AJ409" s="697">
        <f t="shared" si="58"/>
        <v>4237758</v>
      </c>
    </row>
    <row r="410" spans="1:36" s="700" customFormat="1" ht="12.75" customHeight="1">
      <c r="A410" s="719" t="s">
        <v>203</v>
      </c>
      <c r="B410" s="719" t="s">
        <v>410</v>
      </c>
      <c r="C410" s="724" t="s">
        <v>629</v>
      </c>
      <c r="D410" s="724"/>
      <c r="E410" s="721"/>
      <c r="F410" s="722"/>
      <c r="G410" s="1025"/>
      <c r="H410" s="690"/>
      <c r="I410" s="1030"/>
      <c r="J410" s="690"/>
      <c r="K410" s="1030"/>
      <c r="L410" s="690"/>
      <c r="M410" s="1025"/>
      <c r="N410" s="1030"/>
      <c r="O410" s="692">
        <f t="shared" si="51"/>
        <v>0</v>
      </c>
      <c r="P410" s="690"/>
      <c r="Q410" s="690"/>
      <c r="R410" s="691">
        <f t="shared" si="52"/>
        <v>0</v>
      </c>
      <c r="S410" s="692">
        <f t="shared" si="53"/>
        <v>0</v>
      </c>
      <c r="T410" s="693">
        <f t="shared" si="54"/>
        <v>0</v>
      </c>
      <c r="U410" s="1035">
        <v>3588666</v>
      </c>
      <c r="V410" s="690">
        <v>3660678</v>
      </c>
      <c r="W410" s="1025"/>
      <c r="X410" s="1030"/>
      <c r="Y410" s="694">
        <f t="shared" si="55"/>
        <v>0</v>
      </c>
      <c r="Z410" s="690"/>
      <c r="AA410" s="690"/>
      <c r="AB410" s="695">
        <f t="shared" si="56"/>
        <v>0</v>
      </c>
      <c r="AC410" s="1035"/>
      <c r="AD410" s="690"/>
      <c r="AE410" s="1025"/>
      <c r="AF410" s="1030"/>
      <c r="AG410" s="690"/>
      <c r="AH410" s="690"/>
      <c r="AI410" s="696">
        <f t="shared" si="57"/>
        <v>3588666</v>
      </c>
      <c r="AJ410" s="697">
        <f t="shared" si="58"/>
        <v>3660678</v>
      </c>
    </row>
    <row r="411" spans="1:36" s="700" customFormat="1" ht="12.75" customHeight="1">
      <c r="A411" s="719" t="s">
        <v>203</v>
      </c>
      <c r="B411" s="719" t="s">
        <v>410</v>
      </c>
      <c r="C411" s="724" t="s">
        <v>630</v>
      </c>
      <c r="D411" s="724"/>
      <c r="E411" s="721"/>
      <c r="F411" s="722"/>
      <c r="G411" s="1025"/>
      <c r="H411" s="690"/>
      <c r="I411" s="1030"/>
      <c r="J411" s="690"/>
      <c r="K411" s="1030"/>
      <c r="L411" s="690"/>
      <c r="M411" s="1025"/>
      <c r="N411" s="1030"/>
      <c r="O411" s="692">
        <f t="shared" si="51"/>
        <v>0</v>
      </c>
      <c r="P411" s="690"/>
      <c r="Q411" s="690"/>
      <c r="R411" s="691">
        <f t="shared" si="52"/>
        <v>0</v>
      </c>
      <c r="S411" s="692">
        <f t="shared" si="53"/>
        <v>0</v>
      </c>
      <c r="T411" s="693">
        <f t="shared" si="54"/>
        <v>0</v>
      </c>
      <c r="U411" s="1035">
        <v>2303233</v>
      </c>
      <c r="V411" s="690">
        <v>2362680</v>
      </c>
      <c r="W411" s="1025"/>
      <c r="X411" s="1030"/>
      <c r="Y411" s="694">
        <f t="shared" si="55"/>
        <v>0</v>
      </c>
      <c r="Z411" s="690"/>
      <c r="AA411" s="690"/>
      <c r="AB411" s="695">
        <f t="shared" si="56"/>
        <v>0</v>
      </c>
      <c r="AC411" s="1035"/>
      <c r="AD411" s="690"/>
      <c r="AE411" s="1025"/>
      <c r="AF411" s="1030"/>
      <c r="AG411" s="690"/>
      <c r="AH411" s="690"/>
      <c r="AI411" s="696">
        <f t="shared" si="57"/>
        <v>2303233</v>
      </c>
      <c r="AJ411" s="697">
        <f t="shared" si="58"/>
        <v>2362680</v>
      </c>
    </row>
    <row r="412" spans="1:36" s="700" customFormat="1" ht="12.75" customHeight="1">
      <c r="A412" s="719" t="s">
        <v>203</v>
      </c>
      <c r="B412" s="719" t="s">
        <v>412</v>
      </c>
      <c r="C412" s="723" t="s">
        <v>198</v>
      </c>
      <c r="D412" s="723"/>
      <c r="E412" s="721"/>
      <c r="F412" s="722"/>
      <c r="G412" s="1025"/>
      <c r="H412" s="690"/>
      <c r="I412" s="1030"/>
      <c r="J412" s="690"/>
      <c r="K412" s="1030"/>
      <c r="L412" s="690"/>
      <c r="M412" s="1025"/>
      <c r="N412" s="1030"/>
      <c r="O412" s="692">
        <f t="shared" si="51"/>
        <v>0</v>
      </c>
      <c r="P412" s="690"/>
      <c r="Q412" s="690"/>
      <c r="R412" s="691">
        <f t="shared" si="52"/>
        <v>0</v>
      </c>
      <c r="S412" s="692">
        <f t="shared" si="53"/>
        <v>0</v>
      </c>
      <c r="T412" s="693">
        <f t="shared" si="54"/>
        <v>0</v>
      </c>
      <c r="U412" s="1035"/>
      <c r="V412" s="690"/>
      <c r="W412" s="1025"/>
      <c r="X412" s="1030"/>
      <c r="Y412" s="694">
        <f t="shared" si="55"/>
        <v>0</v>
      </c>
      <c r="Z412" s="690"/>
      <c r="AA412" s="690"/>
      <c r="AB412" s="695">
        <f t="shared" si="56"/>
        <v>0</v>
      </c>
      <c r="AC412" s="1035"/>
      <c r="AD412" s="690"/>
      <c r="AE412" s="1025"/>
      <c r="AF412" s="1030"/>
      <c r="AG412" s="690"/>
      <c r="AH412" s="690"/>
      <c r="AI412" s="696">
        <f t="shared" si="57"/>
        <v>0</v>
      </c>
      <c r="AJ412" s="697">
        <f t="shared" si="58"/>
        <v>0</v>
      </c>
    </row>
    <row r="413" spans="1:36" s="700" customFormat="1" ht="12.75" customHeight="1">
      <c r="A413" s="719" t="s">
        <v>203</v>
      </c>
      <c r="B413" s="719" t="s">
        <v>412</v>
      </c>
      <c r="C413" s="724" t="s">
        <v>631</v>
      </c>
      <c r="D413" s="724"/>
      <c r="E413" s="721"/>
      <c r="F413" s="722"/>
      <c r="G413" s="1025"/>
      <c r="H413" s="690"/>
      <c r="I413" s="1030"/>
      <c r="J413" s="690"/>
      <c r="K413" s="1030"/>
      <c r="L413" s="690"/>
      <c r="M413" s="1025"/>
      <c r="N413" s="1030"/>
      <c r="O413" s="692">
        <f t="shared" si="51"/>
        <v>0</v>
      </c>
      <c r="P413" s="690"/>
      <c r="Q413" s="690"/>
      <c r="R413" s="691">
        <f t="shared" si="52"/>
        <v>0</v>
      </c>
      <c r="S413" s="692">
        <f t="shared" si="53"/>
        <v>0</v>
      </c>
      <c r="T413" s="693">
        <f t="shared" si="54"/>
        <v>0</v>
      </c>
      <c r="U413" s="1035"/>
      <c r="V413" s="690"/>
      <c r="W413" s="1025"/>
      <c r="X413" s="1030"/>
      <c r="Y413" s="694">
        <f t="shared" si="55"/>
        <v>0</v>
      </c>
      <c r="Z413" s="690"/>
      <c r="AA413" s="690"/>
      <c r="AB413" s="695">
        <f t="shared" si="56"/>
        <v>0</v>
      </c>
      <c r="AC413" s="1035"/>
      <c r="AD413" s="690"/>
      <c r="AE413" s="1025"/>
      <c r="AF413" s="1030"/>
      <c r="AG413" s="690"/>
      <c r="AH413" s="690"/>
      <c r="AI413" s="696">
        <f t="shared" si="57"/>
        <v>0</v>
      </c>
      <c r="AJ413" s="697">
        <f t="shared" si="58"/>
        <v>0</v>
      </c>
    </row>
    <row r="414" spans="1:36" s="700" customFormat="1" ht="12.75" customHeight="1">
      <c r="A414" s="719" t="s">
        <v>203</v>
      </c>
      <c r="B414" s="719" t="s">
        <v>413</v>
      </c>
      <c r="C414" s="728" t="s">
        <v>632</v>
      </c>
      <c r="D414" s="728"/>
      <c r="E414" s="721"/>
      <c r="F414" s="722"/>
      <c r="G414" s="1025"/>
      <c r="H414" s="690"/>
      <c r="I414" s="1030"/>
      <c r="J414" s="690"/>
      <c r="K414" s="1030"/>
      <c r="L414" s="690"/>
      <c r="M414" s="1025"/>
      <c r="N414" s="1030"/>
      <c r="O414" s="692">
        <f t="shared" si="51"/>
        <v>0</v>
      </c>
      <c r="P414" s="690"/>
      <c r="Q414" s="690"/>
      <c r="R414" s="691">
        <f t="shared" si="52"/>
        <v>0</v>
      </c>
      <c r="S414" s="692">
        <f t="shared" si="53"/>
        <v>0</v>
      </c>
      <c r="T414" s="693">
        <f t="shared" si="54"/>
        <v>0</v>
      </c>
      <c r="U414" s="1035"/>
      <c r="V414" s="690"/>
      <c r="W414" s="1025"/>
      <c r="X414" s="1030"/>
      <c r="Y414" s="694">
        <f t="shared" si="55"/>
        <v>0</v>
      </c>
      <c r="Z414" s="690"/>
      <c r="AA414" s="690"/>
      <c r="AB414" s="695">
        <f t="shared" si="56"/>
        <v>0</v>
      </c>
      <c r="AC414" s="1035"/>
      <c r="AD414" s="690"/>
      <c r="AE414" s="1025"/>
      <c r="AF414" s="1030"/>
      <c r="AG414" s="690"/>
      <c r="AH414" s="690"/>
      <c r="AI414" s="696">
        <f t="shared" si="57"/>
        <v>0</v>
      </c>
      <c r="AJ414" s="697">
        <f t="shared" si="58"/>
        <v>0</v>
      </c>
    </row>
    <row r="415" spans="1:36" s="700" customFormat="1" ht="12.75" customHeight="1">
      <c r="A415" s="719" t="s">
        <v>203</v>
      </c>
      <c r="B415" s="719" t="s">
        <v>414</v>
      </c>
      <c r="C415" s="727" t="s">
        <v>160</v>
      </c>
      <c r="D415" s="727"/>
      <c r="E415" s="721"/>
      <c r="F415" s="722"/>
      <c r="G415" s="1025"/>
      <c r="H415" s="690"/>
      <c r="I415" s="1030"/>
      <c r="J415" s="690"/>
      <c r="K415" s="1030"/>
      <c r="L415" s="690"/>
      <c r="M415" s="1025"/>
      <c r="N415" s="1030"/>
      <c r="O415" s="692">
        <f t="shared" si="51"/>
        <v>0</v>
      </c>
      <c r="P415" s="690"/>
      <c r="Q415" s="690"/>
      <c r="R415" s="691">
        <f t="shared" si="52"/>
        <v>0</v>
      </c>
      <c r="S415" s="692">
        <f t="shared" si="53"/>
        <v>0</v>
      </c>
      <c r="T415" s="693">
        <f t="shared" si="54"/>
        <v>0</v>
      </c>
      <c r="U415" s="1035"/>
      <c r="V415" s="690"/>
      <c r="W415" s="1025"/>
      <c r="X415" s="1030"/>
      <c r="Y415" s="694">
        <f t="shared" si="55"/>
        <v>0</v>
      </c>
      <c r="Z415" s="690"/>
      <c r="AA415" s="690"/>
      <c r="AB415" s="695">
        <f t="shared" si="56"/>
        <v>0</v>
      </c>
      <c r="AC415" s="1035"/>
      <c r="AD415" s="690"/>
      <c r="AE415" s="1025"/>
      <c r="AF415" s="1030"/>
      <c r="AG415" s="690"/>
      <c r="AH415" s="690"/>
      <c r="AI415" s="696">
        <f t="shared" si="57"/>
        <v>0</v>
      </c>
      <c r="AJ415" s="697">
        <f t="shared" si="58"/>
        <v>0</v>
      </c>
    </row>
    <row r="416" spans="1:36" s="700" customFormat="1" ht="12.75" customHeight="1">
      <c r="A416" s="719" t="s">
        <v>203</v>
      </c>
      <c r="B416" s="719" t="s">
        <v>415</v>
      </c>
      <c r="C416" s="727" t="s">
        <v>165</v>
      </c>
      <c r="D416" s="727"/>
      <c r="E416" s="721"/>
      <c r="F416" s="722"/>
      <c r="G416" s="1025"/>
      <c r="H416" s="690"/>
      <c r="I416" s="1030"/>
      <c r="J416" s="690"/>
      <c r="K416" s="1030"/>
      <c r="L416" s="690"/>
      <c r="M416" s="1025"/>
      <c r="N416" s="1030"/>
      <c r="O416" s="692">
        <f t="shared" si="51"/>
        <v>0</v>
      </c>
      <c r="P416" s="690"/>
      <c r="Q416" s="690"/>
      <c r="R416" s="691">
        <f t="shared" si="52"/>
        <v>0</v>
      </c>
      <c r="S416" s="692">
        <f t="shared" si="53"/>
        <v>0</v>
      </c>
      <c r="T416" s="693">
        <f t="shared" si="54"/>
        <v>0</v>
      </c>
      <c r="U416" s="1035"/>
      <c r="V416" s="690"/>
      <c r="W416" s="1025"/>
      <c r="X416" s="1030"/>
      <c r="Y416" s="694">
        <f t="shared" si="55"/>
        <v>0</v>
      </c>
      <c r="Z416" s="690"/>
      <c r="AA416" s="690"/>
      <c r="AB416" s="695">
        <f t="shared" si="56"/>
        <v>0</v>
      </c>
      <c r="AC416" s="1035"/>
      <c r="AD416" s="690"/>
      <c r="AE416" s="1025"/>
      <c r="AF416" s="1030"/>
      <c r="AG416" s="690"/>
      <c r="AH416" s="690"/>
      <c r="AI416" s="696">
        <f t="shared" si="57"/>
        <v>0</v>
      </c>
      <c r="AJ416" s="697">
        <f t="shared" si="58"/>
        <v>0</v>
      </c>
    </row>
    <row r="417" spans="1:36" s="700" customFormat="1" ht="12.75" customHeight="1">
      <c r="A417" s="719" t="s">
        <v>203</v>
      </c>
      <c r="B417" s="719" t="s">
        <v>416</v>
      </c>
      <c r="C417" s="723" t="s">
        <v>166</v>
      </c>
      <c r="D417" s="723"/>
      <c r="E417" s="721"/>
      <c r="F417" s="722"/>
      <c r="G417" s="1025"/>
      <c r="H417" s="690"/>
      <c r="I417" s="1030"/>
      <c r="J417" s="690"/>
      <c r="K417" s="1030"/>
      <c r="L417" s="690"/>
      <c r="M417" s="1025"/>
      <c r="N417" s="1030"/>
      <c r="O417" s="692">
        <f t="shared" si="51"/>
        <v>0</v>
      </c>
      <c r="P417" s="690"/>
      <c r="Q417" s="690"/>
      <c r="R417" s="691">
        <f t="shared" si="52"/>
        <v>0</v>
      </c>
      <c r="S417" s="692">
        <f t="shared" si="53"/>
        <v>0</v>
      </c>
      <c r="T417" s="693">
        <f t="shared" si="54"/>
        <v>0</v>
      </c>
      <c r="U417" s="1035"/>
      <c r="V417" s="690"/>
      <c r="W417" s="1025"/>
      <c r="X417" s="1030"/>
      <c r="Y417" s="694">
        <f t="shared" si="55"/>
        <v>0</v>
      </c>
      <c r="Z417" s="690"/>
      <c r="AA417" s="690"/>
      <c r="AB417" s="695">
        <f t="shared" si="56"/>
        <v>0</v>
      </c>
      <c r="AC417" s="1035"/>
      <c r="AD417" s="690"/>
      <c r="AE417" s="1025"/>
      <c r="AF417" s="1030"/>
      <c r="AG417" s="690"/>
      <c r="AH417" s="690"/>
      <c r="AI417" s="696">
        <f t="shared" si="57"/>
        <v>0</v>
      </c>
      <c r="AJ417" s="697">
        <f t="shared" si="58"/>
        <v>0</v>
      </c>
    </row>
    <row r="418" spans="1:36" s="700" customFormat="1" ht="12.75" customHeight="1">
      <c r="A418" s="719" t="s">
        <v>203</v>
      </c>
      <c r="B418" s="719" t="s">
        <v>416</v>
      </c>
      <c r="C418" s="724" t="s">
        <v>633</v>
      </c>
      <c r="D418" s="724"/>
      <c r="E418" s="721"/>
      <c r="F418" s="722"/>
      <c r="G418" s="1025"/>
      <c r="H418" s="690"/>
      <c r="I418" s="1030"/>
      <c r="J418" s="690"/>
      <c r="K418" s="1030"/>
      <c r="L418" s="690"/>
      <c r="M418" s="1025"/>
      <c r="N418" s="1030"/>
      <c r="O418" s="692">
        <f t="shared" si="51"/>
        <v>0</v>
      </c>
      <c r="P418" s="690"/>
      <c r="Q418" s="690"/>
      <c r="R418" s="691">
        <f t="shared" si="52"/>
        <v>0</v>
      </c>
      <c r="S418" s="692">
        <f t="shared" si="53"/>
        <v>0</v>
      </c>
      <c r="T418" s="693">
        <f t="shared" si="54"/>
        <v>0</v>
      </c>
      <c r="U418" s="1035">
        <v>18400</v>
      </c>
      <c r="V418" s="690">
        <v>18400</v>
      </c>
      <c r="W418" s="1025"/>
      <c r="X418" s="1030"/>
      <c r="Y418" s="694">
        <f t="shared" si="55"/>
        <v>0</v>
      </c>
      <c r="Z418" s="690"/>
      <c r="AA418" s="690"/>
      <c r="AB418" s="695">
        <f t="shared" si="56"/>
        <v>0</v>
      </c>
      <c r="AC418" s="1035"/>
      <c r="AD418" s="690"/>
      <c r="AE418" s="1025"/>
      <c r="AF418" s="1030"/>
      <c r="AG418" s="690"/>
      <c r="AH418" s="690"/>
      <c r="AI418" s="696">
        <f t="shared" si="57"/>
        <v>18400</v>
      </c>
      <c r="AJ418" s="697">
        <f t="shared" si="58"/>
        <v>18400</v>
      </c>
    </row>
    <row r="419" spans="1:36" s="700" customFormat="1" ht="12.75" customHeight="1">
      <c r="A419" s="719" t="s">
        <v>203</v>
      </c>
      <c r="B419" s="719" t="s">
        <v>416</v>
      </c>
      <c r="C419" s="724" t="s">
        <v>634</v>
      </c>
      <c r="D419" s="724"/>
      <c r="E419" s="721"/>
      <c r="F419" s="722"/>
      <c r="G419" s="1025"/>
      <c r="H419" s="690"/>
      <c r="I419" s="1030"/>
      <c r="J419" s="690"/>
      <c r="K419" s="1030"/>
      <c r="L419" s="690"/>
      <c r="M419" s="1025"/>
      <c r="N419" s="1030"/>
      <c r="O419" s="692">
        <f t="shared" si="51"/>
        <v>0</v>
      </c>
      <c r="P419" s="690"/>
      <c r="Q419" s="690"/>
      <c r="R419" s="691">
        <f t="shared" si="52"/>
        <v>0</v>
      </c>
      <c r="S419" s="692">
        <f t="shared" si="53"/>
        <v>0</v>
      </c>
      <c r="T419" s="693">
        <f t="shared" si="54"/>
        <v>0</v>
      </c>
      <c r="U419" s="1035">
        <v>63600</v>
      </c>
      <c r="V419" s="690">
        <v>79500</v>
      </c>
      <c r="W419" s="1025"/>
      <c r="X419" s="1030"/>
      <c r="Y419" s="694">
        <f t="shared" si="55"/>
        <v>0</v>
      </c>
      <c r="Z419" s="690"/>
      <c r="AA419" s="690"/>
      <c r="AB419" s="695">
        <f t="shared" si="56"/>
        <v>0</v>
      </c>
      <c r="AC419" s="1035"/>
      <c r="AD419" s="690"/>
      <c r="AE419" s="1025"/>
      <c r="AF419" s="1030"/>
      <c r="AG419" s="690"/>
      <c r="AH419" s="690"/>
      <c r="AI419" s="696">
        <f t="shared" si="57"/>
        <v>63600</v>
      </c>
      <c r="AJ419" s="697">
        <f t="shared" si="58"/>
        <v>79500</v>
      </c>
    </row>
    <row r="420" spans="1:36" s="700" customFormat="1" ht="12.75" customHeight="1">
      <c r="A420" s="719" t="s">
        <v>203</v>
      </c>
      <c r="B420" s="719" t="s">
        <v>416</v>
      </c>
      <c r="C420" s="724" t="s">
        <v>635</v>
      </c>
      <c r="D420" s="724"/>
      <c r="E420" s="721"/>
      <c r="F420" s="722"/>
      <c r="G420" s="1025"/>
      <c r="H420" s="690"/>
      <c r="I420" s="1030"/>
      <c r="J420" s="690"/>
      <c r="K420" s="1030"/>
      <c r="L420" s="690"/>
      <c r="M420" s="1025"/>
      <c r="N420" s="1030"/>
      <c r="O420" s="692">
        <f t="shared" si="51"/>
        <v>0</v>
      </c>
      <c r="P420" s="690"/>
      <c r="Q420" s="690"/>
      <c r="R420" s="691">
        <f t="shared" si="52"/>
        <v>0</v>
      </c>
      <c r="S420" s="692">
        <f t="shared" si="53"/>
        <v>0</v>
      </c>
      <c r="T420" s="693">
        <f t="shared" si="54"/>
        <v>0</v>
      </c>
      <c r="U420" s="1035">
        <v>0</v>
      </c>
      <c r="V420" s="690">
        <v>0</v>
      </c>
      <c r="W420" s="1025"/>
      <c r="X420" s="1030"/>
      <c r="Y420" s="694">
        <f t="shared" si="55"/>
        <v>0</v>
      </c>
      <c r="Z420" s="690"/>
      <c r="AA420" s="690"/>
      <c r="AB420" s="695">
        <f t="shared" si="56"/>
        <v>0</v>
      </c>
      <c r="AC420" s="1035"/>
      <c r="AD420" s="690"/>
      <c r="AE420" s="1025"/>
      <c r="AF420" s="1030"/>
      <c r="AG420" s="690"/>
      <c r="AH420" s="690"/>
      <c r="AI420" s="696">
        <f t="shared" si="57"/>
        <v>0</v>
      </c>
      <c r="AJ420" s="697">
        <f t="shared" si="58"/>
        <v>0</v>
      </c>
    </row>
    <row r="421" spans="1:36" s="700" customFormat="1" ht="12.75" customHeight="1">
      <c r="A421" s="719" t="s">
        <v>203</v>
      </c>
      <c r="B421" s="719" t="s">
        <v>416</v>
      </c>
      <c r="C421" s="724" t="s">
        <v>636</v>
      </c>
      <c r="D421" s="724"/>
      <c r="E421" s="721"/>
      <c r="F421" s="722"/>
      <c r="G421" s="1025"/>
      <c r="H421" s="690"/>
      <c r="I421" s="1030"/>
      <c r="J421" s="690"/>
      <c r="K421" s="1030"/>
      <c r="L421" s="690"/>
      <c r="M421" s="1025"/>
      <c r="N421" s="1030"/>
      <c r="O421" s="692">
        <f t="shared" si="51"/>
        <v>0</v>
      </c>
      <c r="P421" s="690"/>
      <c r="Q421" s="690"/>
      <c r="R421" s="691">
        <f t="shared" si="52"/>
        <v>0</v>
      </c>
      <c r="S421" s="692">
        <f t="shared" si="53"/>
        <v>0</v>
      </c>
      <c r="T421" s="693">
        <f t="shared" si="54"/>
        <v>0</v>
      </c>
      <c r="U421" s="1035">
        <v>264100</v>
      </c>
      <c r="V421" s="690">
        <v>264100</v>
      </c>
      <c r="W421" s="1025"/>
      <c r="X421" s="1030"/>
      <c r="Y421" s="694">
        <f t="shared" si="55"/>
        <v>0</v>
      </c>
      <c r="Z421" s="690"/>
      <c r="AA421" s="690"/>
      <c r="AB421" s="695">
        <f t="shared" si="56"/>
        <v>0</v>
      </c>
      <c r="AC421" s="1035"/>
      <c r="AD421" s="690"/>
      <c r="AE421" s="1025"/>
      <c r="AF421" s="1030"/>
      <c r="AG421" s="690"/>
      <c r="AH421" s="690"/>
      <c r="AI421" s="696">
        <f t="shared" si="57"/>
        <v>264100</v>
      </c>
      <c r="AJ421" s="697">
        <f t="shared" si="58"/>
        <v>264100</v>
      </c>
    </row>
    <row r="422" spans="1:36" s="700" customFormat="1" ht="12.75" customHeight="1">
      <c r="A422" s="719" t="s">
        <v>203</v>
      </c>
      <c r="B422" s="719" t="s">
        <v>416</v>
      </c>
      <c r="C422" s="724" t="s">
        <v>637</v>
      </c>
      <c r="D422" s="724"/>
      <c r="E422" s="721"/>
      <c r="F422" s="722"/>
      <c r="G422" s="1025"/>
      <c r="H422" s="690"/>
      <c r="I422" s="1030"/>
      <c r="J422" s="690"/>
      <c r="K422" s="1030"/>
      <c r="L422" s="690"/>
      <c r="M422" s="1025"/>
      <c r="N422" s="1030"/>
      <c r="O422" s="692">
        <f t="shared" si="51"/>
        <v>0</v>
      </c>
      <c r="P422" s="690"/>
      <c r="Q422" s="690"/>
      <c r="R422" s="691">
        <f t="shared" si="52"/>
        <v>0</v>
      </c>
      <c r="S422" s="692">
        <f t="shared" si="53"/>
        <v>0</v>
      </c>
      <c r="T422" s="693">
        <f t="shared" si="54"/>
        <v>0</v>
      </c>
      <c r="U422" s="1035">
        <v>27000</v>
      </c>
      <c r="V422" s="690">
        <v>40500</v>
      </c>
      <c r="W422" s="1025"/>
      <c r="X422" s="1030"/>
      <c r="Y422" s="694">
        <f t="shared" si="55"/>
        <v>0</v>
      </c>
      <c r="Z422" s="690"/>
      <c r="AA422" s="690"/>
      <c r="AB422" s="695">
        <f t="shared" si="56"/>
        <v>0</v>
      </c>
      <c r="AC422" s="1035"/>
      <c r="AD422" s="690"/>
      <c r="AE422" s="1025"/>
      <c r="AF422" s="1030"/>
      <c r="AG422" s="690"/>
      <c r="AH422" s="690"/>
      <c r="AI422" s="696">
        <f t="shared" si="57"/>
        <v>27000</v>
      </c>
      <c r="AJ422" s="697">
        <f t="shared" si="58"/>
        <v>40500</v>
      </c>
    </row>
    <row r="423" spans="1:36" s="700" customFormat="1" ht="12.75" customHeight="1">
      <c r="A423" s="719" t="s">
        <v>203</v>
      </c>
      <c r="B423" s="719" t="s">
        <v>416</v>
      </c>
      <c r="C423" s="724" t="s">
        <v>638</v>
      </c>
      <c r="D423" s="724"/>
      <c r="E423" s="721"/>
      <c r="F423" s="722"/>
      <c r="G423" s="1025"/>
      <c r="H423" s="690"/>
      <c r="I423" s="1030"/>
      <c r="J423" s="690"/>
      <c r="K423" s="1030"/>
      <c r="L423" s="690"/>
      <c r="M423" s="1025"/>
      <c r="N423" s="1030"/>
      <c r="O423" s="692">
        <f t="shared" si="51"/>
        <v>0</v>
      </c>
      <c r="P423" s="690"/>
      <c r="Q423" s="690"/>
      <c r="R423" s="691">
        <f t="shared" si="52"/>
        <v>0</v>
      </c>
      <c r="S423" s="692">
        <f t="shared" si="53"/>
        <v>0</v>
      </c>
      <c r="T423" s="693">
        <f t="shared" si="54"/>
        <v>0</v>
      </c>
      <c r="U423" s="1035">
        <v>13100</v>
      </c>
      <c r="V423" s="690">
        <v>0</v>
      </c>
      <c r="W423" s="1025"/>
      <c r="X423" s="1030"/>
      <c r="Y423" s="694">
        <f t="shared" si="55"/>
        <v>0</v>
      </c>
      <c r="Z423" s="690"/>
      <c r="AA423" s="690"/>
      <c r="AB423" s="695">
        <f t="shared" si="56"/>
        <v>0</v>
      </c>
      <c r="AC423" s="1035"/>
      <c r="AD423" s="690"/>
      <c r="AE423" s="1025"/>
      <c r="AF423" s="1030"/>
      <c r="AG423" s="690"/>
      <c r="AH423" s="690"/>
      <c r="AI423" s="696">
        <f t="shared" si="57"/>
        <v>13100</v>
      </c>
      <c r="AJ423" s="697">
        <f t="shared" si="58"/>
        <v>0</v>
      </c>
    </row>
    <row r="424" spans="1:36" s="700" customFormat="1" ht="12.75" customHeight="1">
      <c r="A424" s="719" t="s">
        <v>203</v>
      </c>
      <c r="B424" s="719" t="s">
        <v>417</v>
      </c>
      <c r="C424" s="723" t="s">
        <v>168</v>
      </c>
      <c r="D424" s="723"/>
      <c r="E424" s="721"/>
      <c r="F424" s="722"/>
      <c r="G424" s="1025"/>
      <c r="H424" s="690"/>
      <c r="I424" s="1030"/>
      <c r="J424" s="690"/>
      <c r="K424" s="1030"/>
      <c r="L424" s="690"/>
      <c r="M424" s="1025"/>
      <c r="N424" s="1030"/>
      <c r="O424" s="692">
        <f t="shared" si="51"/>
        <v>0</v>
      </c>
      <c r="P424" s="690"/>
      <c r="Q424" s="690"/>
      <c r="R424" s="691">
        <f t="shared" si="52"/>
        <v>0</v>
      </c>
      <c r="S424" s="692">
        <f t="shared" si="53"/>
        <v>0</v>
      </c>
      <c r="T424" s="693">
        <f t="shared" si="54"/>
        <v>0</v>
      </c>
      <c r="U424" s="1035">
        <v>0</v>
      </c>
      <c r="V424" s="690">
        <v>0</v>
      </c>
      <c r="W424" s="1025"/>
      <c r="X424" s="1030"/>
      <c r="Y424" s="694">
        <f t="shared" si="55"/>
        <v>0</v>
      </c>
      <c r="Z424" s="690"/>
      <c r="AA424" s="690"/>
      <c r="AB424" s="695">
        <f t="shared" si="56"/>
        <v>0</v>
      </c>
      <c r="AC424" s="1035"/>
      <c r="AD424" s="690"/>
      <c r="AE424" s="1025"/>
      <c r="AF424" s="1030"/>
      <c r="AG424" s="690"/>
      <c r="AH424" s="690"/>
      <c r="AI424" s="696">
        <f t="shared" si="57"/>
        <v>0</v>
      </c>
      <c r="AJ424" s="697">
        <f t="shared" si="58"/>
        <v>0</v>
      </c>
    </row>
    <row r="425" spans="1:36" s="700" customFormat="1" ht="12.75" customHeight="1">
      <c r="A425" s="719" t="s">
        <v>203</v>
      </c>
      <c r="B425" s="719" t="s">
        <v>417</v>
      </c>
      <c r="C425" s="724" t="s">
        <v>639</v>
      </c>
      <c r="D425" s="724"/>
      <c r="E425" s="721"/>
      <c r="F425" s="722"/>
      <c r="G425" s="1025"/>
      <c r="H425" s="690"/>
      <c r="I425" s="1030"/>
      <c r="J425" s="690"/>
      <c r="K425" s="1030"/>
      <c r="L425" s="690"/>
      <c r="M425" s="1025"/>
      <c r="N425" s="1030"/>
      <c r="O425" s="692">
        <f t="shared" si="51"/>
        <v>0</v>
      </c>
      <c r="P425" s="690"/>
      <c r="Q425" s="690"/>
      <c r="R425" s="691">
        <f t="shared" si="52"/>
        <v>0</v>
      </c>
      <c r="S425" s="692">
        <f t="shared" si="53"/>
        <v>0</v>
      </c>
      <c r="T425" s="693">
        <f t="shared" si="54"/>
        <v>0</v>
      </c>
      <c r="U425" s="1035">
        <v>143100</v>
      </c>
      <c r="V425" s="690">
        <v>143100</v>
      </c>
      <c r="W425" s="1025"/>
      <c r="X425" s="1030"/>
      <c r="Y425" s="694">
        <f t="shared" si="55"/>
        <v>0</v>
      </c>
      <c r="Z425" s="690"/>
      <c r="AA425" s="690"/>
      <c r="AB425" s="695">
        <f t="shared" si="56"/>
        <v>0</v>
      </c>
      <c r="AC425" s="1035"/>
      <c r="AD425" s="690"/>
      <c r="AE425" s="1025"/>
      <c r="AF425" s="1030"/>
      <c r="AG425" s="690"/>
      <c r="AH425" s="690"/>
      <c r="AI425" s="696">
        <f t="shared" si="57"/>
        <v>143100</v>
      </c>
      <c r="AJ425" s="697">
        <f t="shared" si="58"/>
        <v>143100</v>
      </c>
    </row>
    <row r="426" spans="1:36" s="700" customFormat="1" ht="12.75" customHeight="1">
      <c r="A426" s="719" t="s">
        <v>203</v>
      </c>
      <c r="B426" s="719" t="s">
        <v>417</v>
      </c>
      <c r="C426" s="724" t="s">
        <v>640</v>
      </c>
      <c r="D426" s="724"/>
      <c r="E426" s="721"/>
      <c r="F426" s="722"/>
      <c r="G426" s="1025"/>
      <c r="H426" s="690"/>
      <c r="I426" s="1030"/>
      <c r="J426" s="690"/>
      <c r="K426" s="1030"/>
      <c r="L426" s="690"/>
      <c r="M426" s="1025"/>
      <c r="N426" s="1030"/>
      <c r="O426" s="692">
        <f t="shared" si="51"/>
        <v>0</v>
      </c>
      <c r="P426" s="690"/>
      <c r="Q426" s="690"/>
      <c r="R426" s="691">
        <f t="shared" si="52"/>
        <v>0</v>
      </c>
      <c r="S426" s="692">
        <f t="shared" si="53"/>
        <v>0</v>
      </c>
      <c r="T426" s="693">
        <f t="shared" si="54"/>
        <v>0</v>
      </c>
      <c r="U426" s="1035">
        <v>72600</v>
      </c>
      <c r="V426" s="690">
        <v>48400</v>
      </c>
      <c r="W426" s="1025"/>
      <c r="X426" s="1030"/>
      <c r="Y426" s="694">
        <f t="shared" si="55"/>
        <v>0</v>
      </c>
      <c r="Z426" s="690"/>
      <c r="AA426" s="690"/>
      <c r="AB426" s="695">
        <f t="shared" si="56"/>
        <v>0</v>
      </c>
      <c r="AC426" s="1035"/>
      <c r="AD426" s="690"/>
      <c r="AE426" s="1025"/>
      <c r="AF426" s="1030"/>
      <c r="AG426" s="690"/>
      <c r="AH426" s="690"/>
      <c r="AI426" s="696">
        <f t="shared" si="57"/>
        <v>72600</v>
      </c>
      <c r="AJ426" s="697">
        <f t="shared" si="58"/>
        <v>48400</v>
      </c>
    </row>
    <row r="427" spans="1:36" s="700" customFormat="1" ht="12.75" customHeight="1">
      <c r="A427" s="719" t="s">
        <v>203</v>
      </c>
      <c r="B427" s="719" t="s">
        <v>417</v>
      </c>
      <c r="C427" s="724" t="s">
        <v>641</v>
      </c>
      <c r="D427" s="724"/>
      <c r="E427" s="721"/>
      <c r="F427" s="722"/>
      <c r="G427" s="1025"/>
      <c r="H427" s="690"/>
      <c r="I427" s="1030"/>
      <c r="J427" s="690"/>
      <c r="K427" s="1030"/>
      <c r="L427" s="690"/>
      <c r="M427" s="1025"/>
      <c r="N427" s="1030"/>
      <c r="O427" s="692">
        <f t="shared" si="51"/>
        <v>0</v>
      </c>
      <c r="P427" s="690"/>
      <c r="Q427" s="690"/>
      <c r="R427" s="691">
        <f t="shared" si="52"/>
        <v>0</v>
      </c>
      <c r="S427" s="692">
        <f t="shared" si="53"/>
        <v>0</v>
      </c>
      <c r="T427" s="693">
        <f t="shared" si="54"/>
        <v>0</v>
      </c>
      <c r="U427" s="1035">
        <v>67500</v>
      </c>
      <c r="V427" s="690">
        <v>67500</v>
      </c>
      <c r="W427" s="1025"/>
      <c r="X427" s="1030"/>
      <c r="Y427" s="694">
        <f t="shared" si="55"/>
        <v>0</v>
      </c>
      <c r="Z427" s="690"/>
      <c r="AA427" s="690"/>
      <c r="AB427" s="695">
        <f t="shared" si="56"/>
        <v>0</v>
      </c>
      <c r="AC427" s="1035"/>
      <c r="AD427" s="690"/>
      <c r="AE427" s="1025"/>
      <c r="AF427" s="1030"/>
      <c r="AG427" s="690"/>
      <c r="AH427" s="690"/>
      <c r="AI427" s="696">
        <f t="shared" si="57"/>
        <v>67500</v>
      </c>
      <c r="AJ427" s="697">
        <f t="shared" si="58"/>
        <v>67500</v>
      </c>
    </row>
    <row r="428" spans="1:36" s="700" customFormat="1" ht="12.75" customHeight="1">
      <c r="A428" s="719" t="s">
        <v>203</v>
      </c>
      <c r="B428" s="719" t="s">
        <v>417</v>
      </c>
      <c r="C428" s="724" t="s">
        <v>642</v>
      </c>
      <c r="D428" s="724"/>
      <c r="E428" s="721"/>
      <c r="F428" s="722"/>
      <c r="G428" s="1025"/>
      <c r="H428" s="690"/>
      <c r="I428" s="1030"/>
      <c r="J428" s="690"/>
      <c r="K428" s="1030"/>
      <c r="L428" s="690"/>
      <c r="M428" s="1025"/>
      <c r="N428" s="1030"/>
      <c r="O428" s="692">
        <f t="shared" si="51"/>
        <v>0</v>
      </c>
      <c r="P428" s="690"/>
      <c r="Q428" s="690"/>
      <c r="R428" s="691">
        <f t="shared" si="52"/>
        <v>0</v>
      </c>
      <c r="S428" s="692">
        <f t="shared" si="53"/>
        <v>0</v>
      </c>
      <c r="T428" s="693">
        <f t="shared" si="54"/>
        <v>0</v>
      </c>
      <c r="U428" s="1035">
        <v>1184550</v>
      </c>
      <c r="V428" s="690">
        <v>1272000</v>
      </c>
      <c r="W428" s="1025"/>
      <c r="X428" s="1030"/>
      <c r="Y428" s="694">
        <f t="shared" si="55"/>
        <v>0</v>
      </c>
      <c r="Z428" s="690"/>
      <c r="AA428" s="690"/>
      <c r="AB428" s="695">
        <f t="shared" si="56"/>
        <v>0</v>
      </c>
      <c r="AC428" s="1035"/>
      <c r="AD428" s="690"/>
      <c r="AE428" s="1025"/>
      <c r="AF428" s="1030"/>
      <c r="AG428" s="690"/>
      <c r="AH428" s="690"/>
      <c r="AI428" s="696">
        <f t="shared" si="57"/>
        <v>1184550</v>
      </c>
      <c r="AJ428" s="697">
        <f t="shared" si="58"/>
        <v>1272000</v>
      </c>
    </row>
    <row r="429" spans="1:36" s="700" customFormat="1" ht="12.75" customHeight="1">
      <c r="A429" s="719" t="s">
        <v>203</v>
      </c>
      <c r="B429" s="719" t="s">
        <v>417</v>
      </c>
      <c r="C429" s="724" t="s">
        <v>643</v>
      </c>
      <c r="D429" s="724"/>
      <c r="E429" s="721"/>
      <c r="F429" s="722"/>
      <c r="G429" s="1025"/>
      <c r="H429" s="690"/>
      <c r="I429" s="1030"/>
      <c r="J429" s="690"/>
      <c r="K429" s="1030"/>
      <c r="L429" s="690"/>
      <c r="M429" s="1025"/>
      <c r="N429" s="1030"/>
      <c r="O429" s="692">
        <f t="shared" si="51"/>
        <v>0</v>
      </c>
      <c r="P429" s="690"/>
      <c r="Q429" s="690"/>
      <c r="R429" s="691">
        <f t="shared" si="52"/>
        <v>0</v>
      </c>
      <c r="S429" s="692">
        <f t="shared" si="53"/>
        <v>0</v>
      </c>
      <c r="T429" s="693">
        <f t="shared" si="54"/>
        <v>0</v>
      </c>
      <c r="U429" s="1035">
        <v>31800</v>
      </c>
      <c r="V429" s="690">
        <v>31800</v>
      </c>
      <c r="W429" s="1025"/>
      <c r="X429" s="1030"/>
      <c r="Y429" s="694">
        <f t="shared" si="55"/>
        <v>0</v>
      </c>
      <c r="Z429" s="690"/>
      <c r="AA429" s="690"/>
      <c r="AB429" s="695">
        <f t="shared" si="56"/>
        <v>0</v>
      </c>
      <c r="AC429" s="1035"/>
      <c r="AD429" s="690"/>
      <c r="AE429" s="1025"/>
      <c r="AF429" s="1030"/>
      <c r="AG429" s="690"/>
      <c r="AH429" s="690"/>
      <c r="AI429" s="696">
        <f t="shared" si="57"/>
        <v>31800</v>
      </c>
      <c r="AJ429" s="697">
        <f t="shared" si="58"/>
        <v>31800</v>
      </c>
    </row>
    <row r="430" spans="1:36" s="700" customFormat="1" ht="12.75" customHeight="1">
      <c r="A430" s="719" t="s">
        <v>203</v>
      </c>
      <c r="B430" s="719" t="s">
        <v>417</v>
      </c>
      <c r="C430" s="724" t="s">
        <v>644</v>
      </c>
      <c r="D430" s="724"/>
      <c r="E430" s="721"/>
      <c r="F430" s="722"/>
      <c r="G430" s="1025"/>
      <c r="H430" s="690"/>
      <c r="I430" s="1030"/>
      <c r="J430" s="690"/>
      <c r="K430" s="1030"/>
      <c r="L430" s="690"/>
      <c r="M430" s="1025"/>
      <c r="N430" s="1030"/>
      <c r="O430" s="692">
        <f t="shared" si="51"/>
        <v>0</v>
      </c>
      <c r="P430" s="690"/>
      <c r="Q430" s="690"/>
      <c r="R430" s="691">
        <f t="shared" si="52"/>
        <v>0</v>
      </c>
      <c r="S430" s="692">
        <f t="shared" si="53"/>
        <v>0</v>
      </c>
      <c r="T430" s="693">
        <f t="shared" si="54"/>
        <v>0</v>
      </c>
      <c r="U430" s="1035">
        <v>63600</v>
      </c>
      <c r="V430" s="690">
        <v>79500</v>
      </c>
      <c r="W430" s="1025"/>
      <c r="X430" s="1030"/>
      <c r="Y430" s="694">
        <f t="shared" si="55"/>
        <v>0</v>
      </c>
      <c r="Z430" s="690"/>
      <c r="AA430" s="690"/>
      <c r="AB430" s="695">
        <f t="shared" si="56"/>
        <v>0</v>
      </c>
      <c r="AC430" s="1035"/>
      <c r="AD430" s="690"/>
      <c r="AE430" s="1025"/>
      <c r="AF430" s="1030"/>
      <c r="AG430" s="690"/>
      <c r="AH430" s="690"/>
      <c r="AI430" s="696">
        <f t="shared" si="57"/>
        <v>63600</v>
      </c>
      <c r="AJ430" s="697">
        <f t="shared" si="58"/>
        <v>79500</v>
      </c>
    </row>
    <row r="431" spans="1:36" s="700" customFormat="1" ht="12.75" customHeight="1">
      <c r="A431" s="719" t="s">
        <v>203</v>
      </c>
      <c r="B431" s="719" t="s">
        <v>417</v>
      </c>
      <c r="C431" s="724" t="s">
        <v>645</v>
      </c>
      <c r="D431" s="724"/>
      <c r="E431" s="721"/>
      <c r="F431" s="722"/>
      <c r="G431" s="1025"/>
      <c r="H431" s="690"/>
      <c r="I431" s="1030"/>
      <c r="J431" s="690"/>
      <c r="K431" s="1030"/>
      <c r="L431" s="690"/>
      <c r="M431" s="1025"/>
      <c r="N431" s="1030"/>
      <c r="O431" s="692">
        <f t="shared" si="51"/>
        <v>0</v>
      </c>
      <c r="P431" s="690"/>
      <c r="Q431" s="690"/>
      <c r="R431" s="691">
        <f t="shared" si="52"/>
        <v>0</v>
      </c>
      <c r="S431" s="692">
        <f t="shared" si="53"/>
        <v>0</v>
      </c>
      <c r="T431" s="693">
        <f t="shared" si="54"/>
        <v>0</v>
      </c>
      <c r="U431" s="1035">
        <v>847000</v>
      </c>
      <c r="V431" s="690">
        <v>847000</v>
      </c>
      <c r="W431" s="1025"/>
      <c r="X431" s="1030"/>
      <c r="Y431" s="694">
        <f t="shared" si="55"/>
        <v>0</v>
      </c>
      <c r="Z431" s="690"/>
      <c r="AA431" s="690"/>
      <c r="AB431" s="695">
        <f t="shared" si="56"/>
        <v>0</v>
      </c>
      <c r="AC431" s="1035"/>
      <c r="AD431" s="690"/>
      <c r="AE431" s="1025"/>
      <c r="AF431" s="1030"/>
      <c r="AG431" s="690"/>
      <c r="AH431" s="690"/>
      <c r="AI431" s="696">
        <f t="shared" si="57"/>
        <v>847000</v>
      </c>
      <c r="AJ431" s="697">
        <f t="shared" si="58"/>
        <v>847000</v>
      </c>
    </row>
    <row r="432" spans="1:36" s="700" customFormat="1" ht="12.75" customHeight="1">
      <c r="A432" s="719" t="s">
        <v>203</v>
      </c>
      <c r="B432" s="719" t="s">
        <v>417</v>
      </c>
      <c r="C432" s="724" t="s">
        <v>646</v>
      </c>
      <c r="D432" s="724"/>
      <c r="E432" s="721"/>
      <c r="F432" s="722"/>
      <c r="G432" s="1025"/>
      <c r="H432" s="690"/>
      <c r="I432" s="1030"/>
      <c r="J432" s="690"/>
      <c r="K432" s="1030"/>
      <c r="L432" s="690"/>
      <c r="M432" s="1025"/>
      <c r="N432" s="1030"/>
      <c r="O432" s="692">
        <f t="shared" si="51"/>
        <v>0</v>
      </c>
      <c r="P432" s="690"/>
      <c r="Q432" s="690"/>
      <c r="R432" s="691">
        <f t="shared" si="52"/>
        <v>0</v>
      </c>
      <c r="S432" s="692">
        <f t="shared" si="53"/>
        <v>0</v>
      </c>
      <c r="T432" s="693">
        <f t="shared" si="54"/>
        <v>0</v>
      </c>
      <c r="U432" s="1035">
        <v>97300</v>
      </c>
      <c r="V432" s="690">
        <v>83400</v>
      </c>
      <c r="W432" s="1025"/>
      <c r="X432" s="1030"/>
      <c r="Y432" s="694">
        <f t="shared" si="55"/>
        <v>0</v>
      </c>
      <c r="Z432" s="690"/>
      <c r="AA432" s="690"/>
      <c r="AB432" s="695">
        <f t="shared" si="56"/>
        <v>0</v>
      </c>
      <c r="AC432" s="1035"/>
      <c r="AD432" s="690"/>
      <c r="AE432" s="1025"/>
      <c r="AF432" s="1030"/>
      <c r="AG432" s="690"/>
      <c r="AH432" s="690"/>
      <c r="AI432" s="696">
        <f t="shared" si="57"/>
        <v>97300</v>
      </c>
      <c r="AJ432" s="697">
        <f t="shared" si="58"/>
        <v>83400</v>
      </c>
    </row>
    <row r="433" spans="1:36" s="700" customFormat="1" ht="12.75" customHeight="1">
      <c r="A433" s="719" t="s">
        <v>203</v>
      </c>
      <c r="B433" s="719" t="s">
        <v>417</v>
      </c>
      <c r="C433" s="724" t="s">
        <v>647</v>
      </c>
      <c r="D433" s="724"/>
      <c r="E433" s="721"/>
      <c r="F433" s="722"/>
      <c r="G433" s="1025"/>
      <c r="H433" s="690"/>
      <c r="I433" s="1030"/>
      <c r="J433" s="690"/>
      <c r="K433" s="1030"/>
      <c r="L433" s="690"/>
      <c r="M433" s="1025"/>
      <c r="N433" s="1030"/>
      <c r="O433" s="692">
        <f t="shared" si="51"/>
        <v>0</v>
      </c>
      <c r="P433" s="690"/>
      <c r="Q433" s="690"/>
      <c r="R433" s="691">
        <f t="shared" si="52"/>
        <v>0</v>
      </c>
      <c r="S433" s="692">
        <f t="shared" si="53"/>
        <v>0</v>
      </c>
      <c r="T433" s="693">
        <f t="shared" si="54"/>
        <v>0</v>
      </c>
      <c r="U433" s="1035">
        <v>95400</v>
      </c>
      <c r="V433" s="690">
        <v>63600</v>
      </c>
      <c r="W433" s="1025"/>
      <c r="X433" s="1030"/>
      <c r="Y433" s="694">
        <f t="shared" si="55"/>
        <v>0</v>
      </c>
      <c r="Z433" s="690"/>
      <c r="AA433" s="690"/>
      <c r="AB433" s="695">
        <f t="shared" si="56"/>
        <v>0</v>
      </c>
      <c r="AC433" s="1035"/>
      <c r="AD433" s="690"/>
      <c r="AE433" s="1025"/>
      <c r="AF433" s="1030"/>
      <c r="AG433" s="690"/>
      <c r="AH433" s="690"/>
      <c r="AI433" s="696">
        <f t="shared" si="57"/>
        <v>95400</v>
      </c>
      <c r="AJ433" s="697">
        <f t="shared" si="58"/>
        <v>63600</v>
      </c>
    </row>
    <row r="434" spans="1:36" s="700" customFormat="1" ht="12.75" customHeight="1">
      <c r="A434" s="719" t="s">
        <v>203</v>
      </c>
      <c r="B434" s="719" t="s">
        <v>417</v>
      </c>
      <c r="C434" s="724" t="s">
        <v>648</v>
      </c>
      <c r="D434" s="724"/>
      <c r="E434" s="721"/>
      <c r="F434" s="722"/>
      <c r="G434" s="1025"/>
      <c r="H434" s="690"/>
      <c r="I434" s="1030"/>
      <c r="J434" s="690"/>
      <c r="K434" s="1030"/>
      <c r="L434" s="690"/>
      <c r="M434" s="1025"/>
      <c r="N434" s="1030"/>
      <c r="O434" s="692">
        <f t="shared" si="51"/>
        <v>0</v>
      </c>
      <c r="P434" s="690"/>
      <c r="Q434" s="690"/>
      <c r="R434" s="691">
        <f t="shared" si="52"/>
        <v>0</v>
      </c>
      <c r="S434" s="692">
        <f t="shared" si="53"/>
        <v>0</v>
      </c>
      <c r="T434" s="693">
        <f t="shared" si="54"/>
        <v>0</v>
      </c>
      <c r="U434" s="1035">
        <v>0</v>
      </c>
      <c r="V434" s="690">
        <v>0</v>
      </c>
      <c r="W434" s="1025"/>
      <c r="X434" s="1030"/>
      <c r="Y434" s="694">
        <f t="shared" si="55"/>
        <v>0</v>
      </c>
      <c r="Z434" s="690"/>
      <c r="AA434" s="690"/>
      <c r="AB434" s="695">
        <f t="shared" si="56"/>
        <v>0</v>
      </c>
      <c r="AC434" s="1035"/>
      <c r="AD434" s="690"/>
      <c r="AE434" s="1025"/>
      <c r="AF434" s="1030"/>
      <c r="AG434" s="690"/>
      <c r="AH434" s="690"/>
      <c r="AI434" s="696">
        <f t="shared" si="57"/>
        <v>0</v>
      </c>
      <c r="AJ434" s="697">
        <f t="shared" si="58"/>
        <v>0</v>
      </c>
    </row>
    <row r="435" spans="1:36" s="700" customFormat="1" ht="12.75" customHeight="1">
      <c r="A435" s="719" t="s">
        <v>203</v>
      </c>
      <c r="B435" s="719" t="s">
        <v>418</v>
      </c>
      <c r="C435" s="723" t="s">
        <v>197</v>
      </c>
      <c r="D435" s="723"/>
      <c r="E435" s="721"/>
      <c r="F435" s="722"/>
      <c r="G435" s="1025"/>
      <c r="H435" s="690"/>
      <c r="I435" s="1030"/>
      <c r="J435" s="690"/>
      <c r="K435" s="1030"/>
      <c r="L435" s="690"/>
      <c r="M435" s="1025"/>
      <c r="N435" s="1030"/>
      <c r="O435" s="692">
        <f t="shared" si="51"/>
        <v>0</v>
      </c>
      <c r="P435" s="690"/>
      <c r="Q435" s="690"/>
      <c r="R435" s="691">
        <f t="shared" si="52"/>
        <v>0</v>
      </c>
      <c r="S435" s="692">
        <f t="shared" si="53"/>
        <v>0</v>
      </c>
      <c r="T435" s="693">
        <f t="shared" si="54"/>
        <v>0</v>
      </c>
      <c r="U435" s="1035">
        <v>441193</v>
      </c>
      <c r="V435" s="690">
        <v>450000</v>
      </c>
      <c r="W435" s="1025"/>
      <c r="X435" s="1030"/>
      <c r="Y435" s="694">
        <f t="shared" si="55"/>
        <v>0</v>
      </c>
      <c r="Z435" s="690"/>
      <c r="AA435" s="690"/>
      <c r="AB435" s="695">
        <f t="shared" si="56"/>
        <v>0</v>
      </c>
      <c r="AC435" s="1035"/>
      <c r="AD435" s="690"/>
      <c r="AE435" s="1025"/>
      <c r="AF435" s="1030"/>
      <c r="AG435" s="690"/>
      <c r="AH435" s="690"/>
      <c r="AI435" s="696">
        <f t="shared" si="57"/>
        <v>441193</v>
      </c>
      <c r="AJ435" s="697">
        <f t="shared" si="58"/>
        <v>450000</v>
      </c>
    </row>
    <row r="436" spans="1:36" s="700" customFormat="1" ht="12.75" customHeight="1">
      <c r="A436" s="719" t="s">
        <v>203</v>
      </c>
      <c r="B436" s="719" t="s">
        <v>419</v>
      </c>
      <c r="C436" s="727" t="s">
        <v>50</v>
      </c>
      <c r="D436" s="727"/>
      <c r="E436" s="721"/>
      <c r="F436" s="722"/>
      <c r="G436" s="1025"/>
      <c r="H436" s="690"/>
      <c r="I436" s="1030"/>
      <c r="J436" s="690"/>
      <c r="K436" s="1030"/>
      <c r="L436" s="690"/>
      <c r="M436" s="1025"/>
      <c r="N436" s="1030"/>
      <c r="O436" s="692">
        <f t="shared" si="51"/>
        <v>0</v>
      </c>
      <c r="P436" s="690"/>
      <c r="Q436" s="690"/>
      <c r="R436" s="691">
        <f t="shared" si="52"/>
        <v>0</v>
      </c>
      <c r="S436" s="692">
        <f t="shared" si="53"/>
        <v>0</v>
      </c>
      <c r="T436" s="693">
        <f t="shared" si="54"/>
        <v>0</v>
      </c>
      <c r="U436" s="1035"/>
      <c r="V436" s="690"/>
      <c r="W436" s="1025"/>
      <c r="X436" s="1030"/>
      <c r="Y436" s="694">
        <f t="shared" si="55"/>
        <v>0</v>
      </c>
      <c r="Z436" s="690"/>
      <c r="AA436" s="690"/>
      <c r="AB436" s="695">
        <f t="shared" si="56"/>
        <v>0</v>
      </c>
      <c r="AC436" s="1035"/>
      <c r="AD436" s="690"/>
      <c r="AE436" s="1025"/>
      <c r="AF436" s="1030"/>
      <c r="AG436" s="690"/>
      <c r="AH436" s="690"/>
      <c r="AI436" s="696">
        <f t="shared" si="57"/>
        <v>0</v>
      </c>
      <c r="AJ436" s="697">
        <f t="shared" si="58"/>
        <v>0</v>
      </c>
    </row>
    <row r="437" spans="1:36" s="700" customFormat="1" ht="12.75" customHeight="1">
      <c r="A437" s="719" t="s">
        <v>203</v>
      </c>
      <c r="B437" s="719" t="s">
        <v>420</v>
      </c>
      <c r="C437" s="729" t="s">
        <v>51</v>
      </c>
      <c r="D437" s="729"/>
      <c r="E437" s="721"/>
      <c r="F437" s="722"/>
      <c r="G437" s="1025"/>
      <c r="H437" s="690"/>
      <c r="I437" s="1030"/>
      <c r="J437" s="690"/>
      <c r="K437" s="1030"/>
      <c r="L437" s="690"/>
      <c r="M437" s="1025"/>
      <c r="N437" s="1030"/>
      <c r="O437" s="692">
        <f t="shared" si="51"/>
        <v>0</v>
      </c>
      <c r="P437" s="690"/>
      <c r="Q437" s="690"/>
      <c r="R437" s="691">
        <f t="shared" si="52"/>
        <v>0</v>
      </c>
      <c r="S437" s="692">
        <f t="shared" si="53"/>
        <v>0</v>
      </c>
      <c r="T437" s="693">
        <f t="shared" si="54"/>
        <v>0</v>
      </c>
      <c r="U437" s="1035"/>
      <c r="V437" s="690"/>
      <c r="W437" s="1025"/>
      <c r="X437" s="1030"/>
      <c r="Y437" s="694">
        <f t="shared" si="55"/>
        <v>0</v>
      </c>
      <c r="Z437" s="690"/>
      <c r="AA437" s="690"/>
      <c r="AB437" s="695">
        <f t="shared" si="56"/>
        <v>0</v>
      </c>
      <c r="AC437" s="1035"/>
      <c r="AD437" s="690"/>
      <c r="AE437" s="1025"/>
      <c r="AF437" s="1030"/>
      <c r="AG437" s="690"/>
      <c r="AH437" s="690"/>
      <c r="AI437" s="696">
        <f t="shared" si="57"/>
        <v>0</v>
      </c>
      <c r="AJ437" s="697">
        <f t="shared" si="58"/>
        <v>0</v>
      </c>
    </row>
    <row r="438" spans="1:36" s="700" customFormat="1" ht="12.75" customHeight="1">
      <c r="A438" s="719" t="s">
        <v>203</v>
      </c>
      <c r="B438" s="719" t="s">
        <v>420</v>
      </c>
      <c r="C438" s="730" t="s">
        <v>649</v>
      </c>
      <c r="D438" s="730"/>
      <c r="E438" s="721"/>
      <c r="F438" s="722"/>
      <c r="G438" s="1025"/>
      <c r="H438" s="690"/>
      <c r="I438" s="1030"/>
      <c r="J438" s="690"/>
      <c r="K438" s="1030"/>
      <c r="L438" s="690"/>
      <c r="M438" s="1025"/>
      <c r="N438" s="1030"/>
      <c r="O438" s="692">
        <f t="shared" si="51"/>
        <v>0</v>
      </c>
      <c r="P438" s="690"/>
      <c r="Q438" s="690"/>
      <c r="R438" s="691">
        <f t="shared" si="52"/>
        <v>0</v>
      </c>
      <c r="S438" s="692">
        <f t="shared" si="53"/>
        <v>0</v>
      </c>
      <c r="T438" s="693">
        <f t="shared" si="54"/>
        <v>0</v>
      </c>
      <c r="U438" s="1035"/>
      <c r="V438" s="690"/>
      <c r="W438" s="1025"/>
      <c r="X438" s="1030"/>
      <c r="Y438" s="694">
        <f t="shared" si="55"/>
        <v>0</v>
      </c>
      <c r="Z438" s="690"/>
      <c r="AA438" s="690"/>
      <c r="AB438" s="695">
        <f t="shared" si="56"/>
        <v>0</v>
      </c>
      <c r="AC438" s="1035"/>
      <c r="AD438" s="690"/>
      <c r="AE438" s="1025"/>
      <c r="AF438" s="1030"/>
      <c r="AG438" s="690"/>
      <c r="AH438" s="690"/>
      <c r="AI438" s="696">
        <f t="shared" si="57"/>
        <v>0</v>
      </c>
      <c r="AJ438" s="697">
        <f t="shared" si="58"/>
        <v>0</v>
      </c>
    </row>
    <row r="439" spans="1:36" s="700" customFormat="1" ht="12.75" customHeight="1">
      <c r="A439" s="719" t="s">
        <v>203</v>
      </c>
      <c r="B439" s="731" t="s">
        <v>295</v>
      </c>
      <c r="C439" s="732" t="s">
        <v>53</v>
      </c>
      <c r="D439" s="732"/>
      <c r="E439" s="721"/>
      <c r="F439" s="722"/>
      <c r="G439" s="1025"/>
      <c r="H439" s="690"/>
      <c r="I439" s="1030"/>
      <c r="J439" s="690"/>
      <c r="K439" s="1030"/>
      <c r="L439" s="690"/>
      <c r="M439" s="1025"/>
      <c r="N439" s="1030"/>
      <c r="O439" s="692">
        <f t="shared" si="51"/>
        <v>0</v>
      </c>
      <c r="P439" s="690"/>
      <c r="Q439" s="690"/>
      <c r="R439" s="691">
        <f t="shared" si="52"/>
        <v>0</v>
      </c>
      <c r="S439" s="692">
        <f t="shared" si="53"/>
        <v>0</v>
      </c>
      <c r="T439" s="693">
        <f t="shared" si="54"/>
        <v>0</v>
      </c>
      <c r="U439" s="1035"/>
      <c r="V439" s="690"/>
      <c r="W439" s="1025"/>
      <c r="X439" s="1030"/>
      <c r="Y439" s="694">
        <f t="shared" si="55"/>
        <v>0</v>
      </c>
      <c r="Z439" s="690"/>
      <c r="AA439" s="690"/>
      <c r="AB439" s="695">
        <f t="shared" si="56"/>
        <v>0</v>
      </c>
      <c r="AC439" s="1035"/>
      <c r="AD439" s="690"/>
      <c r="AE439" s="1025"/>
      <c r="AF439" s="1030"/>
      <c r="AG439" s="690"/>
      <c r="AH439" s="690"/>
      <c r="AI439" s="696">
        <f t="shared" si="57"/>
        <v>0</v>
      </c>
      <c r="AJ439" s="697">
        <f t="shared" si="58"/>
        <v>0</v>
      </c>
    </row>
    <row r="440" spans="1:36" s="700" customFormat="1" ht="12.75" customHeight="1">
      <c r="A440" s="719" t="s">
        <v>203</v>
      </c>
      <c r="B440" s="731" t="s">
        <v>296</v>
      </c>
      <c r="C440" s="732" t="s">
        <v>443</v>
      </c>
      <c r="D440" s="732"/>
      <c r="E440" s="721"/>
      <c r="F440" s="722"/>
      <c r="G440" s="1025"/>
      <c r="H440" s="690"/>
      <c r="I440" s="1030"/>
      <c r="J440" s="690"/>
      <c r="K440" s="1030"/>
      <c r="L440" s="690"/>
      <c r="M440" s="1025"/>
      <c r="N440" s="1030"/>
      <c r="O440" s="692">
        <f t="shared" si="51"/>
        <v>0</v>
      </c>
      <c r="P440" s="690"/>
      <c r="Q440" s="690"/>
      <c r="R440" s="691">
        <f t="shared" si="52"/>
        <v>0</v>
      </c>
      <c r="S440" s="692">
        <f t="shared" si="53"/>
        <v>0</v>
      </c>
      <c r="T440" s="693">
        <f t="shared" si="54"/>
        <v>0</v>
      </c>
      <c r="U440" s="1035"/>
      <c r="V440" s="690"/>
      <c r="W440" s="1025"/>
      <c r="X440" s="1030"/>
      <c r="Y440" s="694">
        <f t="shared" si="55"/>
        <v>0</v>
      </c>
      <c r="Z440" s="690"/>
      <c r="AA440" s="690"/>
      <c r="AB440" s="695">
        <f t="shared" si="56"/>
        <v>0</v>
      </c>
      <c r="AC440" s="1035"/>
      <c r="AD440" s="690"/>
      <c r="AE440" s="1025"/>
      <c r="AF440" s="1030"/>
      <c r="AG440" s="690"/>
      <c r="AH440" s="690"/>
      <c r="AI440" s="696">
        <f t="shared" si="57"/>
        <v>0</v>
      </c>
      <c r="AJ440" s="697">
        <f t="shared" si="58"/>
        <v>0</v>
      </c>
    </row>
    <row r="441" spans="1:36" s="700" customFormat="1" ht="12.75" customHeight="1">
      <c r="A441" s="719" t="s">
        <v>203</v>
      </c>
      <c r="B441" s="731" t="s">
        <v>278</v>
      </c>
      <c r="C441" s="732" t="s">
        <v>377</v>
      </c>
      <c r="D441" s="732"/>
      <c r="E441" s="721"/>
      <c r="F441" s="722"/>
      <c r="G441" s="1025"/>
      <c r="H441" s="690"/>
      <c r="I441" s="1030"/>
      <c r="J441" s="690"/>
      <c r="K441" s="1030"/>
      <c r="L441" s="690"/>
      <c r="M441" s="1025"/>
      <c r="N441" s="1030"/>
      <c r="O441" s="692">
        <f t="shared" si="51"/>
        <v>0</v>
      </c>
      <c r="P441" s="690"/>
      <c r="Q441" s="690"/>
      <c r="R441" s="691">
        <f t="shared" si="52"/>
        <v>0</v>
      </c>
      <c r="S441" s="692">
        <f t="shared" si="53"/>
        <v>0</v>
      </c>
      <c r="T441" s="693">
        <f t="shared" si="54"/>
        <v>0</v>
      </c>
      <c r="U441" s="1035">
        <v>7519885</v>
      </c>
      <c r="V441" s="690">
        <v>7750000</v>
      </c>
      <c r="W441" s="1025"/>
      <c r="X441" s="1030"/>
      <c r="Y441" s="694">
        <f t="shared" si="55"/>
        <v>0</v>
      </c>
      <c r="Z441" s="690"/>
      <c r="AA441" s="690"/>
      <c r="AB441" s="695">
        <f t="shared" si="56"/>
        <v>0</v>
      </c>
      <c r="AC441" s="1035"/>
      <c r="AD441" s="690"/>
      <c r="AE441" s="1025"/>
      <c r="AF441" s="1030"/>
      <c r="AG441" s="690"/>
      <c r="AH441" s="690"/>
      <c r="AI441" s="696">
        <f t="shared" si="57"/>
        <v>7519885</v>
      </c>
      <c r="AJ441" s="697">
        <f t="shared" si="58"/>
        <v>7750000</v>
      </c>
    </row>
    <row r="442" spans="1:36" s="700" customFormat="1" ht="12.75" customHeight="1">
      <c r="A442" s="719" t="s">
        <v>203</v>
      </c>
      <c r="B442" s="731" t="s">
        <v>279</v>
      </c>
      <c r="C442" s="732" t="s">
        <v>54</v>
      </c>
      <c r="D442" s="732"/>
      <c r="E442" s="721"/>
      <c r="F442" s="722"/>
      <c r="G442" s="1025"/>
      <c r="H442" s="690"/>
      <c r="I442" s="1030"/>
      <c r="J442" s="690"/>
      <c r="K442" s="1030"/>
      <c r="L442" s="690"/>
      <c r="M442" s="1025"/>
      <c r="N442" s="1030"/>
      <c r="O442" s="692">
        <f t="shared" si="51"/>
        <v>0</v>
      </c>
      <c r="P442" s="690"/>
      <c r="Q442" s="690"/>
      <c r="R442" s="691">
        <f t="shared" si="52"/>
        <v>0</v>
      </c>
      <c r="S442" s="692">
        <f t="shared" si="53"/>
        <v>0</v>
      </c>
      <c r="T442" s="693">
        <f t="shared" si="54"/>
        <v>0</v>
      </c>
      <c r="U442" s="1035"/>
      <c r="V442" s="690"/>
      <c r="W442" s="1025"/>
      <c r="X442" s="1030"/>
      <c r="Y442" s="694">
        <f t="shared" si="55"/>
        <v>0</v>
      </c>
      <c r="Z442" s="690"/>
      <c r="AA442" s="690"/>
      <c r="AB442" s="695">
        <f t="shared" si="56"/>
        <v>0</v>
      </c>
      <c r="AC442" s="1035"/>
      <c r="AD442" s="690"/>
      <c r="AE442" s="1025"/>
      <c r="AF442" s="1030"/>
      <c r="AG442" s="690"/>
      <c r="AH442" s="690"/>
      <c r="AI442" s="696">
        <f t="shared" si="57"/>
        <v>0</v>
      </c>
      <c r="AJ442" s="697">
        <f t="shared" si="58"/>
        <v>0</v>
      </c>
    </row>
    <row r="443" spans="1:36" s="700" customFormat="1" ht="12.75" customHeight="1">
      <c r="A443" s="719" t="s">
        <v>203</v>
      </c>
      <c r="B443" s="731" t="s">
        <v>317</v>
      </c>
      <c r="C443" s="732" t="s">
        <v>443</v>
      </c>
      <c r="D443" s="732"/>
      <c r="E443" s="721"/>
      <c r="F443" s="722"/>
      <c r="G443" s="1025"/>
      <c r="H443" s="690"/>
      <c r="I443" s="1030"/>
      <c r="J443" s="690"/>
      <c r="K443" s="1030"/>
      <c r="L443" s="690"/>
      <c r="M443" s="1025"/>
      <c r="N443" s="1030"/>
      <c r="O443" s="692">
        <f t="shared" si="51"/>
        <v>0</v>
      </c>
      <c r="P443" s="690"/>
      <c r="Q443" s="690"/>
      <c r="R443" s="691">
        <f t="shared" si="52"/>
        <v>0</v>
      </c>
      <c r="S443" s="692">
        <f t="shared" si="53"/>
        <v>0</v>
      </c>
      <c r="T443" s="693">
        <f t="shared" si="54"/>
        <v>0</v>
      </c>
      <c r="U443" s="1035"/>
      <c r="V443" s="690"/>
      <c r="W443" s="1025"/>
      <c r="X443" s="1030"/>
      <c r="Y443" s="694">
        <f t="shared" si="55"/>
        <v>0</v>
      </c>
      <c r="Z443" s="690"/>
      <c r="AA443" s="690"/>
      <c r="AB443" s="695">
        <f t="shared" si="56"/>
        <v>0</v>
      </c>
      <c r="AC443" s="1035"/>
      <c r="AD443" s="690"/>
      <c r="AE443" s="1025"/>
      <c r="AF443" s="1030"/>
      <c r="AG443" s="690"/>
      <c r="AH443" s="690"/>
      <c r="AI443" s="696">
        <f t="shared" si="57"/>
        <v>0</v>
      </c>
      <c r="AJ443" s="697">
        <f t="shared" si="58"/>
        <v>0</v>
      </c>
    </row>
    <row r="444" spans="1:36" s="700" customFormat="1" ht="12.75" customHeight="1">
      <c r="A444" s="719" t="s">
        <v>203</v>
      </c>
      <c r="B444" s="731" t="s">
        <v>318</v>
      </c>
      <c r="C444" s="732" t="s">
        <v>377</v>
      </c>
      <c r="D444" s="732"/>
      <c r="E444" s="721"/>
      <c r="F444" s="722"/>
      <c r="G444" s="1025"/>
      <c r="H444" s="690"/>
      <c r="I444" s="1030"/>
      <c r="J444" s="690"/>
      <c r="K444" s="1030"/>
      <c r="L444" s="690"/>
      <c r="M444" s="1025"/>
      <c r="N444" s="1030"/>
      <c r="O444" s="692">
        <f t="shared" si="51"/>
        <v>0</v>
      </c>
      <c r="P444" s="690"/>
      <c r="Q444" s="690"/>
      <c r="R444" s="691">
        <f t="shared" si="52"/>
        <v>0</v>
      </c>
      <c r="S444" s="692">
        <f t="shared" si="53"/>
        <v>0</v>
      </c>
      <c r="T444" s="693">
        <f t="shared" si="54"/>
        <v>0</v>
      </c>
      <c r="U444" s="1035">
        <v>3226000</v>
      </c>
      <c r="V444" s="690">
        <v>3000000</v>
      </c>
      <c r="W444" s="1025"/>
      <c r="X444" s="1030"/>
      <c r="Y444" s="694">
        <f t="shared" si="55"/>
        <v>0</v>
      </c>
      <c r="Z444" s="690"/>
      <c r="AA444" s="690"/>
      <c r="AB444" s="695">
        <f t="shared" si="56"/>
        <v>0</v>
      </c>
      <c r="AC444" s="1035"/>
      <c r="AD444" s="690"/>
      <c r="AE444" s="1025"/>
      <c r="AF444" s="1030"/>
      <c r="AG444" s="690"/>
      <c r="AH444" s="690"/>
      <c r="AI444" s="696">
        <f t="shared" si="57"/>
        <v>3226000</v>
      </c>
      <c r="AJ444" s="697">
        <f t="shared" si="58"/>
        <v>3000000</v>
      </c>
    </row>
    <row r="445" spans="1:36" s="700" customFormat="1" ht="12.75" customHeight="1">
      <c r="A445" s="719" t="s">
        <v>203</v>
      </c>
      <c r="B445" s="719" t="s">
        <v>420</v>
      </c>
      <c r="C445" s="730" t="s">
        <v>650</v>
      </c>
      <c r="D445" s="730"/>
      <c r="E445" s="721"/>
      <c r="F445" s="722"/>
      <c r="G445" s="1025"/>
      <c r="H445" s="690"/>
      <c r="I445" s="1030"/>
      <c r="J445" s="690"/>
      <c r="K445" s="1030"/>
      <c r="L445" s="690"/>
      <c r="M445" s="1025"/>
      <c r="N445" s="1030"/>
      <c r="O445" s="692">
        <f t="shared" si="51"/>
        <v>0</v>
      </c>
      <c r="P445" s="690"/>
      <c r="Q445" s="690"/>
      <c r="R445" s="691">
        <f t="shared" si="52"/>
        <v>0</v>
      </c>
      <c r="S445" s="692">
        <f t="shared" si="53"/>
        <v>0</v>
      </c>
      <c r="T445" s="693">
        <f t="shared" si="54"/>
        <v>0</v>
      </c>
      <c r="U445" s="1035"/>
      <c r="V445" s="690"/>
      <c r="W445" s="1025"/>
      <c r="X445" s="1030"/>
      <c r="Y445" s="694">
        <f t="shared" si="55"/>
        <v>0</v>
      </c>
      <c r="Z445" s="690"/>
      <c r="AA445" s="690"/>
      <c r="AB445" s="695">
        <f t="shared" si="56"/>
        <v>0</v>
      </c>
      <c r="AC445" s="1035"/>
      <c r="AD445" s="690"/>
      <c r="AE445" s="1025"/>
      <c r="AF445" s="1030"/>
      <c r="AG445" s="690"/>
      <c r="AH445" s="690"/>
      <c r="AI445" s="696">
        <f t="shared" si="57"/>
        <v>0</v>
      </c>
      <c r="AJ445" s="697">
        <f t="shared" si="58"/>
        <v>0</v>
      </c>
    </row>
    <row r="446" spans="1:36" s="700" customFormat="1" ht="12.75" customHeight="1">
      <c r="A446" s="719" t="s">
        <v>203</v>
      </c>
      <c r="B446" s="731" t="s">
        <v>295</v>
      </c>
      <c r="C446" s="732" t="s">
        <v>53</v>
      </c>
      <c r="D446" s="732"/>
      <c r="E446" s="721"/>
      <c r="F446" s="722"/>
      <c r="G446" s="1025"/>
      <c r="H446" s="690"/>
      <c r="I446" s="1030"/>
      <c r="J446" s="690"/>
      <c r="K446" s="1030"/>
      <c r="L446" s="690"/>
      <c r="M446" s="1025"/>
      <c r="N446" s="1030"/>
      <c r="O446" s="692">
        <f t="shared" si="51"/>
        <v>0</v>
      </c>
      <c r="P446" s="690"/>
      <c r="Q446" s="690"/>
      <c r="R446" s="691">
        <f t="shared" si="52"/>
        <v>0</v>
      </c>
      <c r="S446" s="692">
        <f t="shared" si="53"/>
        <v>0</v>
      </c>
      <c r="T446" s="693">
        <f t="shared" si="54"/>
        <v>0</v>
      </c>
      <c r="U446" s="1035"/>
      <c r="V446" s="690"/>
      <c r="W446" s="1025"/>
      <c r="X446" s="1030"/>
      <c r="Y446" s="694">
        <f t="shared" si="55"/>
        <v>0</v>
      </c>
      <c r="Z446" s="690"/>
      <c r="AA446" s="690"/>
      <c r="AB446" s="695">
        <f t="shared" si="56"/>
        <v>0</v>
      </c>
      <c r="AC446" s="1035"/>
      <c r="AD446" s="690"/>
      <c r="AE446" s="1025"/>
      <c r="AF446" s="1030"/>
      <c r="AG446" s="690"/>
      <c r="AH446" s="690"/>
      <c r="AI446" s="696">
        <f t="shared" si="57"/>
        <v>0</v>
      </c>
      <c r="AJ446" s="697">
        <f t="shared" si="58"/>
        <v>0</v>
      </c>
    </row>
    <row r="447" spans="1:36" s="700" customFormat="1" ht="12.75" customHeight="1">
      <c r="A447" s="719" t="s">
        <v>203</v>
      </c>
      <c r="B447" s="731" t="s">
        <v>296</v>
      </c>
      <c r="C447" s="732" t="s">
        <v>443</v>
      </c>
      <c r="D447" s="732"/>
      <c r="E447" s="721"/>
      <c r="F447" s="722"/>
      <c r="G447" s="1025"/>
      <c r="H447" s="690"/>
      <c r="I447" s="1030"/>
      <c r="J447" s="690"/>
      <c r="K447" s="1030"/>
      <c r="L447" s="690"/>
      <c r="M447" s="1025"/>
      <c r="N447" s="1030"/>
      <c r="O447" s="692">
        <f t="shared" si="51"/>
        <v>0</v>
      </c>
      <c r="P447" s="690"/>
      <c r="Q447" s="690"/>
      <c r="R447" s="691">
        <f t="shared" si="52"/>
        <v>0</v>
      </c>
      <c r="S447" s="692">
        <f t="shared" si="53"/>
        <v>0</v>
      </c>
      <c r="T447" s="693">
        <f t="shared" si="54"/>
        <v>0</v>
      </c>
      <c r="U447" s="1035">
        <v>19406315</v>
      </c>
      <c r="V447" s="690"/>
      <c r="W447" s="1025"/>
      <c r="X447" s="1030"/>
      <c r="Y447" s="694">
        <f t="shared" si="55"/>
        <v>0</v>
      </c>
      <c r="Z447" s="690"/>
      <c r="AA447" s="690"/>
      <c r="AB447" s="695">
        <f t="shared" si="56"/>
        <v>0</v>
      </c>
      <c r="AC447" s="1035"/>
      <c r="AD447" s="690"/>
      <c r="AE447" s="1025"/>
      <c r="AF447" s="1030"/>
      <c r="AG447" s="690"/>
      <c r="AH447" s="690"/>
      <c r="AI447" s="696">
        <f t="shared" si="57"/>
        <v>19406315</v>
      </c>
      <c r="AJ447" s="697">
        <f t="shared" si="58"/>
        <v>0</v>
      </c>
    </row>
    <row r="448" spans="1:36" s="700" customFormat="1" ht="12.75" customHeight="1">
      <c r="A448" s="719" t="s">
        <v>203</v>
      </c>
      <c r="B448" s="731" t="s">
        <v>278</v>
      </c>
      <c r="C448" s="732" t="s">
        <v>377</v>
      </c>
      <c r="D448" s="732"/>
      <c r="E448" s="721"/>
      <c r="F448" s="722"/>
      <c r="G448" s="1025"/>
      <c r="H448" s="690"/>
      <c r="I448" s="1030"/>
      <c r="J448" s="690"/>
      <c r="K448" s="1030"/>
      <c r="L448" s="690"/>
      <c r="M448" s="1025"/>
      <c r="N448" s="1030"/>
      <c r="O448" s="692">
        <f t="shared" si="51"/>
        <v>0</v>
      </c>
      <c r="P448" s="690"/>
      <c r="Q448" s="690"/>
      <c r="R448" s="691">
        <f t="shared" si="52"/>
        <v>0</v>
      </c>
      <c r="S448" s="692">
        <f t="shared" si="53"/>
        <v>0</v>
      </c>
      <c r="T448" s="693">
        <f t="shared" si="54"/>
        <v>0</v>
      </c>
      <c r="U448" s="1035"/>
      <c r="V448" s="690">
        <v>110000000</v>
      </c>
      <c r="W448" s="1025"/>
      <c r="X448" s="1030"/>
      <c r="Y448" s="694">
        <f t="shared" si="55"/>
        <v>0</v>
      </c>
      <c r="Z448" s="690"/>
      <c r="AA448" s="690"/>
      <c r="AB448" s="695">
        <f t="shared" si="56"/>
        <v>0</v>
      </c>
      <c r="AC448" s="1035"/>
      <c r="AD448" s="690"/>
      <c r="AE448" s="1025"/>
      <c r="AF448" s="1030"/>
      <c r="AG448" s="690"/>
      <c r="AH448" s="690"/>
      <c r="AI448" s="696">
        <f t="shared" si="57"/>
        <v>0</v>
      </c>
      <c r="AJ448" s="697">
        <f t="shared" si="58"/>
        <v>110000000</v>
      </c>
    </row>
    <row r="449" spans="1:36" s="700" customFormat="1" ht="12.75" customHeight="1">
      <c r="A449" s="719" t="s">
        <v>203</v>
      </c>
      <c r="B449" s="731" t="s">
        <v>279</v>
      </c>
      <c r="C449" s="732" t="s">
        <v>54</v>
      </c>
      <c r="D449" s="732"/>
      <c r="E449" s="721"/>
      <c r="F449" s="722"/>
      <c r="G449" s="1025"/>
      <c r="H449" s="690"/>
      <c r="I449" s="1030"/>
      <c r="J449" s="690"/>
      <c r="K449" s="1030"/>
      <c r="L449" s="690"/>
      <c r="M449" s="1025"/>
      <c r="N449" s="1030"/>
      <c r="O449" s="692">
        <f t="shared" si="51"/>
        <v>0</v>
      </c>
      <c r="P449" s="690"/>
      <c r="Q449" s="690"/>
      <c r="R449" s="691">
        <f t="shared" si="52"/>
        <v>0</v>
      </c>
      <c r="S449" s="692">
        <f t="shared" si="53"/>
        <v>0</v>
      </c>
      <c r="T449" s="693">
        <f t="shared" si="54"/>
        <v>0</v>
      </c>
      <c r="U449" s="1035"/>
      <c r="V449" s="690"/>
      <c r="W449" s="1025"/>
      <c r="X449" s="1030"/>
      <c r="Y449" s="694">
        <f t="shared" si="55"/>
        <v>0</v>
      </c>
      <c r="Z449" s="690"/>
      <c r="AA449" s="690"/>
      <c r="AB449" s="695">
        <f t="shared" si="56"/>
        <v>0</v>
      </c>
      <c r="AC449" s="1035"/>
      <c r="AD449" s="690"/>
      <c r="AE449" s="1025"/>
      <c r="AF449" s="1030"/>
      <c r="AG449" s="690"/>
      <c r="AH449" s="690"/>
      <c r="AI449" s="696">
        <f t="shared" si="57"/>
        <v>0</v>
      </c>
      <c r="AJ449" s="697">
        <f t="shared" si="58"/>
        <v>0</v>
      </c>
    </row>
    <row r="450" spans="1:36" s="700" customFormat="1" ht="12.75" customHeight="1">
      <c r="A450" s="719" t="s">
        <v>203</v>
      </c>
      <c r="B450" s="731" t="s">
        <v>317</v>
      </c>
      <c r="C450" s="732" t="s">
        <v>443</v>
      </c>
      <c r="D450" s="732"/>
      <c r="E450" s="721"/>
      <c r="F450" s="722"/>
      <c r="G450" s="1025"/>
      <c r="H450" s="690"/>
      <c r="I450" s="1030"/>
      <c r="J450" s="690"/>
      <c r="K450" s="1030"/>
      <c r="L450" s="690"/>
      <c r="M450" s="1025"/>
      <c r="N450" s="1030"/>
      <c r="O450" s="692">
        <f t="shared" si="51"/>
        <v>0</v>
      </c>
      <c r="P450" s="690"/>
      <c r="Q450" s="690"/>
      <c r="R450" s="691">
        <f t="shared" si="52"/>
        <v>0</v>
      </c>
      <c r="S450" s="692">
        <f t="shared" si="53"/>
        <v>0</v>
      </c>
      <c r="T450" s="693">
        <f t="shared" si="54"/>
        <v>0</v>
      </c>
      <c r="U450" s="1035">
        <v>2491866</v>
      </c>
      <c r="V450" s="690"/>
      <c r="W450" s="1025"/>
      <c r="X450" s="1030"/>
      <c r="Y450" s="694">
        <f t="shared" si="55"/>
        <v>0</v>
      </c>
      <c r="Z450" s="690"/>
      <c r="AA450" s="690"/>
      <c r="AB450" s="695">
        <f t="shared" si="56"/>
        <v>0</v>
      </c>
      <c r="AC450" s="1035"/>
      <c r="AD450" s="690"/>
      <c r="AE450" s="1025"/>
      <c r="AF450" s="1030"/>
      <c r="AG450" s="690"/>
      <c r="AH450" s="690"/>
      <c r="AI450" s="696">
        <f t="shared" si="57"/>
        <v>2491866</v>
      </c>
      <c r="AJ450" s="697">
        <f t="shared" si="58"/>
        <v>0</v>
      </c>
    </row>
    <row r="451" spans="1:36" s="700" customFormat="1" ht="12.75" customHeight="1">
      <c r="A451" s="719" t="s">
        <v>203</v>
      </c>
      <c r="B451" s="731" t="s">
        <v>318</v>
      </c>
      <c r="C451" s="732" t="s">
        <v>377</v>
      </c>
      <c r="D451" s="732"/>
      <c r="E451" s="721"/>
      <c r="F451" s="722"/>
      <c r="G451" s="1025"/>
      <c r="H451" s="690"/>
      <c r="I451" s="1030"/>
      <c r="J451" s="690"/>
      <c r="K451" s="1030"/>
      <c r="L451" s="690"/>
      <c r="M451" s="1025"/>
      <c r="N451" s="1030"/>
      <c r="O451" s="692">
        <f t="shared" si="51"/>
        <v>0</v>
      </c>
      <c r="P451" s="690"/>
      <c r="Q451" s="690"/>
      <c r="R451" s="691">
        <f t="shared" si="52"/>
        <v>0</v>
      </c>
      <c r="S451" s="692">
        <f t="shared" si="53"/>
        <v>0</v>
      </c>
      <c r="T451" s="693">
        <f t="shared" si="54"/>
        <v>0</v>
      </c>
      <c r="U451" s="1035"/>
      <c r="V451" s="690">
        <v>14000000</v>
      </c>
      <c r="W451" s="1025"/>
      <c r="X451" s="1030"/>
      <c r="Y451" s="694">
        <f t="shared" si="55"/>
        <v>0</v>
      </c>
      <c r="Z451" s="690"/>
      <c r="AA451" s="690"/>
      <c r="AB451" s="695">
        <f t="shared" si="56"/>
        <v>0</v>
      </c>
      <c r="AC451" s="1035"/>
      <c r="AD451" s="690"/>
      <c r="AE451" s="1025"/>
      <c r="AF451" s="1030"/>
      <c r="AG451" s="690"/>
      <c r="AH451" s="690"/>
      <c r="AI451" s="696">
        <f t="shared" si="57"/>
        <v>0</v>
      </c>
      <c r="AJ451" s="697">
        <f t="shared" si="58"/>
        <v>14000000</v>
      </c>
    </row>
    <row r="452" spans="1:36" s="700" customFormat="1" ht="12.75" customHeight="1">
      <c r="A452" s="719" t="s">
        <v>203</v>
      </c>
      <c r="B452" s="719" t="s">
        <v>420</v>
      </c>
      <c r="C452" s="733" t="s">
        <v>651</v>
      </c>
      <c r="D452" s="733"/>
      <c r="E452" s="721"/>
      <c r="F452" s="722"/>
      <c r="G452" s="1025"/>
      <c r="H452" s="690"/>
      <c r="I452" s="1030"/>
      <c r="J452" s="690"/>
      <c r="K452" s="1030"/>
      <c r="L452" s="690"/>
      <c r="M452" s="1025"/>
      <c r="N452" s="1030"/>
      <c r="O452" s="692">
        <f t="shared" si="51"/>
        <v>0</v>
      </c>
      <c r="P452" s="690"/>
      <c r="Q452" s="690"/>
      <c r="R452" s="691">
        <f t="shared" si="52"/>
        <v>0</v>
      </c>
      <c r="S452" s="692">
        <f t="shared" si="53"/>
        <v>0</v>
      </c>
      <c r="T452" s="693">
        <f t="shared" si="54"/>
        <v>0</v>
      </c>
      <c r="U452" s="1035"/>
      <c r="V452" s="690"/>
      <c r="W452" s="1025"/>
      <c r="X452" s="1030"/>
      <c r="Y452" s="694">
        <f t="shared" si="55"/>
        <v>0</v>
      </c>
      <c r="Z452" s="690"/>
      <c r="AA452" s="690"/>
      <c r="AB452" s="695">
        <f t="shared" si="56"/>
        <v>0</v>
      </c>
      <c r="AC452" s="1035"/>
      <c r="AD452" s="690"/>
      <c r="AE452" s="1025"/>
      <c r="AF452" s="1030"/>
      <c r="AG452" s="690"/>
      <c r="AH452" s="690"/>
      <c r="AI452" s="696">
        <f t="shared" si="57"/>
        <v>0</v>
      </c>
      <c r="AJ452" s="697">
        <f t="shared" si="58"/>
        <v>0</v>
      </c>
    </row>
    <row r="453" spans="1:36" s="700" customFormat="1" ht="12.75" customHeight="1">
      <c r="A453" s="719" t="s">
        <v>203</v>
      </c>
      <c r="B453" s="731" t="s">
        <v>295</v>
      </c>
      <c r="C453" s="732" t="s">
        <v>53</v>
      </c>
      <c r="D453" s="732"/>
      <c r="E453" s="721"/>
      <c r="F453" s="722"/>
      <c r="G453" s="1025"/>
      <c r="H453" s="690"/>
      <c r="I453" s="1030"/>
      <c r="J453" s="690"/>
      <c r="K453" s="1030"/>
      <c r="L453" s="690"/>
      <c r="M453" s="1025"/>
      <c r="N453" s="1030"/>
      <c r="O453" s="692">
        <f t="shared" si="51"/>
        <v>0</v>
      </c>
      <c r="P453" s="690"/>
      <c r="Q453" s="690"/>
      <c r="R453" s="691">
        <f t="shared" si="52"/>
        <v>0</v>
      </c>
      <c r="S453" s="692">
        <f t="shared" si="53"/>
        <v>0</v>
      </c>
      <c r="T453" s="693">
        <f t="shared" si="54"/>
        <v>0</v>
      </c>
      <c r="U453" s="1035"/>
      <c r="V453" s="690"/>
      <c r="W453" s="1025"/>
      <c r="X453" s="1030"/>
      <c r="Y453" s="694">
        <f t="shared" si="55"/>
        <v>0</v>
      </c>
      <c r="Z453" s="690"/>
      <c r="AA453" s="690"/>
      <c r="AB453" s="695">
        <f t="shared" si="56"/>
        <v>0</v>
      </c>
      <c r="AC453" s="1035"/>
      <c r="AD453" s="690"/>
      <c r="AE453" s="1025"/>
      <c r="AF453" s="1030"/>
      <c r="AG453" s="690"/>
      <c r="AH453" s="690"/>
      <c r="AI453" s="696">
        <f t="shared" si="57"/>
        <v>0</v>
      </c>
      <c r="AJ453" s="697">
        <f t="shared" si="58"/>
        <v>0</v>
      </c>
    </row>
    <row r="454" spans="1:36" s="700" customFormat="1" ht="12.75" customHeight="1">
      <c r="A454" s="719" t="s">
        <v>203</v>
      </c>
      <c r="B454" s="731" t="s">
        <v>296</v>
      </c>
      <c r="C454" s="732" t="s">
        <v>443</v>
      </c>
      <c r="D454" s="732"/>
      <c r="E454" s="721"/>
      <c r="F454" s="722"/>
      <c r="G454" s="1025"/>
      <c r="H454" s="690"/>
      <c r="I454" s="1030"/>
      <c r="J454" s="690"/>
      <c r="K454" s="1030"/>
      <c r="L454" s="690"/>
      <c r="M454" s="1025"/>
      <c r="N454" s="1030"/>
      <c r="O454" s="692">
        <f t="shared" si="51"/>
        <v>0</v>
      </c>
      <c r="P454" s="690"/>
      <c r="Q454" s="690"/>
      <c r="R454" s="691">
        <f t="shared" si="52"/>
        <v>0</v>
      </c>
      <c r="S454" s="692">
        <f t="shared" si="53"/>
        <v>0</v>
      </c>
      <c r="T454" s="693">
        <f t="shared" si="54"/>
        <v>0</v>
      </c>
      <c r="U454" s="1035">
        <v>4850174</v>
      </c>
      <c r="V454" s="690">
        <v>9900000</v>
      </c>
      <c r="W454" s="1025"/>
      <c r="X454" s="1030"/>
      <c r="Y454" s="694">
        <f t="shared" si="55"/>
        <v>0</v>
      </c>
      <c r="Z454" s="690"/>
      <c r="AA454" s="690"/>
      <c r="AB454" s="695">
        <f t="shared" si="56"/>
        <v>0</v>
      </c>
      <c r="AC454" s="1035"/>
      <c r="AD454" s="690"/>
      <c r="AE454" s="1025"/>
      <c r="AF454" s="1030"/>
      <c r="AG454" s="690"/>
      <c r="AH454" s="690"/>
      <c r="AI454" s="696">
        <f t="shared" si="57"/>
        <v>4850174</v>
      </c>
      <c r="AJ454" s="697">
        <f t="shared" si="58"/>
        <v>9900000</v>
      </c>
    </row>
    <row r="455" spans="1:36" s="700" customFormat="1" ht="12.75" customHeight="1">
      <c r="A455" s="719" t="s">
        <v>203</v>
      </c>
      <c r="B455" s="731" t="s">
        <v>278</v>
      </c>
      <c r="C455" s="732" t="s">
        <v>377</v>
      </c>
      <c r="D455" s="732"/>
      <c r="E455" s="721"/>
      <c r="F455" s="722"/>
      <c r="G455" s="1025"/>
      <c r="H455" s="690"/>
      <c r="I455" s="1030"/>
      <c r="J455" s="690"/>
      <c r="K455" s="1030"/>
      <c r="L455" s="690"/>
      <c r="M455" s="1025"/>
      <c r="N455" s="1030"/>
      <c r="O455" s="692">
        <f t="shared" si="51"/>
        <v>0</v>
      </c>
      <c r="P455" s="690"/>
      <c r="Q455" s="690"/>
      <c r="R455" s="691">
        <f t="shared" si="52"/>
        <v>0</v>
      </c>
      <c r="S455" s="692">
        <f t="shared" si="53"/>
        <v>0</v>
      </c>
      <c r="T455" s="693">
        <f t="shared" si="54"/>
        <v>0</v>
      </c>
      <c r="U455" s="1035"/>
      <c r="V455" s="690"/>
      <c r="W455" s="1025"/>
      <c r="X455" s="1030"/>
      <c r="Y455" s="694">
        <f t="shared" si="55"/>
        <v>0</v>
      </c>
      <c r="Z455" s="690"/>
      <c r="AA455" s="690"/>
      <c r="AB455" s="695">
        <f t="shared" si="56"/>
        <v>0</v>
      </c>
      <c r="AC455" s="1035"/>
      <c r="AD455" s="690"/>
      <c r="AE455" s="1025"/>
      <c r="AF455" s="1030"/>
      <c r="AG455" s="690"/>
      <c r="AH455" s="690"/>
      <c r="AI455" s="696">
        <f t="shared" si="57"/>
        <v>0</v>
      </c>
      <c r="AJ455" s="697">
        <f t="shared" si="58"/>
        <v>0</v>
      </c>
    </row>
    <row r="456" spans="1:36" s="700" customFormat="1" ht="12.75" customHeight="1">
      <c r="A456" s="719" t="s">
        <v>203</v>
      </c>
      <c r="B456" s="731" t="s">
        <v>279</v>
      </c>
      <c r="C456" s="732" t="s">
        <v>54</v>
      </c>
      <c r="D456" s="732"/>
      <c r="E456" s="721"/>
      <c r="F456" s="722"/>
      <c r="G456" s="1025"/>
      <c r="H456" s="690"/>
      <c r="I456" s="1030"/>
      <c r="J456" s="690"/>
      <c r="K456" s="1030"/>
      <c r="L456" s="690"/>
      <c r="M456" s="1025"/>
      <c r="N456" s="1030"/>
      <c r="O456" s="692">
        <f t="shared" si="51"/>
        <v>0</v>
      </c>
      <c r="P456" s="690"/>
      <c r="Q456" s="690"/>
      <c r="R456" s="691">
        <f t="shared" si="52"/>
        <v>0</v>
      </c>
      <c r="S456" s="692">
        <f t="shared" si="53"/>
        <v>0</v>
      </c>
      <c r="T456" s="693">
        <f t="shared" si="54"/>
        <v>0</v>
      </c>
      <c r="U456" s="1035"/>
      <c r="V456" s="690"/>
      <c r="W456" s="1025"/>
      <c r="X456" s="1030"/>
      <c r="Y456" s="694">
        <f t="shared" si="55"/>
        <v>0</v>
      </c>
      <c r="Z456" s="690"/>
      <c r="AA456" s="690"/>
      <c r="AB456" s="695">
        <f t="shared" si="56"/>
        <v>0</v>
      </c>
      <c r="AC456" s="1035"/>
      <c r="AD456" s="690"/>
      <c r="AE456" s="1025"/>
      <c r="AF456" s="1030"/>
      <c r="AG456" s="690"/>
      <c r="AH456" s="690"/>
      <c r="AI456" s="696">
        <f t="shared" si="57"/>
        <v>0</v>
      </c>
      <c r="AJ456" s="697">
        <f t="shared" si="58"/>
        <v>0</v>
      </c>
    </row>
    <row r="457" spans="1:36" s="700" customFormat="1" ht="12.75" customHeight="1">
      <c r="A457" s="719" t="s">
        <v>203</v>
      </c>
      <c r="B457" s="731" t="s">
        <v>317</v>
      </c>
      <c r="C457" s="732" t="s">
        <v>443</v>
      </c>
      <c r="D457" s="732"/>
      <c r="E457" s="721"/>
      <c r="F457" s="722"/>
      <c r="G457" s="1025"/>
      <c r="H457" s="690"/>
      <c r="I457" s="1030"/>
      <c r="J457" s="690"/>
      <c r="K457" s="1030"/>
      <c r="L457" s="690"/>
      <c r="M457" s="1025"/>
      <c r="N457" s="1030"/>
      <c r="O457" s="692">
        <f t="shared" si="51"/>
        <v>0</v>
      </c>
      <c r="P457" s="690"/>
      <c r="Q457" s="690"/>
      <c r="R457" s="691">
        <f t="shared" si="52"/>
        <v>0</v>
      </c>
      <c r="S457" s="692">
        <f t="shared" si="53"/>
        <v>0</v>
      </c>
      <c r="T457" s="693">
        <f t="shared" si="54"/>
        <v>0</v>
      </c>
      <c r="U457" s="1035">
        <v>544750</v>
      </c>
      <c r="V457" s="690">
        <v>1100000</v>
      </c>
      <c r="W457" s="1025"/>
      <c r="X457" s="1030"/>
      <c r="Y457" s="694">
        <f t="shared" si="55"/>
        <v>0</v>
      </c>
      <c r="Z457" s="690"/>
      <c r="AA457" s="690"/>
      <c r="AB457" s="695">
        <f t="shared" si="56"/>
        <v>0</v>
      </c>
      <c r="AC457" s="1035"/>
      <c r="AD457" s="690"/>
      <c r="AE457" s="1025"/>
      <c r="AF457" s="1030"/>
      <c r="AG457" s="690"/>
      <c r="AH457" s="690"/>
      <c r="AI457" s="696">
        <f t="shared" si="57"/>
        <v>544750</v>
      </c>
      <c r="AJ457" s="697">
        <f t="shared" si="58"/>
        <v>1100000</v>
      </c>
    </row>
    <row r="458" spans="1:36" s="700" customFormat="1" ht="12.75" customHeight="1">
      <c r="A458" s="719" t="s">
        <v>203</v>
      </c>
      <c r="B458" s="731" t="s">
        <v>318</v>
      </c>
      <c r="C458" s="732" t="s">
        <v>377</v>
      </c>
      <c r="D458" s="732"/>
      <c r="E458" s="721"/>
      <c r="F458" s="722"/>
      <c r="G458" s="1025"/>
      <c r="H458" s="690"/>
      <c r="I458" s="1030"/>
      <c r="J458" s="690"/>
      <c r="K458" s="1030"/>
      <c r="L458" s="690"/>
      <c r="M458" s="1025"/>
      <c r="N458" s="1030"/>
      <c r="O458" s="692">
        <f t="shared" ref="O458:O521" si="59">SUM(M458:N458)</f>
        <v>0</v>
      </c>
      <c r="P458" s="690"/>
      <c r="Q458" s="690"/>
      <c r="R458" s="691">
        <f t="shared" ref="R458:R521" si="60">SUM(P458:Q458)</f>
        <v>0</v>
      </c>
      <c r="S458" s="692">
        <f t="shared" ref="S458:S521" si="61">SUM(G458,I458,K458,M458)</f>
        <v>0</v>
      </c>
      <c r="T458" s="693">
        <f t="shared" ref="T458:T521" si="62">SUM(H458,J458,L458,P458)</f>
        <v>0</v>
      </c>
      <c r="U458" s="1035"/>
      <c r="V458" s="690"/>
      <c r="W458" s="1025"/>
      <c r="X458" s="1030"/>
      <c r="Y458" s="694">
        <f t="shared" ref="Y458:Y521" si="63">SUM(W458:X458)</f>
        <v>0</v>
      </c>
      <c r="Z458" s="690"/>
      <c r="AA458" s="690"/>
      <c r="AB458" s="695">
        <f t="shared" ref="AB458:AB521" si="64">SUM(Z458:AA458)</f>
        <v>0</v>
      </c>
      <c r="AC458" s="1035"/>
      <c r="AD458" s="690"/>
      <c r="AE458" s="1025"/>
      <c r="AF458" s="1030"/>
      <c r="AG458" s="690"/>
      <c r="AH458" s="690"/>
      <c r="AI458" s="696">
        <f t="shared" ref="AI458:AI521" si="65">SUM(S458,U458,W458,AC458,AE458)</f>
        <v>0</v>
      </c>
      <c r="AJ458" s="697">
        <f t="shared" ref="AJ458:AJ521" si="66">SUM(T458,V458,Z458,AD458,AG458)</f>
        <v>0</v>
      </c>
    </row>
    <row r="459" spans="1:36" s="700" customFormat="1" ht="12.75" customHeight="1">
      <c r="A459" s="719" t="s">
        <v>203</v>
      </c>
      <c r="B459" s="719" t="s">
        <v>420</v>
      </c>
      <c r="C459" s="730" t="s">
        <v>652</v>
      </c>
      <c r="D459" s="730"/>
      <c r="E459" s="721"/>
      <c r="F459" s="722"/>
      <c r="G459" s="1025"/>
      <c r="H459" s="690"/>
      <c r="I459" s="1030"/>
      <c r="J459" s="690"/>
      <c r="K459" s="1030"/>
      <c r="L459" s="690"/>
      <c r="M459" s="1025"/>
      <c r="N459" s="1030"/>
      <c r="O459" s="692">
        <f t="shared" si="59"/>
        <v>0</v>
      </c>
      <c r="P459" s="690"/>
      <c r="Q459" s="690"/>
      <c r="R459" s="691">
        <f t="shared" si="60"/>
        <v>0</v>
      </c>
      <c r="S459" s="692">
        <f t="shared" si="61"/>
        <v>0</v>
      </c>
      <c r="T459" s="693">
        <f t="shared" si="62"/>
        <v>0</v>
      </c>
      <c r="U459" s="1035"/>
      <c r="V459" s="690"/>
      <c r="W459" s="1025"/>
      <c r="X459" s="1030"/>
      <c r="Y459" s="694">
        <f t="shared" si="63"/>
        <v>0</v>
      </c>
      <c r="Z459" s="690"/>
      <c r="AA459" s="690"/>
      <c r="AB459" s="695">
        <f t="shared" si="64"/>
        <v>0</v>
      </c>
      <c r="AC459" s="1035"/>
      <c r="AD459" s="690"/>
      <c r="AE459" s="1025"/>
      <c r="AF459" s="1030"/>
      <c r="AG459" s="690"/>
      <c r="AH459" s="690"/>
      <c r="AI459" s="696">
        <f t="shared" si="65"/>
        <v>0</v>
      </c>
      <c r="AJ459" s="697">
        <f t="shared" si="66"/>
        <v>0</v>
      </c>
    </row>
    <row r="460" spans="1:36" s="700" customFormat="1" ht="12.75" customHeight="1">
      <c r="A460" s="719" t="s">
        <v>203</v>
      </c>
      <c r="B460" s="731" t="s">
        <v>295</v>
      </c>
      <c r="C460" s="732" t="s">
        <v>53</v>
      </c>
      <c r="D460" s="732"/>
      <c r="E460" s="721"/>
      <c r="F460" s="722"/>
      <c r="G460" s="1025"/>
      <c r="H460" s="690"/>
      <c r="I460" s="1030"/>
      <c r="J460" s="690"/>
      <c r="K460" s="1030"/>
      <c r="L460" s="690"/>
      <c r="M460" s="1025"/>
      <c r="N460" s="1030"/>
      <c r="O460" s="692">
        <f t="shared" si="59"/>
        <v>0</v>
      </c>
      <c r="P460" s="690"/>
      <c r="Q460" s="690"/>
      <c r="R460" s="691">
        <f t="shared" si="60"/>
        <v>0</v>
      </c>
      <c r="S460" s="692">
        <f t="shared" si="61"/>
        <v>0</v>
      </c>
      <c r="T460" s="693">
        <f t="shared" si="62"/>
        <v>0</v>
      </c>
      <c r="U460" s="1035"/>
      <c r="V460" s="690"/>
      <c r="W460" s="1025"/>
      <c r="X460" s="1030"/>
      <c r="Y460" s="694">
        <f t="shared" si="63"/>
        <v>0</v>
      </c>
      <c r="Z460" s="690"/>
      <c r="AA460" s="690"/>
      <c r="AB460" s="695">
        <f t="shared" si="64"/>
        <v>0</v>
      </c>
      <c r="AC460" s="1035"/>
      <c r="AD460" s="690"/>
      <c r="AE460" s="1025"/>
      <c r="AF460" s="1030"/>
      <c r="AG460" s="690"/>
      <c r="AH460" s="690"/>
      <c r="AI460" s="696">
        <f t="shared" si="65"/>
        <v>0</v>
      </c>
      <c r="AJ460" s="697">
        <f t="shared" si="66"/>
        <v>0</v>
      </c>
    </row>
    <row r="461" spans="1:36" s="700" customFormat="1" ht="12.75" customHeight="1">
      <c r="A461" s="719" t="s">
        <v>203</v>
      </c>
      <c r="B461" s="731" t="s">
        <v>296</v>
      </c>
      <c r="C461" s="732" t="s">
        <v>443</v>
      </c>
      <c r="D461" s="732"/>
      <c r="E461" s="721"/>
      <c r="F461" s="722"/>
      <c r="G461" s="1025"/>
      <c r="H461" s="690"/>
      <c r="I461" s="1030"/>
      <c r="J461" s="690"/>
      <c r="K461" s="1030"/>
      <c r="L461" s="690"/>
      <c r="M461" s="1025"/>
      <c r="N461" s="1030"/>
      <c r="O461" s="692">
        <f t="shared" si="59"/>
        <v>0</v>
      </c>
      <c r="P461" s="690"/>
      <c r="Q461" s="690"/>
      <c r="R461" s="691">
        <f t="shared" si="60"/>
        <v>0</v>
      </c>
      <c r="S461" s="692">
        <f t="shared" si="61"/>
        <v>0</v>
      </c>
      <c r="T461" s="693">
        <f t="shared" si="62"/>
        <v>0</v>
      </c>
      <c r="U461" s="1035"/>
      <c r="V461" s="690"/>
      <c r="W461" s="1025"/>
      <c r="X461" s="1030"/>
      <c r="Y461" s="694">
        <f t="shared" si="63"/>
        <v>0</v>
      </c>
      <c r="Z461" s="690"/>
      <c r="AA461" s="690"/>
      <c r="AB461" s="695">
        <f t="shared" si="64"/>
        <v>0</v>
      </c>
      <c r="AC461" s="1035"/>
      <c r="AD461" s="690"/>
      <c r="AE461" s="1025"/>
      <c r="AF461" s="1030"/>
      <c r="AG461" s="690"/>
      <c r="AH461" s="690"/>
      <c r="AI461" s="696">
        <f t="shared" si="65"/>
        <v>0</v>
      </c>
      <c r="AJ461" s="697">
        <f t="shared" si="66"/>
        <v>0</v>
      </c>
    </row>
    <row r="462" spans="1:36" s="700" customFormat="1" ht="12.75" customHeight="1">
      <c r="A462" s="719" t="s">
        <v>203</v>
      </c>
      <c r="B462" s="731" t="s">
        <v>278</v>
      </c>
      <c r="C462" s="732" t="s">
        <v>377</v>
      </c>
      <c r="D462" s="732"/>
      <c r="E462" s="721"/>
      <c r="F462" s="722"/>
      <c r="G462" s="1025"/>
      <c r="H462" s="690"/>
      <c r="I462" s="1030"/>
      <c r="J462" s="690"/>
      <c r="K462" s="1030"/>
      <c r="L462" s="690"/>
      <c r="M462" s="1025"/>
      <c r="N462" s="1030"/>
      <c r="O462" s="692">
        <f t="shared" si="59"/>
        <v>0</v>
      </c>
      <c r="P462" s="690"/>
      <c r="Q462" s="690"/>
      <c r="R462" s="691">
        <f t="shared" si="60"/>
        <v>0</v>
      </c>
      <c r="S462" s="692">
        <f t="shared" si="61"/>
        <v>0</v>
      </c>
      <c r="T462" s="693">
        <f t="shared" si="62"/>
        <v>0</v>
      </c>
      <c r="U462" s="1035">
        <v>924824</v>
      </c>
      <c r="V462" s="690">
        <v>1000000</v>
      </c>
      <c r="W462" s="1025"/>
      <c r="X462" s="1030"/>
      <c r="Y462" s="694">
        <f t="shared" si="63"/>
        <v>0</v>
      </c>
      <c r="Z462" s="690"/>
      <c r="AA462" s="690"/>
      <c r="AB462" s="695">
        <f t="shared" si="64"/>
        <v>0</v>
      </c>
      <c r="AC462" s="1035"/>
      <c r="AD462" s="690"/>
      <c r="AE462" s="1025"/>
      <c r="AF462" s="1030"/>
      <c r="AG462" s="690"/>
      <c r="AH462" s="690"/>
      <c r="AI462" s="696">
        <f t="shared" si="65"/>
        <v>924824</v>
      </c>
      <c r="AJ462" s="697">
        <f t="shared" si="66"/>
        <v>1000000</v>
      </c>
    </row>
    <row r="463" spans="1:36" s="700" customFormat="1" ht="12.75" customHeight="1">
      <c r="A463" s="719" t="s">
        <v>203</v>
      </c>
      <c r="B463" s="731" t="s">
        <v>279</v>
      </c>
      <c r="C463" s="732" t="s">
        <v>54</v>
      </c>
      <c r="D463" s="732"/>
      <c r="E463" s="721"/>
      <c r="F463" s="722"/>
      <c r="G463" s="1025"/>
      <c r="H463" s="690"/>
      <c r="I463" s="1030"/>
      <c r="J463" s="690"/>
      <c r="K463" s="1030"/>
      <c r="L463" s="690"/>
      <c r="M463" s="1025"/>
      <c r="N463" s="1030"/>
      <c r="O463" s="692">
        <f t="shared" si="59"/>
        <v>0</v>
      </c>
      <c r="P463" s="690"/>
      <c r="Q463" s="690"/>
      <c r="R463" s="691">
        <f t="shared" si="60"/>
        <v>0</v>
      </c>
      <c r="S463" s="692">
        <f t="shared" si="61"/>
        <v>0</v>
      </c>
      <c r="T463" s="693">
        <f t="shared" si="62"/>
        <v>0</v>
      </c>
      <c r="U463" s="1035"/>
      <c r="V463" s="690"/>
      <c r="W463" s="1025"/>
      <c r="X463" s="1030"/>
      <c r="Y463" s="694">
        <f t="shared" si="63"/>
        <v>0</v>
      </c>
      <c r="Z463" s="690"/>
      <c r="AA463" s="690"/>
      <c r="AB463" s="695">
        <f t="shared" si="64"/>
        <v>0</v>
      </c>
      <c r="AC463" s="1035"/>
      <c r="AD463" s="690"/>
      <c r="AE463" s="1025"/>
      <c r="AF463" s="1030"/>
      <c r="AG463" s="690"/>
      <c r="AH463" s="690"/>
      <c r="AI463" s="696">
        <f t="shared" si="65"/>
        <v>0</v>
      </c>
      <c r="AJ463" s="697">
        <f t="shared" si="66"/>
        <v>0</v>
      </c>
    </row>
    <row r="464" spans="1:36" s="700" customFormat="1" ht="12.75" customHeight="1">
      <c r="A464" s="719" t="s">
        <v>203</v>
      </c>
      <c r="B464" s="731" t="s">
        <v>317</v>
      </c>
      <c r="C464" s="732" t="s">
        <v>443</v>
      </c>
      <c r="D464" s="732"/>
      <c r="E464" s="721"/>
      <c r="F464" s="722"/>
      <c r="G464" s="1025"/>
      <c r="H464" s="690"/>
      <c r="I464" s="1030"/>
      <c r="J464" s="690"/>
      <c r="K464" s="1030"/>
      <c r="L464" s="690"/>
      <c r="M464" s="1025"/>
      <c r="N464" s="1030"/>
      <c r="O464" s="692">
        <f t="shared" si="59"/>
        <v>0</v>
      </c>
      <c r="P464" s="690"/>
      <c r="Q464" s="690"/>
      <c r="R464" s="691">
        <f t="shared" si="60"/>
        <v>0</v>
      </c>
      <c r="S464" s="692">
        <f t="shared" si="61"/>
        <v>0</v>
      </c>
      <c r="T464" s="693">
        <f t="shared" si="62"/>
        <v>0</v>
      </c>
      <c r="U464" s="1035"/>
      <c r="V464" s="690"/>
      <c r="W464" s="1025"/>
      <c r="X464" s="1030"/>
      <c r="Y464" s="694">
        <f t="shared" si="63"/>
        <v>0</v>
      </c>
      <c r="Z464" s="690"/>
      <c r="AA464" s="690"/>
      <c r="AB464" s="695">
        <f t="shared" si="64"/>
        <v>0</v>
      </c>
      <c r="AC464" s="1035"/>
      <c r="AD464" s="690"/>
      <c r="AE464" s="1025"/>
      <c r="AF464" s="1030"/>
      <c r="AG464" s="690"/>
      <c r="AH464" s="690"/>
      <c r="AI464" s="696">
        <f t="shared" si="65"/>
        <v>0</v>
      </c>
      <c r="AJ464" s="697">
        <f t="shared" si="66"/>
        <v>0</v>
      </c>
    </row>
    <row r="465" spans="1:36" s="700" customFormat="1" ht="12.75" customHeight="1">
      <c r="A465" s="719" t="s">
        <v>203</v>
      </c>
      <c r="B465" s="731" t="s">
        <v>318</v>
      </c>
      <c r="C465" s="732" t="s">
        <v>377</v>
      </c>
      <c r="D465" s="732"/>
      <c r="E465" s="721"/>
      <c r="F465" s="722"/>
      <c r="G465" s="1025"/>
      <c r="H465" s="690"/>
      <c r="I465" s="1030"/>
      <c r="J465" s="690"/>
      <c r="K465" s="1030"/>
      <c r="L465" s="690"/>
      <c r="M465" s="1025"/>
      <c r="N465" s="1030"/>
      <c r="O465" s="692">
        <f t="shared" si="59"/>
        <v>0</v>
      </c>
      <c r="P465" s="690"/>
      <c r="Q465" s="690"/>
      <c r="R465" s="691">
        <f t="shared" si="60"/>
        <v>0</v>
      </c>
      <c r="S465" s="692">
        <f t="shared" si="61"/>
        <v>0</v>
      </c>
      <c r="T465" s="693">
        <f t="shared" si="62"/>
        <v>0</v>
      </c>
      <c r="U465" s="1035">
        <v>156701</v>
      </c>
      <c r="V465" s="690">
        <v>200000</v>
      </c>
      <c r="W465" s="1025"/>
      <c r="X465" s="1030"/>
      <c r="Y465" s="694">
        <f t="shared" si="63"/>
        <v>0</v>
      </c>
      <c r="Z465" s="690"/>
      <c r="AA465" s="690"/>
      <c r="AB465" s="695">
        <f t="shared" si="64"/>
        <v>0</v>
      </c>
      <c r="AC465" s="1035"/>
      <c r="AD465" s="690"/>
      <c r="AE465" s="1025"/>
      <c r="AF465" s="1030"/>
      <c r="AG465" s="690"/>
      <c r="AH465" s="690"/>
      <c r="AI465" s="696">
        <f t="shared" si="65"/>
        <v>156701</v>
      </c>
      <c r="AJ465" s="697">
        <f t="shared" si="66"/>
        <v>200000</v>
      </c>
    </row>
    <row r="466" spans="1:36" s="700" customFormat="1" ht="12.75" customHeight="1">
      <c r="A466" s="719" t="s">
        <v>203</v>
      </c>
      <c r="B466" s="719" t="s">
        <v>420</v>
      </c>
      <c r="C466" s="730" t="s">
        <v>653</v>
      </c>
      <c r="D466" s="730"/>
      <c r="E466" s="721"/>
      <c r="F466" s="722"/>
      <c r="G466" s="1025"/>
      <c r="H466" s="690"/>
      <c r="I466" s="1030"/>
      <c r="J466" s="690"/>
      <c r="K466" s="1030"/>
      <c r="L466" s="690"/>
      <c r="M466" s="1025"/>
      <c r="N466" s="1030"/>
      <c r="O466" s="692">
        <f t="shared" si="59"/>
        <v>0</v>
      </c>
      <c r="P466" s="690"/>
      <c r="Q466" s="690"/>
      <c r="R466" s="691">
        <f t="shared" si="60"/>
        <v>0</v>
      </c>
      <c r="S466" s="692">
        <f t="shared" si="61"/>
        <v>0</v>
      </c>
      <c r="T466" s="693">
        <f t="shared" si="62"/>
        <v>0</v>
      </c>
      <c r="U466" s="1035"/>
      <c r="V466" s="690"/>
      <c r="W466" s="1025"/>
      <c r="X466" s="1030"/>
      <c r="Y466" s="694">
        <f t="shared" si="63"/>
        <v>0</v>
      </c>
      <c r="Z466" s="690"/>
      <c r="AA466" s="690"/>
      <c r="AB466" s="695">
        <f t="shared" si="64"/>
        <v>0</v>
      </c>
      <c r="AC466" s="1035"/>
      <c r="AD466" s="690"/>
      <c r="AE466" s="1025"/>
      <c r="AF466" s="1030"/>
      <c r="AG466" s="690"/>
      <c r="AH466" s="690"/>
      <c r="AI466" s="696">
        <f t="shared" si="65"/>
        <v>0</v>
      </c>
      <c r="AJ466" s="697">
        <f t="shared" si="66"/>
        <v>0</v>
      </c>
    </row>
    <row r="467" spans="1:36" s="700" customFormat="1" ht="12.75" customHeight="1">
      <c r="A467" s="719" t="s">
        <v>203</v>
      </c>
      <c r="B467" s="731" t="s">
        <v>295</v>
      </c>
      <c r="C467" s="732" t="s">
        <v>53</v>
      </c>
      <c r="D467" s="732"/>
      <c r="E467" s="721"/>
      <c r="F467" s="722"/>
      <c r="G467" s="1025"/>
      <c r="H467" s="690"/>
      <c r="I467" s="1030"/>
      <c r="J467" s="690"/>
      <c r="K467" s="1030"/>
      <c r="L467" s="690"/>
      <c r="M467" s="1025"/>
      <c r="N467" s="1030"/>
      <c r="O467" s="692">
        <f t="shared" si="59"/>
        <v>0</v>
      </c>
      <c r="P467" s="690"/>
      <c r="Q467" s="690"/>
      <c r="R467" s="691">
        <f t="shared" si="60"/>
        <v>0</v>
      </c>
      <c r="S467" s="692">
        <f t="shared" si="61"/>
        <v>0</v>
      </c>
      <c r="T467" s="693">
        <f t="shared" si="62"/>
        <v>0</v>
      </c>
      <c r="U467" s="1035"/>
      <c r="V467" s="690"/>
      <c r="W467" s="1025"/>
      <c r="X467" s="1030"/>
      <c r="Y467" s="694">
        <f t="shared" si="63"/>
        <v>0</v>
      </c>
      <c r="Z467" s="690"/>
      <c r="AA467" s="690"/>
      <c r="AB467" s="695">
        <f t="shared" si="64"/>
        <v>0</v>
      </c>
      <c r="AC467" s="1035"/>
      <c r="AD467" s="690"/>
      <c r="AE467" s="1025"/>
      <c r="AF467" s="1030"/>
      <c r="AG467" s="690"/>
      <c r="AH467" s="690"/>
      <c r="AI467" s="696">
        <f t="shared" si="65"/>
        <v>0</v>
      </c>
      <c r="AJ467" s="697">
        <f t="shared" si="66"/>
        <v>0</v>
      </c>
    </row>
    <row r="468" spans="1:36" s="700" customFormat="1" ht="12.75" customHeight="1">
      <c r="A468" s="719" t="s">
        <v>203</v>
      </c>
      <c r="B468" s="731" t="s">
        <v>296</v>
      </c>
      <c r="C468" s="732" t="s">
        <v>443</v>
      </c>
      <c r="D468" s="732"/>
      <c r="E468" s="721"/>
      <c r="F468" s="722"/>
      <c r="G468" s="1025"/>
      <c r="H468" s="690"/>
      <c r="I468" s="1030"/>
      <c r="J468" s="690"/>
      <c r="K468" s="1030"/>
      <c r="L468" s="690"/>
      <c r="M468" s="1025"/>
      <c r="N468" s="1030"/>
      <c r="O468" s="692">
        <f t="shared" si="59"/>
        <v>0</v>
      </c>
      <c r="P468" s="690"/>
      <c r="Q468" s="690"/>
      <c r="R468" s="691">
        <f t="shared" si="60"/>
        <v>0</v>
      </c>
      <c r="S468" s="692">
        <f t="shared" si="61"/>
        <v>0</v>
      </c>
      <c r="T468" s="693">
        <f t="shared" si="62"/>
        <v>0</v>
      </c>
      <c r="U468" s="1035"/>
      <c r="V468" s="690"/>
      <c r="W468" s="1025"/>
      <c r="X468" s="1030"/>
      <c r="Y468" s="694">
        <f t="shared" si="63"/>
        <v>0</v>
      </c>
      <c r="Z468" s="690"/>
      <c r="AA468" s="690"/>
      <c r="AB468" s="695">
        <f t="shared" si="64"/>
        <v>0</v>
      </c>
      <c r="AC468" s="1035"/>
      <c r="AD468" s="690"/>
      <c r="AE468" s="1025"/>
      <c r="AF468" s="1030"/>
      <c r="AG468" s="690"/>
      <c r="AH468" s="690"/>
      <c r="AI468" s="696">
        <f t="shared" si="65"/>
        <v>0</v>
      </c>
      <c r="AJ468" s="697">
        <f t="shared" si="66"/>
        <v>0</v>
      </c>
    </row>
    <row r="469" spans="1:36" s="700" customFormat="1" ht="12.75" customHeight="1">
      <c r="A469" s="719" t="s">
        <v>203</v>
      </c>
      <c r="B469" s="731" t="s">
        <v>278</v>
      </c>
      <c r="C469" s="732" t="s">
        <v>377</v>
      </c>
      <c r="D469" s="732"/>
      <c r="E469" s="721"/>
      <c r="F469" s="722"/>
      <c r="G469" s="1025"/>
      <c r="H469" s="690"/>
      <c r="I469" s="1030"/>
      <c r="J469" s="690"/>
      <c r="K469" s="1030"/>
      <c r="L469" s="690"/>
      <c r="M469" s="1025"/>
      <c r="N469" s="1030"/>
      <c r="O469" s="692">
        <f t="shared" si="59"/>
        <v>0</v>
      </c>
      <c r="P469" s="690"/>
      <c r="Q469" s="690"/>
      <c r="R469" s="691">
        <f t="shared" si="60"/>
        <v>0</v>
      </c>
      <c r="S469" s="692">
        <f t="shared" si="61"/>
        <v>0</v>
      </c>
      <c r="T469" s="693">
        <f t="shared" si="62"/>
        <v>0</v>
      </c>
      <c r="U469" s="1035">
        <v>14710</v>
      </c>
      <c r="V469" s="690">
        <v>15000</v>
      </c>
      <c r="W469" s="1025"/>
      <c r="X469" s="1030"/>
      <c r="Y469" s="694">
        <f t="shared" si="63"/>
        <v>0</v>
      </c>
      <c r="Z469" s="690"/>
      <c r="AA469" s="690"/>
      <c r="AB469" s="695">
        <f t="shared" si="64"/>
        <v>0</v>
      </c>
      <c r="AC469" s="1035"/>
      <c r="AD469" s="690"/>
      <c r="AE469" s="1025"/>
      <c r="AF469" s="1030"/>
      <c r="AG469" s="690"/>
      <c r="AH469" s="690"/>
      <c r="AI469" s="696">
        <f t="shared" si="65"/>
        <v>14710</v>
      </c>
      <c r="AJ469" s="697">
        <f t="shared" si="66"/>
        <v>15000</v>
      </c>
    </row>
    <row r="470" spans="1:36" s="700" customFormat="1" ht="12.75" customHeight="1">
      <c r="A470" s="719" t="s">
        <v>203</v>
      </c>
      <c r="B470" s="731" t="s">
        <v>279</v>
      </c>
      <c r="C470" s="732" t="s">
        <v>54</v>
      </c>
      <c r="D470" s="732"/>
      <c r="E470" s="721"/>
      <c r="F470" s="722"/>
      <c r="G470" s="1025"/>
      <c r="H470" s="690"/>
      <c r="I470" s="1030"/>
      <c r="J470" s="690"/>
      <c r="K470" s="1030"/>
      <c r="L470" s="690"/>
      <c r="M470" s="1025"/>
      <c r="N470" s="1030"/>
      <c r="O470" s="692">
        <f t="shared" si="59"/>
        <v>0</v>
      </c>
      <c r="P470" s="690"/>
      <c r="Q470" s="690"/>
      <c r="R470" s="691">
        <f t="shared" si="60"/>
        <v>0</v>
      </c>
      <c r="S470" s="692">
        <f t="shared" si="61"/>
        <v>0</v>
      </c>
      <c r="T470" s="693">
        <f t="shared" si="62"/>
        <v>0</v>
      </c>
      <c r="U470" s="1035"/>
      <c r="V470" s="690"/>
      <c r="W470" s="1025"/>
      <c r="X470" s="1030"/>
      <c r="Y470" s="694">
        <f t="shared" si="63"/>
        <v>0</v>
      </c>
      <c r="Z470" s="690"/>
      <c r="AA470" s="690"/>
      <c r="AB470" s="695">
        <f t="shared" si="64"/>
        <v>0</v>
      </c>
      <c r="AC470" s="1035"/>
      <c r="AD470" s="690"/>
      <c r="AE470" s="1025"/>
      <c r="AF470" s="1030"/>
      <c r="AG470" s="690"/>
      <c r="AH470" s="690"/>
      <c r="AI470" s="696">
        <f t="shared" si="65"/>
        <v>0</v>
      </c>
      <c r="AJ470" s="697">
        <f t="shared" si="66"/>
        <v>0</v>
      </c>
    </row>
    <row r="471" spans="1:36" s="700" customFormat="1" ht="12.75" customHeight="1">
      <c r="A471" s="719" t="s">
        <v>203</v>
      </c>
      <c r="B471" s="731" t="s">
        <v>317</v>
      </c>
      <c r="C471" s="732" t="s">
        <v>443</v>
      </c>
      <c r="D471" s="732"/>
      <c r="E471" s="721"/>
      <c r="F471" s="722"/>
      <c r="G471" s="1025"/>
      <c r="H471" s="690"/>
      <c r="I471" s="1030"/>
      <c r="J471" s="690"/>
      <c r="K471" s="1030"/>
      <c r="L471" s="690"/>
      <c r="M471" s="1025"/>
      <c r="N471" s="1030"/>
      <c r="O471" s="692">
        <f t="shared" si="59"/>
        <v>0</v>
      </c>
      <c r="P471" s="690"/>
      <c r="Q471" s="690"/>
      <c r="R471" s="691">
        <f t="shared" si="60"/>
        <v>0</v>
      </c>
      <c r="S471" s="692">
        <f t="shared" si="61"/>
        <v>0</v>
      </c>
      <c r="T471" s="693">
        <f t="shared" si="62"/>
        <v>0</v>
      </c>
      <c r="U471" s="1035"/>
      <c r="V471" s="690"/>
      <c r="W471" s="1025"/>
      <c r="X471" s="1030"/>
      <c r="Y471" s="694">
        <f t="shared" si="63"/>
        <v>0</v>
      </c>
      <c r="Z471" s="690"/>
      <c r="AA471" s="690"/>
      <c r="AB471" s="695">
        <f t="shared" si="64"/>
        <v>0</v>
      </c>
      <c r="AC471" s="1035"/>
      <c r="AD471" s="690"/>
      <c r="AE471" s="1025"/>
      <c r="AF471" s="1030"/>
      <c r="AG471" s="690"/>
      <c r="AH471" s="690"/>
      <c r="AI471" s="696">
        <f t="shared" si="65"/>
        <v>0</v>
      </c>
      <c r="AJ471" s="697">
        <f t="shared" si="66"/>
        <v>0</v>
      </c>
    </row>
    <row r="472" spans="1:36" s="700" customFormat="1" ht="12.75" customHeight="1">
      <c r="A472" s="719" t="s">
        <v>203</v>
      </c>
      <c r="B472" s="731" t="s">
        <v>318</v>
      </c>
      <c r="C472" s="732" t="s">
        <v>377</v>
      </c>
      <c r="D472" s="732"/>
      <c r="E472" s="721"/>
      <c r="F472" s="722"/>
      <c r="G472" s="1025"/>
      <c r="H472" s="690"/>
      <c r="I472" s="1030"/>
      <c r="J472" s="690"/>
      <c r="K472" s="1030"/>
      <c r="L472" s="690"/>
      <c r="M472" s="1025"/>
      <c r="N472" s="1030"/>
      <c r="O472" s="692">
        <f t="shared" si="59"/>
        <v>0</v>
      </c>
      <c r="P472" s="690"/>
      <c r="Q472" s="690"/>
      <c r="R472" s="691">
        <f t="shared" si="60"/>
        <v>0</v>
      </c>
      <c r="S472" s="692">
        <f t="shared" si="61"/>
        <v>0</v>
      </c>
      <c r="T472" s="693">
        <f t="shared" si="62"/>
        <v>0</v>
      </c>
      <c r="U472" s="1035"/>
      <c r="V472" s="690"/>
      <c r="W472" s="1025"/>
      <c r="X472" s="1030"/>
      <c r="Y472" s="694">
        <f t="shared" si="63"/>
        <v>0</v>
      </c>
      <c r="Z472" s="690"/>
      <c r="AA472" s="690"/>
      <c r="AB472" s="695">
        <f t="shared" si="64"/>
        <v>0</v>
      </c>
      <c r="AC472" s="1035"/>
      <c r="AD472" s="690"/>
      <c r="AE472" s="1025"/>
      <c r="AF472" s="1030"/>
      <c r="AG472" s="690"/>
      <c r="AH472" s="690"/>
      <c r="AI472" s="696">
        <f t="shared" si="65"/>
        <v>0</v>
      </c>
      <c r="AJ472" s="697">
        <f t="shared" si="66"/>
        <v>0</v>
      </c>
    </row>
    <row r="473" spans="1:36" s="700" customFormat="1" ht="12.75" customHeight="1">
      <c r="A473" s="719" t="s">
        <v>203</v>
      </c>
      <c r="B473" s="719" t="s">
        <v>420</v>
      </c>
      <c r="C473" s="730" t="s">
        <v>654</v>
      </c>
      <c r="D473" s="730"/>
      <c r="E473" s="721"/>
      <c r="F473" s="722"/>
      <c r="G473" s="1025"/>
      <c r="H473" s="690"/>
      <c r="I473" s="1030"/>
      <c r="J473" s="690"/>
      <c r="K473" s="1030"/>
      <c r="L473" s="690"/>
      <c r="M473" s="1025"/>
      <c r="N473" s="1030"/>
      <c r="O473" s="692">
        <f t="shared" si="59"/>
        <v>0</v>
      </c>
      <c r="P473" s="690"/>
      <c r="Q473" s="690"/>
      <c r="R473" s="691">
        <f t="shared" si="60"/>
        <v>0</v>
      </c>
      <c r="S473" s="692">
        <f t="shared" si="61"/>
        <v>0</v>
      </c>
      <c r="T473" s="693">
        <f t="shared" si="62"/>
        <v>0</v>
      </c>
      <c r="U473" s="1035"/>
      <c r="V473" s="690"/>
      <c r="W473" s="1025"/>
      <c r="X473" s="1030"/>
      <c r="Y473" s="694">
        <f t="shared" si="63"/>
        <v>0</v>
      </c>
      <c r="Z473" s="690"/>
      <c r="AA473" s="690"/>
      <c r="AB473" s="695">
        <f t="shared" si="64"/>
        <v>0</v>
      </c>
      <c r="AC473" s="1035"/>
      <c r="AD473" s="690"/>
      <c r="AE473" s="1025"/>
      <c r="AF473" s="1030"/>
      <c r="AG473" s="690"/>
      <c r="AH473" s="690"/>
      <c r="AI473" s="696">
        <f t="shared" si="65"/>
        <v>0</v>
      </c>
      <c r="AJ473" s="697">
        <f t="shared" si="66"/>
        <v>0</v>
      </c>
    </row>
    <row r="474" spans="1:36" s="700" customFormat="1" ht="12.75" customHeight="1">
      <c r="A474" s="719" t="s">
        <v>203</v>
      </c>
      <c r="B474" s="731" t="s">
        <v>295</v>
      </c>
      <c r="C474" s="732" t="s">
        <v>53</v>
      </c>
      <c r="D474" s="732"/>
      <c r="E474" s="721"/>
      <c r="F474" s="722"/>
      <c r="G474" s="1025"/>
      <c r="H474" s="690"/>
      <c r="I474" s="1030"/>
      <c r="J474" s="690"/>
      <c r="K474" s="1030"/>
      <c r="L474" s="690"/>
      <c r="M474" s="1025"/>
      <c r="N474" s="1030"/>
      <c r="O474" s="692">
        <f t="shared" si="59"/>
        <v>0</v>
      </c>
      <c r="P474" s="690"/>
      <c r="Q474" s="690"/>
      <c r="R474" s="691">
        <f t="shared" si="60"/>
        <v>0</v>
      </c>
      <c r="S474" s="692">
        <f t="shared" si="61"/>
        <v>0</v>
      </c>
      <c r="T474" s="693">
        <f t="shared" si="62"/>
        <v>0</v>
      </c>
      <c r="U474" s="1035"/>
      <c r="V474" s="690"/>
      <c r="W474" s="1025"/>
      <c r="X474" s="1030"/>
      <c r="Y474" s="694">
        <f t="shared" si="63"/>
        <v>0</v>
      </c>
      <c r="Z474" s="690"/>
      <c r="AA474" s="690"/>
      <c r="AB474" s="695">
        <f t="shared" si="64"/>
        <v>0</v>
      </c>
      <c r="AC474" s="1035"/>
      <c r="AD474" s="690"/>
      <c r="AE474" s="1025"/>
      <c r="AF474" s="1030"/>
      <c r="AG474" s="690"/>
      <c r="AH474" s="690"/>
      <c r="AI474" s="696">
        <f t="shared" si="65"/>
        <v>0</v>
      </c>
      <c r="AJ474" s="697">
        <f t="shared" si="66"/>
        <v>0</v>
      </c>
    </row>
    <row r="475" spans="1:36" s="700" customFormat="1" ht="12.75" customHeight="1">
      <c r="A475" s="719" t="s">
        <v>203</v>
      </c>
      <c r="B475" s="731" t="s">
        <v>296</v>
      </c>
      <c r="C475" s="732" t="s">
        <v>443</v>
      </c>
      <c r="D475" s="732"/>
      <c r="E475" s="721"/>
      <c r="F475" s="722"/>
      <c r="G475" s="1025"/>
      <c r="H475" s="690"/>
      <c r="I475" s="1030"/>
      <c r="J475" s="690"/>
      <c r="K475" s="1030"/>
      <c r="L475" s="690"/>
      <c r="M475" s="1025"/>
      <c r="N475" s="1030"/>
      <c r="O475" s="692">
        <f t="shared" si="59"/>
        <v>0</v>
      </c>
      <c r="P475" s="690"/>
      <c r="Q475" s="690"/>
      <c r="R475" s="691">
        <f t="shared" si="60"/>
        <v>0</v>
      </c>
      <c r="S475" s="692">
        <f t="shared" si="61"/>
        <v>0</v>
      </c>
      <c r="T475" s="693">
        <f t="shared" si="62"/>
        <v>0</v>
      </c>
      <c r="U475" s="1035"/>
      <c r="V475" s="690"/>
      <c r="W475" s="1025"/>
      <c r="X475" s="1030"/>
      <c r="Y475" s="694">
        <f t="shared" si="63"/>
        <v>0</v>
      </c>
      <c r="Z475" s="690"/>
      <c r="AA475" s="690"/>
      <c r="AB475" s="695">
        <f t="shared" si="64"/>
        <v>0</v>
      </c>
      <c r="AC475" s="1035"/>
      <c r="AD475" s="690"/>
      <c r="AE475" s="1025"/>
      <c r="AF475" s="1030"/>
      <c r="AG475" s="690"/>
      <c r="AH475" s="690"/>
      <c r="AI475" s="696">
        <f t="shared" si="65"/>
        <v>0</v>
      </c>
      <c r="AJ475" s="697">
        <f t="shared" si="66"/>
        <v>0</v>
      </c>
    </row>
    <row r="476" spans="1:36" s="700" customFormat="1" ht="12.75" customHeight="1">
      <c r="A476" s="719" t="s">
        <v>203</v>
      </c>
      <c r="B476" s="731" t="s">
        <v>278</v>
      </c>
      <c r="C476" s="732" t="s">
        <v>377</v>
      </c>
      <c r="D476" s="732"/>
      <c r="E476" s="721"/>
      <c r="F476" s="722"/>
      <c r="G476" s="1025"/>
      <c r="H476" s="690"/>
      <c r="I476" s="1030"/>
      <c r="J476" s="690"/>
      <c r="K476" s="1030"/>
      <c r="L476" s="690"/>
      <c r="M476" s="1025"/>
      <c r="N476" s="1030"/>
      <c r="O476" s="692">
        <f t="shared" si="59"/>
        <v>0</v>
      </c>
      <c r="P476" s="690"/>
      <c r="Q476" s="690"/>
      <c r="R476" s="691">
        <f t="shared" si="60"/>
        <v>0</v>
      </c>
      <c r="S476" s="692">
        <f t="shared" si="61"/>
        <v>0</v>
      </c>
      <c r="T476" s="693">
        <f t="shared" si="62"/>
        <v>0</v>
      </c>
      <c r="U476" s="1035">
        <v>351063</v>
      </c>
      <c r="V476" s="690">
        <v>200000</v>
      </c>
      <c r="W476" s="1025"/>
      <c r="X476" s="1030"/>
      <c r="Y476" s="694">
        <f t="shared" si="63"/>
        <v>0</v>
      </c>
      <c r="Z476" s="690"/>
      <c r="AA476" s="690"/>
      <c r="AB476" s="695">
        <f t="shared" si="64"/>
        <v>0</v>
      </c>
      <c r="AC476" s="1035"/>
      <c r="AD476" s="690"/>
      <c r="AE476" s="1025"/>
      <c r="AF476" s="1030"/>
      <c r="AG476" s="690"/>
      <c r="AH476" s="690"/>
      <c r="AI476" s="696">
        <f t="shared" si="65"/>
        <v>351063</v>
      </c>
      <c r="AJ476" s="697">
        <f t="shared" si="66"/>
        <v>200000</v>
      </c>
    </row>
    <row r="477" spans="1:36" s="700" customFormat="1" ht="12.75" customHeight="1">
      <c r="A477" s="719" t="s">
        <v>203</v>
      </c>
      <c r="B477" s="731" t="s">
        <v>279</v>
      </c>
      <c r="C477" s="732" t="s">
        <v>54</v>
      </c>
      <c r="D477" s="732"/>
      <c r="E477" s="721"/>
      <c r="F477" s="722"/>
      <c r="G477" s="1025"/>
      <c r="H477" s="690"/>
      <c r="I477" s="1030"/>
      <c r="J477" s="690"/>
      <c r="K477" s="1030"/>
      <c r="L477" s="690"/>
      <c r="M477" s="1025"/>
      <c r="N477" s="1030"/>
      <c r="O477" s="692">
        <f t="shared" si="59"/>
        <v>0</v>
      </c>
      <c r="P477" s="690"/>
      <c r="Q477" s="690"/>
      <c r="R477" s="691">
        <f t="shared" si="60"/>
        <v>0</v>
      </c>
      <c r="S477" s="692">
        <f t="shared" si="61"/>
        <v>0</v>
      </c>
      <c r="T477" s="693">
        <f t="shared" si="62"/>
        <v>0</v>
      </c>
      <c r="U477" s="1035"/>
      <c r="V477" s="690"/>
      <c r="W477" s="1025"/>
      <c r="X477" s="1030"/>
      <c r="Y477" s="694">
        <f t="shared" si="63"/>
        <v>0</v>
      </c>
      <c r="Z477" s="690"/>
      <c r="AA477" s="690"/>
      <c r="AB477" s="695">
        <f t="shared" si="64"/>
        <v>0</v>
      </c>
      <c r="AC477" s="1035"/>
      <c r="AD477" s="690"/>
      <c r="AE477" s="1025"/>
      <c r="AF477" s="1030"/>
      <c r="AG477" s="690"/>
      <c r="AH477" s="690"/>
      <c r="AI477" s="696">
        <f t="shared" si="65"/>
        <v>0</v>
      </c>
      <c r="AJ477" s="697">
        <f t="shared" si="66"/>
        <v>0</v>
      </c>
    </row>
    <row r="478" spans="1:36" s="700" customFormat="1" ht="12.75" customHeight="1">
      <c r="A478" s="719" t="s">
        <v>203</v>
      </c>
      <c r="B478" s="731" t="s">
        <v>317</v>
      </c>
      <c r="C478" s="732" t="s">
        <v>443</v>
      </c>
      <c r="D478" s="732"/>
      <c r="E478" s="721"/>
      <c r="F478" s="722"/>
      <c r="G478" s="1025"/>
      <c r="H478" s="690"/>
      <c r="I478" s="1030"/>
      <c r="J478" s="690"/>
      <c r="K478" s="1030"/>
      <c r="L478" s="690"/>
      <c r="M478" s="1025"/>
      <c r="N478" s="1030"/>
      <c r="O478" s="692">
        <f t="shared" si="59"/>
        <v>0</v>
      </c>
      <c r="P478" s="690"/>
      <c r="Q478" s="690"/>
      <c r="R478" s="691">
        <f t="shared" si="60"/>
        <v>0</v>
      </c>
      <c r="S478" s="692">
        <f t="shared" si="61"/>
        <v>0</v>
      </c>
      <c r="T478" s="693">
        <f t="shared" si="62"/>
        <v>0</v>
      </c>
      <c r="U478" s="1035"/>
      <c r="V478" s="690"/>
      <c r="W478" s="1025"/>
      <c r="X478" s="1030"/>
      <c r="Y478" s="694">
        <f t="shared" si="63"/>
        <v>0</v>
      </c>
      <c r="Z478" s="690"/>
      <c r="AA478" s="690"/>
      <c r="AB478" s="695">
        <f t="shared" si="64"/>
        <v>0</v>
      </c>
      <c r="AC478" s="1035"/>
      <c r="AD478" s="690"/>
      <c r="AE478" s="1025"/>
      <c r="AF478" s="1030"/>
      <c r="AG478" s="690"/>
      <c r="AH478" s="690"/>
      <c r="AI478" s="696">
        <f t="shared" si="65"/>
        <v>0</v>
      </c>
      <c r="AJ478" s="697">
        <f t="shared" si="66"/>
        <v>0</v>
      </c>
    </row>
    <row r="479" spans="1:36" s="700" customFormat="1" ht="12.75" customHeight="1">
      <c r="A479" s="719" t="s">
        <v>203</v>
      </c>
      <c r="B479" s="731" t="s">
        <v>318</v>
      </c>
      <c r="C479" s="732" t="s">
        <v>377</v>
      </c>
      <c r="D479" s="732"/>
      <c r="E479" s="721"/>
      <c r="F479" s="722"/>
      <c r="G479" s="1025"/>
      <c r="H479" s="690"/>
      <c r="I479" s="1030"/>
      <c r="J479" s="690"/>
      <c r="K479" s="1030"/>
      <c r="L479" s="690"/>
      <c r="M479" s="1025"/>
      <c r="N479" s="1030"/>
      <c r="O479" s="692">
        <f t="shared" si="59"/>
        <v>0</v>
      </c>
      <c r="P479" s="690"/>
      <c r="Q479" s="690"/>
      <c r="R479" s="691">
        <f t="shared" si="60"/>
        <v>0</v>
      </c>
      <c r="S479" s="692">
        <f t="shared" si="61"/>
        <v>0</v>
      </c>
      <c r="T479" s="693">
        <f t="shared" si="62"/>
        <v>0</v>
      </c>
      <c r="U479" s="1035"/>
      <c r="V479" s="690"/>
      <c r="W479" s="1025"/>
      <c r="X479" s="1030"/>
      <c r="Y479" s="694">
        <f t="shared" si="63"/>
        <v>0</v>
      </c>
      <c r="Z479" s="690"/>
      <c r="AA479" s="690"/>
      <c r="AB479" s="695">
        <f t="shared" si="64"/>
        <v>0</v>
      </c>
      <c r="AC479" s="1035"/>
      <c r="AD479" s="690"/>
      <c r="AE479" s="1025"/>
      <c r="AF479" s="1030"/>
      <c r="AG479" s="690"/>
      <c r="AH479" s="690"/>
      <c r="AI479" s="696">
        <f t="shared" si="65"/>
        <v>0</v>
      </c>
      <c r="AJ479" s="697">
        <f t="shared" si="66"/>
        <v>0</v>
      </c>
    </row>
    <row r="480" spans="1:36" s="700" customFormat="1" ht="12.75" customHeight="1">
      <c r="A480" s="719" t="s">
        <v>203</v>
      </c>
      <c r="B480" s="719" t="s">
        <v>420</v>
      </c>
      <c r="C480" s="730" t="s">
        <v>655</v>
      </c>
      <c r="D480" s="730"/>
      <c r="E480" s="721"/>
      <c r="F480" s="722"/>
      <c r="G480" s="1025"/>
      <c r="H480" s="690"/>
      <c r="I480" s="1030"/>
      <c r="J480" s="690"/>
      <c r="K480" s="1030"/>
      <c r="L480" s="690"/>
      <c r="M480" s="1025"/>
      <c r="N480" s="1030"/>
      <c r="O480" s="692">
        <f t="shared" si="59"/>
        <v>0</v>
      </c>
      <c r="P480" s="690"/>
      <c r="Q480" s="690"/>
      <c r="R480" s="691">
        <f t="shared" si="60"/>
        <v>0</v>
      </c>
      <c r="S480" s="692">
        <f t="shared" si="61"/>
        <v>0</v>
      </c>
      <c r="T480" s="693">
        <f t="shared" si="62"/>
        <v>0</v>
      </c>
      <c r="U480" s="1035"/>
      <c r="V480" s="690"/>
      <c r="W480" s="1025"/>
      <c r="X480" s="1030"/>
      <c r="Y480" s="694">
        <f t="shared" si="63"/>
        <v>0</v>
      </c>
      <c r="Z480" s="690"/>
      <c r="AA480" s="690"/>
      <c r="AB480" s="695">
        <f t="shared" si="64"/>
        <v>0</v>
      </c>
      <c r="AC480" s="1035"/>
      <c r="AD480" s="690"/>
      <c r="AE480" s="1025"/>
      <c r="AF480" s="1030"/>
      <c r="AG480" s="690"/>
      <c r="AH480" s="690"/>
      <c r="AI480" s="696">
        <f t="shared" si="65"/>
        <v>0</v>
      </c>
      <c r="AJ480" s="697">
        <f t="shared" si="66"/>
        <v>0</v>
      </c>
    </row>
    <row r="481" spans="1:36" s="700" customFormat="1" ht="12.75" customHeight="1">
      <c r="A481" s="719" t="s">
        <v>203</v>
      </c>
      <c r="B481" s="731" t="s">
        <v>295</v>
      </c>
      <c r="C481" s="732" t="s">
        <v>53</v>
      </c>
      <c r="D481" s="732"/>
      <c r="E481" s="721"/>
      <c r="F481" s="722"/>
      <c r="G481" s="1025"/>
      <c r="H481" s="690"/>
      <c r="I481" s="1030"/>
      <c r="J481" s="690"/>
      <c r="K481" s="1030"/>
      <c r="L481" s="690"/>
      <c r="M481" s="1025"/>
      <c r="N481" s="1030"/>
      <c r="O481" s="692">
        <f t="shared" si="59"/>
        <v>0</v>
      </c>
      <c r="P481" s="690"/>
      <c r="Q481" s="690"/>
      <c r="R481" s="691">
        <f t="shared" si="60"/>
        <v>0</v>
      </c>
      <c r="S481" s="692">
        <f t="shared" si="61"/>
        <v>0</v>
      </c>
      <c r="T481" s="693">
        <f t="shared" si="62"/>
        <v>0</v>
      </c>
      <c r="U481" s="1035"/>
      <c r="V481" s="690"/>
      <c r="W481" s="1025"/>
      <c r="X481" s="1030"/>
      <c r="Y481" s="694">
        <f t="shared" si="63"/>
        <v>0</v>
      </c>
      <c r="Z481" s="690"/>
      <c r="AA481" s="690"/>
      <c r="AB481" s="695">
        <f t="shared" si="64"/>
        <v>0</v>
      </c>
      <c r="AC481" s="1035"/>
      <c r="AD481" s="690"/>
      <c r="AE481" s="1025"/>
      <c r="AF481" s="1030"/>
      <c r="AG481" s="690"/>
      <c r="AH481" s="690"/>
      <c r="AI481" s="696">
        <f t="shared" si="65"/>
        <v>0</v>
      </c>
      <c r="AJ481" s="697">
        <f t="shared" si="66"/>
        <v>0</v>
      </c>
    </row>
    <row r="482" spans="1:36" s="700" customFormat="1" ht="12.75" customHeight="1">
      <c r="A482" s="719" t="s">
        <v>203</v>
      </c>
      <c r="B482" s="731" t="s">
        <v>296</v>
      </c>
      <c r="C482" s="732" t="s">
        <v>443</v>
      </c>
      <c r="D482" s="732"/>
      <c r="E482" s="721"/>
      <c r="F482" s="722"/>
      <c r="G482" s="1025"/>
      <c r="H482" s="690"/>
      <c r="I482" s="1030"/>
      <c r="J482" s="690"/>
      <c r="K482" s="1030"/>
      <c r="L482" s="690"/>
      <c r="M482" s="1025"/>
      <c r="N482" s="1030"/>
      <c r="O482" s="692">
        <f t="shared" si="59"/>
        <v>0</v>
      </c>
      <c r="P482" s="690"/>
      <c r="Q482" s="690"/>
      <c r="R482" s="691">
        <f t="shared" si="60"/>
        <v>0</v>
      </c>
      <c r="S482" s="692">
        <f t="shared" si="61"/>
        <v>0</v>
      </c>
      <c r="T482" s="693">
        <f t="shared" si="62"/>
        <v>0</v>
      </c>
      <c r="U482" s="1035"/>
      <c r="V482" s="690"/>
      <c r="W482" s="1025"/>
      <c r="X482" s="1030"/>
      <c r="Y482" s="694">
        <f t="shared" si="63"/>
        <v>0</v>
      </c>
      <c r="Z482" s="690"/>
      <c r="AA482" s="690"/>
      <c r="AB482" s="695">
        <f t="shared" si="64"/>
        <v>0</v>
      </c>
      <c r="AC482" s="1035"/>
      <c r="AD482" s="690"/>
      <c r="AE482" s="1025"/>
      <c r="AF482" s="1030"/>
      <c r="AG482" s="690"/>
      <c r="AH482" s="690"/>
      <c r="AI482" s="696">
        <f t="shared" si="65"/>
        <v>0</v>
      </c>
      <c r="AJ482" s="697">
        <f t="shared" si="66"/>
        <v>0</v>
      </c>
    </row>
    <row r="483" spans="1:36" s="700" customFormat="1" ht="12.75" customHeight="1">
      <c r="A483" s="719" t="s">
        <v>203</v>
      </c>
      <c r="B483" s="731" t="s">
        <v>278</v>
      </c>
      <c r="C483" s="732" t="s">
        <v>377</v>
      </c>
      <c r="D483" s="732"/>
      <c r="E483" s="721"/>
      <c r="F483" s="722"/>
      <c r="G483" s="1025"/>
      <c r="H483" s="690"/>
      <c r="I483" s="1030"/>
      <c r="J483" s="690"/>
      <c r="K483" s="1030"/>
      <c r="L483" s="690"/>
      <c r="M483" s="1025"/>
      <c r="N483" s="1030"/>
      <c r="O483" s="692">
        <f t="shared" si="59"/>
        <v>0</v>
      </c>
      <c r="P483" s="690"/>
      <c r="Q483" s="690"/>
      <c r="R483" s="691">
        <f t="shared" si="60"/>
        <v>0</v>
      </c>
      <c r="S483" s="692">
        <f t="shared" si="61"/>
        <v>0</v>
      </c>
      <c r="T483" s="693">
        <f t="shared" si="62"/>
        <v>0</v>
      </c>
      <c r="U483" s="1035">
        <v>1431874</v>
      </c>
      <c r="V483" s="690">
        <v>1400000</v>
      </c>
      <c r="W483" s="1025"/>
      <c r="X483" s="1030"/>
      <c r="Y483" s="694">
        <f t="shared" si="63"/>
        <v>0</v>
      </c>
      <c r="Z483" s="690"/>
      <c r="AA483" s="690"/>
      <c r="AB483" s="695">
        <f t="shared" si="64"/>
        <v>0</v>
      </c>
      <c r="AC483" s="1035"/>
      <c r="AD483" s="690"/>
      <c r="AE483" s="1025"/>
      <c r="AF483" s="1030"/>
      <c r="AG483" s="690"/>
      <c r="AH483" s="690"/>
      <c r="AI483" s="696">
        <f t="shared" si="65"/>
        <v>1431874</v>
      </c>
      <c r="AJ483" s="697">
        <f t="shared" si="66"/>
        <v>1400000</v>
      </c>
    </row>
    <row r="484" spans="1:36" s="700" customFormat="1" ht="12.75" customHeight="1">
      <c r="A484" s="719" t="s">
        <v>203</v>
      </c>
      <c r="B484" s="731" t="s">
        <v>279</v>
      </c>
      <c r="C484" s="732" t="s">
        <v>54</v>
      </c>
      <c r="D484" s="732"/>
      <c r="E484" s="721"/>
      <c r="F484" s="722"/>
      <c r="G484" s="1025"/>
      <c r="H484" s="690"/>
      <c r="I484" s="1030"/>
      <c r="J484" s="690"/>
      <c r="K484" s="1030"/>
      <c r="L484" s="690"/>
      <c r="M484" s="1025"/>
      <c r="N484" s="1030"/>
      <c r="O484" s="692">
        <f t="shared" si="59"/>
        <v>0</v>
      </c>
      <c r="P484" s="690"/>
      <c r="Q484" s="690"/>
      <c r="R484" s="691">
        <f t="shared" si="60"/>
        <v>0</v>
      </c>
      <c r="S484" s="692">
        <f t="shared" si="61"/>
        <v>0</v>
      </c>
      <c r="T484" s="693">
        <f t="shared" si="62"/>
        <v>0</v>
      </c>
      <c r="U484" s="1035"/>
      <c r="V484" s="690"/>
      <c r="W484" s="1025"/>
      <c r="X484" s="1030"/>
      <c r="Y484" s="694">
        <f t="shared" si="63"/>
        <v>0</v>
      </c>
      <c r="Z484" s="690"/>
      <c r="AA484" s="690"/>
      <c r="AB484" s="695">
        <f t="shared" si="64"/>
        <v>0</v>
      </c>
      <c r="AC484" s="1035"/>
      <c r="AD484" s="690"/>
      <c r="AE484" s="1025"/>
      <c r="AF484" s="1030"/>
      <c r="AG484" s="690"/>
      <c r="AH484" s="690"/>
      <c r="AI484" s="696">
        <f t="shared" si="65"/>
        <v>0</v>
      </c>
      <c r="AJ484" s="697">
        <f t="shared" si="66"/>
        <v>0</v>
      </c>
    </row>
    <row r="485" spans="1:36" s="700" customFormat="1" ht="12.75" customHeight="1">
      <c r="A485" s="719" t="s">
        <v>203</v>
      </c>
      <c r="B485" s="731" t="s">
        <v>317</v>
      </c>
      <c r="C485" s="732" t="s">
        <v>443</v>
      </c>
      <c r="D485" s="732"/>
      <c r="E485" s="721"/>
      <c r="F485" s="722"/>
      <c r="G485" s="1025"/>
      <c r="H485" s="690"/>
      <c r="I485" s="1030"/>
      <c r="J485" s="690"/>
      <c r="K485" s="1030"/>
      <c r="L485" s="690"/>
      <c r="M485" s="1025"/>
      <c r="N485" s="1030"/>
      <c r="O485" s="692">
        <f t="shared" si="59"/>
        <v>0</v>
      </c>
      <c r="P485" s="690"/>
      <c r="Q485" s="690"/>
      <c r="R485" s="691">
        <f t="shared" si="60"/>
        <v>0</v>
      </c>
      <c r="S485" s="692">
        <f t="shared" si="61"/>
        <v>0</v>
      </c>
      <c r="T485" s="693">
        <f t="shared" si="62"/>
        <v>0</v>
      </c>
      <c r="U485" s="1035"/>
      <c r="V485" s="690"/>
      <c r="W485" s="1025"/>
      <c r="X485" s="1030"/>
      <c r="Y485" s="694">
        <f t="shared" si="63"/>
        <v>0</v>
      </c>
      <c r="Z485" s="690"/>
      <c r="AA485" s="690"/>
      <c r="AB485" s="695">
        <f t="shared" si="64"/>
        <v>0</v>
      </c>
      <c r="AC485" s="1035"/>
      <c r="AD485" s="690"/>
      <c r="AE485" s="1025"/>
      <c r="AF485" s="1030"/>
      <c r="AG485" s="690"/>
      <c r="AH485" s="690"/>
      <c r="AI485" s="696">
        <f t="shared" si="65"/>
        <v>0</v>
      </c>
      <c r="AJ485" s="697">
        <f t="shared" si="66"/>
        <v>0</v>
      </c>
    </row>
    <row r="486" spans="1:36" s="700" customFormat="1" ht="12.75" customHeight="1">
      <c r="A486" s="719" t="s">
        <v>203</v>
      </c>
      <c r="B486" s="731" t="s">
        <v>318</v>
      </c>
      <c r="C486" s="732" t="s">
        <v>377</v>
      </c>
      <c r="D486" s="732"/>
      <c r="E486" s="721"/>
      <c r="F486" s="722"/>
      <c r="G486" s="1025"/>
      <c r="H486" s="690"/>
      <c r="I486" s="1030"/>
      <c r="J486" s="690"/>
      <c r="K486" s="1030"/>
      <c r="L486" s="690"/>
      <c r="M486" s="1025"/>
      <c r="N486" s="1030"/>
      <c r="O486" s="692">
        <f t="shared" si="59"/>
        <v>0</v>
      </c>
      <c r="P486" s="690"/>
      <c r="Q486" s="690"/>
      <c r="R486" s="691">
        <f t="shared" si="60"/>
        <v>0</v>
      </c>
      <c r="S486" s="692">
        <f t="shared" si="61"/>
        <v>0</v>
      </c>
      <c r="T486" s="693">
        <f t="shared" si="62"/>
        <v>0</v>
      </c>
      <c r="U486" s="1035">
        <v>66250</v>
      </c>
      <c r="V486" s="690">
        <v>100000</v>
      </c>
      <c r="W486" s="1025"/>
      <c r="X486" s="1030"/>
      <c r="Y486" s="694">
        <f t="shared" si="63"/>
        <v>0</v>
      </c>
      <c r="Z486" s="690"/>
      <c r="AA486" s="690"/>
      <c r="AB486" s="695">
        <f t="shared" si="64"/>
        <v>0</v>
      </c>
      <c r="AC486" s="1035"/>
      <c r="AD486" s="690"/>
      <c r="AE486" s="1025"/>
      <c r="AF486" s="1030"/>
      <c r="AG486" s="690"/>
      <c r="AH486" s="690"/>
      <c r="AI486" s="696">
        <f t="shared" si="65"/>
        <v>66250</v>
      </c>
      <c r="AJ486" s="697">
        <f t="shared" si="66"/>
        <v>100000</v>
      </c>
    </row>
    <row r="487" spans="1:36" s="700" customFormat="1" ht="12.75" customHeight="1">
      <c r="A487" s="719" t="s">
        <v>203</v>
      </c>
      <c r="B487" s="719" t="s">
        <v>420</v>
      </c>
      <c r="C487" s="730" t="s">
        <v>656</v>
      </c>
      <c r="D487" s="730"/>
      <c r="E487" s="721"/>
      <c r="F487" s="722"/>
      <c r="G487" s="1025"/>
      <c r="H487" s="690"/>
      <c r="I487" s="1030"/>
      <c r="J487" s="690"/>
      <c r="K487" s="1030"/>
      <c r="L487" s="690"/>
      <c r="M487" s="1025"/>
      <c r="N487" s="1030"/>
      <c r="O487" s="692">
        <f t="shared" si="59"/>
        <v>0</v>
      </c>
      <c r="P487" s="690"/>
      <c r="Q487" s="690"/>
      <c r="R487" s="691">
        <f t="shared" si="60"/>
        <v>0</v>
      </c>
      <c r="S487" s="692">
        <f t="shared" si="61"/>
        <v>0</v>
      </c>
      <c r="T487" s="693">
        <f t="shared" si="62"/>
        <v>0</v>
      </c>
      <c r="U487" s="1035"/>
      <c r="V487" s="690"/>
      <c r="W487" s="1025"/>
      <c r="X487" s="1030"/>
      <c r="Y487" s="694">
        <f t="shared" si="63"/>
        <v>0</v>
      </c>
      <c r="Z487" s="690"/>
      <c r="AA487" s="690"/>
      <c r="AB487" s="695">
        <f t="shared" si="64"/>
        <v>0</v>
      </c>
      <c r="AC487" s="1035"/>
      <c r="AD487" s="690"/>
      <c r="AE487" s="1025"/>
      <c r="AF487" s="1030"/>
      <c r="AG487" s="690"/>
      <c r="AH487" s="690"/>
      <c r="AI487" s="696">
        <f t="shared" si="65"/>
        <v>0</v>
      </c>
      <c r="AJ487" s="697">
        <f t="shared" si="66"/>
        <v>0</v>
      </c>
    </row>
    <row r="488" spans="1:36" s="700" customFormat="1" ht="12.75" customHeight="1">
      <c r="A488" s="719" t="s">
        <v>203</v>
      </c>
      <c r="B488" s="731" t="s">
        <v>295</v>
      </c>
      <c r="C488" s="732" t="s">
        <v>53</v>
      </c>
      <c r="D488" s="732"/>
      <c r="E488" s="721"/>
      <c r="F488" s="722"/>
      <c r="G488" s="1025"/>
      <c r="H488" s="690"/>
      <c r="I488" s="1030"/>
      <c r="J488" s="690"/>
      <c r="K488" s="1030"/>
      <c r="L488" s="690"/>
      <c r="M488" s="1025"/>
      <c r="N488" s="1030"/>
      <c r="O488" s="692">
        <f t="shared" si="59"/>
        <v>0</v>
      </c>
      <c r="P488" s="690"/>
      <c r="Q488" s="690"/>
      <c r="R488" s="691">
        <f t="shared" si="60"/>
        <v>0</v>
      </c>
      <c r="S488" s="692">
        <f t="shared" si="61"/>
        <v>0</v>
      </c>
      <c r="T488" s="693">
        <f t="shared" si="62"/>
        <v>0</v>
      </c>
      <c r="U488" s="1035"/>
      <c r="V488" s="690"/>
      <c r="W488" s="1025"/>
      <c r="X488" s="1030"/>
      <c r="Y488" s="694">
        <f t="shared" si="63"/>
        <v>0</v>
      </c>
      <c r="Z488" s="690"/>
      <c r="AA488" s="690"/>
      <c r="AB488" s="695">
        <f t="shared" si="64"/>
        <v>0</v>
      </c>
      <c r="AC488" s="1035"/>
      <c r="AD488" s="690"/>
      <c r="AE488" s="1025"/>
      <c r="AF488" s="1030"/>
      <c r="AG488" s="690"/>
      <c r="AH488" s="690"/>
      <c r="AI488" s="696">
        <f t="shared" si="65"/>
        <v>0</v>
      </c>
      <c r="AJ488" s="697">
        <f t="shared" si="66"/>
        <v>0</v>
      </c>
    </row>
    <row r="489" spans="1:36" s="700" customFormat="1" ht="12.75" customHeight="1">
      <c r="A489" s="719" t="s">
        <v>203</v>
      </c>
      <c r="B489" s="731" t="s">
        <v>296</v>
      </c>
      <c r="C489" s="732" t="s">
        <v>443</v>
      </c>
      <c r="D489" s="732"/>
      <c r="E489" s="721"/>
      <c r="F489" s="722"/>
      <c r="G489" s="1025"/>
      <c r="H489" s="690"/>
      <c r="I489" s="1030"/>
      <c r="J489" s="690"/>
      <c r="K489" s="1030"/>
      <c r="L489" s="690"/>
      <c r="M489" s="1025"/>
      <c r="N489" s="1030"/>
      <c r="O489" s="692">
        <f t="shared" si="59"/>
        <v>0</v>
      </c>
      <c r="P489" s="690"/>
      <c r="Q489" s="690"/>
      <c r="R489" s="691">
        <f t="shared" si="60"/>
        <v>0</v>
      </c>
      <c r="S489" s="692">
        <f t="shared" si="61"/>
        <v>0</v>
      </c>
      <c r="T489" s="693">
        <f t="shared" si="62"/>
        <v>0</v>
      </c>
      <c r="U489" s="1035"/>
      <c r="V489" s="690"/>
      <c r="W489" s="1025"/>
      <c r="X489" s="1030"/>
      <c r="Y489" s="694">
        <f t="shared" si="63"/>
        <v>0</v>
      </c>
      <c r="Z489" s="690"/>
      <c r="AA489" s="690"/>
      <c r="AB489" s="695">
        <f t="shared" si="64"/>
        <v>0</v>
      </c>
      <c r="AC489" s="1035"/>
      <c r="AD489" s="690"/>
      <c r="AE489" s="1025"/>
      <c r="AF489" s="1030"/>
      <c r="AG489" s="690"/>
      <c r="AH489" s="690"/>
      <c r="AI489" s="696">
        <f t="shared" si="65"/>
        <v>0</v>
      </c>
      <c r="AJ489" s="697">
        <f t="shared" si="66"/>
        <v>0</v>
      </c>
    </row>
    <row r="490" spans="1:36" s="700" customFormat="1" ht="12.75" customHeight="1">
      <c r="A490" s="719" t="s">
        <v>203</v>
      </c>
      <c r="B490" s="731" t="s">
        <v>278</v>
      </c>
      <c r="C490" s="732" t="s">
        <v>377</v>
      </c>
      <c r="D490" s="732"/>
      <c r="E490" s="721"/>
      <c r="F490" s="722"/>
      <c r="G490" s="1025"/>
      <c r="H490" s="690"/>
      <c r="I490" s="1030"/>
      <c r="J490" s="690"/>
      <c r="K490" s="1030"/>
      <c r="L490" s="690"/>
      <c r="M490" s="1025"/>
      <c r="N490" s="1030"/>
      <c r="O490" s="692">
        <f t="shared" si="59"/>
        <v>0</v>
      </c>
      <c r="P490" s="690"/>
      <c r="Q490" s="690"/>
      <c r="R490" s="691">
        <f t="shared" si="60"/>
        <v>0</v>
      </c>
      <c r="S490" s="692">
        <f t="shared" si="61"/>
        <v>0</v>
      </c>
      <c r="T490" s="693">
        <f t="shared" si="62"/>
        <v>0</v>
      </c>
      <c r="U490" s="1035">
        <v>184623</v>
      </c>
      <c r="V490" s="690">
        <v>140000</v>
      </c>
      <c r="W490" s="1025"/>
      <c r="X490" s="1030"/>
      <c r="Y490" s="694">
        <f t="shared" si="63"/>
        <v>0</v>
      </c>
      <c r="Z490" s="690"/>
      <c r="AA490" s="690"/>
      <c r="AB490" s="695">
        <f t="shared" si="64"/>
        <v>0</v>
      </c>
      <c r="AC490" s="1035"/>
      <c r="AD490" s="690"/>
      <c r="AE490" s="1025"/>
      <c r="AF490" s="1030"/>
      <c r="AG490" s="690"/>
      <c r="AH490" s="690"/>
      <c r="AI490" s="696">
        <f t="shared" si="65"/>
        <v>184623</v>
      </c>
      <c r="AJ490" s="697">
        <f t="shared" si="66"/>
        <v>140000</v>
      </c>
    </row>
    <row r="491" spans="1:36" s="700" customFormat="1" ht="12.75" customHeight="1">
      <c r="A491" s="719" t="s">
        <v>203</v>
      </c>
      <c r="B491" s="731" t="s">
        <v>279</v>
      </c>
      <c r="C491" s="732" t="s">
        <v>54</v>
      </c>
      <c r="D491" s="732"/>
      <c r="E491" s="721"/>
      <c r="F491" s="722"/>
      <c r="G491" s="1025"/>
      <c r="H491" s="690"/>
      <c r="I491" s="1030"/>
      <c r="J491" s="690"/>
      <c r="K491" s="1030"/>
      <c r="L491" s="690"/>
      <c r="M491" s="1025"/>
      <c r="N491" s="1030"/>
      <c r="O491" s="692">
        <f t="shared" si="59"/>
        <v>0</v>
      </c>
      <c r="P491" s="690"/>
      <c r="Q491" s="690"/>
      <c r="R491" s="691">
        <f t="shared" si="60"/>
        <v>0</v>
      </c>
      <c r="S491" s="692">
        <f t="shared" si="61"/>
        <v>0</v>
      </c>
      <c r="T491" s="693">
        <f t="shared" si="62"/>
        <v>0</v>
      </c>
      <c r="U491" s="1035"/>
      <c r="V491" s="690"/>
      <c r="W491" s="1025"/>
      <c r="X491" s="1030"/>
      <c r="Y491" s="694">
        <f t="shared" si="63"/>
        <v>0</v>
      </c>
      <c r="Z491" s="690"/>
      <c r="AA491" s="690"/>
      <c r="AB491" s="695">
        <f t="shared" si="64"/>
        <v>0</v>
      </c>
      <c r="AC491" s="1035"/>
      <c r="AD491" s="690"/>
      <c r="AE491" s="1025"/>
      <c r="AF491" s="1030"/>
      <c r="AG491" s="690"/>
      <c r="AH491" s="690"/>
      <c r="AI491" s="696">
        <f t="shared" si="65"/>
        <v>0</v>
      </c>
      <c r="AJ491" s="697">
        <f t="shared" si="66"/>
        <v>0</v>
      </c>
    </row>
    <row r="492" spans="1:36" s="700" customFormat="1" ht="12.75" customHeight="1">
      <c r="A492" s="719" t="s">
        <v>203</v>
      </c>
      <c r="B492" s="731" t="s">
        <v>317</v>
      </c>
      <c r="C492" s="732" t="s">
        <v>443</v>
      </c>
      <c r="D492" s="732"/>
      <c r="E492" s="721"/>
      <c r="F492" s="722"/>
      <c r="G492" s="1025"/>
      <c r="H492" s="690"/>
      <c r="I492" s="1030"/>
      <c r="J492" s="690"/>
      <c r="K492" s="1030"/>
      <c r="L492" s="690"/>
      <c r="M492" s="1025"/>
      <c r="N492" s="1030"/>
      <c r="O492" s="692">
        <f t="shared" si="59"/>
        <v>0</v>
      </c>
      <c r="P492" s="690"/>
      <c r="Q492" s="690"/>
      <c r="R492" s="691">
        <f t="shared" si="60"/>
        <v>0</v>
      </c>
      <c r="S492" s="692">
        <f t="shared" si="61"/>
        <v>0</v>
      </c>
      <c r="T492" s="693">
        <f t="shared" si="62"/>
        <v>0</v>
      </c>
      <c r="U492" s="1035"/>
      <c r="V492" s="690"/>
      <c r="W492" s="1025"/>
      <c r="X492" s="1030"/>
      <c r="Y492" s="694">
        <f t="shared" si="63"/>
        <v>0</v>
      </c>
      <c r="Z492" s="690"/>
      <c r="AA492" s="690"/>
      <c r="AB492" s="695">
        <f t="shared" si="64"/>
        <v>0</v>
      </c>
      <c r="AC492" s="1035"/>
      <c r="AD492" s="690"/>
      <c r="AE492" s="1025"/>
      <c r="AF492" s="1030"/>
      <c r="AG492" s="690"/>
      <c r="AH492" s="690"/>
      <c r="AI492" s="696">
        <f t="shared" si="65"/>
        <v>0</v>
      </c>
      <c r="AJ492" s="697">
        <f t="shared" si="66"/>
        <v>0</v>
      </c>
    </row>
    <row r="493" spans="1:36" s="700" customFormat="1" ht="12.75" customHeight="1">
      <c r="A493" s="719" t="s">
        <v>203</v>
      </c>
      <c r="B493" s="731" t="s">
        <v>318</v>
      </c>
      <c r="C493" s="732" t="s">
        <v>377</v>
      </c>
      <c r="D493" s="732"/>
      <c r="E493" s="721"/>
      <c r="F493" s="722"/>
      <c r="G493" s="1025"/>
      <c r="H493" s="690"/>
      <c r="I493" s="1030"/>
      <c r="J493" s="690"/>
      <c r="K493" s="1030"/>
      <c r="L493" s="690"/>
      <c r="M493" s="1025"/>
      <c r="N493" s="1030"/>
      <c r="O493" s="692">
        <f t="shared" si="59"/>
        <v>0</v>
      </c>
      <c r="P493" s="690"/>
      <c r="Q493" s="690"/>
      <c r="R493" s="691">
        <f t="shared" si="60"/>
        <v>0</v>
      </c>
      <c r="S493" s="692">
        <f t="shared" si="61"/>
        <v>0</v>
      </c>
      <c r="T493" s="693">
        <f t="shared" si="62"/>
        <v>0</v>
      </c>
      <c r="U493" s="1035">
        <v>0</v>
      </c>
      <c r="V493" s="690">
        <v>10000</v>
      </c>
      <c r="W493" s="1025"/>
      <c r="X493" s="1030"/>
      <c r="Y493" s="694">
        <f t="shared" si="63"/>
        <v>0</v>
      </c>
      <c r="Z493" s="690"/>
      <c r="AA493" s="690"/>
      <c r="AB493" s="695">
        <f t="shared" si="64"/>
        <v>0</v>
      </c>
      <c r="AC493" s="1035"/>
      <c r="AD493" s="690"/>
      <c r="AE493" s="1025"/>
      <c r="AF493" s="1030"/>
      <c r="AG493" s="690"/>
      <c r="AH493" s="690"/>
      <c r="AI493" s="696">
        <f t="shared" si="65"/>
        <v>0</v>
      </c>
      <c r="AJ493" s="697">
        <f t="shared" si="66"/>
        <v>10000</v>
      </c>
    </row>
    <row r="494" spans="1:36" s="700" customFormat="1" ht="12.75" customHeight="1">
      <c r="A494" s="719" t="s">
        <v>203</v>
      </c>
      <c r="B494" s="719" t="s">
        <v>420</v>
      </c>
      <c r="C494" s="730" t="s">
        <v>657</v>
      </c>
      <c r="D494" s="730"/>
      <c r="E494" s="721"/>
      <c r="F494" s="722"/>
      <c r="G494" s="1025"/>
      <c r="H494" s="690"/>
      <c r="I494" s="1030"/>
      <c r="J494" s="690"/>
      <c r="K494" s="1030"/>
      <c r="L494" s="690"/>
      <c r="M494" s="1025"/>
      <c r="N494" s="1030"/>
      <c r="O494" s="692">
        <f t="shared" si="59"/>
        <v>0</v>
      </c>
      <c r="P494" s="690"/>
      <c r="Q494" s="690"/>
      <c r="R494" s="691">
        <f t="shared" si="60"/>
        <v>0</v>
      </c>
      <c r="S494" s="692">
        <f t="shared" si="61"/>
        <v>0</v>
      </c>
      <c r="T494" s="693">
        <f t="shared" si="62"/>
        <v>0</v>
      </c>
      <c r="U494" s="1035"/>
      <c r="V494" s="690"/>
      <c r="W494" s="1025"/>
      <c r="X494" s="1030"/>
      <c r="Y494" s="694">
        <f t="shared" si="63"/>
        <v>0</v>
      </c>
      <c r="Z494" s="690"/>
      <c r="AA494" s="690"/>
      <c r="AB494" s="695">
        <f t="shared" si="64"/>
        <v>0</v>
      </c>
      <c r="AC494" s="1035"/>
      <c r="AD494" s="690"/>
      <c r="AE494" s="1025"/>
      <c r="AF494" s="1030"/>
      <c r="AG494" s="690"/>
      <c r="AH494" s="690"/>
      <c r="AI494" s="696">
        <f t="shared" si="65"/>
        <v>0</v>
      </c>
      <c r="AJ494" s="697">
        <f t="shared" si="66"/>
        <v>0</v>
      </c>
    </row>
    <row r="495" spans="1:36" s="700" customFormat="1" ht="12.75" customHeight="1">
      <c r="A495" s="719" t="s">
        <v>203</v>
      </c>
      <c r="B495" s="731" t="s">
        <v>295</v>
      </c>
      <c r="C495" s="732" t="s">
        <v>53</v>
      </c>
      <c r="D495" s="732"/>
      <c r="E495" s="721"/>
      <c r="F495" s="722"/>
      <c r="G495" s="1025"/>
      <c r="H495" s="690"/>
      <c r="I495" s="1030"/>
      <c r="J495" s="690"/>
      <c r="K495" s="1030"/>
      <c r="L495" s="690"/>
      <c r="M495" s="1025"/>
      <c r="N495" s="1030"/>
      <c r="O495" s="692">
        <f t="shared" si="59"/>
        <v>0</v>
      </c>
      <c r="P495" s="690"/>
      <c r="Q495" s="690"/>
      <c r="R495" s="691">
        <f t="shared" si="60"/>
        <v>0</v>
      </c>
      <c r="S495" s="692">
        <f t="shared" si="61"/>
        <v>0</v>
      </c>
      <c r="T495" s="693">
        <f t="shared" si="62"/>
        <v>0</v>
      </c>
      <c r="U495" s="1035"/>
      <c r="V495" s="690"/>
      <c r="W495" s="1025"/>
      <c r="X495" s="1030"/>
      <c r="Y495" s="694">
        <f t="shared" si="63"/>
        <v>0</v>
      </c>
      <c r="Z495" s="690"/>
      <c r="AA495" s="690"/>
      <c r="AB495" s="695">
        <f t="shared" si="64"/>
        <v>0</v>
      </c>
      <c r="AC495" s="1035"/>
      <c r="AD495" s="690"/>
      <c r="AE495" s="1025"/>
      <c r="AF495" s="1030"/>
      <c r="AG495" s="690"/>
      <c r="AH495" s="690"/>
      <c r="AI495" s="696">
        <f t="shared" si="65"/>
        <v>0</v>
      </c>
      <c r="AJ495" s="697">
        <f t="shared" si="66"/>
        <v>0</v>
      </c>
    </row>
    <row r="496" spans="1:36" s="700" customFormat="1" ht="12.75" customHeight="1">
      <c r="A496" s="719" t="s">
        <v>203</v>
      </c>
      <c r="B496" s="731" t="s">
        <v>296</v>
      </c>
      <c r="C496" s="732" t="s">
        <v>443</v>
      </c>
      <c r="D496" s="732"/>
      <c r="E496" s="721"/>
      <c r="F496" s="722"/>
      <c r="G496" s="1025"/>
      <c r="H496" s="690"/>
      <c r="I496" s="1030"/>
      <c r="J496" s="690"/>
      <c r="K496" s="1030"/>
      <c r="L496" s="690"/>
      <c r="M496" s="1025"/>
      <c r="N496" s="1030"/>
      <c r="O496" s="692">
        <f t="shared" si="59"/>
        <v>0</v>
      </c>
      <c r="P496" s="690"/>
      <c r="Q496" s="690"/>
      <c r="R496" s="691">
        <f t="shared" si="60"/>
        <v>0</v>
      </c>
      <c r="S496" s="692">
        <f t="shared" si="61"/>
        <v>0</v>
      </c>
      <c r="T496" s="693">
        <f t="shared" si="62"/>
        <v>0</v>
      </c>
      <c r="U496" s="1035"/>
      <c r="V496" s="690"/>
      <c r="W496" s="1025"/>
      <c r="X496" s="1030"/>
      <c r="Y496" s="694">
        <f t="shared" si="63"/>
        <v>0</v>
      </c>
      <c r="Z496" s="690"/>
      <c r="AA496" s="690"/>
      <c r="AB496" s="695">
        <f t="shared" si="64"/>
        <v>0</v>
      </c>
      <c r="AC496" s="1035"/>
      <c r="AD496" s="690"/>
      <c r="AE496" s="1025"/>
      <c r="AF496" s="1030"/>
      <c r="AG496" s="690"/>
      <c r="AH496" s="690"/>
      <c r="AI496" s="696">
        <f t="shared" si="65"/>
        <v>0</v>
      </c>
      <c r="AJ496" s="697">
        <f t="shared" si="66"/>
        <v>0</v>
      </c>
    </row>
    <row r="497" spans="1:36" s="700" customFormat="1" ht="12.75" customHeight="1">
      <c r="A497" s="719" t="s">
        <v>203</v>
      </c>
      <c r="B497" s="731" t="s">
        <v>278</v>
      </c>
      <c r="C497" s="732" t="s">
        <v>377</v>
      </c>
      <c r="D497" s="732"/>
      <c r="E497" s="721"/>
      <c r="F497" s="722"/>
      <c r="G497" s="1025"/>
      <c r="H497" s="690"/>
      <c r="I497" s="1030"/>
      <c r="J497" s="690"/>
      <c r="K497" s="1030"/>
      <c r="L497" s="690"/>
      <c r="M497" s="1025"/>
      <c r="N497" s="1030"/>
      <c r="O497" s="692">
        <f t="shared" si="59"/>
        <v>0</v>
      </c>
      <c r="P497" s="690"/>
      <c r="Q497" s="690"/>
      <c r="R497" s="691">
        <f t="shared" si="60"/>
        <v>0</v>
      </c>
      <c r="S497" s="692">
        <f t="shared" si="61"/>
        <v>0</v>
      </c>
      <c r="T497" s="693">
        <f t="shared" si="62"/>
        <v>0</v>
      </c>
      <c r="U497" s="1035">
        <v>209614</v>
      </c>
      <c r="V497" s="690">
        <v>180000</v>
      </c>
      <c r="W497" s="1025"/>
      <c r="X497" s="1030"/>
      <c r="Y497" s="694">
        <f t="shared" si="63"/>
        <v>0</v>
      </c>
      <c r="Z497" s="690"/>
      <c r="AA497" s="690"/>
      <c r="AB497" s="695">
        <f t="shared" si="64"/>
        <v>0</v>
      </c>
      <c r="AC497" s="1035"/>
      <c r="AD497" s="690"/>
      <c r="AE497" s="1025"/>
      <c r="AF497" s="1030"/>
      <c r="AG497" s="690"/>
      <c r="AH497" s="690"/>
      <c r="AI497" s="696">
        <f t="shared" si="65"/>
        <v>209614</v>
      </c>
      <c r="AJ497" s="697">
        <f t="shared" si="66"/>
        <v>180000</v>
      </c>
    </row>
    <row r="498" spans="1:36" s="700" customFormat="1" ht="12.75" customHeight="1">
      <c r="A498" s="719" t="s">
        <v>203</v>
      </c>
      <c r="B498" s="731" t="s">
        <v>279</v>
      </c>
      <c r="C498" s="732" t="s">
        <v>54</v>
      </c>
      <c r="D498" s="732"/>
      <c r="E498" s="721"/>
      <c r="F498" s="722"/>
      <c r="G498" s="1025"/>
      <c r="H498" s="690"/>
      <c r="I498" s="1030"/>
      <c r="J498" s="690"/>
      <c r="K498" s="1030"/>
      <c r="L498" s="690"/>
      <c r="M498" s="1025"/>
      <c r="N498" s="1030"/>
      <c r="O498" s="692">
        <f t="shared" si="59"/>
        <v>0</v>
      </c>
      <c r="P498" s="690"/>
      <c r="Q498" s="690"/>
      <c r="R498" s="691">
        <f t="shared" si="60"/>
        <v>0</v>
      </c>
      <c r="S498" s="692">
        <f t="shared" si="61"/>
        <v>0</v>
      </c>
      <c r="T498" s="693">
        <f t="shared" si="62"/>
        <v>0</v>
      </c>
      <c r="U498" s="1035"/>
      <c r="V498" s="690"/>
      <c r="W498" s="1025"/>
      <c r="X498" s="1030"/>
      <c r="Y498" s="694">
        <f t="shared" si="63"/>
        <v>0</v>
      </c>
      <c r="Z498" s="690"/>
      <c r="AA498" s="690"/>
      <c r="AB498" s="695">
        <f t="shared" si="64"/>
        <v>0</v>
      </c>
      <c r="AC498" s="1035"/>
      <c r="AD498" s="690"/>
      <c r="AE498" s="1025"/>
      <c r="AF498" s="1030"/>
      <c r="AG498" s="690"/>
      <c r="AH498" s="690"/>
      <c r="AI498" s="696">
        <f t="shared" si="65"/>
        <v>0</v>
      </c>
      <c r="AJ498" s="697">
        <f t="shared" si="66"/>
        <v>0</v>
      </c>
    </row>
    <row r="499" spans="1:36" s="700" customFormat="1" ht="12.75" customHeight="1">
      <c r="A499" s="719" t="s">
        <v>203</v>
      </c>
      <c r="B499" s="731" t="s">
        <v>317</v>
      </c>
      <c r="C499" s="732" t="s">
        <v>443</v>
      </c>
      <c r="D499" s="732"/>
      <c r="E499" s="721"/>
      <c r="F499" s="722"/>
      <c r="G499" s="1025"/>
      <c r="H499" s="690"/>
      <c r="I499" s="1030"/>
      <c r="J499" s="690"/>
      <c r="K499" s="1030"/>
      <c r="L499" s="690"/>
      <c r="M499" s="1025"/>
      <c r="N499" s="1030"/>
      <c r="O499" s="692">
        <f t="shared" si="59"/>
        <v>0</v>
      </c>
      <c r="P499" s="690"/>
      <c r="Q499" s="690"/>
      <c r="R499" s="691">
        <f t="shared" si="60"/>
        <v>0</v>
      </c>
      <c r="S499" s="692">
        <f t="shared" si="61"/>
        <v>0</v>
      </c>
      <c r="T499" s="693">
        <f t="shared" si="62"/>
        <v>0</v>
      </c>
      <c r="U499" s="1035"/>
      <c r="V499" s="690"/>
      <c r="W499" s="1025"/>
      <c r="X499" s="1030"/>
      <c r="Y499" s="694">
        <f t="shared" si="63"/>
        <v>0</v>
      </c>
      <c r="Z499" s="690"/>
      <c r="AA499" s="690"/>
      <c r="AB499" s="695">
        <f t="shared" si="64"/>
        <v>0</v>
      </c>
      <c r="AC499" s="1035"/>
      <c r="AD499" s="690"/>
      <c r="AE499" s="1025"/>
      <c r="AF499" s="1030"/>
      <c r="AG499" s="690"/>
      <c r="AH499" s="690"/>
      <c r="AI499" s="696">
        <f t="shared" si="65"/>
        <v>0</v>
      </c>
      <c r="AJ499" s="697">
        <f t="shared" si="66"/>
        <v>0</v>
      </c>
    </row>
    <row r="500" spans="1:36" s="700" customFormat="1" ht="12.75" customHeight="1">
      <c r="A500" s="719" t="s">
        <v>203</v>
      </c>
      <c r="B500" s="731" t="s">
        <v>318</v>
      </c>
      <c r="C500" s="732" t="s">
        <v>377</v>
      </c>
      <c r="D500" s="732"/>
      <c r="E500" s="721"/>
      <c r="F500" s="722"/>
      <c r="G500" s="1025"/>
      <c r="H500" s="690"/>
      <c r="I500" s="1030"/>
      <c r="J500" s="690"/>
      <c r="K500" s="1030"/>
      <c r="L500" s="690"/>
      <c r="M500" s="1025"/>
      <c r="N500" s="1030"/>
      <c r="O500" s="692">
        <f t="shared" si="59"/>
        <v>0</v>
      </c>
      <c r="P500" s="690"/>
      <c r="Q500" s="690"/>
      <c r="R500" s="691">
        <f t="shared" si="60"/>
        <v>0</v>
      </c>
      <c r="S500" s="692">
        <f t="shared" si="61"/>
        <v>0</v>
      </c>
      <c r="T500" s="693">
        <f t="shared" si="62"/>
        <v>0</v>
      </c>
      <c r="U500" s="1035">
        <v>7500</v>
      </c>
      <c r="V500" s="690">
        <v>5000</v>
      </c>
      <c r="W500" s="1025"/>
      <c r="X500" s="1030"/>
      <c r="Y500" s="694">
        <f t="shared" si="63"/>
        <v>0</v>
      </c>
      <c r="Z500" s="690"/>
      <c r="AA500" s="690"/>
      <c r="AB500" s="695">
        <f t="shared" si="64"/>
        <v>0</v>
      </c>
      <c r="AC500" s="1035"/>
      <c r="AD500" s="690"/>
      <c r="AE500" s="1025"/>
      <c r="AF500" s="1030"/>
      <c r="AG500" s="690"/>
      <c r="AH500" s="690"/>
      <c r="AI500" s="696">
        <f t="shared" si="65"/>
        <v>7500</v>
      </c>
      <c r="AJ500" s="697">
        <f t="shared" si="66"/>
        <v>5000</v>
      </c>
    </row>
    <row r="501" spans="1:36" s="700" customFormat="1" ht="12.75" customHeight="1">
      <c r="A501" s="719" t="s">
        <v>203</v>
      </c>
      <c r="B501" s="719" t="s">
        <v>420</v>
      </c>
      <c r="C501" s="730" t="s">
        <v>658</v>
      </c>
      <c r="D501" s="730"/>
      <c r="E501" s="721"/>
      <c r="F501" s="722"/>
      <c r="G501" s="1025"/>
      <c r="H501" s="690"/>
      <c r="I501" s="1030"/>
      <c r="J501" s="690"/>
      <c r="K501" s="1030"/>
      <c r="L501" s="690"/>
      <c r="M501" s="1025"/>
      <c r="N501" s="1030"/>
      <c r="O501" s="692">
        <f t="shared" si="59"/>
        <v>0</v>
      </c>
      <c r="P501" s="690"/>
      <c r="Q501" s="690"/>
      <c r="R501" s="691">
        <f t="shared" si="60"/>
        <v>0</v>
      </c>
      <c r="S501" s="692">
        <f t="shared" si="61"/>
        <v>0</v>
      </c>
      <c r="T501" s="693">
        <f t="shared" si="62"/>
        <v>0</v>
      </c>
      <c r="U501" s="1035"/>
      <c r="V501" s="690"/>
      <c r="W501" s="1025"/>
      <c r="X501" s="1030"/>
      <c r="Y501" s="694">
        <f t="shared" si="63"/>
        <v>0</v>
      </c>
      <c r="Z501" s="690"/>
      <c r="AA501" s="690"/>
      <c r="AB501" s="695">
        <f t="shared" si="64"/>
        <v>0</v>
      </c>
      <c r="AC501" s="1035"/>
      <c r="AD501" s="690"/>
      <c r="AE501" s="1025"/>
      <c r="AF501" s="1030"/>
      <c r="AG501" s="690"/>
      <c r="AH501" s="690"/>
      <c r="AI501" s="696">
        <f t="shared" si="65"/>
        <v>0</v>
      </c>
      <c r="AJ501" s="697">
        <f t="shared" si="66"/>
        <v>0</v>
      </c>
    </row>
    <row r="502" spans="1:36" s="700" customFormat="1" ht="12.75" customHeight="1">
      <c r="A502" s="719" t="s">
        <v>203</v>
      </c>
      <c r="B502" s="731" t="s">
        <v>442</v>
      </c>
      <c r="C502" s="732" t="s">
        <v>443</v>
      </c>
      <c r="D502" s="732"/>
      <c r="E502" s="721"/>
      <c r="F502" s="722"/>
      <c r="G502" s="1025"/>
      <c r="H502" s="690"/>
      <c r="I502" s="1030"/>
      <c r="J502" s="690"/>
      <c r="K502" s="1030"/>
      <c r="L502" s="690"/>
      <c r="M502" s="1025"/>
      <c r="N502" s="1030"/>
      <c r="O502" s="692">
        <f t="shared" si="59"/>
        <v>0</v>
      </c>
      <c r="P502" s="690"/>
      <c r="Q502" s="690"/>
      <c r="R502" s="691">
        <f t="shared" si="60"/>
        <v>0</v>
      </c>
      <c r="S502" s="692">
        <f t="shared" si="61"/>
        <v>0</v>
      </c>
      <c r="T502" s="693">
        <f t="shared" si="62"/>
        <v>0</v>
      </c>
      <c r="U502" s="1035"/>
      <c r="V502" s="690"/>
      <c r="W502" s="1025"/>
      <c r="X502" s="1030"/>
      <c r="Y502" s="694">
        <f t="shared" si="63"/>
        <v>0</v>
      </c>
      <c r="Z502" s="690"/>
      <c r="AA502" s="690"/>
      <c r="AB502" s="695">
        <f t="shared" si="64"/>
        <v>0</v>
      </c>
      <c r="AC502" s="1035"/>
      <c r="AD502" s="690"/>
      <c r="AE502" s="1025"/>
      <c r="AF502" s="1030"/>
      <c r="AG502" s="690"/>
      <c r="AH502" s="690"/>
      <c r="AI502" s="696">
        <f t="shared" si="65"/>
        <v>0</v>
      </c>
      <c r="AJ502" s="697">
        <f t="shared" si="66"/>
        <v>0</v>
      </c>
    </row>
    <row r="503" spans="1:36" s="700" customFormat="1" ht="12.75" customHeight="1">
      <c r="A503" s="719" t="s">
        <v>203</v>
      </c>
      <c r="B503" s="731" t="s">
        <v>379</v>
      </c>
      <c r="C503" s="732" t="s">
        <v>377</v>
      </c>
      <c r="D503" s="732"/>
      <c r="E503" s="721"/>
      <c r="F503" s="722"/>
      <c r="G503" s="1025"/>
      <c r="H503" s="690"/>
      <c r="I503" s="1030"/>
      <c r="J503" s="690"/>
      <c r="K503" s="1030"/>
      <c r="L503" s="690"/>
      <c r="M503" s="1025"/>
      <c r="N503" s="1030"/>
      <c r="O503" s="692">
        <f t="shared" si="59"/>
        <v>0</v>
      </c>
      <c r="P503" s="690"/>
      <c r="Q503" s="690"/>
      <c r="R503" s="691">
        <f t="shared" si="60"/>
        <v>0</v>
      </c>
      <c r="S503" s="692">
        <f t="shared" si="61"/>
        <v>0</v>
      </c>
      <c r="T503" s="693">
        <f t="shared" si="62"/>
        <v>0</v>
      </c>
      <c r="U503" s="1035">
        <v>200000</v>
      </c>
      <c r="V503" s="690">
        <v>200000</v>
      </c>
      <c r="W503" s="1025"/>
      <c r="X503" s="1030"/>
      <c r="Y503" s="694">
        <f t="shared" si="63"/>
        <v>0</v>
      </c>
      <c r="Z503" s="690"/>
      <c r="AA503" s="690"/>
      <c r="AB503" s="695">
        <f t="shared" si="64"/>
        <v>0</v>
      </c>
      <c r="AC503" s="1035"/>
      <c r="AD503" s="690"/>
      <c r="AE503" s="1025"/>
      <c r="AF503" s="1030"/>
      <c r="AG503" s="690"/>
      <c r="AH503" s="690"/>
      <c r="AI503" s="696">
        <f t="shared" si="65"/>
        <v>200000</v>
      </c>
      <c r="AJ503" s="697">
        <f t="shared" si="66"/>
        <v>200000</v>
      </c>
    </row>
    <row r="504" spans="1:36" s="700" customFormat="1" ht="12.75" customHeight="1">
      <c r="A504" s="719" t="s">
        <v>203</v>
      </c>
      <c r="B504" s="731" t="s">
        <v>295</v>
      </c>
      <c r="C504" s="732" t="s">
        <v>53</v>
      </c>
      <c r="D504" s="732"/>
      <c r="E504" s="721"/>
      <c r="F504" s="722"/>
      <c r="G504" s="1025"/>
      <c r="H504" s="690"/>
      <c r="I504" s="1030"/>
      <c r="J504" s="690"/>
      <c r="K504" s="1030"/>
      <c r="L504" s="690"/>
      <c r="M504" s="1025"/>
      <c r="N504" s="1030"/>
      <c r="O504" s="692">
        <f t="shared" si="59"/>
        <v>0</v>
      </c>
      <c r="P504" s="690"/>
      <c r="Q504" s="690"/>
      <c r="R504" s="691">
        <f t="shared" si="60"/>
        <v>0</v>
      </c>
      <c r="S504" s="692">
        <f t="shared" si="61"/>
        <v>0</v>
      </c>
      <c r="T504" s="693">
        <f t="shared" si="62"/>
        <v>0</v>
      </c>
      <c r="U504" s="1035"/>
      <c r="V504" s="690"/>
      <c r="W504" s="1025"/>
      <c r="X504" s="1030"/>
      <c r="Y504" s="694">
        <f t="shared" si="63"/>
        <v>0</v>
      </c>
      <c r="Z504" s="690"/>
      <c r="AA504" s="690"/>
      <c r="AB504" s="695">
        <f t="shared" si="64"/>
        <v>0</v>
      </c>
      <c r="AC504" s="1035"/>
      <c r="AD504" s="690"/>
      <c r="AE504" s="1025"/>
      <c r="AF504" s="1030"/>
      <c r="AG504" s="690"/>
      <c r="AH504" s="690"/>
      <c r="AI504" s="696">
        <f t="shared" si="65"/>
        <v>0</v>
      </c>
      <c r="AJ504" s="697">
        <f t="shared" si="66"/>
        <v>0</v>
      </c>
    </row>
    <row r="505" spans="1:36" s="700" customFormat="1" ht="12.75" customHeight="1">
      <c r="A505" s="719" t="s">
        <v>203</v>
      </c>
      <c r="B505" s="731" t="s">
        <v>296</v>
      </c>
      <c r="C505" s="732" t="s">
        <v>443</v>
      </c>
      <c r="D505" s="732"/>
      <c r="E505" s="721"/>
      <c r="F505" s="722"/>
      <c r="G505" s="1025"/>
      <c r="H505" s="690"/>
      <c r="I505" s="1030"/>
      <c r="J505" s="690"/>
      <c r="K505" s="1030"/>
      <c r="L505" s="690"/>
      <c r="M505" s="1025"/>
      <c r="N505" s="1030"/>
      <c r="O505" s="692">
        <f t="shared" si="59"/>
        <v>0</v>
      </c>
      <c r="P505" s="690"/>
      <c r="Q505" s="690"/>
      <c r="R505" s="691">
        <f t="shared" si="60"/>
        <v>0</v>
      </c>
      <c r="S505" s="692">
        <f t="shared" si="61"/>
        <v>0</v>
      </c>
      <c r="T505" s="693">
        <f t="shared" si="62"/>
        <v>0</v>
      </c>
      <c r="U505" s="1035"/>
      <c r="V505" s="690"/>
      <c r="W505" s="1025"/>
      <c r="X505" s="1030"/>
      <c r="Y505" s="694">
        <f t="shared" si="63"/>
        <v>0</v>
      </c>
      <c r="Z505" s="690"/>
      <c r="AA505" s="690"/>
      <c r="AB505" s="695">
        <f t="shared" si="64"/>
        <v>0</v>
      </c>
      <c r="AC505" s="1035"/>
      <c r="AD505" s="690"/>
      <c r="AE505" s="1025"/>
      <c r="AF505" s="1030"/>
      <c r="AG505" s="690"/>
      <c r="AH505" s="690"/>
      <c r="AI505" s="696">
        <f t="shared" si="65"/>
        <v>0</v>
      </c>
      <c r="AJ505" s="697">
        <f t="shared" si="66"/>
        <v>0</v>
      </c>
    </row>
    <row r="506" spans="1:36" s="700" customFormat="1" ht="12.75" customHeight="1">
      <c r="A506" s="719" t="s">
        <v>203</v>
      </c>
      <c r="B506" s="731" t="s">
        <v>278</v>
      </c>
      <c r="C506" s="732" t="s">
        <v>377</v>
      </c>
      <c r="D506" s="732"/>
      <c r="E506" s="721"/>
      <c r="F506" s="722"/>
      <c r="G506" s="1025"/>
      <c r="H506" s="690"/>
      <c r="I506" s="1030"/>
      <c r="J506" s="690"/>
      <c r="K506" s="1030"/>
      <c r="L506" s="690"/>
      <c r="M506" s="1025"/>
      <c r="N506" s="1030"/>
      <c r="O506" s="692">
        <f t="shared" si="59"/>
        <v>0</v>
      </c>
      <c r="P506" s="690"/>
      <c r="Q506" s="690"/>
      <c r="R506" s="691">
        <f t="shared" si="60"/>
        <v>0</v>
      </c>
      <c r="S506" s="692">
        <f t="shared" si="61"/>
        <v>0</v>
      </c>
      <c r="T506" s="693">
        <f t="shared" si="62"/>
        <v>0</v>
      </c>
      <c r="U506" s="1035"/>
      <c r="V506" s="690"/>
      <c r="W506" s="1025"/>
      <c r="X506" s="1030"/>
      <c r="Y506" s="694">
        <f t="shared" si="63"/>
        <v>0</v>
      </c>
      <c r="Z506" s="690"/>
      <c r="AA506" s="690"/>
      <c r="AB506" s="695">
        <f t="shared" si="64"/>
        <v>0</v>
      </c>
      <c r="AC506" s="1035"/>
      <c r="AD506" s="690"/>
      <c r="AE506" s="1025"/>
      <c r="AF506" s="1030"/>
      <c r="AG506" s="690"/>
      <c r="AH506" s="690"/>
      <c r="AI506" s="696">
        <f t="shared" si="65"/>
        <v>0</v>
      </c>
      <c r="AJ506" s="697">
        <f t="shared" si="66"/>
        <v>0</v>
      </c>
    </row>
    <row r="507" spans="1:36" s="700" customFormat="1" ht="12.75" customHeight="1">
      <c r="A507" s="719" t="s">
        <v>203</v>
      </c>
      <c r="B507" s="731" t="s">
        <v>279</v>
      </c>
      <c r="C507" s="732" t="s">
        <v>54</v>
      </c>
      <c r="D507" s="732"/>
      <c r="E507" s="721"/>
      <c r="F507" s="722"/>
      <c r="G507" s="1025"/>
      <c r="H507" s="690"/>
      <c r="I507" s="1030"/>
      <c r="J507" s="690"/>
      <c r="K507" s="1030"/>
      <c r="L507" s="690"/>
      <c r="M507" s="1025"/>
      <c r="N507" s="1030"/>
      <c r="O507" s="692">
        <f t="shared" si="59"/>
        <v>0</v>
      </c>
      <c r="P507" s="690"/>
      <c r="Q507" s="690"/>
      <c r="R507" s="691">
        <f t="shared" si="60"/>
        <v>0</v>
      </c>
      <c r="S507" s="692">
        <f t="shared" si="61"/>
        <v>0</v>
      </c>
      <c r="T507" s="693">
        <f t="shared" si="62"/>
        <v>0</v>
      </c>
      <c r="U507" s="1035"/>
      <c r="V507" s="690"/>
      <c r="W507" s="1025"/>
      <c r="X507" s="1030"/>
      <c r="Y507" s="694">
        <f t="shared" si="63"/>
        <v>0</v>
      </c>
      <c r="Z507" s="690"/>
      <c r="AA507" s="690"/>
      <c r="AB507" s="695">
        <f t="shared" si="64"/>
        <v>0</v>
      </c>
      <c r="AC507" s="1035"/>
      <c r="AD507" s="690"/>
      <c r="AE507" s="1025"/>
      <c r="AF507" s="1030"/>
      <c r="AG507" s="690"/>
      <c r="AH507" s="690"/>
      <c r="AI507" s="696">
        <f t="shared" si="65"/>
        <v>0</v>
      </c>
      <c r="AJ507" s="697">
        <f t="shared" si="66"/>
        <v>0</v>
      </c>
    </row>
    <row r="508" spans="1:36" s="700" customFormat="1" ht="12.75" customHeight="1">
      <c r="A508" s="719" t="s">
        <v>203</v>
      </c>
      <c r="B508" s="731" t="s">
        <v>317</v>
      </c>
      <c r="C508" s="732" t="s">
        <v>443</v>
      </c>
      <c r="D508" s="732"/>
      <c r="E508" s="721"/>
      <c r="F508" s="722"/>
      <c r="G508" s="1025"/>
      <c r="H508" s="690"/>
      <c r="I508" s="1030"/>
      <c r="J508" s="690"/>
      <c r="K508" s="1030"/>
      <c r="L508" s="690"/>
      <c r="M508" s="1025"/>
      <c r="N508" s="1030"/>
      <c r="O508" s="692">
        <f t="shared" si="59"/>
        <v>0</v>
      </c>
      <c r="P508" s="690"/>
      <c r="Q508" s="690"/>
      <c r="R508" s="691">
        <f t="shared" si="60"/>
        <v>0</v>
      </c>
      <c r="S508" s="692">
        <f t="shared" si="61"/>
        <v>0</v>
      </c>
      <c r="T508" s="693">
        <f t="shared" si="62"/>
        <v>0</v>
      </c>
      <c r="U508" s="1035"/>
      <c r="V508" s="690"/>
      <c r="W508" s="1025"/>
      <c r="X508" s="1030"/>
      <c r="Y508" s="694">
        <f t="shared" si="63"/>
        <v>0</v>
      </c>
      <c r="Z508" s="690"/>
      <c r="AA508" s="690"/>
      <c r="AB508" s="695">
        <f t="shared" si="64"/>
        <v>0</v>
      </c>
      <c r="AC508" s="1035"/>
      <c r="AD508" s="690"/>
      <c r="AE508" s="1025"/>
      <c r="AF508" s="1030"/>
      <c r="AG508" s="690"/>
      <c r="AH508" s="690"/>
      <c r="AI508" s="696">
        <f t="shared" si="65"/>
        <v>0</v>
      </c>
      <c r="AJ508" s="697">
        <f t="shared" si="66"/>
        <v>0</v>
      </c>
    </row>
    <row r="509" spans="1:36" s="700" customFormat="1" ht="12.75" customHeight="1">
      <c r="A509" s="719" t="s">
        <v>203</v>
      </c>
      <c r="B509" s="731" t="s">
        <v>318</v>
      </c>
      <c r="C509" s="732" t="s">
        <v>377</v>
      </c>
      <c r="D509" s="732"/>
      <c r="E509" s="721"/>
      <c r="F509" s="722"/>
      <c r="G509" s="1025"/>
      <c r="H509" s="690"/>
      <c r="I509" s="1030"/>
      <c r="J509" s="690"/>
      <c r="K509" s="1030"/>
      <c r="L509" s="690"/>
      <c r="M509" s="1025"/>
      <c r="N509" s="1030"/>
      <c r="O509" s="692">
        <f t="shared" si="59"/>
        <v>0</v>
      </c>
      <c r="P509" s="690"/>
      <c r="Q509" s="690"/>
      <c r="R509" s="691">
        <f t="shared" si="60"/>
        <v>0</v>
      </c>
      <c r="S509" s="692">
        <f t="shared" si="61"/>
        <v>0</v>
      </c>
      <c r="T509" s="693">
        <f t="shared" si="62"/>
        <v>0</v>
      </c>
      <c r="U509" s="1035"/>
      <c r="V509" s="690"/>
      <c r="W509" s="1025"/>
      <c r="X509" s="1030"/>
      <c r="Y509" s="694">
        <f t="shared" si="63"/>
        <v>0</v>
      </c>
      <c r="Z509" s="690"/>
      <c r="AA509" s="690"/>
      <c r="AB509" s="695">
        <f t="shared" si="64"/>
        <v>0</v>
      </c>
      <c r="AC509" s="1035"/>
      <c r="AD509" s="690"/>
      <c r="AE509" s="1025"/>
      <c r="AF509" s="1030"/>
      <c r="AG509" s="690"/>
      <c r="AH509" s="690"/>
      <c r="AI509" s="696">
        <f t="shared" si="65"/>
        <v>0</v>
      </c>
      <c r="AJ509" s="697">
        <f t="shared" si="66"/>
        <v>0</v>
      </c>
    </row>
    <row r="510" spans="1:36" s="700" customFormat="1" ht="12.75" customHeight="1">
      <c r="A510" s="719" t="s">
        <v>203</v>
      </c>
      <c r="B510" s="719" t="s">
        <v>420</v>
      </c>
      <c r="C510" s="730" t="s">
        <v>659</v>
      </c>
      <c r="D510" s="730"/>
      <c r="E510" s="721"/>
      <c r="F510" s="722"/>
      <c r="G510" s="1025"/>
      <c r="H510" s="690"/>
      <c r="I510" s="1030"/>
      <c r="J510" s="690"/>
      <c r="K510" s="1030"/>
      <c r="L510" s="690"/>
      <c r="M510" s="1025"/>
      <c r="N510" s="1030"/>
      <c r="O510" s="692">
        <f t="shared" si="59"/>
        <v>0</v>
      </c>
      <c r="P510" s="690"/>
      <c r="Q510" s="690"/>
      <c r="R510" s="691">
        <f t="shared" si="60"/>
        <v>0</v>
      </c>
      <c r="S510" s="692">
        <f t="shared" si="61"/>
        <v>0</v>
      </c>
      <c r="T510" s="693">
        <f t="shared" si="62"/>
        <v>0</v>
      </c>
      <c r="U510" s="1035"/>
      <c r="V510" s="690"/>
      <c r="W510" s="1025"/>
      <c r="X510" s="1030"/>
      <c r="Y510" s="694">
        <f t="shared" si="63"/>
        <v>0</v>
      </c>
      <c r="Z510" s="690"/>
      <c r="AA510" s="690"/>
      <c r="AB510" s="695">
        <f t="shared" si="64"/>
        <v>0</v>
      </c>
      <c r="AC510" s="1035"/>
      <c r="AD510" s="690"/>
      <c r="AE510" s="1025"/>
      <c r="AF510" s="1030"/>
      <c r="AG510" s="690"/>
      <c r="AH510" s="690"/>
      <c r="AI510" s="696">
        <f t="shared" si="65"/>
        <v>0</v>
      </c>
      <c r="AJ510" s="697">
        <f t="shared" si="66"/>
        <v>0</v>
      </c>
    </row>
    <row r="511" spans="1:36" s="700" customFormat="1" ht="12.75" customHeight="1">
      <c r="A511" s="719" t="s">
        <v>203</v>
      </c>
      <c r="B511" s="731" t="s">
        <v>295</v>
      </c>
      <c r="C511" s="732" t="s">
        <v>53</v>
      </c>
      <c r="D511" s="732"/>
      <c r="E511" s="721"/>
      <c r="F511" s="722"/>
      <c r="G511" s="1025"/>
      <c r="H511" s="690"/>
      <c r="I511" s="1030"/>
      <c r="J511" s="690"/>
      <c r="K511" s="1030"/>
      <c r="L511" s="690"/>
      <c r="M511" s="1025"/>
      <c r="N511" s="1030"/>
      <c r="O511" s="692">
        <f t="shared" si="59"/>
        <v>0</v>
      </c>
      <c r="P511" s="690"/>
      <c r="Q511" s="690"/>
      <c r="R511" s="691">
        <f t="shared" si="60"/>
        <v>0</v>
      </c>
      <c r="S511" s="692">
        <f t="shared" si="61"/>
        <v>0</v>
      </c>
      <c r="T511" s="693">
        <f t="shared" si="62"/>
        <v>0</v>
      </c>
      <c r="U511" s="1035"/>
      <c r="V511" s="690"/>
      <c r="W511" s="1025"/>
      <c r="X511" s="1030"/>
      <c r="Y511" s="694">
        <f t="shared" si="63"/>
        <v>0</v>
      </c>
      <c r="Z511" s="690"/>
      <c r="AA511" s="690"/>
      <c r="AB511" s="695">
        <f t="shared" si="64"/>
        <v>0</v>
      </c>
      <c r="AC511" s="1035"/>
      <c r="AD511" s="690"/>
      <c r="AE511" s="1025"/>
      <c r="AF511" s="1030"/>
      <c r="AG511" s="690"/>
      <c r="AH511" s="690"/>
      <c r="AI511" s="696">
        <f t="shared" si="65"/>
        <v>0</v>
      </c>
      <c r="AJ511" s="697">
        <f t="shared" si="66"/>
        <v>0</v>
      </c>
    </row>
    <row r="512" spans="1:36" s="700" customFormat="1" ht="12.75" customHeight="1">
      <c r="A512" s="719" t="s">
        <v>203</v>
      </c>
      <c r="B512" s="731" t="s">
        <v>296</v>
      </c>
      <c r="C512" s="732" t="s">
        <v>443</v>
      </c>
      <c r="D512" s="732"/>
      <c r="E512" s="721"/>
      <c r="F512" s="722"/>
      <c r="G512" s="1025"/>
      <c r="H512" s="690"/>
      <c r="I512" s="1030"/>
      <c r="J512" s="690"/>
      <c r="K512" s="1030"/>
      <c r="L512" s="690"/>
      <c r="M512" s="1025"/>
      <c r="N512" s="1030"/>
      <c r="O512" s="692">
        <f t="shared" si="59"/>
        <v>0</v>
      </c>
      <c r="P512" s="690"/>
      <c r="Q512" s="690"/>
      <c r="R512" s="691">
        <f t="shared" si="60"/>
        <v>0</v>
      </c>
      <c r="S512" s="692">
        <f t="shared" si="61"/>
        <v>0</v>
      </c>
      <c r="T512" s="693">
        <f t="shared" si="62"/>
        <v>0</v>
      </c>
      <c r="U512" s="1035"/>
      <c r="V512" s="690"/>
      <c r="W512" s="1025"/>
      <c r="X512" s="1030"/>
      <c r="Y512" s="694">
        <f t="shared" si="63"/>
        <v>0</v>
      </c>
      <c r="Z512" s="690"/>
      <c r="AA512" s="690"/>
      <c r="AB512" s="695">
        <f t="shared" si="64"/>
        <v>0</v>
      </c>
      <c r="AC512" s="1035"/>
      <c r="AD512" s="690"/>
      <c r="AE512" s="1025"/>
      <c r="AF512" s="1030"/>
      <c r="AG512" s="690"/>
      <c r="AH512" s="690"/>
      <c r="AI512" s="696">
        <f t="shared" si="65"/>
        <v>0</v>
      </c>
      <c r="AJ512" s="697">
        <f t="shared" si="66"/>
        <v>0</v>
      </c>
    </row>
    <row r="513" spans="1:36" s="700" customFormat="1" ht="12.75" customHeight="1">
      <c r="A513" s="719" t="s">
        <v>203</v>
      </c>
      <c r="B513" s="731" t="s">
        <v>278</v>
      </c>
      <c r="C513" s="732" t="s">
        <v>377</v>
      </c>
      <c r="D513" s="732"/>
      <c r="E513" s="721"/>
      <c r="F513" s="722"/>
      <c r="G513" s="1025"/>
      <c r="H513" s="690"/>
      <c r="I513" s="1030"/>
      <c r="J513" s="690"/>
      <c r="K513" s="1030"/>
      <c r="L513" s="690"/>
      <c r="M513" s="1025"/>
      <c r="N513" s="1030"/>
      <c r="O513" s="692">
        <f t="shared" si="59"/>
        <v>0</v>
      </c>
      <c r="P513" s="690"/>
      <c r="Q513" s="690"/>
      <c r="R513" s="691">
        <f t="shared" si="60"/>
        <v>0</v>
      </c>
      <c r="S513" s="692">
        <f t="shared" si="61"/>
        <v>0</v>
      </c>
      <c r="T513" s="693">
        <f t="shared" si="62"/>
        <v>0</v>
      </c>
      <c r="U513" s="1035">
        <v>122625</v>
      </c>
      <c r="V513" s="690">
        <v>130000</v>
      </c>
      <c r="W513" s="1025"/>
      <c r="X513" s="1030"/>
      <c r="Y513" s="694">
        <f t="shared" si="63"/>
        <v>0</v>
      </c>
      <c r="Z513" s="690"/>
      <c r="AA513" s="690"/>
      <c r="AB513" s="695">
        <f t="shared" si="64"/>
        <v>0</v>
      </c>
      <c r="AC513" s="1035"/>
      <c r="AD513" s="690"/>
      <c r="AE513" s="1025"/>
      <c r="AF513" s="1030"/>
      <c r="AG513" s="690"/>
      <c r="AH513" s="690"/>
      <c r="AI513" s="696">
        <f t="shared" si="65"/>
        <v>122625</v>
      </c>
      <c r="AJ513" s="697">
        <f t="shared" si="66"/>
        <v>130000</v>
      </c>
    </row>
    <row r="514" spans="1:36" s="700" customFormat="1" ht="12.75" customHeight="1">
      <c r="A514" s="719" t="s">
        <v>203</v>
      </c>
      <c r="B514" s="731" t="s">
        <v>279</v>
      </c>
      <c r="C514" s="732" t="s">
        <v>54</v>
      </c>
      <c r="D514" s="732"/>
      <c r="E514" s="721"/>
      <c r="F514" s="722"/>
      <c r="G514" s="1025"/>
      <c r="H514" s="690"/>
      <c r="I514" s="1030"/>
      <c r="J514" s="690"/>
      <c r="K514" s="1030"/>
      <c r="L514" s="690"/>
      <c r="M514" s="1025"/>
      <c r="N514" s="1030"/>
      <c r="O514" s="692">
        <f t="shared" si="59"/>
        <v>0</v>
      </c>
      <c r="P514" s="690"/>
      <c r="Q514" s="690"/>
      <c r="R514" s="691">
        <f t="shared" si="60"/>
        <v>0</v>
      </c>
      <c r="S514" s="692">
        <f t="shared" si="61"/>
        <v>0</v>
      </c>
      <c r="T514" s="693">
        <f t="shared" si="62"/>
        <v>0</v>
      </c>
      <c r="U514" s="1035"/>
      <c r="V514" s="690"/>
      <c r="W514" s="1025"/>
      <c r="X514" s="1030"/>
      <c r="Y514" s="694">
        <f t="shared" si="63"/>
        <v>0</v>
      </c>
      <c r="Z514" s="690"/>
      <c r="AA514" s="690"/>
      <c r="AB514" s="695">
        <f t="shared" si="64"/>
        <v>0</v>
      </c>
      <c r="AC514" s="1035"/>
      <c r="AD514" s="690"/>
      <c r="AE514" s="1025"/>
      <c r="AF514" s="1030"/>
      <c r="AG514" s="690"/>
      <c r="AH514" s="690"/>
      <c r="AI514" s="696">
        <f t="shared" si="65"/>
        <v>0</v>
      </c>
      <c r="AJ514" s="697">
        <f t="shared" si="66"/>
        <v>0</v>
      </c>
    </row>
    <row r="515" spans="1:36" s="700" customFormat="1" ht="12.75" customHeight="1">
      <c r="A515" s="719" t="s">
        <v>203</v>
      </c>
      <c r="B515" s="731" t="s">
        <v>317</v>
      </c>
      <c r="C515" s="732" t="s">
        <v>443</v>
      </c>
      <c r="D515" s="732"/>
      <c r="E515" s="721"/>
      <c r="F515" s="722"/>
      <c r="G515" s="1025"/>
      <c r="H515" s="690"/>
      <c r="I515" s="1030"/>
      <c r="J515" s="690"/>
      <c r="K515" s="1030"/>
      <c r="L515" s="690"/>
      <c r="M515" s="1025"/>
      <c r="N515" s="1030"/>
      <c r="O515" s="692">
        <f t="shared" si="59"/>
        <v>0</v>
      </c>
      <c r="P515" s="690"/>
      <c r="Q515" s="690"/>
      <c r="R515" s="691">
        <f t="shared" si="60"/>
        <v>0</v>
      </c>
      <c r="S515" s="692">
        <f t="shared" si="61"/>
        <v>0</v>
      </c>
      <c r="T515" s="693">
        <f t="shared" si="62"/>
        <v>0</v>
      </c>
      <c r="U515" s="1035"/>
      <c r="V515" s="690"/>
      <c r="W515" s="1025"/>
      <c r="X515" s="1030"/>
      <c r="Y515" s="694">
        <f t="shared" si="63"/>
        <v>0</v>
      </c>
      <c r="Z515" s="690"/>
      <c r="AA515" s="690"/>
      <c r="AB515" s="695">
        <f t="shared" si="64"/>
        <v>0</v>
      </c>
      <c r="AC515" s="1035"/>
      <c r="AD515" s="690"/>
      <c r="AE515" s="1025"/>
      <c r="AF515" s="1030"/>
      <c r="AG515" s="690"/>
      <c r="AH515" s="690"/>
      <c r="AI515" s="696">
        <f t="shared" si="65"/>
        <v>0</v>
      </c>
      <c r="AJ515" s="697">
        <f t="shared" si="66"/>
        <v>0</v>
      </c>
    </row>
    <row r="516" spans="1:36" s="700" customFormat="1" ht="12.75" customHeight="1">
      <c r="A516" s="719" t="s">
        <v>203</v>
      </c>
      <c r="B516" s="731" t="s">
        <v>318</v>
      </c>
      <c r="C516" s="732" t="s">
        <v>377</v>
      </c>
      <c r="D516" s="732"/>
      <c r="E516" s="721"/>
      <c r="F516" s="722"/>
      <c r="G516" s="1025"/>
      <c r="H516" s="690"/>
      <c r="I516" s="1030"/>
      <c r="J516" s="690"/>
      <c r="K516" s="1030"/>
      <c r="L516" s="690"/>
      <c r="M516" s="1025"/>
      <c r="N516" s="1030"/>
      <c r="O516" s="692">
        <f t="shared" si="59"/>
        <v>0</v>
      </c>
      <c r="P516" s="690"/>
      <c r="Q516" s="690"/>
      <c r="R516" s="691">
        <f t="shared" si="60"/>
        <v>0</v>
      </c>
      <c r="S516" s="692">
        <f t="shared" si="61"/>
        <v>0</v>
      </c>
      <c r="T516" s="693">
        <f t="shared" si="62"/>
        <v>0</v>
      </c>
      <c r="U516" s="1035">
        <v>0</v>
      </c>
      <c r="V516" s="690">
        <v>5000</v>
      </c>
      <c r="W516" s="1025"/>
      <c r="X516" s="1030"/>
      <c r="Y516" s="694">
        <f t="shared" si="63"/>
        <v>0</v>
      </c>
      <c r="Z516" s="690"/>
      <c r="AA516" s="690"/>
      <c r="AB516" s="695">
        <f t="shared" si="64"/>
        <v>0</v>
      </c>
      <c r="AC516" s="1035"/>
      <c r="AD516" s="690"/>
      <c r="AE516" s="1025"/>
      <c r="AF516" s="1030"/>
      <c r="AG516" s="690"/>
      <c r="AH516" s="690"/>
      <c r="AI516" s="696">
        <f t="shared" si="65"/>
        <v>0</v>
      </c>
      <c r="AJ516" s="697">
        <f t="shared" si="66"/>
        <v>5000</v>
      </c>
    </row>
    <row r="517" spans="1:36" s="700" customFormat="1" ht="12.75" customHeight="1">
      <c r="A517" s="719" t="s">
        <v>203</v>
      </c>
      <c r="B517" s="719" t="s">
        <v>420</v>
      </c>
      <c r="C517" s="730" t="s">
        <v>660</v>
      </c>
      <c r="D517" s="730"/>
      <c r="E517" s="734"/>
      <c r="F517" s="735"/>
      <c r="G517" s="1025"/>
      <c r="H517" s="690"/>
      <c r="I517" s="1030"/>
      <c r="J517" s="690"/>
      <c r="K517" s="1030"/>
      <c r="L517" s="690"/>
      <c r="M517" s="1025"/>
      <c r="N517" s="1030"/>
      <c r="O517" s="692">
        <f t="shared" si="59"/>
        <v>0</v>
      </c>
      <c r="P517" s="690"/>
      <c r="Q517" s="690"/>
      <c r="R517" s="691">
        <f t="shared" si="60"/>
        <v>0</v>
      </c>
      <c r="S517" s="692">
        <f t="shared" si="61"/>
        <v>0</v>
      </c>
      <c r="T517" s="693">
        <f t="shared" si="62"/>
        <v>0</v>
      </c>
      <c r="U517" s="1035"/>
      <c r="V517" s="690"/>
      <c r="W517" s="1025"/>
      <c r="X517" s="1030"/>
      <c r="Y517" s="694">
        <f t="shared" si="63"/>
        <v>0</v>
      </c>
      <c r="Z517" s="690"/>
      <c r="AA517" s="690"/>
      <c r="AB517" s="695">
        <f t="shared" si="64"/>
        <v>0</v>
      </c>
      <c r="AC517" s="1035"/>
      <c r="AD517" s="690"/>
      <c r="AE517" s="1025"/>
      <c r="AF517" s="1030"/>
      <c r="AG517" s="690"/>
      <c r="AH517" s="690"/>
      <c r="AI517" s="696">
        <f t="shared" si="65"/>
        <v>0</v>
      </c>
      <c r="AJ517" s="697">
        <f t="shared" si="66"/>
        <v>0</v>
      </c>
    </row>
    <row r="518" spans="1:36" s="700" customFormat="1" ht="12.75" customHeight="1">
      <c r="A518" s="719" t="s">
        <v>203</v>
      </c>
      <c r="B518" s="736" t="s">
        <v>295</v>
      </c>
      <c r="C518" s="732" t="s">
        <v>53</v>
      </c>
      <c r="D518" s="732"/>
      <c r="E518" s="734"/>
      <c r="F518" s="735"/>
      <c r="G518" s="1025"/>
      <c r="H518" s="690"/>
      <c r="I518" s="1030"/>
      <c r="J518" s="690"/>
      <c r="K518" s="1030"/>
      <c r="L518" s="690"/>
      <c r="M518" s="1025"/>
      <c r="N518" s="1030"/>
      <c r="O518" s="692">
        <f t="shared" si="59"/>
        <v>0</v>
      </c>
      <c r="P518" s="690"/>
      <c r="Q518" s="690"/>
      <c r="R518" s="691">
        <f t="shared" si="60"/>
        <v>0</v>
      </c>
      <c r="S518" s="692">
        <f t="shared" si="61"/>
        <v>0</v>
      </c>
      <c r="T518" s="693">
        <f t="shared" si="62"/>
        <v>0</v>
      </c>
      <c r="U518" s="1035"/>
      <c r="V518" s="690"/>
      <c r="W518" s="1025"/>
      <c r="X518" s="1030"/>
      <c r="Y518" s="694">
        <f t="shared" si="63"/>
        <v>0</v>
      </c>
      <c r="Z518" s="690"/>
      <c r="AA518" s="690"/>
      <c r="AB518" s="695">
        <f t="shared" si="64"/>
        <v>0</v>
      </c>
      <c r="AC518" s="1035"/>
      <c r="AD518" s="690"/>
      <c r="AE518" s="1025"/>
      <c r="AF518" s="1030"/>
      <c r="AG518" s="690"/>
      <c r="AH518" s="690"/>
      <c r="AI518" s="696">
        <f t="shared" si="65"/>
        <v>0</v>
      </c>
      <c r="AJ518" s="697">
        <f t="shared" si="66"/>
        <v>0</v>
      </c>
    </row>
    <row r="519" spans="1:36" s="700" customFormat="1" ht="12.75" customHeight="1">
      <c r="A519" s="719" t="s">
        <v>203</v>
      </c>
      <c r="B519" s="731" t="s">
        <v>296</v>
      </c>
      <c r="C519" s="732" t="s">
        <v>443</v>
      </c>
      <c r="D519" s="732"/>
      <c r="E519" s="734"/>
      <c r="F519" s="735"/>
      <c r="G519" s="1025"/>
      <c r="H519" s="690"/>
      <c r="I519" s="1030"/>
      <c r="J519" s="690"/>
      <c r="K519" s="1030"/>
      <c r="L519" s="690"/>
      <c r="M519" s="1025"/>
      <c r="N519" s="1030"/>
      <c r="O519" s="692">
        <f t="shared" si="59"/>
        <v>0</v>
      </c>
      <c r="P519" s="690"/>
      <c r="Q519" s="690"/>
      <c r="R519" s="691">
        <f t="shared" si="60"/>
        <v>0</v>
      </c>
      <c r="S519" s="692">
        <f t="shared" si="61"/>
        <v>0</v>
      </c>
      <c r="T519" s="693">
        <f t="shared" si="62"/>
        <v>0</v>
      </c>
      <c r="U519" s="1035">
        <v>4025698</v>
      </c>
      <c r="V519" s="690">
        <v>4000000</v>
      </c>
      <c r="W519" s="1025"/>
      <c r="X519" s="1030"/>
      <c r="Y519" s="694">
        <f t="shared" si="63"/>
        <v>0</v>
      </c>
      <c r="Z519" s="690"/>
      <c r="AA519" s="690"/>
      <c r="AB519" s="695">
        <f t="shared" si="64"/>
        <v>0</v>
      </c>
      <c r="AC519" s="1035"/>
      <c r="AD519" s="690"/>
      <c r="AE519" s="1025"/>
      <c r="AF519" s="1030"/>
      <c r="AG519" s="690"/>
      <c r="AH519" s="690"/>
      <c r="AI519" s="696">
        <f t="shared" si="65"/>
        <v>4025698</v>
      </c>
      <c r="AJ519" s="697">
        <f t="shared" si="66"/>
        <v>4000000</v>
      </c>
    </row>
    <row r="520" spans="1:36" s="700" customFormat="1" ht="12.75" customHeight="1">
      <c r="A520" s="719" t="s">
        <v>203</v>
      </c>
      <c r="B520" s="731" t="s">
        <v>278</v>
      </c>
      <c r="C520" s="732" t="s">
        <v>377</v>
      </c>
      <c r="D520" s="732"/>
      <c r="E520" s="734"/>
      <c r="F520" s="735"/>
      <c r="G520" s="1025"/>
      <c r="H520" s="690"/>
      <c r="I520" s="1030"/>
      <c r="J520" s="690"/>
      <c r="K520" s="1030"/>
      <c r="L520" s="690"/>
      <c r="M520" s="1025"/>
      <c r="N520" s="1030"/>
      <c r="O520" s="692">
        <f t="shared" si="59"/>
        <v>0</v>
      </c>
      <c r="P520" s="690"/>
      <c r="Q520" s="690"/>
      <c r="R520" s="691">
        <f t="shared" si="60"/>
        <v>0</v>
      </c>
      <c r="S520" s="692">
        <f t="shared" si="61"/>
        <v>0</v>
      </c>
      <c r="T520" s="693">
        <f t="shared" si="62"/>
        <v>0</v>
      </c>
      <c r="U520" s="1035"/>
      <c r="V520" s="690"/>
      <c r="W520" s="1025"/>
      <c r="X520" s="1030"/>
      <c r="Y520" s="694">
        <f t="shared" si="63"/>
        <v>0</v>
      </c>
      <c r="Z520" s="690"/>
      <c r="AA520" s="690"/>
      <c r="AB520" s="695">
        <f t="shared" si="64"/>
        <v>0</v>
      </c>
      <c r="AC520" s="1035"/>
      <c r="AD520" s="690"/>
      <c r="AE520" s="1025"/>
      <c r="AF520" s="1030"/>
      <c r="AG520" s="690"/>
      <c r="AH520" s="690"/>
      <c r="AI520" s="696">
        <f t="shared" si="65"/>
        <v>0</v>
      </c>
      <c r="AJ520" s="697">
        <f t="shared" si="66"/>
        <v>0</v>
      </c>
    </row>
    <row r="521" spans="1:36" s="700" customFormat="1" ht="12.75" customHeight="1">
      <c r="A521" s="719" t="s">
        <v>203</v>
      </c>
      <c r="B521" s="731" t="s">
        <v>279</v>
      </c>
      <c r="C521" s="732" t="s">
        <v>54</v>
      </c>
      <c r="D521" s="732"/>
      <c r="E521" s="734" t="s">
        <v>131</v>
      </c>
      <c r="F521" s="735"/>
      <c r="G521" s="1025"/>
      <c r="H521" s="690"/>
      <c r="I521" s="1030"/>
      <c r="J521" s="690"/>
      <c r="K521" s="1030"/>
      <c r="L521" s="690"/>
      <c r="M521" s="1025"/>
      <c r="N521" s="1030"/>
      <c r="O521" s="692">
        <f t="shared" si="59"/>
        <v>0</v>
      </c>
      <c r="P521" s="690"/>
      <c r="Q521" s="690"/>
      <c r="R521" s="691">
        <f t="shared" si="60"/>
        <v>0</v>
      </c>
      <c r="S521" s="692">
        <f t="shared" si="61"/>
        <v>0</v>
      </c>
      <c r="T521" s="693">
        <f t="shared" si="62"/>
        <v>0</v>
      </c>
      <c r="U521" s="1035"/>
      <c r="V521" s="690"/>
      <c r="W521" s="1025"/>
      <c r="X521" s="1030"/>
      <c r="Y521" s="694">
        <f t="shared" si="63"/>
        <v>0</v>
      </c>
      <c r="Z521" s="690"/>
      <c r="AA521" s="690"/>
      <c r="AB521" s="695">
        <f t="shared" si="64"/>
        <v>0</v>
      </c>
      <c r="AC521" s="1035"/>
      <c r="AD521" s="690"/>
      <c r="AE521" s="1025"/>
      <c r="AF521" s="1030"/>
      <c r="AG521" s="690"/>
      <c r="AH521" s="690"/>
      <c r="AI521" s="696">
        <f t="shared" si="65"/>
        <v>0</v>
      </c>
      <c r="AJ521" s="697">
        <f t="shared" si="66"/>
        <v>0</v>
      </c>
    </row>
    <row r="522" spans="1:36" s="700" customFormat="1" ht="12.75" customHeight="1">
      <c r="A522" s="719" t="s">
        <v>203</v>
      </c>
      <c r="B522" s="731" t="s">
        <v>317</v>
      </c>
      <c r="C522" s="732" t="s">
        <v>443</v>
      </c>
      <c r="D522" s="732"/>
      <c r="E522" s="734"/>
      <c r="F522" s="735"/>
      <c r="G522" s="1025"/>
      <c r="H522" s="690"/>
      <c r="I522" s="1030"/>
      <c r="J522" s="690"/>
      <c r="K522" s="1030"/>
      <c r="L522" s="690"/>
      <c r="M522" s="1025"/>
      <c r="N522" s="1030"/>
      <c r="O522" s="692">
        <f t="shared" ref="O522:O585" si="67">SUM(M522:N522)</f>
        <v>0</v>
      </c>
      <c r="P522" s="690"/>
      <c r="Q522" s="690"/>
      <c r="R522" s="691">
        <f t="shared" ref="R522:R585" si="68">SUM(P522:Q522)</f>
        <v>0</v>
      </c>
      <c r="S522" s="692">
        <f t="shared" ref="S522:S585" si="69">SUM(G522,I522,K522,M522)</f>
        <v>0</v>
      </c>
      <c r="T522" s="693">
        <f t="shared" ref="T522:T585" si="70">SUM(H522,J522,L522,P522)</f>
        <v>0</v>
      </c>
      <c r="U522" s="1035">
        <v>204487</v>
      </c>
      <c r="V522" s="690">
        <v>250000</v>
      </c>
      <c r="W522" s="1025"/>
      <c r="X522" s="1030"/>
      <c r="Y522" s="694">
        <f t="shared" ref="Y522:Y585" si="71">SUM(W522:X522)</f>
        <v>0</v>
      </c>
      <c r="Z522" s="690"/>
      <c r="AA522" s="690"/>
      <c r="AB522" s="695">
        <f t="shared" ref="AB522:AB585" si="72">SUM(Z522:AA522)</f>
        <v>0</v>
      </c>
      <c r="AC522" s="1035"/>
      <c r="AD522" s="690"/>
      <c r="AE522" s="1025"/>
      <c r="AF522" s="1030"/>
      <c r="AG522" s="690"/>
      <c r="AH522" s="690"/>
      <c r="AI522" s="696">
        <f t="shared" ref="AI522:AI585" si="73">SUM(S522,U522,W522,AC522,AE522)</f>
        <v>204487</v>
      </c>
      <c r="AJ522" s="697">
        <f t="shared" ref="AJ522:AJ585" si="74">SUM(T522,V522,Z522,AD522,AG522)</f>
        <v>250000</v>
      </c>
    </row>
    <row r="523" spans="1:36" s="700" customFormat="1" ht="12.75" customHeight="1">
      <c r="A523" s="719" t="s">
        <v>203</v>
      </c>
      <c r="B523" s="731" t="s">
        <v>318</v>
      </c>
      <c r="C523" s="732" t="s">
        <v>377</v>
      </c>
      <c r="D523" s="732"/>
      <c r="E523" s="734"/>
      <c r="F523" s="735"/>
      <c r="G523" s="1025"/>
      <c r="H523" s="690"/>
      <c r="I523" s="1030"/>
      <c r="J523" s="690"/>
      <c r="K523" s="1030"/>
      <c r="L523" s="690"/>
      <c r="M523" s="1025"/>
      <c r="N523" s="1030"/>
      <c r="O523" s="692">
        <f t="shared" si="67"/>
        <v>0</v>
      </c>
      <c r="P523" s="690"/>
      <c r="Q523" s="690"/>
      <c r="R523" s="691">
        <f t="shared" si="68"/>
        <v>0</v>
      </c>
      <c r="S523" s="692">
        <f t="shared" si="69"/>
        <v>0</v>
      </c>
      <c r="T523" s="693">
        <f t="shared" si="70"/>
        <v>0</v>
      </c>
      <c r="U523" s="1035"/>
      <c r="V523" s="690"/>
      <c r="W523" s="1025"/>
      <c r="X523" s="1030"/>
      <c r="Y523" s="694">
        <f t="shared" si="71"/>
        <v>0</v>
      </c>
      <c r="Z523" s="690"/>
      <c r="AA523" s="690"/>
      <c r="AB523" s="695">
        <f t="shared" si="72"/>
        <v>0</v>
      </c>
      <c r="AC523" s="1035"/>
      <c r="AD523" s="690"/>
      <c r="AE523" s="1025"/>
      <c r="AF523" s="1030"/>
      <c r="AG523" s="690"/>
      <c r="AH523" s="690"/>
      <c r="AI523" s="696">
        <f t="shared" si="73"/>
        <v>0</v>
      </c>
      <c r="AJ523" s="697">
        <f t="shared" si="74"/>
        <v>0</v>
      </c>
    </row>
    <row r="524" spans="1:36" s="700" customFormat="1" ht="12.75" customHeight="1">
      <c r="A524" s="719" t="s">
        <v>203</v>
      </c>
      <c r="B524" s="719" t="s">
        <v>420</v>
      </c>
      <c r="C524" s="730" t="s">
        <v>661</v>
      </c>
      <c r="D524" s="730"/>
      <c r="E524" s="734"/>
      <c r="F524" s="735"/>
      <c r="G524" s="1025"/>
      <c r="H524" s="690"/>
      <c r="I524" s="1030"/>
      <c r="J524" s="690"/>
      <c r="K524" s="1030"/>
      <c r="L524" s="690"/>
      <c r="M524" s="1025"/>
      <c r="N524" s="1030"/>
      <c r="O524" s="692">
        <f t="shared" si="67"/>
        <v>0</v>
      </c>
      <c r="P524" s="690"/>
      <c r="Q524" s="690"/>
      <c r="R524" s="691">
        <f t="shared" si="68"/>
        <v>0</v>
      </c>
      <c r="S524" s="692">
        <f t="shared" si="69"/>
        <v>0</v>
      </c>
      <c r="T524" s="693">
        <f t="shared" si="70"/>
        <v>0</v>
      </c>
      <c r="U524" s="1035"/>
      <c r="V524" s="690"/>
      <c r="W524" s="1025"/>
      <c r="X524" s="1030"/>
      <c r="Y524" s="694">
        <f t="shared" si="71"/>
        <v>0</v>
      </c>
      <c r="Z524" s="690"/>
      <c r="AA524" s="690"/>
      <c r="AB524" s="695">
        <f t="shared" si="72"/>
        <v>0</v>
      </c>
      <c r="AC524" s="1035"/>
      <c r="AD524" s="690"/>
      <c r="AE524" s="1025"/>
      <c r="AF524" s="1030"/>
      <c r="AG524" s="690"/>
      <c r="AH524" s="690"/>
      <c r="AI524" s="696">
        <f t="shared" si="73"/>
        <v>0</v>
      </c>
      <c r="AJ524" s="697">
        <f t="shared" si="74"/>
        <v>0</v>
      </c>
    </row>
    <row r="525" spans="1:36" s="700" customFormat="1" ht="12.75" customHeight="1">
      <c r="A525" s="719" t="s">
        <v>203</v>
      </c>
      <c r="B525" s="736" t="s">
        <v>295</v>
      </c>
      <c r="C525" s="732" t="s">
        <v>53</v>
      </c>
      <c r="D525" s="732"/>
      <c r="E525" s="734"/>
      <c r="F525" s="735"/>
      <c r="G525" s="1025"/>
      <c r="H525" s="690"/>
      <c r="I525" s="1030"/>
      <c r="J525" s="690"/>
      <c r="K525" s="1030"/>
      <c r="L525" s="690"/>
      <c r="M525" s="1025"/>
      <c r="N525" s="1030"/>
      <c r="O525" s="692">
        <f t="shared" si="67"/>
        <v>0</v>
      </c>
      <c r="P525" s="690"/>
      <c r="Q525" s="690"/>
      <c r="R525" s="691">
        <f t="shared" si="68"/>
        <v>0</v>
      </c>
      <c r="S525" s="692">
        <f t="shared" si="69"/>
        <v>0</v>
      </c>
      <c r="T525" s="693">
        <f t="shared" si="70"/>
        <v>0</v>
      </c>
      <c r="U525" s="1035"/>
      <c r="V525" s="690"/>
      <c r="W525" s="1025"/>
      <c r="X525" s="1030"/>
      <c r="Y525" s="694">
        <f t="shared" si="71"/>
        <v>0</v>
      </c>
      <c r="Z525" s="690"/>
      <c r="AA525" s="690"/>
      <c r="AB525" s="695">
        <f t="shared" si="72"/>
        <v>0</v>
      </c>
      <c r="AC525" s="1035"/>
      <c r="AD525" s="690"/>
      <c r="AE525" s="1025"/>
      <c r="AF525" s="1030"/>
      <c r="AG525" s="690"/>
      <c r="AH525" s="690"/>
      <c r="AI525" s="696">
        <f t="shared" si="73"/>
        <v>0</v>
      </c>
      <c r="AJ525" s="697">
        <f t="shared" si="74"/>
        <v>0</v>
      </c>
    </row>
    <row r="526" spans="1:36" s="700" customFormat="1" ht="12.75" customHeight="1">
      <c r="A526" s="719" t="s">
        <v>203</v>
      </c>
      <c r="B526" s="731" t="s">
        <v>296</v>
      </c>
      <c r="C526" s="732" t="s">
        <v>443</v>
      </c>
      <c r="D526" s="732"/>
      <c r="E526" s="734"/>
      <c r="F526" s="735"/>
      <c r="G526" s="1025"/>
      <c r="H526" s="690"/>
      <c r="I526" s="1030"/>
      <c r="J526" s="690"/>
      <c r="K526" s="1030"/>
      <c r="L526" s="690"/>
      <c r="M526" s="1025"/>
      <c r="N526" s="1030"/>
      <c r="O526" s="692">
        <f t="shared" si="67"/>
        <v>0</v>
      </c>
      <c r="P526" s="690"/>
      <c r="Q526" s="690"/>
      <c r="R526" s="691">
        <f t="shared" si="68"/>
        <v>0</v>
      </c>
      <c r="S526" s="692">
        <f t="shared" si="69"/>
        <v>0</v>
      </c>
      <c r="T526" s="693">
        <f t="shared" si="70"/>
        <v>0</v>
      </c>
      <c r="U526" s="1035"/>
      <c r="V526" s="690"/>
      <c r="W526" s="1025"/>
      <c r="X526" s="1030"/>
      <c r="Y526" s="694">
        <f t="shared" si="71"/>
        <v>0</v>
      </c>
      <c r="Z526" s="690"/>
      <c r="AA526" s="690"/>
      <c r="AB526" s="695">
        <f t="shared" si="72"/>
        <v>0</v>
      </c>
      <c r="AC526" s="1035"/>
      <c r="AD526" s="690"/>
      <c r="AE526" s="1025"/>
      <c r="AF526" s="1030"/>
      <c r="AG526" s="690"/>
      <c r="AH526" s="690"/>
      <c r="AI526" s="696">
        <f t="shared" si="73"/>
        <v>0</v>
      </c>
      <c r="AJ526" s="697">
        <f t="shared" si="74"/>
        <v>0</v>
      </c>
    </row>
    <row r="527" spans="1:36" s="700" customFormat="1" ht="12.75" customHeight="1">
      <c r="A527" s="719" t="s">
        <v>203</v>
      </c>
      <c r="B527" s="731" t="s">
        <v>278</v>
      </c>
      <c r="C527" s="732" t="s">
        <v>377</v>
      </c>
      <c r="D527" s="732"/>
      <c r="E527" s="734"/>
      <c r="F527" s="735"/>
      <c r="G527" s="1025"/>
      <c r="H527" s="690"/>
      <c r="I527" s="1030"/>
      <c r="J527" s="690"/>
      <c r="K527" s="1030"/>
      <c r="L527" s="690"/>
      <c r="M527" s="1025"/>
      <c r="N527" s="1030"/>
      <c r="O527" s="692">
        <f t="shared" si="67"/>
        <v>0</v>
      </c>
      <c r="P527" s="690"/>
      <c r="Q527" s="690"/>
      <c r="R527" s="691">
        <f t="shared" si="68"/>
        <v>0</v>
      </c>
      <c r="S527" s="692">
        <f t="shared" si="69"/>
        <v>0</v>
      </c>
      <c r="T527" s="693">
        <f t="shared" si="70"/>
        <v>0</v>
      </c>
      <c r="U527" s="1035">
        <v>874500</v>
      </c>
      <c r="V527" s="690">
        <v>800000</v>
      </c>
      <c r="W527" s="1025"/>
      <c r="X527" s="1030"/>
      <c r="Y527" s="694">
        <f t="shared" si="71"/>
        <v>0</v>
      </c>
      <c r="Z527" s="690"/>
      <c r="AA527" s="690"/>
      <c r="AB527" s="695">
        <f t="shared" si="72"/>
        <v>0</v>
      </c>
      <c r="AC527" s="1035"/>
      <c r="AD527" s="690"/>
      <c r="AE527" s="1025"/>
      <c r="AF527" s="1030"/>
      <c r="AG527" s="690"/>
      <c r="AH527" s="690"/>
      <c r="AI527" s="696">
        <f t="shared" si="73"/>
        <v>874500</v>
      </c>
      <c r="AJ527" s="697">
        <f t="shared" si="74"/>
        <v>800000</v>
      </c>
    </row>
    <row r="528" spans="1:36" s="700" customFormat="1" ht="12.75" customHeight="1">
      <c r="A528" s="719" t="s">
        <v>203</v>
      </c>
      <c r="B528" s="731" t="s">
        <v>279</v>
      </c>
      <c r="C528" s="732" t="s">
        <v>54</v>
      </c>
      <c r="D528" s="732"/>
      <c r="E528" s="734"/>
      <c r="F528" s="735"/>
      <c r="G528" s="1025"/>
      <c r="H528" s="690"/>
      <c r="I528" s="1030"/>
      <c r="J528" s="690"/>
      <c r="K528" s="1030"/>
      <c r="L528" s="690"/>
      <c r="M528" s="1025"/>
      <c r="N528" s="1030"/>
      <c r="O528" s="692">
        <f t="shared" si="67"/>
        <v>0</v>
      </c>
      <c r="P528" s="690"/>
      <c r="Q528" s="690"/>
      <c r="R528" s="691">
        <f t="shared" si="68"/>
        <v>0</v>
      </c>
      <c r="S528" s="692">
        <f t="shared" si="69"/>
        <v>0</v>
      </c>
      <c r="T528" s="693">
        <f t="shared" si="70"/>
        <v>0</v>
      </c>
      <c r="U528" s="1035"/>
      <c r="V528" s="690"/>
      <c r="W528" s="1025"/>
      <c r="X528" s="1030"/>
      <c r="Y528" s="694">
        <f t="shared" si="71"/>
        <v>0</v>
      </c>
      <c r="Z528" s="690"/>
      <c r="AA528" s="690"/>
      <c r="AB528" s="695">
        <f t="shared" si="72"/>
        <v>0</v>
      </c>
      <c r="AC528" s="1035"/>
      <c r="AD528" s="690"/>
      <c r="AE528" s="1025"/>
      <c r="AF528" s="1030"/>
      <c r="AG528" s="690"/>
      <c r="AH528" s="690"/>
      <c r="AI528" s="696">
        <f t="shared" si="73"/>
        <v>0</v>
      </c>
      <c r="AJ528" s="697">
        <f t="shared" si="74"/>
        <v>0</v>
      </c>
    </row>
    <row r="529" spans="1:36" s="700" customFormat="1" ht="12.75" customHeight="1">
      <c r="A529" s="719" t="s">
        <v>203</v>
      </c>
      <c r="B529" s="731" t="s">
        <v>317</v>
      </c>
      <c r="C529" s="732" t="s">
        <v>443</v>
      </c>
      <c r="D529" s="732"/>
      <c r="E529" s="734"/>
      <c r="F529" s="735"/>
      <c r="G529" s="1025"/>
      <c r="H529" s="690"/>
      <c r="I529" s="1030"/>
      <c r="J529" s="690"/>
      <c r="K529" s="1030"/>
      <c r="L529" s="690"/>
      <c r="M529" s="1025"/>
      <c r="N529" s="1030"/>
      <c r="O529" s="692">
        <f t="shared" si="67"/>
        <v>0</v>
      </c>
      <c r="P529" s="690"/>
      <c r="Q529" s="690"/>
      <c r="R529" s="691">
        <f t="shared" si="68"/>
        <v>0</v>
      </c>
      <c r="S529" s="692">
        <f t="shared" si="69"/>
        <v>0</v>
      </c>
      <c r="T529" s="693">
        <f t="shared" si="70"/>
        <v>0</v>
      </c>
      <c r="U529" s="1035"/>
      <c r="V529" s="690"/>
      <c r="W529" s="1025"/>
      <c r="X529" s="1030"/>
      <c r="Y529" s="694">
        <f t="shared" si="71"/>
        <v>0</v>
      </c>
      <c r="Z529" s="690"/>
      <c r="AA529" s="690"/>
      <c r="AB529" s="695">
        <f t="shared" si="72"/>
        <v>0</v>
      </c>
      <c r="AC529" s="1035"/>
      <c r="AD529" s="690"/>
      <c r="AE529" s="1025"/>
      <c r="AF529" s="1030"/>
      <c r="AG529" s="690"/>
      <c r="AH529" s="690"/>
      <c r="AI529" s="696">
        <f t="shared" si="73"/>
        <v>0</v>
      </c>
      <c r="AJ529" s="697">
        <f t="shared" si="74"/>
        <v>0</v>
      </c>
    </row>
    <row r="530" spans="1:36" s="700" customFormat="1" ht="12.75" customHeight="1">
      <c r="A530" s="719" t="s">
        <v>203</v>
      </c>
      <c r="B530" s="731" t="s">
        <v>318</v>
      </c>
      <c r="C530" s="732" t="s">
        <v>377</v>
      </c>
      <c r="D530" s="732"/>
      <c r="E530" s="734"/>
      <c r="F530" s="735"/>
      <c r="G530" s="1025"/>
      <c r="H530" s="690"/>
      <c r="I530" s="1030"/>
      <c r="J530" s="690"/>
      <c r="K530" s="1030"/>
      <c r="L530" s="690"/>
      <c r="M530" s="1025"/>
      <c r="N530" s="1030"/>
      <c r="O530" s="692">
        <f t="shared" si="67"/>
        <v>0</v>
      </c>
      <c r="P530" s="690"/>
      <c r="Q530" s="690"/>
      <c r="R530" s="691">
        <f t="shared" si="68"/>
        <v>0</v>
      </c>
      <c r="S530" s="692">
        <f t="shared" si="69"/>
        <v>0</v>
      </c>
      <c r="T530" s="693">
        <f t="shared" si="70"/>
        <v>0</v>
      </c>
      <c r="U530" s="1035">
        <v>8000</v>
      </c>
      <c r="V530" s="690">
        <v>5000</v>
      </c>
      <c r="W530" s="1025"/>
      <c r="X530" s="1030"/>
      <c r="Y530" s="694">
        <f t="shared" si="71"/>
        <v>0</v>
      </c>
      <c r="Z530" s="690"/>
      <c r="AA530" s="690"/>
      <c r="AB530" s="695">
        <f t="shared" si="72"/>
        <v>0</v>
      </c>
      <c r="AC530" s="1035"/>
      <c r="AD530" s="690"/>
      <c r="AE530" s="1025"/>
      <c r="AF530" s="1030"/>
      <c r="AG530" s="690"/>
      <c r="AH530" s="690"/>
      <c r="AI530" s="696">
        <f t="shared" si="73"/>
        <v>8000</v>
      </c>
      <c r="AJ530" s="697">
        <f t="shared" si="74"/>
        <v>5000</v>
      </c>
    </row>
    <row r="531" spans="1:36" s="700" customFormat="1" ht="12.75" customHeight="1">
      <c r="A531" s="719" t="s">
        <v>203</v>
      </c>
      <c r="B531" s="731" t="s">
        <v>421</v>
      </c>
      <c r="C531" s="737" t="s">
        <v>19</v>
      </c>
      <c r="D531" s="737"/>
      <c r="E531" s="721"/>
      <c r="F531" s="722"/>
      <c r="G531" s="1025"/>
      <c r="H531" s="690"/>
      <c r="I531" s="1030"/>
      <c r="J531" s="690"/>
      <c r="K531" s="1030"/>
      <c r="L531" s="690"/>
      <c r="M531" s="1025"/>
      <c r="N531" s="1030"/>
      <c r="O531" s="692">
        <f t="shared" si="67"/>
        <v>0</v>
      </c>
      <c r="P531" s="690"/>
      <c r="Q531" s="690"/>
      <c r="R531" s="691">
        <f t="shared" si="68"/>
        <v>0</v>
      </c>
      <c r="S531" s="692">
        <f t="shared" si="69"/>
        <v>0</v>
      </c>
      <c r="T531" s="693">
        <f t="shared" si="70"/>
        <v>0</v>
      </c>
      <c r="U531" s="1035"/>
      <c r="V531" s="690"/>
      <c r="W531" s="1025"/>
      <c r="X531" s="1030"/>
      <c r="Y531" s="694">
        <f t="shared" si="71"/>
        <v>0</v>
      </c>
      <c r="Z531" s="690"/>
      <c r="AA531" s="690"/>
      <c r="AB531" s="695">
        <f t="shared" si="72"/>
        <v>0</v>
      </c>
      <c r="AC531" s="1035"/>
      <c r="AD531" s="690"/>
      <c r="AE531" s="1025"/>
      <c r="AF531" s="1030"/>
      <c r="AG531" s="690"/>
      <c r="AH531" s="690"/>
      <c r="AI531" s="696">
        <f t="shared" si="73"/>
        <v>0</v>
      </c>
      <c r="AJ531" s="697">
        <f t="shared" si="74"/>
        <v>0</v>
      </c>
    </row>
    <row r="532" spans="1:36" s="700" customFormat="1" ht="12.75" customHeight="1">
      <c r="A532" s="719" t="s">
        <v>203</v>
      </c>
      <c r="B532" s="719" t="s">
        <v>421</v>
      </c>
      <c r="C532" s="730" t="s">
        <v>662</v>
      </c>
      <c r="D532" s="730"/>
      <c r="E532" s="721"/>
      <c r="F532" s="722"/>
      <c r="G532" s="1025"/>
      <c r="H532" s="690"/>
      <c r="I532" s="1030"/>
      <c r="J532" s="690"/>
      <c r="K532" s="1030"/>
      <c r="L532" s="690"/>
      <c r="M532" s="1025"/>
      <c r="N532" s="1030"/>
      <c r="O532" s="692">
        <f t="shared" si="67"/>
        <v>0</v>
      </c>
      <c r="P532" s="690"/>
      <c r="Q532" s="690"/>
      <c r="R532" s="691">
        <f t="shared" si="68"/>
        <v>0</v>
      </c>
      <c r="S532" s="692">
        <f t="shared" si="69"/>
        <v>0</v>
      </c>
      <c r="T532" s="693">
        <f t="shared" si="70"/>
        <v>0</v>
      </c>
      <c r="U532" s="1035"/>
      <c r="V532" s="690"/>
      <c r="W532" s="1025"/>
      <c r="X532" s="1030"/>
      <c r="Y532" s="694">
        <f t="shared" si="71"/>
        <v>0</v>
      </c>
      <c r="Z532" s="690"/>
      <c r="AA532" s="690"/>
      <c r="AB532" s="695">
        <f t="shared" si="72"/>
        <v>0</v>
      </c>
      <c r="AC532" s="1035"/>
      <c r="AD532" s="690"/>
      <c r="AE532" s="1025"/>
      <c r="AF532" s="1030"/>
      <c r="AG532" s="690"/>
      <c r="AH532" s="690"/>
      <c r="AI532" s="696">
        <f t="shared" si="73"/>
        <v>0</v>
      </c>
      <c r="AJ532" s="697">
        <f t="shared" si="74"/>
        <v>0</v>
      </c>
    </row>
    <row r="533" spans="1:36" s="700" customFormat="1" ht="12.75" customHeight="1">
      <c r="A533" s="719" t="s">
        <v>203</v>
      </c>
      <c r="B533" s="731" t="s">
        <v>380</v>
      </c>
      <c r="C533" s="732" t="s">
        <v>443</v>
      </c>
      <c r="D533" s="732"/>
      <c r="E533" s="721"/>
      <c r="F533" s="722"/>
      <c r="G533" s="1025"/>
      <c r="H533" s="690"/>
      <c r="I533" s="1030"/>
      <c r="J533" s="690"/>
      <c r="K533" s="1030"/>
      <c r="L533" s="690"/>
      <c r="M533" s="1025"/>
      <c r="N533" s="1030"/>
      <c r="O533" s="692">
        <f t="shared" si="67"/>
        <v>0</v>
      </c>
      <c r="P533" s="690"/>
      <c r="Q533" s="690"/>
      <c r="R533" s="691">
        <f t="shared" si="68"/>
        <v>0</v>
      </c>
      <c r="S533" s="692">
        <f t="shared" si="69"/>
        <v>0</v>
      </c>
      <c r="T533" s="693">
        <f t="shared" si="70"/>
        <v>0</v>
      </c>
      <c r="U533" s="1035"/>
      <c r="V533" s="690"/>
      <c r="W533" s="1025"/>
      <c r="X533" s="1030"/>
      <c r="Y533" s="694">
        <f t="shared" si="71"/>
        <v>0</v>
      </c>
      <c r="Z533" s="690"/>
      <c r="AA533" s="690"/>
      <c r="AB533" s="695">
        <f t="shared" si="72"/>
        <v>0</v>
      </c>
      <c r="AC533" s="1035"/>
      <c r="AD533" s="690"/>
      <c r="AE533" s="1025"/>
      <c r="AF533" s="1030"/>
      <c r="AG533" s="690"/>
      <c r="AH533" s="690"/>
      <c r="AI533" s="696">
        <f t="shared" si="73"/>
        <v>0</v>
      </c>
      <c r="AJ533" s="697">
        <f t="shared" si="74"/>
        <v>0</v>
      </c>
    </row>
    <row r="534" spans="1:36" s="700" customFormat="1" ht="12.75" customHeight="1">
      <c r="A534" s="719" t="s">
        <v>203</v>
      </c>
      <c r="B534" s="731" t="s">
        <v>381</v>
      </c>
      <c r="C534" s="732" t="s">
        <v>377</v>
      </c>
      <c r="D534" s="732"/>
      <c r="E534" s="721"/>
      <c r="F534" s="722"/>
      <c r="G534" s="1025"/>
      <c r="H534" s="690"/>
      <c r="I534" s="1030"/>
      <c r="J534" s="690"/>
      <c r="K534" s="1030"/>
      <c r="L534" s="690"/>
      <c r="M534" s="1025"/>
      <c r="N534" s="1030"/>
      <c r="O534" s="692">
        <f t="shared" si="67"/>
        <v>0</v>
      </c>
      <c r="P534" s="690"/>
      <c r="Q534" s="690"/>
      <c r="R534" s="691">
        <f t="shared" si="68"/>
        <v>0</v>
      </c>
      <c r="S534" s="692">
        <f t="shared" si="69"/>
        <v>0</v>
      </c>
      <c r="T534" s="693">
        <f t="shared" si="70"/>
        <v>0</v>
      </c>
      <c r="U534" s="1035">
        <v>174571</v>
      </c>
      <c r="V534" s="690">
        <v>200000</v>
      </c>
      <c r="W534" s="1025"/>
      <c r="X534" s="1030"/>
      <c r="Y534" s="694">
        <f t="shared" si="71"/>
        <v>0</v>
      </c>
      <c r="Z534" s="690"/>
      <c r="AA534" s="690"/>
      <c r="AB534" s="695">
        <f t="shared" si="72"/>
        <v>0</v>
      </c>
      <c r="AC534" s="1035"/>
      <c r="AD534" s="690"/>
      <c r="AE534" s="1025"/>
      <c r="AF534" s="1030"/>
      <c r="AG534" s="690"/>
      <c r="AH534" s="690"/>
      <c r="AI534" s="696">
        <f t="shared" si="73"/>
        <v>174571</v>
      </c>
      <c r="AJ534" s="697">
        <f t="shared" si="74"/>
        <v>200000</v>
      </c>
    </row>
    <row r="535" spans="1:36" s="698" customFormat="1" ht="12.75" customHeight="1">
      <c r="A535" s="738" t="s">
        <v>208</v>
      </c>
      <c r="B535" s="739" t="s">
        <v>392</v>
      </c>
      <c r="C535" s="740" t="s">
        <v>663</v>
      </c>
      <c r="D535" s="740"/>
      <c r="E535" s="741">
        <v>130943</v>
      </c>
      <c r="F535" s="742">
        <v>1</v>
      </c>
      <c r="G535" s="1025">
        <v>122444600</v>
      </c>
      <c r="H535" s="690">
        <v>115726000</v>
      </c>
      <c r="I535" s="1030"/>
      <c r="J535" s="690"/>
      <c r="K535" s="1030"/>
      <c r="L535" s="690"/>
      <c r="M535" s="1025">
        <v>371660474</v>
      </c>
      <c r="N535" s="1030"/>
      <c r="O535" s="692">
        <f t="shared" si="67"/>
        <v>371660474</v>
      </c>
      <c r="P535" s="690">
        <v>413159776</v>
      </c>
      <c r="Q535" s="690">
        <v>0</v>
      </c>
      <c r="R535" s="691">
        <f t="shared" si="68"/>
        <v>413159776</v>
      </c>
      <c r="S535" s="692">
        <f t="shared" si="69"/>
        <v>494105074</v>
      </c>
      <c r="T535" s="693">
        <f t="shared" si="70"/>
        <v>528885776</v>
      </c>
      <c r="U535" s="1035"/>
      <c r="V535" s="690"/>
      <c r="W535" s="1025"/>
      <c r="X535" s="1030"/>
      <c r="Y535" s="694">
        <f t="shared" si="71"/>
        <v>0</v>
      </c>
      <c r="Z535" s="690"/>
      <c r="AA535" s="690"/>
      <c r="AB535" s="695">
        <f t="shared" si="72"/>
        <v>0</v>
      </c>
      <c r="AC535" s="1035"/>
      <c r="AD535" s="690"/>
      <c r="AE535" s="1025"/>
      <c r="AF535" s="1030"/>
      <c r="AG535" s="690"/>
      <c r="AH535" s="690"/>
      <c r="AI535" s="696">
        <f t="shared" si="73"/>
        <v>494105074</v>
      </c>
      <c r="AJ535" s="697">
        <f t="shared" si="74"/>
        <v>528885776</v>
      </c>
    </row>
    <row r="536" spans="1:36" s="698" customFormat="1" ht="12.75" customHeight="1">
      <c r="A536" s="738" t="s">
        <v>208</v>
      </c>
      <c r="B536" s="738" t="s">
        <v>394</v>
      </c>
      <c r="C536" s="743" t="s">
        <v>664</v>
      </c>
      <c r="D536" s="743"/>
      <c r="E536" s="744">
        <v>130943</v>
      </c>
      <c r="F536" s="745">
        <v>1</v>
      </c>
      <c r="G536" s="1025"/>
      <c r="H536" s="690"/>
      <c r="I536" s="1030"/>
      <c r="J536" s="690"/>
      <c r="K536" s="1030"/>
      <c r="L536" s="690"/>
      <c r="M536" s="1025"/>
      <c r="N536" s="1030"/>
      <c r="O536" s="692">
        <f t="shared" si="67"/>
        <v>0</v>
      </c>
      <c r="P536" s="690"/>
      <c r="Q536" s="690"/>
      <c r="R536" s="691">
        <f t="shared" si="68"/>
        <v>0</v>
      </c>
      <c r="S536" s="692">
        <f t="shared" si="69"/>
        <v>0</v>
      </c>
      <c r="T536" s="693">
        <f t="shared" si="70"/>
        <v>0</v>
      </c>
      <c r="U536" s="1035"/>
      <c r="V536" s="690"/>
      <c r="W536" s="1025"/>
      <c r="X536" s="1030"/>
      <c r="Y536" s="694">
        <f t="shared" si="71"/>
        <v>0</v>
      </c>
      <c r="Z536" s="690"/>
      <c r="AA536" s="690"/>
      <c r="AB536" s="695">
        <f t="shared" si="72"/>
        <v>0</v>
      </c>
      <c r="AC536" s="1035"/>
      <c r="AD536" s="690"/>
      <c r="AE536" s="1025"/>
      <c r="AF536" s="1030"/>
      <c r="AG536" s="690"/>
      <c r="AH536" s="690"/>
      <c r="AI536" s="696">
        <f t="shared" si="73"/>
        <v>0</v>
      </c>
      <c r="AJ536" s="697">
        <f t="shared" si="74"/>
        <v>0</v>
      </c>
    </row>
    <row r="537" spans="1:36" s="698" customFormat="1" ht="12.75" customHeight="1">
      <c r="A537" s="738" t="s">
        <v>208</v>
      </c>
      <c r="B537" s="738" t="s">
        <v>394</v>
      </c>
      <c r="C537" s="746" t="s">
        <v>665</v>
      </c>
      <c r="D537" s="746"/>
      <c r="E537" s="744">
        <v>130943</v>
      </c>
      <c r="F537" s="745">
        <v>1</v>
      </c>
      <c r="G537" s="1025"/>
      <c r="H537" s="690"/>
      <c r="I537" s="1030">
        <v>91800</v>
      </c>
      <c r="J537" s="690">
        <v>91800</v>
      </c>
      <c r="K537" s="1030"/>
      <c r="L537" s="690"/>
      <c r="M537" s="1025"/>
      <c r="N537" s="1030"/>
      <c r="O537" s="692">
        <f t="shared" si="67"/>
        <v>0</v>
      </c>
      <c r="P537" s="690"/>
      <c r="Q537" s="690"/>
      <c r="R537" s="691">
        <f t="shared" si="68"/>
        <v>0</v>
      </c>
      <c r="S537" s="692">
        <f t="shared" si="69"/>
        <v>91800</v>
      </c>
      <c r="T537" s="693">
        <f t="shared" si="70"/>
        <v>91800</v>
      </c>
      <c r="U537" s="1035"/>
      <c r="V537" s="690"/>
      <c r="W537" s="1025"/>
      <c r="X537" s="1030"/>
      <c r="Y537" s="694">
        <f t="shared" si="71"/>
        <v>0</v>
      </c>
      <c r="Z537" s="690"/>
      <c r="AA537" s="690"/>
      <c r="AB537" s="695">
        <f t="shared" si="72"/>
        <v>0</v>
      </c>
      <c r="AC537" s="1035"/>
      <c r="AD537" s="690"/>
      <c r="AE537" s="1025"/>
      <c r="AF537" s="1030"/>
      <c r="AG537" s="690"/>
      <c r="AH537" s="690"/>
      <c r="AI537" s="696">
        <f t="shared" si="73"/>
        <v>91800</v>
      </c>
      <c r="AJ537" s="697">
        <f t="shared" si="74"/>
        <v>91800</v>
      </c>
    </row>
    <row r="538" spans="1:36" s="698" customFormat="1" ht="12.75" customHeight="1">
      <c r="A538" s="738" t="s">
        <v>208</v>
      </c>
      <c r="B538" s="738" t="s">
        <v>396</v>
      </c>
      <c r="C538" s="743" t="s">
        <v>385</v>
      </c>
      <c r="D538" s="743"/>
      <c r="E538" s="744">
        <v>130943</v>
      </c>
      <c r="F538" s="745">
        <v>1</v>
      </c>
      <c r="G538" s="1025"/>
      <c r="H538" s="690"/>
      <c r="I538" s="1030">
        <v>2303197</v>
      </c>
      <c r="J538" s="690">
        <v>2303197</v>
      </c>
      <c r="K538" s="1030"/>
      <c r="L538" s="690"/>
      <c r="M538" s="1025"/>
      <c r="N538" s="1030"/>
      <c r="O538" s="692">
        <f t="shared" si="67"/>
        <v>0</v>
      </c>
      <c r="P538" s="690"/>
      <c r="Q538" s="690"/>
      <c r="R538" s="691">
        <f t="shared" si="68"/>
        <v>0</v>
      </c>
      <c r="S538" s="692">
        <f t="shared" si="69"/>
        <v>2303197</v>
      </c>
      <c r="T538" s="693">
        <f t="shared" si="70"/>
        <v>2303197</v>
      </c>
      <c r="U538" s="1035"/>
      <c r="V538" s="690"/>
      <c r="W538" s="1025"/>
      <c r="X538" s="1030"/>
      <c r="Y538" s="694">
        <f t="shared" si="71"/>
        <v>0</v>
      </c>
      <c r="Z538" s="690"/>
      <c r="AA538" s="690"/>
      <c r="AB538" s="695">
        <f t="shared" si="72"/>
        <v>0</v>
      </c>
      <c r="AC538" s="1035"/>
      <c r="AD538" s="690"/>
      <c r="AE538" s="1025"/>
      <c r="AF538" s="1030"/>
      <c r="AG538" s="690"/>
      <c r="AH538" s="690"/>
      <c r="AI538" s="696">
        <f t="shared" si="73"/>
        <v>2303197</v>
      </c>
      <c r="AJ538" s="697">
        <f t="shared" si="74"/>
        <v>2303197</v>
      </c>
    </row>
    <row r="539" spans="1:36" s="698" customFormat="1" ht="12.75" customHeight="1">
      <c r="A539" s="738" t="s">
        <v>208</v>
      </c>
      <c r="B539" s="738" t="s">
        <v>397</v>
      </c>
      <c r="C539" s="743" t="s">
        <v>384</v>
      </c>
      <c r="D539" s="743"/>
      <c r="E539" s="744">
        <v>130943</v>
      </c>
      <c r="F539" s="745">
        <v>1</v>
      </c>
      <c r="G539" s="1025"/>
      <c r="H539" s="690"/>
      <c r="I539" s="1030">
        <v>2628703</v>
      </c>
      <c r="J539" s="690">
        <v>2628703</v>
      </c>
      <c r="K539" s="1030"/>
      <c r="L539" s="690"/>
      <c r="M539" s="1025"/>
      <c r="N539" s="1030"/>
      <c r="O539" s="692">
        <f t="shared" si="67"/>
        <v>0</v>
      </c>
      <c r="P539" s="690"/>
      <c r="Q539" s="690"/>
      <c r="R539" s="691">
        <f t="shared" si="68"/>
        <v>0</v>
      </c>
      <c r="S539" s="692">
        <f t="shared" si="69"/>
        <v>2628703</v>
      </c>
      <c r="T539" s="693">
        <f t="shared" si="70"/>
        <v>2628703</v>
      </c>
      <c r="U539" s="1035"/>
      <c r="V539" s="690"/>
      <c r="W539" s="1025"/>
      <c r="X539" s="1030"/>
      <c r="Y539" s="694">
        <f t="shared" si="71"/>
        <v>0</v>
      </c>
      <c r="Z539" s="690"/>
      <c r="AA539" s="690"/>
      <c r="AB539" s="695">
        <f t="shared" si="72"/>
        <v>0</v>
      </c>
      <c r="AC539" s="1035"/>
      <c r="AD539" s="690"/>
      <c r="AE539" s="1025"/>
      <c r="AF539" s="1030"/>
      <c r="AG539" s="690"/>
      <c r="AH539" s="690"/>
      <c r="AI539" s="696">
        <f t="shared" si="73"/>
        <v>2628703</v>
      </c>
      <c r="AJ539" s="697">
        <f t="shared" si="74"/>
        <v>2628703</v>
      </c>
    </row>
    <row r="540" spans="1:36" s="698" customFormat="1" ht="12.75" customHeight="1">
      <c r="A540" s="738" t="s">
        <v>208</v>
      </c>
      <c r="B540" s="738" t="s">
        <v>399</v>
      </c>
      <c r="C540" s="743" t="s">
        <v>441</v>
      </c>
      <c r="D540" s="743"/>
      <c r="E540" s="744">
        <v>130943</v>
      </c>
      <c r="F540" s="745">
        <v>1</v>
      </c>
      <c r="G540" s="1025"/>
      <c r="H540" s="690"/>
      <c r="I540" s="1030"/>
      <c r="J540" s="690"/>
      <c r="K540" s="1030"/>
      <c r="L540" s="690"/>
      <c r="M540" s="1025"/>
      <c r="N540" s="1030"/>
      <c r="O540" s="692">
        <f t="shared" si="67"/>
        <v>0</v>
      </c>
      <c r="P540" s="690"/>
      <c r="Q540" s="690"/>
      <c r="R540" s="691">
        <f t="shared" si="68"/>
        <v>0</v>
      </c>
      <c r="S540" s="692">
        <f t="shared" si="69"/>
        <v>0</v>
      </c>
      <c r="T540" s="693">
        <f t="shared" si="70"/>
        <v>0</v>
      </c>
      <c r="U540" s="1035"/>
      <c r="V540" s="690"/>
      <c r="W540" s="1025"/>
      <c r="X540" s="1030"/>
      <c r="Y540" s="694">
        <f t="shared" si="71"/>
        <v>0</v>
      </c>
      <c r="Z540" s="690"/>
      <c r="AA540" s="690"/>
      <c r="AB540" s="695">
        <f t="shared" si="72"/>
        <v>0</v>
      </c>
      <c r="AC540" s="1035"/>
      <c r="AD540" s="690"/>
      <c r="AE540" s="1025"/>
      <c r="AF540" s="1030"/>
      <c r="AG540" s="690"/>
      <c r="AH540" s="690"/>
      <c r="AI540" s="696">
        <f t="shared" si="73"/>
        <v>0</v>
      </c>
      <c r="AJ540" s="697">
        <f t="shared" si="74"/>
        <v>0</v>
      </c>
    </row>
    <row r="541" spans="1:36" s="698" customFormat="1" ht="12.75" customHeight="1">
      <c r="A541" s="739" t="s">
        <v>208</v>
      </c>
      <c r="B541" s="738" t="s">
        <v>399</v>
      </c>
      <c r="C541" s="746" t="s">
        <v>666</v>
      </c>
      <c r="D541" s="746"/>
      <c r="E541" s="744">
        <v>130943</v>
      </c>
      <c r="F541" s="745">
        <v>1</v>
      </c>
      <c r="G541" s="1025"/>
      <c r="H541" s="690"/>
      <c r="I541" s="1030">
        <v>734300</v>
      </c>
      <c r="J541" s="690">
        <v>734300</v>
      </c>
      <c r="K541" s="1030"/>
      <c r="L541" s="690"/>
      <c r="M541" s="1025"/>
      <c r="N541" s="1030"/>
      <c r="O541" s="692">
        <f t="shared" si="67"/>
        <v>0</v>
      </c>
      <c r="P541" s="690"/>
      <c r="Q541" s="690"/>
      <c r="R541" s="691">
        <f t="shared" si="68"/>
        <v>0</v>
      </c>
      <c r="S541" s="692">
        <f t="shared" si="69"/>
        <v>734300</v>
      </c>
      <c r="T541" s="693">
        <f t="shared" si="70"/>
        <v>734300</v>
      </c>
      <c r="U541" s="1035"/>
      <c r="V541" s="690"/>
      <c r="W541" s="1025"/>
      <c r="X541" s="1030"/>
      <c r="Y541" s="694">
        <f t="shared" si="71"/>
        <v>0</v>
      </c>
      <c r="Z541" s="690"/>
      <c r="AA541" s="690"/>
      <c r="AB541" s="695">
        <f t="shared" si="72"/>
        <v>0</v>
      </c>
      <c r="AC541" s="1035"/>
      <c r="AD541" s="690"/>
      <c r="AE541" s="1025"/>
      <c r="AF541" s="1030"/>
      <c r="AG541" s="690"/>
      <c r="AH541" s="690"/>
      <c r="AI541" s="696">
        <f t="shared" si="73"/>
        <v>734300</v>
      </c>
      <c r="AJ541" s="697">
        <f t="shared" si="74"/>
        <v>734300</v>
      </c>
    </row>
    <row r="542" spans="1:36" s="698" customFormat="1" ht="12.75" customHeight="1">
      <c r="A542" s="739" t="s">
        <v>208</v>
      </c>
      <c r="B542" s="738" t="s">
        <v>399</v>
      </c>
      <c r="C542" s="746" t="s">
        <v>667</v>
      </c>
      <c r="D542" s="746"/>
      <c r="E542" s="744">
        <v>130943</v>
      </c>
      <c r="F542" s="745">
        <v>1</v>
      </c>
      <c r="G542" s="1025"/>
      <c r="H542" s="690"/>
      <c r="I542" s="1030">
        <v>559000</v>
      </c>
      <c r="J542" s="690">
        <v>559000</v>
      </c>
      <c r="K542" s="1030"/>
      <c r="L542" s="690"/>
      <c r="M542" s="1025"/>
      <c r="N542" s="1030"/>
      <c r="O542" s="692">
        <f t="shared" si="67"/>
        <v>0</v>
      </c>
      <c r="P542" s="690"/>
      <c r="Q542" s="690"/>
      <c r="R542" s="691">
        <f t="shared" si="68"/>
        <v>0</v>
      </c>
      <c r="S542" s="692">
        <f t="shared" si="69"/>
        <v>559000</v>
      </c>
      <c r="T542" s="693">
        <f t="shared" si="70"/>
        <v>559000</v>
      </c>
      <c r="U542" s="1035"/>
      <c r="V542" s="690"/>
      <c r="W542" s="1025"/>
      <c r="X542" s="1030"/>
      <c r="Y542" s="694">
        <f t="shared" si="71"/>
        <v>0</v>
      </c>
      <c r="Z542" s="690"/>
      <c r="AA542" s="690"/>
      <c r="AB542" s="695">
        <f t="shared" si="72"/>
        <v>0</v>
      </c>
      <c r="AC542" s="1035"/>
      <c r="AD542" s="690"/>
      <c r="AE542" s="1025"/>
      <c r="AF542" s="1030"/>
      <c r="AG542" s="690"/>
      <c r="AH542" s="690"/>
      <c r="AI542" s="696">
        <f t="shared" si="73"/>
        <v>559000</v>
      </c>
      <c r="AJ542" s="697">
        <f t="shared" si="74"/>
        <v>559000</v>
      </c>
    </row>
    <row r="543" spans="1:36" s="698" customFormat="1" ht="12.75" customHeight="1">
      <c r="A543" s="739" t="s">
        <v>208</v>
      </c>
      <c r="B543" s="738" t="s">
        <v>399</v>
      </c>
      <c r="C543" s="746" t="s">
        <v>668</v>
      </c>
      <c r="D543" s="746"/>
      <c r="E543" s="744">
        <v>130943</v>
      </c>
      <c r="F543" s="745">
        <v>1</v>
      </c>
      <c r="G543" s="1025"/>
      <c r="H543" s="690"/>
      <c r="I543" s="1030">
        <v>135600</v>
      </c>
      <c r="J543" s="690">
        <v>135600</v>
      </c>
      <c r="K543" s="1030"/>
      <c r="L543" s="690"/>
      <c r="M543" s="1025"/>
      <c r="N543" s="1030"/>
      <c r="O543" s="692">
        <f t="shared" si="67"/>
        <v>0</v>
      </c>
      <c r="P543" s="690"/>
      <c r="Q543" s="690"/>
      <c r="R543" s="691">
        <f t="shared" si="68"/>
        <v>0</v>
      </c>
      <c r="S543" s="692">
        <f t="shared" si="69"/>
        <v>135600</v>
      </c>
      <c r="T543" s="693">
        <f t="shared" si="70"/>
        <v>135600</v>
      </c>
      <c r="U543" s="1035"/>
      <c r="V543" s="690"/>
      <c r="W543" s="1025"/>
      <c r="X543" s="1030"/>
      <c r="Y543" s="694">
        <f t="shared" si="71"/>
        <v>0</v>
      </c>
      <c r="Z543" s="690"/>
      <c r="AA543" s="690"/>
      <c r="AB543" s="695">
        <f t="shared" si="72"/>
        <v>0</v>
      </c>
      <c r="AC543" s="1035"/>
      <c r="AD543" s="690"/>
      <c r="AE543" s="1025"/>
      <c r="AF543" s="1030"/>
      <c r="AG543" s="690"/>
      <c r="AH543" s="690"/>
      <c r="AI543" s="696">
        <f t="shared" si="73"/>
        <v>135600</v>
      </c>
      <c r="AJ543" s="697">
        <f t="shared" si="74"/>
        <v>135600</v>
      </c>
    </row>
    <row r="544" spans="1:36" s="698" customFormat="1" ht="12.75" customHeight="1">
      <c r="A544" s="739" t="s">
        <v>208</v>
      </c>
      <c r="B544" s="738" t="s">
        <v>399</v>
      </c>
      <c r="C544" s="746" t="s">
        <v>669</v>
      </c>
      <c r="D544" s="746"/>
      <c r="E544" s="744">
        <v>130943</v>
      </c>
      <c r="F544" s="745">
        <v>1</v>
      </c>
      <c r="G544" s="1025"/>
      <c r="H544" s="690"/>
      <c r="I544" s="1030">
        <v>452900</v>
      </c>
      <c r="J544" s="690">
        <v>452900</v>
      </c>
      <c r="K544" s="1030"/>
      <c r="L544" s="690"/>
      <c r="M544" s="1025"/>
      <c r="N544" s="1030"/>
      <c r="O544" s="692">
        <f t="shared" si="67"/>
        <v>0</v>
      </c>
      <c r="P544" s="690"/>
      <c r="Q544" s="690"/>
      <c r="R544" s="691">
        <f t="shared" si="68"/>
        <v>0</v>
      </c>
      <c r="S544" s="692">
        <f t="shared" si="69"/>
        <v>452900</v>
      </c>
      <c r="T544" s="693">
        <f t="shared" si="70"/>
        <v>452900</v>
      </c>
      <c r="U544" s="1035"/>
      <c r="V544" s="690"/>
      <c r="W544" s="1025"/>
      <c r="X544" s="1030"/>
      <c r="Y544" s="694">
        <f t="shared" si="71"/>
        <v>0</v>
      </c>
      <c r="Z544" s="690"/>
      <c r="AA544" s="690"/>
      <c r="AB544" s="695">
        <f t="shared" si="72"/>
        <v>0</v>
      </c>
      <c r="AC544" s="1035"/>
      <c r="AD544" s="690"/>
      <c r="AE544" s="1025"/>
      <c r="AF544" s="1030"/>
      <c r="AG544" s="690"/>
      <c r="AH544" s="690"/>
      <c r="AI544" s="696">
        <f t="shared" si="73"/>
        <v>452900</v>
      </c>
      <c r="AJ544" s="697">
        <f t="shared" si="74"/>
        <v>452900</v>
      </c>
    </row>
    <row r="545" spans="1:36" s="698" customFormat="1" ht="12.75" customHeight="1">
      <c r="A545" s="739" t="s">
        <v>208</v>
      </c>
      <c r="B545" s="738" t="s">
        <v>399</v>
      </c>
      <c r="C545" s="746" t="s">
        <v>670</v>
      </c>
      <c r="D545" s="746"/>
      <c r="E545" s="744">
        <v>130943</v>
      </c>
      <c r="F545" s="745">
        <v>1</v>
      </c>
      <c r="G545" s="1025"/>
      <c r="H545" s="690"/>
      <c r="I545" s="1030">
        <v>238700</v>
      </c>
      <c r="J545" s="690">
        <v>238700</v>
      </c>
      <c r="K545" s="1030"/>
      <c r="L545" s="690"/>
      <c r="M545" s="1025"/>
      <c r="N545" s="1030"/>
      <c r="O545" s="692">
        <f t="shared" si="67"/>
        <v>0</v>
      </c>
      <c r="P545" s="690"/>
      <c r="Q545" s="690"/>
      <c r="R545" s="691">
        <f t="shared" si="68"/>
        <v>0</v>
      </c>
      <c r="S545" s="692">
        <f t="shared" si="69"/>
        <v>238700</v>
      </c>
      <c r="T545" s="693">
        <f t="shared" si="70"/>
        <v>238700</v>
      </c>
      <c r="U545" s="1035"/>
      <c r="V545" s="690"/>
      <c r="W545" s="1025"/>
      <c r="X545" s="1030"/>
      <c r="Y545" s="694">
        <f t="shared" si="71"/>
        <v>0</v>
      </c>
      <c r="Z545" s="690"/>
      <c r="AA545" s="690"/>
      <c r="AB545" s="695">
        <f t="shared" si="72"/>
        <v>0</v>
      </c>
      <c r="AC545" s="1035"/>
      <c r="AD545" s="690"/>
      <c r="AE545" s="1025"/>
      <c r="AF545" s="1030"/>
      <c r="AG545" s="690"/>
      <c r="AH545" s="690"/>
      <c r="AI545" s="696">
        <f t="shared" si="73"/>
        <v>238700</v>
      </c>
      <c r="AJ545" s="697">
        <f t="shared" si="74"/>
        <v>238700</v>
      </c>
    </row>
    <row r="546" spans="1:36" s="698" customFormat="1" ht="12.75" customHeight="1">
      <c r="A546" s="739" t="s">
        <v>208</v>
      </c>
      <c r="B546" s="738" t="s">
        <v>399</v>
      </c>
      <c r="C546" s="746" t="s">
        <v>671</v>
      </c>
      <c r="D546" s="746"/>
      <c r="E546" s="744">
        <v>130943</v>
      </c>
      <c r="F546" s="745">
        <v>1</v>
      </c>
      <c r="G546" s="1025"/>
      <c r="H546" s="690"/>
      <c r="I546" s="1030">
        <v>90500</v>
      </c>
      <c r="J546" s="690">
        <v>90500</v>
      </c>
      <c r="K546" s="1030"/>
      <c r="L546" s="690"/>
      <c r="M546" s="1025"/>
      <c r="N546" s="1030"/>
      <c r="O546" s="692">
        <f t="shared" si="67"/>
        <v>0</v>
      </c>
      <c r="P546" s="690"/>
      <c r="Q546" s="690"/>
      <c r="R546" s="691">
        <f t="shared" si="68"/>
        <v>0</v>
      </c>
      <c r="S546" s="692">
        <f t="shared" si="69"/>
        <v>90500</v>
      </c>
      <c r="T546" s="693">
        <f t="shared" si="70"/>
        <v>90500</v>
      </c>
      <c r="U546" s="1035"/>
      <c r="V546" s="690"/>
      <c r="W546" s="1025"/>
      <c r="X546" s="1030"/>
      <c r="Y546" s="694">
        <f t="shared" si="71"/>
        <v>0</v>
      </c>
      <c r="Z546" s="690"/>
      <c r="AA546" s="690"/>
      <c r="AB546" s="695">
        <f t="shared" si="72"/>
        <v>0</v>
      </c>
      <c r="AC546" s="1035"/>
      <c r="AD546" s="690"/>
      <c r="AE546" s="1025"/>
      <c r="AF546" s="1030"/>
      <c r="AG546" s="690"/>
      <c r="AH546" s="690"/>
      <c r="AI546" s="696">
        <f t="shared" si="73"/>
        <v>90500</v>
      </c>
      <c r="AJ546" s="697">
        <f t="shared" si="74"/>
        <v>90500</v>
      </c>
    </row>
    <row r="547" spans="1:36" s="698" customFormat="1" ht="12.75" customHeight="1">
      <c r="A547" s="739" t="s">
        <v>208</v>
      </c>
      <c r="B547" s="738" t="s">
        <v>399</v>
      </c>
      <c r="C547" s="746" t="s">
        <v>672</v>
      </c>
      <c r="D547" s="746"/>
      <c r="E547" s="744">
        <v>130943</v>
      </c>
      <c r="F547" s="745">
        <v>1</v>
      </c>
      <c r="G547" s="1025"/>
      <c r="H547" s="690"/>
      <c r="I547" s="1030">
        <v>235100</v>
      </c>
      <c r="J547" s="690">
        <v>235100</v>
      </c>
      <c r="K547" s="1030"/>
      <c r="L547" s="690"/>
      <c r="M547" s="1025"/>
      <c r="N547" s="1030"/>
      <c r="O547" s="692">
        <f t="shared" si="67"/>
        <v>0</v>
      </c>
      <c r="P547" s="690"/>
      <c r="Q547" s="690"/>
      <c r="R547" s="691">
        <f t="shared" si="68"/>
        <v>0</v>
      </c>
      <c r="S547" s="692">
        <f t="shared" si="69"/>
        <v>235100</v>
      </c>
      <c r="T547" s="693">
        <f t="shared" si="70"/>
        <v>235100</v>
      </c>
      <c r="U547" s="1035"/>
      <c r="V547" s="690"/>
      <c r="W547" s="1025"/>
      <c r="X547" s="1030"/>
      <c r="Y547" s="694">
        <f t="shared" si="71"/>
        <v>0</v>
      </c>
      <c r="Z547" s="690"/>
      <c r="AA547" s="690"/>
      <c r="AB547" s="695">
        <f t="shared" si="72"/>
        <v>0</v>
      </c>
      <c r="AC547" s="1035"/>
      <c r="AD547" s="690"/>
      <c r="AE547" s="1025"/>
      <c r="AF547" s="1030"/>
      <c r="AG547" s="690"/>
      <c r="AH547" s="690"/>
      <c r="AI547" s="696">
        <f t="shared" si="73"/>
        <v>235100</v>
      </c>
      <c r="AJ547" s="697">
        <f t="shared" si="74"/>
        <v>235100</v>
      </c>
    </row>
    <row r="548" spans="1:36" s="698" customFormat="1" ht="12.75" customHeight="1">
      <c r="A548" s="739" t="s">
        <v>208</v>
      </c>
      <c r="B548" s="738" t="s">
        <v>399</v>
      </c>
      <c r="C548" s="746" t="s">
        <v>673</v>
      </c>
      <c r="D548" s="746"/>
      <c r="E548" s="744">
        <v>130943</v>
      </c>
      <c r="F548" s="745">
        <v>1</v>
      </c>
      <c r="G548" s="1025"/>
      <c r="H548" s="690"/>
      <c r="I548" s="1030">
        <v>1631600</v>
      </c>
      <c r="J548" s="690">
        <v>1643600</v>
      </c>
      <c r="K548" s="1030"/>
      <c r="L548" s="690"/>
      <c r="M548" s="1025"/>
      <c r="N548" s="1030"/>
      <c r="O548" s="692">
        <f t="shared" si="67"/>
        <v>0</v>
      </c>
      <c r="P548" s="690"/>
      <c r="Q548" s="690"/>
      <c r="R548" s="691">
        <f t="shared" si="68"/>
        <v>0</v>
      </c>
      <c r="S548" s="692">
        <f t="shared" si="69"/>
        <v>1631600</v>
      </c>
      <c r="T548" s="693">
        <f t="shared" si="70"/>
        <v>1643600</v>
      </c>
      <c r="U548" s="1035"/>
      <c r="V548" s="690"/>
      <c r="W548" s="1025"/>
      <c r="X548" s="1030"/>
      <c r="Y548" s="694">
        <f t="shared" si="71"/>
        <v>0</v>
      </c>
      <c r="Z548" s="690"/>
      <c r="AA548" s="690"/>
      <c r="AB548" s="695">
        <f t="shared" si="72"/>
        <v>0</v>
      </c>
      <c r="AC548" s="1035"/>
      <c r="AD548" s="690"/>
      <c r="AE548" s="1025"/>
      <c r="AF548" s="1030"/>
      <c r="AG548" s="690"/>
      <c r="AH548" s="690"/>
      <c r="AI548" s="696">
        <f t="shared" si="73"/>
        <v>1631600</v>
      </c>
      <c r="AJ548" s="697">
        <f t="shared" si="74"/>
        <v>1643600</v>
      </c>
    </row>
    <row r="549" spans="1:36" s="698" customFormat="1" ht="12.75" customHeight="1">
      <c r="A549" s="739" t="s">
        <v>208</v>
      </c>
      <c r="B549" s="738" t="s">
        <v>392</v>
      </c>
      <c r="C549" s="1046" t="s">
        <v>674</v>
      </c>
      <c r="D549" s="1106" t="s">
        <v>1897</v>
      </c>
      <c r="E549" s="744">
        <v>130934</v>
      </c>
      <c r="F549" s="745">
        <v>4</v>
      </c>
      <c r="G549" s="1025">
        <v>35925500</v>
      </c>
      <c r="H549" s="690">
        <v>32210000</v>
      </c>
      <c r="I549" s="1030"/>
      <c r="J549" s="690"/>
      <c r="K549" s="1030"/>
      <c r="L549" s="690"/>
      <c r="M549" s="1025">
        <v>28460062</v>
      </c>
      <c r="N549" s="1030">
        <v>3376989</v>
      </c>
      <c r="O549" s="692">
        <f t="shared" si="67"/>
        <v>31837051</v>
      </c>
      <c r="P549" s="690">
        <v>30715828</v>
      </c>
      <c r="Q549" s="690">
        <v>3344800</v>
      </c>
      <c r="R549" s="691">
        <f t="shared" si="68"/>
        <v>34060628</v>
      </c>
      <c r="S549" s="692">
        <f t="shared" si="69"/>
        <v>64385562</v>
      </c>
      <c r="T549" s="693">
        <f t="shared" si="70"/>
        <v>62925828</v>
      </c>
      <c r="U549" s="1035"/>
      <c r="V549" s="690"/>
      <c r="W549" s="1025"/>
      <c r="X549" s="1030"/>
      <c r="Y549" s="694">
        <f t="shared" si="71"/>
        <v>0</v>
      </c>
      <c r="Z549" s="690"/>
      <c r="AA549" s="690"/>
      <c r="AB549" s="695">
        <f t="shared" si="72"/>
        <v>0</v>
      </c>
      <c r="AC549" s="1035"/>
      <c r="AD549" s="690"/>
      <c r="AE549" s="1025"/>
      <c r="AF549" s="1030"/>
      <c r="AG549" s="690"/>
      <c r="AH549" s="690"/>
      <c r="AI549" s="696">
        <f t="shared" si="73"/>
        <v>64385562</v>
      </c>
      <c r="AJ549" s="697">
        <f t="shared" si="74"/>
        <v>62925828</v>
      </c>
    </row>
    <row r="550" spans="1:36" s="698" customFormat="1" ht="12.75" customHeight="1">
      <c r="A550" s="739" t="s">
        <v>208</v>
      </c>
      <c r="B550" s="739" t="s">
        <v>392</v>
      </c>
      <c r="C550" s="740" t="s">
        <v>675</v>
      </c>
      <c r="D550" s="740"/>
      <c r="E550" s="741">
        <v>130891</v>
      </c>
      <c r="F550" s="742">
        <v>9</v>
      </c>
      <c r="G550" s="1025">
        <v>18222400</v>
      </c>
      <c r="H550" s="690">
        <v>16931900</v>
      </c>
      <c r="I550" s="1030"/>
      <c r="J550" s="690"/>
      <c r="K550" s="1030"/>
      <c r="L550" s="690"/>
      <c r="M550" s="1025">
        <v>12059600</v>
      </c>
      <c r="N550" s="1030"/>
      <c r="O550" s="692">
        <f t="shared" si="67"/>
        <v>12059600</v>
      </c>
      <c r="P550" s="818">
        <v>13136000</v>
      </c>
      <c r="Q550" s="690"/>
      <c r="R550" s="691">
        <f t="shared" si="68"/>
        <v>13136000</v>
      </c>
      <c r="S550" s="692">
        <f t="shared" si="69"/>
        <v>30282000</v>
      </c>
      <c r="T550" s="693">
        <f t="shared" si="70"/>
        <v>30067900</v>
      </c>
      <c r="U550" s="1035"/>
      <c r="V550" s="690"/>
      <c r="W550" s="1025"/>
      <c r="X550" s="1030"/>
      <c r="Y550" s="694">
        <f t="shared" si="71"/>
        <v>0</v>
      </c>
      <c r="Z550" s="690"/>
      <c r="AA550" s="690"/>
      <c r="AB550" s="695">
        <f t="shared" si="72"/>
        <v>0</v>
      </c>
      <c r="AC550" s="1035"/>
      <c r="AD550" s="690"/>
      <c r="AE550" s="1025"/>
      <c r="AF550" s="1030"/>
      <c r="AG550" s="690"/>
      <c r="AH550" s="690"/>
      <c r="AI550" s="696">
        <f t="shared" si="73"/>
        <v>30282000</v>
      </c>
      <c r="AJ550" s="697">
        <f t="shared" si="74"/>
        <v>30067900</v>
      </c>
    </row>
    <row r="551" spans="1:36" s="698" customFormat="1" ht="12.75" customHeight="1">
      <c r="A551" s="739" t="s">
        <v>208</v>
      </c>
      <c r="B551" s="739" t="s">
        <v>392</v>
      </c>
      <c r="C551" s="1047" t="s">
        <v>676</v>
      </c>
      <c r="D551" s="1048" t="s">
        <v>1910</v>
      </c>
      <c r="E551" s="741">
        <v>130916</v>
      </c>
      <c r="F551" s="742">
        <v>9</v>
      </c>
      <c r="G551" s="1025">
        <v>30030190</v>
      </c>
      <c r="H551" s="690">
        <v>28620400</v>
      </c>
      <c r="I551" s="1030"/>
      <c r="J551" s="690"/>
      <c r="K551" s="1030"/>
      <c r="L551" s="690"/>
      <c r="M551" s="1025">
        <v>20072660</v>
      </c>
      <c r="N551" s="1030"/>
      <c r="O551" s="692">
        <f t="shared" si="67"/>
        <v>20072660</v>
      </c>
      <c r="P551" s="818">
        <v>21036000</v>
      </c>
      <c r="Q551" s="690"/>
      <c r="R551" s="691">
        <f t="shared" si="68"/>
        <v>21036000</v>
      </c>
      <c r="S551" s="692">
        <f t="shared" si="69"/>
        <v>50102850</v>
      </c>
      <c r="T551" s="693">
        <f t="shared" si="70"/>
        <v>49656400</v>
      </c>
      <c r="U551" s="1035"/>
      <c r="V551" s="690"/>
      <c r="W551" s="1025"/>
      <c r="X551" s="1030"/>
      <c r="Y551" s="694">
        <f t="shared" si="71"/>
        <v>0</v>
      </c>
      <c r="Z551" s="690"/>
      <c r="AA551" s="690"/>
      <c r="AB551" s="695">
        <f t="shared" si="72"/>
        <v>0</v>
      </c>
      <c r="AC551" s="1035"/>
      <c r="AD551" s="690"/>
      <c r="AE551" s="1025"/>
      <c r="AF551" s="1030"/>
      <c r="AG551" s="690"/>
      <c r="AH551" s="690"/>
      <c r="AI551" s="696">
        <f t="shared" si="73"/>
        <v>50102850</v>
      </c>
      <c r="AJ551" s="697">
        <f t="shared" si="74"/>
        <v>49656400</v>
      </c>
    </row>
    <row r="552" spans="1:36" s="698" customFormat="1" ht="12.75" customHeight="1">
      <c r="A552" s="747" t="s">
        <v>208</v>
      </c>
      <c r="B552" s="739" t="s">
        <v>392</v>
      </c>
      <c r="C552" s="740" t="s">
        <v>677</v>
      </c>
      <c r="D552" s="740"/>
      <c r="E552" s="741">
        <v>130907</v>
      </c>
      <c r="F552" s="742">
        <v>10</v>
      </c>
      <c r="G552" s="1025">
        <v>11335200</v>
      </c>
      <c r="H552" s="690">
        <v>10718000</v>
      </c>
      <c r="I552" s="1030"/>
      <c r="J552" s="690"/>
      <c r="K552" s="1030"/>
      <c r="L552" s="690"/>
      <c r="M552" s="1025">
        <v>8183700</v>
      </c>
      <c r="N552" s="1030"/>
      <c r="O552" s="692">
        <f t="shared" si="67"/>
        <v>8183700</v>
      </c>
      <c r="P552" s="818">
        <v>9107100</v>
      </c>
      <c r="Q552" s="690"/>
      <c r="R552" s="691">
        <f t="shared" si="68"/>
        <v>9107100</v>
      </c>
      <c r="S552" s="692">
        <f t="shared" si="69"/>
        <v>19518900</v>
      </c>
      <c r="T552" s="693">
        <f t="shared" si="70"/>
        <v>19825100</v>
      </c>
      <c r="U552" s="1035"/>
      <c r="V552" s="690"/>
      <c r="W552" s="1025"/>
      <c r="X552" s="1030"/>
      <c r="Y552" s="694">
        <f t="shared" si="71"/>
        <v>0</v>
      </c>
      <c r="Z552" s="690"/>
      <c r="AA552" s="690"/>
      <c r="AB552" s="695">
        <f t="shared" si="72"/>
        <v>0</v>
      </c>
      <c r="AC552" s="1035"/>
      <c r="AD552" s="690"/>
      <c r="AE552" s="1025"/>
      <c r="AF552" s="1030"/>
      <c r="AG552" s="690"/>
      <c r="AH552" s="690"/>
      <c r="AI552" s="696">
        <f t="shared" si="73"/>
        <v>19518900</v>
      </c>
      <c r="AJ552" s="697">
        <f t="shared" si="74"/>
        <v>19825100</v>
      </c>
    </row>
    <row r="553" spans="1:36" s="698" customFormat="1" ht="12.75" customHeight="1">
      <c r="A553" s="739" t="s">
        <v>208</v>
      </c>
      <c r="B553" s="739" t="s">
        <v>431</v>
      </c>
      <c r="C553" s="748" t="s">
        <v>125</v>
      </c>
      <c r="D553" s="748"/>
      <c r="E553" s="741"/>
      <c r="F553" s="742"/>
      <c r="G553" s="1025"/>
      <c r="H553" s="690"/>
      <c r="I553" s="1030"/>
      <c r="J553" s="690"/>
      <c r="K553" s="1030"/>
      <c r="L553" s="690"/>
      <c r="M553" s="1025"/>
      <c r="N553" s="1030"/>
      <c r="O553" s="692">
        <f t="shared" si="67"/>
        <v>0</v>
      </c>
      <c r="P553" s="690"/>
      <c r="Q553" s="690"/>
      <c r="R553" s="691">
        <f t="shared" si="68"/>
        <v>0</v>
      </c>
      <c r="S553" s="692">
        <f t="shared" si="69"/>
        <v>0</v>
      </c>
      <c r="T553" s="693">
        <f t="shared" si="70"/>
        <v>0</v>
      </c>
      <c r="U553" s="1035"/>
      <c r="V553" s="690"/>
      <c r="W553" s="1025"/>
      <c r="X553" s="1030"/>
      <c r="Y553" s="694">
        <f t="shared" si="71"/>
        <v>0</v>
      </c>
      <c r="Z553" s="690"/>
      <c r="AA553" s="690"/>
      <c r="AB553" s="695">
        <f t="shared" si="72"/>
        <v>0</v>
      </c>
      <c r="AC553" s="1035"/>
      <c r="AD553" s="690"/>
      <c r="AE553" s="1025"/>
      <c r="AF553" s="1030"/>
      <c r="AG553" s="690"/>
      <c r="AH553" s="690"/>
      <c r="AI553" s="696">
        <f t="shared" si="73"/>
        <v>0</v>
      </c>
      <c r="AJ553" s="697">
        <f t="shared" si="74"/>
        <v>0</v>
      </c>
    </row>
    <row r="554" spans="1:36" s="698" customFormat="1" ht="12.75" customHeight="1">
      <c r="A554" s="739" t="s">
        <v>208</v>
      </c>
      <c r="B554" s="739" t="s">
        <v>431</v>
      </c>
      <c r="C554" s="746" t="s">
        <v>678</v>
      </c>
      <c r="D554" s="746"/>
      <c r="E554" s="741"/>
      <c r="F554" s="742"/>
      <c r="G554" s="1025"/>
      <c r="H554" s="690"/>
      <c r="I554" s="1030">
        <v>30000</v>
      </c>
      <c r="J554" s="690">
        <v>30000</v>
      </c>
      <c r="K554" s="1030"/>
      <c r="L554" s="690"/>
      <c r="M554" s="1025"/>
      <c r="N554" s="1030"/>
      <c r="O554" s="692">
        <f t="shared" si="67"/>
        <v>0</v>
      </c>
      <c r="P554" s="690"/>
      <c r="Q554" s="690"/>
      <c r="R554" s="691">
        <f t="shared" si="68"/>
        <v>0</v>
      </c>
      <c r="S554" s="692">
        <f t="shared" si="69"/>
        <v>30000</v>
      </c>
      <c r="T554" s="693">
        <f t="shared" si="70"/>
        <v>30000</v>
      </c>
      <c r="U554" s="1035"/>
      <c r="V554" s="690"/>
      <c r="W554" s="1025"/>
      <c r="X554" s="1030"/>
      <c r="Y554" s="694">
        <f t="shared" si="71"/>
        <v>0</v>
      </c>
      <c r="Z554" s="690"/>
      <c r="AA554" s="690"/>
      <c r="AB554" s="695">
        <f t="shared" si="72"/>
        <v>0</v>
      </c>
      <c r="AC554" s="1035"/>
      <c r="AD554" s="690"/>
      <c r="AE554" s="1025"/>
      <c r="AF554" s="1030"/>
      <c r="AG554" s="690"/>
      <c r="AH554" s="690"/>
      <c r="AI554" s="696">
        <f t="shared" si="73"/>
        <v>30000</v>
      </c>
      <c r="AJ554" s="697">
        <f t="shared" si="74"/>
        <v>30000</v>
      </c>
    </row>
    <row r="555" spans="1:36" s="698" customFormat="1" ht="12.75" customHeight="1">
      <c r="A555" s="739" t="s">
        <v>208</v>
      </c>
      <c r="B555" s="739" t="s">
        <v>431</v>
      </c>
      <c r="C555" s="746" t="s">
        <v>679</v>
      </c>
      <c r="D555" s="746"/>
      <c r="E555" s="741"/>
      <c r="F555" s="742"/>
      <c r="G555" s="1025"/>
      <c r="H555" s="690"/>
      <c r="I555" s="1030">
        <v>255000</v>
      </c>
      <c r="J555" s="690">
        <v>255000</v>
      </c>
      <c r="K555" s="1030"/>
      <c r="L555" s="690"/>
      <c r="M555" s="1025"/>
      <c r="N555" s="1030"/>
      <c r="O555" s="692">
        <f t="shared" si="67"/>
        <v>0</v>
      </c>
      <c r="P555" s="690"/>
      <c r="Q555" s="690"/>
      <c r="R555" s="691">
        <f t="shared" si="68"/>
        <v>0</v>
      </c>
      <c r="S555" s="692">
        <f t="shared" si="69"/>
        <v>255000</v>
      </c>
      <c r="T555" s="693">
        <f t="shared" si="70"/>
        <v>255000</v>
      </c>
      <c r="U555" s="1035"/>
      <c r="V555" s="690"/>
      <c r="W555" s="1025"/>
      <c r="X555" s="1030"/>
      <c r="Y555" s="694">
        <f t="shared" si="71"/>
        <v>0</v>
      </c>
      <c r="Z555" s="690"/>
      <c r="AA555" s="690"/>
      <c r="AB555" s="695">
        <f t="shared" si="72"/>
        <v>0</v>
      </c>
      <c r="AC555" s="1035"/>
      <c r="AD555" s="690"/>
      <c r="AE555" s="1025"/>
      <c r="AF555" s="1030"/>
      <c r="AG555" s="690"/>
      <c r="AH555" s="690"/>
      <c r="AI555" s="696">
        <f t="shared" si="73"/>
        <v>255000</v>
      </c>
      <c r="AJ555" s="697">
        <f t="shared" si="74"/>
        <v>255000</v>
      </c>
    </row>
    <row r="556" spans="1:36" s="698" customFormat="1" ht="12.75" customHeight="1">
      <c r="A556" s="739" t="s">
        <v>208</v>
      </c>
      <c r="B556" s="739" t="s">
        <v>431</v>
      </c>
      <c r="C556" s="746" t="s">
        <v>680</v>
      </c>
      <c r="D556" s="746"/>
      <c r="E556" s="741"/>
      <c r="F556" s="742"/>
      <c r="G556" s="1025"/>
      <c r="H556" s="690"/>
      <c r="I556" s="1030">
        <v>3123896</v>
      </c>
      <c r="J556" s="690">
        <v>1957100</v>
      </c>
      <c r="K556" s="1030"/>
      <c r="L556" s="690"/>
      <c r="M556" s="1025"/>
      <c r="N556" s="1030"/>
      <c r="O556" s="692">
        <f t="shared" si="67"/>
        <v>0</v>
      </c>
      <c r="P556" s="690"/>
      <c r="Q556" s="690"/>
      <c r="R556" s="691">
        <f t="shared" si="68"/>
        <v>0</v>
      </c>
      <c r="S556" s="692">
        <f t="shared" si="69"/>
        <v>3123896</v>
      </c>
      <c r="T556" s="693">
        <f t="shared" si="70"/>
        <v>1957100</v>
      </c>
      <c r="U556" s="1035"/>
      <c r="V556" s="690"/>
      <c r="W556" s="1025"/>
      <c r="X556" s="1030"/>
      <c r="Y556" s="694">
        <f t="shared" si="71"/>
        <v>0</v>
      </c>
      <c r="Z556" s="690"/>
      <c r="AA556" s="690"/>
      <c r="AB556" s="695">
        <f t="shared" si="72"/>
        <v>0</v>
      </c>
      <c r="AC556" s="1035"/>
      <c r="AD556" s="690"/>
      <c r="AE556" s="1025"/>
      <c r="AF556" s="1030"/>
      <c r="AG556" s="690"/>
      <c r="AH556" s="690"/>
      <c r="AI556" s="696">
        <f t="shared" si="73"/>
        <v>3123896</v>
      </c>
      <c r="AJ556" s="697">
        <f t="shared" si="74"/>
        <v>1957100</v>
      </c>
    </row>
    <row r="557" spans="1:36" s="698" customFormat="1" ht="12.75" customHeight="1">
      <c r="A557" s="739" t="s">
        <v>208</v>
      </c>
      <c r="B557" s="739" t="s">
        <v>431</v>
      </c>
      <c r="C557" s="746" t="s">
        <v>681</v>
      </c>
      <c r="D557" s="746"/>
      <c r="E557" s="741"/>
      <c r="F557" s="742"/>
      <c r="G557" s="1025"/>
      <c r="H557" s="690"/>
      <c r="I557" s="1030">
        <v>0</v>
      </c>
      <c r="J557" s="690"/>
      <c r="K557" s="1030"/>
      <c r="L557" s="690"/>
      <c r="M557" s="1025"/>
      <c r="N557" s="1030"/>
      <c r="O557" s="692">
        <f t="shared" si="67"/>
        <v>0</v>
      </c>
      <c r="P557" s="690"/>
      <c r="Q557" s="690"/>
      <c r="R557" s="691">
        <f t="shared" si="68"/>
        <v>0</v>
      </c>
      <c r="S557" s="692">
        <f t="shared" si="69"/>
        <v>0</v>
      </c>
      <c r="T557" s="693">
        <f t="shared" si="70"/>
        <v>0</v>
      </c>
      <c r="U557" s="1035"/>
      <c r="V557" s="690"/>
      <c r="W557" s="1025"/>
      <c r="X557" s="1030"/>
      <c r="Y557" s="694">
        <f t="shared" si="71"/>
        <v>0</v>
      </c>
      <c r="Z557" s="690"/>
      <c r="AA557" s="690"/>
      <c r="AB557" s="695">
        <f t="shared" si="72"/>
        <v>0</v>
      </c>
      <c r="AC557" s="1035"/>
      <c r="AD557" s="690"/>
      <c r="AE557" s="1025"/>
      <c r="AF557" s="1030"/>
      <c r="AG557" s="690"/>
      <c r="AH557" s="690"/>
      <c r="AI557" s="696">
        <f t="shared" si="73"/>
        <v>0</v>
      </c>
      <c r="AJ557" s="697">
        <f t="shared" si="74"/>
        <v>0</v>
      </c>
    </row>
    <row r="558" spans="1:36" s="698" customFormat="1" ht="12.75" customHeight="1">
      <c r="A558" s="739" t="s">
        <v>208</v>
      </c>
      <c r="B558" s="739" t="s">
        <v>409</v>
      </c>
      <c r="C558" s="748" t="s">
        <v>180</v>
      </c>
      <c r="D558" s="748"/>
      <c r="E558" s="741"/>
      <c r="F558" s="742"/>
      <c r="G558" s="1025"/>
      <c r="H558" s="690"/>
      <c r="I558" s="1030"/>
      <c r="J558" s="690"/>
      <c r="K558" s="1030"/>
      <c r="L558" s="690"/>
      <c r="M558" s="1025"/>
      <c r="N558" s="1030"/>
      <c r="O558" s="692">
        <f t="shared" si="67"/>
        <v>0</v>
      </c>
      <c r="P558" s="690"/>
      <c r="Q558" s="690"/>
      <c r="R558" s="691">
        <f t="shared" si="68"/>
        <v>0</v>
      </c>
      <c r="S558" s="692">
        <f t="shared" si="69"/>
        <v>0</v>
      </c>
      <c r="T558" s="693">
        <f t="shared" si="70"/>
        <v>0</v>
      </c>
      <c r="U558" s="1035"/>
      <c r="V558" s="690"/>
      <c r="W558" s="1025"/>
      <c r="X558" s="1030"/>
      <c r="Y558" s="694">
        <f t="shared" si="71"/>
        <v>0</v>
      </c>
      <c r="Z558" s="690"/>
      <c r="AA558" s="690"/>
      <c r="AB558" s="695">
        <f t="shared" si="72"/>
        <v>0</v>
      </c>
      <c r="AC558" s="1035"/>
      <c r="AD558" s="690"/>
      <c r="AE558" s="1025"/>
      <c r="AF558" s="1030"/>
      <c r="AG558" s="690"/>
      <c r="AH558" s="690"/>
      <c r="AI558" s="696">
        <f t="shared" si="73"/>
        <v>0</v>
      </c>
      <c r="AJ558" s="697">
        <f t="shared" si="74"/>
        <v>0</v>
      </c>
    </row>
    <row r="559" spans="1:36" s="698" customFormat="1" ht="12.75" customHeight="1">
      <c r="A559" s="739" t="s">
        <v>208</v>
      </c>
      <c r="B559" s="739" t="s">
        <v>410</v>
      </c>
      <c r="C559" s="749" t="s">
        <v>200</v>
      </c>
      <c r="D559" s="749"/>
      <c r="E559" s="741"/>
      <c r="F559" s="742"/>
      <c r="G559" s="1025"/>
      <c r="H559" s="690"/>
      <c r="I559" s="1030"/>
      <c r="J559" s="690"/>
      <c r="K559" s="1030"/>
      <c r="L559" s="690"/>
      <c r="M559" s="1025"/>
      <c r="N559" s="1030"/>
      <c r="O559" s="692">
        <f t="shared" si="67"/>
        <v>0</v>
      </c>
      <c r="P559" s="690"/>
      <c r="Q559" s="690"/>
      <c r="R559" s="691">
        <f t="shared" si="68"/>
        <v>0</v>
      </c>
      <c r="S559" s="692">
        <f t="shared" si="69"/>
        <v>0</v>
      </c>
      <c r="T559" s="693">
        <f t="shared" si="70"/>
        <v>0</v>
      </c>
      <c r="U559" s="1035"/>
      <c r="V559" s="690"/>
      <c r="W559" s="1025"/>
      <c r="X559" s="1030"/>
      <c r="Y559" s="694">
        <f t="shared" si="71"/>
        <v>0</v>
      </c>
      <c r="Z559" s="690"/>
      <c r="AA559" s="690"/>
      <c r="AB559" s="695">
        <f t="shared" si="72"/>
        <v>0</v>
      </c>
      <c r="AC559" s="1035"/>
      <c r="AD559" s="690"/>
      <c r="AE559" s="1025"/>
      <c r="AF559" s="1030"/>
      <c r="AG559" s="690"/>
      <c r="AH559" s="690"/>
      <c r="AI559" s="696">
        <f t="shared" si="73"/>
        <v>0</v>
      </c>
      <c r="AJ559" s="697">
        <f t="shared" si="74"/>
        <v>0</v>
      </c>
    </row>
    <row r="560" spans="1:36" s="698" customFormat="1" ht="12.75" customHeight="1">
      <c r="A560" s="739" t="s">
        <v>208</v>
      </c>
      <c r="B560" s="739" t="s">
        <v>410</v>
      </c>
      <c r="C560" s="750" t="s">
        <v>682</v>
      </c>
      <c r="D560" s="750"/>
      <c r="E560" s="741"/>
      <c r="F560" s="742"/>
      <c r="G560" s="1025"/>
      <c r="H560" s="690"/>
      <c r="I560" s="1030"/>
      <c r="J560" s="690"/>
      <c r="K560" s="1030"/>
      <c r="L560" s="690"/>
      <c r="M560" s="1025"/>
      <c r="N560" s="1030"/>
      <c r="O560" s="692">
        <f t="shared" si="67"/>
        <v>0</v>
      </c>
      <c r="P560" s="690"/>
      <c r="Q560" s="690"/>
      <c r="R560" s="691">
        <f t="shared" si="68"/>
        <v>0</v>
      </c>
      <c r="S560" s="692">
        <f t="shared" si="69"/>
        <v>0</v>
      </c>
      <c r="T560" s="693">
        <f t="shared" si="70"/>
        <v>0</v>
      </c>
      <c r="U560" s="1035">
        <v>843800</v>
      </c>
      <c r="V560" s="690">
        <v>842200</v>
      </c>
      <c r="W560" s="1025"/>
      <c r="X560" s="1030"/>
      <c r="Y560" s="694">
        <f t="shared" si="71"/>
        <v>0</v>
      </c>
      <c r="Z560" s="690"/>
      <c r="AA560" s="690"/>
      <c r="AB560" s="695">
        <f t="shared" si="72"/>
        <v>0</v>
      </c>
      <c r="AC560" s="1035"/>
      <c r="AD560" s="690"/>
      <c r="AE560" s="1025"/>
      <c r="AF560" s="1030"/>
      <c r="AG560" s="690"/>
      <c r="AH560" s="690"/>
      <c r="AI560" s="696">
        <f t="shared" si="73"/>
        <v>843800</v>
      </c>
      <c r="AJ560" s="697">
        <f t="shared" si="74"/>
        <v>842200</v>
      </c>
    </row>
    <row r="561" spans="1:36" s="698" customFormat="1" ht="12.75" customHeight="1">
      <c r="A561" s="739" t="s">
        <v>208</v>
      </c>
      <c r="B561" s="739" t="s">
        <v>411</v>
      </c>
      <c r="C561" s="749" t="s">
        <v>199</v>
      </c>
      <c r="D561" s="749"/>
      <c r="E561" s="741"/>
      <c r="F561" s="742"/>
      <c r="G561" s="1025"/>
      <c r="H561" s="690"/>
      <c r="I561" s="1030"/>
      <c r="J561" s="690"/>
      <c r="K561" s="1030"/>
      <c r="L561" s="690"/>
      <c r="M561" s="1025"/>
      <c r="N561" s="1030"/>
      <c r="O561" s="692">
        <f t="shared" si="67"/>
        <v>0</v>
      </c>
      <c r="P561" s="690"/>
      <c r="Q561" s="690"/>
      <c r="R561" s="691">
        <f t="shared" si="68"/>
        <v>0</v>
      </c>
      <c r="S561" s="692">
        <f t="shared" si="69"/>
        <v>0</v>
      </c>
      <c r="T561" s="693">
        <f t="shared" si="70"/>
        <v>0</v>
      </c>
      <c r="U561" s="1035"/>
      <c r="V561" s="690"/>
      <c r="W561" s="1025"/>
      <c r="X561" s="1030"/>
      <c r="Y561" s="694">
        <f t="shared" si="71"/>
        <v>0</v>
      </c>
      <c r="Z561" s="690"/>
      <c r="AA561" s="690"/>
      <c r="AB561" s="695">
        <f t="shared" si="72"/>
        <v>0</v>
      </c>
      <c r="AC561" s="1035"/>
      <c r="AD561" s="690"/>
      <c r="AE561" s="1025"/>
      <c r="AF561" s="1030"/>
      <c r="AG561" s="690"/>
      <c r="AH561" s="690"/>
      <c r="AI561" s="696">
        <f t="shared" si="73"/>
        <v>0</v>
      </c>
      <c r="AJ561" s="697">
        <f t="shared" si="74"/>
        <v>0</v>
      </c>
    </row>
    <row r="562" spans="1:36" s="698" customFormat="1" ht="12.75" customHeight="1">
      <c r="A562" s="739" t="s">
        <v>208</v>
      </c>
      <c r="B562" s="739" t="s">
        <v>411</v>
      </c>
      <c r="C562" s="750" t="s">
        <v>683</v>
      </c>
      <c r="D562" s="750"/>
      <c r="E562" s="741"/>
      <c r="F562" s="742"/>
      <c r="G562" s="1025"/>
      <c r="H562" s="690"/>
      <c r="I562" s="1030"/>
      <c r="J562" s="690"/>
      <c r="K562" s="1030"/>
      <c r="L562" s="690"/>
      <c r="M562" s="1025"/>
      <c r="N562" s="1030"/>
      <c r="O562" s="692">
        <f t="shared" si="67"/>
        <v>0</v>
      </c>
      <c r="P562" s="690"/>
      <c r="Q562" s="690"/>
      <c r="R562" s="691">
        <f t="shared" si="68"/>
        <v>0</v>
      </c>
      <c r="S562" s="692">
        <f t="shared" si="69"/>
        <v>0</v>
      </c>
      <c r="T562" s="693">
        <f t="shared" si="70"/>
        <v>0</v>
      </c>
      <c r="U562" s="1035">
        <v>6053900</v>
      </c>
      <c r="V562" s="690">
        <v>7937900</v>
      </c>
      <c r="W562" s="1025"/>
      <c r="X562" s="1030"/>
      <c r="Y562" s="694">
        <f t="shared" si="71"/>
        <v>0</v>
      </c>
      <c r="Z562" s="690"/>
      <c r="AA562" s="690"/>
      <c r="AB562" s="695">
        <f t="shared" si="72"/>
        <v>0</v>
      </c>
      <c r="AC562" s="1035"/>
      <c r="AD562" s="690"/>
      <c r="AE562" s="1025"/>
      <c r="AF562" s="1030"/>
      <c r="AG562" s="690"/>
      <c r="AH562" s="690"/>
      <c r="AI562" s="696">
        <f t="shared" si="73"/>
        <v>6053900</v>
      </c>
      <c r="AJ562" s="697">
        <f t="shared" si="74"/>
        <v>7937900</v>
      </c>
    </row>
    <row r="563" spans="1:36" s="698" customFormat="1" ht="12.75" customHeight="1">
      <c r="A563" s="739" t="s">
        <v>208</v>
      </c>
      <c r="B563" s="739" t="s">
        <v>412</v>
      </c>
      <c r="C563" s="749" t="s">
        <v>198</v>
      </c>
      <c r="D563" s="749"/>
      <c r="E563" s="741"/>
      <c r="F563" s="742"/>
      <c r="G563" s="1025"/>
      <c r="H563" s="690"/>
      <c r="I563" s="1030"/>
      <c r="J563" s="690"/>
      <c r="K563" s="1030"/>
      <c r="L563" s="690"/>
      <c r="M563" s="1025"/>
      <c r="N563" s="1030"/>
      <c r="O563" s="692">
        <f t="shared" si="67"/>
        <v>0</v>
      </c>
      <c r="P563" s="690"/>
      <c r="Q563" s="690"/>
      <c r="R563" s="691">
        <f t="shared" si="68"/>
        <v>0</v>
      </c>
      <c r="S563" s="692">
        <f t="shared" si="69"/>
        <v>0</v>
      </c>
      <c r="T563" s="693">
        <f t="shared" si="70"/>
        <v>0</v>
      </c>
      <c r="U563" s="1035"/>
      <c r="V563" s="690"/>
      <c r="W563" s="1025"/>
      <c r="X563" s="1030"/>
      <c r="Y563" s="694">
        <f t="shared" si="71"/>
        <v>0</v>
      </c>
      <c r="Z563" s="690"/>
      <c r="AA563" s="690"/>
      <c r="AB563" s="695">
        <f t="shared" si="72"/>
        <v>0</v>
      </c>
      <c r="AC563" s="1035"/>
      <c r="AD563" s="690"/>
      <c r="AE563" s="1025"/>
      <c r="AF563" s="1030"/>
      <c r="AG563" s="690"/>
      <c r="AH563" s="690"/>
      <c r="AI563" s="696">
        <f t="shared" si="73"/>
        <v>0</v>
      </c>
      <c r="AJ563" s="697">
        <f t="shared" si="74"/>
        <v>0</v>
      </c>
    </row>
    <row r="564" spans="1:36" s="698" customFormat="1" ht="12.75" customHeight="1">
      <c r="A564" s="739" t="s">
        <v>208</v>
      </c>
      <c r="B564" s="739" t="s">
        <v>412</v>
      </c>
      <c r="C564" s="750" t="s">
        <v>684</v>
      </c>
      <c r="D564" s="750"/>
      <c r="E564" s="741"/>
      <c r="F564" s="742"/>
      <c r="G564" s="1025"/>
      <c r="H564" s="690"/>
      <c r="I564" s="1030"/>
      <c r="J564" s="690"/>
      <c r="K564" s="1030"/>
      <c r="L564" s="690"/>
      <c r="M564" s="1025"/>
      <c r="N564" s="1030"/>
      <c r="O564" s="692">
        <f t="shared" si="67"/>
        <v>0</v>
      </c>
      <c r="P564" s="690"/>
      <c r="Q564" s="690"/>
      <c r="R564" s="691">
        <f t="shared" si="68"/>
        <v>0</v>
      </c>
      <c r="S564" s="692">
        <f t="shared" si="69"/>
        <v>0</v>
      </c>
      <c r="T564" s="693">
        <f t="shared" si="70"/>
        <v>0</v>
      </c>
      <c r="U564" s="1035">
        <v>193550</v>
      </c>
      <c r="V564" s="690">
        <v>197425</v>
      </c>
      <c r="W564" s="1025"/>
      <c r="X564" s="1030"/>
      <c r="Y564" s="694">
        <f t="shared" si="71"/>
        <v>0</v>
      </c>
      <c r="Z564" s="690"/>
      <c r="AA564" s="690"/>
      <c r="AB564" s="695">
        <f t="shared" si="72"/>
        <v>0</v>
      </c>
      <c r="AC564" s="1035"/>
      <c r="AD564" s="690"/>
      <c r="AE564" s="1025"/>
      <c r="AF564" s="1030"/>
      <c r="AG564" s="690"/>
      <c r="AH564" s="690"/>
      <c r="AI564" s="696">
        <f t="shared" si="73"/>
        <v>193550</v>
      </c>
      <c r="AJ564" s="697">
        <f t="shared" si="74"/>
        <v>197425</v>
      </c>
    </row>
    <row r="565" spans="1:36" s="698" customFormat="1" ht="12.75" customHeight="1">
      <c r="A565" s="739" t="s">
        <v>208</v>
      </c>
      <c r="B565" s="739" t="s">
        <v>413</v>
      </c>
      <c r="C565" s="749" t="s">
        <v>685</v>
      </c>
      <c r="D565" s="749"/>
      <c r="E565" s="741"/>
      <c r="F565" s="742"/>
      <c r="G565" s="1025"/>
      <c r="H565" s="690"/>
      <c r="I565" s="1030"/>
      <c r="J565" s="690"/>
      <c r="K565" s="1030"/>
      <c r="L565" s="690"/>
      <c r="M565" s="1025"/>
      <c r="N565" s="1030"/>
      <c r="O565" s="692">
        <f t="shared" si="67"/>
        <v>0</v>
      </c>
      <c r="P565" s="690"/>
      <c r="Q565" s="690"/>
      <c r="R565" s="691">
        <f t="shared" si="68"/>
        <v>0</v>
      </c>
      <c r="S565" s="692">
        <f t="shared" si="69"/>
        <v>0</v>
      </c>
      <c r="T565" s="693">
        <f t="shared" si="70"/>
        <v>0</v>
      </c>
      <c r="U565" s="1035"/>
      <c r="V565" s="690"/>
      <c r="W565" s="1025"/>
      <c r="X565" s="1030"/>
      <c r="Y565" s="694">
        <f t="shared" si="71"/>
        <v>0</v>
      </c>
      <c r="Z565" s="690"/>
      <c r="AA565" s="690"/>
      <c r="AB565" s="695">
        <f t="shared" si="72"/>
        <v>0</v>
      </c>
      <c r="AC565" s="1035"/>
      <c r="AD565" s="690"/>
      <c r="AE565" s="1025"/>
      <c r="AF565" s="1030"/>
      <c r="AG565" s="690"/>
      <c r="AH565" s="690"/>
      <c r="AI565" s="696">
        <f t="shared" si="73"/>
        <v>0</v>
      </c>
      <c r="AJ565" s="697">
        <f t="shared" si="74"/>
        <v>0</v>
      </c>
    </row>
    <row r="566" spans="1:36" s="698" customFormat="1" ht="12.75" customHeight="1">
      <c r="A566" s="739" t="s">
        <v>208</v>
      </c>
      <c r="B566" s="739" t="s">
        <v>414</v>
      </c>
      <c r="C566" s="748" t="s">
        <v>428</v>
      </c>
      <c r="D566" s="748"/>
      <c r="E566" s="741"/>
      <c r="F566" s="742"/>
      <c r="G566" s="1025"/>
      <c r="H566" s="690"/>
      <c r="I566" s="1030"/>
      <c r="J566" s="690"/>
      <c r="K566" s="1030"/>
      <c r="L566" s="690"/>
      <c r="M566" s="1025"/>
      <c r="N566" s="1030"/>
      <c r="O566" s="692">
        <f t="shared" si="67"/>
        <v>0</v>
      </c>
      <c r="P566" s="690"/>
      <c r="Q566" s="690"/>
      <c r="R566" s="691">
        <f t="shared" si="68"/>
        <v>0</v>
      </c>
      <c r="S566" s="692">
        <f t="shared" si="69"/>
        <v>0</v>
      </c>
      <c r="T566" s="693">
        <f t="shared" si="70"/>
        <v>0</v>
      </c>
      <c r="U566" s="1035"/>
      <c r="V566" s="690"/>
      <c r="W566" s="1025"/>
      <c r="X566" s="1030"/>
      <c r="Y566" s="694">
        <f t="shared" si="71"/>
        <v>0</v>
      </c>
      <c r="Z566" s="690"/>
      <c r="AA566" s="690"/>
      <c r="AB566" s="695">
        <f t="shared" si="72"/>
        <v>0</v>
      </c>
      <c r="AC566" s="1035"/>
      <c r="AD566" s="690"/>
      <c r="AE566" s="1025"/>
      <c r="AF566" s="1030"/>
      <c r="AG566" s="690"/>
      <c r="AH566" s="690"/>
      <c r="AI566" s="696">
        <f t="shared" si="73"/>
        <v>0</v>
      </c>
      <c r="AJ566" s="697">
        <f t="shared" si="74"/>
        <v>0</v>
      </c>
    </row>
    <row r="567" spans="1:36" s="698" customFormat="1" ht="12.75" customHeight="1">
      <c r="A567" s="739" t="s">
        <v>208</v>
      </c>
      <c r="B567" s="739" t="s">
        <v>415</v>
      </c>
      <c r="C567" s="748" t="s">
        <v>251</v>
      </c>
      <c r="D567" s="748"/>
      <c r="E567" s="741"/>
      <c r="F567" s="742"/>
      <c r="G567" s="1025"/>
      <c r="H567" s="690"/>
      <c r="I567" s="1030"/>
      <c r="J567" s="690"/>
      <c r="K567" s="1030"/>
      <c r="L567" s="690"/>
      <c r="M567" s="1025"/>
      <c r="N567" s="1030"/>
      <c r="O567" s="692">
        <f t="shared" si="67"/>
        <v>0</v>
      </c>
      <c r="P567" s="690"/>
      <c r="Q567" s="690"/>
      <c r="R567" s="691">
        <f t="shared" si="68"/>
        <v>0</v>
      </c>
      <c r="S567" s="692">
        <f t="shared" si="69"/>
        <v>0</v>
      </c>
      <c r="T567" s="693">
        <f t="shared" si="70"/>
        <v>0</v>
      </c>
      <c r="U567" s="1035"/>
      <c r="V567" s="690"/>
      <c r="W567" s="1025"/>
      <c r="X567" s="1030"/>
      <c r="Y567" s="694">
        <f t="shared" si="71"/>
        <v>0</v>
      </c>
      <c r="Z567" s="690"/>
      <c r="AA567" s="690"/>
      <c r="AB567" s="695">
        <f t="shared" si="72"/>
        <v>0</v>
      </c>
      <c r="AC567" s="1035"/>
      <c r="AD567" s="690"/>
      <c r="AE567" s="1025"/>
      <c r="AF567" s="1030"/>
      <c r="AG567" s="690"/>
      <c r="AH567" s="690"/>
      <c r="AI567" s="696">
        <f t="shared" si="73"/>
        <v>0</v>
      </c>
      <c r="AJ567" s="697">
        <f t="shared" si="74"/>
        <v>0</v>
      </c>
    </row>
    <row r="568" spans="1:36" s="698" customFormat="1" ht="12.75" customHeight="1">
      <c r="A568" s="739" t="s">
        <v>208</v>
      </c>
      <c r="B568" s="739" t="s">
        <v>416</v>
      </c>
      <c r="C568" s="749" t="s">
        <v>166</v>
      </c>
      <c r="D568" s="749"/>
      <c r="E568" s="741"/>
      <c r="F568" s="742"/>
      <c r="G568" s="1025"/>
      <c r="H568" s="690"/>
      <c r="I568" s="1030"/>
      <c r="J568" s="690"/>
      <c r="K568" s="1030"/>
      <c r="L568" s="690"/>
      <c r="M568" s="1025"/>
      <c r="N568" s="1030"/>
      <c r="O568" s="692">
        <f t="shared" si="67"/>
        <v>0</v>
      </c>
      <c r="P568" s="690"/>
      <c r="Q568" s="690"/>
      <c r="R568" s="691">
        <f t="shared" si="68"/>
        <v>0</v>
      </c>
      <c r="S568" s="692">
        <f t="shared" si="69"/>
        <v>0</v>
      </c>
      <c r="T568" s="693">
        <f t="shared" si="70"/>
        <v>0</v>
      </c>
      <c r="U568" s="1035"/>
      <c r="V568" s="690"/>
      <c r="W568" s="1025"/>
      <c r="X568" s="1030"/>
      <c r="Y568" s="694">
        <f t="shared" si="71"/>
        <v>0</v>
      </c>
      <c r="Z568" s="690"/>
      <c r="AA568" s="690"/>
      <c r="AB568" s="695">
        <f t="shared" si="72"/>
        <v>0</v>
      </c>
      <c r="AC568" s="1035"/>
      <c r="AD568" s="690"/>
      <c r="AE568" s="1025"/>
      <c r="AF568" s="1030"/>
      <c r="AG568" s="690"/>
      <c r="AH568" s="690"/>
      <c r="AI568" s="696">
        <f t="shared" si="73"/>
        <v>0</v>
      </c>
      <c r="AJ568" s="697">
        <f t="shared" si="74"/>
        <v>0</v>
      </c>
    </row>
    <row r="569" spans="1:36" s="698" customFormat="1" ht="12.75" customHeight="1">
      <c r="A569" s="739" t="s">
        <v>208</v>
      </c>
      <c r="B569" s="739" t="s">
        <v>416</v>
      </c>
      <c r="C569" s="746" t="s">
        <v>686</v>
      </c>
      <c r="D569" s="746"/>
      <c r="E569" s="741"/>
      <c r="F569" s="742"/>
      <c r="G569" s="1025"/>
      <c r="H569" s="690"/>
      <c r="I569" s="1030"/>
      <c r="J569" s="690"/>
      <c r="K569" s="1030"/>
      <c r="L569" s="690"/>
      <c r="M569" s="1025"/>
      <c r="N569" s="1030"/>
      <c r="O569" s="692">
        <f t="shared" si="67"/>
        <v>0</v>
      </c>
      <c r="P569" s="690"/>
      <c r="Q569" s="690"/>
      <c r="R569" s="691">
        <f t="shared" si="68"/>
        <v>0</v>
      </c>
      <c r="S569" s="692">
        <f t="shared" si="69"/>
        <v>0</v>
      </c>
      <c r="T569" s="693">
        <f t="shared" si="70"/>
        <v>0</v>
      </c>
      <c r="U569" s="1035">
        <v>2130000</v>
      </c>
      <c r="V569" s="690">
        <v>2130000</v>
      </c>
      <c r="W569" s="1025"/>
      <c r="X569" s="1030"/>
      <c r="Y569" s="694">
        <f t="shared" si="71"/>
        <v>0</v>
      </c>
      <c r="Z569" s="690"/>
      <c r="AA569" s="690"/>
      <c r="AB569" s="695">
        <f t="shared" si="72"/>
        <v>0</v>
      </c>
      <c r="AC569" s="1035"/>
      <c r="AD569" s="690"/>
      <c r="AE569" s="1025"/>
      <c r="AF569" s="1030"/>
      <c r="AG569" s="690"/>
      <c r="AH569" s="690"/>
      <c r="AI569" s="696">
        <f t="shared" si="73"/>
        <v>2130000</v>
      </c>
      <c r="AJ569" s="697">
        <f t="shared" si="74"/>
        <v>2130000</v>
      </c>
    </row>
    <row r="570" spans="1:36" s="698" customFormat="1" ht="12.75" customHeight="1">
      <c r="A570" s="739" t="s">
        <v>208</v>
      </c>
      <c r="B570" s="739" t="s">
        <v>417</v>
      </c>
      <c r="C570" s="749" t="s">
        <v>168</v>
      </c>
      <c r="D570" s="749"/>
      <c r="E570" s="741"/>
      <c r="F570" s="742"/>
      <c r="G570" s="1025"/>
      <c r="H570" s="690"/>
      <c r="I570" s="1030"/>
      <c r="J570" s="690"/>
      <c r="K570" s="1030"/>
      <c r="L570" s="690"/>
      <c r="M570" s="1025"/>
      <c r="N570" s="1030"/>
      <c r="O570" s="692">
        <f t="shared" si="67"/>
        <v>0</v>
      </c>
      <c r="P570" s="690"/>
      <c r="Q570" s="690"/>
      <c r="R570" s="691">
        <f t="shared" si="68"/>
        <v>0</v>
      </c>
      <c r="S570" s="692">
        <f t="shared" si="69"/>
        <v>0</v>
      </c>
      <c r="T570" s="693">
        <f t="shared" si="70"/>
        <v>0</v>
      </c>
      <c r="U570" s="1035"/>
      <c r="V570" s="690"/>
      <c r="W570" s="1025"/>
      <c r="X570" s="1030"/>
      <c r="Y570" s="694">
        <f t="shared" si="71"/>
        <v>0</v>
      </c>
      <c r="Z570" s="690"/>
      <c r="AA570" s="690"/>
      <c r="AB570" s="695">
        <f t="shared" si="72"/>
        <v>0</v>
      </c>
      <c r="AC570" s="1035"/>
      <c r="AD570" s="690"/>
      <c r="AE570" s="1025"/>
      <c r="AF570" s="1030"/>
      <c r="AG570" s="690"/>
      <c r="AH570" s="690"/>
      <c r="AI570" s="696">
        <f t="shared" si="73"/>
        <v>0</v>
      </c>
      <c r="AJ570" s="697">
        <f t="shared" si="74"/>
        <v>0</v>
      </c>
    </row>
    <row r="571" spans="1:36" s="698" customFormat="1" ht="12.75" customHeight="1">
      <c r="A571" s="739" t="s">
        <v>208</v>
      </c>
      <c r="B571" s="739" t="s">
        <v>417</v>
      </c>
      <c r="C571" s="751" t="s">
        <v>687</v>
      </c>
      <c r="D571" s="751"/>
      <c r="E571" s="741"/>
      <c r="F571" s="742"/>
      <c r="G571" s="1025"/>
      <c r="H571" s="690"/>
      <c r="I571" s="1030"/>
      <c r="J571" s="690"/>
      <c r="K571" s="1030"/>
      <c r="L571" s="690"/>
      <c r="M571" s="1025"/>
      <c r="N571" s="1030"/>
      <c r="O571" s="692">
        <f t="shared" si="67"/>
        <v>0</v>
      </c>
      <c r="P571" s="690"/>
      <c r="Q571" s="690"/>
      <c r="R571" s="691">
        <f t="shared" si="68"/>
        <v>0</v>
      </c>
      <c r="S571" s="692">
        <f t="shared" si="69"/>
        <v>0</v>
      </c>
      <c r="T571" s="693">
        <f t="shared" si="70"/>
        <v>0</v>
      </c>
      <c r="U571" s="1035">
        <v>314600</v>
      </c>
      <c r="V571" s="690">
        <v>314600</v>
      </c>
      <c r="W571" s="1025"/>
      <c r="X571" s="1030"/>
      <c r="Y571" s="694">
        <f t="shared" si="71"/>
        <v>0</v>
      </c>
      <c r="Z571" s="690"/>
      <c r="AA571" s="690"/>
      <c r="AB571" s="695">
        <f t="shared" si="72"/>
        <v>0</v>
      </c>
      <c r="AC571" s="1035"/>
      <c r="AD571" s="690"/>
      <c r="AE571" s="1025"/>
      <c r="AF571" s="1030"/>
      <c r="AG571" s="690"/>
      <c r="AH571" s="690"/>
      <c r="AI571" s="696">
        <f t="shared" si="73"/>
        <v>314600</v>
      </c>
      <c r="AJ571" s="697">
        <f t="shared" si="74"/>
        <v>314600</v>
      </c>
    </row>
    <row r="572" spans="1:36" s="698" customFormat="1" ht="12.75" customHeight="1">
      <c r="A572" s="747" t="s">
        <v>208</v>
      </c>
      <c r="B572" s="739" t="s">
        <v>417</v>
      </c>
      <c r="C572" s="746" t="s">
        <v>688</v>
      </c>
      <c r="D572" s="746"/>
      <c r="E572" s="741"/>
      <c r="F572" s="742"/>
      <c r="G572" s="1025"/>
      <c r="H572" s="690"/>
      <c r="I572" s="1030"/>
      <c r="J572" s="690"/>
      <c r="K572" s="1030"/>
      <c r="L572" s="690"/>
      <c r="M572" s="1025"/>
      <c r="N572" s="1030"/>
      <c r="O572" s="692">
        <f t="shared" si="67"/>
        <v>0</v>
      </c>
      <c r="P572" s="690"/>
      <c r="Q572" s="690"/>
      <c r="R572" s="691">
        <f t="shared" si="68"/>
        <v>0</v>
      </c>
      <c r="S572" s="692">
        <f t="shared" si="69"/>
        <v>0</v>
      </c>
      <c r="T572" s="693">
        <f t="shared" si="70"/>
        <v>0</v>
      </c>
      <c r="U572" s="1035">
        <v>563000</v>
      </c>
      <c r="V572" s="690">
        <v>540000</v>
      </c>
      <c r="W572" s="1025"/>
      <c r="X572" s="1030"/>
      <c r="Y572" s="694">
        <f t="shared" si="71"/>
        <v>0</v>
      </c>
      <c r="Z572" s="690"/>
      <c r="AA572" s="690"/>
      <c r="AB572" s="695">
        <f t="shared" si="72"/>
        <v>0</v>
      </c>
      <c r="AC572" s="1035"/>
      <c r="AD572" s="690"/>
      <c r="AE572" s="1025"/>
      <c r="AF572" s="1030"/>
      <c r="AG572" s="690"/>
      <c r="AH572" s="690"/>
      <c r="AI572" s="696">
        <f t="shared" si="73"/>
        <v>563000</v>
      </c>
      <c r="AJ572" s="697">
        <f t="shared" si="74"/>
        <v>540000</v>
      </c>
    </row>
    <row r="573" spans="1:36" s="698" customFormat="1" ht="12.75" customHeight="1">
      <c r="A573" s="739" t="s">
        <v>208</v>
      </c>
      <c r="B573" s="739" t="s">
        <v>418</v>
      </c>
      <c r="C573" s="749" t="s">
        <v>197</v>
      </c>
      <c r="D573" s="749"/>
      <c r="E573" s="741"/>
      <c r="F573" s="742"/>
      <c r="G573" s="1025"/>
      <c r="H573" s="690"/>
      <c r="I573" s="1030"/>
      <c r="J573" s="690"/>
      <c r="K573" s="1030"/>
      <c r="L573" s="690"/>
      <c r="M573" s="1025"/>
      <c r="N573" s="1030"/>
      <c r="O573" s="692">
        <f t="shared" si="67"/>
        <v>0</v>
      </c>
      <c r="P573" s="690"/>
      <c r="Q573" s="690"/>
      <c r="R573" s="691">
        <f t="shared" si="68"/>
        <v>0</v>
      </c>
      <c r="S573" s="692">
        <f t="shared" si="69"/>
        <v>0</v>
      </c>
      <c r="T573" s="693">
        <f t="shared" si="70"/>
        <v>0</v>
      </c>
      <c r="U573" s="1035"/>
      <c r="V573" s="690"/>
      <c r="W573" s="1025"/>
      <c r="X573" s="1030"/>
      <c r="Y573" s="694">
        <f t="shared" si="71"/>
        <v>0</v>
      </c>
      <c r="Z573" s="690"/>
      <c r="AA573" s="690"/>
      <c r="AB573" s="695">
        <f t="shared" si="72"/>
        <v>0</v>
      </c>
      <c r="AC573" s="1035"/>
      <c r="AD573" s="690"/>
      <c r="AE573" s="1025"/>
      <c r="AF573" s="1030"/>
      <c r="AG573" s="690"/>
      <c r="AH573" s="690"/>
      <c r="AI573" s="696">
        <f t="shared" si="73"/>
        <v>0</v>
      </c>
      <c r="AJ573" s="697">
        <f t="shared" si="74"/>
        <v>0</v>
      </c>
    </row>
    <row r="574" spans="1:36" s="698" customFormat="1" ht="12.75" customHeight="1">
      <c r="A574" s="739" t="s">
        <v>208</v>
      </c>
      <c r="B574" s="739" t="s">
        <v>419</v>
      </c>
      <c r="C574" s="748" t="s">
        <v>387</v>
      </c>
      <c r="D574" s="748"/>
      <c r="E574" s="741"/>
      <c r="F574" s="742"/>
      <c r="G574" s="1025"/>
      <c r="H574" s="690"/>
      <c r="I574" s="1030"/>
      <c r="J574" s="690"/>
      <c r="K574" s="1030"/>
      <c r="L574" s="690"/>
      <c r="M574" s="1025"/>
      <c r="N574" s="1030"/>
      <c r="O574" s="692">
        <f t="shared" si="67"/>
        <v>0</v>
      </c>
      <c r="P574" s="690"/>
      <c r="Q574" s="690"/>
      <c r="R574" s="691">
        <f t="shared" si="68"/>
        <v>0</v>
      </c>
      <c r="S574" s="692">
        <f t="shared" si="69"/>
        <v>0</v>
      </c>
      <c r="T574" s="693">
        <f t="shared" si="70"/>
        <v>0</v>
      </c>
      <c r="U574" s="1035"/>
      <c r="V574" s="690"/>
      <c r="W574" s="1025"/>
      <c r="X574" s="1030"/>
      <c r="Y574" s="694">
        <f t="shared" si="71"/>
        <v>0</v>
      </c>
      <c r="Z574" s="690"/>
      <c r="AA574" s="690"/>
      <c r="AB574" s="695">
        <f t="shared" si="72"/>
        <v>0</v>
      </c>
      <c r="AC574" s="1035"/>
      <c r="AD574" s="690"/>
      <c r="AE574" s="1025"/>
      <c r="AF574" s="1030"/>
      <c r="AG574" s="690"/>
      <c r="AH574" s="690"/>
      <c r="AI574" s="696">
        <f t="shared" si="73"/>
        <v>0</v>
      </c>
      <c r="AJ574" s="697">
        <f t="shared" si="74"/>
        <v>0</v>
      </c>
    </row>
    <row r="575" spans="1:36" s="698" customFormat="1" ht="12.75" customHeight="1">
      <c r="A575" s="739" t="s">
        <v>208</v>
      </c>
      <c r="B575" s="739" t="s">
        <v>420</v>
      </c>
      <c r="C575" s="752" t="s">
        <v>51</v>
      </c>
      <c r="D575" s="752"/>
      <c r="E575" s="741"/>
      <c r="F575" s="742"/>
      <c r="G575" s="1025"/>
      <c r="H575" s="690"/>
      <c r="I575" s="1030"/>
      <c r="J575" s="690"/>
      <c r="K575" s="1030"/>
      <c r="L575" s="690"/>
      <c r="M575" s="1025"/>
      <c r="N575" s="1030"/>
      <c r="O575" s="692">
        <f t="shared" si="67"/>
        <v>0</v>
      </c>
      <c r="P575" s="690"/>
      <c r="Q575" s="690"/>
      <c r="R575" s="691">
        <f t="shared" si="68"/>
        <v>0</v>
      </c>
      <c r="S575" s="692">
        <f t="shared" si="69"/>
        <v>0</v>
      </c>
      <c r="T575" s="693">
        <f t="shared" si="70"/>
        <v>0</v>
      </c>
      <c r="U575" s="1035"/>
      <c r="V575" s="690"/>
      <c r="W575" s="1025"/>
      <c r="X575" s="1030"/>
      <c r="Y575" s="694">
        <f t="shared" si="71"/>
        <v>0</v>
      </c>
      <c r="Z575" s="690"/>
      <c r="AA575" s="690"/>
      <c r="AB575" s="695">
        <f t="shared" si="72"/>
        <v>0</v>
      </c>
      <c r="AC575" s="1035"/>
      <c r="AD575" s="690"/>
      <c r="AE575" s="1025"/>
      <c r="AF575" s="1030"/>
      <c r="AG575" s="690"/>
      <c r="AH575" s="690"/>
      <c r="AI575" s="696">
        <f t="shared" si="73"/>
        <v>0</v>
      </c>
      <c r="AJ575" s="697">
        <f t="shared" si="74"/>
        <v>0</v>
      </c>
    </row>
    <row r="576" spans="1:36" s="698" customFormat="1" ht="12.75" customHeight="1">
      <c r="A576" s="739" t="s">
        <v>208</v>
      </c>
      <c r="B576" s="739" t="s">
        <v>420</v>
      </c>
      <c r="C576" s="753" t="s">
        <v>689</v>
      </c>
      <c r="D576" s="753"/>
      <c r="E576" s="741"/>
      <c r="F576" s="742"/>
      <c r="G576" s="1025"/>
      <c r="H576" s="690"/>
      <c r="I576" s="1030"/>
      <c r="J576" s="690"/>
      <c r="K576" s="1030"/>
      <c r="L576" s="690"/>
      <c r="M576" s="1025"/>
      <c r="N576" s="1030"/>
      <c r="O576" s="692">
        <f t="shared" si="67"/>
        <v>0</v>
      </c>
      <c r="P576" s="690"/>
      <c r="Q576" s="690"/>
      <c r="R576" s="691">
        <f t="shared" si="68"/>
        <v>0</v>
      </c>
      <c r="S576" s="692">
        <f t="shared" si="69"/>
        <v>0</v>
      </c>
      <c r="T576" s="693">
        <f t="shared" si="70"/>
        <v>0</v>
      </c>
      <c r="U576" s="1035">
        <v>1952318</v>
      </c>
      <c r="V576" s="690">
        <v>1374423</v>
      </c>
      <c r="W576" s="1025"/>
      <c r="X576" s="1030"/>
      <c r="Y576" s="694">
        <f t="shared" si="71"/>
        <v>0</v>
      </c>
      <c r="Z576" s="690"/>
      <c r="AA576" s="690"/>
      <c r="AB576" s="695">
        <f t="shared" si="72"/>
        <v>0</v>
      </c>
      <c r="AC576" s="1035"/>
      <c r="AD576" s="690"/>
      <c r="AE576" s="1025"/>
      <c r="AF576" s="1030"/>
      <c r="AG576" s="690"/>
      <c r="AH576" s="690"/>
      <c r="AI576" s="696">
        <f t="shared" si="73"/>
        <v>1952318</v>
      </c>
      <c r="AJ576" s="697">
        <f t="shared" si="74"/>
        <v>1374423</v>
      </c>
    </row>
    <row r="577" spans="1:36" s="698" customFormat="1" ht="12.75" customHeight="1">
      <c r="A577" s="739" t="s">
        <v>208</v>
      </c>
      <c r="B577" s="739" t="s">
        <v>295</v>
      </c>
      <c r="C577" s="750" t="s">
        <v>378</v>
      </c>
      <c r="D577" s="750"/>
      <c r="E577" s="741"/>
      <c r="F577" s="742"/>
      <c r="G577" s="1025"/>
      <c r="H577" s="690"/>
      <c r="I577" s="1030"/>
      <c r="J577" s="690"/>
      <c r="K577" s="1030"/>
      <c r="L577" s="690"/>
      <c r="M577" s="1025"/>
      <c r="N577" s="1030"/>
      <c r="O577" s="692">
        <f t="shared" si="67"/>
        <v>0</v>
      </c>
      <c r="P577" s="690"/>
      <c r="Q577" s="690"/>
      <c r="R577" s="691">
        <f t="shared" si="68"/>
        <v>0</v>
      </c>
      <c r="S577" s="692">
        <f t="shared" si="69"/>
        <v>0</v>
      </c>
      <c r="T577" s="693">
        <f t="shared" si="70"/>
        <v>0</v>
      </c>
      <c r="U577" s="1035"/>
      <c r="V577" s="690"/>
      <c r="W577" s="1025"/>
      <c r="X577" s="1030"/>
      <c r="Y577" s="694">
        <f t="shared" si="71"/>
        <v>0</v>
      </c>
      <c r="Z577" s="690"/>
      <c r="AA577" s="690"/>
      <c r="AB577" s="695">
        <f t="shared" si="72"/>
        <v>0</v>
      </c>
      <c r="AC577" s="1035"/>
      <c r="AD577" s="690"/>
      <c r="AE577" s="1025"/>
      <c r="AF577" s="1030"/>
      <c r="AG577" s="690"/>
      <c r="AH577" s="690"/>
      <c r="AI577" s="696">
        <f t="shared" si="73"/>
        <v>0</v>
      </c>
      <c r="AJ577" s="697">
        <f t="shared" si="74"/>
        <v>0</v>
      </c>
    </row>
    <row r="578" spans="1:36" s="698" customFormat="1" ht="12.75" customHeight="1">
      <c r="A578" s="739" t="s">
        <v>208</v>
      </c>
      <c r="B578" s="739" t="s">
        <v>296</v>
      </c>
      <c r="C578" s="750" t="s">
        <v>443</v>
      </c>
      <c r="D578" s="750"/>
      <c r="E578" s="741"/>
      <c r="F578" s="742"/>
      <c r="G578" s="1025"/>
      <c r="H578" s="690"/>
      <c r="I578" s="1030"/>
      <c r="J578" s="690"/>
      <c r="K578" s="1030"/>
      <c r="L578" s="690"/>
      <c r="M578" s="1025"/>
      <c r="N578" s="1030"/>
      <c r="O578" s="692">
        <f t="shared" si="67"/>
        <v>0</v>
      </c>
      <c r="P578" s="690"/>
      <c r="Q578" s="690"/>
      <c r="R578" s="691">
        <f t="shared" si="68"/>
        <v>0</v>
      </c>
      <c r="S578" s="692">
        <f t="shared" si="69"/>
        <v>0</v>
      </c>
      <c r="T578" s="693">
        <f t="shared" si="70"/>
        <v>0</v>
      </c>
      <c r="U578" s="1035"/>
      <c r="V578" s="690"/>
      <c r="W578" s="1025"/>
      <c r="X578" s="1030"/>
      <c r="Y578" s="694">
        <f t="shared" si="71"/>
        <v>0</v>
      </c>
      <c r="Z578" s="690"/>
      <c r="AA578" s="690"/>
      <c r="AB578" s="695">
        <f t="shared" si="72"/>
        <v>0</v>
      </c>
      <c r="AC578" s="1035"/>
      <c r="AD578" s="690"/>
      <c r="AE578" s="1025"/>
      <c r="AF578" s="1030"/>
      <c r="AG578" s="690"/>
      <c r="AH578" s="690"/>
      <c r="AI578" s="696">
        <f t="shared" si="73"/>
        <v>0</v>
      </c>
      <c r="AJ578" s="697">
        <f t="shared" si="74"/>
        <v>0</v>
      </c>
    </row>
    <row r="579" spans="1:36" s="698" customFormat="1" ht="12.75" customHeight="1">
      <c r="A579" s="739" t="s">
        <v>208</v>
      </c>
      <c r="B579" s="739" t="s">
        <v>278</v>
      </c>
      <c r="C579" s="750" t="s">
        <v>377</v>
      </c>
      <c r="D579" s="750"/>
      <c r="E579" s="741"/>
      <c r="F579" s="742"/>
      <c r="G579" s="1025"/>
      <c r="H579" s="690"/>
      <c r="I579" s="1030"/>
      <c r="J579" s="690"/>
      <c r="K579" s="1030"/>
      <c r="L579" s="690"/>
      <c r="M579" s="1025"/>
      <c r="N579" s="1030"/>
      <c r="O579" s="692">
        <f t="shared" si="67"/>
        <v>0</v>
      </c>
      <c r="P579" s="690"/>
      <c r="Q579" s="690"/>
      <c r="R579" s="691">
        <f t="shared" si="68"/>
        <v>0</v>
      </c>
      <c r="S579" s="692">
        <f t="shared" si="69"/>
        <v>0</v>
      </c>
      <c r="T579" s="693">
        <f t="shared" si="70"/>
        <v>0</v>
      </c>
      <c r="U579" s="1035"/>
      <c r="V579" s="690"/>
      <c r="W579" s="1025"/>
      <c r="X579" s="1030"/>
      <c r="Y579" s="694">
        <f t="shared" si="71"/>
        <v>0</v>
      </c>
      <c r="Z579" s="690"/>
      <c r="AA579" s="690"/>
      <c r="AB579" s="695">
        <f t="shared" si="72"/>
        <v>0</v>
      </c>
      <c r="AC579" s="1035"/>
      <c r="AD579" s="690"/>
      <c r="AE579" s="1025"/>
      <c r="AF579" s="1030"/>
      <c r="AG579" s="690"/>
      <c r="AH579" s="690"/>
      <c r="AI579" s="696">
        <f t="shared" si="73"/>
        <v>0</v>
      </c>
      <c r="AJ579" s="697">
        <f t="shared" si="74"/>
        <v>0</v>
      </c>
    </row>
    <row r="580" spans="1:36" s="698" customFormat="1" ht="12.75" customHeight="1">
      <c r="A580" s="739" t="s">
        <v>208</v>
      </c>
      <c r="B580" s="739" t="s">
        <v>279</v>
      </c>
      <c r="C580" s="750" t="s">
        <v>321</v>
      </c>
      <c r="D580" s="750"/>
      <c r="E580" s="741"/>
      <c r="F580" s="742"/>
      <c r="G580" s="1025"/>
      <c r="H580" s="690"/>
      <c r="I580" s="1030"/>
      <c r="J580" s="690"/>
      <c r="K580" s="1030"/>
      <c r="L580" s="690"/>
      <c r="M580" s="1025"/>
      <c r="N580" s="1030"/>
      <c r="O580" s="692">
        <f t="shared" si="67"/>
        <v>0</v>
      </c>
      <c r="P580" s="690"/>
      <c r="Q580" s="690"/>
      <c r="R580" s="691">
        <f t="shared" si="68"/>
        <v>0</v>
      </c>
      <c r="S580" s="692">
        <f t="shared" si="69"/>
        <v>0</v>
      </c>
      <c r="T580" s="693">
        <f t="shared" si="70"/>
        <v>0</v>
      </c>
      <c r="U580" s="1035"/>
      <c r="V580" s="690"/>
      <c r="W580" s="1025"/>
      <c r="X580" s="1030"/>
      <c r="Y580" s="694">
        <f t="shared" si="71"/>
        <v>0</v>
      </c>
      <c r="Z580" s="690"/>
      <c r="AA580" s="690"/>
      <c r="AB580" s="695">
        <f t="shared" si="72"/>
        <v>0</v>
      </c>
      <c r="AC580" s="1035"/>
      <c r="AD580" s="690"/>
      <c r="AE580" s="1025"/>
      <c r="AF580" s="1030"/>
      <c r="AG580" s="690"/>
      <c r="AH580" s="690"/>
      <c r="AI580" s="696">
        <f t="shared" si="73"/>
        <v>0</v>
      </c>
      <c r="AJ580" s="697">
        <f t="shared" si="74"/>
        <v>0</v>
      </c>
    </row>
    <row r="581" spans="1:36" s="698" customFormat="1" ht="12.75" customHeight="1">
      <c r="A581" s="739" t="s">
        <v>208</v>
      </c>
      <c r="B581" s="739" t="s">
        <v>317</v>
      </c>
      <c r="C581" s="750" t="s">
        <v>443</v>
      </c>
      <c r="D581" s="750"/>
      <c r="E581" s="741"/>
      <c r="F581" s="742"/>
      <c r="G581" s="1025"/>
      <c r="H581" s="690"/>
      <c r="I581" s="1030"/>
      <c r="J581" s="690"/>
      <c r="K581" s="1030"/>
      <c r="L581" s="690"/>
      <c r="M581" s="1025"/>
      <c r="N581" s="1030"/>
      <c r="O581" s="692">
        <f t="shared" si="67"/>
        <v>0</v>
      </c>
      <c r="P581" s="690"/>
      <c r="Q581" s="690"/>
      <c r="R581" s="691">
        <f t="shared" si="68"/>
        <v>0</v>
      </c>
      <c r="S581" s="692">
        <f t="shared" si="69"/>
        <v>0</v>
      </c>
      <c r="T581" s="693">
        <f t="shared" si="70"/>
        <v>0</v>
      </c>
      <c r="U581" s="1035"/>
      <c r="V581" s="690"/>
      <c r="W581" s="1025"/>
      <c r="X581" s="1030"/>
      <c r="Y581" s="694">
        <f t="shared" si="71"/>
        <v>0</v>
      </c>
      <c r="Z581" s="690"/>
      <c r="AA581" s="690"/>
      <c r="AB581" s="695">
        <f t="shared" si="72"/>
        <v>0</v>
      </c>
      <c r="AC581" s="1035"/>
      <c r="AD581" s="690"/>
      <c r="AE581" s="1025"/>
      <c r="AF581" s="1030"/>
      <c r="AG581" s="690"/>
      <c r="AH581" s="690"/>
      <c r="AI581" s="696">
        <f t="shared" si="73"/>
        <v>0</v>
      </c>
      <c r="AJ581" s="697">
        <f t="shared" si="74"/>
        <v>0</v>
      </c>
    </row>
    <row r="582" spans="1:36" s="698" customFormat="1" ht="12.75" customHeight="1">
      <c r="A582" s="739" t="s">
        <v>208</v>
      </c>
      <c r="B582" s="739" t="s">
        <v>318</v>
      </c>
      <c r="C582" s="750" t="s">
        <v>377</v>
      </c>
      <c r="D582" s="750"/>
      <c r="E582" s="741"/>
      <c r="F582" s="742"/>
      <c r="G582" s="1025"/>
      <c r="H582" s="690"/>
      <c r="I582" s="1030"/>
      <c r="J582" s="690"/>
      <c r="K582" s="1030"/>
      <c r="L582" s="690"/>
      <c r="M582" s="1025"/>
      <c r="N582" s="1030"/>
      <c r="O582" s="692">
        <f t="shared" si="67"/>
        <v>0</v>
      </c>
      <c r="P582" s="690"/>
      <c r="Q582" s="690"/>
      <c r="R582" s="691">
        <f t="shared" si="68"/>
        <v>0</v>
      </c>
      <c r="S582" s="692">
        <f t="shared" si="69"/>
        <v>0</v>
      </c>
      <c r="T582" s="693">
        <f t="shared" si="70"/>
        <v>0</v>
      </c>
      <c r="U582" s="1035"/>
      <c r="V582" s="690"/>
      <c r="W582" s="1025"/>
      <c r="X582" s="1030"/>
      <c r="Y582" s="694">
        <f t="shared" si="71"/>
        <v>0</v>
      </c>
      <c r="Z582" s="690"/>
      <c r="AA582" s="690"/>
      <c r="AB582" s="695">
        <f t="shared" si="72"/>
        <v>0</v>
      </c>
      <c r="AC582" s="1035"/>
      <c r="AD582" s="690"/>
      <c r="AE582" s="1025"/>
      <c r="AF582" s="1030"/>
      <c r="AG582" s="690"/>
      <c r="AH582" s="690"/>
      <c r="AI582" s="696">
        <f t="shared" si="73"/>
        <v>0</v>
      </c>
      <c r="AJ582" s="697">
        <f t="shared" si="74"/>
        <v>0</v>
      </c>
    </row>
    <row r="583" spans="1:36" s="698" customFormat="1" ht="12.75" customHeight="1">
      <c r="A583" s="739" t="s">
        <v>208</v>
      </c>
      <c r="B583" s="739" t="s">
        <v>420</v>
      </c>
      <c r="C583" s="753" t="s">
        <v>690</v>
      </c>
      <c r="D583" s="753"/>
      <c r="E583" s="741"/>
      <c r="F583" s="742"/>
      <c r="G583" s="1025"/>
      <c r="H583" s="690"/>
      <c r="I583" s="1030"/>
      <c r="J583" s="690"/>
      <c r="K583" s="1030"/>
      <c r="L583" s="690"/>
      <c r="M583" s="1025"/>
      <c r="N583" s="1030"/>
      <c r="O583" s="692">
        <f t="shared" si="67"/>
        <v>0</v>
      </c>
      <c r="P583" s="690"/>
      <c r="Q583" s="690"/>
      <c r="R583" s="691">
        <f t="shared" si="68"/>
        <v>0</v>
      </c>
      <c r="S583" s="692">
        <f t="shared" si="69"/>
        <v>0</v>
      </c>
      <c r="T583" s="693">
        <f t="shared" si="70"/>
        <v>0</v>
      </c>
      <c r="U583" s="1035"/>
      <c r="V583" s="690"/>
      <c r="W583" s="1025"/>
      <c r="X583" s="1030"/>
      <c r="Y583" s="694">
        <f t="shared" si="71"/>
        <v>0</v>
      </c>
      <c r="Z583" s="690"/>
      <c r="AA583" s="690"/>
      <c r="AB583" s="695">
        <f t="shared" si="72"/>
        <v>0</v>
      </c>
      <c r="AC583" s="1035"/>
      <c r="AD583" s="690"/>
      <c r="AE583" s="1025"/>
      <c r="AF583" s="1030"/>
      <c r="AG583" s="690"/>
      <c r="AH583" s="690"/>
      <c r="AI583" s="696">
        <f t="shared" si="73"/>
        <v>0</v>
      </c>
      <c r="AJ583" s="697">
        <f t="shared" si="74"/>
        <v>0</v>
      </c>
    </row>
    <row r="584" spans="1:36" s="698" customFormat="1" ht="12.75" customHeight="1">
      <c r="A584" s="739" t="s">
        <v>208</v>
      </c>
      <c r="B584" s="739" t="s">
        <v>295</v>
      </c>
      <c r="C584" s="750" t="s">
        <v>378</v>
      </c>
      <c r="D584" s="750"/>
      <c r="E584" s="741"/>
      <c r="F584" s="742"/>
      <c r="G584" s="1025"/>
      <c r="H584" s="690"/>
      <c r="I584" s="1030"/>
      <c r="J584" s="690"/>
      <c r="K584" s="1030"/>
      <c r="L584" s="690"/>
      <c r="M584" s="1025"/>
      <c r="N584" s="1030"/>
      <c r="O584" s="692">
        <f t="shared" si="67"/>
        <v>0</v>
      </c>
      <c r="P584" s="690"/>
      <c r="Q584" s="690"/>
      <c r="R584" s="691">
        <f t="shared" si="68"/>
        <v>0</v>
      </c>
      <c r="S584" s="692">
        <f t="shared" si="69"/>
        <v>0</v>
      </c>
      <c r="T584" s="693">
        <f t="shared" si="70"/>
        <v>0</v>
      </c>
      <c r="U584" s="1035"/>
      <c r="V584" s="690"/>
      <c r="W584" s="1025"/>
      <c r="X584" s="1030"/>
      <c r="Y584" s="694">
        <f t="shared" si="71"/>
        <v>0</v>
      </c>
      <c r="Z584" s="690"/>
      <c r="AA584" s="690"/>
      <c r="AB584" s="695">
        <f t="shared" si="72"/>
        <v>0</v>
      </c>
      <c r="AC584" s="1035"/>
      <c r="AD584" s="690"/>
      <c r="AE584" s="1025"/>
      <c r="AF584" s="1030"/>
      <c r="AG584" s="690"/>
      <c r="AH584" s="690"/>
      <c r="AI584" s="696">
        <f t="shared" si="73"/>
        <v>0</v>
      </c>
      <c r="AJ584" s="697">
        <f t="shared" si="74"/>
        <v>0</v>
      </c>
    </row>
    <row r="585" spans="1:36" s="698" customFormat="1" ht="12.75" customHeight="1">
      <c r="A585" s="739" t="s">
        <v>208</v>
      </c>
      <c r="B585" s="739" t="s">
        <v>296</v>
      </c>
      <c r="C585" s="750" t="s">
        <v>443</v>
      </c>
      <c r="D585" s="750"/>
      <c r="E585" s="741"/>
      <c r="F585" s="742"/>
      <c r="G585" s="1025"/>
      <c r="H585" s="690"/>
      <c r="I585" s="1030"/>
      <c r="J585" s="690"/>
      <c r="K585" s="1030"/>
      <c r="L585" s="690"/>
      <c r="M585" s="1025"/>
      <c r="N585" s="1030"/>
      <c r="O585" s="692">
        <f t="shared" si="67"/>
        <v>0</v>
      </c>
      <c r="P585" s="690"/>
      <c r="Q585" s="690"/>
      <c r="R585" s="691">
        <f t="shared" si="68"/>
        <v>0</v>
      </c>
      <c r="S585" s="692">
        <f t="shared" si="69"/>
        <v>0</v>
      </c>
      <c r="T585" s="693">
        <f t="shared" si="70"/>
        <v>0</v>
      </c>
      <c r="U585" s="1035"/>
      <c r="V585" s="690"/>
      <c r="W585" s="1025"/>
      <c r="X585" s="1030"/>
      <c r="Y585" s="694">
        <f t="shared" si="71"/>
        <v>0</v>
      </c>
      <c r="Z585" s="690"/>
      <c r="AA585" s="690"/>
      <c r="AB585" s="695">
        <f t="shared" si="72"/>
        <v>0</v>
      </c>
      <c r="AC585" s="1035"/>
      <c r="AD585" s="690"/>
      <c r="AE585" s="1025"/>
      <c r="AF585" s="1030"/>
      <c r="AG585" s="690"/>
      <c r="AH585" s="690"/>
      <c r="AI585" s="696">
        <f t="shared" si="73"/>
        <v>0</v>
      </c>
      <c r="AJ585" s="697">
        <f t="shared" si="74"/>
        <v>0</v>
      </c>
    </row>
    <row r="586" spans="1:36" s="698" customFormat="1" ht="12.75" customHeight="1">
      <c r="A586" s="739" t="s">
        <v>208</v>
      </c>
      <c r="B586" s="739" t="s">
        <v>278</v>
      </c>
      <c r="C586" s="750" t="s">
        <v>377</v>
      </c>
      <c r="D586" s="750"/>
      <c r="E586" s="741"/>
      <c r="F586" s="742"/>
      <c r="G586" s="1025"/>
      <c r="H586" s="690"/>
      <c r="I586" s="1030"/>
      <c r="J586" s="690"/>
      <c r="K586" s="1030"/>
      <c r="L586" s="690"/>
      <c r="M586" s="1025"/>
      <c r="N586" s="1030"/>
      <c r="O586" s="692">
        <f t="shared" ref="O586:O649" si="75">SUM(M586:N586)</f>
        <v>0</v>
      </c>
      <c r="P586" s="690"/>
      <c r="Q586" s="690"/>
      <c r="R586" s="691">
        <f t="shared" ref="R586:R649" si="76">SUM(P586:Q586)</f>
        <v>0</v>
      </c>
      <c r="S586" s="692">
        <f t="shared" ref="S586:S649" si="77">SUM(G586,I586,K586,M586)</f>
        <v>0</v>
      </c>
      <c r="T586" s="693">
        <f t="shared" ref="T586:T649" si="78">SUM(H586,J586,L586,P586)</f>
        <v>0</v>
      </c>
      <c r="U586" s="1035">
        <v>114250</v>
      </c>
      <c r="V586" s="690">
        <v>156562</v>
      </c>
      <c r="W586" s="1025"/>
      <c r="X586" s="1030"/>
      <c r="Y586" s="694">
        <f t="shared" ref="Y586:Y649" si="79">SUM(W586:X586)</f>
        <v>0</v>
      </c>
      <c r="Z586" s="690"/>
      <c r="AA586" s="690"/>
      <c r="AB586" s="695">
        <f t="shared" ref="AB586:AB649" si="80">SUM(Z586:AA586)</f>
        <v>0</v>
      </c>
      <c r="AC586" s="1035"/>
      <c r="AD586" s="690"/>
      <c r="AE586" s="1025"/>
      <c r="AF586" s="1030"/>
      <c r="AG586" s="690"/>
      <c r="AH586" s="690"/>
      <c r="AI586" s="696">
        <f t="shared" ref="AI586:AI649" si="81">SUM(S586,U586,W586,AC586,AE586)</f>
        <v>114250</v>
      </c>
      <c r="AJ586" s="697">
        <f t="shared" ref="AJ586:AJ649" si="82">SUM(T586,V586,Z586,AD586,AG586)</f>
        <v>156562</v>
      </c>
    </row>
    <row r="587" spans="1:36" s="698" customFormat="1" ht="12.75" customHeight="1">
      <c r="A587" s="739" t="s">
        <v>208</v>
      </c>
      <c r="B587" s="739" t="s">
        <v>279</v>
      </c>
      <c r="C587" s="750" t="s">
        <v>321</v>
      </c>
      <c r="D587" s="750"/>
      <c r="E587" s="741"/>
      <c r="F587" s="742"/>
      <c r="G587" s="1025"/>
      <c r="H587" s="690"/>
      <c r="I587" s="1030"/>
      <c r="J587" s="690"/>
      <c r="K587" s="1030"/>
      <c r="L587" s="690"/>
      <c r="M587" s="1025"/>
      <c r="N587" s="1030"/>
      <c r="O587" s="692">
        <f t="shared" si="75"/>
        <v>0</v>
      </c>
      <c r="P587" s="690"/>
      <c r="Q587" s="690"/>
      <c r="R587" s="691">
        <f t="shared" si="76"/>
        <v>0</v>
      </c>
      <c r="S587" s="692">
        <f t="shared" si="77"/>
        <v>0</v>
      </c>
      <c r="T587" s="693">
        <f t="shared" si="78"/>
        <v>0</v>
      </c>
      <c r="U587" s="1035"/>
      <c r="V587" s="690"/>
      <c r="W587" s="1025"/>
      <c r="X587" s="1030"/>
      <c r="Y587" s="694">
        <f t="shared" si="79"/>
        <v>0</v>
      </c>
      <c r="Z587" s="690"/>
      <c r="AA587" s="690"/>
      <c r="AB587" s="695">
        <f t="shared" si="80"/>
        <v>0</v>
      </c>
      <c r="AC587" s="1035"/>
      <c r="AD587" s="690"/>
      <c r="AE587" s="1025"/>
      <c r="AF587" s="1030"/>
      <c r="AG587" s="690"/>
      <c r="AH587" s="690"/>
      <c r="AI587" s="696">
        <f t="shared" si="81"/>
        <v>0</v>
      </c>
      <c r="AJ587" s="697">
        <f t="shared" si="82"/>
        <v>0</v>
      </c>
    </row>
    <row r="588" spans="1:36" s="698" customFormat="1" ht="12.75" customHeight="1">
      <c r="A588" s="739" t="s">
        <v>208</v>
      </c>
      <c r="B588" s="739" t="s">
        <v>317</v>
      </c>
      <c r="C588" s="750" t="s">
        <v>443</v>
      </c>
      <c r="D588" s="750"/>
      <c r="E588" s="741"/>
      <c r="F588" s="742"/>
      <c r="G588" s="1025"/>
      <c r="H588" s="690"/>
      <c r="I588" s="1030"/>
      <c r="J588" s="690"/>
      <c r="K588" s="1030"/>
      <c r="L588" s="690"/>
      <c r="M588" s="1025"/>
      <c r="N588" s="1030"/>
      <c r="O588" s="692">
        <f t="shared" si="75"/>
        <v>0</v>
      </c>
      <c r="P588" s="690"/>
      <c r="Q588" s="690"/>
      <c r="R588" s="691">
        <f t="shared" si="76"/>
        <v>0</v>
      </c>
      <c r="S588" s="692">
        <f t="shared" si="77"/>
        <v>0</v>
      </c>
      <c r="T588" s="693">
        <f t="shared" si="78"/>
        <v>0</v>
      </c>
      <c r="U588" s="1035"/>
      <c r="V588" s="690"/>
      <c r="W588" s="1025"/>
      <c r="X588" s="1030"/>
      <c r="Y588" s="694">
        <f t="shared" si="79"/>
        <v>0</v>
      </c>
      <c r="Z588" s="690"/>
      <c r="AA588" s="690"/>
      <c r="AB588" s="695">
        <f t="shared" si="80"/>
        <v>0</v>
      </c>
      <c r="AC588" s="1035"/>
      <c r="AD588" s="690"/>
      <c r="AE588" s="1025"/>
      <c r="AF588" s="1030"/>
      <c r="AG588" s="690"/>
      <c r="AH588" s="690"/>
      <c r="AI588" s="696">
        <f t="shared" si="81"/>
        <v>0</v>
      </c>
      <c r="AJ588" s="697">
        <f t="shared" si="82"/>
        <v>0</v>
      </c>
    </row>
    <row r="589" spans="1:36" s="698" customFormat="1" ht="12.75" customHeight="1">
      <c r="A589" s="739" t="s">
        <v>208</v>
      </c>
      <c r="B589" s="739" t="s">
        <v>318</v>
      </c>
      <c r="C589" s="750" t="s">
        <v>377</v>
      </c>
      <c r="D589" s="750"/>
      <c r="E589" s="741"/>
      <c r="F589" s="742"/>
      <c r="G589" s="1025"/>
      <c r="H589" s="690"/>
      <c r="I589" s="1030"/>
      <c r="J589" s="690"/>
      <c r="K589" s="1030"/>
      <c r="L589" s="690"/>
      <c r="M589" s="1025"/>
      <c r="N589" s="1030"/>
      <c r="O589" s="692">
        <f t="shared" si="75"/>
        <v>0</v>
      </c>
      <c r="P589" s="690"/>
      <c r="Q589" s="690"/>
      <c r="R589" s="691">
        <f t="shared" si="76"/>
        <v>0</v>
      </c>
      <c r="S589" s="692">
        <f t="shared" si="77"/>
        <v>0</v>
      </c>
      <c r="T589" s="693">
        <f t="shared" si="78"/>
        <v>0</v>
      </c>
      <c r="U589" s="1035">
        <v>80540</v>
      </c>
      <c r="V589" s="690">
        <v>68124</v>
      </c>
      <c r="W589" s="1025"/>
      <c r="X589" s="1030"/>
      <c r="Y589" s="694">
        <f t="shared" si="79"/>
        <v>0</v>
      </c>
      <c r="Z589" s="690"/>
      <c r="AA589" s="690"/>
      <c r="AB589" s="695">
        <f t="shared" si="80"/>
        <v>0</v>
      </c>
      <c r="AC589" s="1035"/>
      <c r="AD589" s="690"/>
      <c r="AE589" s="1025"/>
      <c r="AF589" s="1030"/>
      <c r="AG589" s="690"/>
      <c r="AH589" s="690"/>
      <c r="AI589" s="696">
        <f t="shared" si="81"/>
        <v>80540</v>
      </c>
      <c r="AJ589" s="697">
        <f t="shared" si="82"/>
        <v>68124</v>
      </c>
    </row>
    <row r="590" spans="1:36" s="698" customFormat="1" ht="12.75" customHeight="1">
      <c r="A590" s="739" t="s">
        <v>208</v>
      </c>
      <c r="B590" s="739" t="s">
        <v>420</v>
      </c>
      <c r="C590" s="753" t="s">
        <v>691</v>
      </c>
      <c r="D590" s="753"/>
      <c r="E590" s="741"/>
      <c r="F590" s="742"/>
      <c r="G590" s="1025"/>
      <c r="H590" s="690"/>
      <c r="I590" s="1030"/>
      <c r="J590" s="690"/>
      <c r="K590" s="1030"/>
      <c r="L590" s="690"/>
      <c r="M590" s="1025"/>
      <c r="N590" s="1030"/>
      <c r="O590" s="692">
        <f t="shared" si="75"/>
        <v>0</v>
      </c>
      <c r="P590" s="690"/>
      <c r="Q590" s="690"/>
      <c r="R590" s="691">
        <f t="shared" si="76"/>
        <v>0</v>
      </c>
      <c r="S590" s="692">
        <f t="shared" si="77"/>
        <v>0</v>
      </c>
      <c r="T590" s="693">
        <f t="shared" si="78"/>
        <v>0</v>
      </c>
      <c r="U590" s="1035"/>
      <c r="V590" s="690"/>
      <c r="W590" s="1025"/>
      <c r="X590" s="1030"/>
      <c r="Y590" s="694">
        <f t="shared" si="79"/>
        <v>0</v>
      </c>
      <c r="Z590" s="690"/>
      <c r="AA590" s="690"/>
      <c r="AB590" s="695">
        <f t="shared" si="80"/>
        <v>0</v>
      </c>
      <c r="AC590" s="1035"/>
      <c r="AD590" s="690"/>
      <c r="AE590" s="1025"/>
      <c r="AF590" s="1030"/>
      <c r="AG590" s="690"/>
      <c r="AH590" s="690"/>
      <c r="AI590" s="696">
        <f t="shared" si="81"/>
        <v>0</v>
      </c>
      <c r="AJ590" s="697">
        <f t="shared" si="82"/>
        <v>0</v>
      </c>
    </row>
    <row r="591" spans="1:36" s="698" customFormat="1" ht="12.75" customHeight="1">
      <c r="A591" s="739" t="s">
        <v>208</v>
      </c>
      <c r="B591" s="739" t="s">
        <v>295</v>
      </c>
      <c r="C591" s="750" t="s">
        <v>378</v>
      </c>
      <c r="D591" s="750"/>
      <c r="E591" s="741"/>
      <c r="F591" s="742"/>
      <c r="G591" s="1025"/>
      <c r="H591" s="690"/>
      <c r="I591" s="1030"/>
      <c r="J591" s="690"/>
      <c r="K591" s="1030"/>
      <c r="L591" s="690"/>
      <c r="M591" s="1025"/>
      <c r="N591" s="1030"/>
      <c r="O591" s="692">
        <f t="shared" si="75"/>
        <v>0</v>
      </c>
      <c r="P591" s="690"/>
      <c r="Q591" s="690"/>
      <c r="R591" s="691">
        <f t="shared" si="76"/>
        <v>0</v>
      </c>
      <c r="S591" s="692">
        <f t="shared" si="77"/>
        <v>0</v>
      </c>
      <c r="T591" s="693">
        <f t="shared" si="78"/>
        <v>0</v>
      </c>
      <c r="U591" s="1035"/>
      <c r="V591" s="690"/>
      <c r="W591" s="1025"/>
      <c r="X591" s="1030"/>
      <c r="Y591" s="694">
        <f t="shared" si="79"/>
        <v>0</v>
      </c>
      <c r="Z591" s="690"/>
      <c r="AA591" s="690"/>
      <c r="AB591" s="695">
        <f t="shared" si="80"/>
        <v>0</v>
      </c>
      <c r="AC591" s="1035"/>
      <c r="AD591" s="690"/>
      <c r="AE591" s="1025"/>
      <c r="AF591" s="1030"/>
      <c r="AG591" s="690"/>
      <c r="AH591" s="690"/>
      <c r="AI591" s="696">
        <f t="shared" si="81"/>
        <v>0</v>
      </c>
      <c r="AJ591" s="697">
        <f t="shared" si="82"/>
        <v>0</v>
      </c>
    </row>
    <row r="592" spans="1:36" s="698" customFormat="1" ht="12.75" customHeight="1">
      <c r="A592" s="739" t="s">
        <v>208</v>
      </c>
      <c r="B592" s="739" t="s">
        <v>296</v>
      </c>
      <c r="C592" s="750" t="s">
        <v>443</v>
      </c>
      <c r="D592" s="750"/>
      <c r="E592" s="741"/>
      <c r="F592" s="742"/>
      <c r="G592" s="1025"/>
      <c r="H592" s="690"/>
      <c r="I592" s="1030"/>
      <c r="J592" s="690"/>
      <c r="K592" s="1030"/>
      <c r="L592" s="690"/>
      <c r="M592" s="1025"/>
      <c r="N592" s="1030"/>
      <c r="O592" s="692">
        <f t="shared" si="75"/>
        <v>0</v>
      </c>
      <c r="P592" s="690"/>
      <c r="Q592" s="690"/>
      <c r="R592" s="691">
        <f t="shared" si="76"/>
        <v>0</v>
      </c>
      <c r="S592" s="692">
        <f t="shared" si="77"/>
        <v>0</v>
      </c>
      <c r="T592" s="693">
        <f t="shared" si="78"/>
        <v>0</v>
      </c>
      <c r="U592" s="1035"/>
      <c r="V592" s="690"/>
      <c r="W592" s="1025"/>
      <c r="X592" s="1030"/>
      <c r="Y592" s="694">
        <f t="shared" si="79"/>
        <v>0</v>
      </c>
      <c r="Z592" s="690"/>
      <c r="AA592" s="690"/>
      <c r="AB592" s="695">
        <f t="shared" si="80"/>
        <v>0</v>
      </c>
      <c r="AC592" s="1035"/>
      <c r="AD592" s="690"/>
      <c r="AE592" s="1025"/>
      <c r="AF592" s="1030"/>
      <c r="AG592" s="690"/>
      <c r="AH592" s="690"/>
      <c r="AI592" s="696">
        <f t="shared" si="81"/>
        <v>0</v>
      </c>
      <c r="AJ592" s="697">
        <f t="shared" si="82"/>
        <v>0</v>
      </c>
    </row>
    <row r="593" spans="1:36" s="698" customFormat="1" ht="12.75" customHeight="1">
      <c r="A593" s="739" t="s">
        <v>208</v>
      </c>
      <c r="B593" s="739" t="s">
        <v>278</v>
      </c>
      <c r="C593" s="750" t="s">
        <v>377</v>
      </c>
      <c r="D593" s="750"/>
      <c r="E593" s="741"/>
      <c r="F593" s="742"/>
      <c r="G593" s="1025"/>
      <c r="H593" s="690"/>
      <c r="I593" s="1030"/>
      <c r="J593" s="690"/>
      <c r="K593" s="1030"/>
      <c r="L593" s="690"/>
      <c r="M593" s="1025"/>
      <c r="N593" s="1030"/>
      <c r="O593" s="692">
        <f t="shared" si="75"/>
        <v>0</v>
      </c>
      <c r="P593" s="690"/>
      <c r="Q593" s="690"/>
      <c r="R593" s="691">
        <f t="shared" si="76"/>
        <v>0</v>
      </c>
      <c r="S593" s="692">
        <f t="shared" si="77"/>
        <v>0</v>
      </c>
      <c r="T593" s="693">
        <f t="shared" si="78"/>
        <v>0</v>
      </c>
      <c r="U593" s="1035">
        <v>51145</v>
      </c>
      <c r="V593" s="690">
        <v>57717</v>
      </c>
      <c r="W593" s="1025"/>
      <c r="X593" s="1030"/>
      <c r="Y593" s="694">
        <f t="shared" si="79"/>
        <v>0</v>
      </c>
      <c r="Z593" s="690"/>
      <c r="AA593" s="690"/>
      <c r="AB593" s="695">
        <f t="shared" si="80"/>
        <v>0</v>
      </c>
      <c r="AC593" s="1035"/>
      <c r="AD593" s="690"/>
      <c r="AE593" s="1025"/>
      <c r="AF593" s="1030"/>
      <c r="AG593" s="690"/>
      <c r="AH593" s="690"/>
      <c r="AI593" s="696">
        <f t="shared" si="81"/>
        <v>51145</v>
      </c>
      <c r="AJ593" s="697">
        <f t="shared" si="82"/>
        <v>57717</v>
      </c>
    </row>
    <row r="594" spans="1:36" s="698" customFormat="1" ht="12.75" customHeight="1">
      <c r="A594" s="739" t="s">
        <v>208</v>
      </c>
      <c r="B594" s="739" t="s">
        <v>279</v>
      </c>
      <c r="C594" s="750" t="s">
        <v>321</v>
      </c>
      <c r="D594" s="750"/>
      <c r="E594" s="741"/>
      <c r="F594" s="742"/>
      <c r="G594" s="1025"/>
      <c r="H594" s="690"/>
      <c r="I594" s="1030"/>
      <c r="J594" s="690"/>
      <c r="K594" s="1030"/>
      <c r="L594" s="690"/>
      <c r="M594" s="1025"/>
      <c r="N594" s="1030"/>
      <c r="O594" s="692">
        <f t="shared" si="75"/>
        <v>0</v>
      </c>
      <c r="P594" s="690"/>
      <c r="Q594" s="690"/>
      <c r="R594" s="691">
        <f t="shared" si="76"/>
        <v>0</v>
      </c>
      <c r="S594" s="692">
        <f t="shared" si="77"/>
        <v>0</v>
      </c>
      <c r="T594" s="693">
        <f t="shared" si="78"/>
        <v>0</v>
      </c>
      <c r="U594" s="1035"/>
      <c r="V594" s="690"/>
      <c r="W594" s="1025"/>
      <c r="X594" s="1030"/>
      <c r="Y594" s="694">
        <f t="shared" si="79"/>
        <v>0</v>
      </c>
      <c r="Z594" s="690"/>
      <c r="AA594" s="690"/>
      <c r="AB594" s="695">
        <f t="shared" si="80"/>
        <v>0</v>
      </c>
      <c r="AC594" s="1035"/>
      <c r="AD594" s="690"/>
      <c r="AE594" s="1025"/>
      <c r="AF594" s="1030"/>
      <c r="AG594" s="690"/>
      <c r="AH594" s="690"/>
      <c r="AI594" s="696">
        <f t="shared" si="81"/>
        <v>0</v>
      </c>
      <c r="AJ594" s="697">
        <f t="shared" si="82"/>
        <v>0</v>
      </c>
    </row>
    <row r="595" spans="1:36" s="698" customFormat="1" ht="12.75" customHeight="1">
      <c r="A595" s="739" t="s">
        <v>208</v>
      </c>
      <c r="B595" s="739" t="s">
        <v>317</v>
      </c>
      <c r="C595" s="750" t="s">
        <v>443</v>
      </c>
      <c r="D595" s="750"/>
      <c r="E595" s="741"/>
      <c r="F595" s="742"/>
      <c r="G595" s="1025"/>
      <c r="H595" s="690"/>
      <c r="I595" s="1030"/>
      <c r="J595" s="690"/>
      <c r="K595" s="1030"/>
      <c r="L595" s="690"/>
      <c r="M595" s="1025"/>
      <c r="N595" s="1030"/>
      <c r="O595" s="692">
        <f t="shared" si="75"/>
        <v>0</v>
      </c>
      <c r="P595" s="690"/>
      <c r="Q595" s="690"/>
      <c r="R595" s="691">
        <f t="shared" si="76"/>
        <v>0</v>
      </c>
      <c r="S595" s="692">
        <f t="shared" si="77"/>
        <v>0</v>
      </c>
      <c r="T595" s="693">
        <f t="shared" si="78"/>
        <v>0</v>
      </c>
      <c r="U595" s="1035"/>
      <c r="V595" s="690">
        <v>3483</v>
      </c>
      <c r="W595" s="1025"/>
      <c r="X595" s="1030"/>
      <c r="Y595" s="694">
        <f t="shared" si="79"/>
        <v>0</v>
      </c>
      <c r="Z595" s="690"/>
      <c r="AA595" s="690"/>
      <c r="AB595" s="695">
        <f t="shared" si="80"/>
        <v>0</v>
      </c>
      <c r="AC595" s="1035"/>
      <c r="AD595" s="690"/>
      <c r="AE595" s="1025"/>
      <c r="AF595" s="1030"/>
      <c r="AG595" s="690"/>
      <c r="AH595" s="690"/>
      <c r="AI595" s="696">
        <f t="shared" si="81"/>
        <v>0</v>
      </c>
      <c r="AJ595" s="697">
        <f t="shared" si="82"/>
        <v>3483</v>
      </c>
    </row>
    <row r="596" spans="1:36" s="698" customFormat="1" ht="12.75" customHeight="1">
      <c r="A596" s="739" t="s">
        <v>208</v>
      </c>
      <c r="B596" s="739" t="s">
        <v>318</v>
      </c>
      <c r="C596" s="750" t="s">
        <v>377</v>
      </c>
      <c r="D596" s="750"/>
      <c r="E596" s="741"/>
      <c r="F596" s="742"/>
      <c r="G596" s="1025"/>
      <c r="H596" s="690"/>
      <c r="I596" s="1030"/>
      <c r="J596" s="690"/>
      <c r="K596" s="1030"/>
      <c r="L596" s="690"/>
      <c r="M596" s="1025"/>
      <c r="N596" s="1030"/>
      <c r="O596" s="692">
        <f t="shared" si="75"/>
        <v>0</v>
      </c>
      <c r="P596" s="690"/>
      <c r="Q596" s="690"/>
      <c r="R596" s="691">
        <f t="shared" si="76"/>
        <v>0</v>
      </c>
      <c r="S596" s="692">
        <f t="shared" si="77"/>
        <v>0</v>
      </c>
      <c r="T596" s="693">
        <f t="shared" si="78"/>
        <v>0</v>
      </c>
      <c r="U596" s="1035"/>
      <c r="V596" s="690"/>
      <c r="W596" s="1025"/>
      <c r="X596" s="1030"/>
      <c r="Y596" s="694">
        <f t="shared" si="79"/>
        <v>0</v>
      </c>
      <c r="Z596" s="690"/>
      <c r="AA596" s="690"/>
      <c r="AB596" s="695">
        <f t="shared" si="80"/>
        <v>0</v>
      </c>
      <c r="AC596" s="1035"/>
      <c r="AD596" s="690"/>
      <c r="AE596" s="1025"/>
      <c r="AF596" s="1030"/>
      <c r="AG596" s="690"/>
      <c r="AH596" s="690"/>
      <c r="AI596" s="696">
        <f t="shared" si="81"/>
        <v>0</v>
      </c>
      <c r="AJ596" s="697">
        <f t="shared" si="82"/>
        <v>0</v>
      </c>
    </row>
    <row r="597" spans="1:36" s="698" customFormat="1" ht="12.75" customHeight="1">
      <c r="A597" s="739" t="s">
        <v>208</v>
      </c>
      <c r="B597" s="739" t="s">
        <v>420</v>
      </c>
      <c r="C597" s="753" t="s">
        <v>692</v>
      </c>
      <c r="D597" s="753"/>
      <c r="E597" s="741"/>
      <c r="F597" s="742"/>
      <c r="G597" s="1025"/>
      <c r="H597" s="690"/>
      <c r="I597" s="1030"/>
      <c r="J597" s="690"/>
      <c r="K597" s="1030"/>
      <c r="L597" s="690"/>
      <c r="M597" s="1025"/>
      <c r="N597" s="1030"/>
      <c r="O597" s="692">
        <f t="shared" si="75"/>
        <v>0</v>
      </c>
      <c r="P597" s="690"/>
      <c r="Q597" s="690"/>
      <c r="R597" s="691">
        <f t="shared" si="76"/>
        <v>0</v>
      </c>
      <c r="S597" s="692">
        <f t="shared" si="77"/>
        <v>0</v>
      </c>
      <c r="T597" s="693">
        <f t="shared" si="78"/>
        <v>0</v>
      </c>
      <c r="U597" s="1035"/>
      <c r="V597" s="690"/>
      <c r="W597" s="1025"/>
      <c r="X597" s="1030"/>
      <c r="Y597" s="694">
        <f t="shared" si="79"/>
        <v>0</v>
      </c>
      <c r="Z597" s="690"/>
      <c r="AA597" s="690"/>
      <c r="AB597" s="695">
        <f t="shared" si="80"/>
        <v>0</v>
      </c>
      <c r="AC597" s="1035"/>
      <c r="AD597" s="690"/>
      <c r="AE597" s="1025"/>
      <c r="AF597" s="1030"/>
      <c r="AG597" s="690"/>
      <c r="AH597" s="690"/>
      <c r="AI597" s="696">
        <f t="shared" si="81"/>
        <v>0</v>
      </c>
      <c r="AJ597" s="697">
        <f t="shared" si="82"/>
        <v>0</v>
      </c>
    </row>
    <row r="598" spans="1:36" s="698" customFormat="1" ht="12.75" customHeight="1">
      <c r="A598" s="739" t="s">
        <v>208</v>
      </c>
      <c r="B598" s="739" t="s">
        <v>295</v>
      </c>
      <c r="C598" s="750" t="s">
        <v>378</v>
      </c>
      <c r="D598" s="750"/>
      <c r="E598" s="741"/>
      <c r="F598" s="742"/>
      <c r="G598" s="1025"/>
      <c r="H598" s="690"/>
      <c r="I598" s="1030"/>
      <c r="J598" s="690"/>
      <c r="K598" s="1030"/>
      <c r="L598" s="690"/>
      <c r="M598" s="1025"/>
      <c r="N598" s="1030"/>
      <c r="O598" s="692">
        <f t="shared" si="75"/>
        <v>0</v>
      </c>
      <c r="P598" s="690"/>
      <c r="Q598" s="690"/>
      <c r="R598" s="691">
        <f t="shared" si="76"/>
        <v>0</v>
      </c>
      <c r="S598" s="692">
        <f t="shared" si="77"/>
        <v>0</v>
      </c>
      <c r="T598" s="693">
        <f t="shared" si="78"/>
        <v>0</v>
      </c>
      <c r="U598" s="1035"/>
      <c r="V598" s="690"/>
      <c r="W598" s="1025"/>
      <c r="X598" s="1030"/>
      <c r="Y598" s="694">
        <f t="shared" si="79"/>
        <v>0</v>
      </c>
      <c r="Z598" s="690"/>
      <c r="AA598" s="690"/>
      <c r="AB598" s="695">
        <f t="shared" si="80"/>
        <v>0</v>
      </c>
      <c r="AC598" s="1035"/>
      <c r="AD598" s="690"/>
      <c r="AE598" s="1025"/>
      <c r="AF598" s="1030"/>
      <c r="AG598" s="690"/>
      <c r="AH598" s="690"/>
      <c r="AI598" s="696">
        <f t="shared" si="81"/>
        <v>0</v>
      </c>
      <c r="AJ598" s="697">
        <f t="shared" si="82"/>
        <v>0</v>
      </c>
    </row>
    <row r="599" spans="1:36" s="698" customFormat="1" ht="12.75" customHeight="1">
      <c r="A599" s="739" t="s">
        <v>208</v>
      </c>
      <c r="B599" s="739" t="s">
        <v>296</v>
      </c>
      <c r="C599" s="750" t="s">
        <v>443</v>
      </c>
      <c r="D599" s="750"/>
      <c r="E599" s="741"/>
      <c r="F599" s="742"/>
      <c r="G599" s="1025"/>
      <c r="H599" s="690"/>
      <c r="I599" s="1030"/>
      <c r="J599" s="690"/>
      <c r="K599" s="1030"/>
      <c r="L599" s="690"/>
      <c r="M599" s="1025"/>
      <c r="N599" s="1030"/>
      <c r="O599" s="692">
        <f t="shared" si="75"/>
        <v>0</v>
      </c>
      <c r="P599" s="690"/>
      <c r="Q599" s="690"/>
      <c r="R599" s="691">
        <f t="shared" si="76"/>
        <v>0</v>
      </c>
      <c r="S599" s="692">
        <f t="shared" si="77"/>
        <v>0</v>
      </c>
      <c r="T599" s="693">
        <f t="shared" si="78"/>
        <v>0</v>
      </c>
      <c r="U599" s="1035"/>
      <c r="V599" s="690"/>
      <c r="W599" s="1025"/>
      <c r="X599" s="1030"/>
      <c r="Y599" s="694">
        <f t="shared" si="79"/>
        <v>0</v>
      </c>
      <c r="Z599" s="690"/>
      <c r="AA599" s="690"/>
      <c r="AB599" s="695">
        <f t="shared" si="80"/>
        <v>0</v>
      </c>
      <c r="AC599" s="1035"/>
      <c r="AD599" s="690"/>
      <c r="AE599" s="1025"/>
      <c r="AF599" s="1030"/>
      <c r="AG599" s="690"/>
      <c r="AH599" s="690"/>
      <c r="AI599" s="696">
        <f t="shared" si="81"/>
        <v>0</v>
      </c>
      <c r="AJ599" s="697">
        <f t="shared" si="82"/>
        <v>0</v>
      </c>
    </row>
    <row r="600" spans="1:36" s="698" customFormat="1" ht="12.75" customHeight="1">
      <c r="A600" s="739" t="s">
        <v>208</v>
      </c>
      <c r="B600" s="739" t="s">
        <v>278</v>
      </c>
      <c r="C600" s="750" t="s">
        <v>377</v>
      </c>
      <c r="D600" s="750"/>
      <c r="E600" s="741"/>
      <c r="F600" s="742"/>
      <c r="G600" s="1025"/>
      <c r="H600" s="690"/>
      <c r="I600" s="1030"/>
      <c r="J600" s="690"/>
      <c r="K600" s="1030"/>
      <c r="L600" s="690"/>
      <c r="M600" s="1025"/>
      <c r="N600" s="1030"/>
      <c r="O600" s="692">
        <f t="shared" si="75"/>
        <v>0</v>
      </c>
      <c r="P600" s="690"/>
      <c r="Q600" s="690"/>
      <c r="R600" s="691">
        <f t="shared" si="76"/>
        <v>0</v>
      </c>
      <c r="S600" s="692">
        <f t="shared" si="77"/>
        <v>0</v>
      </c>
      <c r="T600" s="693">
        <f t="shared" si="78"/>
        <v>0</v>
      </c>
      <c r="U600" s="1035">
        <v>83750</v>
      </c>
      <c r="V600" s="690">
        <v>55000</v>
      </c>
      <c r="W600" s="1025"/>
      <c r="X600" s="1030"/>
      <c r="Y600" s="694">
        <f t="shared" si="79"/>
        <v>0</v>
      </c>
      <c r="Z600" s="690"/>
      <c r="AA600" s="690"/>
      <c r="AB600" s="695">
        <f t="shared" si="80"/>
        <v>0</v>
      </c>
      <c r="AC600" s="1035"/>
      <c r="AD600" s="690"/>
      <c r="AE600" s="1025"/>
      <c r="AF600" s="1030"/>
      <c r="AG600" s="690"/>
      <c r="AH600" s="690"/>
      <c r="AI600" s="696">
        <f t="shared" si="81"/>
        <v>83750</v>
      </c>
      <c r="AJ600" s="697">
        <f t="shared" si="82"/>
        <v>55000</v>
      </c>
    </row>
    <row r="601" spans="1:36" s="698" customFormat="1" ht="12.75" customHeight="1">
      <c r="A601" s="739" t="s">
        <v>208</v>
      </c>
      <c r="B601" s="739" t="s">
        <v>279</v>
      </c>
      <c r="C601" s="750" t="s">
        <v>321</v>
      </c>
      <c r="D601" s="750"/>
      <c r="E601" s="741"/>
      <c r="F601" s="742"/>
      <c r="G601" s="1025"/>
      <c r="H601" s="690"/>
      <c r="I601" s="1030"/>
      <c r="J601" s="690"/>
      <c r="K601" s="1030"/>
      <c r="L601" s="690"/>
      <c r="M601" s="1025"/>
      <c r="N601" s="1030"/>
      <c r="O601" s="692">
        <f t="shared" si="75"/>
        <v>0</v>
      </c>
      <c r="P601" s="690"/>
      <c r="Q601" s="690"/>
      <c r="R601" s="691">
        <f t="shared" si="76"/>
        <v>0</v>
      </c>
      <c r="S601" s="692">
        <f t="shared" si="77"/>
        <v>0</v>
      </c>
      <c r="T601" s="693">
        <f t="shared" si="78"/>
        <v>0</v>
      </c>
      <c r="U601" s="1035"/>
      <c r="V601" s="690"/>
      <c r="W601" s="1025"/>
      <c r="X601" s="1030"/>
      <c r="Y601" s="694">
        <f t="shared" si="79"/>
        <v>0</v>
      </c>
      <c r="Z601" s="690"/>
      <c r="AA601" s="690"/>
      <c r="AB601" s="695">
        <f t="shared" si="80"/>
        <v>0</v>
      </c>
      <c r="AC601" s="1035"/>
      <c r="AD601" s="690"/>
      <c r="AE601" s="1025"/>
      <c r="AF601" s="1030"/>
      <c r="AG601" s="690"/>
      <c r="AH601" s="690"/>
      <c r="AI601" s="696">
        <f t="shared" si="81"/>
        <v>0</v>
      </c>
      <c r="AJ601" s="697">
        <f t="shared" si="82"/>
        <v>0</v>
      </c>
    </row>
    <row r="602" spans="1:36" s="698" customFormat="1" ht="12.75" customHeight="1">
      <c r="A602" s="739" t="s">
        <v>208</v>
      </c>
      <c r="B602" s="739" t="s">
        <v>317</v>
      </c>
      <c r="C602" s="750" t="s">
        <v>443</v>
      </c>
      <c r="D602" s="750"/>
      <c r="E602" s="741"/>
      <c r="F602" s="742"/>
      <c r="G602" s="1025"/>
      <c r="H602" s="690"/>
      <c r="I602" s="1030"/>
      <c r="J602" s="690"/>
      <c r="K602" s="1030"/>
      <c r="L602" s="690"/>
      <c r="M602" s="1025"/>
      <c r="N602" s="1030"/>
      <c r="O602" s="692">
        <f t="shared" si="75"/>
        <v>0</v>
      </c>
      <c r="P602" s="690"/>
      <c r="Q602" s="690"/>
      <c r="R602" s="691">
        <f t="shared" si="76"/>
        <v>0</v>
      </c>
      <c r="S602" s="692">
        <f t="shared" si="77"/>
        <v>0</v>
      </c>
      <c r="T602" s="693">
        <f t="shared" si="78"/>
        <v>0</v>
      </c>
      <c r="U602" s="1035"/>
      <c r="V602" s="690"/>
      <c r="W602" s="1025"/>
      <c r="X602" s="1030"/>
      <c r="Y602" s="694">
        <f t="shared" si="79"/>
        <v>0</v>
      </c>
      <c r="Z602" s="690"/>
      <c r="AA602" s="690"/>
      <c r="AB602" s="695">
        <f t="shared" si="80"/>
        <v>0</v>
      </c>
      <c r="AC602" s="1035"/>
      <c r="AD602" s="690"/>
      <c r="AE602" s="1025"/>
      <c r="AF602" s="1030"/>
      <c r="AG602" s="690"/>
      <c r="AH602" s="690"/>
      <c r="AI602" s="696">
        <f t="shared" si="81"/>
        <v>0</v>
      </c>
      <c r="AJ602" s="697">
        <f t="shared" si="82"/>
        <v>0</v>
      </c>
    </row>
    <row r="603" spans="1:36" s="698" customFormat="1" ht="12.75" customHeight="1">
      <c r="A603" s="739" t="s">
        <v>208</v>
      </c>
      <c r="B603" s="739" t="s">
        <v>318</v>
      </c>
      <c r="C603" s="750" t="s">
        <v>377</v>
      </c>
      <c r="D603" s="750"/>
      <c r="E603" s="741"/>
      <c r="F603" s="742"/>
      <c r="G603" s="1025"/>
      <c r="H603" s="690"/>
      <c r="I603" s="1030"/>
      <c r="J603" s="690"/>
      <c r="K603" s="1030"/>
      <c r="L603" s="690"/>
      <c r="M603" s="1025"/>
      <c r="N603" s="1030"/>
      <c r="O603" s="692">
        <f t="shared" si="75"/>
        <v>0</v>
      </c>
      <c r="P603" s="690"/>
      <c r="Q603" s="690"/>
      <c r="R603" s="691">
        <f t="shared" si="76"/>
        <v>0</v>
      </c>
      <c r="S603" s="692">
        <f t="shared" si="77"/>
        <v>0</v>
      </c>
      <c r="T603" s="693">
        <f t="shared" si="78"/>
        <v>0</v>
      </c>
      <c r="U603" s="1035">
        <v>53750</v>
      </c>
      <c r="V603" s="690">
        <v>55000</v>
      </c>
      <c r="W603" s="1025"/>
      <c r="X603" s="1030"/>
      <c r="Y603" s="694">
        <f t="shared" si="79"/>
        <v>0</v>
      </c>
      <c r="Z603" s="690"/>
      <c r="AA603" s="690"/>
      <c r="AB603" s="695">
        <f t="shared" si="80"/>
        <v>0</v>
      </c>
      <c r="AC603" s="1035"/>
      <c r="AD603" s="690"/>
      <c r="AE603" s="1025"/>
      <c r="AF603" s="1030"/>
      <c r="AG603" s="690"/>
      <c r="AH603" s="690"/>
      <c r="AI603" s="696">
        <f t="shared" si="81"/>
        <v>53750</v>
      </c>
      <c r="AJ603" s="697">
        <f t="shared" si="82"/>
        <v>55000</v>
      </c>
    </row>
    <row r="604" spans="1:36" s="698" customFormat="1" ht="12.75" customHeight="1">
      <c r="A604" s="739" t="s">
        <v>208</v>
      </c>
      <c r="B604" s="739" t="s">
        <v>420</v>
      </c>
      <c r="C604" s="753" t="s">
        <v>693</v>
      </c>
      <c r="D604" s="753"/>
      <c r="E604" s="741"/>
      <c r="F604" s="742"/>
      <c r="G604" s="1025"/>
      <c r="H604" s="690"/>
      <c r="I604" s="1030"/>
      <c r="J604" s="690"/>
      <c r="K604" s="1030"/>
      <c r="L604" s="690"/>
      <c r="M604" s="1025"/>
      <c r="N604" s="1030"/>
      <c r="O604" s="692">
        <f t="shared" si="75"/>
        <v>0</v>
      </c>
      <c r="P604" s="690"/>
      <c r="Q604" s="690"/>
      <c r="R604" s="691">
        <f t="shared" si="76"/>
        <v>0</v>
      </c>
      <c r="S604" s="692">
        <f t="shared" si="77"/>
        <v>0</v>
      </c>
      <c r="T604" s="693">
        <f t="shared" si="78"/>
        <v>0</v>
      </c>
      <c r="U604" s="1035"/>
      <c r="V604" s="690"/>
      <c r="W604" s="1025"/>
      <c r="X604" s="1030"/>
      <c r="Y604" s="694">
        <f t="shared" si="79"/>
        <v>0</v>
      </c>
      <c r="Z604" s="690"/>
      <c r="AA604" s="690"/>
      <c r="AB604" s="695">
        <f t="shared" si="80"/>
        <v>0</v>
      </c>
      <c r="AC604" s="1035"/>
      <c r="AD604" s="690"/>
      <c r="AE604" s="1025"/>
      <c r="AF604" s="1030"/>
      <c r="AG604" s="690"/>
      <c r="AH604" s="690"/>
      <c r="AI604" s="696">
        <f t="shared" si="81"/>
        <v>0</v>
      </c>
      <c r="AJ604" s="697">
        <f t="shared" si="82"/>
        <v>0</v>
      </c>
    </row>
    <row r="605" spans="1:36" s="698" customFormat="1" ht="12.75" customHeight="1">
      <c r="A605" s="739" t="s">
        <v>208</v>
      </c>
      <c r="B605" s="739" t="s">
        <v>295</v>
      </c>
      <c r="C605" s="750" t="s">
        <v>378</v>
      </c>
      <c r="D605" s="750"/>
      <c r="E605" s="741"/>
      <c r="F605" s="742"/>
      <c r="G605" s="1025"/>
      <c r="H605" s="690"/>
      <c r="I605" s="1030"/>
      <c r="J605" s="690"/>
      <c r="K605" s="1030"/>
      <c r="L605" s="690"/>
      <c r="M605" s="1025"/>
      <c r="N605" s="1030"/>
      <c r="O605" s="692">
        <f t="shared" si="75"/>
        <v>0</v>
      </c>
      <c r="P605" s="690"/>
      <c r="Q605" s="690"/>
      <c r="R605" s="691">
        <f t="shared" si="76"/>
        <v>0</v>
      </c>
      <c r="S605" s="692">
        <f t="shared" si="77"/>
        <v>0</v>
      </c>
      <c r="T605" s="693">
        <f t="shared" si="78"/>
        <v>0</v>
      </c>
      <c r="U605" s="1035"/>
      <c r="V605" s="690"/>
      <c r="W605" s="1025"/>
      <c r="X605" s="1030"/>
      <c r="Y605" s="694">
        <f t="shared" si="79"/>
        <v>0</v>
      </c>
      <c r="Z605" s="690"/>
      <c r="AA605" s="690"/>
      <c r="AB605" s="695">
        <f t="shared" si="80"/>
        <v>0</v>
      </c>
      <c r="AC605" s="1035"/>
      <c r="AD605" s="690"/>
      <c r="AE605" s="1025"/>
      <c r="AF605" s="1030"/>
      <c r="AG605" s="690"/>
      <c r="AH605" s="690"/>
      <c r="AI605" s="696">
        <f t="shared" si="81"/>
        <v>0</v>
      </c>
      <c r="AJ605" s="697">
        <f t="shared" si="82"/>
        <v>0</v>
      </c>
    </row>
    <row r="606" spans="1:36" s="698" customFormat="1" ht="12.75" customHeight="1">
      <c r="A606" s="739" t="s">
        <v>208</v>
      </c>
      <c r="B606" s="739" t="s">
        <v>296</v>
      </c>
      <c r="C606" s="750" t="s">
        <v>443</v>
      </c>
      <c r="D606" s="750"/>
      <c r="E606" s="741"/>
      <c r="F606" s="742"/>
      <c r="G606" s="1025"/>
      <c r="H606" s="690"/>
      <c r="I606" s="1030"/>
      <c r="J606" s="690"/>
      <c r="K606" s="1030"/>
      <c r="L606" s="690"/>
      <c r="M606" s="1025"/>
      <c r="N606" s="1030"/>
      <c r="O606" s="692">
        <f t="shared" si="75"/>
        <v>0</v>
      </c>
      <c r="P606" s="690"/>
      <c r="Q606" s="690"/>
      <c r="R606" s="691">
        <f t="shared" si="76"/>
        <v>0</v>
      </c>
      <c r="S606" s="692">
        <f t="shared" si="77"/>
        <v>0</v>
      </c>
      <c r="T606" s="693">
        <f t="shared" si="78"/>
        <v>0</v>
      </c>
      <c r="U606" s="1035"/>
      <c r="V606" s="690"/>
      <c r="W606" s="1025"/>
      <c r="X606" s="1030"/>
      <c r="Y606" s="694">
        <f t="shared" si="79"/>
        <v>0</v>
      </c>
      <c r="Z606" s="690"/>
      <c r="AA606" s="690"/>
      <c r="AB606" s="695">
        <f t="shared" si="80"/>
        <v>0</v>
      </c>
      <c r="AC606" s="1035"/>
      <c r="AD606" s="690"/>
      <c r="AE606" s="1025"/>
      <c r="AF606" s="1030"/>
      <c r="AG606" s="690"/>
      <c r="AH606" s="690"/>
      <c r="AI606" s="696">
        <f t="shared" si="81"/>
        <v>0</v>
      </c>
      <c r="AJ606" s="697">
        <f t="shared" si="82"/>
        <v>0</v>
      </c>
    </row>
    <row r="607" spans="1:36" s="698" customFormat="1" ht="12.75" customHeight="1">
      <c r="A607" s="739" t="s">
        <v>208</v>
      </c>
      <c r="B607" s="739" t="s">
        <v>278</v>
      </c>
      <c r="C607" s="750" t="s">
        <v>377</v>
      </c>
      <c r="D607" s="750"/>
      <c r="E607" s="741"/>
      <c r="F607" s="742"/>
      <c r="G607" s="1025"/>
      <c r="H607" s="690"/>
      <c r="I607" s="1030"/>
      <c r="J607" s="690"/>
      <c r="K607" s="1030"/>
      <c r="L607" s="690"/>
      <c r="M607" s="1025"/>
      <c r="N607" s="1030"/>
      <c r="O607" s="692">
        <f t="shared" si="75"/>
        <v>0</v>
      </c>
      <c r="P607" s="690"/>
      <c r="Q607" s="690"/>
      <c r="R607" s="691">
        <f t="shared" si="76"/>
        <v>0</v>
      </c>
      <c r="S607" s="692">
        <f t="shared" si="77"/>
        <v>0</v>
      </c>
      <c r="T607" s="693">
        <f t="shared" si="78"/>
        <v>0</v>
      </c>
      <c r="U607" s="1035">
        <v>73000</v>
      </c>
      <c r="V607" s="690">
        <v>57343</v>
      </c>
      <c r="W607" s="1025"/>
      <c r="X607" s="1030"/>
      <c r="Y607" s="694">
        <f t="shared" si="79"/>
        <v>0</v>
      </c>
      <c r="Z607" s="690"/>
      <c r="AA607" s="690"/>
      <c r="AB607" s="695">
        <f t="shared" si="80"/>
        <v>0</v>
      </c>
      <c r="AC607" s="1035"/>
      <c r="AD607" s="690"/>
      <c r="AE607" s="1025"/>
      <c r="AF607" s="1030"/>
      <c r="AG607" s="690"/>
      <c r="AH607" s="690"/>
      <c r="AI607" s="696">
        <f t="shared" si="81"/>
        <v>73000</v>
      </c>
      <c r="AJ607" s="697">
        <f t="shared" si="82"/>
        <v>57343</v>
      </c>
    </row>
    <row r="608" spans="1:36" s="698" customFormat="1" ht="12.75" customHeight="1">
      <c r="A608" s="739" t="s">
        <v>208</v>
      </c>
      <c r="B608" s="739" t="s">
        <v>279</v>
      </c>
      <c r="C608" s="750" t="s">
        <v>321</v>
      </c>
      <c r="D608" s="750"/>
      <c r="E608" s="741"/>
      <c r="F608" s="742"/>
      <c r="G608" s="1025"/>
      <c r="H608" s="690"/>
      <c r="I608" s="1030"/>
      <c r="J608" s="690"/>
      <c r="K608" s="1030"/>
      <c r="L608" s="690"/>
      <c r="M608" s="1025"/>
      <c r="N608" s="1030"/>
      <c r="O608" s="692">
        <f t="shared" si="75"/>
        <v>0</v>
      </c>
      <c r="P608" s="690"/>
      <c r="Q608" s="690"/>
      <c r="R608" s="691">
        <f t="shared" si="76"/>
        <v>0</v>
      </c>
      <c r="S608" s="692">
        <f t="shared" si="77"/>
        <v>0</v>
      </c>
      <c r="T608" s="693">
        <f t="shared" si="78"/>
        <v>0</v>
      </c>
      <c r="U608" s="1035"/>
      <c r="V608" s="690"/>
      <c r="W608" s="1025"/>
      <c r="X608" s="1030"/>
      <c r="Y608" s="694">
        <f t="shared" si="79"/>
        <v>0</v>
      </c>
      <c r="Z608" s="690"/>
      <c r="AA608" s="690"/>
      <c r="AB608" s="695">
        <f t="shared" si="80"/>
        <v>0</v>
      </c>
      <c r="AC608" s="1035"/>
      <c r="AD608" s="690"/>
      <c r="AE608" s="1025"/>
      <c r="AF608" s="1030"/>
      <c r="AG608" s="690"/>
      <c r="AH608" s="690"/>
      <c r="AI608" s="696">
        <f t="shared" si="81"/>
        <v>0</v>
      </c>
      <c r="AJ608" s="697">
        <f t="shared" si="82"/>
        <v>0</v>
      </c>
    </row>
    <row r="609" spans="1:36" s="698" customFormat="1" ht="12.75" customHeight="1">
      <c r="A609" s="739" t="s">
        <v>208</v>
      </c>
      <c r="B609" s="739" t="s">
        <v>317</v>
      </c>
      <c r="C609" s="750" t="s">
        <v>443</v>
      </c>
      <c r="D609" s="750"/>
      <c r="E609" s="741"/>
      <c r="F609" s="742"/>
      <c r="G609" s="1025"/>
      <c r="H609" s="690"/>
      <c r="I609" s="1030"/>
      <c r="J609" s="690"/>
      <c r="K609" s="1030"/>
      <c r="L609" s="690"/>
      <c r="M609" s="1025"/>
      <c r="N609" s="1030"/>
      <c r="O609" s="692">
        <f t="shared" si="75"/>
        <v>0</v>
      </c>
      <c r="P609" s="690"/>
      <c r="Q609" s="690"/>
      <c r="R609" s="691">
        <f t="shared" si="76"/>
        <v>0</v>
      </c>
      <c r="S609" s="692">
        <f t="shared" si="77"/>
        <v>0</v>
      </c>
      <c r="T609" s="693">
        <f t="shared" si="78"/>
        <v>0</v>
      </c>
      <c r="U609" s="1035"/>
      <c r="V609" s="690"/>
      <c r="W609" s="1025"/>
      <c r="X609" s="1030"/>
      <c r="Y609" s="694">
        <f t="shared" si="79"/>
        <v>0</v>
      </c>
      <c r="Z609" s="690"/>
      <c r="AA609" s="690"/>
      <c r="AB609" s="695">
        <f t="shared" si="80"/>
        <v>0</v>
      </c>
      <c r="AC609" s="1035"/>
      <c r="AD609" s="690"/>
      <c r="AE609" s="1025"/>
      <c r="AF609" s="1030"/>
      <c r="AG609" s="690"/>
      <c r="AH609" s="690"/>
      <c r="AI609" s="696">
        <f t="shared" si="81"/>
        <v>0</v>
      </c>
      <c r="AJ609" s="697">
        <f t="shared" si="82"/>
        <v>0</v>
      </c>
    </row>
    <row r="610" spans="1:36" s="698" customFormat="1" ht="12.75" customHeight="1">
      <c r="A610" s="739" t="s">
        <v>208</v>
      </c>
      <c r="B610" s="739" t="s">
        <v>318</v>
      </c>
      <c r="C610" s="750" t="s">
        <v>377</v>
      </c>
      <c r="D610" s="750"/>
      <c r="E610" s="741"/>
      <c r="F610" s="742"/>
      <c r="G610" s="1025"/>
      <c r="H610" s="690"/>
      <c r="I610" s="1030"/>
      <c r="J610" s="690"/>
      <c r="K610" s="1030"/>
      <c r="L610" s="690"/>
      <c r="M610" s="1025"/>
      <c r="N610" s="1030"/>
      <c r="O610" s="692">
        <f t="shared" si="75"/>
        <v>0</v>
      </c>
      <c r="P610" s="690"/>
      <c r="Q610" s="690"/>
      <c r="R610" s="691">
        <f t="shared" si="76"/>
        <v>0</v>
      </c>
      <c r="S610" s="692">
        <f t="shared" si="77"/>
        <v>0</v>
      </c>
      <c r="T610" s="693">
        <f t="shared" si="78"/>
        <v>0</v>
      </c>
      <c r="U610" s="1035">
        <v>0</v>
      </c>
      <c r="V610" s="690">
        <v>24000</v>
      </c>
      <c r="W610" s="1025"/>
      <c r="X610" s="1030"/>
      <c r="Y610" s="694">
        <f t="shared" si="79"/>
        <v>0</v>
      </c>
      <c r="Z610" s="690"/>
      <c r="AA610" s="690"/>
      <c r="AB610" s="695">
        <f t="shared" si="80"/>
        <v>0</v>
      </c>
      <c r="AC610" s="1035"/>
      <c r="AD610" s="690"/>
      <c r="AE610" s="1025"/>
      <c r="AF610" s="1030"/>
      <c r="AG610" s="690"/>
      <c r="AH610" s="690"/>
      <c r="AI610" s="696">
        <f t="shared" si="81"/>
        <v>0</v>
      </c>
      <c r="AJ610" s="697">
        <f t="shared" si="82"/>
        <v>24000</v>
      </c>
    </row>
    <row r="611" spans="1:36" s="698" customFormat="1" ht="12.75" customHeight="1">
      <c r="A611" s="739" t="s">
        <v>208</v>
      </c>
      <c r="B611" s="739" t="s">
        <v>420</v>
      </c>
      <c r="C611" s="753" t="s">
        <v>694</v>
      </c>
      <c r="D611" s="753"/>
      <c r="E611" s="741"/>
      <c r="F611" s="742"/>
      <c r="G611" s="1025"/>
      <c r="H611" s="690"/>
      <c r="I611" s="1030"/>
      <c r="J611" s="690"/>
      <c r="K611" s="1030"/>
      <c r="L611" s="690"/>
      <c r="M611" s="1025"/>
      <c r="N611" s="1030"/>
      <c r="O611" s="692">
        <f t="shared" si="75"/>
        <v>0</v>
      </c>
      <c r="P611" s="690"/>
      <c r="Q611" s="690"/>
      <c r="R611" s="691">
        <f t="shared" si="76"/>
        <v>0</v>
      </c>
      <c r="S611" s="692">
        <f t="shared" si="77"/>
        <v>0</v>
      </c>
      <c r="T611" s="693">
        <f t="shared" si="78"/>
        <v>0</v>
      </c>
      <c r="U611" s="1035"/>
      <c r="V611" s="690"/>
      <c r="W611" s="1025"/>
      <c r="X611" s="1030"/>
      <c r="Y611" s="694">
        <f t="shared" si="79"/>
        <v>0</v>
      </c>
      <c r="Z611" s="690"/>
      <c r="AA611" s="690"/>
      <c r="AB611" s="695">
        <f t="shared" si="80"/>
        <v>0</v>
      </c>
      <c r="AC611" s="1035"/>
      <c r="AD611" s="690"/>
      <c r="AE611" s="1025"/>
      <c r="AF611" s="1030"/>
      <c r="AG611" s="690"/>
      <c r="AH611" s="690"/>
      <c r="AI611" s="696">
        <f t="shared" si="81"/>
        <v>0</v>
      </c>
      <c r="AJ611" s="697">
        <f t="shared" si="82"/>
        <v>0</v>
      </c>
    </row>
    <row r="612" spans="1:36" s="698" customFormat="1" ht="12.75" customHeight="1">
      <c r="A612" s="739" t="s">
        <v>208</v>
      </c>
      <c r="B612" s="739" t="s">
        <v>295</v>
      </c>
      <c r="C612" s="750" t="s">
        <v>378</v>
      </c>
      <c r="D612" s="750"/>
      <c r="E612" s="741"/>
      <c r="F612" s="742"/>
      <c r="G612" s="1025"/>
      <c r="H612" s="690"/>
      <c r="I612" s="1030"/>
      <c r="J612" s="690"/>
      <c r="K612" s="1030"/>
      <c r="L612" s="690"/>
      <c r="M612" s="1025"/>
      <c r="N612" s="1030"/>
      <c r="O612" s="692">
        <f t="shared" si="75"/>
        <v>0</v>
      </c>
      <c r="P612" s="690"/>
      <c r="Q612" s="690"/>
      <c r="R612" s="691">
        <f t="shared" si="76"/>
        <v>0</v>
      </c>
      <c r="S612" s="692">
        <f t="shared" si="77"/>
        <v>0</v>
      </c>
      <c r="T612" s="693">
        <f t="shared" si="78"/>
        <v>0</v>
      </c>
      <c r="U612" s="1035"/>
      <c r="V612" s="690"/>
      <c r="W612" s="1025"/>
      <c r="X612" s="1030"/>
      <c r="Y612" s="694">
        <f t="shared" si="79"/>
        <v>0</v>
      </c>
      <c r="Z612" s="690"/>
      <c r="AA612" s="690"/>
      <c r="AB612" s="695">
        <f t="shared" si="80"/>
        <v>0</v>
      </c>
      <c r="AC612" s="1035"/>
      <c r="AD612" s="690"/>
      <c r="AE612" s="1025"/>
      <c r="AF612" s="1030"/>
      <c r="AG612" s="690"/>
      <c r="AH612" s="690"/>
      <c r="AI612" s="696">
        <f t="shared" si="81"/>
        <v>0</v>
      </c>
      <c r="AJ612" s="697">
        <f t="shared" si="82"/>
        <v>0</v>
      </c>
    </row>
    <row r="613" spans="1:36" s="698" customFormat="1" ht="12.75" customHeight="1">
      <c r="A613" s="739" t="s">
        <v>208</v>
      </c>
      <c r="B613" s="739" t="s">
        <v>296</v>
      </c>
      <c r="C613" s="750" t="s">
        <v>443</v>
      </c>
      <c r="D613" s="750"/>
      <c r="E613" s="741"/>
      <c r="F613" s="742"/>
      <c r="G613" s="1025"/>
      <c r="H613" s="690"/>
      <c r="I613" s="1030"/>
      <c r="J613" s="690"/>
      <c r="K613" s="1030"/>
      <c r="L613" s="690"/>
      <c r="M613" s="1025"/>
      <c r="N613" s="1030"/>
      <c r="O613" s="692">
        <f t="shared" si="75"/>
        <v>0</v>
      </c>
      <c r="P613" s="690"/>
      <c r="Q613" s="690"/>
      <c r="R613" s="691">
        <f t="shared" si="76"/>
        <v>0</v>
      </c>
      <c r="S613" s="692">
        <f t="shared" si="77"/>
        <v>0</v>
      </c>
      <c r="T613" s="693">
        <f t="shared" si="78"/>
        <v>0</v>
      </c>
      <c r="U613" s="1035"/>
      <c r="V613" s="690"/>
      <c r="W613" s="1025"/>
      <c r="X613" s="1030"/>
      <c r="Y613" s="694">
        <f t="shared" si="79"/>
        <v>0</v>
      </c>
      <c r="Z613" s="690"/>
      <c r="AA613" s="690"/>
      <c r="AB613" s="695">
        <f t="shared" si="80"/>
        <v>0</v>
      </c>
      <c r="AC613" s="1035"/>
      <c r="AD613" s="690"/>
      <c r="AE613" s="1025"/>
      <c r="AF613" s="1030"/>
      <c r="AG613" s="690"/>
      <c r="AH613" s="690"/>
      <c r="AI613" s="696">
        <f t="shared" si="81"/>
        <v>0</v>
      </c>
      <c r="AJ613" s="697">
        <f t="shared" si="82"/>
        <v>0</v>
      </c>
    </row>
    <row r="614" spans="1:36" s="698" customFormat="1" ht="12.75" customHeight="1">
      <c r="A614" s="739" t="s">
        <v>208</v>
      </c>
      <c r="B614" s="739" t="s">
        <v>278</v>
      </c>
      <c r="C614" s="750" t="s">
        <v>377</v>
      </c>
      <c r="D614" s="750"/>
      <c r="E614" s="741"/>
      <c r="F614" s="742"/>
      <c r="G614" s="1025"/>
      <c r="H614" s="690"/>
      <c r="I614" s="1030"/>
      <c r="J614" s="690"/>
      <c r="K614" s="1030"/>
      <c r="L614" s="690"/>
      <c r="M614" s="1025"/>
      <c r="N614" s="1030"/>
      <c r="O614" s="692">
        <f t="shared" si="75"/>
        <v>0</v>
      </c>
      <c r="P614" s="690"/>
      <c r="Q614" s="690"/>
      <c r="R614" s="691">
        <f t="shared" si="76"/>
        <v>0</v>
      </c>
      <c r="S614" s="692">
        <f t="shared" si="77"/>
        <v>0</v>
      </c>
      <c r="T614" s="693">
        <f t="shared" si="78"/>
        <v>0</v>
      </c>
      <c r="U614" s="1035">
        <v>18750</v>
      </c>
      <c r="V614" s="690">
        <v>14375</v>
      </c>
      <c r="W614" s="1025"/>
      <c r="X614" s="1030"/>
      <c r="Y614" s="694">
        <f t="shared" si="79"/>
        <v>0</v>
      </c>
      <c r="Z614" s="690"/>
      <c r="AA614" s="690"/>
      <c r="AB614" s="695">
        <f t="shared" si="80"/>
        <v>0</v>
      </c>
      <c r="AC614" s="1035"/>
      <c r="AD614" s="690"/>
      <c r="AE614" s="1025"/>
      <c r="AF614" s="1030"/>
      <c r="AG614" s="690"/>
      <c r="AH614" s="690"/>
      <c r="AI614" s="696">
        <f t="shared" si="81"/>
        <v>18750</v>
      </c>
      <c r="AJ614" s="697">
        <f t="shared" si="82"/>
        <v>14375</v>
      </c>
    </row>
    <row r="615" spans="1:36" s="698" customFormat="1" ht="12.75" customHeight="1">
      <c r="A615" s="739" t="s">
        <v>208</v>
      </c>
      <c r="B615" s="739" t="s">
        <v>279</v>
      </c>
      <c r="C615" s="750" t="s">
        <v>321</v>
      </c>
      <c r="D615" s="750"/>
      <c r="E615" s="741"/>
      <c r="F615" s="742"/>
      <c r="G615" s="1025"/>
      <c r="H615" s="690"/>
      <c r="I615" s="1030"/>
      <c r="J615" s="690"/>
      <c r="K615" s="1030"/>
      <c r="L615" s="690"/>
      <c r="M615" s="1025"/>
      <c r="N615" s="1030"/>
      <c r="O615" s="692">
        <f t="shared" si="75"/>
        <v>0</v>
      </c>
      <c r="P615" s="690"/>
      <c r="Q615" s="690"/>
      <c r="R615" s="691">
        <f t="shared" si="76"/>
        <v>0</v>
      </c>
      <c r="S615" s="692">
        <f t="shared" si="77"/>
        <v>0</v>
      </c>
      <c r="T615" s="693">
        <f t="shared" si="78"/>
        <v>0</v>
      </c>
      <c r="U615" s="1035"/>
      <c r="V615" s="690"/>
      <c r="W615" s="1025"/>
      <c r="X615" s="1030"/>
      <c r="Y615" s="694">
        <f t="shared" si="79"/>
        <v>0</v>
      </c>
      <c r="Z615" s="690"/>
      <c r="AA615" s="690"/>
      <c r="AB615" s="695">
        <f t="shared" si="80"/>
        <v>0</v>
      </c>
      <c r="AC615" s="1035"/>
      <c r="AD615" s="690"/>
      <c r="AE615" s="1025"/>
      <c r="AF615" s="1030"/>
      <c r="AG615" s="690"/>
      <c r="AH615" s="690"/>
      <c r="AI615" s="696">
        <f t="shared" si="81"/>
        <v>0</v>
      </c>
      <c r="AJ615" s="697">
        <f t="shared" si="82"/>
        <v>0</v>
      </c>
    </row>
    <row r="616" spans="1:36" s="698" customFormat="1" ht="12.75" customHeight="1">
      <c r="A616" s="739" t="s">
        <v>208</v>
      </c>
      <c r="B616" s="739" t="s">
        <v>317</v>
      </c>
      <c r="C616" s="750" t="s">
        <v>443</v>
      </c>
      <c r="D616" s="750"/>
      <c r="E616" s="741"/>
      <c r="F616" s="742"/>
      <c r="G616" s="1025"/>
      <c r="H616" s="690"/>
      <c r="I616" s="1030"/>
      <c r="J616" s="690"/>
      <c r="K616" s="1030"/>
      <c r="L616" s="690"/>
      <c r="M616" s="1025"/>
      <c r="N616" s="1030"/>
      <c r="O616" s="692">
        <f t="shared" si="75"/>
        <v>0</v>
      </c>
      <c r="P616" s="690"/>
      <c r="Q616" s="690"/>
      <c r="R616" s="691">
        <f t="shared" si="76"/>
        <v>0</v>
      </c>
      <c r="S616" s="692">
        <f t="shared" si="77"/>
        <v>0</v>
      </c>
      <c r="T616" s="693">
        <f t="shared" si="78"/>
        <v>0</v>
      </c>
      <c r="U616" s="1035"/>
      <c r="V616" s="690"/>
      <c r="W616" s="1025"/>
      <c r="X616" s="1030"/>
      <c r="Y616" s="694">
        <f t="shared" si="79"/>
        <v>0</v>
      </c>
      <c r="Z616" s="690"/>
      <c r="AA616" s="690"/>
      <c r="AB616" s="695">
        <f t="shared" si="80"/>
        <v>0</v>
      </c>
      <c r="AC616" s="1035"/>
      <c r="AD616" s="690"/>
      <c r="AE616" s="1025"/>
      <c r="AF616" s="1030"/>
      <c r="AG616" s="690"/>
      <c r="AH616" s="690"/>
      <c r="AI616" s="696">
        <f t="shared" si="81"/>
        <v>0</v>
      </c>
      <c r="AJ616" s="697">
        <f t="shared" si="82"/>
        <v>0</v>
      </c>
    </row>
    <row r="617" spans="1:36" s="698" customFormat="1" ht="12.75" customHeight="1">
      <c r="A617" s="739" t="s">
        <v>208</v>
      </c>
      <c r="B617" s="739" t="s">
        <v>318</v>
      </c>
      <c r="C617" s="750" t="s">
        <v>377</v>
      </c>
      <c r="D617" s="750"/>
      <c r="E617" s="741"/>
      <c r="F617" s="742"/>
      <c r="G617" s="1025"/>
      <c r="H617" s="690"/>
      <c r="I617" s="1030"/>
      <c r="J617" s="690"/>
      <c r="K617" s="1030"/>
      <c r="L617" s="690"/>
      <c r="M617" s="1025"/>
      <c r="N617" s="1030"/>
      <c r="O617" s="692">
        <f t="shared" si="75"/>
        <v>0</v>
      </c>
      <c r="P617" s="690"/>
      <c r="Q617" s="690"/>
      <c r="R617" s="691">
        <f t="shared" si="76"/>
        <v>0</v>
      </c>
      <c r="S617" s="692">
        <f t="shared" si="77"/>
        <v>0</v>
      </c>
      <c r="T617" s="693">
        <f t="shared" si="78"/>
        <v>0</v>
      </c>
      <c r="U617" s="1035">
        <v>0</v>
      </c>
      <c r="V617" s="690">
        <v>16989</v>
      </c>
      <c r="W617" s="1025"/>
      <c r="X617" s="1030"/>
      <c r="Y617" s="694">
        <f t="shared" si="79"/>
        <v>0</v>
      </c>
      <c r="Z617" s="690"/>
      <c r="AA617" s="690"/>
      <c r="AB617" s="695">
        <f t="shared" si="80"/>
        <v>0</v>
      </c>
      <c r="AC617" s="1035"/>
      <c r="AD617" s="690"/>
      <c r="AE617" s="1025"/>
      <c r="AF617" s="1030"/>
      <c r="AG617" s="690"/>
      <c r="AH617" s="690"/>
      <c r="AI617" s="696">
        <f t="shared" si="81"/>
        <v>0</v>
      </c>
      <c r="AJ617" s="697">
        <f t="shared" si="82"/>
        <v>16989</v>
      </c>
    </row>
    <row r="618" spans="1:36" s="698" customFormat="1" ht="12.75" customHeight="1">
      <c r="A618" s="739" t="s">
        <v>208</v>
      </c>
      <c r="B618" s="739" t="s">
        <v>420</v>
      </c>
      <c r="C618" s="753" t="s">
        <v>695</v>
      </c>
      <c r="D618" s="753"/>
      <c r="E618" s="741"/>
      <c r="F618" s="742"/>
      <c r="G618" s="1025"/>
      <c r="H618" s="690"/>
      <c r="I618" s="1030"/>
      <c r="J618" s="690"/>
      <c r="K618" s="1030"/>
      <c r="L618" s="690"/>
      <c r="M618" s="1025"/>
      <c r="N618" s="1030"/>
      <c r="O618" s="692">
        <f t="shared" si="75"/>
        <v>0</v>
      </c>
      <c r="P618" s="690"/>
      <c r="Q618" s="690"/>
      <c r="R618" s="691">
        <f t="shared" si="76"/>
        <v>0</v>
      </c>
      <c r="S618" s="692">
        <f t="shared" si="77"/>
        <v>0</v>
      </c>
      <c r="T618" s="693">
        <f t="shared" si="78"/>
        <v>0</v>
      </c>
      <c r="U618" s="1035"/>
      <c r="V618" s="690"/>
      <c r="W618" s="1025"/>
      <c r="X618" s="1030"/>
      <c r="Y618" s="694">
        <f t="shared" si="79"/>
        <v>0</v>
      </c>
      <c r="Z618" s="690"/>
      <c r="AA618" s="690"/>
      <c r="AB618" s="695">
        <f t="shared" si="80"/>
        <v>0</v>
      </c>
      <c r="AC618" s="1035"/>
      <c r="AD618" s="690"/>
      <c r="AE618" s="1025"/>
      <c r="AF618" s="1030"/>
      <c r="AG618" s="690"/>
      <c r="AH618" s="690"/>
      <c r="AI618" s="696">
        <f t="shared" si="81"/>
        <v>0</v>
      </c>
      <c r="AJ618" s="697">
        <f t="shared" si="82"/>
        <v>0</v>
      </c>
    </row>
    <row r="619" spans="1:36" s="698" customFormat="1" ht="12.75" customHeight="1">
      <c r="A619" s="739" t="s">
        <v>208</v>
      </c>
      <c r="B619" s="739" t="s">
        <v>295</v>
      </c>
      <c r="C619" s="750" t="s">
        <v>378</v>
      </c>
      <c r="D619" s="750"/>
      <c r="E619" s="741"/>
      <c r="F619" s="742"/>
      <c r="G619" s="1025"/>
      <c r="H619" s="690"/>
      <c r="I619" s="1030"/>
      <c r="J619" s="690"/>
      <c r="K619" s="1030"/>
      <c r="L619" s="690"/>
      <c r="M619" s="1025"/>
      <c r="N619" s="1030"/>
      <c r="O619" s="692">
        <f t="shared" si="75"/>
        <v>0</v>
      </c>
      <c r="P619" s="690"/>
      <c r="Q619" s="690"/>
      <c r="R619" s="691">
        <f t="shared" si="76"/>
        <v>0</v>
      </c>
      <c r="S619" s="692">
        <f t="shared" si="77"/>
        <v>0</v>
      </c>
      <c r="T619" s="693">
        <f t="shared" si="78"/>
        <v>0</v>
      </c>
      <c r="U619" s="1035"/>
      <c r="V619" s="690"/>
      <c r="W619" s="1025"/>
      <c r="X619" s="1030"/>
      <c r="Y619" s="694">
        <f t="shared" si="79"/>
        <v>0</v>
      </c>
      <c r="Z619" s="690"/>
      <c r="AA619" s="690"/>
      <c r="AB619" s="695">
        <f t="shared" si="80"/>
        <v>0</v>
      </c>
      <c r="AC619" s="1035"/>
      <c r="AD619" s="690"/>
      <c r="AE619" s="1025"/>
      <c r="AF619" s="1030"/>
      <c r="AG619" s="690"/>
      <c r="AH619" s="690"/>
      <c r="AI619" s="696">
        <f t="shared" si="81"/>
        <v>0</v>
      </c>
      <c r="AJ619" s="697">
        <f t="shared" si="82"/>
        <v>0</v>
      </c>
    </row>
    <row r="620" spans="1:36" s="698" customFormat="1" ht="12.75" customHeight="1">
      <c r="A620" s="739" t="s">
        <v>208</v>
      </c>
      <c r="B620" s="739" t="s">
        <v>296</v>
      </c>
      <c r="C620" s="750" t="s">
        <v>443</v>
      </c>
      <c r="D620" s="750"/>
      <c r="E620" s="741"/>
      <c r="F620" s="742"/>
      <c r="G620" s="1025"/>
      <c r="H620" s="690"/>
      <c r="I620" s="1030"/>
      <c r="J620" s="690"/>
      <c r="K620" s="1030"/>
      <c r="L620" s="690"/>
      <c r="M620" s="1025"/>
      <c r="N620" s="1030"/>
      <c r="O620" s="692">
        <f t="shared" si="75"/>
        <v>0</v>
      </c>
      <c r="P620" s="690"/>
      <c r="Q620" s="690"/>
      <c r="R620" s="691">
        <f t="shared" si="76"/>
        <v>0</v>
      </c>
      <c r="S620" s="692">
        <f t="shared" si="77"/>
        <v>0</v>
      </c>
      <c r="T620" s="693">
        <f t="shared" si="78"/>
        <v>0</v>
      </c>
      <c r="U620" s="1035"/>
      <c r="V620" s="690"/>
      <c r="W620" s="1025"/>
      <c r="X620" s="1030"/>
      <c r="Y620" s="694">
        <f t="shared" si="79"/>
        <v>0</v>
      </c>
      <c r="Z620" s="690"/>
      <c r="AA620" s="690"/>
      <c r="AB620" s="695">
        <f t="shared" si="80"/>
        <v>0</v>
      </c>
      <c r="AC620" s="1035"/>
      <c r="AD620" s="690"/>
      <c r="AE620" s="1025"/>
      <c r="AF620" s="1030"/>
      <c r="AG620" s="690"/>
      <c r="AH620" s="690"/>
      <c r="AI620" s="696">
        <f t="shared" si="81"/>
        <v>0</v>
      </c>
      <c r="AJ620" s="697">
        <f t="shared" si="82"/>
        <v>0</v>
      </c>
    </row>
    <row r="621" spans="1:36" s="698" customFormat="1" ht="12.75" customHeight="1">
      <c r="A621" s="739" t="s">
        <v>208</v>
      </c>
      <c r="B621" s="739" t="s">
        <v>278</v>
      </c>
      <c r="C621" s="750" t="s">
        <v>377</v>
      </c>
      <c r="D621" s="750"/>
      <c r="E621" s="741"/>
      <c r="F621" s="742"/>
      <c r="G621" s="1025"/>
      <c r="H621" s="690"/>
      <c r="I621" s="1030"/>
      <c r="J621" s="690"/>
      <c r="K621" s="1030"/>
      <c r="L621" s="690"/>
      <c r="M621" s="1025"/>
      <c r="N621" s="1030"/>
      <c r="O621" s="692">
        <f t="shared" si="75"/>
        <v>0</v>
      </c>
      <c r="P621" s="690"/>
      <c r="Q621" s="690"/>
      <c r="R621" s="691">
        <f t="shared" si="76"/>
        <v>0</v>
      </c>
      <c r="S621" s="692">
        <f t="shared" si="77"/>
        <v>0</v>
      </c>
      <c r="T621" s="693">
        <f t="shared" si="78"/>
        <v>0</v>
      </c>
      <c r="U621" s="1035">
        <v>85527</v>
      </c>
      <c r="V621" s="690">
        <v>62811</v>
      </c>
      <c r="W621" s="1025"/>
      <c r="X621" s="1030"/>
      <c r="Y621" s="694">
        <f t="shared" si="79"/>
        <v>0</v>
      </c>
      <c r="Z621" s="690"/>
      <c r="AA621" s="690"/>
      <c r="AB621" s="695">
        <f t="shared" si="80"/>
        <v>0</v>
      </c>
      <c r="AC621" s="1035"/>
      <c r="AD621" s="690"/>
      <c r="AE621" s="1025"/>
      <c r="AF621" s="1030"/>
      <c r="AG621" s="690"/>
      <c r="AH621" s="690"/>
      <c r="AI621" s="696">
        <f t="shared" si="81"/>
        <v>85527</v>
      </c>
      <c r="AJ621" s="697">
        <f t="shared" si="82"/>
        <v>62811</v>
      </c>
    </row>
    <row r="622" spans="1:36" s="698" customFormat="1" ht="12.75" customHeight="1">
      <c r="A622" s="739" t="s">
        <v>208</v>
      </c>
      <c r="B622" s="739" t="s">
        <v>279</v>
      </c>
      <c r="C622" s="750" t="s">
        <v>321</v>
      </c>
      <c r="D622" s="750"/>
      <c r="E622" s="741"/>
      <c r="F622" s="742"/>
      <c r="G622" s="1025"/>
      <c r="H622" s="690"/>
      <c r="I622" s="1030"/>
      <c r="J622" s="690"/>
      <c r="K622" s="1030"/>
      <c r="L622" s="690"/>
      <c r="M622" s="1025"/>
      <c r="N622" s="1030"/>
      <c r="O622" s="692">
        <f t="shared" si="75"/>
        <v>0</v>
      </c>
      <c r="P622" s="690"/>
      <c r="Q622" s="690"/>
      <c r="R622" s="691">
        <f t="shared" si="76"/>
        <v>0</v>
      </c>
      <c r="S622" s="692">
        <f t="shared" si="77"/>
        <v>0</v>
      </c>
      <c r="T622" s="693">
        <f t="shared" si="78"/>
        <v>0</v>
      </c>
      <c r="U622" s="1035"/>
      <c r="V622" s="690"/>
      <c r="W622" s="1025"/>
      <c r="X622" s="1030"/>
      <c r="Y622" s="694">
        <f t="shared" si="79"/>
        <v>0</v>
      </c>
      <c r="Z622" s="690"/>
      <c r="AA622" s="690"/>
      <c r="AB622" s="695">
        <f t="shared" si="80"/>
        <v>0</v>
      </c>
      <c r="AC622" s="1035"/>
      <c r="AD622" s="690"/>
      <c r="AE622" s="1025"/>
      <c r="AF622" s="1030"/>
      <c r="AG622" s="690"/>
      <c r="AH622" s="690"/>
      <c r="AI622" s="696">
        <f t="shared" si="81"/>
        <v>0</v>
      </c>
      <c r="AJ622" s="697">
        <f t="shared" si="82"/>
        <v>0</v>
      </c>
    </row>
    <row r="623" spans="1:36" s="698" customFormat="1" ht="12.75" customHeight="1">
      <c r="A623" s="739" t="s">
        <v>208</v>
      </c>
      <c r="B623" s="739" t="s">
        <v>317</v>
      </c>
      <c r="C623" s="750" t="s">
        <v>443</v>
      </c>
      <c r="D623" s="750"/>
      <c r="E623" s="741"/>
      <c r="F623" s="742"/>
      <c r="G623" s="1025"/>
      <c r="H623" s="690"/>
      <c r="I623" s="1030"/>
      <c r="J623" s="690"/>
      <c r="K623" s="1030"/>
      <c r="L623" s="690"/>
      <c r="M623" s="1025"/>
      <c r="N623" s="1030"/>
      <c r="O623" s="692">
        <f t="shared" si="75"/>
        <v>0</v>
      </c>
      <c r="P623" s="690"/>
      <c r="Q623" s="690"/>
      <c r="R623" s="691">
        <f t="shared" si="76"/>
        <v>0</v>
      </c>
      <c r="S623" s="692">
        <f t="shared" si="77"/>
        <v>0</v>
      </c>
      <c r="T623" s="693">
        <f t="shared" si="78"/>
        <v>0</v>
      </c>
      <c r="U623" s="1035"/>
      <c r="V623" s="690"/>
      <c r="W623" s="1025"/>
      <c r="X623" s="1030"/>
      <c r="Y623" s="694">
        <f t="shared" si="79"/>
        <v>0</v>
      </c>
      <c r="Z623" s="690"/>
      <c r="AA623" s="690"/>
      <c r="AB623" s="695">
        <f t="shared" si="80"/>
        <v>0</v>
      </c>
      <c r="AC623" s="1035"/>
      <c r="AD623" s="690"/>
      <c r="AE623" s="1025"/>
      <c r="AF623" s="1030"/>
      <c r="AG623" s="690"/>
      <c r="AH623" s="690"/>
      <c r="AI623" s="696">
        <f t="shared" si="81"/>
        <v>0</v>
      </c>
      <c r="AJ623" s="697">
        <f t="shared" si="82"/>
        <v>0</v>
      </c>
    </row>
    <row r="624" spans="1:36" s="698" customFormat="1" ht="12.75" customHeight="1">
      <c r="A624" s="739" t="s">
        <v>208</v>
      </c>
      <c r="B624" s="739" t="s">
        <v>318</v>
      </c>
      <c r="C624" s="750" t="s">
        <v>377</v>
      </c>
      <c r="D624" s="750"/>
      <c r="E624" s="741"/>
      <c r="F624" s="742"/>
      <c r="G624" s="1025"/>
      <c r="H624" s="690"/>
      <c r="I624" s="1030"/>
      <c r="J624" s="690"/>
      <c r="K624" s="1030"/>
      <c r="L624" s="690"/>
      <c r="M624" s="1025"/>
      <c r="N624" s="1030"/>
      <c r="O624" s="692">
        <f t="shared" si="75"/>
        <v>0</v>
      </c>
      <c r="P624" s="690"/>
      <c r="Q624" s="690"/>
      <c r="R624" s="691">
        <f t="shared" si="76"/>
        <v>0</v>
      </c>
      <c r="S624" s="692">
        <f t="shared" si="77"/>
        <v>0</v>
      </c>
      <c r="T624" s="693">
        <f t="shared" si="78"/>
        <v>0</v>
      </c>
      <c r="U624" s="1035"/>
      <c r="V624" s="690"/>
      <c r="W624" s="1025"/>
      <c r="X624" s="1030"/>
      <c r="Y624" s="694">
        <f t="shared" si="79"/>
        <v>0</v>
      </c>
      <c r="Z624" s="690"/>
      <c r="AA624" s="690"/>
      <c r="AB624" s="695">
        <f t="shared" si="80"/>
        <v>0</v>
      </c>
      <c r="AC624" s="1035"/>
      <c r="AD624" s="690"/>
      <c r="AE624" s="1025"/>
      <c r="AF624" s="1030"/>
      <c r="AG624" s="690"/>
      <c r="AH624" s="690"/>
      <c r="AI624" s="696">
        <f t="shared" si="81"/>
        <v>0</v>
      </c>
      <c r="AJ624" s="697">
        <f t="shared" si="82"/>
        <v>0</v>
      </c>
    </row>
    <row r="625" spans="1:36" s="698" customFormat="1" ht="12.75" customHeight="1">
      <c r="A625" s="739" t="s">
        <v>208</v>
      </c>
      <c r="B625" s="739" t="s">
        <v>420</v>
      </c>
      <c r="C625" s="753" t="s">
        <v>696</v>
      </c>
      <c r="D625" s="753"/>
      <c r="E625" s="741"/>
      <c r="F625" s="742"/>
      <c r="G625" s="1025"/>
      <c r="H625" s="690"/>
      <c r="I625" s="1030"/>
      <c r="J625" s="690"/>
      <c r="K625" s="1030"/>
      <c r="L625" s="690"/>
      <c r="M625" s="1025"/>
      <c r="N625" s="1030"/>
      <c r="O625" s="692">
        <f t="shared" si="75"/>
        <v>0</v>
      </c>
      <c r="P625" s="690"/>
      <c r="Q625" s="690"/>
      <c r="R625" s="691">
        <f t="shared" si="76"/>
        <v>0</v>
      </c>
      <c r="S625" s="692">
        <f t="shared" si="77"/>
        <v>0</v>
      </c>
      <c r="T625" s="693">
        <f t="shared" si="78"/>
        <v>0</v>
      </c>
      <c r="U625" s="1035"/>
      <c r="V625" s="690"/>
      <c r="W625" s="1025"/>
      <c r="X625" s="1030"/>
      <c r="Y625" s="694">
        <f t="shared" si="79"/>
        <v>0</v>
      </c>
      <c r="Z625" s="690"/>
      <c r="AA625" s="690"/>
      <c r="AB625" s="695">
        <f t="shared" si="80"/>
        <v>0</v>
      </c>
      <c r="AC625" s="1035"/>
      <c r="AD625" s="690"/>
      <c r="AE625" s="1025"/>
      <c r="AF625" s="1030"/>
      <c r="AG625" s="690"/>
      <c r="AH625" s="690"/>
      <c r="AI625" s="696">
        <f t="shared" si="81"/>
        <v>0</v>
      </c>
      <c r="AJ625" s="697">
        <f t="shared" si="82"/>
        <v>0</v>
      </c>
    </row>
    <row r="626" spans="1:36" s="698" customFormat="1" ht="12.75" customHeight="1">
      <c r="A626" s="739" t="s">
        <v>208</v>
      </c>
      <c r="B626" s="739" t="s">
        <v>295</v>
      </c>
      <c r="C626" s="750" t="s">
        <v>378</v>
      </c>
      <c r="D626" s="750"/>
      <c r="E626" s="741"/>
      <c r="F626" s="742"/>
      <c r="G626" s="1025"/>
      <c r="H626" s="690"/>
      <c r="I626" s="1030"/>
      <c r="J626" s="690"/>
      <c r="K626" s="1030"/>
      <c r="L626" s="690"/>
      <c r="M626" s="1025"/>
      <c r="N626" s="1030"/>
      <c r="O626" s="692">
        <f t="shared" si="75"/>
        <v>0</v>
      </c>
      <c r="P626" s="690"/>
      <c r="Q626" s="690"/>
      <c r="R626" s="691">
        <f t="shared" si="76"/>
        <v>0</v>
      </c>
      <c r="S626" s="692">
        <f t="shared" si="77"/>
        <v>0</v>
      </c>
      <c r="T626" s="693">
        <f t="shared" si="78"/>
        <v>0</v>
      </c>
      <c r="U626" s="1035"/>
      <c r="V626" s="690"/>
      <c r="W626" s="1025"/>
      <c r="X626" s="1030"/>
      <c r="Y626" s="694">
        <f t="shared" si="79"/>
        <v>0</v>
      </c>
      <c r="Z626" s="690"/>
      <c r="AA626" s="690"/>
      <c r="AB626" s="695">
        <f t="shared" si="80"/>
        <v>0</v>
      </c>
      <c r="AC626" s="1035"/>
      <c r="AD626" s="690"/>
      <c r="AE626" s="1025"/>
      <c r="AF626" s="1030"/>
      <c r="AG626" s="690"/>
      <c r="AH626" s="690"/>
      <c r="AI626" s="696">
        <f t="shared" si="81"/>
        <v>0</v>
      </c>
      <c r="AJ626" s="697">
        <f t="shared" si="82"/>
        <v>0</v>
      </c>
    </row>
    <row r="627" spans="1:36" s="698" customFormat="1" ht="12.75" customHeight="1">
      <c r="A627" s="739" t="s">
        <v>208</v>
      </c>
      <c r="B627" s="739" t="s">
        <v>296</v>
      </c>
      <c r="C627" s="750" t="s">
        <v>443</v>
      </c>
      <c r="D627" s="750"/>
      <c r="E627" s="741"/>
      <c r="F627" s="742"/>
      <c r="G627" s="1025"/>
      <c r="H627" s="690"/>
      <c r="I627" s="1030"/>
      <c r="J627" s="690"/>
      <c r="K627" s="1030"/>
      <c r="L627" s="690"/>
      <c r="M627" s="1025"/>
      <c r="N627" s="1030"/>
      <c r="O627" s="692">
        <f t="shared" si="75"/>
        <v>0</v>
      </c>
      <c r="P627" s="690"/>
      <c r="Q627" s="690"/>
      <c r="R627" s="691">
        <f t="shared" si="76"/>
        <v>0</v>
      </c>
      <c r="S627" s="692">
        <f t="shared" si="77"/>
        <v>0</v>
      </c>
      <c r="T627" s="693">
        <f t="shared" si="78"/>
        <v>0</v>
      </c>
      <c r="U627" s="1035"/>
      <c r="V627" s="690"/>
      <c r="W627" s="1025"/>
      <c r="X627" s="1030"/>
      <c r="Y627" s="694">
        <f t="shared" si="79"/>
        <v>0</v>
      </c>
      <c r="Z627" s="690"/>
      <c r="AA627" s="690"/>
      <c r="AB627" s="695">
        <f t="shared" si="80"/>
        <v>0</v>
      </c>
      <c r="AC627" s="1035"/>
      <c r="AD627" s="690"/>
      <c r="AE627" s="1025"/>
      <c r="AF627" s="1030"/>
      <c r="AG627" s="690"/>
      <c r="AH627" s="690"/>
      <c r="AI627" s="696">
        <f t="shared" si="81"/>
        <v>0</v>
      </c>
      <c r="AJ627" s="697">
        <f t="shared" si="82"/>
        <v>0</v>
      </c>
    </row>
    <row r="628" spans="1:36" s="698" customFormat="1" ht="12.75" customHeight="1">
      <c r="A628" s="739" t="s">
        <v>208</v>
      </c>
      <c r="B628" s="739" t="s">
        <v>278</v>
      </c>
      <c r="C628" s="750" t="s">
        <v>377</v>
      </c>
      <c r="D628" s="750"/>
      <c r="E628" s="741"/>
      <c r="F628" s="742"/>
      <c r="G628" s="1025"/>
      <c r="H628" s="690"/>
      <c r="I628" s="1030"/>
      <c r="J628" s="690"/>
      <c r="K628" s="1030"/>
      <c r="L628" s="690"/>
      <c r="M628" s="1025"/>
      <c r="N628" s="1030"/>
      <c r="O628" s="692">
        <f t="shared" si="75"/>
        <v>0</v>
      </c>
      <c r="P628" s="690"/>
      <c r="Q628" s="690"/>
      <c r="R628" s="691">
        <f t="shared" si="76"/>
        <v>0</v>
      </c>
      <c r="S628" s="692">
        <f t="shared" si="77"/>
        <v>0</v>
      </c>
      <c r="T628" s="693">
        <f t="shared" si="78"/>
        <v>0</v>
      </c>
      <c r="U628" s="1035">
        <v>35000</v>
      </c>
      <c r="V628" s="690">
        <v>25000</v>
      </c>
      <c r="W628" s="1025"/>
      <c r="X628" s="1030"/>
      <c r="Y628" s="694">
        <f t="shared" si="79"/>
        <v>0</v>
      </c>
      <c r="Z628" s="690"/>
      <c r="AA628" s="690"/>
      <c r="AB628" s="695">
        <f t="shared" si="80"/>
        <v>0</v>
      </c>
      <c r="AC628" s="1035"/>
      <c r="AD628" s="690"/>
      <c r="AE628" s="1025"/>
      <c r="AF628" s="1030"/>
      <c r="AG628" s="690"/>
      <c r="AH628" s="690"/>
      <c r="AI628" s="696">
        <f t="shared" si="81"/>
        <v>35000</v>
      </c>
      <c r="AJ628" s="697">
        <f t="shared" si="82"/>
        <v>25000</v>
      </c>
    </row>
    <row r="629" spans="1:36" s="698" customFormat="1" ht="12.75" customHeight="1">
      <c r="A629" s="739" t="s">
        <v>208</v>
      </c>
      <c r="B629" s="739" t="s">
        <v>279</v>
      </c>
      <c r="C629" s="750" t="s">
        <v>321</v>
      </c>
      <c r="D629" s="750"/>
      <c r="E629" s="741"/>
      <c r="F629" s="742"/>
      <c r="G629" s="1025"/>
      <c r="H629" s="690"/>
      <c r="I629" s="1030"/>
      <c r="J629" s="690"/>
      <c r="K629" s="1030"/>
      <c r="L629" s="690"/>
      <c r="M629" s="1025"/>
      <c r="N629" s="1030"/>
      <c r="O629" s="692">
        <f t="shared" si="75"/>
        <v>0</v>
      </c>
      <c r="P629" s="690"/>
      <c r="Q629" s="690"/>
      <c r="R629" s="691">
        <f t="shared" si="76"/>
        <v>0</v>
      </c>
      <c r="S629" s="692">
        <f t="shared" si="77"/>
        <v>0</v>
      </c>
      <c r="T629" s="693">
        <f t="shared" si="78"/>
        <v>0</v>
      </c>
      <c r="U629" s="1035"/>
      <c r="V629" s="690"/>
      <c r="W629" s="1025"/>
      <c r="X629" s="1030"/>
      <c r="Y629" s="694">
        <f t="shared" si="79"/>
        <v>0</v>
      </c>
      <c r="Z629" s="690"/>
      <c r="AA629" s="690"/>
      <c r="AB629" s="695">
        <f t="shared" si="80"/>
        <v>0</v>
      </c>
      <c r="AC629" s="1035"/>
      <c r="AD629" s="690"/>
      <c r="AE629" s="1025"/>
      <c r="AF629" s="1030"/>
      <c r="AG629" s="690"/>
      <c r="AH629" s="690"/>
      <c r="AI629" s="696">
        <f t="shared" si="81"/>
        <v>0</v>
      </c>
      <c r="AJ629" s="697">
        <f t="shared" si="82"/>
        <v>0</v>
      </c>
    </row>
    <row r="630" spans="1:36" s="698" customFormat="1" ht="12.75" customHeight="1">
      <c r="A630" s="739" t="s">
        <v>208</v>
      </c>
      <c r="B630" s="739" t="s">
        <v>317</v>
      </c>
      <c r="C630" s="750" t="s">
        <v>443</v>
      </c>
      <c r="D630" s="750"/>
      <c r="E630" s="741"/>
      <c r="F630" s="742"/>
      <c r="G630" s="1025"/>
      <c r="H630" s="690"/>
      <c r="I630" s="1030"/>
      <c r="J630" s="690"/>
      <c r="K630" s="1030"/>
      <c r="L630" s="690"/>
      <c r="M630" s="1025"/>
      <c r="N630" s="1030"/>
      <c r="O630" s="692">
        <f t="shared" si="75"/>
        <v>0</v>
      </c>
      <c r="P630" s="690"/>
      <c r="Q630" s="690"/>
      <c r="R630" s="691">
        <f t="shared" si="76"/>
        <v>0</v>
      </c>
      <c r="S630" s="692">
        <f t="shared" si="77"/>
        <v>0</v>
      </c>
      <c r="T630" s="693">
        <f t="shared" si="78"/>
        <v>0</v>
      </c>
      <c r="U630" s="1035"/>
      <c r="V630" s="690"/>
      <c r="W630" s="1025"/>
      <c r="X630" s="1030"/>
      <c r="Y630" s="694">
        <f t="shared" si="79"/>
        <v>0</v>
      </c>
      <c r="Z630" s="690"/>
      <c r="AA630" s="690"/>
      <c r="AB630" s="695">
        <f t="shared" si="80"/>
        <v>0</v>
      </c>
      <c r="AC630" s="1035"/>
      <c r="AD630" s="690"/>
      <c r="AE630" s="1025"/>
      <c r="AF630" s="1030"/>
      <c r="AG630" s="690"/>
      <c r="AH630" s="690"/>
      <c r="AI630" s="696">
        <f t="shared" si="81"/>
        <v>0</v>
      </c>
      <c r="AJ630" s="697">
        <f t="shared" si="82"/>
        <v>0</v>
      </c>
    </row>
    <row r="631" spans="1:36" s="698" customFormat="1" ht="12.75" customHeight="1">
      <c r="A631" s="739" t="s">
        <v>208</v>
      </c>
      <c r="B631" s="739" t="s">
        <v>318</v>
      </c>
      <c r="C631" s="750" t="s">
        <v>377</v>
      </c>
      <c r="D631" s="750"/>
      <c r="E631" s="741"/>
      <c r="F631" s="742"/>
      <c r="G631" s="1025"/>
      <c r="H631" s="690"/>
      <c r="I631" s="1030"/>
      <c r="J631" s="690"/>
      <c r="K631" s="1030"/>
      <c r="L631" s="690"/>
      <c r="M631" s="1025"/>
      <c r="N631" s="1030"/>
      <c r="O631" s="692">
        <f t="shared" si="75"/>
        <v>0</v>
      </c>
      <c r="P631" s="690"/>
      <c r="Q631" s="690"/>
      <c r="R631" s="691">
        <f t="shared" si="76"/>
        <v>0</v>
      </c>
      <c r="S631" s="692">
        <f t="shared" si="77"/>
        <v>0</v>
      </c>
      <c r="T631" s="693">
        <f t="shared" si="78"/>
        <v>0</v>
      </c>
      <c r="U631" s="1035">
        <v>20000</v>
      </c>
      <c r="V631" s="690">
        <v>10000</v>
      </c>
      <c r="W631" s="1025"/>
      <c r="X631" s="1030"/>
      <c r="Y631" s="694">
        <f t="shared" si="79"/>
        <v>0</v>
      </c>
      <c r="Z631" s="690"/>
      <c r="AA631" s="690"/>
      <c r="AB631" s="695">
        <f t="shared" si="80"/>
        <v>0</v>
      </c>
      <c r="AC631" s="1035"/>
      <c r="AD631" s="690"/>
      <c r="AE631" s="1025"/>
      <c r="AF631" s="1030"/>
      <c r="AG631" s="690"/>
      <c r="AH631" s="690"/>
      <c r="AI631" s="696">
        <f t="shared" si="81"/>
        <v>20000</v>
      </c>
      <c r="AJ631" s="697">
        <f t="shared" si="82"/>
        <v>10000</v>
      </c>
    </row>
    <row r="632" spans="1:36" s="698" customFormat="1" ht="12.75" customHeight="1">
      <c r="A632" s="739" t="s">
        <v>208</v>
      </c>
      <c r="B632" s="739" t="s">
        <v>420</v>
      </c>
      <c r="C632" s="753" t="s">
        <v>697</v>
      </c>
      <c r="D632" s="753"/>
      <c r="E632" s="741"/>
      <c r="F632" s="742"/>
      <c r="G632" s="1025"/>
      <c r="H632" s="690"/>
      <c r="I632" s="1030"/>
      <c r="J632" s="690"/>
      <c r="K632" s="1030"/>
      <c r="L632" s="690"/>
      <c r="M632" s="1025"/>
      <c r="N632" s="1030"/>
      <c r="O632" s="692">
        <f t="shared" si="75"/>
        <v>0</v>
      </c>
      <c r="P632" s="690"/>
      <c r="Q632" s="690"/>
      <c r="R632" s="691">
        <f t="shared" si="76"/>
        <v>0</v>
      </c>
      <c r="S632" s="692">
        <f t="shared" si="77"/>
        <v>0</v>
      </c>
      <c r="T632" s="693">
        <f t="shared" si="78"/>
        <v>0</v>
      </c>
      <c r="U632" s="1035"/>
      <c r="V632" s="690"/>
      <c r="W632" s="1025"/>
      <c r="X632" s="1030"/>
      <c r="Y632" s="694">
        <f t="shared" si="79"/>
        <v>0</v>
      </c>
      <c r="Z632" s="690"/>
      <c r="AA632" s="690"/>
      <c r="AB632" s="695">
        <f t="shared" si="80"/>
        <v>0</v>
      </c>
      <c r="AC632" s="1035"/>
      <c r="AD632" s="690"/>
      <c r="AE632" s="1025"/>
      <c r="AF632" s="1030"/>
      <c r="AG632" s="690"/>
      <c r="AH632" s="690"/>
      <c r="AI632" s="696">
        <f t="shared" si="81"/>
        <v>0</v>
      </c>
      <c r="AJ632" s="697">
        <f t="shared" si="82"/>
        <v>0</v>
      </c>
    </row>
    <row r="633" spans="1:36" s="698" customFormat="1" ht="12.75" customHeight="1">
      <c r="A633" s="739" t="s">
        <v>208</v>
      </c>
      <c r="B633" s="739" t="s">
        <v>295</v>
      </c>
      <c r="C633" s="750" t="s">
        <v>378</v>
      </c>
      <c r="D633" s="750"/>
      <c r="E633" s="741"/>
      <c r="F633" s="742"/>
      <c r="G633" s="1025"/>
      <c r="H633" s="690"/>
      <c r="I633" s="1030"/>
      <c r="J633" s="690"/>
      <c r="K633" s="1030"/>
      <c r="L633" s="690"/>
      <c r="M633" s="1025"/>
      <c r="N633" s="1030"/>
      <c r="O633" s="692">
        <f t="shared" si="75"/>
        <v>0</v>
      </c>
      <c r="P633" s="690"/>
      <c r="Q633" s="690"/>
      <c r="R633" s="691">
        <f t="shared" si="76"/>
        <v>0</v>
      </c>
      <c r="S633" s="692">
        <f t="shared" si="77"/>
        <v>0</v>
      </c>
      <c r="T633" s="693">
        <f t="shared" si="78"/>
        <v>0</v>
      </c>
      <c r="U633" s="1035"/>
      <c r="V633" s="690"/>
      <c r="W633" s="1025"/>
      <c r="X633" s="1030"/>
      <c r="Y633" s="694">
        <f t="shared" si="79"/>
        <v>0</v>
      </c>
      <c r="Z633" s="690"/>
      <c r="AA633" s="690"/>
      <c r="AB633" s="695">
        <f t="shared" si="80"/>
        <v>0</v>
      </c>
      <c r="AC633" s="1035"/>
      <c r="AD633" s="690"/>
      <c r="AE633" s="1025"/>
      <c r="AF633" s="1030"/>
      <c r="AG633" s="690"/>
      <c r="AH633" s="690"/>
      <c r="AI633" s="696">
        <f t="shared" si="81"/>
        <v>0</v>
      </c>
      <c r="AJ633" s="697">
        <f t="shared" si="82"/>
        <v>0</v>
      </c>
    </row>
    <row r="634" spans="1:36" s="698" customFormat="1" ht="12.75" customHeight="1">
      <c r="A634" s="739" t="s">
        <v>208</v>
      </c>
      <c r="B634" s="739" t="s">
        <v>296</v>
      </c>
      <c r="C634" s="750" t="s">
        <v>443</v>
      </c>
      <c r="D634" s="750"/>
      <c r="E634" s="741"/>
      <c r="F634" s="742"/>
      <c r="G634" s="1025"/>
      <c r="H634" s="690"/>
      <c r="I634" s="1030"/>
      <c r="J634" s="690"/>
      <c r="K634" s="1030"/>
      <c r="L634" s="690"/>
      <c r="M634" s="1025"/>
      <c r="N634" s="1030"/>
      <c r="O634" s="692">
        <f t="shared" si="75"/>
        <v>0</v>
      </c>
      <c r="P634" s="690"/>
      <c r="Q634" s="690"/>
      <c r="R634" s="691">
        <f t="shared" si="76"/>
        <v>0</v>
      </c>
      <c r="S634" s="692">
        <f t="shared" si="77"/>
        <v>0</v>
      </c>
      <c r="T634" s="693">
        <f t="shared" si="78"/>
        <v>0</v>
      </c>
      <c r="U634" s="1035"/>
      <c r="V634" s="690"/>
      <c r="W634" s="1025"/>
      <c r="X634" s="1030"/>
      <c r="Y634" s="694">
        <f t="shared" si="79"/>
        <v>0</v>
      </c>
      <c r="Z634" s="690"/>
      <c r="AA634" s="690"/>
      <c r="AB634" s="695">
        <f t="shared" si="80"/>
        <v>0</v>
      </c>
      <c r="AC634" s="1035"/>
      <c r="AD634" s="690"/>
      <c r="AE634" s="1025"/>
      <c r="AF634" s="1030"/>
      <c r="AG634" s="690"/>
      <c r="AH634" s="690"/>
      <c r="AI634" s="696">
        <f t="shared" si="81"/>
        <v>0</v>
      </c>
      <c r="AJ634" s="697">
        <f t="shared" si="82"/>
        <v>0</v>
      </c>
    </row>
    <row r="635" spans="1:36" s="698" customFormat="1" ht="12.75" customHeight="1">
      <c r="A635" s="739" t="s">
        <v>208</v>
      </c>
      <c r="B635" s="739" t="s">
        <v>278</v>
      </c>
      <c r="C635" s="750" t="s">
        <v>377</v>
      </c>
      <c r="D635" s="750"/>
      <c r="E635" s="741"/>
      <c r="F635" s="742"/>
      <c r="G635" s="1025"/>
      <c r="H635" s="690"/>
      <c r="I635" s="1030"/>
      <c r="J635" s="690"/>
      <c r="K635" s="1030"/>
      <c r="L635" s="690"/>
      <c r="M635" s="1025"/>
      <c r="N635" s="1030"/>
      <c r="O635" s="692">
        <f t="shared" si="75"/>
        <v>0</v>
      </c>
      <c r="P635" s="690"/>
      <c r="Q635" s="690"/>
      <c r="R635" s="691">
        <f t="shared" si="76"/>
        <v>0</v>
      </c>
      <c r="S635" s="692">
        <f t="shared" si="77"/>
        <v>0</v>
      </c>
      <c r="T635" s="693">
        <f t="shared" si="78"/>
        <v>0</v>
      </c>
      <c r="U635" s="1035">
        <v>59432</v>
      </c>
      <c r="V635" s="690">
        <v>71783</v>
      </c>
      <c r="W635" s="1025"/>
      <c r="X635" s="1030"/>
      <c r="Y635" s="694">
        <f t="shared" si="79"/>
        <v>0</v>
      </c>
      <c r="Z635" s="690"/>
      <c r="AA635" s="690"/>
      <c r="AB635" s="695">
        <f t="shared" si="80"/>
        <v>0</v>
      </c>
      <c r="AC635" s="1035"/>
      <c r="AD635" s="690"/>
      <c r="AE635" s="1025"/>
      <c r="AF635" s="1030"/>
      <c r="AG635" s="690"/>
      <c r="AH635" s="690"/>
      <c r="AI635" s="696">
        <f t="shared" si="81"/>
        <v>59432</v>
      </c>
      <c r="AJ635" s="697">
        <f t="shared" si="82"/>
        <v>71783</v>
      </c>
    </row>
    <row r="636" spans="1:36" s="698" customFormat="1" ht="12.75" customHeight="1">
      <c r="A636" s="739" t="s">
        <v>208</v>
      </c>
      <c r="B636" s="739" t="s">
        <v>279</v>
      </c>
      <c r="C636" s="750" t="s">
        <v>321</v>
      </c>
      <c r="D636" s="750"/>
      <c r="E636" s="741"/>
      <c r="F636" s="742"/>
      <c r="G636" s="1025"/>
      <c r="H636" s="690"/>
      <c r="I636" s="1030"/>
      <c r="J636" s="690"/>
      <c r="K636" s="1030"/>
      <c r="L636" s="690"/>
      <c r="M636" s="1025"/>
      <c r="N636" s="1030"/>
      <c r="O636" s="692">
        <f t="shared" si="75"/>
        <v>0</v>
      </c>
      <c r="P636" s="690"/>
      <c r="Q636" s="690"/>
      <c r="R636" s="691">
        <f t="shared" si="76"/>
        <v>0</v>
      </c>
      <c r="S636" s="692">
        <f t="shared" si="77"/>
        <v>0</v>
      </c>
      <c r="T636" s="693">
        <f t="shared" si="78"/>
        <v>0</v>
      </c>
      <c r="U636" s="1035"/>
      <c r="V636" s="690"/>
      <c r="W636" s="1025"/>
      <c r="X636" s="1030"/>
      <c r="Y636" s="694">
        <f t="shared" si="79"/>
        <v>0</v>
      </c>
      <c r="Z636" s="690"/>
      <c r="AA636" s="690"/>
      <c r="AB636" s="695">
        <f t="shared" si="80"/>
        <v>0</v>
      </c>
      <c r="AC636" s="1035"/>
      <c r="AD636" s="690"/>
      <c r="AE636" s="1025"/>
      <c r="AF636" s="1030"/>
      <c r="AG636" s="690"/>
      <c r="AH636" s="690"/>
      <c r="AI636" s="696">
        <f t="shared" si="81"/>
        <v>0</v>
      </c>
      <c r="AJ636" s="697">
        <f t="shared" si="82"/>
        <v>0</v>
      </c>
    </row>
    <row r="637" spans="1:36" s="698" customFormat="1" ht="12.75" customHeight="1">
      <c r="A637" s="739" t="s">
        <v>208</v>
      </c>
      <c r="B637" s="739" t="s">
        <v>317</v>
      </c>
      <c r="C637" s="750" t="s">
        <v>443</v>
      </c>
      <c r="D637" s="750"/>
      <c r="E637" s="741"/>
      <c r="F637" s="742"/>
      <c r="G637" s="1025"/>
      <c r="H637" s="690"/>
      <c r="I637" s="1030"/>
      <c r="J637" s="690"/>
      <c r="K637" s="1030"/>
      <c r="L637" s="690"/>
      <c r="M637" s="1025"/>
      <c r="N637" s="1030"/>
      <c r="O637" s="692">
        <f t="shared" si="75"/>
        <v>0</v>
      </c>
      <c r="P637" s="690"/>
      <c r="Q637" s="690"/>
      <c r="R637" s="691">
        <f t="shared" si="76"/>
        <v>0</v>
      </c>
      <c r="S637" s="692">
        <f t="shared" si="77"/>
        <v>0</v>
      </c>
      <c r="T637" s="693">
        <f t="shared" si="78"/>
        <v>0</v>
      </c>
      <c r="U637" s="1035"/>
      <c r="V637" s="690"/>
      <c r="W637" s="1025"/>
      <c r="X637" s="1030"/>
      <c r="Y637" s="694">
        <f t="shared" si="79"/>
        <v>0</v>
      </c>
      <c r="Z637" s="690"/>
      <c r="AA637" s="690"/>
      <c r="AB637" s="695">
        <f t="shared" si="80"/>
        <v>0</v>
      </c>
      <c r="AC637" s="1035"/>
      <c r="AD637" s="690"/>
      <c r="AE637" s="1025"/>
      <c r="AF637" s="1030"/>
      <c r="AG637" s="690"/>
      <c r="AH637" s="690"/>
      <c r="AI637" s="696">
        <f t="shared" si="81"/>
        <v>0</v>
      </c>
      <c r="AJ637" s="697">
        <f t="shared" si="82"/>
        <v>0</v>
      </c>
    </row>
    <row r="638" spans="1:36" s="698" customFormat="1" ht="12.75" customHeight="1">
      <c r="A638" s="739" t="s">
        <v>208</v>
      </c>
      <c r="B638" s="739" t="s">
        <v>318</v>
      </c>
      <c r="C638" s="750" t="s">
        <v>377</v>
      </c>
      <c r="D638" s="750"/>
      <c r="E638" s="741"/>
      <c r="F638" s="742"/>
      <c r="G638" s="1025"/>
      <c r="H638" s="690"/>
      <c r="I638" s="1030"/>
      <c r="J638" s="690"/>
      <c r="K638" s="1030"/>
      <c r="L638" s="690"/>
      <c r="M638" s="1025"/>
      <c r="N638" s="1030"/>
      <c r="O638" s="692">
        <f t="shared" si="75"/>
        <v>0</v>
      </c>
      <c r="P638" s="690"/>
      <c r="Q638" s="690"/>
      <c r="R638" s="691">
        <f t="shared" si="76"/>
        <v>0</v>
      </c>
      <c r="S638" s="692">
        <f t="shared" si="77"/>
        <v>0</v>
      </c>
      <c r="T638" s="693">
        <f t="shared" si="78"/>
        <v>0</v>
      </c>
      <c r="U638" s="1035"/>
      <c r="V638" s="690"/>
      <c r="W638" s="1025"/>
      <c r="X638" s="1030"/>
      <c r="Y638" s="694">
        <f t="shared" si="79"/>
        <v>0</v>
      </c>
      <c r="Z638" s="690"/>
      <c r="AA638" s="690"/>
      <c r="AB638" s="695">
        <f t="shared" si="80"/>
        <v>0</v>
      </c>
      <c r="AC638" s="1035"/>
      <c r="AD638" s="690"/>
      <c r="AE638" s="1025"/>
      <c r="AF638" s="1030"/>
      <c r="AG638" s="690"/>
      <c r="AH638" s="690"/>
      <c r="AI638" s="696">
        <f t="shared" si="81"/>
        <v>0</v>
      </c>
      <c r="AJ638" s="697">
        <f t="shared" si="82"/>
        <v>0</v>
      </c>
    </row>
    <row r="639" spans="1:36" s="698" customFormat="1" ht="12.75" customHeight="1">
      <c r="A639" s="739" t="s">
        <v>208</v>
      </c>
      <c r="B639" s="739" t="s">
        <v>420</v>
      </c>
      <c r="C639" s="753" t="s">
        <v>698</v>
      </c>
      <c r="D639" s="753"/>
      <c r="E639" s="741"/>
      <c r="F639" s="742"/>
      <c r="G639" s="1025"/>
      <c r="H639" s="690"/>
      <c r="I639" s="1030"/>
      <c r="J639" s="690"/>
      <c r="K639" s="1030"/>
      <c r="L639" s="690"/>
      <c r="M639" s="1025"/>
      <c r="N639" s="1030"/>
      <c r="O639" s="692">
        <f t="shared" si="75"/>
        <v>0</v>
      </c>
      <c r="P639" s="690"/>
      <c r="Q639" s="690"/>
      <c r="R639" s="691">
        <f t="shared" si="76"/>
        <v>0</v>
      </c>
      <c r="S639" s="692">
        <f t="shared" si="77"/>
        <v>0</v>
      </c>
      <c r="T639" s="693">
        <f t="shared" si="78"/>
        <v>0</v>
      </c>
      <c r="U639" s="1035"/>
      <c r="V639" s="690"/>
      <c r="W639" s="1025"/>
      <c r="X639" s="1030"/>
      <c r="Y639" s="694">
        <f t="shared" si="79"/>
        <v>0</v>
      </c>
      <c r="Z639" s="690"/>
      <c r="AA639" s="690"/>
      <c r="AB639" s="695">
        <f t="shared" si="80"/>
        <v>0</v>
      </c>
      <c r="AC639" s="1035"/>
      <c r="AD639" s="690"/>
      <c r="AE639" s="1025"/>
      <c r="AF639" s="1030"/>
      <c r="AG639" s="690"/>
      <c r="AH639" s="690"/>
      <c r="AI639" s="696">
        <f t="shared" si="81"/>
        <v>0</v>
      </c>
      <c r="AJ639" s="697">
        <f t="shared" si="82"/>
        <v>0</v>
      </c>
    </row>
    <row r="640" spans="1:36" s="698" customFormat="1" ht="12.75" customHeight="1">
      <c r="A640" s="739" t="s">
        <v>208</v>
      </c>
      <c r="B640" s="739" t="s">
        <v>295</v>
      </c>
      <c r="C640" s="750" t="s">
        <v>378</v>
      </c>
      <c r="D640" s="750"/>
      <c r="E640" s="741"/>
      <c r="F640" s="742"/>
      <c r="G640" s="1025"/>
      <c r="H640" s="690"/>
      <c r="I640" s="1030"/>
      <c r="J640" s="690"/>
      <c r="K640" s="1030"/>
      <c r="L640" s="690"/>
      <c r="M640" s="1025"/>
      <c r="N640" s="1030"/>
      <c r="O640" s="692">
        <f t="shared" si="75"/>
        <v>0</v>
      </c>
      <c r="P640" s="690"/>
      <c r="Q640" s="690"/>
      <c r="R640" s="691">
        <f t="shared" si="76"/>
        <v>0</v>
      </c>
      <c r="S640" s="692">
        <f t="shared" si="77"/>
        <v>0</v>
      </c>
      <c r="T640" s="693">
        <f t="shared" si="78"/>
        <v>0</v>
      </c>
      <c r="U640" s="1035"/>
      <c r="V640" s="690"/>
      <c r="W640" s="1025"/>
      <c r="X640" s="1030"/>
      <c r="Y640" s="694">
        <f t="shared" si="79"/>
        <v>0</v>
      </c>
      <c r="Z640" s="690"/>
      <c r="AA640" s="690"/>
      <c r="AB640" s="695">
        <f t="shared" si="80"/>
        <v>0</v>
      </c>
      <c r="AC640" s="1035"/>
      <c r="AD640" s="690"/>
      <c r="AE640" s="1025"/>
      <c r="AF640" s="1030"/>
      <c r="AG640" s="690"/>
      <c r="AH640" s="690"/>
      <c r="AI640" s="696">
        <f t="shared" si="81"/>
        <v>0</v>
      </c>
      <c r="AJ640" s="697">
        <f t="shared" si="82"/>
        <v>0</v>
      </c>
    </row>
    <row r="641" spans="1:36" s="698" customFormat="1" ht="12.75" customHeight="1">
      <c r="A641" s="739" t="s">
        <v>208</v>
      </c>
      <c r="B641" s="739" t="s">
        <v>296</v>
      </c>
      <c r="C641" s="750" t="s">
        <v>443</v>
      </c>
      <c r="D641" s="750"/>
      <c r="E641" s="741"/>
      <c r="F641" s="742"/>
      <c r="G641" s="1025"/>
      <c r="H641" s="690"/>
      <c r="I641" s="1030"/>
      <c r="J641" s="690"/>
      <c r="K641" s="1030"/>
      <c r="L641" s="690"/>
      <c r="M641" s="1025"/>
      <c r="N641" s="1030"/>
      <c r="O641" s="692">
        <f t="shared" si="75"/>
        <v>0</v>
      </c>
      <c r="P641" s="690"/>
      <c r="Q641" s="690"/>
      <c r="R641" s="691">
        <f t="shared" si="76"/>
        <v>0</v>
      </c>
      <c r="S641" s="692">
        <f t="shared" si="77"/>
        <v>0</v>
      </c>
      <c r="T641" s="693">
        <f t="shared" si="78"/>
        <v>0</v>
      </c>
      <c r="U641" s="1035"/>
      <c r="V641" s="690"/>
      <c r="W641" s="1025"/>
      <c r="X641" s="1030"/>
      <c r="Y641" s="694">
        <f t="shared" si="79"/>
        <v>0</v>
      </c>
      <c r="Z641" s="690"/>
      <c r="AA641" s="690"/>
      <c r="AB641" s="695">
        <f t="shared" si="80"/>
        <v>0</v>
      </c>
      <c r="AC641" s="1035"/>
      <c r="AD641" s="690"/>
      <c r="AE641" s="1025"/>
      <c r="AF641" s="1030"/>
      <c r="AG641" s="690"/>
      <c r="AH641" s="690"/>
      <c r="AI641" s="696">
        <f t="shared" si="81"/>
        <v>0</v>
      </c>
      <c r="AJ641" s="697">
        <f t="shared" si="82"/>
        <v>0</v>
      </c>
    </row>
    <row r="642" spans="1:36" s="698" customFormat="1" ht="12.75" customHeight="1">
      <c r="A642" s="739" t="s">
        <v>208</v>
      </c>
      <c r="B642" s="739" t="s">
        <v>278</v>
      </c>
      <c r="C642" s="750" t="s">
        <v>377</v>
      </c>
      <c r="D642" s="750"/>
      <c r="E642" s="741"/>
      <c r="F642" s="742"/>
      <c r="G642" s="1025"/>
      <c r="H642" s="690"/>
      <c r="I642" s="1030"/>
      <c r="J642" s="690"/>
      <c r="K642" s="1030"/>
      <c r="L642" s="690"/>
      <c r="M642" s="1025"/>
      <c r="N642" s="1030"/>
      <c r="O642" s="692">
        <f t="shared" si="75"/>
        <v>0</v>
      </c>
      <c r="P642" s="690"/>
      <c r="Q642" s="690"/>
      <c r="R642" s="691">
        <f t="shared" si="76"/>
        <v>0</v>
      </c>
      <c r="S642" s="692">
        <f t="shared" si="77"/>
        <v>0</v>
      </c>
      <c r="T642" s="693">
        <f t="shared" si="78"/>
        <v>0</v>
      </c>
      <c r="U642" s="1035">
        <v>5500</v>
      </c>
      <c r="V642" s="690">
        <v>2000</v>
      </c>
      <c r="W642" s="1025"/>
      <c r="X642" s="1030"/>
      <c r="Y642" s="694">
        <f t="shared" si="79"/>
        <v>0</v>
      </c>
      <c r="Z642" s="690"/>
      <c r="AA642" s="690"/>
      <c r="AB642" s="695">
        <f t="shared" si="80"/>
        <v>0</v>
      </c>
      <c r="AC642" s="1035"/>
      <c r="AD642" s="690"/>
      <c r="AE642" s="1025"/>
      <c r="AF642" s="1030"/>
      <c r="AG642" s="690"/>
      <c r="AH642" s="690"/>
      <c r="AI642" s="696">
        <f t="shared" si="81"/>
        <v>5500</v>
      </c>
      <c r="AJ642" s="697">
        <f t="shared" si="82"/>
        <v>2000</v>
      </c>
    </row>
    <row r="643" spans="1:36" s="698" customFormat="1" ht="12.75" customHeight="1">
      <c r="A643" s="739" t="s">
        <v>208</v>
      </c>
      <c r="B643" s="739" t="s">
        <v>279</v>
      </c>
      <c r="C643" s="750" t="s">
        <v>321</v>
      </c>
      <c r="D643" s="750"/>
      <c r="E643" s="741"/>
      <c r="F643" s="742"/>
      <c r="G643" s="1025"/>
      <c r="H643" s="690"/>
      <c r="I643" s="1030"/>
      <c r="J643" s="690"/>
      <c r="K643" s="1030"/>
      <c r="L643" s="690"/>
      <c r="M643" s="1025"/>
      <c r="N643" s="1030"/>
      <c r="O643" s="692">
        <f t="shared" si="75"/>
        <v>0</v>
      </c>
      <c r="P643" s="690"/>
      <c r="Q643" s="690"/>
      <c r="R643" s="691">
        <f t="shared" si="76"/>
        <v>0</v>
      </c>
      <c r="S643" s="692">
        <f t="shared" si="77"/>
        <v>0</v>
      </c>
      <c r="T643" s="693">
        <f t="shared" si="78"/>
        <v>0</v>
      </c>
      <c r="U643" s="1035"/>
      <c r="V643" s="690"/>
      <c r="W643" s="1025"/>
      <c r="X643" s="1030"/>
      <c r="Y643" s="694">
        <f t="shared" si="79"/>
        <v>0</v>
      </c>
      <c r="Z643" s="690"/>
      <c r="AA643" s="690"/>
      <c r="AB643" s="695">
        <f t="shared" si="80"/>
        <v>0</v>
      </c>
      <c r="AC643" s="1035"/>
      <c r="AD643" s="690"/>
      <c r="AE643" s="1025"/>
      <c r="AF643" s="1030"/>
      <c r="AG643" s="690"/>
      <c r="AH643" s="690"/>
      <c r="AI643" s="696">
        <f t="shared" si="81"/>
        <v>0</v>
      </c>
      <c r="AJ643" s="697">
        <f t="shared" si="82"/>
        <v>0</v>
      </c>
    </row>
    <row r="644" spans="1:36" s="698" customFormat="1" ht="12.75" customHeight="1">
      <c r="A644" s="739" t="s">
        <v>208</v>
      </c>
      <c r="B644" s="739" t="s">
        <v>317</v>
      </c>
      <c r="C644" s="750" t="s">
        <v>443</v>
      </c>
      <c r="D644" s="750"/>
      <c r="E644" s="741"/>
      <c r="F644" s="742"/>
      <c r="G644" s="1025"/>
      <c r="H644" s="690"/>
      <c r="I644" s="1030"/>
      <c r="J644" s="690"/>
      <c r="K644" s="1030"/>
      <c r="L644" s="690"/>
      <c r="M644" s="1025"/>
      <c r="N644" s="1030"/>
      <c r="O644" s="692">
        <f t="shared" si="75"/>
        <v>0</v>
      </c>
      <c r="P644" s="690"/>
      <c r="Q644" s="690"/>
      <c r="R644" s="691">
        <f t="shared" si="76"/>
        <v>0</v>
      </c>
      <c r="S644" s="692">
        <f t="shared" si="77"/>
        <v>0</v>
      </c>
      <c r="T644" s="693">
        <f t="shared" si="78"/>
        <v>0</v>
      </c>
      <c r="U644" s="1035"/>
      <c r="V644" s="690"/>
      <c r="W644" s="1025"/>
      <c r="X644" s="1030"/>
      <c r="Y644" s="694">
        <f t="shared" si="79"/>
        <v>0</v>
      </c>
      <c r="Z644" s="690"/>
      <c r="AA644" s="690"/>
      <c r="AB644" s="695">
        <f t="shared" si="80"/>
        <v>0</v>
      </c>
      <c r="AC644" s="1035"/>
      <c r="AD644" s="690"/>
      <c r="AE644" s="1025"/>
      <c r="AF644" s="1030"/>
      <c r="AG644" s="690"/>
      <c r="AH644" s="690"/>
      <c r="AI644" s="696">
        <f t="shared" si="81"/>
        <v>0</v>
      </c>
      <c r="AJ644" s="697">
        <f t="shared" si="82"/>
        <v>0</v>
      </c>
    </row>
    <row r="645" spans="1:36" s="698" customFormat="1" ht="12.75" customHeight="1">
      <c r="A645" s="739" t="s">
        <v>208</v>
      </c>
      <c r="B645" s="739" t="s">
        <v>318</v>
      </c>
      <c r="C645" s="750" t="s">
        <v>377</v>
      </c>
      <c r="D645" s="750"/>
      <c r="E645" s="741"/>
      <c r="F645" s="742"/>
      <c r="G645" s="1025"/>
      <c r="H645" s="690"/>
      <c r="I645" s="1030"/>
      <c r="J645" s="690"/>
      <c r="K645" s="1030"/>
      <c r="L645" s="690"/>
      <c r="M645" s="1025"/>
      <c r="N645" s="1030"/>
      <c r="O645" s="692">
        <f t="shared" si="75"/>
        <v>0</v>
      </c>
      <c r="P645" s="690"/>
      <c r="Q645" s="690"/>
      <c r="R645" s="691">
        <f t="shared" si="76"/>
        <v>0</v>
      </c>
      <c r="S645" s="692">
        <f t="shared" si="77"/>
        <v>0</v>
      </c>
      <c r="T645" s="693">
        <f t="shared" si="78"/>
        <v>0</v>
      </c>
      <c r="U645" s="1035">
        <v>5000</v>
      </c>
      <c r="V645" s="690">
        <v>4000</v>
      </c>
      <c r="W645" s="1025"/>
      <c r="X645" s="1030"/>
      <c r="Y645" s="694">
        <f t="shared" si="79"/>
        <v>0</v>
      </c>
      <c r="Z645" s="690"/>
      <c r="AA645" s="690"/>
      <c r="AB645" s="695">
        <f t="shared" si="80"/>
        <v>0</v>
      </c>
      <c r="AC645" s="1035"/>
      <c r="AD645" s="690"/>
      <c r="AE645" s="1025"/>
      <c r="AF645" s="1030"/>
      <c r="AG645" s="690"/>
      <c r="AH645" s="690"/>
      <c r="AI645" s="696">
        <f t="shared" si="81"/>
        <v>5000</v>
      </c>
      <c r="AJ645" s="697">
        <f t="shared" si="82"/>
        <v>4000</v>
      </c>
    </row>
    <row r="646" spans="1:36" s="698" customFormat="1" ht="12.75" customHeight="1">
      <c r="A646" s="739" t="s">
        <v>208</v>
      </c>
      <c r="B646" s="739" t="s">
        <v>420</v>
      </c>
      <c r="C646" s="753" t="s">
        <v>699</v>
      </c>
      <c r="D646" s="753"/>
      <c r="E646" s="741"/>
      <c r="F646" s="742"/>
      <c r="G646" s="1025"/>
      <c r="H646" s="690"/>
      <c r="I646" s="1030"/>
      <c r="J646" s="690"/>
      <c r="K646" s="1030"/>
      <c r="L646" s="690"/>
      <c r="M646" s="1025"/>
      <c r="N646" s="1030"/>
      <c r="O646" s="692">
        <f t="shared" si="75"/>
        <v>0</v>
      </c>
      <c r="P646" s="690"/>
      <c r="Q646" s="690"/>
      <c r="R646" s="691">
        <f t="shared" si="76"/>
        <v>0</v>
      </c>
      <c r="S646" s="692">
        <f t="shared" si="77"/>
        <v>0</v>
      </c>
      <c r="T646" s="693">
        <f t="shared" si="78"/>
        <v>0</v>
      </c>
      <c r="U646" s="1035"/>
      <c r="V646" s="690"/>
      <c r="W646" s="1025"/>
      <c r="X646" s="1030"/>
      <c r="Y646" s="694">
        <f t="shared" si="79"/>
        <v>0</v>
      </c>
      <c r="Z646" s="690"/>
      <c r="AA646" s="690"/>
      <c r="AB646" s="695">
        <f t="shared" si="80"/>
        <v>0</v>
      </c>
      <c r="AC646" s="1035"/>
      <c r="AD646" s="690"/>
      <c r="AE646" s="1025"/>
      <c r="AF646" s="1030"/>
      <c r="AG646" s="690"/>
      <c r="AH646" s="690"/>
      <c r="AI646" s="696">
        <f t="shared" si="81"/>
        <v>0</v>
      </c>
      <c r="AJ646" s="697">
        <f t="shared" si="82"/>
        <v>0</v>
      </c>
    </row>
    <row r="647" spans="1:36" s="698" customFormat="1" ht="12.75" customHeight="1">
      <c r="A647" s="739" t="s">
        <v>208</v>
      </c>
      <c r="B647" s="739" t="s">
        <v>295</v>
      </c>
      <c r="C647" s="750" t="s">
        <v>378</v>
      </c>
      <c r="D647" s="750"/>
      <c r="E647" s="741"/>
      <c r="F647" s="742"/>
      <c r="G647" s="1025"/>
      <c r="H647" s="690"/>
      <c r="I647" s="1030"/>
      <c r="J647" s="690"/>
      <c r="K647" s="1030"/>
      <c r="L647" s="690"/>
      <c r="M647" s="1025"/>
      <c r="N647" s="1030"/>
      <c r="O647" s="692">
        <f t="shared" si="75"/>
        <v>0</v>
      </c>
      <c r="P647" s="690"/>
      <c r="Q647" s="690"/>
      <c r="R647" s="691">
        <f t="shared" si="76"/>
        <v>0</v>
      </c>
      <c r="S647" s="692">
        <f t="shared" si="77"/>
        <v>0</v>
      </c>
      <c r="T647" s="693">
        <f t="shared" si="78"/>
        <v>0</v>
      </c>
      <c r="U647" s="1035"/>
      <c r="V647" s="690"/>
      <c r="W647" s="1025"/>
      <c r="X647" s="1030"/>
      <c r="Y647" s="694">
        <f t="shared" si="79"/>
        <v>0</v>
      </c>
      <c r="Z647" s="690"/>
      <c r="AA647" s="690"/>
      <c r="AB647" s="695">
        <f t="shared" si="80"/>
        <v>0</v>
      </c>
      <c r="AC647" s="1035"/>
      <c r="AD647" s="690"/>
      <c r="AE647" s="1025"/>
      <c r="AF647" s="1030"/>
      <c r="AG647" s="690"/>
      <c r="AH647" s="690"/>
      <c r="AI647" s="696">
        <f t="shared" si="81"/>
        <v>0</v>
      </c>
      <c r="AJ647" s="697">
        <f t="shared" si="82"/>
        <v>0</v>
      </c>
    </row>
    <row r="648" spans="1:36" s="698" customFormat="1" ht="12.75" customHeight="1">
      <c r="A648" s="739" t="s">
        <v>208</v>
      </c>
      <c r="B648" s="739" t="s">
        <v>296</v>
      </c>
      <c r="C648" s="750" t="s">
        <v>443</v>
      </c>
      <c r="D648" s="750"/>
      <c r="E648" s="741"/>
      <c r="F648" s="742"/>
      <c r="G648" s="1025"/>
      <c r="H648" s="690"/>
      <c r="I648" s="1030"/>
      <c r="J648" s="690"/>
      <c r="K648" s="1030"/>
      <c r="L648" s="690"/>
      <c r="M648" s="1025"/>
      <c r="N648" s="1030"/>
      <c r="O648" s="692">
        <f t="shared" si="75"/>
        <v>0</v>
      </c>
      <c r="P648" s="690"/>
      <c r="Q648" s="690"/>
      <c r="R648" s="691">
        <f t="shared" si="76"/>
        <v>0</v>
      </c>
      <c r="S648" s="692">
        <f t="shared" si="77"/>
        <v>0</v>
      </c>
      <c r="T648" s="693">
        <f t="shared" si="78"/>
        <v>0</v>
      </c>
      <c r="U648" s="1035"/>
      <c r="V648" s="690"/>
      <c r="W648" s="1025"/>
      <c r="X648" s="1030"/>
      <c r="Y648" s="694">
        <f t="shared" si="79"/>
        <v>0</v>
      </c>
      <c r="Z648" s="690"/>
      <c r="AA648" s="690"/>
      <c r="AB648" s="695">
        <f t="shared" si="80"/>
        <v>0</v>
      </c>
      <c r="AC648" s="1035"/>
      <c r="AD648" s="690"/>
      <c r="AE648" s="1025"/>
      <c r="AF648" s="1030"/>
      <c r="AG648" s="690"/>
      <c r="AH648" s="690"/>
      <c r="AI648" s="696">
        <f t="shared" si="81"/>
        <v>0</v>
      </c>
      <c r="AJ648" s="697">
        <f t="shared" si="82"/>
        <v>0</v>
      </c>
    </row>
    <row r="649" spans="1:36" s="698" customFormat="1" ht="12.75" customHeight="1">
      <c r="A649" s="739" t="s">
        <v>208</v>
      </c>
      <c r="B649" s="739" t="s">
        <v>278</v>
      </c>
      <c r="C649" s="750" t="s">
        <v>377</v>
      </c>
      <c r="D649" s="750"/>
      <c r="E649" s="741"/>
      <c r="F649" s="742"/>
      <c r="G649" s="1025"/>
      <c r="H649" s="690"/>
      <c r="I649" s="1030"/>
      <c r="J649" s="690"/>
      <c r="K649" s="1030"/>
      <c r="L649" s="690"/>
      <c r="M649" s="1025"/>
      <c r="N649" s="1030"/>
      <c r="O649" s="692">
        <f t="shared" si="75"/>
        <v>0</v>
      </c>
      <c r="P649" s="690"/>
      <c r="Q649" s="690"/>
      <c r="R649" s="691">
        <f t="shared" si="76"/>
        <v>0</v>
      </c>
      <c r="S649" s="692">
        <f t="shared" si="77"/>
        <v>0</v>
      </c>
      <c r="T649" s="693">
        <f t="shared" si="78"/>
        <v>0</v>
      </c>
      <c r="U649" s="1035">
        <v>97887</v>
      </c>
      <c r="V649" s="690">
        <v>127414</v>
      </c>
      <c r="W649" s="1025"/>
      <c r="X649" s="1030"/>
      <c r="Y649" s="694">
        <f t="shared" si="79"/>
        <v>0</v>
      </c>
      <c r="Z649" s="690"/>
      <c r="AA649" s="690"/>
      <c r="AB649" s="695">
        <f t="shared" si="80"/>
        <v>0</v>
      </c>
      <c r="AC649" s="1035"/>
      <c r="AD649" s="690"/>
      <c r="AE649" s="1025"/>
      <c r="AF649" s="1030"/>
      <c r="AG649" s="690"/>
      <c r="AH649" s="690"/>
      <c r="AI649" s="696">
        <f t="shared" si="81"/>
        <v>97887</v>
      </c>
      <c r="AJ649" s="697">
        <f t="shared" si="82"/>
        <v>127414</v>
      </c>
    </row>
    <row r="650" spans="1:36" s="698" customFormat="1" ht="12.75" customHeight="1">
      <c r="A650" s="739" t="s">
        <v>208</v>
      </c>
      <c r="B650" s="739" t="s">
        <v>279</v>
      </c>
      <c r="C650" s="750" t="s">
        <v>321</v>
      </c>
      <c r="D650" s="750"/>
      <c r="E650" s="741"/>
      <c r="F650" s="742"/>
      <c r="G650" s="1025"/>
      <c r="H650" s="690"/>
      <c r="I650" s="1030"/>
      <c r="J650" s="690"/>
      <c r="K650" s="1030"/>
      <c r="L650" s="690"/>
      <c r="M650" s="1025"/>
      <c r="N650" s="1030"/>
      <c r="O650" s="692">
        <f t="shared" ref="O650:O713" si="83">SUM(M650:N650)</f>
        <v>0</v>
      </c>
      <c r="P650" s="690"/>
      <c r="Q650" s="690"/>
      <c r="R650" s="691">
        <f t="shared" ref="R650:R713" si="84">SUM(P650:Q650)</f>
        <v>0</v>
      </c>
      <c r="S650" s="692">
        <f t="shared" ref="S650:S713" si="85">SUM(G650,I650,K650,M650)</f>
        <v>0</v>
      </c>
      <c r="T650" s="693">
        <f t="shared" ref="T650:T713" si="86">SUM(H650,J650,L650,P650)</f>
        <v>0</v>
      </c>
      <c r="U650" s="1035"/>
      <c r="V650" s="690"/>
      <c r="W650" s="1025"/>
      <c r="X650" s="1030"/>
      <c r="Y650" s="694">
        <f t="shared" ref="Y650:Y713" si="87">SUM(W650:X650)</f>
        <v>0</v>
      </c>
      <c r="Z650" s="690"/>
      <c r="AA650" s="690"/>
      <c r="AB650" s="695">
        <f t="shared" ref="AB650:AB713" si="88">SUM(Z650:AA650)</f>
        <v>0</v>
      </c>
      <c r="AC650" s="1035"/>
      <c r="AD650" s="690"/>
      <c r="AE650" s="1025"/>
      <c r="AF650" s="1030"/>
      <c r="AG650" s="690"/>
      <c r="AH650" s="690"/>
      <c r="AI650" s="696">
        <f t="shared" ref="AI650:AI713" si="89">SUM(S650,U650,W650,AC650,AE650)</f>
        <v>0</v>
      </c>
      <c r="AJ650" s="697">
        <f t="shared" ref="AJ650:AJ713" si="90">SUM(T650,V650,Z650,AD650,AG650)</f>
        <v>0</v>
      </c>
    </row>
    <row r="651" spans="1:36" s="698" customFormat="1" ht="12.75" customHeight="1">
      <c r="A651" s="739" t="s">
        <v>208</v>
      </c>
      <c r="B651" s="739" t="s">
        <v>317</v>
      </c>
      <c r="C651" s="750" t="s">
        <v>443</v>
      </c>
      <c r="D651" s="750"/>
      <c r="E651" s="741"/>
      <c r="F651" s="742"/>
      <c r="G651" s="1025"/>
      <c r="H651" s="690"/>
      <c r="I651" s="1030"/>
      <c r="J651" s="690"/>
      <c r="K651" s="1030"/>
      <c r="L651" s="690"/>
      <c r="M651" s="1025"/>
      <c r="N651" s="1030"/>
      <c r="O651" s="692">
        <f t="shared" si="83"/>
        <v>0</v>
      </c>
      <c r="P651" s="690"/>
      <c r="Q651" s="690"/>
      <c r="R651" s="691">
        <f t="shared" si="84"/>
        <v>0</v>
      </c>
      <c r="S651" s="692">
        <f t="shared" si="85"/>
        <v>0</v>
      </c>
      <c r="T651" s="693">
        <f t="shared" si="86"/>
        <v>0</v>
      </c>
      <c r="U651" s="1035"/>
      <c r="V651" s="690"/>
      <c r="W651" s="1025"/>
      <c r="X651" s="1030"/>
      <c r="Y651" s="694">
        <f t="shared" si="87"/>
        <v>0</v>
      </c>
      <c r="Z651" s="690"/>
      <c r="AA651" s="690"/>
      <c r="AB651" s="695">
        <f t="shared" si="88"/>
        <v>0</v>
      </c>
      <c r="AC651" s="1035"/>
      <c r="AD651" s="690"/>
      <c r="AE651" s="1025"/>
      <c r="AF651" s="1030"/>
      <c r="AG651" s="690"/>
      <c r="AH651" s="690"/>
      <c r="AI651" s="696">
        <f t="shared" si="89"/>
        <v>0</v>
      </c>
      <c r="AJ651" s="697">
        <f t="shared" si="90"/>
        <v>0</v>
      </c>
    </row>
    <row r="652" spans="1:36" s="698" customFormat="1" ht="12.75" customHeight="1">
      <c r="A652" s="739" t="s">
        <v>208</v>
      </c>
      <c r="B652" s="739" t="s">
        <v>318</v>
      </c>
      <c r="C652" s="750" t="s">
        <v>377</v>
      </c>
      <c r="D652" s="750"/>
      <c r="E652" s="741"/>
      <c r="F652" s="742"/>
      <c r="G652" s="1025"/>
      <c r="H652" s="690"/>
      <c r="I652" s="1030"/>
      <c r="J652" s="690"/>
      <c r="K652" s="1030"/>
      <c r="L652" s="690"/>
      <c r="M652" s="1025"/>
      <c r="N652" s="1030"/>
      <c r="O652" s="692">
        <f t="shared" si="83"/>
        <v>0</v>
      </c>
      <c r="P652" s="690"/>
      <c r="Q652" s="690"/>
      <c r="R652" s="691">
        <f t="shared" si="84"/>
        <v>0</v>
      </c>
      <c r="S652" s="692">
        <f t="shared" si="85"/>
        <v>0</v>
      </c>
      <c r="T652" s="693">
        <f t="shared" si="86"/>
        <v>0</v>
      </c>
      <c r="U652" s="1035"/>
      <c r="V652" s="690"/>
      <c r="W652" s="1025"/>
      <c r="X652" s="1030"/>
      <c r="Y652" s="694">
        <f t="shared" si="87"/>
        <v>0</v>
      </c>
      <c r="Z652" s="690"/>
      <c r="AA652" s="690"/>
      <c r="AB652" s="695">
        <f t="shared" si="88"/>
        <v>0</v>
      </c>
      <c r="AC652" s="1035"/>
      <c r="AD652" s="690"/>
      <c r="AE652" s="1025"/>
      <c r="AF652" s="1030"/>
      <c r="AG652" s="690"/>
      <c r="AH652" s="690"/>
      <c r="AI652" s="696">
        <f t="shared" si="89"/>
        <v>0</v>
      </c>
      <c r="AJ652" s="697">
        <f t="shared" si="90"/>
        <v>0</v>
      </c>
    </row>
    <row r="653" spans="1:36" s="698" customFormat="1" ht="12.75" customHeight="1">
      <c r="A653" s="739" t="s">
        <v>208</v>
      </c>
      <c r="B653" s="739" t="s">
        <v>420</v>
      </c>
      <c r="C653" s="753" t="s">
        <v>700</v>
      </c>
      <c r="D653" s="753"/>
      <c r="E653" s="741"/>
      <c r="F653" s="742"/>
      <c r="G653" s="1025"/>
      <c r="H653" s="690"/>
      <c r="I653" s="1030"/>
      <c r="J653" s="690"/>
      <c r="K653" s="1030"/>
      <c r="L653" s="690"/>
      <c r="M653" s="1025"/>
      <c r="N653" s="1030"/>
      <c r="O653" s="692">
        <f t="shared" si="83"/>
        <v>0</v>
      </c>
      <c r="P653" s="690"/>
      <c r="Q653" s="690"/>
      <c r="R653" s="691">
        <f t="shared" si="84"/>
        <v>0</v>
      </c>
      <c r="S653" s="692">
        <f t="shared" si="85"/>
        <v>0</v>
      </c>
      <c r="T653" s="693">
        <f t="shared" si="86"/>
        <v>0</v>
      </c>
      <c r="U653" s="1035"/>
      <c r="V653" s="690"/>
      <c r="W653" s="1025"/>
      <c r="X653" s="1030"/>
      <c r="Y653" s="694">
        <f t="shared" si="87"/>
        <v>0</v>
      </c>
      <c r="Z653" s="690"/>
      <c r="AA653" s="690"/>
      <c r="AB653" s="695">
        <f t="shared" si="88"/>
        <v>0</v>
      </c>
      <c r="AC653" s="1035"/>
      <c r="AD653" s="690"/>
      <c r="AE653" s="1025"/>
      <c r="AF653" s="1030"/>
      <c r="AG653" s="690"/>
      <c r="AH653" s="690"/>
      <c r="AI653" s="696">
        <f t="shared" si="89"/>
        <v>0</v>
      </c>
      <c r="AJ653" s="697">
        <f t="shared" si="90"/>
        <v>0</v>
      </c>
    </row>
    <row r="654" spans="1:36" s="698" customFormat="1" ht="12.75" customHeight="1">
      <c r="A654" s="739" t="s">
        <v>208</v>
      </c>
      <c r="B654" s="739" t="s">
        <v>295</v>
      </c>
      <c r="C654" s="750" t="s">
        <v>378</v>
      </c>
      <c r="D654" s="750"/>
      <c r="E654" s="741"/>
      <c r="F654" s="742"/>
      <c r="G654" s="1025"/>
      <c r="H654" s="690"/>
      <c r="I654" s="1030"/>
      <c r="J654" s="690"/>
      <c r="K654" s="1030"/>
      <c r="L654" s="690"/>
      <c r="M654" s="1025"/>
      <c r="N654" s="1030"/>
      <c r="O654" s="692">
        <f t="shared" si="83"/>
        <v>0</v>
      </c>
      <c r="P654" s="690"/>
      <c r="Q654" s="690"/>
      <c r="R654" s="691">
        <f t="shared" si="84"/>
        <v>0</v>
      </c>
      <c r="S654" s="692">
        <f t="shared" si="85"/>
        <v>0</v>
      </c>
      <c r="T654" s="693">
        <f t="shared" si="86"/>
        <v>0</v>
      </c>
      <c r="U654" s="1035"/>
      <c r="V654" s="690"/>
      <c r="W654" s="1025"/>
      <c r="X654" s="1030"/>
      <c r="Y654" s="694">
        <f t="shared" si="87"/>
        <v>0</v>
      </c>
      <c r="Z654" s="690"/>
      <c r="AA654" s="690"/>
      <c r="AB654" s="695">
        <f t="shared" si="88"/>
        <v>0</v>
      </c>
      <c r="AC654" s="1035"/>
      <c r="AD654" s="690"/>
      <c r="AE654" s="1025"/>
      <c r="AF654" s="1030"/>
      <c r="AG654" s="690"/>
      <c r="AH654" s="690"/>
      <c r="AI654" s="696">
        <f t="shared" si="89"/>
        <v>0</v>
      </c>
      <c r="AJ654" s="697">
        <f t="shared" si="90"/>
        <v>0</v>
      </c>
    </row>
    <row r="655" spans="1:36" s="698" customFormat="1" ht="12.75" customHeight="1">
      <c r="A655" s="739" t="s">
        <v>208</v>
      </c>
      <c r="B655" s="739" t="s">
        <v>296</v>
      </c>
      <c r="C655" s="750" t="s">
        <v>443</v>
      </c>
      <c r="D655" s="750"/>
      <c r="E655" s="741"/>
      <c r="F655" s="742"/>
      <c r="G655" s="1025"/>
      <c r="H655" s="690"/>
      <c r="I655" s="1030"/>
      <c r="J655" s="690"/>
      <c r="K655" s="1030"/>
      <c r="L655" s="690"/>
      <c r="M655" s="1025"/>
      <c r="N655" s="1030"/>
      <c r="O655" s="692">
        <f t="shared" si="83"/>
        <v>0</v>
      </c>
      <c r="P655" s="690"/>
      <c r="Q655" s="690"/>
      <c r="R655" s="691">
        <f t="shared" si="84"/>
        <v>0</v>
      </c>
      <c r="S655" s="692">
        <f t="shared" si="85"/>
        <v>0</v>
      </c>
      <c r="T655" s="693">
        <f t="shared" si="86"/>
        <v>0</v>
      </c>
      <c r="U655" s="1035">
        <v>80160</v>
      </c>
      <c r="V655" s="690">
        <v>37342</v>
      </c>
      <c r="W655" s="1025"/>
      <c r="X655" s="1030"/>
      <c r="Y655" s="694">
        <f t="shared" si="87"/>
        <v>0</v>
      </c>
      <c r="Z655" s="690"/>
      <c r="AA655" s="690"/>
      <c r="AB655" s="695">
        <f t="shared" si="88"/>
        <v>0</v>
      </c>
      <c r="AC655" s="1035"/>
      <c r="AD655" s="690"/>
      <c r="AE655" s="1025"/>
      <c r="AF655" s="1030"/>
      <c r="AG655" s="690"/>
      <c r="AH655" s="690"/>
      <c r="AI655" s="696">
        <f t="shared" si="89"/>
        <v>80160</v>
      </c>
      <c r="AJ655" s="697">
        <f t="shared" si="90"/>
        <v>37342</v>
      </c>
    </row>
    <row r="656" spans="1:36" s="698" customFormat="1" ht="12.75" customHeight="1">
      <c r="A656" s="739" t="s">
        <v>208</v>
      </c>
      <c r="B656" s="739" t="s">
        <v>278</v>
      </c>
      <c r="C656" s="750" t="s">
        <v>377</v>
      </c>
      <c r="D656" s="750"/>
      <c r="E656" s="741"/>
      <c r="F656" s="742"/>
      <c r="G656" s="1025"/>
      <c r="H656" s="690"/>
      <c r="I656" s="1030"/>
      <c r="J656" s="690"/>
      <c r="K656" s="1030"/>
      <c r="L656" s="690"/>
      <c r="M656" s="1025"/>
      <c r="N656" s="1030"/>
      <c r="O656" s="692">
        <f t="shared" si="83"/>
        <v>0</v>
      </c>
      <c r="P656" s="690"/>
      <c r="Q656" s="690"/>
      <c r="R656" s="691">
        <f t="shared" si="84"/>
        <v>0</v>
      </c>
      <c r="S656" s="692">
        <f t="shared" si="85"/>
        <v>0</v>
      </c>
      <c r="T656" s="693">
        <f t="shared" si="86"/>
        <v>0</v>
      </c>
      <c r="U656" s="1035"/>
      <c r="V656" s="690"/>
      <c r="W656" s="1025"/>
      <c r="X656" s="1030"/>
      <c r="Y656" s="694">
        <f t="shared" si="87"/>
        <v>0</v>
      </c>
      <c r="Z656" s="690"/>
      <c r="AA656" s="690"/>
      <c r="AB656" s="695">
        <f t="shared" si="88"/>
        <v>0</v>
      </c>
      <c r="AC656" s="1035"/>
      <c r="AD656" s="690"/>
      <c r="AE656" s="1025"/>
      <c r="AF656" s="1030"/>
      <c r="AG656" s="690"/>
      <c r="AH656" s="690"/>
      <c r="AI656" s="696">
        <f t="shared" si="89"/>
        <v>0</v>
      </c>
      <c r="AJ656" s="697">
        <f t="shared" si="90"/>
        <v>0</v>
      </c>
    </row>
    <row r="657" spans="1:36" s="698" customFormat="1" ht="12.75" customHeight="1">
      <c r="A657" s="739" t="s">
        <v>208</v>
      </c>
      <c r="B657" s="739" t="s">
        <v>279</v>
      </c>
      <c r="C657" s="750" t="s">
        <v>321</v>
      </c>
      <c r="D657" s="750"/>
      <c r="E657" s="741"/>
      <c r="F657" s="742"/>
      <c r="G657" s="1025"/>
      <c r="H657" s="690"/>
      <c r="I657" s="1030"/>
      <c r="J657" s="690"/>
      <c r="K657" s="1030"/>
      <c r="L657" s="690"/>
      <c r="M657" s="1025"/>
      <c r="N657" s="1030"/>
      <c r="O657" s="692">
        <f t="shared" si="83"/>
        <v>0</v>
      </c>
      <c r="P657" s="690"/>
      <c r="Q657" s="690"/>
      <c r="R657" s="691">
        <f t="shared" si="84"/>
        <v>0</v>
      </c>
      <c r="S657" s="692">
        <f t="shared" si="85"/>
        <v>0</v>
      </c>
      <c r="T657" s="693">
        <f t="shared" si="86"/>
        <v>0</v>
      </c>
      <c r="U657" s="1035"/>
      <c r="V657" s="690"/>
      <c r="W657" s="1025"/>
      <c r="X657" s="1030"/>
      <c r="Y657" s="694">
        <f t="shared" si="87"/>
        <v>0</v>
      </c>
      <c r="Z657" s="690"/>
      <c r="AA657" s="690"/>
      <c r="AB657" s="695">
        <f t="shared" si="88"/>
        <v>0</v>
      </c>
      <c r="AC657" s="1035"/>
      <c r="AD657" s="690"/>
      <c r="AE657" s="1025"/>
      <c r="AF657" s="1030"/>
      <c r="AG657" s="690"/>
      <c r="AH657" s="690"/>
      <c r="AI657" s="696">
        <f t="shared" si="89"/>
        <v>0</v>
      </c>
      <c r="AJ657" s="697">
        <f t="shared" si="90"/>
        <v>0</v>
      </c>
    </row>
    <row r="658" spans="1:36" s="698" customFormat="1" ht="12.75" customHeight="1">
      <c r="A658" s="739" t="s">
        <v>208</v>
      </c>
      <c r="B658" s="739" t="s">
        <v>317</v>
      </c>
      <c r="C658" s="750" t="s">
        <v>443</v>
      </c>
      <c r="D658" s="750"/>
      <c r="E658" s="741"/>
      <c r="F658" s="742"/>
      <c r="G658" s="1025"/>
      <c r="H658" s="690"/>
      <c r="I658" s="1030"/>
      <c r="J658" s="690"/>
      <c r="K658" s="1030"/>
      <c r="L658" s="690"/>
      <c r="M658" s="1025"/>
      <c r="N658" s="1030"/>
      <c r="O658" s="692">
        <f t="shared" si="83"/>
        <v>0</v>
      </c>
      <c r="P658" s="690"/>
      <c r="Q658" s="690"/>
      <c r="R658" s="691">
        <f t="shared" si="84"/>
        <v>0</v>
      </c>
      <c r="S658" s="692">
        <f t="shared" si="85"/>
        <v>0</v>
      </c>
      <c r="T658" s="693">
        <f t="shared" si="86"/>
        <v>0</v>
      </c>
      <c r="U658" s="1035">
        <v>12021</v>
      </c>
      <c r="V658" s="690">
        <v>4087</v>
      </c>
      <c r="W658" s="1025"/>
      <c r="X658" s="1030"/>
      <c r="Y658" s="694">
        <f t="shared" si="87"/>
        <v>0</v>
      </c>
      <c r="Z658" s="690"/>
      <c r="AA658" s="690"/>
      <c r="AB658" s="695">
        <f t="shared" si="88"/>
        <v>0</v>
      </c>
      <c r="AC658" s="1035"/>
      <c r="AD658" s="690"/>
      <c r="AE658" s="1025"/>
      <c r="AF658" s="1030"/>
      <c r="AG658" s="690"/>
      <c r="AH658" s="690"/>
      <c r="AI658" s="696">
        <f t="shared" si="89"/>
        <v>12021</v>
      </c>
      <c r="AJ658" s="697">
        <f t="shared" si="90"/>
        <v>4087</v>
      </c>
    </row>
    <row r="659" spans="1:36" s="698" customFormat="1" ht="12.75" customHeight="1">
      <c r="A659" s="739" t="s">
        <v>208</v>
      </c>
      <c r="B659" s="739" t="s">
        <v>318</v>
      </c>
      <c r="C659" s="750" t="s">
        <v>377</v>
      </c>
      <c r="D659" s="750"/>
      <c r="E659" s="741"/>
      <c r="F659" s="742"/>
      <c r="G659" s="1025"/>
      <c r="H659" s="690"/>
      <c r="I659" s="1030"/>
      <c r="J659" s="690"/>
      <c r="K659" s="1030"/>
      <c r="L659" s="690"/>
      <c r="M659" s="1025"/>
      <c r="N659" s="1030"/>
      <c r="O659" s="692">
        <f t="shared" si="83"/>
        <v>0</v>
      </c>
      <c r="P659" s="690"/>
      <c r="Q659" s="690"/>
      <c r="R659" s="691">
        <f t="shared" si="84"/>
        <v>0</v>
      </c>
      <c r="S659" s="692">
        <f t="shared" si="85"/>
        <v>0</v>
      </c>
      <c r="T659" s="693">
        <f t="shared" si="86"/>
        <v>0</v>
      </c>
      <c r="U659" s="1035"/>
      <c r="V659" s="690"/>
      <c r="W659" s="1025"/>
      <c r="X659" s="1030"/>
      <c r="Y659" s="694">
        <f t="shared" si="87"/>
        <v>0</v>
      </c>
      <c r="Z659" s="690"/>
      <c r="AA659" s="690"/>
      <c r="AB659" s="695">
        <f t="shared" si="88"/>
        <v>0</v>
      </c>
      <c r="AC659" s="1035"/>
      <c r="AD659" s="690"/>
      <c r="AE659" s="1025"/>
      <c r="AF659" s="1030"/>
      <c r="AG659" s="690"/>
      <c r="AH659" s="690"/>
      <c r="AI659" s="696">
        <f t="shared" si="89"/>
        <v>0</v>
      </c>
      <c r="AJ659" s="697">
        <f t="shared" si="90"/>
        <v>0</v>
      </c>
    </row>
    <row r="660" spans="1:36" s="698" customFormat="1" ht="12.75" customHeight="1">
      <c r="A660" s="739" t="s">
        <v>208</v>
      </c>
      <c r="B660" s="739" t="s">
        <v>420</v>
      </c>
      <c r="C660" s="753" t="s">
        <v>701</v>
      </c>
      <c r="D660" s="753"/>
      <c r="E660" s="741"/>
      <c r="F660" s="742"/>
      <c r="G660" s="1025"/>
      <c r="H660" s="690"/>
      <c r="I660" s="1030"/>
      <c r="J660" s="690"/>
      <c r="K660" s="1030"/>
      <c r="L660" s="690"/>
      <c r="M660" s="1025"/>
      <c r="N660" s="1030"/>
      <c r="O660" s="692">
        <f t="shared" si="83"/>
        <v>0</v>
      </c>
      <c r="P660" s="690"/>
      <c r="Q660" s="690"/>
      <c r="R660" s="691">
        <f t="shared" si="84"/>
        <v>0</v>
      </c>
      <c r="S660" s="692">
        <f t="shared" si="85"/>
        <v>0</v>
      </c>
      <c r="T660" s="693">
        <f t="shared" si="86"/>
        <v>0</v>
      </c>
      <c r="U660" s="1035"/>
      <c r="V660" s="690"/>
      <c r="W660" s="1025"/>
      <c r="X660" s="1030"/>
      <c r="Y660" s="694">
        <f t="shared" si="87"/>
        <v>0</v>
      </c>
      <c r="Z660" s="690"/>
      <c r="AA660" s="690"/>
      <c r="AB660" s="695">
        <f t="shared" si="88"/>
        <v>0</v>
      </c>
      <c r="AC660" s="1035"/>
      <c r="AD660" s="690"/>
      <c r="AE660" s="1025"/>
      <c r="AF660" s="1030"/>
      <c r="AG660" s="690"/>
      <c r="AH660" s="690"/>
      <c r="AI660" s="696">
        <f t="shared" si="89"/>
        <v>0</v>
      </c>
      <c r="AJ660" s="697">
        <f t="shared" si="90"/>
        <v>0</v>
      </c>
    </row>
    <row r="661" spans="1:36" s="698" customFormat="1" ht="12.75" customHeight="1">
      <c r="A661" s="739" t="s">
        <v>208</v>
      </c>
      <c r="B661" s="739" t="s">
        <v>295</v>
      </c>
      <c r="C661" s="750" t="s">
        <v>378</v>
      </c>
      <c r="D661" s="750"/>
      <c r="E661" s="741"/>
      <c r="F661" s="742"/>
      <c r="G661" s="1025"/>
      <c r="H661" s="690"/>
      <c r="I661" s="1030"/>
      <c r="J661" s="690"/>
      <c r="K661" s="1030"/>
      <c r="L661" s="690"/>
      <c r="M661" s="1025"/>
      <c r="N661" s="1030"/>
      <c r="O661" s="692">
        <f t="shared" si="83"/>
        <v>0</v>
      </c>
      <c r="P661" s="690"/>
      <c r="Q661" s="690"/>
      <c r="R661" s="691">
        <f t="shared" si="84"/>
        <v>0</v>
      </c>
      <c r="S661" s="692">
        <f t="shared" si="85"/>
        <v>0</v>
      </c>
      <c r="T661" s="693">
        <f t="shared" si="86"/>
        <v>0</v>
      </c>
      <c r="U661" s="1035"/>
      <c r="V661" s="690"/>
      <c r="W661" s="1025"/>
      <c r="X661" s="1030"/>
      <c r="Y661" s="694">
        <f t="shared" si="87"/>
        <v>0</v>
      </c>
      <c r="Z661" s="690"/>
      <c r="AA661" s="690"/>
      <c r="AB661" s="695">
        <f t="shared" si="88"/>
        <v>0</v>
      </c>
      <c r="AC661" s="1035"/>
      <c r="AD661" s="690"/>
      <c r="AE661" s="1025"/>
      <c r="AF661" s="1030"/>
      <c r="AG661" s="690"/>
      <c r="AH661" s="690"/>
      <c r="AI661" s="696">
        <f t="shared" si="89"/>
        <v>0</v>
      </c>
      <c r="AJ661" s="697">
        <f t="shared" si="90"/>
        <v>0</v>
      </c>
    </row>
    <row r="662" spans="1:36" s="698" customFormat="1" ht="12.75" customHeight="1">
      <c r="A662" s="739" t="s">
        <v>208</v>
      </c>
      <c r="B662" s="739" t="s">
        <v>296</v>
      </c>
      <c r="C662" s="750" t="s">
        <v>443</v>
      </c>
      <c r="D662" s="750"/>
      <c r="E662" s="741"/>
      <c r="F662" s="742"/>
      <c r="G662" s="1025"/>
      <c r="H662" s="690"/>
      <c r="I662" s="1030"/>
      <c r="J662" s="690"/>
      <c r="K662" s="1030"/>
      <c r="L662" s="690"/>
      <c r="M662" s="1025"/>
      <c r="N662" s="1030"/>
      <c r="O662" s="692">
        <f t="shared" si="83"/>
        <v>0</v>
      </c>
      <c r="P662" s="690"/>
      <c r="Q662" s="690"/>
      <c r="R662" s="691">
        <f t="shared" si="84"/>
        <v>0</v>
      </c>
      <c r="S662" s="692">
        <f t="shared" si="85"/>
        <v>0</v>
      </c>
      <c r="T662" s="693">
        <f t="shared" si="86"/>
        <v>0</v>
      </c>
      <c r="U662" s="1035">
        <v>57021</v>
      </c>
      <c r="V662" s="690">
        <v>16151</v>
      </c>
      <c r="W662" s="1025"/>
      <c r="X662" s="1030"/>
      <c r="Y662" s="694">
        <f t="shared" si="87"/>
        <v>0</v>
      </c>
      <c r="Z662" s="690"/>
      <c r="AA662" s="690"/>
      <c r="AB662" s="695">
        <f t="shared" si="88"/>
        <v>0</v>
      </c>
      <c r="AC662" s="1035"/>
      <c r="AD662" s="690"/>
      <c r="AE662" s="1025"/>
      <c r="AF662" s="1030"/>
      <c r="AG662" s="690"/>
      <c r="AH662" s="690"/>
      <c r="AI662" s="696">
        <f t="shared" si="89"/>
        <v>57021</v>
      </c>
      <c r="AJ662" s="697">
        <f t="shared" si="90"/>
        <v>16151</v>
      </c>
    </row>
    <row r="663" spans="1:36" s="698" customFormat="1" ht="12.75" customHeight="1">
      <c r="A663" s="739" t="s">
        <v>208</v>
      </c>
      <c r="B663" s="739" t="s">
        <v>278</v>
      </c>
      <c r="C663" s="750" t="s">
        <v>377</v>
      </c>
      <c r="D663" s="750"/>
      <c r="E663" s="741"/>
      <c r="F663" s="742"/>
      <c r="G663" s="1025"/>
      <c r="H663" s="690"/>
      <c r="I663" s="1030"/>
      <c r="J663" s="690"/>
      <c r="K663" s="1030"/>
      <c r="L663" s="690"/>
      <c r="M663" s="1025"/>
      <c r="N663" s="1030"/>
      <c r="O663" s="692">
        <f t="shared" si="83"/>
        <v>0</v>
      </c>
      <c r="P663" s="690"/>
      <c r="Q663" s="690"/>
      <c r="R663" s="691">
        <f t="shared" si="84"/>
        <v>0</v>
      </c>
      <c r="S663" s="692">
        <f t="shared" si="85"/>
        <v>0</v>
      </c>
      <c r="T663" s="693">
        <f t="shared" si="86"/>
        <v>0</v>
      </c>
      <c r="U663" s="1035"/>
      <c r="V663" s="690"/>
      <c r="W663" s="1025"/>
      <c r="X663" s="1030"/>
      <c r="Y663" s="694">
        <f t="shared" si="87"/>
        <v>0</v>
      </c>
      <c r="Z663" s="690"/>
      <c r="AA663" s="690"/>
      <c r="AB663" s="695">
        <f t="shared" si="88"/>
        <v>0</v>
      </c>
      <c r="AC663" s="1035"/>
      <c r="AD663" s="690"/>
      <c r="AE663" s="1025"/>
      <c r="AF663" s="1030"/>
      <c r="AG663" s="690"/>
      <c r="AH663" s="690"/>
      <c r="AI663" s="696">
        <f t="shared" si="89"/>
        <v>0</v>
      </c>
      <c r="AJ663" s="697">
        <f t="shared" si="90"/>
        <v>0</v>
      </c>
    </row>
    <row r="664" spans="1:36" s="698" customFormat="1" ht="12.75" customHeight="1">
      <c r="A664" s="739" t="s">
        <v>208</v>
      </c>
      <c r="B664" s="739" t="s">
        <v>279</v>
      </c>
      <c r="C664" s="750" t="s">
        <v>321</v>
      </c>
      <c r="D664" s="750"/>
      <c r="E664" s="741"/>
      <c r="F664" s="742"/>
      <c r="G664" s="1025"/>
      <c r="H664" s="690"/>
      <c r="I664" s="1030"/>
      <c r="J664" s="690"/>
      <c r="K664" s="1030"/>
      <c r="L664" s="690"/>
      <c r="M664" s="1025"/>
      <c r="N664" s="1030"/>
      <c r="O664" s="692">
        <f t="shared" si="83"/>
        <v>0</v>
      </c>
      <c r="P664" s="690"/>
      <c r="Q664" s="690"/>
      <c r="R664" s="691">
        <f t="shared" si="84"/>
        <v>0</v>
      </c>
      <c r="S664" s="692">
        <f t="shared" si="85"/>
        <v>0</v>
      </c>
      <c r="T664" s="693">
        <f t="shared" si="86"/>
        <v>0</v>
      </c>
      <c r="U664" s="1035"/>
      <c r="V664" s="690"/>
      <c r="W664" s="1025"/>
      <c r="X664" s="1030"/>
      <c r="Y664" s="694">
        <f t="shared" si="87"/>
        <v>0</v>
      </c>
      <c r="Z664" s="690"/>
      <c r="AA664" s="690"/>
      <c r="AB664" s="695">
        <f t="shared" si="88"/>
        <v>0</v>
      </c>
      <c r="AC664" s="1035"/>
      <c r="AD664" s="690"/>
      <c r="AE664" s="1025"/>
      <c r="AF664" s="1030"/>
      <c r="AG664" s="690"/>
      <c r="AH664" s="690"/>
      <c r="AI664" s="696">
        <f t="shared" si="89"/>
        <v>0</v>
      </c>
      <c r="AJ664" s="697">
        <f t="shared" si="90"/>
        <v>0</v>
      </c>
    </row>
    <row r="665" spans="1:36" s="698" customFormat="1" ht="12.75" customHeight="1">
      <c r="A665" s="739" t="s">
        <v>208</v>
      </c>
      <c r="B665" s="739" t="s">
        <v>317</v>
      </c>
      <c r="C665" s="750" t="s">
        <v>443</v>
      </c>
      <c r="D665" s="750"/>
      <c r="E665" s="741"/>
      <c r="F665" s="742"/>
      <c r="G665" s="1025"/>
      <c r="H665" s="690"/>
      <c r="I665" s="1030"/>
      <c r="J665" s="690"/>
      <c r="K665" s="1030"/>
      <c r="L665" s="690"/>
      <c r="M665" s="1025"/>
      <c r="N665" s="1030"/>
      <c r="O665" s="692">
        <f t="shared" si="83"/>
        <v>0</v>
      </c>
      <c r="P665" s="690"/>
      <c r="Q665" s="690"/>
      <c r="R665" s="691">
        <f t="shared" si="84"/>
        <v>0</v>
      </c>
      <c r="S665" s="692">
        <f t="shared" si="85"/>
        <v>0</v>
      </c>
      <c r="T665" s="693">
        <f t="shared" si="86"/>
        <v>0</v>
      </c>
      <c r="U665" s="1035">
        <v>2000</v>
      </c>
      <c r="V665" s="690">
        <v>2000</v>
      </c>
      <c r="W665" s="1025"/>
      <c r="X665" s="1030"/>
      <c r="Y665" s="694">
        <f t="shared" si="87"/>
        <v>0</v>
      </c>
      <c r="Z665" s="690"/>
      <c r="AA665" s="690"/>
      <c r="AB665" s="695">
        <f t="shared" si="88"/>
        <v>0</v>
      </c>
      <c r="AC665" s="1035"/>
      <c r="AD665" s="690"/>
      <c r="AE665" s="1025"/>
      <c r="AF665" s="1030"/>
      <c r="AG665" s="690"/>
      <c r="AH665" s="690"/>
      <c r="AI665" s="696">
        <f t="shared" si="89"/>
        <v>2000</v>
      </c>
      <c r="AJ665" s="697">
        <f t="shared" si="90"/>
        <v>2000</v>
      </c>
    </row>
    <row r="666" spans="1:36" s="698" customFormat="1" ht="12.75" customHeight="1">
      <c r="A666" s="739" t="s">
        <v>208</v>
      </c>
      <c r="B666" s="739" t="s">
        <v>318</v>
      </c>
      <c r="C666" s="750" t="s">
        <v>377</v>
      </c>
      <c r="D666" s="750"/>
      <c r="E666" s="741"/>
      <c r="F666" s="742"/>
      <c r="G666" s="1025"/>
      <c r="H666" s="690"/>
      <c r="I666" s="1030"/>
      <c r="J666" s="690"/>
      <c r="K666" s="1030"/>
      <c r="L666" s="690"/>
      <c r="M666" s="1025"/>
      <c r="N666" s="1030"/>
      <c r="O666" s="692">
        <f t="shared" si="83"/>
        <v>0</v>
      </c>
      <c r="P666" s="690"/>
      <c r="Q666" s="690"/>
      <c r="R666" s="691">
        <f t="shared" si="84"/>
        <v>0</v>
      </c>
      <c r="S666" s="692">
        <f t="shared" si="85"/>
        <v>0</v>
      </c>
      <c r="T666" s="693">
        <f t="shared" si="86"/>
        <v>0</v>
      </c>
      <c r="U666" s="1035"/>
      <c r="V666" s="690"/>
      <c r="W666" s="1025"/>
      <c r="X666" s="1030"/>
      <c r="Y666" s="694">
        <f t="shared" si="87"/>
        <v>0</v>
      </c>
      <c r="Z666" s="690"/>
      <c r="AA666" s="690"/>
      <c r="AB666" s="695">
        <f t="shared" si="88"/>
        <v>0</v>
      </c>
      <c r="AC666" s="1035"/>
      <c r="AD666" s="690"/>
      <c r="AE666" s="1025"/>
      <c r="AF666" s="1030"/>
      <c r="AG666" s="690"/>
      <c r="AH666" s="690"/>
      <c r="AI666" s="696">
        <f t="shared" si="89"/>
        <v>0</v>
      </c>
      <c r="AJ666" s="697">
        <f t="shared" si="90"/>
        <v>0</v>
      </c>
    </row>
    <row r="667" spans="1:36" s="698" customFormat="1" ht="12.75" customHeight="1">
      <c r="A667" s="739" t="s">
        <v>208</v>
      </c>
      <c r="B667" s="739" t="s">
        <v>420</v>
      </c>
      <c r="C667" s="753" t="s">
        <v>702</v>
      </c>
      <c r="D667" s="753"/>
      <c r="E667" s="741"/>
      <c r="F667" s="742"/>
      <c r="G667" s="1025"/>
      <c r="H667" s="690"/>
      <c r="I667" s="1030"/>
      <c r="J667" s="690"/>
      <c r="K667" s="1030"/>
      <c r="L667" s="690"/>
      <c r="M667" s="1025"/>
      <c r="N667" s="1030"/>
      <c r="O667" s="692">
        <f t="shared" si="83"/>
        <v>0</v>
      </c>
      <c r="P667" s="690"/>
      <c r="Q667" s="690"/>
      <c r="R667" s="691">
        <f t="shared" si="84"/>
        <v>0</v>
      </c>
      <c r="S667" s="692">
        <f t="shared" si="85"/>
        <v>0</v>
      </c>
      <c r="T667" s="693">
        <f t="shared" si="86"/>
        <v>0</v>
      </c>
      <c r="U667" s="1035"/>
      <c r="V667" s="690"/>
      <c r="W667" s="1025"/>
      <c r="X667" s="1030"/>
      <c r="Y667" s="694">
        <f t="shared" si="87"/>
        <v>0</v>
      </c>
      <c r="Z667" s="690"/>
      <c r="AA667" s="690"/>
      <c r="AB667" s="695">
        <f t="shared" si="88"/>
        <v>0</v>
      </c>
      <c r="AC667" s="1035"/>
      <c r="AD667" s="690"/>
      <c r="AE667" s="1025"/>
      <c r="AF667" s="1030"/>
      <c r="AG667" s="690"/>
      <c r="AH667" s="690"/>
      <c r="AI667" s="696">
        <f t="shared" si="89"/>
        <v>0</v>
      </c>
      <c r="AJ667" s="697">
        <f t="shared" si="90"/>
        <v>0</v>
      </c>
    </row>
    <row r="668" spans="1:36" s="698" customFormat="1" ht="12.75" customHeight="1">
      <c r="A668" s="739" t="s">
        <v>208</v>
      </c>
      <c r="B668" s="739" t="s">
        <v>295</v>
      </c>
      <c r="C668" s="750" t="s">
        <v>378</v>
      </c>
      <c r="D668" s="750"/>
      <c r="E668" s="741"/>
      <c r="F668" s="742"/>
      <c r="G668" s="1025"/>
      <c r="H668" s="690"/>
      <c r="I668" s="1030"/>
      <c r="J668" s="690"/>
      <c r="K668" s="1030"/>
      <c r="L668" s="690"/>
      <c r="M668" s="1025"/>
      <c r="N668" s="1030"/>
      <c r="O668" s="692">
        <f t="shared" si="83"/>
        <v>0</v>
      </c>
      <c r="P668" s="690"/>
      <c r="Q668" s="690"/>
      <c r="R668" s="691">
        <f t="shared" si="84"/>
        <v>0</v>
      </c>
      <c r="S668" s="692">
        <f t="shared" si="85"/>
        <v>0</v>
      </c>
      <c r="T668" s="693">
        <f t="shared" si="86"/>
        <v>0</v>
      </c>
      <c r="U668" s="1035"/>
      <c r="V668" s="690"/>
      <c r="W668" s="1025"/>
      <c r="X668" s="1030"/>
      <c r="Y668" s="694">
        <f t="shared" si="87"/>
        <v>0</v>
      </c>
      <c r="Z668" s="690"/>
      <c r="AA668" s="690"/>
      <c r="AB668" s="695">
        <f t="shared" si="88"/>
        <v>0</v>
      </c>
      <c r="AC668" s="1035"/>
      <c r="AD668" s="690"/>
      <c r="AE668" s="1025"/>
      <c r="AF668" s="1030"/>
      <c r="AG668" s="690"/>
      <c r="AH668" s="690"/>
      <c r="AI668" s="696">
        <f t="shared" si="89"/>
        <v>0</v>
      </c>
      <c r="AJ668" s="697">
        <f t="shared" si="90"/>
        <v>0</v>
      </c>
    </row>
    <row r="669" spans="1:36" s="698" customFormat="1" ht="12.75" customHeight="1">
      <c r="A669" s="739" t="s">
        <v>208</v>
      </c>
      <c r="B669" s="739" t="s">
        <v>296</v>
      </c>
      <c r="C669" s="750" t="s">
        <v>443</v>
      </c>
      <c r="D669" s="750"/>
      <c r="E669" s="741"/>
      <c r="F669" s="742"/>
      <c r="G669" s="1025"/>
      <c r="H669" s="690"/>
      <c r="I669" s="1030"/>
      <c r="J669" s="690"/>
      <c r="K669" s="1030"/>
      <c r="L669" s="690"/>
      <c r="M669" s="1025"/>
      <c r="N669" s="1030"/>
      <c r="O669" s="692">
        <f t="shared" si="83"/>
        <v>0</v>
      </c>
      <c r="P669" s="690"/>
      <c r="Q669" s="690"/>
      <c r="R669" s="691">
        <f t="shared" si="84"/>
        <v>0</v>
      </c>
      <c r="S669" s="692">
        <f t="shared" si="85"/>
        <v>0</v>
      </c>
      <c r="T669" s="693">
        <f t="shared" si="86"/>
        <v>0</v>
      </c>
      <c r="U669" s="1035"/>
      <c r="V669" s="690"/>
      <c r="W669" s="1025"/>
      <c r="X669" s="1030"/>
      <c r="Y669" s="694">
        <f t="shared" si="87"/>
        <v>0</v>
      </c>
      <c r="Z669" s="690"/>
      <c r="AA669" s="690"/>
      <c r="AB669" s="695">
        <f t="shared" si="88"/>
        <v>0</v>
      </c>
      <c r="AC669" s="1035"/>
      <c r="AD669" s="690"/>
      <c r="AE669" s="1025"/>
      <c r="AF669" s="1030"/>
      <c r="AG669" s="690"/>
      <c r="AH669" s="690"/>
      <c r="AI669" s="696">
        <f t="shared" si="89"/>
        <v>0</v>
      </c>
      <c r="AJ669" s="697">
        <f t="shared" si="90"/>
        <v>0</v>
      </c>
    </row>
    <row r="670" spans="1:36" s="698" customFormat="1" ht="12.75" customHeight="1">
      <c r="A670" s="739" t="s">
        <v>208</v>
      </c>
      <c r="B670" s="739" t="s">
        <v>278</v>
      </c>
      <c r="C670" s="750" t="s">
        <v>377</v>
      </c>
      <c r="D670" s="750"/>
      <c r="E670" s="741"/>
      <c r="F670" s="742"/>
      <c r="G670" s="1025"/>
      <c r="H670" s="690"/>
      <c r="I670" s="1030"/>
      <c r="J670" s="690"/>
      <c r="K670" s="1030"/>
      <c r="L670" s="690"/>
      <c r="M670" s="1025"/>
      <c r="N670" s="1030"/>
      <c r="O670" s="692">
        <f t="shared" si="83"/>
        <v>0</v>
      </c>
      <c r="P670" s="690"/>
      <c r="Q670" s="690"/>
      <c r="R670" s="691">
        <f t="shared" si="84"/>
        <v>0</v>
      </c>
      <c r="S670" s="692">
        <f t="shared" si="85"/>
        <v>0</v>
      </c>
      <c r="T670" s="693">
        <f t="shared" si="86"/>
        <v>0</v>
      </c>
      <c r="U670" s="1035"/>
      <c r="V670" s="690"/>
      <c r="W670" s="1025"/>
      <c r="X670" s="1030"/>
      <c r="Y670" s="694">
        <f t="shared" si="87"/>
        <v>0</v>
      </c>
      <c r="Z670" s="690"/>
      <c r="AA670" s="690"/>
      <c r="AB670" s="695">
        <f t="shared" si="88"/>
        <v>0</v>
      </c>
      <c r="AC670" s="1035"/>
      <c r="AD670" s="690"/>
      <c r="AE670" s="1025"/>
      <c r="AF670" s="1030"/>
      <c r="AG670" s="690"/>
      <c r="AH670" s="690"/>
      <c r="AI670" s="696">
        <f t="shared" si="89"/>
        <v>0</v>
      </c>
      <c r="AJ670" s="697">
        <f t="shared" si="90"/>
        <v>0</v>
      </c>
    </row>
    <row r="671" spans="1:36" s="698" customFormat="1" ht="12.75" customHeight="1">
      <c r="A671" s="739" t="s">
        <v>208</v>
      </c>
      <c r="B671" s="739" t="s">
        <v>279</v>
      </c>
      <c r="C671" s="750" t="s">
        <v>321</v>
      </c>
      <c r="D671" s="750"/>
      <c r="E671" s="741"/>
      <c r="F671" s="742"/>
      <c r="G671" s="1025"/>
      <c r="H671" s="690"/>
      <c r="I671" s="1030"/>
      <c r="J671" s="690"/>
      <c r="K671" s="1030"/>
      <c r="L671" s="690"/>
      <c r="M671" s="1025"/>
      <c r="N671" s="1030"/>
      <c r="O671" s="692">
        <f t="shared" si="83"/>
        <v>0</v>
      </c>
      <c r="P671" s="690"/>
      <c r="Q671" s="690"/>
      <c r="R671" s="691">
        <f t="shared" si="84"/>
        <v>0</v>
      </c>
      <c r="S671" s="692">
        <f t="shared" si="85"/>
        <v>0</v>
      </c>
      <c r="T671" s="693">
        <f t="shared" si="86"/>
        <v>0</v>
      </c>
      <c r="U671" s="1035"/>
      <c r="V671" s="690"/>
      <c r="W671" s="1025"/>
      <c r="X671" s="1030"/>
      <c r="Y671" s="694">
        <f t="shared" si="87"/>
        <v>0</v>
      </c>
      <c r="Z671" s="690"/>
      <c r="AA671" s="690"/>
      <c r="AB671" s="695">
        <f t="shared" si="88"/>
        <v>0</v>
      </c>
      <c r="AC671" s="1035"/>
      <c r="AD671" s="690"/>
      <c r="AE671" s="1025"/>
      <c r="AF671" s="1030"/>
      <c r="AG671" s="690"/>
      <c r="AH671" s="690"/>
      <c r="AI671" s="696">
        <f t="shared" si="89"/>
        <v>0</v>
      </c>
      <c r="AJ671" s="697">
        <f t="shared" si="90"/>
        <v>0</v>
      </c>
    </row>
    <row r="672" spans="1:36" s="698" customFormat="1" ht="12.75" customHeight="1">
      <c r="A672" s="739" t="s">
        <v>208</v>
      </c>
      <c r="B672" s="739" t="s">
        <v>317</v>
      </c>
      <c r="C672" s="750" t="s">
        <v>443</v>
      </c>
      <c r="D672" s="750"/>
      <c r="E672" s="741"/>
      <c r="F672" s="742"/>
      <c r="G672" s="1025"/>
      <c r="H672" s="690"/>
      <c r="I672" s="1030"/>
      <c r="J672" s="690"/>
      <c r="K672" s="1030"/>
      <c r="L672" s="690"/>
      <c r="M672" s="1025"/>
      <c r="N672" s="1030"/>
      <c r="O672" s="692">
        <f t="shared" si="83"/>
        <v>0</v>
      </c>
      <c r="P672" s="690"/>
      <c r="Q672" s="690"/>
      <c r="R672" s="691">
        <f t="shared" si="84"/>
        <v>0</v>
      </c>
      <c r="S672" s="692">
        <f t="shared" si="85"/>
        <v>0</v>
      </c>
      <c r="T672" s="693">
        <f t="shared" si="86"/>
        <v>0</v>
      </c>
      <c r="U672" s="1035">
        <v>366000</v>
      </c>
      <c r="V672" s="690">
        <v>366000</v>
      </c>
      <c r="W672" s="1025"/>
      <c r="X672" s="1030"/>
      <c r="Y672" s="694">
        <f t="shared" si="87"/>
        <v>0</v>
      </c>
      <c r="Z672" s="690"/>
      <c r="AA672" s="690"/>
      <c r="AB672" s="695">
        <f t="shared" si="88"/>
        <v>0</v>
      </c>
      <c r="AC672" s="1035"/>
      <c r="AD672" s="690"/>
      <c r="AE672" s="1025"/>
      <c r="AF672" s="1030"/>
      <c r="AG672" s="690"/>
      <c r="AH672" s="690"/>
      <c r="AI672" s="696">
        <f t="shared" si="89"/>
        <v>366000</v>
      </c>
      <c r="AJ672" s="697">
        <f t="shared" si="90"/>
        <v>366000</v>
      </c>
    </row>
    <row r="673" spans="1:36" s="698" customFormat="1" ht="12.75" customHeight="1">
      <c r="A673" s="739" t="s">
        <v>208</v>
      </c>
      <c r="B673" s="739" t="s">
        <v>318</v>
      </c>
      <c r="C673" s="750" t="s">
        <v>377</v>
      </c>
      <c r="D673" s="750"/>
      <c r="E673" s="741"/>
      <c r="F673" s="742"/>
      <c r="G673" s="1025"/>
      <c r="H673" s="690"/>
      <c r="I673" s="1030"/>
      <c r="J673" s="690"/>
      <c r="K673" s="1030"/>
      <c r="L673" s="690"/>
      <c r="M673" s="1025"/>
      <c r="N673" s="1030"/>
      <c r="O673" s="692">
        <f t="shared" si="83"/>
        <v>0</v>
      </c>
      <c r="P673" s="690"/>
      <c r="Q673" s="690"/>
      <c r="R673" s="691">
        <f t="shared" si="84"/>
        <v>0</v>
      </c>
      <c r="S673" s="692">
        <f t="shared" si="85"/>
        <v>0</v>
      </c>
      <c r="T673" s="693">
        <f t="shared" si="86"/>
        <v>0</v>
      </c>
      <c r="U673" s="1035">
        <v>114000</v>
      </c>
      <c r="V673" s="690">
        <v>114000</v>
      </c>
      <c r="W673" s="1025"/>
      <c r="X673" s="1030"/>
      <c r="Y673" s="694">
        <f t="shared" si="87"/>
        <v>0</v>
      </c>
      <c r="Z673" s="690"/>
      <c r="AA673" s="690"/>
      <c r="AB673" s="695">
        <f t="shared" si="88"/>
        <v>0</v>
      </c>
      <c r="AC673" s="1035"/>
      <c r="AD673" s="690"/>
      <c r="AE673" s="1025"/>
      <c r="AF673" s="1030"/>
      <c r="AG673" s="690"/>
      <c r="AH673" s="690"/>
      <c r="AI673" s="696">
        <f t="shared" si="89"/>
        <v>114000</v>
      </c>
      <c r="AJ673" s="697">
        <f t="shared" si="90"/>
        <v>114000</v>
      </c>
    </row>
    <row r="674" spans="1:36" s="698" customFormat="1" ht="12.75" customHeight="1">
      <c r="A674" s="739" t="s">
        <v>208</v>
      </c>
      <c r="B674" s="739" t="s">
        <v>420</v>
      </c>
      <c r="C674" s="753" t="s">
        <v>703</v>
      </c>
      <c r="D674" s="753"/>
      <c r="E674" s="741"/>
      <c r="F674" s="742"/>
      <c r="G674" s="1025"/>
      <c r="H674" s="690"/>
      <c r="I674" s="1030"/>
      <c r="J674" s="690"/>
      <c r="K674" s="1030"/>
      <c r="L674" s="690"/>
      <c r="M674" s="1025"/>
      <c r="N674" s="1030"/>
      <c r="O674" s="692">
        <f t="shared" si="83"/>
        <v>0</v>
      </c>
      <c r="P674" s="690"/>
      <c r="Q674" s="690"/>
      <c r="R674" s="691">
        <f t="shared" si="84"/>
        <v>0</v>
      </c>
      <c r="S674" s="692">
        <f t="shared" si="85"/>
        <v>0</v>
      </c>
      <c r="T674" s="693">
        <f t="shared" si="86"/>
        <v>0</v>
      </c>
      <c r="U674" s="1035"/>
      <c r="V674" s="690"/>
      <c r="W674" s="1025"/>
      <c r="X674" s="1030"/>
      <c r="Y674" s="694">
        <f t="shared" si="87"/>
        <v>0</v>
      </c>
      <c r="Z674" s="690"/>
      <c r="AA674" s="690"/>
      <c r="AB674" s="695">
        <f t="shared" si="88"/>
        <v>0</v>
      </c>
      <c r="AC674" s="1035"/>
      <c r="AD674" s="690"/>
      <c r="AE674" s="1025"/>
      <c r="AF674" s="1030"/>
      <c r="AG674" s="690"/>
      <c r="AH674" s="690"/>
      <c r="AI674" s="696">
        <f t="shared" si="89"/>
        <v>0</v>
      </c>
      <c r="AJ674" s="697">
        <f t="shared" si="90"/>
        <v>0</v>
      </c>
    </row>
    <row r="675" spans="1:36" s="698" customFormat="1" ht="12.75" customHeight="1">
      <c r="A675" s="739" t="s">
        <v>208</v>
      </c>
      <c r="B675" s="739" t="s">
        <v>295</v>
      </c>
      <c r="C675" s="750" t="s">
        <v>378</v>
      </c>
      <c r="D675" s="750"/>
      <c r="E675" s="741"/>
      <c r="F675" s="742"/>
      <c r="G675" s="1025"/>
      <c r="H675" s="690"/>
      <c r="I675" s="1030"/>
      <c r="J675" s="690"/>
      <c r="K675" s="1030"/>
      <c r="L675" s="690"/>
      <c r="M675" s="1025"/>
      <c r="N675" s="1030"/>
      <c r="O675" s="692">
        <f t="shared" si="83"/>
        <v>0</v>
      </c>
      <c r="P675" s="690"/>
      <c r="Q675" s="690"/>
      <c r="R675" s="691">
        <f t="shared" si="84"/>
        <v>0</v>
      </c>
      <c r="S675" s="692">
        <f t="shared" si="85"/>
        <v>0</v>
      </c>
      <c r="T675" s="693">
        <f t="shared" si="86"/>
        <v>0</v>
      </c>
      <c r="U675" s="1035"/>
      <c r="V675" s="690"/>
      <c r="W675" s="1025"/>
      <c r="X675" s="1030"/>
      <c r="Y675" s="694">
        <f t="shared" si="87"/>
        <v>0</v>
      </c>
      <c r="Z675" s="690"/>
      <c r="AA675" s="690"/>
      <c r="AB675" s="695">
        <f t="shared" si="88"/>
        <v>0</v>
      </c>
      <c r="AC675" s="1035"/>
      <c r="AD675" s="690"/>
      <c r="AE675" s="1025"/>
      <c r="AF675" s="1030"/>
      <c r="AG675" s="690"/>
      <c r="AH675" s="690"/>
      <c r="AI675" s="696">
        <f t="shared" si="89"/>
        <v>0</v>
      </c>
      <c r="AJ675" s="697">
        <f t="shared" si="90"/>
        <v>0</v>
      </c>
    </row>
    <row r="676" spans="1:36" s="698" customFormat="1" ht="12.75" customHeight="1">
      <c r="A676" s="739" t="s">
        <v>208</v>
      </c>
      <c r="B676" s="739" t="s">
        <v>296</v>
      </c>
      <c r="C676" s="750" t="s">
        <v>443</v>
      </c>
      <c r="D676" s="750"/>
      <c r="E676" s="741"/>
      <c r="F676" s="742"/>
      <c r="G676" s="1025"/>
      <c r="H676" s="690"/>
      <c r="I676" s="1030"/>
      <c r="J676" s="690"/>
      <c r="K676" s="1030"/>
      <c r="L676" s="690"/>
      <c r="M676" s="1025"/>
      <c r="N676" s="1030"/>
      <c r="O676" s="692">
        <f t="shared" si="83"/>
        <v>0</v>
      </c>
      <c r="P676" s="690"/>
      <c r="Q676" s="690"/>
      <c r="R676" s="691">
        <f t="shared" si="84"/>
        <v>0</v>
      </c>
      <c r="S676" s="692">
        <f t="shared" si="85"/>
        <v>0</v>
      </c>
      <c r="T676" s="693">
        <f t="shared" si="86"/>
        <v>0</v>
      </c>
      <c r="U676" s="1035">
        <v>40000</v>
      </c>
      <c r="V676" s="690">
        <v>80000</v>
      </c>
      <c r="W676" s="1025"/>
      <c r="X676" s="1030"/>
      <c r="Y676" s="694">
        <f t="shared" si="87"/>
        <v>0</v>
      </c>
      <c r="Z676" s="690"/>
      <c r="AA676" s="690"/>
      <c r="AB676" s="695">
        <f t="shared" si="88"/>
        <v>0</v>
      </c>
      <c r="AC676" s="1035"/>
      <c r="AD676" s="690"/>
      <c r="AE676" s="1025"/>
      <c r="AF676" s="1030"/>
      <c r="AG676" s="690"/>
      <c r="AH676" s="690"/>
      <c r="AI676" s="696">
        <f t="shared" si="89"/>
        <v>40000</v>
      </c>
      <c r="AJ676" s="697">
        <f t="shared" si="90"/>
        <v>80000</v>
      </c>
    </row>
    <row r="677" spans="1:36" s="698" customFormat="1" ht="12.75" customHeight="1">
      <c r="A677" s="739" t="s">
        <v>208</v>
      </c>
      <c r="B677" s="739" t="s">
        <v>278</v>
      </c>
      <c r="C677" s="750" t="s">
        <v>377</v>
      </c>
      <c r="D677" s="750"/>
      <c r="E677" s="741"/>
      <c r="F677" s="742"/>
      <c r="G677" s="1025"/>
      <c r="H677" s="690"/>
      <c r="I677" s="1030"/>
      <c r="J677" s="690"/>
      <c r="K677" s="1030"/>
      <c r="L677" s="690"/>
      <c r="M677" s="1025"/>
      <c r="N677" s="1030"/>
      <c r="O677" s="692">
        <f t="shared" si="83"/>
        <v>0</v>
      </c>
      <c r="P677" s="690"/>
      <c r="Q677" s="690"/>
      <c r="R677" s="691">
        <f t="shared" si="84"/>
        <v>0</v>
      </c>
      <c r="S677" s="692">
        <f t="shared" si="85"/>
        <v>0</v>
      </c>
      <c r="T677" s="693">
        <f t="shared" si="86"/>
        <v>0</v>
      </c>
      <c r="U677" s="1035"/>
      <c r="V677" s="690"/>
      <c r="W677" s="1025"/>
      <c r="X677" s="1030"/>
      <c r="Y677" s="694">
        <f t="shared" si="87"/>
        <v>0</v>
      </c>
      <c r="Z677" s="690"/>
      <c r="AA677" s="690"/>
      <c r="AB677" s="695">
        <f t="shared" si="88"/>
        <v>0</v>
      </c>
      <c r="AC677" s="1035"/>
      <c r="AD677" s="690"/>
      <c r="AE677" s="1025"/>
      <c r="AF677" s="1030"/>
      <c r="AG677" s="690"/>
      <c r="AH677" s="690"/>
      <c r="AI677" s="696">
        <f t="shared" si="89"/>
        <v>0</v>
      </c>
      <c r="AJ677" s="697">
        <f t="shared" si="90"/>
        <v>0</v>
      </c>
    </row>
    <row r="678" spans="1:36" s="698" customFormat="1" ht="12.75" customHeight="1">
      <c r="A678" s="739" t="s">
        <v>208</v>
      </c>
      <c r="B678" s="739" t="s">
        <v>279</v>
      </c>
      <c r="C678" s="750" t="s">
        <v>321</v>
      </c>
      <c r="D678" s="750"/>
      <c r="E678" s="741"/>
      <c r="F678" s="742"/>
      <c r="G678" s="1025"/>
      <c r="H678" s="690"/>
      <c r="I678" s="1030"/>
      <c r="J678" s="690"/>
      <c r="K678" s="1030"/>
      <c r="L678" s="690"/>
      <c r="M678" s="1025"/>
      <c r="N678" s="1030"/>
      <c r="O678" s="692">
        <f t="shared" si="83"/>
        <v>0</v>
      </c>
      <c r="P678" s="690"/>
      <c r="Q678" s="690"/>
      <c r="R678" s="691">
        <f t="shared" si="84"/>
        <v>0</v>
      </c>
      <c r="S678" s="692">
        <f t="shared" si="85"/>
        <v>0</v>
      </c>
      <c r="T678" s="693">
        <f t="shared" si="86"/>
        <v>0</v>
      </c>
      <c r="U678" s="1035"/>
      <c r="V678" s="690"/>
      <c r="W678" s="1025"/>
      <c r="X678" s="1030"/>
      <c r="Y678" s="694">
        <f t="shared" si="87"/>
        <v>0</v>
      </c>
      <c r="Z678" s="690"/>
      <c r="AA678" s="690"/>
      <c r="AB678" s="695">
        <f t="shared" si="88"/>
        <v>0</v>
      </c>
      <c r="AC678" s="1035"/>
      <c r="AD678" s="690"/>
      <c r="AE678" s="1025"/>
      <c r="AF678" s="1030"/>
      <c r="AG678" s="690"/>
      <c r="AH678" s="690"/>
      <c r="AI678" s="696">
        <f t="shared" si="89"/>
        <v>0</v>
      </c>
      <c r="AJ678" s="697">
        <f t="shared" si="90"/>
        <v>0</v>
      </c>
    </row>
    <row r="679" spans="1:36" s="698" customFormat="1" ht="12.75" customHeight="1">
      <c r="A679" s="739" t="s">
        <v>208</v>
      </c>
      <c r="B679" s="739" t="s">
        <v>317</v>
      </c>
      <c r="C679" s="750" t="s">
        <v>443</v>
      </c>
      <c r="D679" s="750"/>
      <c r="E679" s="741"/>
      <c r="F679" s="742"/>
      <c r="G679" s="1025"/>
      <c r="H679" s="690"/>
      <c r="I679" s="1030"/>
      <c r="J679" s="690"/>
      <c r="K679" s="1030"/>
      <c r="L679" s="690"/>
      <c r="M679" s="1025"/>
      <c r="N679" s="1030"/>
      <c r="O679" s="692">
        <f t="shared" si="83"/>
        <v>0</v>
      </c>
      <c r="P679" s="690"/>
      <c r="Q679" s="690"/>
      <c r="R679" s="691">
        <f t="shared" si="84"/>
        <v>0</v>
      </c>
      <c r="S679" s="692">
        <f t="shared" si="85"/>
        <v>0</v>
      </c>
      <c r="T679" s="693">
        <f t="shared" si="86"/>
        <v>0</v>
      </c>
      <c r="U679" s="1035">
        <v>10000</v>
      </c>
      <c r="V679" s="690">
        <v>20000</v>
      </c>
      <c r="W679" s="1025"/>
      <c r="X679" s="1030"/>
      <c r="Y679" s="694">
        <f t="shared" si="87"/>
        <v>0</v>
      </c>
      <c r="Z679" s="690"/>
      <c r="AA679" s="690"/>
      <c r="AB679" s="695">
        <f t="shared" si="88"/>
        <v>0</v>
      </c>
      <c r="AC679" s="1035"/>
      <c r="AD679" s="690"/>
      <c r="AE679" s="1025"/>
      <c r="AF679" s="1030"/>
      <c r="AG679" s="690"/>
      <c r="AH679" s="690"/>
      <c r="AI679" s="696">
        <f t="shared" si="89"/>
        <v>10000</v>
      </c>
      <c r="AJ679" s="697">
        <f t="shared" si="90"/>
        <v>20000</v>
      </c>
    </row>
    <row r="680" spans="1:36" s="698" customFormat="1" ht="12.75" customHeight="1">
      <c r="A680" s="739" t="s">
        <v>208</v>
      </c>
      <c r="B680" s="739" t="s">
        <v>318</v>
      </c>
      <c r="C680" s="750" t="s">
        <v>377</v>
      </c>
      <c r="D680" s="750"/>
      <c r="E680" s="741"/>
      <c r="F680" s="742"/>
      <c r="G680" s="1025"/>
      <c r="H680" s="690"/>
      <c r="I680" s="1030"/>
      <c r="J680" s="690"/>
      <c r="K680" s="1030"/>
      <c r="L680" s="690"/>
      <c r="M680" s="1025"/>
      <c r="N680" s="1030"/>
      <c r="O680" s="692">
        <f t="shared" si="83"/>
        <v>0</v>
      </c>
      <c r="P680" s="690"/>
      <c r="Q680" s="690"/>
      <c r="R680" s="691">
        <f t="shared" si="84"/>
        <v>0</v>
      </c>
      <c r="S680" s="692">
        <f t="shared" si="85"/>
        <v>0</v>
      </c>
      <c r="T680" s="693">
        <f t="shared" si="86"/>
        <v>0</v>
      </c>
      <c r="U680" s="1035"/>
      <c r="V680" s="690"/>
      <c r="W680" s="1025"/>
      <c r="X680" s="1030"/>
      <c r="Y680" s="694">
        <f t="shared" si="87"/>
        <v>0</v>
      </c>
      <c r="Z680" s="690"/>
      <c r="AA680" s="690"/>
      <c r="AB680" s="695">
        <f t="shared" si="88"/>
        <v>0</v>
      </c>
      <c r="AC680" s="1035"/>
      <c r="AD680" s="690"/>
      <c r="AE680" s="1025"/>
      <c r="AF680" s="1030"/>
      <c r="AG680" s="690"/>
      <c r="AH680" s="690"/>
      <c r="AI680" s="696">
        <f t="shared" si="89"/>
        <v>0</v>
      </c>
      <c r="AJ680" s="697">
        <f t="shared" si="90"/>
        <v>0</v>
      </c>
    </row>
    <row r="681" spans="1:36" s="698" customFormat="1" ht="12.75" customHeight="1">
      <c r="A681" s="739" t="s">
        <v>208</v>
      </c>
      <c r="B681" s="739" t="s">
        <v>420</v>
      </c>
      <c r="C681" s="753" t="s">
        <v>704</v>
      </c>
      <c r="D681" s="753"/>
      <c r="E681" s="741"/>
      <c r="F681" s="742"/>
      <c r="G681" s="1025"/>
      <c r="H681" s="690"/>
      <c r="I681" s="1030"/>
      <c r="J681" s="690"/>
      <c r="K681" s="1030"/>
      <c r="L681" s="690"/>
      <c r="M681" s="1025"/>
      <c r="N681" s="1030"/>
      <c r="O681" s="692">
        <f t="shared" si="83"/>
        <v>0</v>
      </c>
      <c r="P681" s="690"/>
      <c r="Q681" s="690"/>
      <c r="R681" s="691">
        <f t="shared" si="84"/>
        <v>0</v>
      </c>
      <c r="S681" s="692">
        <f t="shared" si="85"/>
        <v>0</v>
      </c>
      <c r="T681" s="693">
        <f t="shared" si="86"/>
        <v>0</v>
      </c>
      <c r="U681" s="1035"/>
      <c r="V681" s="690"/>
      <c r="W681" s="1025"/>
      <c r="X681" s="1030"/>
      <c r="Y681" s="694">
        <f t="shared" si="87"/>
        <v>0</v>
      </c>
      <c r="Z681" s="690"/>
      <c r="AA681" s="690"/>
      <c r="AB681" s="695">
        <f t="shared" si="88"/>
        <v>0</v>
      </c>
      <c r="AC681" s="1035"/>
      <c r="AD681" s="690"/>
      <c r="AE681" s="1025"/>
      <c r="AF681" s="1030"/>
      <c r="AG681" s="690"/>
      <c r="AH681" s="690"/>
      <c r="AI681" s="696">
        <f t="shared" si="89"/>
        <v>0</v>
      </c>
      <c r="AJ681" s="697">
        <f t="shared" si="90"/>
        <v>0</v>
      </c>
    </row>
    <row r="682" spans="1:36" s="698" customFormat="1" ht="12.75" customHeight="1">
      <c r="A682" s="739" t="s">
        <v>208</v>
      </c>
      <c r="B682" s="739" t="s">
        <v>295</v>
      </c>
      <c r="C682" s="750" t="s">
        <v>378</v>
      </c>
      <c r="D682" s="750"/>
      <c r="E682" s="741"/>
      <c r="F682" s="742"/>
      <c r="G682" s="1025"/>
      <c r="H682" s="690"/>
      <c r="I682" s="1030"/>
      <c r="J682" s="690"/>
      <c r="K682" s="1030"/>
      <c r="L682" s="690"/>
      <c r="M682" s="1025"/>
      <c r="N682" s="1030"/>
      <c r="O682" s="692">
        <f t="shared" si="83"/>
        <v>0</v>
      </c>
      <c r="P682" s="690"/>
      <c r="Q682" s="690"/>
      <c r="R682" s="691">
        <f t="shared" si="84"/>
        <v>0</v>
      </c>
      <c r="S682" s="692">
        <f t="shared" si="85"/>
        <v>0</v>
      </c>
      <c r="T682" s="693">
        <f t="shared" si="86"/>
        <v>0</v>
      </c>
      <c r="U682" s="1035"/>
      <c r="V682" s="690"/>
      <c r="W682" s="1025"/>
      <c r="X682" s="1030"/>
      <c r="Y682" s="694">
        <f t="shared" si="87"/>
        <v>0</v>
      </c>
      <c r="Z682" s="690"/>
      <c r="AA682" s="690"/>
      <c r="AB682" s="695">
        <f t="shared" si="88"/>
        <v>0</v>
      </c>
      <c r="AC682" s="1035"/>
      <c r="AD682" s="690"/>
      <c r="AE682" s="1025"/>
      <c r="AF682" s="1030"/>
      <c r="AG682" s="690"/>
      <c r="AH682" s="690"/>
      <c r="AI682" s="696">
        <f t="shared" si="89"/>
        <v>0</v>
      </c>
      <c r="AJ682" s="697">
        <f t="shared" si="90"/>
        <v>0</v>
      </c>
    </row>
    <row r="683" spans="1:36" s="698" customFormat="1" ht="12.75" customHeight="1">
      <c r="A683" s="739" t="s">
        <v>208</v>
      </c>
      <c r="B683" s="739" t="s">
        <v>296</v>
      </c>
      <c r="C683" s="750" t="s">
        <v>443</v>
      </c>
      <c r="D683" s="750"/>
      <c r="E683" s="741"/>
      <c r="F683" s="742"/>
      <c r="G683" s="1025"/>
      <c r="H683" s="690"/>
      <c r="I683" s="1030"/>
      <c r="J683" s="690"/>
      <c r="K683" s="1030"/>
      <c r="L683" s="690"/>
      <c r="M683" s="1025"/>
      <c r="N683" s="1030"/>
      <c r="O683" s="692">
        <f t="shared" si="83"/>
        <v>0</v>
      </c>
      <c r="P683" s="690"/>
      <c r="Q683" s="690"/>
      <c r="R683" s="691">
        <f t="shared" si="84"/>
        <v>0</v>
      </c>
      <c r="S683" s="692">
        <f t="shared" si="85"/>
        <v>0</v>
      </c>
      <c r="T683" s="693">
        <f t="shared" si="86"/>
        <v>0</v>
      </c>
      <c r="U683" s="1035"/>
      <c r="V683" s="690"/>
      <c r="W683" s="1025"/>
      <c r="X683" s="1030"/>
      <c r="Y683" s="694">
        <f t="shared" si="87"/>
        <v>0</v>
      </c>
      <c r="Z683" s="690"/>
      <c r="AA683" s="690"/>
      <c r="AB683" s="695">
        <f t="shared" si="88"/>
        <v>0</v>
      </c>
      <c r="AC683" s="1035"/>
      <c r="AD683" s="690"/>
      <c r="AE683" s="1025"/>
      <c r="AF683" s="1030"/>
      <c r="AG683" s="690"/>
      <c r="AH683" s="690"/>
      <c r="AI683" s="696">
        <f t="shared" si="89"/>
        <v>0</v>
      </c>
      <c r="AJ683" s="697">
        <f t="shared" si="90"/>
        <v>0</v>
      </c>
    </row>
    <row r="684" spans="1:36" s="698" customFormat="1" ht="12.75" customHeight="1">
      <c r="A684" s="739" t="s">
        <v>208</v>
      </c>
      <c r="B684" s="739" t="s">
        <v>278</v>
      </c>
      <c r="C684" s="750" t="s">
        <v>377</v>
      </c>
      <c r="D684" s="750"/>
      <c r="E684" s="741"/>
      <c r="F684" s="742"/>
      <c r="G684" s="1025"/>
      <c r="H684" s="690"/>
      <c r="I684" s="1030"/>
      <c r="J684" s="690"/>
      <c r="K684" s="1030"/>
      <c r="L684" s="690"/>
      <c r="M684" s="1025"/>
      <c r="N684" s="1030"/>
      <c r="O684" s="692">
        <f t="shared" si="83"/>
        <v>0</v>
      </c>
      <c r="P684" s="690"/>
      <c r="Q684" s="690"/>
      <c r="R684" s="691">
        <f t="shared" si="84"/>
        <v>0</v>
      </c>
      <c r="S684" s="692">
        <f t="shared" si="85"/>
        <v>0</v>
      </c>
      <c r="T684" s="693">
        <f t="shared" si="86"/>
        <v>0</v>
      </c>
      <c r="U684" s="1035">
        <v>267500</v>
      </c>
      <c r="V684" s="690">
        <v>309500</v>
      </c>
      <c r="W684" s="1025"/>
      <c r="X684" s="1030"/>
      <c r="Y684" s="694">
        <f t="shared" si="87"/>
        <v>0</v>
      </c>
      <c r="Z684" s="690"/>
      <c r="AA684" s="690"/>
      <c r="AB684" s="695">
        <f t="shared" si="88"/>
        <v>0</v>
      </c>
      <c r="AC684" s="1035"/>
      <c r="AD684" s="690"/>
      <c r="AE684" s="1025"/>
      <c r="AF684" s="1030"/>
      <c r="AG684" s="690"/>
      <c r="AH684" s="690"/>
      <c r="AI684" s="696">
        <f t="shared" si="89"/>
        <v>267500</v>
      </c>
      <c r="AJ684" s="697">
        <f t="shared" si="90"/>
        <v>309500</v>
      </c>
    </row>
    <row r="685" spans="1:36" s="698" customFormat="1" ht="12.75" customHeight="1">
      <c r="A685" s="739" t="s">
        <v>208</v>
      </c>
      <c r="B685" s="739" t="s">
        <v>279</v>
      </c>
      <c r="C685" s="750" t="s">
        <v>321</v>
      </c>
      <c r="D685" s="750"/>
      <c r="E685" s="741"/>
      <c r="F685" s="742"/>
      <c r="G685" s="1025"/>
      <c r="H685" s="690"/>
      <c r="I685" s="1030"/>
      <c r="J685" s="690"/>
      <c r="K685" s="1030"/>
      <c r="L685" s="690"/>
      <c r="M685" s="1025"/>
      <c r="N685" s="1030"/>
      <c r="O685" s="692">
        <f t="shared" si="83"/>
        <v>0</v>
      </c>
      <c r="P685" s="690"/>
      <c r="Q685" s="690"/>
      <c r="R685" s="691">
        <f t="shared" si="84"/>
        <v>0</v>
      </c>
      <c r="S685" s="692">
        <f t="shared" si="85"/>
        <v>0</v>
      </c>
      <c r="T685" s="693">
        <f t="shared" si="86"/>
        <v>0</v>
      </c>
      <c r="U685" s="1035"/>
      <c r="V685" s="690"/>
      <c r="W685" s="1025"/>
      <c r="X685" s="1030"/>
      <c r="Y685" s="694">
        <f t="shared" si="87"/>
        <v>0</v>
      </c>
      <c r="Z685" s="690"/>
      <c r="AA685" s="690"/>
      <c r="AB685" s="695">
        <f t="shared" si="88"/>
        <v>0</v>
      </c>
      <c r="AC685" s="1035"/>
      <c r="AD685" s="690"/>
      <c r="AE685" s="1025"/>
      <c r="AF685" s="1030"/>
      <c r="AG685" s="690"/>
      <c r="AH685" s="690"/>
      <c r="AI685" s="696">
        <f t="shared" si="89"/>
        <v>0</v>
      </c>
      <c r="AJ685" s="697">
        <f t="shared" si="90"/>
        <v>0</v>
      </c>
    </row>
    <row r="686" spans="1:36" s="698" customFormat="1" ht="12.75" customHeight="1">
      <c r="A686" s="739" t="s">
        <v>208</v>
      </c>
      <c r="B686" s="739" t="s">
        <v>317</v>
      </c>
      <c r="C686" s="750" t="s">
        <v>443</v>
      </c>
      <c r="D686" s="750"/>
      <c r="E686" s="741"/>
      <c r="F686" s="742"/>
      <c r="G686" s="1025"/>
      <c r="H686" s="690"/>
      <c r="I686" s="1030"/>
      <c r="J686" s="690"/>
      <c r="K686" s="1030"/>
      <c r="L686" s="690"/>
      <c r="M686" s="1025"/>
      <c r="N686" s="1030"/>
      <c r="O686" s="692">
        <f t="shared" si="83"/>
        <v>0</v>
      </c>
      <c r="P686" s="690"/>
      <c r="Q686" s="690"/>
      <c r="R686" s="691">
        <f t="shared" si="84"/>
        <v>0</v>
      </c>
      <c r="S686" s="692">
        <f t="shared" si="85"/>
        <v>0</v>
      </c>
      <c r="T686" s="693">
        <f t="shared" si="86"/>
        <v>0</v>
      </c>
      <c r="U686" s="1035"/>
      <c r="V686" s="690"/>
      <c r="W686" s="1025"/>
      <c r="X686" s="1030"/>
      <c r="Y686" s="694">
        <f t="shared" si="87"/>
        <v>0</v>
      </c>
      <c r="Z686" s="690"/>
      <c r="AA686" s="690"/>
      <c r="AB686" s="695">
        <f t="shared" si="88"/>
        <v>0</v>
      </c>
      <c r="AC686" s="1035"/>
      <c r="AD686" s="690"/>
      <c r="AE686" s="1025"/>
      <c r="AF686" s="1030"/>
      <c r="AG686" s="690"/>
      <c r="AH686" s="690"/>
      <c r="AI686" s="696">
        <f t="shared" si="89"/>
        <v>0</v>
      </c>
      <c r="AJ686" s="697">
        <f t="shared" si="90"/>
        <v>0</v>
      </c>
    </row>
    <row r="687" spans="1:36" s="698" customFormat="1" ht="12.75" customHeight="1">
      <c r="A687" s="739" t="s">
        <v>208</v>
      </c>
      <c r="B687" s="739" t="s">
        <v>318</v>
      </c>
      <c r="C687" s="750" t="s">
        <v>377</v>
      </c>
      <c r="D687" s="750"/>
      <c r="E687" s="741"/>
      <c r="F687" s="742"/>
      <c r="G687" s="1025"/>
      <c r="H687" s="690"/>
      <c r="I687" s="1030"/>
      <c r="J687" s="690"/>
      <c r="K687" s="1030"/>
      <c r="L687" s="690"/>
      <c r="M687" s="1025"/>
      <c r="N687" s="1030"/>
      <c r="O687" s="692">
        <f t="shared" si="83"/>
        <v>0</v>
      </c>
      <c r="P687" s="690"/>
      <c r="Q687" s="690"/>
      <c r="R687" s="691">
        <f t="shared" si="84"/>
        <v>0</v>
      </c>
      <c r="S687" s="692">
        <f t="shared" si="85"/>
        <v>0</v>
      </c>
      <c r="T687" s="693">
        <f t="shared" si="86"/>
        <v>0</v>
      </c>
      <c r="U687" s="1035">
        <v>192500</v>
      </c>
      <c r="V687" s="690">
        <v>164500</v>
      </c>
      <c r="W687" s="1025"/>
      <c r="X687" s="1030"/>
      <c r="Y687" s="694">
        <f t="shared" si="87"/>
        <v>0</v>
      </c>
      <c r="Z687" s="690"/>
      <c r="AA687" s="690"/>
      <c r="AB687" s="695">
        <f t="shared" si="88"/>
        <v>0</v>
      </c>
      <c r="AC687" s="1035"/>
      <c r="AD687" s="690"/>
      <c r="AE687" s="1025"/>
      <c r="AF687" s="1030"/>
      <c r="AG687" s="690"/>
      <c r="AH687" s="690"/>
      <c r="AI687" s="696">
        <f t="shared" si="89"/>
        <v>192500</v>
      </c>
      <c r="AJ687" s="697">
        <f t="shared" si="90"/>
        <v>164500</v>
      </c>
    </row>
    <row r="688" spans="1:36" s="698" customFormat="1" ht="12.75" customHeight="1">
      <c r="A688" s="739" t="s">
        <v>208</v>
      </c>
      <c r="B688" s="739" t="s">
        <v>420</v>
      </c>
      <c r="C688" s="753" t="s">
        <v>705</v>
      </c>
      <c r="D688" s="753"/>
      <c r="E688" s="741"/>
      <c r="F688" s="742"/>
      <c r="G688" s="1025"/>
      <c r="H688" s="690"/>
      <c r="I688" s="1030"/>
      <c r="J688" s="690"/>
      <c r="K688" s="1030"/>
      <c r="L688" s="690"/>
      <c r="M688" s="1025"/>
      <c r="N688" s="1030"/>
      <c r="O688" s="692">
        <f t="shared" si="83"/>
        <v>0</v>
      </c>
      <c r="P688" s="690"/>
      <c r="Q688" s="690"/>
      <c r="R688" s="691">
        <f t="shared" si="84"/>
        <v>0</v>
      </c>
      <c r="S688" s="692">
        <f t="shared" si="85"/>
        <v>0</v>
      </c>
      <c r="T688" s="693">
        <f t="shared" si="86"/>
        <v>0</v>
      </c>
      <c r="U688" s="1035"/>
      <c r="V688" s="690"/>
      <c r="W688" s="1025"/>
      <c r="X688" s="1030"/>
      <c r="Y688" s="694">
        <f t="shared" si="87"/>
        <v>0</v>
      </c>
      <c r="Z688" s="690"/>
      <c r="AA688" s="690"/>
      <c r="AB688" s="695">
        <f t="shared" si="88"/>
        <v>0</v>
      </c>
      <c r="AC688" s="1035"/>
      <c r="AD688" s="690"/>
      <c r="AE688" s="1025"/>
      <c r="AF688" s="1030"/>
      <c r="AG688" s="690"/>
      <c r="AH688" s="690"/>
      <c r="AI688" s="696">
        <f t="shared" si="89"/>
        <v>0</v>
      </c>
      <c r="AJ688" s="697">
        <f t="shared" si="90"/>
        <v>0</v>
      </c>
    </row>
    <row r="689" spans="1:36" s="698" customFormat="1" ht="12.75" customHeight="1">
      <c r="A689" s="739" t="s">
        <v>208</v>
      </c>
      <c r="B689" s="739" t="s">
        <v>295</v>
      </c>
      <c r="C689" s="750" t="s">
        <v>378</v>
      </c>
      <c r="D689" s="750"/>
      <c r="E689" s="741"/>
      <c r="F689" s="742"/>
      <c r="G689" s="1025"/>
      <c r="H689" s="690"/>
      <c r="I689" s="1030"/>
      <c r="J689" s="690"/>
      <c r="K689" s="1030"/>
      <c r="L689" s="690"/>
      <c r="M689" s="1025"/>
      <c r="N689" s="1030"/>
      <c r="O689" s="692">
        <f t="shared" si="83"/>
        <v>0</v>
      </c>
      <c r="P689" s="690"/>
      <c r="Q689" s="690"/>
      <c r="R689" s="691">
        <f t="shared" si="84"/>
        <v>0</v>
      </c>
      <c r="S689" s="692">
        <f t="shared" si="85"/>
        <v>0</v>
      </c>
      <c r="T689" s="693">
        <f t="shared" si="86"/>
        <v>0</v>
      </c>
      <c r="U689" s="1035"/>
      <c r="V689" s="690"/>
      <c r="W689" s="1025"/>
      <c r="X689" s="1030"/>
      <c r="Y689" s="694">
        <f t="shared" si="87"/>
        <v>0</v>
      </c>
      <c r="Z689" s="690"/>
      <c r="AA689" s="690"/>
      <c r="AB689" s="695">
        <f t="shared" si="88"/>
        <v>0</v>
      </c>
      <c r="AC689" s="1035"/>
      <c r="AD689" s="690"/>
      <c r="AE689" s="1025"/>
      <c r="AF689" s="1030"/>
      <c r="AG689" s="690"/>
      <c r="AH689" s="690"/>
      <c r="AI689" s="696">
        <f t="shared" si="89"/>
        <v>0</v>
      </c>
      <c r="AJ689" s="697">
        <f t="shared" si="90"/>
        <v>0</v>
      </c>
    </row>
    <row r="690" spans="1:36" s="698" customFormat="1" ht="12.75" customHeight="1">
      <c r="A690" s="739" t="s">
        <v>208</v>
      </c>
      <c r="B690" s="739" t="s">
        <v>296</v>
      </c>
      <c r="C690" s="750" t="s">
        <v>443</v>
      </c>
      <c r="D690" s="750"/>
      <c r="E690" s="741"/>
      <c r="F690" s="742"/>
      <c r="G690" s="1025"/>
      <c r="H690" s="690"/>
      <c r="I690" s="1030"/>
      <c r="J690" s="690"/>
      <c r="K690" s="1030"/>
      <c r="L690" s="690"/>
      <c r="M690" s="1025"/>
      <c r="N690" s="1030"/>
      <c r="O690" s="692">
        <f t="shared" si="83"/>
        <v>0</v>
      </c>
      <c r="P690" s="690"/>
      <c r="Q690" s="690"/>
      <c r="R690" s="691">
        <f t="shared" si="84"/>
        <v>0</v>
      </c>
      <c r="S690" s="692">
        <f t="shared" si="85"/>
        <v>0</v>
      </c>
      <c r="T690" s="693">
        <f t="shared" si="86"/>
        <v>0</v>
      </c>
      <c r="U690" s="1035"/>
      <c r="V690" s="690"/>
      <c r="W690" s="1025"/>
      <c r="X690" s="1030"/>
      <c r="Y690" s="694">
        <f t="shared" si="87"/>
        <v>0</v>
      </c>
      <c r="Z690" s="690"/>
      <c r="AA690" s="690"/>
      <c r="AB690" s="695">
        <f t="shared" si="88"/>
        <v>0</v>
      </c>
      <c r="AC690" s="1035"/>
      <c r="AD690" s="690"/>
      <c r="AE690" s="1025"/>
      <c r="AF690" s="1030"/>
      <c r="AG690" s="690"/>
      <c r="AH690" s="690"/>
      <c r="AI690" s="696">
        <f t="shared" si="89"/>
        <v>0</v>
      </c>
      <c r="AJ690" s="697">
        <f t="shared" si="90"/>
        <v>0</v>
      </c>
    </row>
    <row r="691" spans="1:36" s="698" customFormat="1" ht="12.75" customHeight="1">
      <c r="A691" s="739" t="s">
        <v>208</v>
      </c>
      <c r="B691" s="739" t="s">
        <v>278</v>
      </c>
      <c r="C691" s="750" t="s">
        <v>377</v>
      </c>
      <c r="D691" s="750"/>
      <c r="E691" s="741"/>
      <c r="F691" s="742"/>
      <c r="G691" s="1025"/>
      <c r="H691" s="690"/>
      <c r="I691" s="1030"/>
      <c r="J691" s="690"/>
      <c r="K691" s="1030"/>
      <c r="L691" s="690"/>
      <c r="M691" s="1025"/>
      <c r="N691" s="1030"/>
      <c r="O691" s="692">
        <f t="shared" si="83"/>
        <v>0</v>
      </c>
      <c r="P691" s="690"/>
      <c r="Q691" s="690"/>
      <c r="R691" s="691">
        <f t="shared" si="84"/>
        <v>0</v>
      </c>
      <c r="S691" s="692">
        <f t="shared" si="85"/>
        <v>0</v>
      </c>
      <c r="T691" s="693">
        <f t="shared" si="86"/>
        <v>0</v>
      </c>
      <c r="U691" s="1035"/>
      <c r="V691" s="690"/>
      <c r="W691" s="1025"/>
      <c r="X691" s="1030"/>
      <c r="Y691" s="694">
        <f t="shared" si="87"/>
        <v>0</v>
      </c>
      <c r="Z691" s="690"/>
      <c r="AA691" s="690"/>
      <c r="AB691" s="695">
        <f t="shared" si="88"/>
        <v>0</v>
      </c>
      <c r="AC691" s="1035"/>
      <c r="AD691" s="690"/>
      <c r="AE691" s="1025"/>
      <c r="AF691" s="1030"/>
      <c r="AG691" s="690"/>
      <c r="AH691" s="690"/>
      <c r="AI691" s="696">
        <f t="shared" si="89"/>
        <v>0</v>
      </c>
      <c r="AJ691" s="697">
        <f t="shared" si="90"/>
        <v>0</v>
      </c>
    </row>
    <row r="692" spans="1:36" s="698" customFormat="1" ht="12.75" customHeight="1">
      <c r="A692" s="739" t="s">
        <v>208</v>
      </c>
      <c r="B692" s="739" t="s">
        <v>279</v>
      </c>
      <c r="C692" s="750" t="s">
        <v>321</v>
      </c>
      <c r="D692" s="750"/>
      <c r="E692" s="741"/>
      <c r="F692" s="742"/>
      <c r="G692" s="1025"/>
      <c r="H692" s="690"/>
      <c r="I692" s="1030"/>
      <c r="J692" s="690"/>
      <c r="K692" s="1030"/>
      <c r="L692" s="690"/>
      <c r="M692" s="1025"/>
      <c r="N692" s="1030"/>
      <c r="O692" s="692">
        <f t="shared" si="83"/>
        <v>0</v>
      </c>
      <c r="P692" s="690"/>
      <c r="Q692" s="690"/>
      <c r="R692" s="691">
        <f t="shared" si="84"/>
        <v>0</v>
      </c>
      <c r="S692" s="692">
        <f t="shared" si="85"/>
        <v>0</v>
      </c>
      <c r="T692" s="693">
        <f t="shared" si="86"/>
        <v>0</v>
      </c>
      <c r="U692" s="1035"/>
      <c r="V692" s="690"/>
      <c r="W692" s="1025"/>
      <c r="X692" s="1030"/>
      <c r="Y692" s="694">
        <f t="shared" si="87"/>
        <v>0</v>
      </c>
      <c r="Z692" s="690"/>
      <c r="AA692" s="690"/>
      <c r="AB692" s="695">
        <f t="shared" si="88"/>
        <v>0</v>
      </c>
      <c r="AC692" s="1035"/>
      <c r="AD692" s="690"/>
      <c r="AE692" s="1025"/>
      <c r="AF692" s="1030"/>
      <c r="AG692" s="690"/>
      <c r="AH692" s="690"/>
      <c r="AI692" s="696">
        <f t="shared" si="89"/>
        <v>0</v>
      </c>
      <c r="AJ692" s="697">
        <f t="shared" si="90"/>
        <v>0</v>
      </c>
    </row>
    <row r="693" spans="1:36" s="698" customFormat="1" ht="12.75" customHeight="1">
      <c r="A693" s="739" t="s">
        <v>208</v>
      </c>
      <c r="B693" s="739" t="s">
        <v>317</v>
      </c>
      <c r="C693" s="750" t="s">
        <v>443</v>
      </c>
      <c r="D693" s="750"/>
      <c r="E693" s="741"/>
      <c r="F693" s="742"/>
      <c r="G693" s="1025"/>
      <c r="H693" s="690"/>
      <c r="I693" s="1030"/>
      <c r="J693" s="690"/>
      <c r="K693" s="1030"/>
      <c r="L693" s="690"/>
      <c r="M693" s="1025"/>
      <c r="N693" s="1030"/>
      <c r="O693" s="692">
        <f t="shared" si="83"/>
        <v>0</v>
      </c>
      <c r="P693" s="690"/>
      <c r="Q693" s="690"/>
      <c r="R693" s="691">
        <f t="shared" si="84"/>
        <v>0</v>
      </c>
      <c r="S693" s="692">
        <f t="shared" si="85"/>
        <v>0</v>
      </c>
      <c r="T693" s="693">
        <f t="shared" si="86"/>
        <v>0</v>
      </c>
      <c r="U693" s="1035"/>
      <c r="V693" s="690"/>
      <c r="W693" s="1025"/>
      <c r="X693" s="1030"/>
      <c r="Y693" s="694">
        <f t="shared" si="87"/>
        <v>0</v>
      </c>
      <c r="Z693" s="690"/>
      <c r="AA693" s="690"/>
      <c r="AB693" s="695">
        <f t="shared" si="88"/>
        <v>0</v>
      </c>
      <c r="AC693" s="1035"/>
      <c r="AD693" s="690"/>
      <c r="AE693" s="1025"/>
      <c r="AF693" s="1030"/>
      <c r="AG693" s="690"/>
      <c r="AH693" s="690"/>
      <c r="AI693" s="696">
        <f t="shared" si="89"/>
        <v>0</v>
      </c>
      <c r="AJ693" s="697">
        <f t="shared" si="90"/>
        <v>0</v>
      </c>
    </row>
    <row r="694" spans="1:36" s="698" customFormat="1" ht="12.75" customHeight="1">
      <c r="A694" s="739" t="s">
        <v>208</v>
      </c>
      <c r="B694" s="739" t="s">
        <v>318</v>
      </c>
      <c r="C694" s="750" t="s">
        <v>377</v>
      </c>
      <c r="D694" s="750"/>
      <c r="E694" s="741"/>
      <c r="F694" s="742"/>
      <c r="G694" s="1025"/>
      <c r="H694" s="690"/>
      <c r="I694" s="1030"/>
      <c r="J694" s="690"/>
      <c r="K694" s="1030"/>
      <c r="L694" s="690"/>
      <c r="M694" s="1025"/>
      <c r="N694" s="1030"/>
      <c r="O694" s="692">
        <f t="shared" si="83"/>
        <v>0</v>
      </c>
      <c r="P694" s="690"/>
      <c r="Q694" s="690"/>
      <c r="R694" s="691">
        <f t="shared" si="84"/>
        <v>0</v>
      </c>
      <c r="S694" s="692">
        <f t="shared" si="85"/>
        <v>0</v>
      </c>
      <c r="T694" s="693">
        <f t="shared" si="86"/>
        <v>0</v>
      </c>
      <c r="U694" s="1035">
        <v>20000</v>
      </c>
      <c r="V694" s="690">
        <v>24000</v>
      </c>
      <c r="W694" s="1025"/>
      <c r="X694" s="1030"/>
      <c r="Y694" s="694">
        <f t="shared" si="87"/>
        <v>0</v>
      </c>
      <c r="Z694" s="690"/>
      <c r="AA694" s="690"/>
      <c r="AB694" s="695">
        <f t="shared" si="88"/>
        <v>0</v>
      </c>
      <c r="AC694" s="1035"/>
      <c r="AD694" s="690"/>
      <c r="AE694" s="1025"/>
      <c r="AF694" s="1030"/>
      <c r="AG694" s="690"/>
      <c r="AH694" s="690"/>
      <c r="AI694" s="696">
        <f t="shared" si="89"/>
        <v>20000</v>
      </c>
      <c r="AJ694" s="697">
        <f t="shared" si="90"/>
        <v>24000</v>
      </c>
    </row>
    <row r="695" spans="1:36" s="698" customFormat="1" ht="12.75" customHeight="1">
      <c r="A695" s="739" t="s">
        <v>208</v>
      </c>
      <c r="B695" s="739" t="s">
        <v>420</v>
      </c>
      <c r="C695" s="753" t="s">
        <v>706</v>
      </c>
      <c r="D695" s="753"/>
      <c r="E695" s="741"/>
      <c r="F695" s="742"/>
      <c r="G695" s="1025"/>
      <c r="H695" s="690"/>
      <c r="I695" s="1030"/>
      <c r="J695" s="690"/>
      <c r="K695" s="1030"/>
      <c r="L695" s="690"/>
      <c r="M695" s="1025"/>
      <c r="N695" s="1030"/>
      <c r="O695" s="692">
        <f t="shared" si="83"/>
        <v>0</v>
      </c>
      <c r="P695" s="690"/>
      <c r="Q695" s="690"/>
      <c r="R695" s="691">
        <f t="shared" si="84"/>
        <v>0</v>
      </c>
      <c r="S695" s="692">
        <f t="shared" si="85"/>
        <v>0</v>
      </c>
      <c r="T695" s="693">
        <f t="shared" si="86"/>
        <v>0</v>
      </c>
      <c r="U695" s="1035">
        <v>0</v>
      </c>
      <c r="V695" s="690">
        <v>0</v>
      </c>
      <c r="W695" s="1025"/>
      <c r="X695" s="1030"/>
      <c r="Y695" s="694">
        <f t="shared" si="87"/>
        <v>0</v>
      </c>
      <c r="Z695" s="690"/>
      <c r="AA695" s="690"/>
      <c r="AB695" s="695">
        <f t="shared" si="88"/>
        <v>0</v>
      </c>
      <c r="AC695" s="1035"/>
      <c r="AD695" s="690"/>
      <c r="AE695" s="1025"/>
      <c r="AF695" s="1030"/>
      <c r="AG695" s="690"/>
      <c r="AH695" s="690"/>
      <c r="AI695" s="696">
        <f t="shared" si="89"/>
        <v>0</v>
      </c>
      <c r="AJ695" s="697">
        <f t="shared" si="90"/>
        <v>0</v>
      </c>
    </row>
    <row r="696" spans="1:36" s="698" customFormat="1" ht="12.75" customHeight="1">
      <c r="A696" s="739" t="s">
        <v>208</v>
      </c>
      <c r="B696" s="739" t="s">
        <v>295</v>
      </c>
      <c r="C696" s="750" t="s">
        <v>378</v>
      </c>
      <c r="D696" s="750"/>
      <c r="E696" s="741"/>
      <c r="F696" s="742"/>
      <c r="G696" s="1025"/>
      <c r="H696" s="690"/>
      <c r="I696" s="1030"/>
      <c r="J696" s="690"/>
      <c r="K696" s="1030"/>
      <c r="L696" s="690"/>
      <c r="M696" s="1025"/>
      <c r="N696" s="1030"/>
      <c r="O696" s="692">
        <f t="shared" si="83"/>
        <v>0</v>
      </c>
      <c r="P696" s="690"/>
      <c r="Q696" s="690"/>
      <c r="R696" s="691">
        <f t="shared" si="84"/>
        <v>0</v>
      </c>
      <c r="S696" s="692">
        <f t="shared" si="85"/>
        <v>0</v>
      </c>
      <c r="T696" s="693">
        <f t="shared" si="86"/>
        <v>0</v>
      </c>
      <c r="U696" s="1035"/>
      <c r="V696" s="690"/>
      <c r="W696" s="1025"/>
      <c r="X696" s="1030"/>
      <c r="Y696" s="694">
        <f t="shared" si="87"/>
        <v>0</v>
      </c>
      <c r="Z696" s="690"/>
      <c r="AA696" s="690"/>
      <c r="AB696" s="695">
        <f t="shared" si="88"/>
        <v>0</v>
      </c>
      <c r="AC696" s="1035"/>
      <c r="AD696" s="690"/>
      <c r="AE696" s="1025"/>
      <c r="AF696" s="1030"/>
      <c r="AG696" s="690"/>
      <c r="AH696" s="690"/>
      <c r="AI696" s="696">
        <f t="shared" si="89"/>
        <v>0</v>
      </c>
      <c r="AJ696" s="697">
        <f t="shared" si="90"/>
        <v>0</v>
      </c>
    </row>
    <row r="697" spans="1:36" s="698" customFormat="1" ht="12.75" customHeight="1">
      <c r="A697" s="739" t="s">
        <v>208</v>
      </c>
      <c r="B697" s="739" t="s">
        <v>296</v>
      </c>
      <c r="C697" s="750" t="s">
        <v>443</v>
      </c>
      <c r="D697" s="750"/>
      <c r="E697" s="741"/>
      <c r="F697" s="742"/>
      <c r="G697" s="1025"/>
      <c r="H697" s="690"/>
      <c r="I697" s="1030"/>
      <c r="J697" s="690"/>
      <c r="K697" s="1030"/>
      <c r="L697" s="690"/>
      <c r="M697" s="1025"/>
      <c r="N697" s="1030"/>
      <c r="O697" s="692">
        <f t="shared" si="83"/>
        <v>0</v>
      </c>
      <c r="P697" s="690"/>
      <c r="Q697" s="690"/>
      <c r="R697" s="691">
        <f t="shared" si="84"/>
        <v>0</v>
      </c>
      <c r="S697" s="692">
        <f t="shared" si="85"/>
        <v>0</v>
      </c>
      <c r="T697" s="693">
        <f t="shared" si="86"/>
        <v>0</v>
      </c>
      <c r="U697" s="1035"/>
      <c r="V697" s="690"/>
      <c r="W697" s="1025"/>
      <c r="X697" s="1030"/>
      <c r="Y697" s="694">
        <f t="shared" si="87"/>
        <v>0</v>
      </c>
      <c r="Z697" s="690"/>
      <c r="AA697" s="690"/>
      <c r="AB697" s="695">
        <f t="shared" si="88"/>
        <v>0</v>
      </c>
      <c r="AC697" s="1035"/>
      <c r="AD697" s="690"/>
      <c r="AE697" s="1025"/>
      <c r="AF697" s="1030"/>
      <c r="AG697" s="690"/>
      <c r="AH697" s="690"/>
      <c r="AI697" s="696">
        <f t="shared" si="89"/>
        <v>0</v>
      </c>
      <c r="AJ697" s="697">
        <f t="shared" si="90"/>
        <v>0</v>
      </c>
    </row>
    <row r="698" spans="1:36" s="698" customFormat="1" ht="12.75" customHeight="1">
      <c r="A698" s="739" t="s">
        <v>208</v>
      </c>
      <c r="B698" s="739" t="s">
        <v>278</v>
      </c>
      <c r="C698" s="750" t="s">
        <v>377</v>
      </c>
      <c r="D698" s="750"/>
      <c r="E698" s="741"/>
      <c r="F698" s="742"/>
      <c r="G698" s="1025"/>
      <c r="H698" s="690"/>
      <c r="I698" s="1030"/>
      <c r="J698" s="690"/>
      <c r="K698" s="1030"/>
      <c r="L698" s="690"/>
      <c r="M698" s="1025"/>
      <c r="N698" s="1030"/>
      <c r="O698" s="692">
        <f t="shared" si="83"/>
        <v>0</v>
      </c>
      <c r="P698" s="690"/>
      <c r="Q698" s="690"/>
      <c r="R698" s="691">
        <f t="shared" si="84"/>
        <v>0</v>
      </c>
      <c r="S698" s="692">
        <f t="shared" si="85"/>
        <v>0</v>
      </c>
      <c r="T698" s="693">
        <f t="shared" si="86"/>
        <v>0</v>
      </c>
      <c r="U698" s="1035"/>
      <c r="V698" s="690"/>
      <c r="W698" s="1025"/>
      <c r="X698" s="1030"/>
      <c r="Y698" s="694">
        <f t="shared" si="87"/>
        <v>0</v>
      </c>
      <c r="Z698" s="690"/>
      <c r="AA698" s="690"/>
      <c r="AB698" s="695">
        <f t="shared" si="88"/>
        <v>0</v>
      </c>
      <c r="AC698" s="1035"/>
      <c r="AD698" s="690"/>
      <c r="AE698" s="1025"/>
      <c r="AF698" s="1030"/>
      <c r="AG698" s="690"/>
      <c r="AH698" s="690"/>
      <c r="AI698" s="696">
        <f t="shared" si="89"/>
        <v>0</v>
      </c>
      <c r="AJ698" s="697">
        <f t="shared" si="90"/>
        <v>0</v>
      </c>
    </row>
    <row r="699" spans="1:36" s="698" customFormat="1" ht="12.75" customHeight="1">
      <c r="A699" s="739" t="s">
        <v>208</v>
      </c>
      <c r="B699" s="739" t="s">
        <v>279</v>
      </c>
      <c r="C699" s="750" t="s">
        <v>321</v>
      </c>
      <c r="D699" s="750"/>
      <c r="E699" s="741"/>
      <c r="F699" s="742"/>
      <c r="G699" s="1025"/>
      <c r="H699" s="690"/>
      <c r="I699" s="1030"/>
      <c r="J699" s="690"/>
      <c r="K699" s="1030"/>
      <c r="L699" s="690"/>
      <c r="M699" s="1025"/>
      <c r="N699" s="1030"/>
      <c r="O699" s="692">
        <f t="shared" si="83"/>
        <v>0</v>
      </c>
      <c r="P699" s="690"/>
      <c r="Q699" s="690"/>
      <c r="R699" s="691">
        <f t="shared" si="84"/>
        <v>0</v>
      </c>
      <c r="S699" s="692">
        <f t="shared" si="85"/>
        <v>0</v>
      </c>
      <c r="T699" s="693">
        <f t="shared" si="86"/>
        <v>0</v>
      </c>
      <c r="U699" s="1035"/>
      <c r="V699" s="690"/>
      <c r="W699" s="1025"/>
      <c r="X699" s="1030"/>
      <c r="Y699" s="694">
        <f t="shared" si="87"/>
        <v>0</v>
      </c>
      <c r="Z699" s="690"/>
      <c r="AA699" s="690"/>
      <c r="AB699" s="695">
        <f t="shared" si="88"/>
        <v>0</v>
      </c>
      <c r="AC699" s="1035"/>
      <c r="AD699" s="690"/>
      <c r="AE699" s="1025"/>
      <c r="AF699" s="1030"/>
      <c r="AG699" s="690"/>
      <c r="AH699" s="690"/>
      <c r="AI699" s="696">
        <f t="shared" si="89"/>
        <v>0</v>
      </c>
      <c r="AJ699" s="697">
        <f t="shared" si="90"/>
        <v>0</v>
      </c>
    </row>
    <row r="700" spans="1:36" s="698" customFormat="1" ht="12.75" customHeight="1">
      <c r="A700" s="739" t="s">
        <v>208</v>
      </c>
      <c r="B700" s="739" t="s">
        <v>317</v>
      </c>
      <c r="C700" s="750" t="s">
        <v>443</v>
      </c>
      <c r="D700" s="750"/>
      <c r="E700" s="741"/>
      <c r="F700" s="742"/>
      <c r="G700" s="1025"/>
      <c r="H700" s="690"/>
      <c r="I700" s="1030"/>
      <c r="J700" s="690"/>
      <c r="K700" s="1030"/>
      <c r="L700" s="690"/>
      <c r="M700" s="1025"/>
      <c r="N700" s="1030"/>
      <c r="O700" s="692">
        <f t="shared" si="83"/>
        <v>0</v>
      </c>
      <c r="P700" s="690"/>
      <c r="Q700" s="690"/>
      <c r="R700" s="691">
        <f t="shared" si="84"/>
        <v>0</v>
      </c>
      <c r="S700" s="692">
        <f t="shared" si="85"/>
        <v>0</v>
      </c>
      <c r="T700" s="693">
        <f t="shared" si="86"/>
        <v>0</v>
      </c>
      <c r="U700" s="1035"/>
      <c r="V700" s="690"/>
      <c r="W700" s="1025"/>
      <c r="X700" s="1030"/>
      <c r="Y700" s="694">
        <f t="shared" si="87"/>
        <v>0</v>
      </c>
      <c r="Z700" s="690"/>
      <c r="AA700" s="690"/>
      <c r="AB700" s="695">
        <f t="shared" si="88"/>
        <v>0</v>
      </c>
      <c r="AC700" s="1035"/>
      <c r="AD700" s="690"/>
      <c r="AE700" s="1025"/>
      <c r="AF700" s="1030"/>
      <c r="AG700" s="690"/>
      <c r="AH700" s="690"/>
      <c r="AI700" s="696">
        <f t="shared" si="89"/>
        <v>0</v>
      </c>
      <c r="AJ700" s="697">
        <f t="shared" si="90"/>
        <v>0</v>
      </c>
    </row>
    <row r="701" spans="1:36" s="698" customFormat="1" ht="12.75" customHeight="1">
      <c r="A701" s="739" t="s">
        <v>208</v>
      </c>
      <c r="B701" s="739" t="s">
        <v>318</v>
      </c>
      <c r="C701" s="750" t="s">
        <v>377</v>
      </c>
      <c r="D701" s="750"/>
      <c r="E701" s="741"/>
      <c r="F701" s="742"/>
      <c r="G701" s="1025"/>
      <c r="H701" s="690"/>
      <c r="I701" s="1030"/>
      <c r="J701" s="690"/>
      <c r="K701" s="1030"/>
      <c r="L701" s="690"/>
      <c r="M701" s="1025"/>
      <c r="N701" s="1030"/>
      <c r="O701" s="692">
        <f t="shared" si="83"/>
        <v>0</v>
      </c>
      <c r="P701" s="690"/>
      <c r="Q701" s="690"/>
      <c r="R701" s="691">
        <f t="shared" si="84"/>
        <v>0</v>
      </c>
      <c r="S701" s="692">
        <f t="shared" si="85"/>
        <v>0</v>
      </c>
      <c r="T701" s="693">
        <f t="shared" si="86"/>
        <v>0</v>
      </c>
      <c r="U701" s="1035"/>
      <c r="V701" s="690"/>
      <c r="W701" s="1025"/>
      <c r="X701" s="1030"/>
      <c r="Y701" s="694">
        <f t="shared" si="87"/>
        <v>0</v>
      </c>
      <c r="Z701" s="690"/>
      <c r="AA701" s="690"/>
      <c r="AB701" s="695">
        <f t="shared" si="88"/>
        <v>0</v>
      </c>
      <c r="AC701" s="1035"/>
      <c r="AD701" s="690"/>
      <c r="AE701" s="1025"/>
      <c r="AF701" s="1030"/>
      <c r="AG701" s="690"/>
      <c r="AH701" s="690"/>
      <c r="AI701" s="696">
        <f t="shared" si="89"/>
        <v>0</v>
      </c>
      <c r="AJ701" s="697">
        <f t="shared" si="90"/>
        <v>0</v>
      </c>
    </row>
    <row r="702" spans="1:36" s="698" customFormat="1" ht="12.75" customHeight="1">
      <c r="A702" s="739" t="s">
        <v>208</v>
      </c>
      <c r="B702" s="739" t="s">
        <v>420</v>
      </c>
      <c r="C702" s="753" t="s">
        <v>707</v>
      </c>
      <c r="D702" s="753"/>
      <c r="E702" s="741"/>
      <c r="F702" s="742"/>
      <c r="G702" s="1025"/>
      <c r="H702" s="690"/>
      <c r="I702" s="1030"/>
      <c r="J702" s="690"/>
      <c r="K702" s="1030"/>
      <c r="L702" s="690"/>
      <c r="M702" s="1025"/>
      <c r="N702" s="1030"/>
      <c r="O702" s="692">
        <f t="shared" si="83"/>
        <v>0</v>
      </c>
      <c r="P702" s="690"/>
      <c r="Q702" s="690"/>
      <c r="R702" s="691">
        <f t="shared" si="84"/>
        <v>0</v>
      </c>
      <c r="S702" s="692">
        <f t="shared" si="85"/>
        <v>0</v>
      </c>
      <c r="T702" s="693">
        <f t="shared" si="86"/>
        <v>0</v>
      </c>
      <c r="U702" s="1035"/>
      <c r="V702" s="690"/>
      <c r="W702" s="1025"/>
      <c r="X702" s="1030"/>
      <c r="Y702" s="694">
        <f t="shared" si="87"/>
        <v>0</v>
      </c>
      <c r="Z702" s="690"/>
      <c r="AA702" s="690"/>
      <c r="AB702" s="695">
        <f t="shared" si="88"/>
        <v>0</v>
      </c>
      <c r="AC702" s="1035"/>
      <c r="AD702" s="690"/>
      <c r="AE702" s="1025"/>
      <c r="AF702" s="1030"/>
      <c r="AG702" s="690"/>
      <c r="AH702" s="690"/>
      <c r="AI702" s="696">
        <f t="shared" si="89"/>
        <v>0</v>
      </c>
      <c r="AJ702" s="697">
        <f t="shared" si="90"/>
        <v>0</v>
      </c>
    </row>
    <row r="703" spans="1:36" s="698" customFormat="1" ht="12.75" customHeight="1">
      <c r="A703" s="739" t="s">
        <v>208</v>
      </c>
      <c r="B703" s="739" t="s">
        <v>295</v>
      </c>
      <c r="C703" s="750" t="s">
        <v>378</v>
      </c>
      <c r="D703" s="750"/>
      <c r="E703" s="741"/>
      <c r="F703" s="742"/>
      <c r="G703" s="1025"/>
      <c r="H703" s="690"/>
      <c r="I703" s="1030"/>
      <c r="J703" s="690"/>
      <c r="K703" s="1030"/>
      <c r="L703" s="690"/>
      <c r="M703" s="1025"/>
      <c r="N703" s="1030"/>
      <c r="O703" s="692">
        <f t="shared" si="83"/>
        <v>0</v>
      </c>
      <c r="P703" s="690"/>
      <c r="Q703" s="690"/>
      <c r="R703" s="691">
        <f t="shared" si="84"/>
        <v>0</v>
      </c>
      <c r="S703" s="692">
        <f t="shared" si="85"/>
        <v>0</v>
      </c>
      <c r="T703" s="693">
        <f t="shared" si="86"/>
        <v>0</v>
      </c>
      <c r="U703" s="1035"/>
      <c r="V703" s="690"/>
      <c r="W703" s="1025"/>
      <c r="X703" s="1030"/>
      <c r="Y703" s="694">
        <f t="shared" si="87"/>
        <v>0</v>
      </c>
      <c r="Z703" s="690"/>
      <c r="AA703" s="690"/>
      <c r="AB703" s="695">
        <f t="shared" si="88"/>
        <v>0</v>
      </c>
      <c r="AC703" s="1035"/>
      <c r="AD703" s="690"/>
      <c r="AE703" s="1025"/>
      <c r="AF703" s="1030"/>
      <c r="AG703" s="690"/>
      <c r="AH703" s="690"/>
      <c r="AI703" s="696">
        <f t="shared" si="89"/>
        <v>0</v>
      </c>
      <c r="AJ703" s="697">
        <f t="shared" si="90"/>
        <v>0</v>
      </c>
    </row>
    <row r="704" spans="1:36" s="698" customFormat="1" ht="12.75" customHeight="1">
      <c r="A704" s="739" t="s">
        <v>208</v>
      </c>
      <c r="B704" s="739" t="s">
        <v>296</v>
      </c>
      <c r="C704" s="750" t="s">
        <v>443</v>
      </c>
      <c r="D704" s="750"/>
      <c r="E704" s="741"/>
      <c r="F704" s="742"/>
      <c r="G704" s="1025"/>
      <c r="H704" s="690"/>
      <c r="I704" s="1030"/>
      <c r="J704" s="690"/>
      <c r="K704" s="1030"/>
      <c r="L704" s="690"/>
      <c r="M704" s="1025"/>
      <c r="N704" s="1030"/>
      <c r="O704" s="692">
        <f t="shared" si="83"/>
        <v>0</v>
      </c>
      <c r="P704" s="690"/>
      <c r="Q704" s="690"/>
      <c r="R704" s="691">
        <f t="shared" si="84"/>
        <v>0</v>
      </c>
      <c r="S704" s="692">
        <f t="shared" si="85"/>
        <v>0</v>
      </c>
      <c r="T704" s="693">
        <f t="shared" si="86"/>
        <v>0</v>
      </c>
      <c r="U704" s="1035"/>
      <c r="V704" s="690"/>
      <c r="W704" s="1025"/>
      <c r="X704" s="1030"/>
      <c r="Y704" s="694">
        <f t="shared" si="87"/>
        <v>0</v>
      </c>
      <c r="Z704" s="690"/>
      <c r="AA704" s="690"/>
      <c r="AB704" s="695">
        <f t="shared" si="88"/>
        <v>0</v>
      </c>
      <c r="AC704" s="1035"/>
      <c r="AD704" s="690"/>
      <c r="AE704" s="1025"/>
      <c r="AF704" s="1030"/>
      <c r="AG704" s="690"/>
      <c r="AH704" s="690"/>
      <c r="AI704" s="696">
        <f t="shared" si="89"/>
        <v>0</v>
      </c>
      <c r="AJ704" s="697">
        <f t="shared" si="90"/>
        <v>0</v>
      </c>
    </row>
    <row r="705" spans="1:36" s="698" customFormat="1" ht="12.75" customHeight="1">
      <c r="A705" s="739" t="s">
        <v>208</v>
      </c>
      <c r="B705" s="739" t="s">
        <v>278</v>
      </c>
      <c r="C705" s="750" t="s">
        <v>377</v>
      </c>
      <c r="D705" s="750"/>
      <c r="E705" s="741"/>
      <c r="F705" s="742"/>
      <c r="G705" s="1025"/>
      <c r="H705" s="690"/>
      <c r="I705" s="1030"/>
      <c r="J705" s="690"/>
      <c r="K705" s="1030"/>
      <c r="L705" s="690"/>
      <c r="M705" s="1025"/>
      <c r="N705" s="1030"/>
      <c r="O705" s="692">
        <f t="shared" si="83"/>
        <v>0</v>
      </c>
      <c r="P705" s="690"/>
      <c r="Q705" s="690"/>
      <c r="R705" s="691">
        <f t="shared" si="84"/>
        <v>0</v>
      </c>
      <c r="S705" s="692">
        <f t="shared" si="85"/>
        <v>0</v>
      </c>
      <c r="T705" s="693">
        <f t="shared" si="86"/>
        <v>0</v>
      </c>
      <c r="U705" s="1035">
        <v>129394</v>
      </c>
      <c r="V705" s="690">
        <v>110914</v>
      </c>
      <c r="W705" s="1025"/>
      <c r="X705" s="1030"/>
      <c r="Y705" s="694">
        <f t="shared" si="87"/>
        <v>0</v>
      </c>
      <c r="Z705" s="690"/>
      <c r="AA705" s="690"/>
      <c r="AB705" s="695">
        <f t="shared" si="88"/>
        <v>0</v>
      </c>
      <c r="AC705" s="1035"/>
      <c r="AD705" s="690"/>
      <c r="AE705" s="1025"/>
      <c r="AF705" s="1030"/>
      <c r="AG705" s="690"/>
      <c r="AH705" s="690"/>
      <c r="AI705" s="696">
        <f t="shared" si="89"/>
        <v>129394</v>
      </c>
      <c r="AJ705" s="697">
        <f t="shared" si="90"/>
        <v>110914</v>
      </c>
    </row>
    <row r="706" spans="1:36" s="698" customFormat="1" ht="12.75" customHeight="1">
      <c r="A706" s="739" t="s">
        <v>208</v>
      </c>
      <c r="B706" s="739" t="s">
        <v>279</v>
      </c>
      <c r="C706" s="750" t="s">
        <v>321</v>
      </c>
      <c r="D706" s="750"/>
      <c r="E706" s="741"/>
      <c r="F706" s="742"/>
      <c r="G706" s="1025"/>
      <c r="H706" s="690"/>
      <c r="I706" s="1030"/>
      <c r="J706" s="690"/>
      <c r="K706" s="1030"/>
      <c r="L706" s="690"/>
      <c r="M706" s="1025"/>
      <c r="N706" s="1030"/>
      <c r="O706" s="692">
        <f t="shared" si="83"/>
        <v>0</v>
      </c>
      <c r="P706" s="690"/>
      <c r="Q706" s="690"/>
      <c r="R706" s="691">
        <f t="shared" si="84"/>
        <v>0</v>
      </c>
      <c r="S706" s="692">
        <f t="shared" si="85"/>
        <v>0</v>
      </c>
      <c r="T706" s="693">
        <f t="shared" si="86"/>
        <v>0</v>
      </c>
      <c r="U706" s="1035"/>
      <c r="V706" s="690"/>
      <c r="W706" s="1025"/>
      <c r="X706" s="1030"/>
      <c r="Y706" s="694">
        <f t="shared" si="87"/>
        <v>0</v>
      </c>
      <c r="Z706" s="690"/>
      <c r="AA706" s="690"/>
      <c r="AB706" s="695">
        <f t="shared" si="88"/>
        <v>0</v>
      </c>
      <c r="AC706" s="1035"/>
      <c r="AD706" s="690"/>
      <c r="AE706" s="1025"/>
      <c r="AF706" s="1030"/>
      <c r="AG706" s="690"/>
      <c r="AH706" s="690"/>
      <c r="AI706" s="696">
        <f t="shared" si="89"/>
        <v>0</v>
      </c>
      <c r="AJ706" s="697">
        <f t="shared" si="90"/>
        <v>0</v>
      </c>
    </row>
    <row r="707" spans="1:36" s="698" customFormat="1" ht="12.75" customHeight="1">
      <c r="A707" s="739" t="s">
        <v>208</v>
      </c>
      <c r="B707" s="739" t="s">
        <v>317</v>
      </c>
      <c r="C707" s="750" t="s">
        <v>443</v>
      </c>
      <c r="D707" s="750"/>
      <c r="E707" s="741"/>
      <c r="F707" s="742"/>
      <c r="G707" s="1025"/>
      <c r="H707" s="690"/>
      <c r="I707" s="1030"/>
      <c r="J707" s="690"/>
      <c r="K707" s="1030"/>
      <c r="L707" s="690"/>
      <c r="M707" s="1025"/>
      <c r="N707" s="1030"/>
      <c r="O707" s="692">
        <f t="shared" si="83"/>
        <v>0</v>
      </c>
      <c r="P707" s="690"/>
      <c r="Q707" s="690"/>
      <c r="R707" s="691">
        <f t="shared" si="84"/>
        <v>0</v>
      </c>
      <c r="S707" s="692">
        <f t="shared" si="85"/>
        <v>0</v>
      </c>
      <c r="T707" s="693">
        <f t="shared" si="86"/>
        <v>0</v>
      </c>
      <c r="U707" s="1035"/>
      <c r="V707" s="690"/>
      <c r="W707" s="1025"/>
      <c r="X707" s="1030"/>
      <c r="Y707" s="694">
        <f t="shared" si="87"/>
        <v>0</v>
      </c>
      <c r="Z707" s="690"/>
      <c r="AA707" s="690"/>
      <c r="AB707" s="695">
        <f t="shared" si="88"/>
        <v>0</v>
      </c>
      <c r="AC707" s="1035"/>
      <c r="AD707" s="690"/>
      <c r="AE707" s="1025"/>
      <c r="AF707" s="1030"/>
      <c r="AG707" s="690"/>
      <c r="AH707" s="690"/>
      <c r="AI707" s="696">
        <f t="shared" si="89"/>
        <v>0</v>
      </c>
      <c r="AJ707" s="697">
        <f t="shared" si="90"/>
        <v>0</v>
      </c>
    </row>
    <row r="708" spans="1:36" s="698" customFormat="1" ht="12.75" customHeight="1">
      <c r="A708" s="739" t="s">
        <v>208</v>
      </c>
      <c r="B708" s="739" t="s">
        <v>318</v>
      </c>
      <c r="C708" s="750" t="s">
        <v>377</v>
      </c>
      <c r="D708" s="750"/>
      <c r="E708" s="741"/>
      <c r="F708" s="742"/>
      <c r="G708" s="1025"/>
      <c r="H708" s="690"/>
      <c r="I708" s="1030"/>
      <c r="J708" s="690"/>
      <c r="K708" s="1030"/>
      <c r="L708" s="690"/>
      <c r="M708" s="1025"/>
      <c r="N708" s="1030"/>
      <c r="O708" s="692">
        <f t="shared" si="83"/>
        <v>0</v>
      </c>
      <c r="P708" s="690"/>
      <c r="Q708" s="690"/>
      <c r="R708" s="691">
        <f t="shared" si="84"/>
        <v>0</v>
      </c>
      <c r="S708" s="692">
        <f t="shared" si="85"/>
        <v>0</v>
      </c>
      <c r="T708" s="693">
        <f t="shared" si="86"/>
        <v>0</v>
      </c>
      <c r="U708" s="1035">
        <v>24886</v>
      </c>
      <c r="V708" s="690">
        <v>31801</v>
      </c>
      <c r="W708" s="1025"/>
      <c r="X708" s="1030"/>
      <c r="Y708" s="694">
        <f t="shared" si="87"/>
        <v>0</v>
      </c>
      <c r="Z708" s="690"/>
      <c r="AA708" s="690"/>
      <c r="AB708" s="695">
        <f t="shared" si="88"/>
        <v>0</v>
      </c>
      <c r="AC708" s="1035"/>
      <c r="AD708" s="690"/>
      <c r="AE708" s="1025"/>
      <c r="AF708" s="1030"/>
      <c r="AG708" s="690"/>
      <c r="AH708" s="690"/>
      <c r="AI708" s="696">
        <f t="shared" si="89"/>
        <v>24886</v>
      </c>
      <c r="AJ708" s="697">
        <f t="shared" si="90"/>
        <v>31801</v>
      </c>
    </row>
    <row r="709" spans="1:36" s="698" customFormat="1" ht="12.75" customHeight="1">
      <c r="A709" s="739" t="s">
        <v>208</v>
      </c>
      <c r="B709" s="739" t="s">
        <v>420</v>
      </c>
      <c r="C709" s="753" t="s">
        <v>708</v>
      </c>
      <c r="D709" s="753"/>
      <c r="E709" s="741"/>
      <c r="F709" s="742"/>
      <c r="G709" s="1025"/>
      <c r="H709" s="690"/>
      <c r="I709" s="1030"/>
      <c r="J709" s="690"/>
      <c r="K709" s="1030"/>
      <c r="L709" s="690"/>
      <c r="M709" s="1025"/>
      <c r="N709" s="1030"/>
      <c r="O709" s="692">
        <f t="shared" si="83"/>
        <v>0</v>
      </c>
      <c r="P709" s="690"/>
      <c r="Q709" s="690"/>
      <c r="R709" s="691">
        <f t="shared" si="84"/>
        <v>0</v>
      </c>
      <c r="S709" s="692">
        <f t="shared" si="85"/>
        <v>0</v>
      </c>
      <c r="T709" s="693">
        <f t="shared" si="86"/>
        <v>0</v>
      </c>
      <c r="U709" s="1035">
        <v>303908</v>
      </c>
      <c r="V709" s="690">
        <v>326050</v>
      </c>
      <c r="W709" s="1025"/>
      <c r="X709" s="1030"/>
      <c r="Y709" s="694">
        <f t="shared" si="87"/>
        <v>0</v>
      </c>
      <c r="Z709" s="690"/>
      <c r="AA709" s="690"/>
      <c r="AB709" s="695">
        <f t="shared" si="88"/>
        <v>0</v>
      </c>
      <c r="AC709" s="1035"/>
      <c r="AD709" s="690"/>
      <c r="AE709" s="1025"/>
      <c r="AF709" s="1030"/>
      <c r="AG709" s="690"/>
      <c r="AH709" s="690"/>
      <c r="AI709" s="696">
        <f t="shared" si="89"/>
        <v>303908</v>
      </c>
      <c r="AJ709" s="697">
        <f t="shared" si="90"/>
        <v>326050</v>
      </c>
    </row>
    <row r="710" spans="1:36" s="698" customFormat="1" ht="12.75" customHeight="1">
      <c r="A710" s="739" t="s">
        <v>208</v>
      </c>
      <c r="B710" s="739" t="s">
        <v>442</v>
      </c>
      <c r="C710" s="746" t="s">
        <v>443</v>
      </c>
      <c r="D710" s="746"/>
      <c r="E710" s="741"/>
      <c r="F710" s="742"/>
      <c r="G710" s="1025"/>
      <c r="H710" s="690"/>
      <c r="I710" s="1030"/>
      <c r="J710" s="690"/>
      <c r="K710" s="1030"/>
      <c r="L710" s="690"/>
      <c r="M710" s="1025"/>
      <c r="N710" s="1030"/>
      <c r="O710" s="692">
        <f t="shared" si="83"/>
        <v>0</v>
      </c>
      <c r="P710" s="690"/>
      <c r="Q710" s="690"/>
      <c r="R710" s="691">
        <f t="shared" si="84"/>
        <v>0</v>
      </c>
      <c r="S710" s="692">
        <f t="shared" si="85"/>
        <v>0</v>
      </c>
      <c r="T710" s="693">
        <f t="shared" si="86"/>
        <v>0</v>
      </c>
      <c r="U710" s="1035"/>
      <c r="V710" s="690"/>
      <c r="W710" s="1025"/>
      <c r="X710" s="1030"/>
      <c r="Y710" s="694">
        <f t="shared" si="87"/>
        <v>0</v>
      </c>
      <c r="Z710" s="690"/>
      <c r="AA710" s="690"/>
      <c r="AB710" s="695">
        <f t="shared" si="88"/>
        <v>0</v>
      </c>
      <c r="AC710" s="1035"/>
      <c r="AD710" s="690"/>
      <c r="AE710" s="1025"/>
      <c r="AF710" s="1030"/>
      <c r="AG710" s="690"/>
      <c r="AH710" s="690"/>
      <c r="AI710" s="696">
        <f t="shared" si="89"/>
        <v>0</v>
      </c>
      <c r="AJ710" s="697">
        <f t="shared" si="90"/>
        <v>0</v>
      </c>
    </row>
    <row r="711" spans="1:36" s="698" customFormat="1" ht="12.75" customHeight="1">
      <c r="A711" s="739" t="s">
        <v>208</v>
      </c>
      <c r="B711" s="739" t="s">
        <v>379</v>
      </c>
      <c r="C711" s="746" t="s">
        <v>377</v>
      </c>
      <c r="D711" s="746"/>
      <c r="E711" s="741"/>
      <c r="F711" s="742"/>
      <c r="G711" s="1025"/>
      <c r="H711" s="690"/>
      <c r="I711" s="1030"/>
      <c r="J711" s="690"/>
      <c r="K711" s="1030"/>
      <c r="L711" s="690"/>
      <c r="M711" s="1025"/>
      <c r="N711" s="1030"/>
      <c r="O711" s="692">
        <f t="shared" si="83"/>
        <v>0</v>
      </c>
      <c r="P711" s="690"/>
      <c r="Q711" s="690"/>
      <c r="R711" s="691">
        <f t="shared" si="84"/>
        <v>0</v>
      </c>
      <c r="S711" s="692">
        <f t="shared" si="85"/>
        <v>0</v>
      </c>
      <c r="T711" s="693">
        <f t="shared" si="86"/>
        <v>0</v>
      </c>
      <c r="U711" s="1035"/>
      <c r="V711" s="690"/>
      <c r="W711" s="1025"/>
      <c r="X711" s="1030"/>
      <c r="Y711" s="694">
        <f t="shared" si="87"/>
        <v>0</v>
      </c>
      <c r="Z711" s="690"/>
      <c r="AA711" s="690"/>
      <c r="AB711" s="695">
        <f t="shared" si="88"/>
        <v>0</v>
      </c>
      <c r="AC711" s="1035"/>
      <c r="AD711" s="690"/>
      <c r="AE711" s="1025"/>
      <c r="AF711" s="1030"/>
      <c r="AG711" s="690"/>
      <c r="AH711" s="690"/>
      <c r="AI711" s="696">
        <f t="shared" si="89"/>
        <v>0</v>
      </c>
      <c r="AJ711" s="697">
        <f t="shared" si="90"/>
        <v>0</v>
      </c>
    </row>
    <row r="712" spans="1:36" s="698" customFormat="1" ht="12.75" customHeight="1">
      <c r="A712" s="739" t="s">
        <v>208</v>
      </c>
      <c r="B712" s="739" t="s">
        <v>295</v>
      </c>
      <c r="C712" s="754" t="s">
        <v>378</v>
      </c>
      <c r="D712" s="754"/>
      <c r="E712" s="741"/>
      <c r="F712" s="742"/>
      <c r="G712" s="1025"/>
      <c r="H712" s="690"/>
      <c r="I712" s="1030"/>
      <c r="J712" s="690"/>
      <c r="K712" s="1030"/>
      <c r="L712" s="690"/>
      <c r="M712" s="1025"/>
      <c r="N712" s="1030"/>
      <c r="O712" s="692">
        <f t="shared" si="83"/>
        <v>0</v>
      </c>
      <c r="P712" s="690"/>
      <c r="Q712" s="690"/>
      <c r="R712" s="691">
        <f t="shared" si="84"/>
        <v>0</v>
      </c>
      <c r="S712" s="692">
        <f t="shared" si="85"/>
        <v>0</v>
      </c>
      <c r="T712" s="693">
        <f t="shared" si="86"/>
        <v>0</v>
      </c>
      <c r="U712" s="1035"/>
      <c r="V712" s="690"/>
      <c r="W712" s="1025"/>
      <c r="X712" s="1030"/>
      <c r="Y712" s="694">
        <f t="shared" si="87"/>
        <v>0</v>
      </c>
      <c r="Z712" s="690"/>
      <c r="AA712" s="690"/>
      <c r="AB712" s="695">
        <f t="shared" si="88"/>
        <v>0</v>
      </c>
      <c r="AC712" s="1035"/>
      <c r="AD712" s="690"/>
      <c r="AE712" s="1025"/>
      <c r="AF712" s="1030"/>
      <c r="AG712" s="690"/>
      <c r="AH712" s="690"/>
      <c r="AI712" s="696">
        <f t="shared" si="89"/>
        <v>0</v>
      </c>
      <c r="AJ712" s="697">
        <f t="shared" si="90"/>
        <v>0</v>
      </c>
    </row>
    <row r="713" spans="1:36" s="698" customFormat="1" ht="12.75" customHeight="1">
      <c r="A713" s="739" t="s">
        <v>208</v>
      </c>
      <c r="B713" s="739" t="s">
        <v>296</v>
      </c>
      <c r="C713" s="750" t="s">
        <v>443</v>
      </c>
      <c r="D713" s="750"/>
      <c r="E713" s="741"/>
      <c r="F713" s="742"/>
      <c r="G713" s="1025"/>
      <c r="H713" s="690"/>
      <c r="I713" s="1030"/>
      <c r="J713" s="690"/>
      <c r="K713" s="1030"/>
      <c r="L713" s="690"/>
      <c r="M713" s="1025"/>
      <c r="N713" s="1030"/>
      <c r="O713" s="692">
        <f t="shared" si="83"/>
        <v>0</v>
      </c>
      <c r="P713" s="690"/>
      <c r="Q713" s="690"/>
      <c r="R713" s="691">
        <f t="shared" si="84"/>
        <v>0</v>
      </c>
      <c r="S713" s="692">
        <f t="shared" si="85"/>
        <v>0</v>
      </c>
      <c r="T713" s="693">
        <f t="shared" si="86"/>
        <v>0</v>
      </c>
      <c r="U713" s="1035"/>
      <c r="V713" s="690"/>
      <c r="W713" s="1025"/>
      <c r="X713" s="1030"/>
      <c r="Y713" s="694">
        <f t="shared" si="87"/>
        <v>0</v>
      </c>
      <c r="Z713" s="690"/>
      <c r="AA713" s="690"/>
      <c r="AB713" s="695">
        <f t="shared" si="88"/>
        <v>0</v>
      </c>
      <c r="AC713" s="1035"/>
      <c r="AD713" s="690"/>
      <c r="AE713" s="1025"/>
      <c r="AF713" s="1030"/>
      <c r="AG713" s="690"/>
      <c r="AH713" s="690"/>
      <c r="AI713" s="696">
        <f t="shared" si="89"/>
        <v>0</v>
      </c>
      <c r="AJ713" s="697">
        <f t="shared" si="90"/>
        <v>0</v>
      </c>
    </row>
    <row r="714" spans="1:36" s="698" customFormat="1" ht="12.75" customHeight="1">
      <c r="A714" s="739" t="s">
        <v>208</v>
      </c>
      <c r="B714" s="739" t="s">
        <v>278</v>
      </c>
      <c r="C714" s="750" t="s">
        <v>377</v>
      </c>
      <c r="D714" s="750"/>
      <c r="E714" s="741"/>
      <c r="F714" s="742"/>
      <c r="G714" s="1025"/>
      <c r="H714" s="690"/>
      <c r="I714" s="1030"/>
      <c r="J714" s="690"/>
      <c r="K714" s="1030"/>
      <c r="L714" s="690"/>
      <c r="M714" s="1025"/>
      <c r="N714" s="1030"/>
      <c r="O714" s="692">
        <f t="shared" ref="O714:O777" si="91">SUM(M714:N714)</f>
        <v>0</v>
      </c>
      <c r="P714" s="690"/>
      <c r="Q714" s="690"/>
      <c r="R714" s="691">
        <f t="shared" ref="R714:R777" si="92">SUM(P714:Q714)</f>
        <v>0</v>
      </c>
      <c r="S714" s="692">
        <f t="shared" ref="S714:S777" si="93">SUM(G714,I714,K714,M714)</f>
        <v>0</v>
      </c>
      <c r="T714" s="693">
        <f t="shared" ref="T714:T777" si="94">SUM(H714,J714,L714,P714)</f>
        <v>0</v>
      </c>
      <c r="U714" s="1035"/>
      <c r="V714" s="690"/>
      <c r="W714" s="1025"/>
      <c r="X714" s="1030"/>
      <c r="Y714" s="694">
        <f t="shared" ref="Y714:Y777" si="95">SUM(W714:X714)</f>
        <v>0</v>
      </c>
      <c r="Z714" s="690"/>
      <c r="AA714" s="690"/>
      <c r="AB714" s="695">
        <f t="shared" ref="AB714:AB777" si="96">SUM(Z714:AA714)</f>
        <v>0</v>
      </c>
      <c r="AC714" s="1035"/>
      <c r="AD714" s="690"/>
      <c r="AE714" s="1025"/>
      <c r="AF714" s="1030"/>
      <c r="AG714" s="690"/>
      <c r="AH714" s="690"/>
      <c r="AI714" s="696">
        <f t="shared" ref="AI714:AI777" si="97">SUM(S714,U714,W714,AC714,AE714)</f>
        <v>0</v>
      </c>
      <c r="AJ714" s="697">
        <f t="shared" ref="AJ714:AJ777" si="98">SUM(T714,V714,Z714,AD714,AG714)</f>
        <v>0</v>
      </c>
    </row>
    <row r="715" spans="1:36" s="698" customFormat="1" ht="12.75" customHeight="1">
      <c r="A715" s="739" t="s">
        <v>208</v>
      </c>
      <c r="B715" s="739" t="s">
        <v>279</v>
      </c>
      <c r="C715" s="750" t="s">
        <v>321</v>
      </c>
      <c r="D715" s="750"/>
      <c r="E715" s="741"/>
      <c r="F715" s="742"/>
      <c r="G715" s="1025"/>
      <c r="H715" s="690"/>
      <c r="I715" s="1030"/>
      <c r="J715" s="690"/>
      <c r="K715" s="1030"/>
      <c r="L715" s="690"/>
      <c r="M715" s="1025"/>
      <c r="N715" s="1030"/>
      <c r="O715" s="692">
        <f t="shared" si="91"/>
        <v>0</v>
      </c>
      <c r="P715" s="690"/>
      <c r="Q715" s="690"/>
      <c r="R715" s="691">
        <f t="shared" si="92"/>
        <v>0</v>
      </c>
      <c r="S715" s="692">
        <f t="shared" si="93"/>
        <v>0</v>
      </c>
      <c r="T715" s="693">
        <f t="shared" si="94"/>
        <v>0</v>
      </c>
      <c r="U715" s="1035"/>
      <c r="V715" s="690"/>
      <c r="W715" s="1025"/>
      <c r="X715" s="1030"/>
      <c r="Y715" s="694">
        <f t="shared" si="95"/>
        <v>0</v>
      </c>
      <c r="Z715" s="690"/>
      <c r="AA715" s="690"/>
      <c r="AB715" s="695">
        <f t="shared" si="96"/>
        <v>0</v>
      </c>
      <c r="AC715" s="1035"/>
      <c r="AD715" s="690"/>
      <c r="AE715" s="1025"/>
      <c r="AF715" s="1030"/>
      <c r="AG715" s="690"/>
      <c r="AH715" s="690"/>
      <c r="AI715" s="696">
        <f t="shared" si="97"/>
        <v>0</v>
      </c>
      <c r="AJ715" s="697">
        <f t="shared" si="98"/>
        <v>0</v>
      </c>
    </row>
    <row r="716" spans="1:36" s="698" customFormat="1" ht="12.75" customHeight="1">
      <c r="A716" s="739" t="s">
        <v>208</v>
      </c>
      <c r="B716" s="739" t="s">
        <v>317</v>
      </c>
      <c r="C716" s="750" t="s">
        <v>443</v>
      </c>
      <c r="D716" s="750"/>
      <c r="E716" s="741"/>
      <c r="F716" s="742"/>
      <c r="G716" s="1025"/>
      <c r="H716" s="690"/>
      <c r="I716" s="1030"/>
      <c r="J716" s="690"/>
      <c r="K716" s="1030"/>
      <c r="L716" s="690"/>
      <c r="M716" s="1025"/>
      <c r="N716" s="1030"/>
      <c r="O716" s="692">
        <f t="shared" si="91"/>
        <v>0</v>
      </c>
      <c r="P716" s="690"/>
      <c r="Q716" s="690"/>
      <c r="R716" s="691">
        <f t="shared" si="92"/>
        <v>0</v>
      </c>
      <c r="S716" s="692">
        <f t="shared" si="93"/>
        <v>0</v>
      </c>
      <c r="T716" s="693">
        <f t="shared" si="94"/>
        <v>0</v>
      </c>
      <c r="U716" s="1035"/>
      <c r="V716" s="690"/>
      <c r="W716" s="1025"/>
      <c r="X716" s="1030"/>
      <c r="Y716" s="694">
        <f t="shared" si="95"/>
        <v>0</v>
      </c>
      <c r="Z716" s="690"/>
      <c r="AA716" s="690"/>
      <c r="AB716" s="695">
        <f t="shared" si="96"/>
        <v>0</v>
      </c>
      <c r="AC716" s="1035"/>
      <c r="AD716" s="690"/>
      <c r="AE716" s="1025"/>
      <c r="AF716" s="1030"/>
      <c r="AG716" s="690"/>
      <c r="AH716" s="690"/>
      <c r="AI716" s="696">
        <f t="shared" si="97"/>
        <v>0</v>
      </c>
      <c r="AJ716" s="697">
        <f t="shared" si="98"/>
        <v>0</v>
      </c>
    </row>
    <row r="717" spans="1:36" s="698" customFormat="1" ht="12.75" customHeight="1">
      <c r="A717" s="739" t="s">
        <v>208</v>
      </c>
      <c r="B717" s="739" t="s">
        <v>318</v>
      </c>
      <c r="C717" s="750" t="s">
        <v>377</v>
      </c>
      <c r="D717" s="750"/>
      <c r="E717" s="741"/>
      <c r="F717" s="742"/>
      <c r="G717" s="1025"/>
      <c r="H717" s="690"/>
      <c r="I717" s="1030"/>
      <c r="J717" s="690"/>
      <c r="K717" s="1030"/>
      <c r="L717" s="690"/>
      <c r="M717" s="1025"/>
      <c r="N717" s="1030"/>
      <c r="O717" s="692">
        <f t="shared" si="91"/>
        <v>0</v>
      </c>
      <c r="P717" s="690"/>
      <c r="Q717" s="690"/>
      <c r="R717" s="691">
        <f t="shared" si="92"/>
        <v>0</v>
      </c>
      <c r="S717" s="692">
        <f t="shared" si="93"/>
        <v>0</v>
      </c>
      <c r="T717" s="693">
        <f t="shared" si="94"/>
        <v>0</v>
      </c>
      <c r="U717" s="1035"/>
      <c r="V717" s="690"/>
      <c r="W717" s="1025"/>
      <c r="X717" s="1030"/>
      <c r="Y717" s="694">
        <f t="shared" si="95"/>
        <v>0</v>
      </c>
      <c r="Z717" s="690"/>
      <c r="AA717" s="690"/>
      <c r="AB717" s="695">
        <f t="shared" si="96"/>
        <v>0</v>
      </c>
      <c r="AC717" s="1035"/>
      <c r="AD717" s="690"/>
      <c r="AE717" s="1025"/>
      <c r="AF717" s="1030"/>
      <c r="AG717" s="690"/>
      <c r="AH717" s="690"/>
      <c r="AI717" s="696">
        <f t="shared" si="97"/>
        <v>0</v>
      </c>
      <c r="AJ717" s="697">
        <f t="shared" si="98"/>
        <v>0</v>
      </c>
    </row>
    <row r="718" spans="1:36" s="698" customFormat="1" ht="12.75" customHeight="1">
      <c r="A718" s="739" t="s">
        <v>208</v>
      </c>
      <c r="B718" s="739" t="s">
        <v>420</v>
      </c>
      <c r="C718" s="753" t="s">
        <v>709</v>
      </c>
      <c r="D718" s="753"/>
      <c r="E718" s="741"/>
      <c r="F718" s="742"/>
      <c r="G718" s="1025"/>
      <c r="H718" s="690"/>
      <c r="I718" s="1030"/>
      <c r="J718" s="690"/>
      <c r="K718" s="1030"/>
      <c r="L718" s="690"/>
      <c r="M718" s="1025"/>
      <c r="N718" s="1030"/>
      <c r="O718" s="692">
        <f t="shared" si="91"/>
        <v>0</v>
      </c>
      <c r="P718" s="690"/>
      <c r="Q718" s="690"/>
      <c r="R718" s="691">
        <f t="shared" si="92"/>
        <v>0</v>
      </c>
      <c r="S718" s="692">
        <f t="shared" si="93"/>
        <v>0</v>
      </c>
      <c r="T718" s="693">
        <f t="shared" si="94"/>
        <v>0</v>
      </c>
      <c r="U718" s="1035"/>
      <c r="V718" s="690"/>
      <c r="W718" s="1025"/>
      <c r="X718" s="1030"/>
      <c r="Y718" s="694">
        <f t="shared" si="95"/>
        <v>0</v>
      </c>
      <c r="Z718" s="690"/>
      <c r="AA718" s="690"/>
      <c r="AB718" s="695">
        <f t="shared" si="96"/>
        <v>0</v>
      </c>
      <c r="AC718" s="1035"/>
      <c r="AD718" s="690"/>
      <c r="AE718" s="1025"/>
      <c r="AF718" s="1030"/>
      <c r="AG718" s="690"/>
      <c r="AH718" s="690"/>
      <c r="AI718" s="696">
        <f t="shared" si="97"/>
        <v>0</v>
      </c>
      <c r="AJ718" s="697">
        <f t="shared" si="98"/>
        <v>0</v>
      </c>
    </row>
    <row r="719" spans="1:36" s="698" customFormat="1" ht="12.75" customHeight="1">
      <c r="A719" s="739" t="s">
        <v>208</v>
      </c>
      <c r="B719" s="739" t="s">
        <v>442</v>
      </c>
      <c r="C719" s="746" t="s">
        <v>443</v>
      </c>
      <c r="D719" s="746"/>
      <c r="E719" s="741"/>
      <c r="F719" s="742"/>
      <c r="G719" s="1025"/>
      <c r="H719" s="690"/>
      <c r="I719" s="1030"/>
      <c r="J719" s="690"/>
      <c r="K719" s="1030"/>
      <c r="L719" s="690"/>
      <c r="M719" s="1025"/>
      <c r="N719" s="1030"/>
      <c r="O719" s="692">
        <f t="shared" si="91"/>
        <v>0</v>
      </c>
      <c r="P719" s="690"/>
      <c r="Q719" s="690"/>
      <c r="R719" s="691">
        <f t="shared" si="92"/>
        <v>0</v>
      </c>
      <c r="S719" s="692">
        <f t="shared" si="93"/>
        <v>0</v>
      </c>
      <c r="T719" s="693">
        <f t="shared" si="94"/>
        <v>0</v>
      </c>
      <c r="U719" s="1035">
        <v>7500</v>
      </c>
      <c r="V719" s="690">
        <v>7500</v>
      </c>
      <c r="W719" s="1025"/>
      <c r="X719" s="1030"/>
      <c r="Y719" s="694">
        <f t="shared" si="95"/>
        <v>0</v>
      </c>
      <c r="Z719" s="690"/>
      <c r="AA719" s="690"/>
      <c r="AB719" s="695">
        <f t="shared" si="96"/>
        <v>0</v>
      </c>
      <c r="AC719" s="1035"/>
      <c r="AD719" s="690"/>
      <c r="AE719" s="1025"/>
      <c r="AF719" s="1030"/>
      <c r="AG719" s="690"/>
      <c r="AH719" s="690"/>
      <c r="AI719" s="696">
        <f t="shared" si="97"/>
        <v>7500</v>
      </c>
      <c r="AJ719" s="697">
        <f t="shared" si="98"/>
        <v>7500</v>
      </c>
    </row>
    <row r="720" spans="1:36" s="698" customFormat="1" ht="12.75" customHeight="1">
      <c r="A720" s="739" t="s">
        <v>208</v>
      </c>
      <c r="B720" s="739" t="s">
        <v>379</v>
      </c>
      <c r="C720" s="746" t="s">
        <v>377</v>
      </c>
      <c r="D720" s="746"/>
      <c r="E720" s="741"/>
      <c r="F720" s="742"/>
      <c r="G720" s="1025"/>
      <c r="H720" s="690"/>
      <c r="I720" s="1030"/>
      <c r="J720" s="690"/>
      <c r="K720" s="1030"/>
      <c r="L720" s="690"/>
      <c r="M720" s="1025"/>
      <c r="N720" s="1030"/>
      <c r="O720" s="692">
        <f t="shared" si="91"/>
        <v>0</v>
      </c>
      <c r="P720" s="690"/>
      <c r="Q720" s="690"/>
      <c r="R720" s="691">
        <f t="shared" si="92"/>
        <v>0</v>
      </c>
      <c r="S720" s="692">
        <f t="shared" si="93"/>
        <v>0</v>
      </c>
      <c r="T720" s="693">
        <f t="shared" si="94"/>
        <v>0</v>
      </c>
      <c r="U720" s="1035">
        <v>21000</v>
      </c>
      <c r="V720" s="690">
        <v>20000</v>
      </c>
      <c r="W720" s="1025"/>
      <c r="X720" s="1030"/>
      <c r="Y720" s="694">
        <f t="shared" si="95"/>
        <v>0</v>
      </c>
      <c r="Z720" s="690"/>
      <c r="AA720" s="690"/>
      <c r="AB720" s="695">
        <f t="shared" si="96"/>
        <v>0</v>
      </c>
      <c r="AC720" s="1035"/>
      <c r="AD720" s="690"/>
      <c r="AE720" s="1025"/>
      <c r="AF720" s="1030"/>
      <c r="AG720" s="690"/>
      <c r="AH720" s="690"/>
      <c r="AI720" s="696">
        <f t="shared" si="97"/>
        <v>21000</v>
      </c>
      <c r="AJ720" s="697">
        <f t="shared" si="98"/>
        <v>20000</v>
      </c>
    </row>
    <row r="721" spans="1:36" s="698" customFormat="1" ht="12.75" customHeight="1">
      <c r="A721" s="739" t="s">
        <v>208</v>
      </c>
      <c r="B721" s="739" t="s">
        <v>295</v>
      </c>
      <c r="C721" s="754" t="s">
        <v>378</v>
      </c>
      <c r="D721" s="754"/>
      <c r="E721" s="741"/>
      <c r="F721" s="742"/>
      <c r="G721" s="1025"/>
      <c r="H721" s="690"/>
      <c r="I721" s="1030"/>
      <c r="J721" s="690"/>
      <c r="K721" s="1030"/>
      <c r="L721" s="690"/>
      <c r="M721" s="1025"/>
      <c r="N721" s="1030"/>
      <c r="O721" s="692">
        <f t="shared" si="91"/>
        <v>0</v>
      </c>
      <c r="P721" s="690"/>
      <c r="Q721" s="690"/>
      <c r="R721" s="691">
        <f t="shared" si="92"/>
        <v>0</v>
      </c>
      <c r="S721" s="692">
        <f t="shared" si="93"/>
        <v>0</v>
      </c>
      <c r="T721" s="693">
        <f t="shared" si="94"/>
        <v>0</v>
      </c>
      <c r="U721" s="1035"/>
      <c r="V721" s="690"/>
      <c r="W721" s="1025"/>
      <c r="X721" s="1030"/>
      <c r="Y721" s="694">
        <f t="shared" si="95"/>
        <v>0</v>
      </c>
      <c r="Z721" s="690"/>
      <c r="AA721" s="690"/>
      <c r="AB721" s="695">
        <f t="shared" si="96"/>
        <v>0</v>
      </c>
      <c r="AC721" s="1035"/>
      <c r="AD721" s="690"/>
      <c r="AE721" s="1025"/>
      <c r="AF721" s="1030"/>
      <c r="AG721" s="690"/>
      <c r="AH721" s="690"/>
      <c r="AI721" s="696">
        <f t="shared" si="97"/>
        <v>0</v>
      </c>
      <c r="AJ721" s="697">
        <f t="shared" si="98"/>
        <v>0</v>
      </c>
    </row>
    <row r="722" spans="1:36" s="698" customFormat="1" ht="12.75" customHeight="1">
      <c r="A722" s="739" t="s">
        <v>208</v>
      </c>
      <c r="B722" s="739" t="s">
        <v>296</v>
      </c>
      <c r="C722" s="750" t="s">
        <v>443</v>
      </c>
      <c r="D722" s="750"/>
      <c r="E722" s="741"/>
      <c r="F722" s="742"/>
      <c r="G722" s="1025"/>
      <c r="H722" s="690"/>
      <c r="I722" s="1030"/>
      <c r="J722" s="690"/>
      <c r="K722" s="1030"/>
      <c r="L722" s="690"/>
      <c r="M722" s="1025"/>
      <c r="N722" s="1030"/>
      <c r="O722" s="692">
        <f t="shared" si="91"/>
        <v>0</v>
      </c>
      <c r="P722" s="690"/>
      <c r="Q722" s="690"/>
      <c r="R722" s="691">
        <f t="shared" si="92"/>
        <v>0</v>
      </c>
      <c r="S722" s="692">
        <f t="shared" si="93"/>
        <v>0</v>
      </c>
      <c r="T722" s="693">
        <f t="shared" si="94"/>
        <v>0</v>
      </c>
      <c r="U722" s="1035"/>
      <c r="V722" s="690"/>
      <c r="W722" s="1025"/>
      <c r="X722" s="1030"/>
      <c r="Y722" s="694">
        <f t="shared" si="95"/>
        <v>0</v>
      </c>
      <c r="Z722" s="690"/>
      <c r="AA722" s="690"/>
      <c r="AB722" s="695">
        <f t="shared" si="96"/>
        <v>0</v>
      </c>
      <c r="AC722" s="1035"/>
      <c r="AD722" s="690"/>
      <c r="AE722" s="1025"/>
      <c r="AF722" s="1030"/>
      <c r="AG722" s="690"/>
      <c r="AH722" s="690"/>
      <c r="AI722" s="696">
        <f t="shared" si="97"/>
        <v>0</v>
      </c>
      <c r="AJ722" s="697">
        <f t="shared" si="98"/>
        <v>0</v>
      </c>
    </row>
    <row r="723" spans="1:36" s="698" customFormat="1" ht="12.75" customHeight="1">
      <c r="A723" s="739" t="s">
        <v>208</v>
      </c>
      <c r="B723" s="739" t="s">
        <v>278</v>
      </c>
      <c r="C723" s="750" t="s">
        <v>377</v>
      </c>
      <c r="D723" s="750"/>
      <c r="E723" s="741"/>
      <c r="F723" s="742"/>
      <c r="G723" s="1025"/>
      <c r="H723" s="690"/>
      <c r="I723" s="1030"/>
      <c r="J723" s="690"/>
      <c r="K723" s="1030"/>
      <c r="L723" s="690"/>
      <c r="M723" s="1025"/>
      <c r="N723" s="1030"/>
      <c r="O723" s="692">
        <f t="shared" si="91"/>
        <v>0</v>
      </c>
      <c r="P723" s="690"/>
      <c r="Q723" s="690"/>
      <c r="R723" s="691">
        <f t="shared" si="92"/>
        <v>0</v>
      </c>
      <c r="S723" s="692">
        <f t="shared" si="93"/>
        <v>0</v>
      </c>
      <c r="T723" s="693">
        <f t="shared" si="94"/>
        <v>0</v>
      </c>
      <c r="U723" s="1035"/>
      <c r="V723" s="690"/>
      <c r="W723" s="1025"/>
      <c r="X723" s="1030"/>
      <c r="Y723" s="694">
        <f t="shared" si="95"/>
        <v>0</v>
      </c>
      <c r="Z723" s="690"/>
      <c r="AA723" s="690"/>
      <c r="AB723" s="695">
        <f t="shared" si="96"/>
        <v>0</v>
      </c>
      <c r="AC723" s="1035"/>
      <c r="AD723" s="690"/>
      <c r="AE723" s="1025"/>
      <c r="AF723" s="1030"/>
      <c r="AG723" s="690"/>
      <c r="AH723" s="690"/>
      <c r="AI723" s="696">
        <f t="shared" si="97"/>
        <v>0</v>
      </c>
      <c r="AJ723" s="697">
        <f t="shared" si="98"/>
        <v>0</v>
      </c>
    </row>
    <row r="724" spans="1:36" s="698" customFormat="1" ht="12.75" customHeight="1">
      <c r="A724" s="739" t="s">
        <v>208</v>
      </c>
      <c r="B724" s="739" t="s">
        <v>279</v>
      </c>
      <c r="C724" s="750" t="s">
        <v>321</v>
      </c>
      <c r="D724" s="750"/>
      <c r="E724" s="741"/>
      <c r="F724" s="742"/>
      <c r="G724" s="1025"/>
      <c r="H724" s="690"/>
      <c r="I724" s="1030"/>
      <c r="J724" s="690"/>
      <c r="K724" s="1030"/>
      <c r="L724" s="690"/>
      <c r="M724" s="1025"/>
      <c r="N724" s="1030"/>
      <c r="O724" s="692">
        <f t="shared" si="91"/>
        <v>0</v>
      </c>
      <c r="P724" s="690"/>
      <c r="Q724" s="690"/>
      <c r="R724" s="691">
        <f t="shared" si="92"/>
        <v>0</v>
      </c>
      <c r="S724" s="692">
        <f t="shared" si="93"/>
        <v>0</v>
      </c>
      <c r="T724" s="693">
        <f t="shared" si="94"/>
        <v>0</v>
      </c>
      <c r="U724" s="1035"/>
      <c r="V724" s="690"/>
      <c r="W724" s="1025"/>
      <c r="X724" s="1030"/>
      <c r="Y724" s="694">
        <f t="shared" si="95"/>
        <v>0</v>
      </c>
      <c r="Z724" s="690"/>
      <c r="AA724" s="690"/>
      <c r="AB724" s="695">
        <f t="shared" si="96"/>
        <v>0</v>
      </c>
      <c r="AC724" s="1035"/>
      <c r="AD724" s="690"/>
      <c r="AE724" s="1025"/>
      <c r="AF724" s="1030"/>
      <c r="AG724" s="690"/>
      <c r="AH724" s="690"/>
      <c r="AI724" s="696">
        <f t="shared" si="97"/>
        <v>0</v>
      </c>
      <c r="AJ724" s="697">
        <f t="shared" si="98"/>
        <v>0</v>
      </c>
    </row>
    <row r="725" spans="1:36" s="698" customFormat="1" ht="12.75" customHeight="1">
      <c r="A725" s="739" t="s">
        <v>208</v>
      </c>
      <c r="B725" s="739" t="s">
        <v>317</v>
      </c>
      <c r="C725" s="750" t="s">
        <v>443</v>
      </c>
      <c r="D725" s="750"/>
      <c r="E725" s="741"/>
      <c r="F725" s="742"/>
      <c r="G725" s="1025"/>
      <c r="H725" s="690"/>
      <c r="I725" s="1030"/>
      <c r="J725" s="690"/>
      <c r="K725" s="1030"/>
      <c r="L725" s="690"/>
      <c r="M725" s="1025"/>
      <c r="N725" s="1030"/>
      <c r="O725" s="692">
        <f t="shared" si="91"/>
        <v>0</v>
      </c>
      <c r="P725" s="690"/>
      <c r="Q725" s="690"/>
      <c r="R725" s="691">
        <f t="shared" si="92"/>
        <v>0</v>
      </c>
      <c r="S725" s="692">
        <f t="shared" si="93"/>
        <v>0</v>
      </c>
      <c r="T725" s="693">
        <f t="shared" si="94"/>
        <v>0</v>
      </c>
      <c r="U725" s="1035"/>
      <c r="V725" s="690"/>
      <c r="W725" s="1025"/>
      <c r="X725" s="1030"/>
      <c r="Y725" s="694">
        <f t="shared" si="95"/>
        <v>0</v>
      </c>
      <c r="Z725" s="690"/>
      <c r="AA725" s="690"/>
      <c r="AB725" s="695">
        <f t="shared" si="96"/>
        <v>0</v>
      </c>
      <c r="AC725" s="1035"/>
      <c r="AD725" s="690"/>
      <c r="AE725" s="1025"/>
      <c r="AF725" s="1030"/>
      <c r="AG725" s="690"/>
      <c r="AH725" s="690"/>
      <c r="AI725" s="696">
        <f t="shared" si="97"/>
        <v>0</v>
      </c>
      <c r="AJ725" s="697">
        <f t="shared" si="98"/>
        <v>0</v>
      </c>
    </row>
    <row r="726" spans="1:36" s="698" customFormat="1" ht="12.75" customHeight="1">
      <c r="A726" s="739" t="s">
        <v>208</v>
      </c>
      <c r="B726" s="739" t="s">
        <v>318</v>
      </c>
      <c r="C726" s="750" t="s">
        <v>377</v>
      </c>
      <c r="D726" s="750"/>
      <c r="E726" s="741"/>
      <c r="F726" s="742"/>
      <c r="G726" s="1025"/>
      <c r="H726" s="690"/>
      <c r="I726" s="1030"/>
      <c r="J726" s="690"/>
      <c r="K726" s="1030"/>
      <c r="L726" s="690"/>
      <c r="M726" s="1025"/>
      <c r="N726" s="1030"/>
      <c r="O726" s="692">
        <f t="shared" si="91"/>
        <v>0</v>
      </c>
      <c r="P726" s="690"/>
      <c r="Q726" s="690"/>
      <c r="R726" s="691">
        <f t="shared" si="92"/>
        <v>0</v>
      </c>
      <c r="S726" s="692">
        <f t="shared" si="93"/>
        <v>0</v>
      </c>
      <c r="T726" s="693">
        <f t="shared" si="94"/>
        <v>0</v>
      </c>
      <c r="U726" s="1035"/>
      <c r="V726" s="690"/>
      <c r="W726" s="1025"/>
      <c r="X726" s="1030"/>
      <c r="Y726" s="694">
        <f t="shared" si="95"/>
        <v>0</v>
      </c>
      <c r="Z726" s="690"/>
      <c r="AA726" s="690"/>
      <c r="AB726" s="695">
        <f t="shared" si="96"/>
        <v>0</v>
      </c>
      <c r="AC726" s="1035"/>
      <c r="AD726" s="690"/>
      <c r="AE726" s="1025"/>
      <c r="AF726" s="1030"/>
      <c r="AG726" s="690"/>
      <c r="AH726" s="690"/>
      <c r="AI726" s="696">
        <f t="shared" si="97"/>
        <v>0</v>
      </c>
      <c r="AJ726" s="697">
        <f t="shared" si="98"/>
        <v>0</v>
      </c>
    </row>
    <row r="727" spans="1:36" s="698" customFormat="1" ht="12.75" customHeight="1">
      <c r="A727" s="739" t="s">
        <v>208</v>
      </c>
      <c r="B727" s="739" t="s">
        <v>421</v>
      </c>
      <c r="C727" s="752" t="s">
        <v>181</v>
      </c>
      <c r="D727" s="752"/>
      <c r="E727" s="741"/>
      <c r="F727" s="742"/>
      <c r="G727" s="1025"/>
      <c r="H727" s="690"/>
      <c r="I727" s="1030"/>
      <c r="J727" s="690"/>
      <c r="K727" s="1030"/>
      <c r="L727" s="690"/>
      <c r="M727" s="1025"/>
      <c r="N727" s="1030"/>
      <c r="O727" s="692">
        <f t="shared" si="91"/>
        <v>0</v>
      </c>
      <c r="P727" s="690"/>
      <c r="Q727" s="690"/>
      <c r="R727" s="691">
        <f t="shared" si="92"/>
        <v>0</v>
      </c>
      <c r="S727" s="692">
        <f t="shared" si="93"/>
        <v>0</v>
      </c>
      <c r="T727" s="693">
        <f t="shared" si="94"/>
        <v>0</v>
      </c>
      <c r="U727" s="1035"/>
      <c r="V727" s="690"/>
      <c r="W727" s="1025"/>
      <c r="X727" s="1030"/>
      <c r="Y727" s="694">
        <f t="shared" si="95"/>
        <v>0</v>
      </c>
      <c r="Z727" s="690"/>
      <c r="AA727" s="690"/>
      <c r="AB727" s="695">
        <f t="shared" si="96"/>
        <v>0</v>
      </c>
      <c r="AC727" s="1035"/>
      <c r="AD727" s="690"/>
      <c r="AE727" s="1025"/>
      <c r="AF727" s="1030"/>
      <c r="AG727" s="690"/>
      <c r="AH727" s="690"/>
      <c r="AI727" s="696">
        <f t="shared" si="97"/>
        <v>0</v>
      </c>
      <c r="AJ727" s="697">
        <f t="shared" si="98"/>
        <v>0</v>
      </c>
    </row>
    <row r="728" spans="1:36" s="698" customFormat="1" ht="12.75" customHeight="1">
      <c r="A728" s="739" t="s">
        <v>208</v>
      </c>
      <c r="B728" s="739" t="s">
        <v>380</v>
      </c>
      <c r="C728" s="750" t="s">
        <v>443</v>
      </c>
      <c r="D728" s="750"/>
      <c r="E728" s="741"/>
      <c r="F728" s="742"/>
      <c r="G728" s="1025"/>
      <c r="H728" s="690"/>
      <c r="I728" s="1030"/>
      <c r="J728" s="690"/>
      <c r="K728" s="1030"/>
      <c r="L728" s="690"/>
      <c r="M728" s="1025"/>
      <c r="N728" s="1030"/>
      <c r="O728" s="692">
        <f t="shared" si="91"/>
        <v>0</v>
      </c>
      <c r="P728" s="690"/>
      <c r="Q728" s="690"/>
      <c r="R728" s="691">
        <f t="shared" si="92"/>
        <v>0</v>
      </c>
      <c r="S728" s="692">
        <f t="shared" si="93"/>
        <v>0</v>
      </c>
      <c r="T728" s="693">
        <f t="shared" si="94"/>
        <v>0</v>
      </c>
      <c r="U728" s="1035"/>
      <c r="V728" s="690"/>
      <c r="W728" s="1025"/>
      <c r="X728" s="1030"/>
      <c r="Y728" s="694">
        <f t="shared" si="95"/>
        <v>0</v>
      </c>
      <c r="Z728" s="690"/>
      <c r="AA728" s="690"/>
      <c r="AB728" s="695">
        <f t="shared" si="96"/>
        <v>0</v>
      </c>
      <c r="AC728" s="1035"/>
      <c r="AD728" s="690"/>
      <c r="AE728" s="1025"/>
      <c r="AF728" s="1030"/>
      <c r="AG728" s="690"/>
      <c r="AH728" s="690"/>
      <c r="AI728" s="696">
        <f t="shared" si="97"/>
        <v>0</v>
      </c>
      <c r="AJ728" s="697">
        <f t="shared" si="98"/>
        <v>0</v>
      </c>
    </row>
    <row r="729" spans="1:36" s="698" customFormat="1" ht="12.75" customHeight="1">
      <c r="A729" s="739" t="s">
        <v>208</v>
      </c>
      <c r="B729" s="739" t="s">
        <v>381</v>
      </c>
      <c r="C729" s="750" t="s">
        <v>377</v>
      </c>
      <c r="D729" s="750"/>
      <c r="E729" s="741"/>
      <c r="F729" s="742"/>
      <c r="G729" s="1025"/>
      <c r="H729" s="690"/>
      <c r="I729" s="1030"/>
      <c r="J729" s="690"/>
      <c r="K729" s="1030"/>
      <c r="L729" s="690"/>
      <c r="M729" s="1025"/>
      <c r="N729" s="1030"/>
      <c r="O729" s="692">
        <f t="shared" si="91"/>
        <v>0</v>
      </c>
      <c r="P729" s="690"/>
      <c r="Q729" s="690"/>
      <c r="R729" s="691">
        <f t="shared" si="92"/>
        <v>0</v>
      </c>
      <c r="S729" s="692">
        <f t="shared" si="93"/>
        <v>0</v>
      </c>
      <c r="T729" s="693">
        <f t="shared" si="94"/>
        <v>0</v>
      </c>
      <c r="U729" s="1035"/>
      <c r="V729" s="690"/>
      <c r="W729" s="1025"/>
      <c r="X729" s="1030"/>
      <c r="Y729" s="694">
        <f t="shared" si="95"/>
        <v>0</v>
      </c>
      <c r="Z729" s="690"/>
      <c r="AA729" s="690"/>
      <c r="AB729" s="695">
        <f t="shared" si="96"/>
        <v>0</v>
      </c>
      <c r="AC729" s="1035"/>
      <c r="AD729" s="690"/>
      <c r="AE729" s="1025"/>
      <c r="AF729" s="1030"/>
      <c r="AG729" s="690"/>
      <c r="AH729" s="690"/>
      <c r="AI729" s="696">
        <f t="shared" si="97"/>
        <v>0</v>
      </c>
      <c r="AJ729" s="697">
        <f t="shared" si="98"/>
        <v>0</v>
      </c>
    </row>
    <row r="730" spans="1:36" s="698" customFormat="1" ht="12.75" customHeight="1">
      <c r="A730" s="739" t="s">
        <v>208</v>
      </c>
      <c r="B730" s="739" t="s">
        <v>422</v>
      </c>
      <c r="C730" s="752" t="s">
        <v>439</v>
      </c>
      <c r="D730" s="752"/>
      <c r="E730" s="741"/>
      <c r="F730" s="742"/>
      <c r="G730" s="1025"/>
      <c r="H730" s="690"/>
      <c r="I730" s="1030"/>
      <c r="J730" s="690"/>
      <c r="K730" s="1030"/>
      <c r="L730" s="690"/>
      <c r="M730" s="1025"/>
      <c r="N730" s="1030"/>
      <c r="O730" s="692">
        <f t="shared" si="91"/>
        <v>0</v>
      </c>
      <c r="P730" s="690"/>
      <c r="Q730" s="690"/>
      <c r="R730" s="691">
        <f t="shared" si="92"/>
        <v>0</v>
      </c>
      <c r="S730" s="692">
        <f t="shared" si="93"/>
        <v>0</v>
      </c>
      <c r="T730" s="693">
        <f t="shared" si="94"/>
        <v>0</v>
      </c>
      <c r="U730" s="1035"/>
      <c r="V730" s="690"/>
      <c r="W730" s="1025"/>
      <c r="X730" s="1030"/>
      <c r="Y730" s="694">
        <f t="shared" si="95"/>
        <v>0</v>
      </c>
      <c r="Z730" s="690"/>
      <c r="AA730" s="690"/>
      <c r="AB730" s="695">
        <f t="shared" si="96"/>
        <v>0</v>
      </c>
      <c r="AC730" s="1035"/>
      <c r="AD730" s="690"/>
      <c r="AE730" s="1025"/>
      <c r="AF730" s="1030"/>
      <c r="AG730" s="690"/>
      <c r="AH730" s="690"/>
      <c r="AI730" s="696">
        <f t="shared" si="97"/>
        <v>0</v>
      </c>
      <c r="AJ730" s="697">
        <f t="shared" si="98"/>
        <v>0</v>
      </c>
    </row>
    <row r="731" spans="1:36" s="698" customFormat="1" ht="12.75" customHeight="1">
      <c r="A731" s="739" t="s">
        <v>208</v>
      </c>
      <c r="B731" s="739" t="s">
        <v>382</v>
      </c>
      <c r="C731" s="750" t="s">
        <v>443</v>
      </c>
      <c r="D731" s="750"/>
      <c r="E731" s="741"/>
      <c r="F731" s="742"/>
      <c r="G731" s="1025"/>
      <c r="H731" s="690"/>
      <c r="I731" s="1030"/>
      <c r="J731" s="690"/>
      <c r="K731" s="1030"/>
      <c r="L731" s="690"/>
      <c r="M731" s="1025"/>
      <c r="N731" s="1030"/>
      <c r="O731" s="692">
        <f t="shared" si="91"/>
        <v>0</v>
      </c>
      <c r="P731" s="690"/>
      <c r="Q731" s="690"/>
      <c r="R731" s="691">
        <f t="shared" si="92"/>
        <v>0</v>
      </c>
      <c r="S731" s="692">
        <f t="shared" si="93"/>
        <v>0</v>
      </c>
      <c r="T731" s="693">
        <f t="shared" si="94"/>
        <v>0</v>
      </c>
      <c r="U731" s="1035"/>
      <c r="V731" s="690"/>
      <c r="W731" s="1025"/>
      <c r="X731" s="1030"/>
      <c r="Y731" s="694">
        <f t="shared" si="95"/>
        <v>0</v>
      </c>
      <c r="Z731" s="690"/>
      <c r="AA731" s="690"/>
      <c r="AB731" s="695">
        <f t="shared" si="96"/>
        <v>0</v>
      </c>
      <c r="AC731" s="1035"/>
      <c r="AD731" s="690"/>
      <c r="AE731" s="1025"/>
      <c r="AF731" s="1030"/>
      <c r="AG731" s="690"/>
      <c r="AH731" s="690"/>
      <c r="AI731" s="696">
        <f t="shared" si="97"/>
        <v>0</v>
      </c>
      <c r="AJ731" s="697">
        <f t="shared" si="98"/>
        <v>0</v>
      </c>
    </row>
    <row r="732" spans="1:36" s="698" customFormat="1" ht="12.75" customHeight="1">
      <c r="A732" s="739" t="s">
        <v>208</v>
      </c>
      <c r="B732" s="739" t="s">
        <v>383</v>
      </c>
      <c r="C732" s="750" t="s">
        <v>377</v>
      </c>
      <c r="D732" s="750"/>
      <c r="E732" s="741"/>
      <c r="F732" s="742"/>
      <c r="G732" s="1025"/>
      <c r="H732" s="690"/>
      <c r="I732" s="1030"/>
      <c r="J732" s="690"/>
      <c r="K732" s="1030"/>
      <c r="L732" s="690"/>
      <c r="M732" s="1025"/>
      <c r="N732" s="1030"/>
      <c r="O732" s="692">
        <f t="shared" si="91"/>
        <v>0</v>
      </c>
      <c r="P732" s="690"/>
      <c r="Q732" s="690"/>
      <c r="R732" s="691">
        <f t="shared" si="92"/>
        <v>0</v>
      </c>
      <c r="S732" s="692">
        <f t="shared" si="93"/>
        <v>0</v>
      </c>
      <c r="T732" s="693">
        <f t="shared" si="94"/>
        <v>0</v>
      </c>
      <c r="U732" s="1035"/>
      <c r="V732" s="690"/>
      <c r="W732" s="1025"/>
      <c r="X732" s="1030"/>
      <c r="Y732" s="694">
        <f t="shared" si="95"/>
        <v>0</v>
      </c>
      <c r="Z732" s="690"/>
      <c r="AA732" s="690"/>
      <c r="AB732" s="695">
        <f t="shared" si="96"/>
        <v>0</v>
      </c>
      <c r="AC732" s="1035"/>
      <c r="AD732" s="690"/>
      <c r="AE732" s="1025"/>
      <c r="AF732" s="1030"/>
      <c r="AG732" s="690"/>
      <c r="AH732" s="690"/>
      <c r="AI732" s="696">
        <f t="shared" si="97"/>
        <v>0</v>
      </c>
      <c r="AJ732" s="697">
        <f t="shared" si="98"/>
        <v>0</v>
      </c>
    </row>
    <row r="733" spans="1:36" s="700" customFormat="1" ht="12.75" customHeight="1">
      <c r="A733" s="755" t="s">
        <v>209</v>
      </c>
      <c r="B733" s="755" t="s">
        <v>392</v>
      </c>
      <c r="C733" s="756" t="s">
        <v>710</v>
      </c>
      <c r="D733" s="756"/>
      <c r="E733" s="757">
        <v>133951</v>
      </c>
      <c r="F733" s="758">
        <v>1</v>
      </c>
      <c r="G733" s="1025">
        <f>160640361+21082081-1304265-1407241</f>
        <v>179010936</v>
      </c>
      <c r="H733" s="690">
        <f>162335863+24187023</f>
        <v>186522886</v>
      </c>
      <c r="I733" s="1030"/>
      <c r="J733" s="690"/>
      <c r="K733" s="1030"/>
      <c r="L733" s="690"/>
      <c r="M733" s="1025">
        <f>145720286-3610333</f>
        <v>142109953</v>
      </c>
      <c r="N733" s="1030">
        <v>3610333</v>
      </c>
      <c r="O733" s="692">
        <f t="shared" si="91"/>
        <v>145720286</v>
      </c>
      <c r="P733" s="690">
        <f>161880914-3436312</f>
        <v>158444602</v>
      </c>
      <c r="Q733" s="690">
        <v>3436312</v>
      </c>
      <c r="R733" s="691">
        <f t="shared" si="92"/>
        <v>161880914</v>
      </c>
      <c r="S733" s="692">
        <f t="shared" si="93"/>
        <v>321120889</v>
      </c>
      <c r="T733" s="693">
        <f t="shared" si="94"/>
        <v>344967488</v>
      </c>
      <c r="U733" s="1035"/>
      <c r="V733" s="690"/>
      <c r="W733" s="1025"/>
      <c r="X733" s="1030"/>
      <c r="Y733" s="694">
        <f t="shared" si="95"/>
        <v>0</v>
      </c>
      <c r="Z733" s="690"/>
      <c r="AA733" s="690"/>
      <c r="AB733" s="695">
        <f t="shared" si="96"/>
        <v>0</v>
      </c>
      <c r="AC733" s="1035"/>
      <c r="AD733" s="690"/>
      <c r="AE733" s="1025"/>
      <c r="AF733" s="1030"/>
      <c r="AG733" s="690"/>
      <c r="AH733" s="690"/>
      <c r="AI733" s="696">
        <f t="shared" si="97"/>
        <v>321120889</v>
      </c>
      <c r="AJ733" s="697">
        <f t="shared" si="98"/>
        <v>344967488</v>
      </c>
    </row>
    <row r="734" spans="1:36" s="700" customFormat="1" ht="12.75" customHeight="1">
      <c r="A734" s="755" t="s">
        <v>209</v>
      </c>
      <c r="B734" s="755" t="s">
        <v>392</v>
      </c>
      <c r="C734" s="759" t="s">
        <v>711</v>
      </c>
      <c r="D734" s="759"/>
      <c r="E734" s="760">
        <v>133951</v>
      </c>
      <c r="F734" s="758">
        <v>1</v>
      </c>
      <c r="G734" s="1025"/>
      <c r="H734" s="690"/>
      <c r="I734" s="1030">
        <v>1304265</v>
      </c>
      <c r="J734" s="690">
        <v>1272154</v>
      </c>
      <c r="K734" s="1030"/>
      <c r="L734" s="690"/>
      <c r="M734" s="1025"/>
      <c r="N734" s="1030"/>
      <c r="O734" s="692">
        <f t="shared" si="91"/>
        <v>0</v>
      </c>
      <c r="P734" s="690"/>
      <c r="Q734" s="690"/>
      <c r="R734" s="691">
        <f t="shared" si="92"/>
        <v>0</v>
      </c>
      <c r="S734" s="692">
        <f t="shared" si="93"/>
        <v>1304265</v>
      </c>
      <c r="T734" s="693">
        <f t="shared" si="94"/>
        <v>1272154</v>
      </c>
      <c r="U734" s="1035"/>
      <c r="V734" s="690"/>
      <c r="W734" s="1025"/>
      <c r="X734" s="1030"/>
      <c r="Y734" s="694">
        <f t="shared" si="95"/>
        <v>0</v>
      </c>
      <c r="Z734" s="690"/>
      <c r="AA734" s="690"/>
      <c r="AB734" s="695">
        <f t="shared" si="96"/>
        <v>0</v>
      </c>
      <c r="AC734" s="1035"/>
      <c r="AD734" s="690"/>
      <c r="AE734" s="1025"/>
      <c r="AF734" s="1030"/>
      <c r="AG734" s="690"/>
      <c r="AH734" s="690"/>
      <c r="AI734" s="696">
        <f t="shared" si="97"/>
        <v>1304265</v>
      </c>
      <c r="AJ734" s="697">
        <f t="shared" si="98"/>
        <v>1272154</v>
      </c>
    </row>
    <row r="735" spans="1:36" s="700" customFormat="1" ht="12.75" customHeight="1">
      <c r="A735" s="755" t="s">
        <v>209</v>
      </c>
      <c r="B735" s="755" t="s">
        <v>392</v>
      </c>
      <c r="C735" s="759" t="s">
        <v>712</v>
      </c>
      <c r="D735" s="759"/>
      <c r="E735" s="760">
        <v>133951</v>
      </c>
      <c r="F735" s="758">
        <v>1</v>
      </c>
      <c r="G735" s="1025"/>
      <c r="H735" s="690"/>
      <c r="I735" s="1030">
        <v>1407241</v>
      </c>
      <c r="J735" s="690">
        <v>1407241</v>
      </c>
      <c r="K735" s="1030"/>
      <c r="L735" s="690"/>
      <c r="M735" s="1025"/>
      <c r="N735" s="1030"/>
      <c r="O735" s="692">
        <f t="shared" si="91"/>
        <v>0</v>
      </c>
      <c r="P735" s="690"/>
      <c r="Q735" s="690"/>
      <c r="R735" s="691">
        <f t="shared" si="92"/>
        <v>0</v>
      </c>
      <c r="S735" s="692">
        <f t="shared" si="93"/>
        <v>1407241</v>
      </c>
      <c r="T735" s="693">
        <f t="shared" si="94"/>
        <v>1407241</v>
      </c>
      <c r="U735" s="1035"/>
      <c r="V735" s="690"/>
      <c r="W735" s="1025"/>
      <c r="X735" s="1030"/>
      <c r="Y735" s="694">
        <f t="shared" si="95"/>
        <v>0</v>
      </c>
      <c r="Z735" s="690"/>
      <c r="AA735" s="690"/>
      <c r="AB735" s="695">
        <f t="shared" si="96"/>
        <v>0</v>
      </c>
      <c r="AC735" s="1035"/>
      <c r="AD735" s="690"/>
      <c r="AE735" s="1025"/>
      <c r="AF735" s="1030"/>
      <c r="AG735" s="690"/>
      <c r="AH735" s="690"/>
      <c r="AI735" s="696">
        <f t="shared" si="97"/>
        <v>1407241</v>
      </c>
      <c r="AJ735" s="697">
        <f t="shared" si="98"/>
        <v>1407241</v>
      </c>
    </row>
    <row r="736" spans="1:36" s="700" customFormat="1" ht="12.75" customHeight="1">
      <c r="A736" s="755" t="s">
        <v>209</v>
      </c>
      <c r="B736" s="755" t="s">
        <v>408</v>
      </c>
      <c r="C736" s="759" t="s">
        <v>713</v>
      </c>
      <c r="D736" s="759"/>
      <c r="E736" s="760">
        <v>133951</v>
      </c>
      <c r="F736" s="758">
        <v>1</v>
      </c>
      <c r="G736" s="1025"/>
      <c r="H736" s="690"/>
      <c r="I736" s="1030"/>
      <c r="J736" s="690"/>
      <c r="K736" s="1030"/>
      <c r="L736" s="690"/>
      <c r="M736" s="1025"/>
      <c r="N736" s="1030"/>
      <c r="O736" s="692">
        <f t="shared" si="91"/>
        <v>0</v>
      </c>
      <c r="P736" s="690"/>
      <c r="Q736" s="690"/>
      <c r="R736" s="691">
        <f t="shared" si="92"/>
        <v>0</v>
      </c>
      <c r="S736" s="692">
        <f t="shared" si="93"/>
        <v>0</v>
      </c>
      <c r="T736" s="693">
        <f t="shared" si="94"/>
        <v>0</v>
      </c>
      <c r="U736" s="1035"/>
      <c r="V736" s="690"/>
      <c r="W736" s="1025"/>
      <c r="X736" s="1030"/>
      <c r="Y736" s="694">
        <f t="shared" si="95"/>
        <v>0</v>
      </c>
      <c r="Z736" s="690"/>
      <c r="AA736" s="690"/>
      <c r="AB736" s="695">
        <f t="shared" si="96"/>
        <v>0</v>
      </c>
      <c r="AC736" s="1035">
        <v>21410785</v>
      </c>
      <c r="AD736" s="690">
        <v>25210077</v>
      </c>
      <c r="AE736" s="1025">
        <v>972185</v>
      </c>
      <c r="AF736" s="1030"/>
      <c r="AG736" s="690">
        <v>1867169</v>
      </c>
      <c r="AH736" s="690"/>
      <c r="AI736" s="696">
        <f t="shared" si="97"/>
        <v>22382970</v>
      </c>
      <c r="AJ736" s="697">
        <f t="shared" si="98"/>
        <v>27077246</v>
      </c>
    </row>
    <row r="737" spans="1:36" s="700" customFormat="1" ht="12.75" customHeight="1">
      <c r="A737" s="755" t="s">
        <v>209</v>
      </c>
      <c r="B737" s="755" t="s">
        <v>399</v>
      </c>
      <c r="C737" s="761" t="s">
        <v>441</v>
      </c>
      <c r="D737" s="761"/>
      <c r="E737" s="760">
        <v>137351</v>
      </c>
      <c r="F737" s="758">
        <v>1</v>
      </c>
      <c r="G737" s="1025"/>
      <c r="H737" s="690"/>
      <c r="I737" s="1030"/>
      <c r="J737" s="690"/>
      <c r="K737" s="1030"/>
      <c r="L737" s="690"/>
      <c r="M737" s="1025"/>
      <c r="N737" s="1030"/>
      <c r="O737" s="692">
        <f t="shared" si="91"/>
        <v>0</v>
      </c>
      <c r="P737" s="690"/>
      <c r="Q737" s="690"/>
      <c r="R737" s="691">
        <f t="shared" si="92"/>
        <v>0</v>
      </c>
      <c r="S737" s="692">
        <f t="shared" si="93"/>
        <v>0</v>
      </c>
      <c r="T737" s="693">
        <f t="shared" si="94"/>
        <v>0</v>
      </c>
      <c r="U737" s="1035"/>
      <c r="V737" s="690"/>
      <c r="W737" s="1025"/>
      <c r="X737" s="1030"/>
      <c r="Y737" s="694">
        <f t="shared" si="95"/>
        <v>0</v>
      </c>
      <c r="Z737" s="690"/>
      <c r="AA737" s="690"/>
      <c r="AB737" s="695">
        <f t="shared" si="96"/>
        <v>0</v>
      </c>
      <c r="AC737" s="1035"/>
      <c r="AD737" s="690"/>
      <c r="AE737" s="1025"/>
      <c r="AF737" s="1030"/>
      <c r="AG737" s="690"/>
      <c r="AH737" s="690"/>
      <c r="AI737" s="696">
        <f t="shared" si="97"/>
        <v>0</v>
      </c>
      <c r="AJ737" s="697">
        <f t="shared" si="98"/>
        <v>0</v>
      </c>
    </row>
    <row r="738" spans="1:36" s="700" customFormat="1" ht="12.75" customHeight="1">
      <c r="A738" s="755" t="s">
        <v>209</v>
      </c>
      <c r="B738" s="755" t="s">
        <v>392</v>
      </c>
      <c r="C738" s="762" t="s">
        <v>714</v>
      </c>
      <c r="D738" s="762"/>
      <c r="E738" s="760">
        <v>134097</v>
      </c>
      <c r="F738" s="763">
        <v>1</v>
      </c>
      <c r="G738" s="1025">
        <f>241057742+26539058-3540501-2111419</f>
        <v>261944880</v>
      </c>
      <c r="H738" s="690">
        <f>242666321+31179405</f>
        <v>273845726</v>
      </c>
      <c r="I738" s="1030"/>
      <c r="J738" s="690"/>
      <c r="K738" s="1030"/>
      <c r="L738" s="690"/>
      <c r="M738" s="1025">
        <f>157551804-4166414</f>
        <v>153385390</v>
      </c>
      <c r="N738" s="1030">
        <v>4166414</v>
      </c>
      <c r="O738" s="692">
        <f t="shared" si="91"/>
        <v>157551804</v>
      </c>
      <c r="P738" s="690">
        <f>169838329-3662606</f>
        <v>166175723</v>
      </c>
      <c r="Q738" s="690">
        <v>3662606</v>
      </c>
      <c r="R738" s="691">
        <f t="shared" si="92"/>
        <v>169838329</v>
      </c>
      <c r="S738" s="692">
        <f t="shared" si="93"/>
        <v>415330270</v>
      </c>
      <c r="T738" s="693">
        <f t="shared" si="94"/>
        <v>440021449</v>
      </c>
      <c r="U738" s="1035"/>
      <c r="V738" s="690"/>
      <c r="W738" s="1025"/>
      <c r="X738" s="1030"/>
      <c r="Y738" s="694">
        <f t="shared" si="95"/>
        <v>0</v>
      </c>
      <c r="Z738" s="690"/>
      <c r="AA738" s="690"/>
      <c r="AB738" s="695">
        <f t="shared" si="96"/>
        <v>0</v>
      </c>
      <c r="AC738" s="1035"/>
      <c r="AD738" s="690"/>
      <c r="AE738" s="1025"/>
      <c r="AF738" s="1030"/>
      <c r="AG738" s="690"/>
      <c r="AH738" s="690"/>
      <c r="AI738" s="696">
        <f t="shared" si="97"/>
        <v>415330270</v>
      </c>
      <c r="AJ738" s="697">
        <f t="shared" si="98"/>
        <v>440021449</v>
      </c>
    </row>
    <row r="739" spans="1:36" s="700" customFormat="1" ht="12.75" customHeight="1">
      <c r="A739" s="755" t="s">
        <v>209</v>
      </c>
      <c r="B739" s="755" t="s">
        <v>392</v>
      </c>
      <c r="C739" s="759" t="s">
        <v>711</v>
      </c>
      <c r="D739" s="759"/>
      <c r="E739" s="760">
        <v>134097</v>
      </c>
      <c r="F739" s="763">
        <v>1</v>
      </c>
      <c r="G739" s="1025"/>
      <c r="H739" s="690"/>
      <c r="I739" s="1030">
        <v>3540501</v>
      </c>
      <c r="J739" s="690">
        <v>3453334</v>
      </c>
      <c r="K739" s="1030"/>
      <c r="L739" s="690"/>
      <c r="M739" s="1025"/>
      <c r="N739" s="1030"/>
      <c r="O739" s="692">
        <f t="shared" si="91"/>
        <v>0</v>
      </c>
      <c r="P739" s="690"/>
      <c r="Q739" s="690"/>
      <c r="R739" s="691">
        <f t="shared" si="92"/>
        <v>0</v>
      </c>
      <c r="S739" s="692">
        <f t="shared" si="93"/>
        <v>3540501</v>
      </c>
      <c r="T739" s="693">
        <f t="shared" si="94"/>
        <v>3453334</v>
      </c>
      <c r="U739" s="1035"/>
      <c r="V739" s="690"/>
      <c r="W739" s="1025"/>
      <c r="X739" s="1030"/>
      <c r="Y739" s="694">
        <f t="shared" si="95"/>
        <v>0</v>
      </c>
      <c r="Z739" s="690"/>
      <c r="AA739" s="690"/>
      <c r="AB739" s="695">
        <f t="shared" si="96"/>
        <v>0</v>
      </c>
      <c r="AC739" s="1035"/>
      <c r="AD739" s="690"/>
      <c r="AE739" s="1025"/>
      <c r="AF739" s="1030"/>
      <c r="AG739" s="690"/>
      <c r="AH739" s="690"/>
      <c r="AI739" s="696">
        <f t="shared" si="97"/>
        <v>3540501</v>
      </c>
      <c r="AJ739" s="697">
        <f t="shared" si="98"/>
        <v>3453334</v>
      </c>
    </row>
    <row r="740" spans="1:36" s="700" customFormat="1" ht="12.75" customHeight="1">
      <c r="A740" s="755" t="s">
        <v>209</v>
      </c>
      <c r="B740" s="755" t="s">
        <v>392</v>
      </c>
      <c r="C740" s="759" t="s">
        <v>712</v>
      </c>
      <c r="D740" s="759"/>
      <c r="E740" s="760">
        <v>134097</v>
      </c>
      <c r="F740" s="763">
        <v>1</v>
      </c>
      <c r="G740" s="1025"/>
      <c r="H740" s="690"/>
      <c r="I740" s="1030">
        <v>2111419</v>
      </c>
      <c r="J740" s="690">
        <v>2111419</v>
      </c>
      <c r="K740" s="1030"/>
      <c r="L740" s="690"/>
      <c r="M740" s="1025"/>
      <c r="N740" s="1030"/>
      <c r="O740" s="692">
        <f t="shared" si="91"/>
        <v>0</v>
      </c>
      <c r="P740" s="690"/>
      <c r="Q740" s="690"/>
      <c r="R740" s="691">
        <f t="shared" si="92"/>
        <v>0</v>
      </c>
      <c r="S740" s="692">
        <f t="shared" si="93"/>
        <v>2111419</v>
      </c>
      <c r="T740" s="693">
        <f t="shared" si="94"/>
        <v>2111419</v>
      </c>
      <c r="U740" s="1035"/>
      <c r="V740" s="690"/>
      <c r="W740" s="1025"/>
      <c r="X740" s="1030"/>
      <c r="Y740" s="694">
        <f t="shared" si="95"/>
        <v>0</v>
      </c>
      <c r="Z740" s="690"/>
      <c r="AA740" s="690"/>
      <c r="AB740" s="695">
        <f t="shared" si="96"/>
        <v>0</v>
      </c>
      <c r="AC740" s="1035">
        <v>59608</v>
      </c>
      <c r="AD740" s="690">
        <v>52372</v>
      </c>
      <c r="AE740" s="1025"/>
      <c r="AF740" s="1030"/>
      <c r="AG740" s="690"/>
      <c r="AH740" s="690"/>
      <c r="AI740" s="696">
        <f t="shared" si="97"/>
        <v>2171027</v>
      </c>
      <c r="AJ740" s="697">
        <f t="shared" si="98"/>
        <v>2163791</v>
      </c>
    </row>
    <row r="741" spans="1:36" s="700" customFormat="1" ht="12.75" customHeight="1">
      <c r="A741" s="755" t="s">
        <v>209</v>
      </c>
      <c r="B741" s="755" t="s">
        <v>408</v>
      </c>
      <c r="C741" s="759" t="s">
        <v>713</v>
      </c>
      <c r="D741" s="759"/>
      <c r="E741" s="760">
        <v>134097</v>
      </c>
      <c r="F741" s="763">
        <v>1</v>
      </c>
      <c r="G741" s="1025"/>
      <c r="H741" s="690"/>
      <c r="I741" s="1030"/>
      <c r="J741" s="690"/>
      <c r="K741" s="1030"/>
      <c r="L741" s="690"/>
      <c r="M741" s="1025"/>
      <c r="N741" s="1030"/>
      <c r="O741" s="692">
        <f t="shared" si="91"/>
        <v>0</v>
      </c>
      <c r="P741" s="690"/>
      <c r="Q741" s="690"/>
      <c r="R741" s="691">
        <f t="shared" si="92"/>
        <v>0</v>
      </c>
      <c r="S741" s="692">
        <f t="shared" si="93"/>
        <v>0</v>
      </c>
      <c r="T741" s="693">
        <f t="shared" si="94"/>
        <v>0</v>
      </c>
      <c r="U741" s="1035"/>
      <c r="V741" s="690"/>
      <c r="W741" s="1025"/>
      <c r="X741" s="1030"/>
      <c r="Y741" s="694">
        <f t="shared" si="95"/>
        <v>0</v>
      </c>
      <c r="Z741" s="690"/>
      <c r="AA741" s="690"/>
      <c r="AB741" s="695">
        <f t="shared" si="96"/>
        <v>0</v>
      </c>
      <c r="AC741" s="1035">
        <f>34789459+589410</f>
        <v>35378869</v>
      </c>
      <c r="AD741" s="690">
        <f>35640936+605115-52372</f>
        <v>36193679</v>
      </c>
      <c r="AE741" s="1025">
        <v>9933495</v>
      </c>
      <c r="AF741" s="1030"/>
      <c r="AG741" s="690">
        <v>10207063</v>
      </c>
      <c r="AH741" s="690"/>
      <c r="AI741" s="696">
        <f t="shared" si="97"/>
        <v>45312364</v>
      </c>
      <c r="AJ741" s="697">
        <f t="shared" si="98"/>
        <v>46400742</v>
      </c>
    </row>
    <row r="742" spans="1:36" s="700" customFormat="1" ht="12.75" customHeight="1">
      <c r="A742" s="755" t="s">
        <v>209</v>
      </c>
      <c r="B742" s="755" t="s">
        <v>408</v>
      </c>
      <c r="C742" s="759" t="s">
        <v>715</v>
      </c>
      <c r="D742" s="759"/>
      <c r="E742" s="760">
        <v>134097</v>
      </c>
      <c r="F742" s="763">
        <v>1</v>
      </c>
      <c r="G742" s="1025"/>
      <c r="H742" s="690"/>
      <c r="I742" s="1030"/>
      <c r="J742" s="690"/>
      <c r="K742" s="1030"/>
      <c r="L742" s="690"/>
      <c r="M742" s="1025"/>
      <c r="N742" s="1030"/>
      <c r="O742" s="692">
        <f t="shared" si="91"/>
        <v>0</v>
      </c>
      <c r="P742" s="690"/>
      <c r="Q742" s="690"/>
      <c r="R742" s="691">
        <f t="shared" si="92"/>
        <v>0</v>
      </c>
      <c r="S742" s="692">
        <f t="shared" si="93"/>
        <v>0</v>
      </c>
      <c r="T742" s="693">
        <f t="shared" si="94"/>
        <v>0</v>
      </c>
      <c r="U742" s="1035"/>
      <c r="V742" s="690"/>
      <c r="W742" s="1025"/>
      <c r="X742" s="1030"/>
      <c r="Y742" s="694">
        <f t="shared" si="95"/>
        <v>0</v>
      </c>
      <c r="Z742" s="690"/>
      <c r="AA742" s="690"/>
      <c r="AB742" s="695">
        <f t="shared" si="96"/>
        <v>0</v>
      </c>
      <c r="AC742" s="1035">
        <v>830019</v>
      </c>
      <c r="AD742" s="690">
        <v>830019</v>
      </c>
      <c r="AE742" s="1025"/>
      <c r="AF742" s="1030"/>
      <c r="AG742" s="690"/>
      <c r="AH742" s="690"/>
      <c r="AI742" s="696">
        <f t="shared" si="97"/>
        <v>830019</v>
      </c>
      <c r="AJ742" s="697">
        <f t="shared" si="98"/>
        <v>830019</v>
      </c>
    </row>
    <row r="743" spans="1:36" s="700" customFormat="1" ht="12.75" customHeight="1">
      <c r="A743" s="755" t="s">
        <v>209</v>
      </c>
      <c r="B743" s="755" t="s">
        <v>394</v>
      </c>
      <c r="C743" s="761" t="s">
        <v>451</v>
      </c>
      <c r="D743" s="761"/>
      <c r="E743" s="760">
        <v>134097</v>
      </c>
      <c r="F743" s="763">
        <v>1</v>
      </c>
      <c r="G743" s="1025"/>
      <c r="H743" s="690"/>
      <c r="I743" s="1030">
        <v>438138</v>
      </c>
      <c r="J743" s="690">
        <v>438138</v>
      </c>
      <c r="K743" s="1030"/>
      <c r="L743" s="690"/>
      <c r="M743" s="1025"/>
      <c r="N743" s="1030"/>
      <c r="O743" s="692">
        <f t="shared" si="91"/>
        <v>0</v>
      </c>
      <c r="P743" s="690"/>
      <c r="Q743" s="690"/>
      <c r="R743" s="691">
        <f t="shared" si="92"/>
        <v>0</v>
      </c>
      <c r="S743" s="692">
        <f t="shared" si="93"/>
        <v>438138</v>
      </c>
      <c r="T743" s="693">
        <f t="shared" si="94"/>
        <v>438138</v>
      </c>
      <c r="U743" s="1035"/>
      <c r="V743" s="690"/>
      <c r="W743" s="1025"/>
      <c r="X743" s="1030"/>
      <c r="Y743" s="694">
        <f t="shared" si="95"/>
        <v>0</v>
      </c>
      <c r="Z743" s="690"/>
      <c r="AA743" s="690"/>
      <c r="AB743" s="695">
        <f t="shared" si="96"/>
        <v>0</v>
      </c>
      <c r="AC743" s="1035"/>
      <c r="AD743" s="690"/>
      <c r="AE743" s="1025"/>
      <c r="AF743" s="1030"/>
      <c r="AG743" s="690"/>
      <c r="AH743" s="690"/>
      <c r="AI743" s="696">
        <f t="shared" si="97"/>
        <v>438138</v>
      </c>
      <c r="AJ743" s="697">
        <f t="shared" si="98"/>
        <v>438138</v>
      </c>
    </row>
    <row r="744" spans="1:36" s="700" customFormat="1" ht="12.75" customHeight="1">
      <c r="A744" s="755" t="s">
        <v>209</v>
      </c>
      <c r="B744" s="755" t="s">
        <v>394</v>
      </c>
      <c r="C744" s="759" t="s">
        <v>716</v>
      </c>
      <c r="D744" s="759"/>
      <c r="E744" s="760">
        <v>134097</v>
      </c>
      <c r="F744" s="763">
        <v>1</v>
      </c>
      <c r="G744" s="1025"/>
      <c r="H744" s="690"/>
      <c r="I744" s="1030">
        <v>208111</v>
      </c>
      <c r="J744" s="690"/>
      <c r="K744" s="1030"/>
      <c r="L744" s="690"/>
      <c r="M744" s="1025"/>
      <c r="N744" s="1030"/>
      <c r="O744" s="692">
        <f t="shared" si="91"/>
        <v>0</v>
      </c>
      <c r="P744" s="690"/>
      <c r="Q744" s="690"/>
      <c r="R744" s="691">
        <f t="shared" si="92"/>
        <v>0</v>
      </c>
      <c r="S744" s="692">
        <f t="shared" si="93"/>
        <v>208111</v>
      </c>
      <c r="T744" s="693">
        <f t="shared" si="94"/>
        <v>0</v>
      </c>
      <c r="U744" s="1035"/>
      <c r="V744" s="690"/>
      <c r="W744" s="1025"/>
      <c r="X744" s="1030"/>
      <c r="Y744" s="694">
        <f t="shared" si="95"/>
        <v>0</v>
      </c>
      <c r="Z744" s="690"/>
      <c r="AA744" s="690"/>
      <c r="AB744" s="695">
        <f t="shared" si="96"/>
        <v>0</v>
      </c>
      <c r="AC744" s="1035"/>
      <c r="AD744" s="690"/>
      <c r="AE744" s="1025"/>
      <c r="AF744" s="1030"/>
      <c r="AG744" s="690"/>
      <c r="AH744" s="690"/>
      <c r="AI744" s="696">
        <f t="shared" si="97"/>
        <v>208111</v>
      </c>
      <c r="AJ744" s="697">
        <f t="shared" si="98"/>
        <v>0</v>
      </c>
    </row>
    <row r="745" spans="1:36" s="700" customFormat="1" ht="12.75" customHeight="1">
      <c r="A745" s="755" t="s">
        <v>209</v>
      </c>
      <c r="B745" s="755" t="s">
        <v>394</v>
      </c>
      <c r="C745" s="759" t="s">
        <v>717</v>
      </c>
      <c r="D745" s="759"/>
      <c r="E745" s="760">
        <v>134097</v>
      </c>
      <c r="F745" s="763">
        <v>1</v>
      </c>
      <c r="G745" s="1025"/>
      <c r="H745" s="690"/>
      <c r="I745" s="1030">
        <v>15882022</v>
      </c>
      <c r="J745" s="690">
        <f>11128155+4753867</f>
        <v>15882022</v>
      </c>
      <c r="K745" s="1030"/>
      <c r="L745" s="690"/>
      <c r="M745" s="1025"/>
      <c r="N745" s="1030"/>
      <c r="O745" s="692">
        <f t="shared" si="91"/>
        <v>0</v>
      </c>
      <c r="P745" s="690"/>
      <c r="Q745" s="690"/>
      <c r="R745" s="691">
        <f t="shared" si="92"/>
        <v>0</v>
      </c>
      <c r="S745" s="692">
        <f t="shared" si="93"/>
        <v>15882022</v>
      </c>
      <c r="T745" s="693">
        <f t="shared" si="94"/>
        <v>15882022</v>
      </c>
      <c r="U745" s="1035"/>
      <c r="V745" s="690"/>
      <c r="W745" s="1025"/>
      <c r="X745" s="1030"/>
      <c r="Y745" s="694">
        <f t="shared" si="95"/>
        <v>0</v>
      </c>
      <c r="Z745" s="690"/>
      <c r="AA745" s="690"/>
      <c r="AB745" s="695">
        <f t="shared" si="96"/>
        <v>0</v>
      </c>
      <c r="AC745" s="1035"/>
      <c r="AD745" s="690"/>
      <c r="AE745" s="1025"/>
      <c r="AF745" s="1030"/>
      <c r="AG745" s="690"/>
      <c r="AH745" s="690"/>
      <c r="AI745" s="696">
        <f t="shared" si="97"/>
        <v>15882022</v>
      </c>
      <c r="AJ745" s="697">
        <f t="shared" si="98"/>
        <v>15882022</v>
      </c>
    </row>
    <row r="746" spans="1:36" s="700" customFormat="1" ht="12.75" customHeight="1">
      <c r="A746" s="755" t="s">
        <v>209</v>
      </c>
      <c r="B746" s="755" t="s">
        <v>394</v>
      </c>
      <c r="C746" s="759" t="s">
        <v>718</v>
      </c>
      <c r="D746" s="759"/>
      <c r="E746" s="760">
        <v>134097</v>
      </c>
      <c r="F746" s="763">
        <v>1</v>
      </c>
      <c r="G746" s="1025"/>
      <c r="H746" s="690"/>
      <c r="I746" s="1030"/>
      <c r="J746" s="690"/>
      <c r="K746" s="1030"/>
      <c r="L746" s="690"/>
      <c r="M746" s="1025"/>
      <c r="N746" s="1030"/>
      <c r="O746" s="692">
        <f t="shared" si="91"/>
        <v>0</v>
      </c>
      <c r="P746" s="690"/>
      <c r="Q746" s="690"/>
      <c r="R746" s="691">
        <f t="shared" si="92"/>
        <v>0</v>
      </c>
      <c r="S746" s="692">
        <f t="shared" si="93"/>
        <v>0</v>
      </c>
      <c r="T746" s="693">
        <f t="shared" si="94"/>
        <v>0</v>
      </c>
      <c r="U746" s="1035"/>
      <c r="V746" s="690"/>
      <c r="W746" s="1025"/>
      <c r="X746" s="1030"/>
      <c r="Y746" s="694">
        <f t="shared" si="95"/>
        <v>0</v>
      </c>
      <c r="Z746" s="690"/>
      <c r="AA746" s="690"/>
      <c r="AB746" s="695">
        <f t="shared" si="96"/>
        <v>0</v>
      </c>
      <c r="AC746" s="1035"/>
      <c r="AD746" s="690"/>
      <c r="AE746" s="1025"/>
      <c r="AF746" s="1030"/>
      <c r="AG746" s="690"/>
      <c r="AH746" s="690"/>
      <c r="AI746" s="696">
        <f t="shared" si="97"/>
        <v>0</v>
      </c>
      <c r="AJ746" s="697">
        <f t="shared" si="98"/>
        <v>0</v>
      </c>
    </row>
    <row r="747" spans="1:36" s="700" customFormat="1" ht="12.75" customHeight="1">
      <c r="A747" s="755" t="s">
        <v>209</v>
      </c>
      <c r="B747" s="755" t="s">
        <v>399</v>
      </c>
      <c r="C747" s="761" t="s">
        <v>441</v>
      </c>
      <c r="D747" s="761"/>
      <c r="E747" s="760">
        <v>134097</v>
      </c>
      <c r="F747" s="763">
        <v>1</v>
      </c>
      <c r="G747" s="1025"/>
      <c r="H747" s="690"/>
      <c r="I747" s="1030"/>
      <c r="J747" s="690"/>
      <c r="K747" s="1030"/>
      <c r="L747" s="690"/>
      <c r="M747" s="1025"/>
      <c r="N747" s="1030"/>
      <c r="O747" s="692">
        <f t="shared" si="91"/>
        <v>0</v>
      </c>
      <c r="P747" s="690"/>
      <c r="Q747" s="690"/>
      <c r="R747" s="691">
        <f t="shared" si="92"/>
        <v>0</v>
      </c>
      <c r="S747" s="692">
        <f t="shared" si="93"/>
        <v>0</v>
      </c>
      <c r="T747" s="693">
        <f t="shared" si="94"/>
        <v>0</v>
      </c>
      <c r="U747" s="1035"/>
      <c r="V747" s="690"/>
      <c r="W747" s="1025"/>
      <c r="X747" s="1030"/>
      <c r="Y747" s="694">
        <f t="shared" si="95"/>
        <v>0</v>
      </c>
      <c r="Z747" s="690"/>
      <c r="AA747" s="690"/>
      <c r="AB747" s="695">
        <f t="shared" si="96"/>
        <v>0</v>
      </c>
      <c r="AC747" s="1035"/>
      <c r="AD747" s="690"/>
      <c r="AE747" s="1025"/>
      <c r="AF747" s="1030"/>
      <c r="AG747" s="690"/>
      <c r="AH747" s="690"/>
      <c r="AI747" s="696">
        <f t="shared" si="97"/>
        <v>0</v>
      </c>
      <c r="AJ747" s="697">
        <f t="shared" si="98"/>
        <v>0</v>
      </c>
    </row>
    <row r="748" spans="1:36" s="700" customFormat="1" ht="12.75" customHeight="1">
      <c r="A748" s="755" t="s">
        <v>209</v>
      </c>
      <c r="B748" s="755" t="s">
        <v>399</v>
      </c>
      <c r="C748" s="759" t="s">
        <v>719</v>
      </c>
      <c r="D748" s="759"/>
      <c r="E748" s="760">
        <v>134097</v>
      </c>
      <c r="F748" s="763">
        <v>1</v>
      </c>
      <c r="G748" s="1025"/>
      <c r="H748" s="690"/>
      <c r="I748" s="1030"/>
      <c r="J748" s="690"/>
      <c r="K748" s="1030"/>
      <c r="L748" s="690"/>
      <c r="M748" s="1025"/>
      <c r="N748" s="1030"/>
      <c r="O748" s="692">
        <f t="shared" si="91"/>
        <v>0</v>
      </c>
      <c r="P748" s="690"/>
      <c r="Q748" s="690"/>
      <c r="R748" s="691">
        <f t="shared" si="92"/>
        <v>0</v>
      </c>
      <c r="S748" s="692">
        <f t="shared" si="93"/>
        <v>0</v>
      </c>
      <c r="T748" s="693">
        <f t="shared" si="94"/>
        <v>0</v>
      </c>
      <c r="U748" s="1035"/>
      <c r="V748" s="690"/>
      <c r="W748" s="1025"/>
      <c r="X748" s="1030"/>
      <c r="Y748" s="694">
        <f t="shared" si="95"/>
        <v>0</v>
      </c>
      <c r="Z748" s="690"/>
      <c r="AA748" s="690"/>
      <c r="AB748" s="695">
        <f t="shared" si="96"/>
        <v>0</v>
      </c>
      <c r="AC748" s="1035"/>
      <c r="AD748" s="690"/>
      <c r="AE748" s="1025"/>
      <c r="AF748" s="1030"/>
      <c r="AG748" s="690"/>
      <c r="AH748" s="690"/>
      <c r="AI748" s="696">
        <f t="shared" si="97"/>
        <v>0</v>
      </c>
      <c r="AJ748" s="697">
        <f t="shared" si="98"/>
        <v>0</v>
      </c>
    </row>
    <row r="749" spans="1:36" s="700" customFormat="1" ht="12.75" customHeight="1">
      <c r="A749" s="755" t="s">
        <v>209</v>
      </c>
      <c r="B749" s="755" t="s">
        <v>399</v>
      </c>
      <c r="C749" s="759" t="s">
        <v>720</v>
      </c>
      <c r="D749" s="759"/>
      <c r="E749" s="760">
        <v>134097</v>
      </c>
      <c r="F749" s="763">
        <v>1</v>
      </c>
      <c r="G749" s="1025"/>
      <c r="H749" s="690"/>
      <c r="I749" s="1030"/>
      <c r="J749" s="690"/>
      <c r="K749" s="1030"/>
      <c r="L749" s="690"/>
      <c r="M749" s="1025"/>
      <c r="N749" s="1030"/>
      <c r="O749" s="692">
        <f t="shared" si="91"/>
        <v>0</v>
      </c>
      <c r="P749" s="690"/>
      <c r="Q749" s="690"/>
      <c r="R749" s="691">
        <f t="shared" si="92"/>
        <v>0</v>
      </c>
      <c r="S749" s="692">
        <f t="shared" si="93"/>
        <v>0</v>
      </c>
      <c r="T749" s="693">
        <f t="shared" si="94"/>
        <v>0</v>
      </c>
      <c r="U749" s="1035"/>
      <c r="V749" s="690"/>
      <c r="W749" s="1025"/>
      <c r="X749" s="1030"/>
      <c r="Y749" s="694">
        <f t="shared" si="95"/>
        <v>0</v>
      </c>
      <c r="Z749" s="690"/>
      <c r="AA749" s="690"/>
      <c r="AB749" s="695">
        <f t="shared" si="96"/>
        <v>0</v>
      </c>
      <c r="AC749" s="1035"/>
      <c r="AD749" s="690"/>
      <c r="AE749" s="1025"/>
      <c r="AF749" s="1030"/>
      <c r="AG749" s="690"/>
      <c r="AH749" s="690"/>
      <c r="AI749" s="696">
        <f t="shared" si="97"/>
        <v>0</v>
      </c>
      <c r="AJ749" s="697">
        <f t="shared" si="98"/>
        <v>0</v>
      </c>
    </row>
    <row r="750" spans="1:36" s="700" customFormat="1" ht="12.75" customHeight="1">
      <c r="A750" s="755" t="s">
        <v>209</v>
      </c>
      <c r="B750" s="755" t="s">
        <v>392</v>
      </c>
      <c r="C750" s="762" t="s">
        <v>721</v>
      </c>
      <c r="D750" s="762"/>
      <c r="E750" s="760">
        <v>132903</v>
      </c>
      <c r="F750" s="763">
        <v>1</v>
      </c>
      <c r="G750" s="1025">
        <f>207120495+24474865-2070760-1699468</f>
        <v>227825132</v>
      </c>
      <c r="H750" s="690">
        <f>209069469+28365482</f>
        <v>237434951</v>
      </c>
      <c r="I750" s="1030"/>
      <c r="J750" s="690"/>
      <c r="K750" s="1030"/>
      <c r="L750" s="690"/>
      <c r="M750" s="1025">
        <f>168137950-4658224</f>
        <v>163479726</v>
      </c>
      <c r="N750" s="1030">
        <v>4658224</v>
      </c>
      <c r="O750" s="692">
        <f t="shared" si="91"/>
        <v>168137950</v>
      </c>
      <c r="P750" s="690">
        <f>186966910-5143294</f>
        <v>181823616</v>
      </c>
      <c r="Q750" s="690">
        <v>5143294</v>
      </c>
      <c r="R750" s="691">
        <f t="shared" si="92"/>
        <v>186966910</v>
      </c>
      <c r="S750" s="692">
        <f t="shared" si="93"/>
        <v>391304858</v>
      </c>
      <c r="T750" s="693">
        <f t="shared" si="94"/>
        <v>419258567</v>
      </c>
      <c r="U750" s="1035"/>
      <c r="V750" s="690"/>
      <c r="W750" s="1025"/>
      <c r="X750" s="1030"/>
      <c r="Y750" s="694">
        <f t="shared" si="95"/>
        <v>0</v>
      </c>
      <c r="Z750" s="690"/>
      <c r="AA750" s="690"/>
      <c r="AB750" s="695">
        <f t="shared" si="96"/>
        <v>0</v>
      </c>
      <c r="AC750" s="1035"/>
      <c r="AD750" s="690"/>
      <c r="AE750" s="1025"/>
      <c r="AF750" s="1030"/>
      <c r="AG750" s="690"/>
      <c r="AH750" s="690"/>
      <c r="AI750" s="696">
        <f t="shared" si="97"/>
        <v>391304858</v>
      </c>
      <c r="AJ750" s="697">
        <f t="shared" si="98"/>
        <v>419258567</v>
      </c>
    </row>
    <row r="751" spans="1:36" s="700" customFormat="1" ht="12.75" customHeight="1">
      <c r="A751" s="755" t="s">
        <v>209</v>
      </c>
      <c r="B751" s="755" t="s">
        <v>392</v>
      </c>
      <c r="C751" s="759" t="s">
        <v>711</v>
      </c>
      <c r="D751" s="759"/>
      <c r="E751" s="760">
        <v>132903</v>
      </c>
      <c r="F751" s="763">
        <v>1</v>
      </c>
      <c r="G751" s="1025"/>
      <c r="H751" s="690"/>
      <c r="I751" s="1030">
        <v>2070760</v>
      </c>
      <c r="J751" s="690">
        <v>2019778</v>
      </c>
      <c r="K751" s="1030"/>
      <c r="L751" s="690"/>
      <c r="M751" s="1025"/>
      <c r="N751" s="1030"/>
      <c r="O751" s="692">
        <f t="shared" si="91"/>
        <v>0</v>
      </c>
      <c r="P751" s="690"/>
      <c r="Q751" s="690"/>
      <c r="R751" s="691">
        <f t="shared" si="92"/>
        <v>0</v>
      </c>
      <c r="S751" s="692">
        <f t="shared" si="93"/>
        <v>2070760</v>
      </c>
      <c r="T751" s="693">
        <f t="shared" si="94"/>
        <v>2019778</v>
      </c>
      <c r="U751" s="1035"/>
      <c r="V751" s="690"/>
      <c r="W751" s="1025"/>
      <c r="X751" s="1030"/>
      <c r="Y751" s="694">
        <f t="shared" si="95"/>
        <v>0</v>
      </c>
      <c r="Z751" s="690"/>
      <c r="AA751" s="690"/>
      <c r="AB751" s="695">
        <f t="shared" si="96"/>
        <v>0</v>
      </c>
      <c r="AC751" s="1035"/>
      <c r="AD751" s="690"/>
      <c r="AE751" s="1025"/>
      <c r="AF751" s="1030"/>
      <c r="AG751" s="690"/>
      <c r="AH751" s="690"/>
      <c r="AI751" s="696">
        <f t="shared" si="97"/>
        <v>2070760</v>
      </c>
      <c r="AJ751" s="697">
        <f t="shared" si="98"/>
        <v>2019778</v>
      </c>
    </row>
    <row r="752" spans="1:36" s="700" customFormat="1" ht="12.75" customHeight="1">
      <c r="A752" s="755" t="s">
        <v>209</v>
      </c>
      <c r="B752" s="755" t="s">
        <v>392</v>
      </c>
      <c r="C752" s="759" t="s">
        <v>712</v>
      </c>
      <c r="D752" s="759"/>
      <c r="E752" s="760">
        <v>132903</v>
      </c>
      <c r="F752" s="763">
        <v>1</v>
      </c>
      <c r="G752" s="1025"/>
      <c r="H752" s="690"/>
      <c r="I752" s="1030">
        <v>1699468</v>
      </c>
      <c r="J752" s="690">
        <v>1699468</v>
      </c>
      <c r="K752" s="1030"/>
      <c r="L752" s="690"/>
      <c r="M752" s="1025"/>
      <c r="N752" s="1030"/>
      <c r="O752" s="692">
        <f t="shared" si="91"/>
        <v>0</v>
      </c>
      <c r="P752" s="690"/>
      <c r="Q752" s="690"/>
      <c r="R752" s="691">
        <f t="shared" si="92"/>
        <v>0</v>
      </c>
      <c r="S752" s="692">
        <f t="shared" si="93"/>
        <v>1699468</v>
      </c>
      <c r="T752" s="693">
        <f t="shared" si="94"/>
        <v>1699468</v>
      </c>
      <c r="U752" s="1035"/>
      <c r="V752" s="690"/>
      <c r="W752" s="1025"/>
      <c r="X752" s="1030"/>
      <c r="Y752" s="694">
        <f t="shared" si="95"/>
        <v>0</v>
      </c>
      <c r="Z752" s="690"/>
      <c r="AA752" s="690"/>
      <c r="AB752" s="695">
        <f t="shared" si="96"/>
        <v>0</v>
      </c>
      <c r="AC752" s="1035"/>
      <c r="AD752" s="690"/>
      <c r="AE752" s="1025"/>
      <c r="AF752" s="1030"/>
      <c r="AG752" s="690"/>
      <c r="AH752" s="690"/>
      <c r="AI752" s="696">
        <f t="shared" si="97"/>
        <v>1699468</v>
      </c>
      <c r="AJ752" s="697">
        <f t="shared" si="98"/>
        <v>1699468</v>
      </c>
    </row>
    <row r="753" spans="1:36" s="700" customFormat="1" ht="12.75" customHeight="1">
      <c r="A753" s="755" t="s">
        <v>209</v>
      </c>
      <c r="B753" s="755" t="s">
        <v>408</v>
      </c>
      <c r="C753" s="759" t="s">
        <v>713</v>
      </c>
      <c r="D753" s="759"/>
      <c r="E753" s="760">
        <v>132903</v>
      </c>
      <c r="F753" s="763">
        <v>1</v>
      </c>
      <c r="G753" s="1025"/>
      <c r="H753" s="690"/>
      <c r="I753" s="1030"/>
      <c r="J753" s="690"/>
      <c r="K753" s="1030"/>
      <c r="L753" s="690"/>
      <c r="M753" s="1025"/>
      <c r="N753" s="1030"/>
      <c r="O753" s="692">
        <f t="shared" si="91"/>
        <v>0</v>
      </c>
      <c r="P753" s="690"/>
      <c r="Q753" s="690"/>
      <c r="R753" s="691">
        <f t="shared" si="92"/>
        <v>0</v>
      </c>
      <c r="S753" s="692">
        <f t="shared" si="93"/>
        <v>0</v>
      </c>
      <c r="T753" s="693">
        <f t="shared" si="94"/>
        <v>0</v>
      </c>
      <c r="U753" s="1035"/>
      <c r="V753" s="690"/>
      <c r="W753" s="1025"/>
      <c r="X753" s="1030"/>
      <c r="Y753" s="694">
        <f t="shared" si="95"/>
        <v>0</v>
      </c>
      <c r="Z753" s="690"/>
      <c r="AA753" s="690"/>
      <c r="AB753" s="695">
        <f t="shared" si="96"/>
        <v>0</v>
      </c>
      <c r="AC753" s="1035">
        <v>18309829</v>
      </c>
      <c r="AD753" s="690">
        <v>20710194</v>
      </c>
      <c r="AE753" s="1025">
        <v>957185</v>
      </c>
      <c r="AF753" s="1030"/>
      <c r="AG753" s="690">
        <v>2317185</v>
      </c>
      <c r="AH753" s="690"/>
      <c r="AI753" s="696">
        <f t="shared" si="97"/>
        <v>19267014</v>
      </c>
      <c r="AJ753" s="697">
        <f t="shared" si="98"/>
        <v>23027379</v>
      </c>
    </row>
    <row r="754" spans="1:36" s="700" customFormat="1" ht="12.75" customHeight="1">
      <c r="A754" s="755" t="s">
        <v>209</v>
      </c>
      <c r="B754" s="755" t="s">
        <v>394</v>
      </c>
      <c r="C754" s="761" t="s">
        <v>451</v>
      </c>
      <c r="D754" s="761"/>
      <c r="E754" s="760">
        <v>132903</v>
      </c>
      <c r="F754" s="763">
        <v>1</v>
      </c>
      <c r="G754" s="1025"/>
      <c r="H754" s="690"/>
      <c r="I754" s="1030"/>
      <c r="J754" s="690"/>
      <c r="K754" s="1030"/>
      <c r="L754" s="690"/>
      <c r="M754" s="1025"/>
      <c r="N754" s="1030"/>
      <c r="O754" s="692">
        <f t="shared" si="91"/>
        <v>0</v>
      </c>
      <c r="P754" s="690"/>
      <c r="Q754" s="690"/>
      <c r="R754" s="691">
        <f t="shared" si="92"/>
        <v>0</v>
      </c>
      <c r="S754" s="692">
        <f t="shared" si="93"/>
        <v>0</v>
      </c>
      <c r="T754" s="693">
        <f t="shared" si="94"/>
        <v>0</v>
      </c>
      <c r="U754" s="1035"/>
      <c r="V754" s="690"/>
      <c r="W754" s="1025"/>
      <c r="X754" s="1030"/>
      <c r="Y754" s="694">
        <f t="shared" si="95"/>
        <v>0</v>
      </c>
      <c r="Z754" s="690"/>
      <c r="AA754" s="690"/>
      <c r="AB754" s="695">
        <f t="shared" si="96"/>
        <v>0</v>
      </c>
      <c r="AC754" s="1035"/>
      <c r="AD754" s="690"/>
      <c r="AE754" s="1025"/>
      <c r="AF754" s="1030"/>
      <c r="AG754" s="690"/>
      <c r="AH754" s="690"/>
      <c r="AI754" s="696">
        <f t="shared" si="97"/>
        <v>0</v>
      </c>
      <c r="AJ754" s="697">
        <f t="shared" si="98"/>
        <v>0</v>
      </c>
    </row>
    <row r="755" spans="1:36" s="700" customFormat="1" ht="12.75" customHeight="1">
      <c r="A755" s="755" t="s">
        <v>209</v>
      </c>
      <c r="B755" s="755" t="s">
        <v>394</v>
      </c>
      <c r="C755" s="759" t="s">
        <v>722</v>
      </c>
      <c r="D755" s="759"/>
      <c r="E755" s="760">
        <v>132903</v>
      </c>
      <c r="F755" s="763">
        <v>1</v>
      </c>
      <c r="G755" s="1025"/>
      <c r="H755" s="690"/>
      <c r="I755" s="1030">
        <v>885209</v>
      </c>
      <c r="J755" s="690">
        <v>885209</v>
      </c>
      <c r="K755" s="1030"/>
      <c r="L755" s="690"/>
      <c r="M755" s="1025"/>
      <c r="N755" s="1030"/>
      <c r="O755" s="692">
        <f t="shared" si="91"/>
        <v>0</v>
      </c>
      <c r="P755" s="690"/>
      <c r="Q755" s="690"/>
      <c r="R755" s="691">
        <f t="shared" si="92"/>
        <v>0</v>
      </c>
      <c r="S755" s="692">
        <f t="shared" si="93"/>
        <v>885209</v>
      </c>
      <c r="T755" s="693">
        <f t="shared" si="94"/>
        <v>885209</v>
      </c>
      <c r="U755" s="1035"/>
      <c r="V755" s="690"/>
      <c r="W755" s="1025"/>
      <c r="X755" s="1030"/>
      <c r="Y755" s="694">
        <f t="shared" si="95"/>
        <v>0</v>
      </c>
      <c r="Z755" s="690"/>
      <c r="AA755" s="690"/>
      <c r="AB755" s="695">
        <f t="shared" si="96"/>
        <v>0</v>
      </c>
      <c r="AC755" s="1035"/>
      <c r="AD755" s="690"/>
      <c r="AE755" s="1025"/>
      <c r="AF755" s="1030"/>
      <c r="AG755" s="690"/>
      <c r="AH755" s="690"/>
      <c r="AI755" s="696">
        <f t="shared" si="97"/>
        <v>885209</v>
      </c>
      <c r="AJ755" s="697">
        <f t="shared" si="98"/>
        <v>885209</v>
      </c>
    </row>
    <row r="756" spans="1:36" s="700" customFormat="1" ht="12.75" customHeight="1">
      <c r="A756" s="755" t="s">
        <v>209</v>
      </c>
      <c r="B756" s="755" t="s">
        <v>399</v>
      </c>
      <c r="C756" s="761" t="s">
        <v>441</v>
      </c>
      <c r="D756" s="761"/>
      <c r="E756" s="760">
        <v>132903</v>
      </c>
      <c r="F756" s="763">
        <v>1</v>
      </c>
      <c r="G756" s="1025"/>
      <c r="H756" s="690"/>
      <c r="I756" s="1030"/>
      <c r="J756" s="690"/>
      <c r="K756" s="1030"/>
      <c r="L756" s="690"/>
      <c r="M756" s="1025"/>
      <c r="N756" s="1030"/>
      <c r="O756" s="692">
        <f t="shared" si="91"/>
        <v>0</v>
      </c>
      <c r="P756" s="690"/>
      <c r="Q756" s="690"/>
      <c r="R756" s="691">
        <f t="shared" si="92"/>
        <v>0</v>
      </c>
      <c r="S756" s="692">
        <f t="shared" si="93"/>
        <v>0</v>
      </c>
      <c r="T756" s="693">
        <f t="shared" si="94"/>
        <v>0</v>
      </c>
      <c r="U756" s="1035"/>
      <c r="V756" s="690"/>
      <c r="W756" s="1025"/>
      <c r="X756" s="1030"/>
      <c r="Y756" s="694">
        <f t="shared" si="95"/>
        <v>0</v>
      </c>
      <c r="Z756" s="690"/>
      <c r="AA756" s="690"/>
      <c r="AB756" s="695">
        <f t="shared" si="96"/>
        <v>0</v>
      </c>
      <c r="AC756" s="1035"/>
      <c r="AD756" s="690"/>
      <c r="AE756" s="1025"/>
      <c r="AF756" s="1030"/>
      <c r="AG756" s="690"/>
      <c r="AH756" s="690"/>
      <c r="AI756" s="696">
        <f t="shared" si="97"/>
        <v>0</v>
      </c>
      <c r="AJ756" s="697">
        <f t="shared" si="98"/>
        <v>0</v>
      </c>
    </row>
    <row r="757" spans="1:36" s="700" customFormat="1" ht="12.75" customHeight="1">
      <c r="A757" s="755" t="s">
        <v>209</v>
      </c>
      <c r="B757" s="755" t="s">
        <v>399</v>
      </c>
      <c r="C757" s="759" t="s">
        <v>720</v>
      </c>
      <c r="D757" s="759"/>
      <c r="E757" s="760">
        <v>132903</v>
      </c>
      <c r="F757" s="763">
        <v>1</v>
      </c>
      <c r="G757" s="1025"/>
      <c r="H757" s="690"/>
      <c r="I757" s="1030"/>
      <c r="J757" s="690"/>
      <c r="K757" s="1030"/>
      <c r="L757" s="690"/>
      <c r="M757" s="1025"/>
      <c r="N757" s="1030"/>
      <c r="O757" s="692">
        <f t="shared" si="91"/>
        <v>0</v>
      </c>
      <c r="P757" s="690"/>
      <c r="Q757" s="690"/>
      <c r="R757" s="691">
        <f t="shared" si="92"/>
        <v>0</v>
      </c>
      <c r="S757" s="692">
        <f t="shared" si="93"/>
        <v>0</v>
      </c>
      <c r="T757" s="693">
        <f t="shared" si="94"/>
        <v>0</v>
      </c>
      <c r="U757" s="1035"/>
      <c r="V757" s="690"/>
      <c r="W757" s="1025"/>
      <c r="X757" s="1030"/>
      <c r="Y757" s="694">
        <f t="shared" si="95"/>
        <v>0</v>
      </c>
      <c r="Z757" s="690"/>
      <c r="AA757" s="690"/>
      <c r="AB757" s="695">
        <f t="shared" si="96"/>
        <v>0</v>
      </c>
      <c r="AC757" s="1035"/>
      <c r="AD757" s="690"/>
      <c r="AE757" s="1025"/>
      <c r="AF757" s="1030"/>
      <c r="AG757" s="690"/>
      <c r="AH757" s="690"/>
      <c r="AI757" s="696">
        <f t="shared" si="97"/>
        <v>0</v>
      </c>
      <c r="AJ757" s="697">
        <f t="shared" si="98"/>
        <v>0</v>
      </c>
    </row>
    <row r="758" spans="1:36" s="700" customFormat="1" ht="12.75" customHeight="1">
      <c r="A758" s="755" t="s">
        <v>209</v>
      </c>
      <c r="B758" s="755" t="s">
        <v>392</v>
      </c>
      <c r="C758" s="762" t="s">
        <v>723</v>
      </c>
      <c r="D758" s="762"/>
      <c r="E758" s="760">
        <v>134130</v>
      </c>
      <c r="F758" s="763">
        <v>1</v>
      </c>
      <c r="G758" s="1025">
        <f>294295159+30696528-4191140-1942369</f>
        <v>318858178</v>
      </c>
      <c r="H758" s="690">
        <f>293536350+37111742</f>
        <v>330648092</v>
      </c>
      <c r="I758" s="1030"/>
      <c r="J758" s="690"/>
      <c r="K758" s="1030"/>
      <c r="L758" s="690"/>
      <c r="M758" s="1025">
        <f>236045879-4431880</f>
        <v>231613999</v>
      </c>
      <c r="N758" s="1030">
        <v>4431880</v>
      </c>
      <c r="O758" s="692">
        <f t="shared" si="91"/>
        <v>236045879</v>
      </c>
      <c r="P758" s="690">
        <f>268812868-4182244</f>
        <v>264630624</v>
      </c>
      <c r="Q758" s="690">
        <v>4182244</v>
      </c>
      <c r="R758" s="691">
        <f t="shared" si="92"/>
        <v>268812868</v>
      </c>
      <c r="S758" s="692">
        <f t="shared" si="93"/>
        <v>550472177</v>
      </c>
      <c r="T758" s="693">
        <f t="shared" si="94"/>
        <v>595278716</v>
      </c>
      <c r="U758" s="1035"/>
      <c r="V758" s="690"/>
      <c r="W758" s="1025"/>
      <c r="X758" s="1030"/>
      <c r="Y758" s="694">
        <f t="shared" si="95"/>
        <v>0</v>
      </c>
      <c r="Z758" s="690"/>
      <c r="AA758" s="690"/>
      <c r="AB758" s="695">
        <f t="shared" si="96"/>
        <v>0</v>
      </c>
      <c r="AC758" s="1035"/>
      <c r="AD758" s="690"/>
      <c r="AE758" s="1025"/>
      <c r="AF758" s="1030"/>
      <c r="AG758" s="690"/>
      <c r="AH758" s="690"/>
      <c r="AI758" s="696">
        <f t="shared" si="97"/>
        <v>550472177</v>
      </c>
      <c r="AJ758" s="697">
        <f t="shared" si="98"/>
        <v>595278716</v>
      </c>
    </row>
    <row r="759" spans="1:36" s="700" customFormat="1" ht="12.75" customHeight="1">
      <c r="A759" s="755" t="s">
        <v>209</v>
      </c>
      <c r="B759" s="755" t="s">
        <v>392</v>
      </c>
      <c r="C759" s="759" t="s">
        <v>711</v>
      </c>
      <c r="D759" s="759"/>
      <c r="E759" s="760">
        <v>134130</v>
      </c>
      <c r="F759" s="763">
        <v>1</v>
      </c>
      <c r="G759" s="1025"/>
      <c r="H759" s="690"/>
      <c r="I759" s="1030">
        <v>4191140</v>
      </c>
      <c r="J759" s="690">
        <v>4087954</v>
      </c>
      <c r="K759" s="1030"/>
      <c r="L759" s="690"/>
      <c r="M759" s="1025"/>
      <c r="N759" s="1030"/>
      <c r="O759" s="692">
        <f t="shared" si="91"/>
        <v>0</v>
      </c>
      <c r="P759" s="690"/>
      <c r="Q759" s="690"/>
      <c r="R759" s="691">
        <f t="shared" si="92"/>
        <v>0</v>
      </c>
      <c r="S759" s="692">
        <f t="shared" si="93"/>
        <v>4191140</v>
      </c>
      <c r="T759" s="693">
        <f t="shared" si="94"/>
        <v>4087954</v>
      </c>
      <c r="U759" s="1035"/>
      <c r="V759" s="690"/>
      <c r="W759" s="1025"/>
      <c r="X759" s="1030"/>
      <c r="Y759" s="694">
        <f t="shared" si="95"/>
        <v>0</v>
      </c>
      <c r="Z759" s="690"/>
      <c r="AA759" s="690"/>
      <c r="AB759" s="695">
        <f t="shared" si="96"/>
        <v>0</v>
      </c>
      <c r="AC759" s="1035"/>
      <c r="AD759" s="690"/>
      <c r="AE759" s="1025"/>
      <c r="AF759" s="1030"/>
      <c r="AG759" s="690"/>
      <c r="AH759" s="690"/>
      <c r="AI759" s="696">
        <f t="shared" si="97"/>
        <v>4191140</v>
      </c>
      <c r="AJ759" s="697">
        <f t="shared" si="98"/>
        <v>4087954</v>
      </c>
    </row>
    <row r="760" spans="1:36" s="700" customFormat="1" ht="12.75" customHeight="1">
      <c r="A760" s="755" t="s">
        <v>209</v>
      </c>
      <c r="B760" s="755" t="s">
        <v>392</v>
      </c>
      <c r="C760" s="759" t="s">
        <v>712</v>
      </c>
      <c r="D760" s="759"/>
      <c r="E760" s="760">
        <v>134130</v>
      </c>
      <c r="F760" s="763">
        <v>1</v>
      </c>
      <c r="G760" s="1025"/>
      <c r="H760" s="690"/>
      <c r="I760" s="1030">
        <v>1942369</v>
      </c>
      <c r="J760" s="690">
        <v>1942369</v>
      </c>
      <c r="K760" s="1030"/>
      <c r="L760" s="690"/>
      <c r="M760" s="1025"/>
      <c r="N760" s="1030"/>
      <c r="O760" s="692">
        <f t="shared" si="91"/>
        <v>0</v>
      </c>
      <c r="P760" s="690"/>
      <c r="Q760" s="690"/>
      <c r="R760" s="691">
        <f t="shared" si="92"/>
        <v>0</v>
      </c>
      <c r="S760" s="692">
        <f t="shared" si="93"/>
        <v>1942369</v>
      </c>
      <c r="T760" s="693">
        <f t="shared" si="94"/>
        <v>1942369</v>
      </c>
      <c r="U760" s="1035"/>
      <c r="V760" s="690"/>
      <c r="W760" s="1025"/>
      <c r="X760" s="1030"/>
      <c r="Y760" s="694">
        <f t="shared" si="95"/>
        <v>0</v>
      </c>
      <c r="Z760" s="690"/>
      <c r="AA760" s="690"/>
      <c r="AB760" s="695">
        <f t="shared" si="96"/>
        <v>0</v>
      </c>
      <c r="AC760" s="1035">
        <v>1230419</v>
      </c>
      <c r="AD760" s="690">
        <v>1562458</v>
      </c>
      <c r="AE760" s="1025"/>
      <c r="AF760" s="1030"/>
      <c r="AG760" s="690"/>
      <c r="AH760" s="690"/>
      <c r="AI760" s="696">
        <f t="shared" si="97"/>
        <v>3172788</v>
      </c>
      <c r="AJ760" s="697">
        <f t="shared" si="98"/>
        <v>3504827</v>
      </c>
    </row>
    <row r="761" spans="1:36" s="700" customFormat="1" ht="12.75" customHeight="1">
      <c r="A761" s="755" t="s">
        <v>209</v>
      </c>
      <c r="B761" s="755" t="s">
        <v>408</v>
      </c>
      <c r="C761" s="759" t="s">
        <v>713</v>
      </c>
      <c r="D761" s="759"/>
      <c r="E761" s="760">
        <v>134130</v>
      </c>
      <c r="F761" s="763">
        <v>1</v>
      </c>
      <c r="G761" s="1025"/>
      <c r="H761" s="690"/>
      <c r="I761" s="1030"/>
      <c r="J761" s="690"/>
      <c r="K761" s="1030"/>
      <c r="L761" s="690"/>
      <c r="M761" s="1025"/>
      <c r="N761" s="1030"/>
      <c r="O761" s="692">
        <f t="shared" si="91"/>
        <v>0</v>
      </c>
      <c r="P761" s="690"/>
      <c r="Q761" s="690"/>
      <c r="R761" s="691">
        <f t="shared" si="92"/>
        <v>0</v>
      </c>
      <c r="S761" s="692">
        <f t="shared" si="93"/>
        <v>0</v>
      </c>
      <c r="T761" s="693">
        <f t="shared" si="94"/>
        <v>0</v>
      </c>
      <c r="U761" s="1035"/>
      <c r="V761" s="690"/>
      <c r="W761" s="1025"/>
      <c r="X761" s="1030"/>
      <c r="Y761" s="694">
        <f t="shared" si="95"/>
        <v>0</v>
      </c>
      <c r="Z761" s="690"/>
      <c r="AA761" s="690"/>
      <c r="AB761" s="695">
        <f t="shared" si="96"/>
        <v>0</v>
      </c>
      <c r="AC761" s="1035">
        <f>90935276+5796416</f>
        <v>96731692</v>
      </c>
      <c r="AD761" s="690">
        <f>98129743+5796416-1562458</f>
        <v>102363701</v>
      </c>
      <c r="AE761" s="1025">
        <v>29613302</v>
      </c>
      <c r="AF761" s="1030"/>
      <c r="AG761" s="690">
        <v>32075356</v>
      </c>
      <c r="AH761" s="690"/>
      <c r="AI761" s="696">
        <f t="shared" si="97"/>
        <v>126344994</v>
      </c>
      <c r="AJ761" s="697">
        <f t="shared" si="98"/>
        <v>134439057</v>
      </c>
    </row>
    <row r="762" spans="1:36" s="700" customFormat="1" ht="12.75" customHeight="1">
      <c r="A762" s="755" t="s">
        <v>209</v>
      </c>
      <c r="B762" s="755" t="s">
        <v>408</v>
      </c>
      <c r="C762" s="759" t="s">
        <v>715</v>
      </c>
      <c r="D762" s="759"/>
      <c r="E762" s="760">
        <v>134130</v>
      </c>
      <c r="F762" s="763">
        <v>1</v>
      </c>
      <c r="G762" s="1025"/>
      <c r="H762" s="690"/>
      <c r="I762" s="1030"/>
      <c r="J762" s="690"/>
      <c r="K762" s="1030"/>
      <c r="L762" s="690"/>
      <c r="M762" s="1025"/>
      <c r="N762" s="1030"/>
      <c r="O762" s="692">
        <f t="shared" si="91"/>
        <v>0</v>
      </c>
      <c r="P762" s="690"/>
      <c r="Q762" s="690"/>
      <c r="R762" s="691">
        <f t="shared" si="92"/>
        <v>0</v>
      </c>
      <c r="S762" s="692">
        <f t="shared" si="93"/>
        <v>0</v>
      </c>
      <c r="T762" s="693">
        <f t="shared" si="94"/>
        <v>0</v>
      </c>
      <c r="U762" s="1035"/>
      <c r="V762" s="690"/>
      <c r="W762" s="1025"/>
      <c r="X762" s="1030"/>
      <c r="Y762" s="694">
        <f t="shared" si="95"/>
        <v>0</v>
      </c>
      <c r="Z762" s="690"/>
      <c r="AA762" s="690"/>
      <c r="AB762" s="695">
        <f t="shared" si="96"/>
        <v>0</v>
      </c>
      <c r="AC762" s="1035">
        <v>716817</v>
      </c>
      <c r="AD762" s="690">
        <v>716817</v>
      </c>
      <c r="AE762" s="1025"/>
      <c r="AF762" s="1030"/>
      <c r="AG762" s="690"/>
      <c r="AH762" s="690"/>
      <c r="AI762" s="696">
        <f t="shared" si="97"/>
        <v>716817</v>
      </c>
      <c r="AJ762" s="697">
        <f t="shared" si="98"/>
        <v>716817</v>
      </c>
    </row>
    <row r="763" spans="1:36" s="700" customFormat="1" ht="12.75" customHeight="1">
      <c r="A763" s="755" t="s">
        <v>209</v>
      </c>
      <c r="B763" s="755" t="s">
        <v>408</v>
      </c>
      <c r="C763" s="759" t="s">
        <v>724</v>
      </c>
      <c r="D763" s="759"/>
      <c r="E763" s="760">
        <v>134130</v>
      </c>
      <c r="F763" s="763">
        <v>1</v>
      </c>
      <c r="G763" s="1025"/>
      <c r="H763" s="690"/>
      <c r="I763" s="1030"/>
      <c r="J763" s="690"/>
      <c r="K763" s="1030"/>
      <c r="L763" s="690"/>
      <c r="M763" s="1025"/>
      <c r="N763" s="1030"/>
      <c r="O763" s="692">
        <f t="shared" si="91"/>
        <v>0</v>
      </c>
      <c r="P763" s="690"/>
      <c r="Q763" s="690"/>
      <c r="R763" s="691">
        <f t="shared" si="92"/>
        <v>0</v>
      </c>
      <c r="S763" s="692">
        <f t="shared" si="93"/>
        <v>0</v>
      </c>
      <c r="T763" s="693">
        <f t="shared" si="94"/>
        <v>0</v>
      </c>
      <c r="U763" s="1035"/>
      <c r="V763" s="690"/>
      <c r="W763" s="1025"/>
      <c r="X763" s="1030"/>
      <c r="Y763" s="694">
        <f t="shared" si="95"/>
        <v>0</v>
      </c>
      <c r="Z763" s="690"/>
      <c r="AA763" s="690"/>
      <c r="AB763" s="695">
        <f t="shared" si="96"/>
        <v>0</v>
      </c>
      <c r="AC763" s="1035">
        <v>746999</v>
      </c>
      <c r="AD763" s="690">
        <v>746999</v>
      </c>
      <c r="AE763" s="1025"/>
      <c r="AF763" s="1030"/>
      <c r="AG763" s="690"/>
      <c r="AH763" s="690"/>
      <c r="AI763" s="696">
        <f t="shared" si="97"/>
        <v>746999</v>
      </c>
      <c r="AJ763" s="697">
        <f t="shared" si="98"/>
        <v>746999</v>
      </c>
    </row>
    <row r="764" spans="1:36" s="700" customFormat="1" ht="12.75" customHeight="1">
      <c r="A764" s="755" t="s">
        <v>209</v>
      </c>
      <c r="B764" s="755" t="s">
        <v>394</v>
      </c>
      <c r="C764" s="761" t="s">
        <v>451</v>
      </c>
      <c r="D764" s="761"/>
      <c r="E764" s="760">
        <v>134130</v>
      </c>
      <c r="F764" s="763">
        <v>1</v>
      </c>
      <c r="G764" s="1025"/>
      <c r="H764" s="690"/>
      <c r="I764" s="1030">
        <v>466719</v>
      </c>
      <c r="J764" s="690">
        <v>466719</v>
      </c>
      <c r="K764" s="1030"/>
      <c r="L764" s="690"/>
      <c r="M764" s="1025"/>
      <c r="N764" s="1030"/>
      <c r="O764" s="692">
        <f t="shared" si="91"/>
        <v>0</v>
      </c>
      <c r="P764" s="690"/>
      <c r="Q764" s="690"/>
      <c r="R764" s="691">
        <f t="shared" si="92"/>
        <v>0</v>
      </c>
      <c r="S764" s="692">
        <f t="shared" si="93"/>
        <v>466719</v>
      </c>
      <c r="T764" s="693">
        <f t="shared" si="94"/>
        <v>466719</v>
      </c>
      <c r="U764" s="1035"/>
      <c r="V764" s="690"/>
      <c r="W764" s="1025"/>
      <c r="X764" s="1030"/>
      <c r="Y764" s="694">
        <f t="shared" si="95"/>
        <v>0</v>
      </c>
      <c r="Z764" s="690"/>
      <c r="AA764" s="690"/>
      <c r="AB764" s="695">
        <f t="shared" si="96"/>
        <v>0</v>
      </c>
      <c r="AC764" s="1035">
        <v>546125</v>
      </c>
      <c r="AD764" s="690">
        <v>546125</v>
      </c>
      <c r="AE764" s="1025"/>
      <c r="AF764" s="1030"/>
      <c r="AG764" s="690"/>
      <c r="AH764" s="690"/>
      <c r="AI764" s="696">
        <f t="shared" si="97"/>
        <v>1012844</v>
      </c>
      <c r="AJ764" s="697">
        <f t="shared" si="98"/>
        <v>1012844</v>
      </c>
    </row>
    <row r="765" spans="1:36" s="700" customFormat="1" ht="12.75" customHeight="1">
      <c r="A765" s="755" t="s">
        <v>209</v>
      </c>
      <c r="B765" s="755" t="s">
        <v>394</v>
      </c>
      <c r="C765" s="759" t="s">
        <v>717</v>
      </c>
      <c r="D765" s="759"/>
      <c r="E765" s="760">
        <v>134130</v>
      </c>
      <c r="F765" s="763">
        <v>1</v>
      </c>
      <c r="G765" s="1025"/>
      <c r="H765" s="690"/>
      <c r="I765" s="1030">
        <v>7821680</v>
      </c>
      <c r="J765" s="690">
        <v>7821680</v>
      </c>
      <c r="K765" s="1030"/>
      <c r="L765" s="690"/>
      <c r="M765" s="1025"/>
      <c r="N765" s="1030"/>
      <c r="O765" s="692">
        <f t="shared" si="91"/>
        <v>0</v>
      </c>
      <c r="P765" s="690"/>
      <c r="Q765" s="690"/>
      <c r="R765" s="691">
        <f t="shared" si="92"/>
        <v>0</v>
      </c>
      <c r="S765" s="692">
        <f t="shared" si="93"/>
        <v>7821680</v>
      </c>
      <c r="T765" s="693">
        <f t="shared" si="94"/>
        <v>7821680</v>
      </c>
      <c r="U765" s="1035"/>
      <c r="V765" s="690"/>
      <c r="W765" s="1025"/>
      <c r="X765" s="1030"/>
      <c r="Y765" s="694">
        <f t="shared" si="95"/>
        <v>0</v>
      </c>
      <c r="Z765" s="690"/>
      <c r="AA765" s="690"/>
      <c r="AB765" s="695">
        <f t="shared" si="96"/>
        <v>0</v>
      </c>
      <c r="AC765" s="1035"/>
      <c r="AD765" s="690"/>
      <c r="AE765" s="1025"/>
      <c r="AF765" s="1030"/>
      <c r="AG765" s="690"/>
      <c r="AH765" s="690"/>
      <c r="AI765" s="696">
        <f t="shared" si="97"/>
        <v>7821680</v>
      </c>
      <c r="AJ765" s="697">
        <f t="shared" si="98"/>
        <v>7821680</v>
      </c>
    </row>
    <row r="766" spans="1:36" s="700" customFormat="1" ht="12.75" customHeight="1">
      <c r="A766" s="755" t="s">
        <v>209</v>
      </c>
      <c r="B766" s="755" t="s">
        <v>396</v>
      </c>
      <c r="C766" s="761" t="s">
        <v>385</v>
      </c>
      <c r="D766" s="761"/>
      <c r="E766" s="760">
        <v>134130</v>
      </c>
      <c r="F766" s="763">
        <v>1</v>
      </c>
      <c r="G766" s="1025"/>
      <c r="H766" s="690"/>
      <c r="I766" s="1030">
        <v>123592756</v>
      </c>
      <c r="J766" s="690">
        <v>118097713</v>
      </c>
      <c r="K766" s="1030"/>
      <c r="L766" s="690"/>
      <c r="M766" s="1025"/>
      <c r="N766" s="1030"/>
      <c r="O766" s="692">
        <f t="shared" si="91"/>
        <v>0</v>
      </c>
      <c r="P766" s="690"/>
      <c r="Q766" s="690"/>
      <c r="R766" s="691">
        <f t="shared" si="92"/>
        <v>0</v>
      </c>
      <c r="S766" s="692">
        <f t="shared" si="93"/>
        <v>123592756</v>
      </c>
      <c r="T766" s="693">
        <f t="shared" si="94"/>
        <v>118097713</v>
      </c>
      <c r="U766" s="1035"/>
      <c r="V766" s="690"/>
      <c r="W766" s="1025"/>
      <c r="X766" s="1030"/>
      <c r="Y766" s="694">
        <f t="shared" si="95"/>
        <v>0</v>
      </c>
      <c r="Z766" s="690"/>
      <c r="AA766" s="690"/>
      <c r="AB766" s="695">
        <f t="shared" si="96"/>
        <v>0</v>
      </c>
      <c r="AC766" s="1035"/>
      <c r="AD766" s="690"/>
      <c r="AE766" s="1025"/>
      <c r="AF766" s="1030"/>
      <c r="AG766" s="690"/>
      <c r="AH766" s="690"/>
      <c r="AI766" s="696">
        <f t="shared" si="97"/>
        <v>123592756</v>
      </c>
      <c r="AJ766" s="697">
        <f t="shared" si="98"/>
        <v>118097713</v>
      </c>
    </row>
    <row r="767" spans="1:36" s="700" customFormat="1" ht="12.75" customHeight="1">
      <c r="A767" s="755" t="s">
        <v>209</v>
      </c>
      <c r="B767" s="755" t="s">
        <v>399</v>
      </c>
      <c r="C767" s="761" t="s">
        <v>441</v>
      </c>
      <c r="D767" s="761"/>
      <c r="E767" s="760">
        <v>134130</v>
      </c>
      <c r="F767" s="763">
        <v>1</v>
      </c>
      <c r="G767" s="1025"/>
      <c r="H767" s="690"/>
      <c r="I767" s="1030"/>
      <c r="J767" s="690"/>
      <c r="K767" s="1030"/>
      <c r="L767" s="690"/>
      <c r="M767" s="1025"/>
      <c r="N767" s="1030"/>
      <c r="O767" s="692">
        <f t="shared" si="91"/>
        <v>0</v>
      </c>
      <c r="P767" s="690"/>
      <c r="Q767" s="690"/>
      <c r="R767" s="691">
        <f t="shared" si="92"/>
        <v>0</v>
      </c>
      <c r="S767" s="692">
        <f t="shared" si="93"/>
        <v>0</v>
      </c>
      <c r="T767" s="693">
        <f t="shared" si="94"/>
        <v>0</v>
      </c>
      <c r="U767" s="1035"/>
      <c r="V767" s="690"/>
      <c r="W767" s="1025"/>
      <c r="X767" s="1030"/>
      <c r="Y767" s="694">
        <f t="shared" si="95"/>
        <v>0</v>
      </c>
      <c r="Z767" s="690"/>
      <c r="AA767" s="690"/>
      <c r="AB767" s="695">
        <f t="shared" si="96"/>
        <v>0</v>
      </c>
      <c r="AC767" s="1035"/>
      <c r="AD767" s="690"/>
      <c r="AE767" s="1025"/>
      <c r="AF767" s="1030"/>
      <c r="AG767" s="690"/>
      <c r="AH767" s="690"/>
      <c r="AI767" s="696">
        <f t="shared" si="97"/>
        <v>0</v>
      </c>
      <c r="AJ767" s="697">
        <f t="shared" si="98"/>
        <v>0</v>
      </c>
    </row>
    <row r="768" spans="1:36" s="700" customFormat="1" ht="12.75" customHeight="1">
      <c r="A768" s="755" t="s">
        <v>209</v>
      </c>
      <c r="B768" s="755" t="s">
        <v>399</v>
      </c>
      <c r="C768" s="759" t="s">
        <v>720</v>
      </c>
      <c r="D768" s="759"/>
      <c r="E768" s="760">
        <v>134130</v>
      </c>
      <c r="F768" s="763">
        <v>1</v>
      </c>
      <c r="G768" s="1025"/>
      <c r="H768" s="690"/>
      <c r="I768" s="1030"/>
      <c r="J768" s="690"/>
      <c r="K768" s="1030"/>
      <c r="L768" s="690"/>
      <c r="M768" s="1025"/>
      <c r="N768" s="1030"/>
      <c r="O768" s="692">
        <f t="shared" si="91"/>
        <v>0</v>
      </c>
      <c r="P768" s="690"/>
      <c r="Q768" s="690"/>
      <c r="R768" s="691">
        <f t="shared" si="92"/>
        <v>0</v>
      </c>
      <c r="S768" s="692">
        <f t="shared" si="93"/>
        <v>0</v>
      </c>
      <c r="T768" s="693">
        <f t="shared" si="94"/>
        <v>0</v>
      </c>
      <c r="U768" s="1035"/>
      <c r="V768" s="690"/>
      <c r="W768" s="1025"/>
      <c r="X768" s="1030"/>
      <c r="Y768" s="694">
        <f t="shared" si="95"/>
        <v>0</v>
      </c>
      <c r="Z768" s="690"/>
      <c r="AA768" s="690"/>
      <c r="AB768" s="695">
        <f t="shared" si="96"/>
        <v>0</v>
      </c>
      <c r="AC768" s="1035"/>
      <c r="AD768" s="690"/>
      <c r="AE768" s="1025"/>
      <c r="AF768" s="1030"/>
      <c r="AG768" s="690"/>
      <c r="AH768" s="690"/>
      <c r="AI768" s="696">
        <f t="shared" si="97"/>
        <v>0</v>
      </c>
      <c r="AJ768" s="697">
        <f t="shared" si="98"/>
        <v>0</v>
      </c>
    </row>
    <row r="769" spans="1:36" s="700" customFormat="1" ht="12.75" customHeight="1">
      <c r="A769" s="755" t="s">
        <v>209</v>
      </c>
      <c r="B769" s="755" t="s">
        <v>392</v>
      </c>
      <c r="C769" s="762" t="s">
        <v>725</v>
      </c>
      <c r="D769" s="762"/>
      <c r="E769" s="760">
        <v>137351</v>
      </c>
      <c r="F769" s="763">
        <v>1</v>
      </c>
      <c r="G769" s="1025">
        <f>171699639+24269747+21096364+1156995+11091336+1005093+12765780+341913-2053783-2347571</f>
        <v>239025513</v>
      </c>
      <c r="H769" s="690">
        <f>171993801+28519975+21261850+1246408+10923331+1052503+28501397+439620</f>
        <v>263938885</v>
      </c>
      <c r="I769" s="1030"/>
      <c r="J769" s="690"/>
      <c r="K769" s="1030"/>
      <c r="L769" s="690"/>
      <c r="M769" s="1025">
        <f>144910701-4247451</f>
        <v>140663250</v>
      </c>
      <c r="N769" s="1030">
        <v>4247451</v>
      </c>
      <c r="O769" s="692">
        <f t="shared" si="91"/>
        <v>144910701</v>
      </c>
      <c r="P769" s="690">
        <f>126976848+13946403+6985775+5169001-4405744</f>
        <v>148672283</v>
      </c>
      <c r="Q769" s="690">
        <v>4405744</v>
      </c>
      <c r="R769" s="691">
        <f t="shared" si="92"/>
        <v>153078027</v>
      </c>
      <c r="S769" s="692">
        <f t="shared" si="93"/>
        <v>379688763</v>
      </c>
      <c r="T769" s="693">
        <f t="shared" si="94"/>
        <v>412611168</v>
      </c>
      <c r="U769" s="1035"/>
      <c r="V769" s="690"/>
      <c r="W769" s="1025"/>
      <c r="X769" s="1030"/>
      <c r="Y769" s="694">
        <f t="shared" si="95"/>
        <v>0</v>
      </c>
      <c r="Z769" s="690"/>
      <c r="AA769" s="690"/>
      <c r="AB769" s="695">
        <f t="shared" si="96"/>
        <v>0</v>
      </c>
      <c r="AC769" s="1035"/>
      <c r="AD769" s="690"/>
      <c r="AE769" s="1025"/>
      <c r="AF769" s="1030"/>
      <c r="AG769" s="690"/>
      <c r="AH769" s="690"/>
      <c r="AI769" s="696">
        <f t="shared" si="97"/>
        <v>379688763</v>
      </c>
      <c r="AJ769" s="697">
        <f t="shared" si="98"/>
        <v>412611168</v>
      </c>
    </row>
    <row r="770" spans="1:36" s="700" customFormat="1" ht="12.75" customHeight="1">
      <c r="A770" s="755" t="s">
        <v>209</v>
      </c>
      <c r="B770" s="755" t="s">
        <v>392</v>
      </c>
      <c r="C770" s="759" t="s">
        <v>711</v>
      </c>
      <c r="D770" s="759"/>
      <c r="E770" s="760">
        <v>137351</v>
      </c>
      <c r="F770" s="763">
        <v>1</v>
      </c>
      <c r="G770" s="1025"/>
      <c r="H770" s="690"/>
      <c r="I770" s="1030">
        <v>2053783</v>
      </c>
      <c r="J770" s="690">
        <v>2003219</v>
      </c>
      <c r="K770" s="1030"/>
      <c r="L770" s="690"/>
      <c r="M770" s="1025"/>
      <c r="N770" s="1030"/>
      <c r="O770" s="692">
        <f t="shared" si="91"/>
        <v>0</v>
      </c>
      <c r="P770" s="690"/>
      <c r="Q770" s="690"/>
      <c r="R770" s="691">
        <f t="shared" si="92"/>
        <v>0</v>
      </c>
      <c r="S770" s="692">
        <f t="shared" si="93"/>
        <v>2053783</v>
      </c>
      <c r="T770" s="693">
        <f t="shared" si="94"/>
        <v>2003219</v>
      </c>
      <c r="U770" s="1035"/>
      <c r="V770" s="690"/>
      <c r="W770" s="1025"/>
      <c r="X770" s="1030"/>
      <c r="Y770" s="694">
        <f t="shared" si="95"/>
        <v>0</v>
      </c>
      <c r="Z770" s="690"/>
      <c r="AA770" s="690"/>
      <c r="AB770" s="695">
        <f t="shared" si="96"/>
        <v>0</v>
      </c>
      <c r="AC770" s="1035"/>
      <c r="AD770" s="690"/>
      <c r="AE770" s="1025"/>
      <c r="AF770" s="1030"/>
      <c r="AG770" s="690"/>
      <c r="AH770" s="690"/>
      <c r="AI770" s="696">
        <f t="shared" si="97"/>
        <v>2053783</v>
      </c>
      <c r="AJ770" s="697">
        <f t="shared" si="98"/>
        <v>2003219</v>
      </c>
    </row>
    <row r="771" spans="1:36" s="700" customFormat="1" ht="12.75" customHeight="1">
      <c r="A771" s="755" t="s">
        <v>209</v>
      </c>
      <c r="B771" s="755" t="s">
        <v>392</v>
      </c>
      <c r="C771" s="759" t="s">
        <v>712</v>
      </c>
      <c r="D771" s="759"/>
      <c r="E771" s="760">
        <v>137351</v>
      </c>
      <c r="F771" s="763">
        <v>1</v>
      </c>
      <c r="G771" s="1025"/>
      <c r="H771" s="690"/>
      <c r="I771" s="1030">
        <v>2347571</v>
      </c>
      <c r="J771" s="690">
        <f>2343416+4155</f>
        <v>2347571</v>
      </c>
      <c r="K771" s="1030"/>
      <c r="L771" s="690"/>
      <c r="M771" s="1025"/>
      <c r="N771" s="1030"/>
      <c r="O771" s="692">
        <f t="shared" si="91"/>
        <v>0</v>
      </c>
      <c r="P771" s="690"/>
      <c r="Q771" s="690"/>
      <c r="R771" s="691">
        <f t="shared" si="92"/>
        <v>0</v>
      </c>
      <c r="S771" s="692">
        <f t="shared" si="93"/>
        <v>2347571</v>
      </c>
      <c r="T771" s="693">
        <f t="shared" si="94"/>
        <v>2347571</v>
      </c>
      <c r="U771" s="1035"/>
      <c r="V771" s="690"/>
      <c r="W771" s="1025"/>
      <c r="X771" s="1030"/>
      <c r="Y771" s="694">
        <f t="shared" si="95"/>
        <v>0</v>
      </c>
      <c r="Z771" s="690"/>
      <c r="AA771" s="690"/>
      <c r="AB771" s="695">
        <f t="shared" si="96"/>
        <v>0</v>
      </c>
      <c r="AC771" s="1035">
        <v>226275</v>
      </c>
      <c r="AD771" s="690">
        <v>310240</v>
      </c>
      <c r="AE771" s="1025"/>
      <c r="AF771" s="1030"/>
      <c r="AG771" s="690"/>
      <c r="AH771" s="690"/>
      <c r="AI771" s="696">
        <f t="shared" si="97"/>
        <v>2573846</v>
      </c>
      <c r="AJ771" s="697">
        <f t="shared" si="98"/>
        <v>2657811</v>
      </c>
    </row>
    <row r="772" spans="1:36" s="700" customFormat="1" ht="12.75" customHeight="1">
      <c r="A772" s="755" t="s">
        <v>209</v>
      </c>
      <c r="B772" s="755" t="s">
        <v>408</v>
      </c>
      <c r="C772" s="759" t="s">
        <v>713</v>
      </c>
      <c r="D772" s="759"/>
      <c r="E772" s="760">
        <v>137351</v>
      </c>
      <c r="F772" s="763">
        <v>1</v>
      </c>
      <c r="G772" s="1025"/>
      <c r="H772" s="690"/>
      <c r="I772" s="1030"/>
      <c r="J772" s="690"/>
      <c r="K772" s="1030"/>
      <c r="L772" s="690"/>
      <c r="M772" s="1025"/>
      <c r="N772" s="1030"/>
      <c r="O772" s="692">
        <f t="shared" si="91"/>
        <v>0</v>
      </c>
      <c r="P772" s="690"/>
      <c r="Q772" s="690"/>
      <c r="R772" s="691">
        <f t="shared" si="92"/>
        <v>0</v>
      </c>
      <c r="S772" s="692">
        <f t="shared" si="93"/>
        <v>0</v>
      </c>
      <c r="T772" s="693">
        <f t="shared" si="94"/>
        <v>0</v>
      </c>
      <c r="U772" s="1035"/>
      <c r="V772" s="690"/>
      <c r="W772" s="1025"/>
      <c r="X772" s="1030"/>
      <c r="Y772" s="694">
        <f t="shared" si="95"/>
        <v>0</v>
      </c>
      <c r="Z772" s="690"/>
      <c r="AA772" s="690"/>
      <c r="AB772" s="695">
        <f t="shared" si="96"/>
        <v>0</v>
      </c>
      <c r="AC772" s="1035">
        <f>53113089+8436061</f>
        <v>61549150</v>
      </c>
      <c r="AD772" s="690">
        <f>54537720+8461475-310240</f>
        <v>62688955</v>
      </c>
      <c r="AE772" s="1025">
        <v>23051685</v>
      </c>
      <c r="AF772" s="1030"/>
      <c r="AG772" s="690">
        <v>37050046</v>
      </c>
      <c r="AH772" s="690"/>
      <c r="AI772" s="696">
        <f t="shared" si="97"/>
        <v>84600835</v>
      </c>
      <c r="AJ772" s="697">
        <f t="shared" si="98"/>
        <v>99739001</v>
      </c>
    </row>
    <row r="773" spans="1:36" s="700" customFormat="1" ht="12.75" customHeight="1">
      <c r="A773" s="755" t="s">
        <v>209</v>
      </c>
      <c r="B773" s="755" t="s">
        <v>399</v>
      </c>
      <c r="C773" s="761" t="s">
        <v>441</v>
      </c>
      <c r="D773" s="761"/>
      <c r="E773" s="760">
        <v>137351</v>
      </c>
      <c r="F773" s="763">
        <v>1</v>
      </c>
      <c r="G773" s="1025"/>
      <c r="H773" s="690"/>
      <c r="I773" s="1030">
        <v>458092</v>
      </c>
      <c r="J773" s="690">
        <v>458092</v>
      </c>
      <c r="K773" s="1030"/>
      <c r="L773" s="690"/>
      <c r="M773" s="1025"/>
      <c r="N773" s="1030"/>
      <c r="O773" s="692">
        <f t="shared" si="91"/>
        <v>0</v>
      </c>
      <c r="P773" s="690"/>
      <c r="Q773" s="690"/>
      <c r="R773" s="691">
        <f t="shared" si="92"/>
        <v>0</v>
      </c>
      <c r="S773" s="692">
        <f t="shared" si="93"/>
        <v>458092</v>
      </c>
      <c r="T773" s="693">
        <f t="shared" si="94"/>
        <v>458092</v>
      </c>
      <c r="U773" s="1035"/>
      <c r="V773" s="690"/>
      <c r="W773" s="1025"/>
      <c r="X773" s="1030"/>
      <c r="Y773" s="694">
        <f t="shared" si="95"/>
        <v>0</v>
      </c>
      <c r="Z773" s="690"/>
      <c r="AA773" s="690"/>
      <c r="AB773" s="695">
        <f t="shared" si="96"/>
        <v>0</v>
      </c>
      <c r="AC773" s="1035"/>
      <c r="AD773" s="690"/>
      <c r="AE773" s="1025"/>
      <c r="AF773" s="1030"/>
      <c r="AG773" s="690"/>
      <c r="AH773" s="690"/>
      <c r="AI773" s="696">
        <f t="shared" si="97"/>
        <v>458092</v>
      </c>
      <c r="AJ773" s="697">
        <f t="shared" si="98"/>
        <v>458092</v>
      </c>
    </row>
    <row r="774" spans="1:36" s="700" customFormat="1" ht="12.75" customHeight="1">
      <c r="A774" s="755" t="s">
        <v>209</v>
      </c>
      <c r="B774" s="755" t="s">
        <v>399</v>
      </c>
      <c r="C774" s="759" t="s">
        <v>726</v>
      </c>
      <c r="D774" s="759"/>
      <c r="E774" s="760">
        <v>137351</v>
      </c>
      <c r="F774" s="763">
        <v>1</v>
      </c>
      <c r="G774" s="1025"/>
      <c r="H774" s="690"/>
      <c r="I774" s="1030">
        <v>7299033</v>
      </c>
      <c r="J774" s="690">
        <v>7308009</v>
      </c>
      <c r="K774" s="1030"/>
      <c r="L774" s="690"/>
      <c r="M774" s="1025"/>
      <c r="N774" s="1030"/>
      <c r="O774" s="692">
        <f t="shared" si="91"/>
        <v>0</v>
      </c>
      <c r="P774" s="690"/>
      <c r="Q774" s="690"/>
      <c r="R774" s="691">
        <f t="shared" si="92"/>
        <v>0</v>
      </c>
      <c r="S774" s="692">
        <f t="shared" si="93"/>
        <v>7299033</v>
      </c>
      <c r="T774" s="693">
        <f t="shared" si="94"/>
        <v>7308009</v>
      </c>
      <c r="U774" s="1035"/>
      <c r="V774" s="690"/>
      <c r="W774" s="1025"/>
      <c r="X774" s="1030"/>
      <c r="Y774" s="694">
        <f t="shared" si="95"/>
        <v>0</v>
      </c>
      <c r="Z774" s="690"/>
      <c r="AA774" s="690"/>
      <c r="AB774" s="695">
        <f t="shared" si="96"/>
        <v>0</v>
      </c>
      <c r="AC774" s="1035"/>
      <c r="AD774" s="690"/>
      <c r="AE774" s="1025"/>
      <c r="AF774" s="1030"/>
      <c r="AG774" s="690"/>
      <c r="AH774" s="690"/>
      <c r="AI774" s="696">
        <f t="shared" si="97"/>
        <v>7299033</v>
      </c>
      <c r="AJ774" s="697">
        <f t="shared" si="98"/>
        <v>7308009</v>
      </c>
    </row>
    <row r="775" spans="1:36" s="700" customFormat="1" ht="12.75" customHeight="1">
      <c r="A775" s="755" t="s">
        <v>209</v>
      </c>
      <c r="B775" s="755" t="s">
        <v>400</v>
      </c>
      <c r="C775" s="761" t="s">
        <v>484</v>
      </c>
      <c r="D775" s="761"/>
      <c r="E775" s="760">
        <v>137351</v>
      </c>
      <c r="F775" s="763">
        <v>1</v>
      </c>
      <c r="G775" s="1025"/>
      <c r="H775" s="690"/>
      <c r="I775" s="1030"/>
      <c r="J775" s="690"/>
      <c r="K775" s="1030"/>
      <c r="L775" s="690"/>
      <c r="M775" s="1025"/>
      <c r="N775" s="1030"/>
      <c r="O775" s="692">
        <f t="shared" si="91"/>
        <v>0</v>
      </c>
      <c r="P775" s="690"/>
      <c r="Q775" s="690"/>
      <c r="R775" s="691">
        <f t="shared" si="92"/>
        <v>0</v>
      </c>
      <c r="S775" s="692">
        <f t="shared" si="93"/>
        <v>0</v>
      </c>
      <c r="T775" s="693">
        <f t="shared" si="94"/>
        <v>0</v>
      </c>
      <c r="U775" s="1035"/>
      <c r="V775" s="690"/>
      <c r="W775" s="1025"/>
      <c r="X775" s="1030"/>
      <c r="Y775" s="694">
        <f t="shared" si="95"/>
        <v>0</v>
      </c>
      <c r="Z775" s="690"/>
      <c r="AA775" s="690"/>
      <c r="AB775" s="695">
        <f t="shared" si="96"/>
        <v>0</v>
      </c>
      <c r="AC775" s="1035"/>
      <c r="AD775" s="690"/>
      <c r="AE775" s="1025"/>
      <c r="AF775" s="1030"/>
      <c r="AG775" s="690"/>
      <c r="AH775" s="690"/>
      <c r="AI775" s="696">
        <f t="shared" si="97"/>
        <v>0</v>
      </c>
      <c r="AJ775" s="697">
        <f t="shared" si="98"/>
        <v>0</v>
      </c>
    </row>
    <row r="776" spans="1:36" s="700" customFormat="1" ht="12.75" customHeight="1">
      <c r="A776" s="755" t="s">
        <v>209</v>
      </c>
      <c r="B776" s="755" t="s">
        <v>400</v>
      </c>
      <c r="C776" s="759" t="s">
        <v>727</v>
      </c>
      <c r="D776" s="759"/>
      <c r="E776" s="760">
        <v>137351</v>
      </c>
      <c r="F776" s="763">
        <v>1</v>
      </c>
      <c r="G776" s="1025"/>
      <c r="H776" s="690"/>
      <c r="I776" s="1030">
        <v>1033689</v>
      </c>
      <c r="J776" s="690">
        <v>1033689</v>
      </c>
      <c r="K776" s="1030"/>
      <c r="L776" s="690"/>
      <c r="M776" s="1025"/>
      <c r="N776" s="1030"/>
      <c r="O776" s="692">
        <f t="shared" si="91"/>
        <v>0</v>
      </c>
      <c r="P776" s="690"/>
      <c r="Q776" s="690"/>
      <c r="R776" s="691">
        <f t="shared" si="92"/>
        <v>0</v>
      </c>
      <c r="S776" s="692">
        <f t="shared" si="93"/>
        <v>1033689</v>
      </c>
      <c r="T776" s="693">
        <f t="shared" si="94"/>
        <v>1033689</v>
      </c>
      <c r="U776" s="1035"/>
      <c r="V776" s="690"/>
      <c r="W776" s="1025"/>
      <c r="X776" s="1030"/>
      <c r="Y776" s="694">
        <f t="shared" si="95"/>
        <v>0</v>
      </c>
      <c r="Z776" s="690"/>
      <c r="AA776" s="690"/>
      <c r="AB776" s="695">
        <f t="shared" si="96"/>
        <v>0</v>
      </c>
      <c r="AC776" s="1035"/>
      <c r="AD776" s="690"/>
      <c r="AE776" s="1025"/>
      <c r="AF776" s="1030"/>
      <c r="AG776" s="690"/>
      <c r="AH776" s="690"/>
      <c r="AI776" s="696">
        <f t="shared" si="97"/>
        <v>1033689</v>
      </c>
      <c r="AJ776" s="697">
        <f t="shared" si="98"/>
        <v>1033689</v>
      </c>
    </row>
    <row r="777" spans="1:36" s="700" customFormat="1" ht="12.75" customHeight="1">
      <c r="A777" s="755" t="s">
        <v>209</v>
      </c>
      <c r="B777" s="755" t="s">
        <v>399</v>
      </c>
      <c r="C777" s="759" t="s">
        <v>720</v>
      </c>
      <c r="D777" s="759"/>
      <c r="E777" s="760">
        <v>137351</v>
      </c>
      <c r="F777" s="763">
        <v>1</v>
      </c>
      <c r="G777" s="1025"/>
      <c r="H777" s="690"/>
      <c r="I777" s="1030"/>
      <c r="J777" s="690"/>
      <c r="K777" s="1030"/>
      <c r="L777" s="690"/>
      <c r="M777" s="1025"/>
      <c r="N777" s="1030"/>
      <c r="O777" s="692">
        <f t="shared" si="91"/>
        <v>0</v>
      </c>
      <c r="P777" s="690"/>
      <c r="Q777" s="690"/>
      <c r="R777" s="691">
        <f t="shared" si="92"/>
        <v>0</v>
      </c>
      <c r="S777" s="692">
        <f t="shared" si="93"/>
        <v>0</v>
      </c>
      <c r="T777" s="693">
        <f t="shared" si="94"/>
        <v>0</v>
      </c>
      <c r="U777" s="1035"/>
      <c r="V777" s="690"/>
      <c r="W777" s="1025"/>
      <c r="X777" s="1030"/>
      <c r="Y777" s="694">
        <f t="shared" si="95"/>
        <v>0</v>
      </c>
      <c r="Z777" s="690"/>
      <c r="AA777" s="690"/>
      <c r="AB777" s="695">
        <f t="shared" si="96"/>
        <v>0</v>
      </c>
      <c r="AC777" s="1035"/>
      <c r="AD777" s="690"/>
      <c r="AE777" s="1025"/>
      <c r="AF777" s="1030"/>
      <c r="AG777" s="690"/>
      <c r="AH777" s="690"/>
      <c r="AI777" s="696">
        <f t="shared" si="97"/>
        <v>0</v>
      </c>
      <c r="AJ777" s="697">
        <f t="shared" si="98"/>
        <v>0</v>
      </c>
    </row>
    <row r="778" spans="1:36" s="700" customFormat="1" ht="12.75" customHeight="1">
      <c r="A778" s="755" t="s">
        <v>209</v>
      </c>
      <c r="B778" s="755" t="s">
        <v>392</v>
      </c>
      <c r="C778" s="762" t="s">
        <v>728</v>
      </c>
      <c r="D778" s="762"/>
      <c r="E778" s="760">
        <v>133669</v>
      </c>
      <c r="F778" s="763">
        <v>2</v>
      </c>
      <c r="G778" s="1025">
        <f>139253759+14001547-964108-1529975</f>
        <v>150761223</v>
      </c>
      <c r="H778" s="690">
        <f>139233212+16411301</f>
        <v>155644513</v>
      </c>
      <c r="I778" s="1030"/>
      <c r="J778" s="690"/>
      <c r="K778" s="1030"/>
      <c r="L778" s="690"/>
      <c r="M778" s="1025">
        <f>83162724-2218734</f>
        <v>80943990</v>
      </c>
      <c r="N778" s="1030">
        <v>2218734</v>
      </c>
      <c r="O778" s="692">
        <f t="shared" ref="O778:O841" si="99">SUM(M778:N778)</f>
        <v>83162724</v>
      </c>
      <c r="P778" s="690">
        <f>89211858-2262937</f>
        <v>86948921</v>
      </c>
      <c r="Q778" s="690">
        <v>2262937</v>
      </c>
      <c r="R778" s="691">
        <f t="shared" ref="R778:R841" si="100">SUM(P778:Q778)</f>
        <v>89211858</v>
      </c>
      <c r="S778" s="692">
        <f t="shared" ref="S778:S841" si="101">SUM(G778,I778,K778,M778)</f>
        <v>231705213</v>
      </c>
      <c r="T778" s="693">
        <f t="shared" ref="T778:T841" si="102">SUM(H778,J778,L778,P778)</f>
        <v>242593434</v>
      </c>
      <c r="U778" s="1035"/>
      <c r="V778" s="690"/>
      <c r="W778" s="1025"/>
      <c r="X778" s="1030"/>
      <c r="Y778" s="694">
        <f t="shared" ref="Y778:Y841" si="103">SUM(W778:X778)</f>
        <v>0</v>
      </c>
      <c r="Z778" s="690"/>
      <c r="AA778" s="690"/>
      <c r="AB778" s="695">
        <f t="shared" ref="AB778:AB841" si="104">SUM(Z778:AA778)</f>
        <v>0</v>
      </c>
      <c r="AC778" s="1035"/>
      <c r="AD778" s="690"/>
      <c r="AE778" s="1025"/>
      <c r="AF778" s="1030"/>
      <c r="AG778" s="690"/>
      <c r="AH778" s="690"/>
      <c r="AI778" s="696">
        <f t="shared" ref="AI778:AI841" si="105">SUM(S778,U778,W778,AC778,AE778)</f>
        <v>231705213</v>
      </c>
      <c r="AJ778" s="697">
        <f t="shared" ref="AJ778:AJ841" si="106">SUM(T778,V778,Z778,AD778,AG778)</f>
        <v>242593434</v>
      </c>
    </row>
    <row r="779" spans="1:36" s="700" customFormat="1" ht="12.75" customHeight="1">
      <c r="A779" s="755" t="s">
        <v>209</v>
      </c>
      <c r="B779" s="755" t="s">
        <v>392</v>
      </c>
      <c r="C779" s="759" t="s">
        <v>711</v>
      </c>
      <c r="D779" s="759"/>
      <c r="E779" s="760">
        <v>133669</v>
      </c>
      <c r="F779" s="763">
        <v>2</v>
      </c>
      <c r="G779" s="1025"/>
      <c r="H779" s="690"/>
      <c r="I779" s="1030">
        <v>964108</v>
      </c>
      <c r="J779" s="690">
        <v>940372</v>
      </c>
      <c r="K779" s="1030"/>
      <c r="L779" s="690"/>
      <c r="M779" s="1025"/>
      <c r="N779" s="1030"/>
      <c r="O779" s="692">
        <f t="shared" si="99"/>
        <v>0</v>
      </c>
      <c r="P779" s="690"/>
      <c r="Q779" s="690"/>
      <c r="R779" s="691">
        <f t="shared" si="100"/>
        <v>0</v>
      </c>
      <c r="S779" s="692">
        <f t="shared" si="101"/>
        <v>964108</v>
      </c>
      <c r="T779" s="693">
        <f t="shared" si="102"/>
        <v>940372</v>
      </c>
      <c r="U779" s="1035"/>
      <c r="V779" s="690"/>
      <c r="W779" s="1025"/>
      <c r="X779" s="1030"/>
      <c r="Y779" s="694">
        <f t="shared" si="103"/>
        <v>0</v>
      </c>
      <c r="Z779" s="690"/>
      <c r="AA779" s="690"/>
      <c r="AB779" s="695">
        <f t="shared" si="104"/>
        <v>0</v>
      </c>
      <c r="AC779" s="1035"/>
      <c r="AD779" s="690"/>
      <c r="AE779" s="1025"/>
      <c r="AF779" s="1030"/>
      <c r="AG779" s="690"/>
      <c r="AH779" s="690"/>
      <c r="AI779" s="696">
        <f t="shared" si="105"/>
        <v>964108</v>
      </c>
      <c r="AJ779" s="697">
        <f t="shared" si="106"/>
        <v>940372</v>
      </c>
    </row>
    <row r="780" spans="1:36" s="700" customFormat="1" ht="12.75" customHeight="1">
      <c r="A780" s="755" t="s">
        <v>209</v>
      </c>
      <c r="B780" s="755" t="s">
        <v>392</v>
      </c>
      <c r="C780" s="759" t="s">
        <v>712</v>
      </c>
      <c r="D780" s="759"/>
      <c r="E780" s="760">
        <v>133669</v>
      </c>
      <c r="F780" s="763">
        <v>2</v>
      </c>
      <c r="G780" s="1025"/>
      <c r="H780" s="690"/>
      <c r="I780" s="1030">
        <v>1529975</v>
      </c>
      <c r="J780" s="690">
        <v>1529975</v>
      </c>
      <c r="K780" s="1030"/>
      <c r="L780" s="690"/>
      <c r="M780" s="1025"/>
      <c r="N780" s="1030"/>
      <c r="O780" s="692">
        <f t="shared" si="99"/>
        <v>0</v>
      </c>
      <c r="P780" s="690"/>
      <c r="Q780" s="690"/>
      <c r="R780" s="691">
        <f t="shared" si="100"/>
        <v>0</v>
      </c>
      <c r="S780" s="692">
        <f t="shared" si="101"/>
        <v>1529975</v>
      </c>
      <c r="T780" s="693">
        <f t="shared" si="102"/>
        <v>1529975</v>
      </c>
      <c r="U780" s="1035"/>
      <c r="V780" s="690"/>
      <c r="W780" s="1025"/>
      <c r="X780" s="1030"/>
      <c r="Y780" s="694">
        <f t="shared" si="103"/>
        <v>0</v>
      </c>
      <c r="Z780" s="690"/>
      <c r="AA780" s="690"/>
      <c r="AB780" s="695">
        <f t="shared" si="104"/>
        <v>0</v>
      </c>
      <c r="AC780" s="1035"/>
      <c r="AD780" s="690"/>
      <c r="AE780" s="1025"/>
      <c r="AF780" s="1030"/>
      <c r="AG780" s="690"/>
      <c r="AH780" s="690"/>
      <c r="AI780" s="696">
        <f t="shared" si="105"/>
        <v>1529975</v>
      </c>
      <c r="AJ780" s="697">
        <f t="shared" si="106"/>
        <v>1529975</v>
      </c>
    </row>
    <row r="781" spans="1:36" s="700" customFormat="1" ht="12.75" customHeight="1">
      <c r="A781" s="755" t="s">
        <v>209</v>
      </c>
      <c r="B781" s="755" t="s">
        <v>400</v>
      </c>
      <c r="C781" s="761" t="s">
        <v>484</v>
      </c>
      <c r="D781" s="761"/>
      <c r="E781" s="760">
        <v>133669</v>
      </c>
      <c r="F781" s="763">
        <v>2</v>
      </c>
      <c r="G781" s="1025"/>
      <c r="H781" s="690"/>
      <c r="I781" s="1030"/>
      <c r="J781" s="690"/>
      <c r="K781" s="1030"/>
      <c r="L781" s="690"/>
      <c r="M781" s="1025"/>
      <c r="N781" s="1030"/>
      <c r="O781" s="692">
        <f t="shared" si="99"/>
        <v>0</v>
      </c>
      <c r="P781" s="690"/>
      <c r="Q781" s="690"/>
      <c r="R781" s="691">
        <f t="shared" si="100"/>
        <v>0</v>
      </c>
      <c r="S781" s="692">
        <f t="shared" si="101"/>
        <v>0</v>
      </c>
      <c r="T781" s="693">
        <f t="shared" si="102"/>
        <v>0</v>
      </c>
      <c r="U781" s="1035"/>
      <c r="V781" s="690"/>
      <c r="W781" s="1025"/>
      <c r="X781" s="1030"/>
      <c r="Y781" s="694">
        <f t="shared" si="103"/>
        <v>0</v>
      </c>
      <c r="Z781" s="690"/>
      <c r="AA781" s="690"/>
      <c r="AB781" s="695">
        <f t="shared" si="104"/>
        <v>0</v>
      </c>
      <c r="AC781" s="1035"/>
      <c r="AD781" s="690"/>
      <c r="AE781" s="1025"/>
      <c r="AF781" s="1030"/>
      <c r="AG781" s="690"/>
      <c r="AH781" s="690"/>
      <c r="AI781" s="696">
        <f t="shared" si="105"/>
        <v>0</v>
      </c>
      <c r="AJ781" s="697">
        <f t="shared" si="106"/>
        <v>0</v>
      </c>
    </row>
    <row r="782" spans="1:36" s="700" customFormat="1" ht="12.75" customHeight="1">
      <c r="A782" s="755" t="s">
        <v>209</v>
      </c>
      <c r="B782" s="755" t="s">
        <v>400</v>
      </c>
      <c r="C782" s="759" t="s">
        <v>722</v>
      </c>
      <c r="D782" s="759"/>
      <c r="E782" s="760">
        <v>133669</v>
      </c>
      <c r="F782" s="763">
        <v>2</v>
      </c>
      <c r="G782" s="1025"/>
      <c r="H782" s="690"/>
      <c r="I782" s="1030">
        <v>560602</v>
      </c>
      <c r="J782" s="690">
        <v>560602</v>
      </c>
      <c r="K782" s="1030"/>
      <c r="L782" s="690"/>
      <c r="M782" s="1025"/>
      <c r="N782" s="1030"/>
      <c r="O782" s="692">
        <f t="shared" si="99"/>
        <v>0</v>
      </c>
      <c r="P782" s="690"/>
      <c r="Q782" s="690"/>
      <c r="R782" s="691">
        <f t="shared" si="100"/>
        <v>0</v>
      </c>
      <c r="S782" s="692">
        <f t="shared" si="101"/>
        <v>560602</v>
      </c>
      <c r="T782" s="693">
        <f t="shared" si="102"/>
        <v>560602</v>
      </c>
      <c r="U782" s="1035"/>
      <c r="V782" s="690"/>
      <c r="W782" s="1025"/>
      <c r="X782" s="1030"/>
      <c r="Y782" s="694">
        <f t="shared" si="103"/>
        <v>0</v>
      </c>
      <c r="Z782" s="690"/>
      <c r="AA782" s="690"/>
      <c r="AB782" s="695">
        <f t="shared" si="104"/>
        <v>0</v>
      </c>
      <c r="AC782" s="1035"/>
      <c r="AD782" s="690"/>
      <c r="AE782" s="1025"/>
      <c r="AF782" s="1030"/>
      <c r="AG782" s="690"/>
      <c r="AH782" s="690"/>
      <c r="AI782" s="696">
        <f t="shared" si="105"/>
        <v>560602</v>
      </c>
      <c r="AJ782" s="697">
        <f t="shared" si="106"/>
        <v>560602</v>
      </c>
    </row>
    <row r="783" spans="1:36" s="700" customFormat="1" ht="12.75" customHeight="1">
      <c r="A783" s="755" t="s">
        <v>209</v>
      </c>
      <c r="B783" s="755" t="s">
        <v>394</v>
      </c>
      <c r="C783" s="761" t="s">
        <v>451</v>
      </c>
      <c r="D783" s="761"/>
      <c r="E783" s="760">
        <v>133669</v>
      </c>
      <c r="F783" s="763">
        <v>2</v>
      </c>
      <c r="G783" s="1025"/>
      <c r="H783" s="690"/>
      <c r="I783" s="1030"/>
      <c r="J783" s="690"/>
      <c r="K783" s="1030"/>
      <c r="L783" s="690"/>
      <c r="M783" s="1025"/>
      <c r="N783" s="1030"/>
      <c r="O783" s="692">
        <f t="shared" si="99"/>
        <v>0</v>
      </c>
      <c r="P783" s="690"/>
      <c r="Q783" s="690"/>
      <c r="R783" s="691">
        <f t="shared" si="100"/>
        <v>0</v>
      </c>
      <c r="S783" s="692">
        <f t="shared" si="101"/>
        <v>0</v>
      </c>
      <c r="T783" s="693">
        <f t="shared" si="102"/>
        <v>0</v>
      </c>
      <c r="U783" s="1035"/>
      <c r="V783" s="690"/>
      <c r="W783" s="1025"/>
      <c r="X783" s="1030"/>
      <c r="Y783" s="694">
        <f t="shared" si="103"/>
        <v>0</v>
      </c>
      <c r="Z783" s="690"/>
      <c r="AA783" s="690"/>
      <c r="AB783" s="695">
        <f t="shared" si="104"/>
        <v>0</v>
      </c>
      <c r="AC783" s="1035"/>
      <c r="AD783" s="690"/>
      <c r="AE783" s="1025"/>
      <c r="AF783" s="1030"/>
      <c r="AG783" s="690"/>
      <c r="AH783" s="690"/>
      <c r="AI783" s="696">
        <f t="shared" si="105"/>
        <v>0</v>
      </c>
      <c r="AJ783" s="697">
        <f t="shared" si="106"/>
        <v>0</v>
      </c>
    </row>
    <row r="784" spans="1:36" s="700" customFormat="1" ht="12.75" customHeight="1">
      <c r="A784" s="755" t="s">
        <v>209</v>
      </c>
      <c r="B784" s="755" t="s">
        <v>394</v>
      </c>
      <c r="C784" s="759" t="s">
        <v>717</v>
      </c>
      <c r="D784" s="759"/>
      <c r="E784" s="760">
        <v>133669</v>
      </c>
      <c r="F784" s="763">
        <v>2</v>
      </c>
      <c r="G784" s="1025"/>
      <c r="H784" s="690"/>
      <c r="I784" s="1030">
        <v>14023308</v>
      </c>
      <c r="J784" s="690">
        <f>4506667+9516641</f>
        <v>14023308</v>
      </c>
      <c r="K784" s="1030"/>
      <c r="L784" s="690"/>
      <c r="M784" s="1025"/>
      <c r="N784" s="1030"/>
      <c r="O784" s="692">
        <f t="shared" si="99"/>
        <v>0</v>
      </c>
      <c r="P784" s="690"/>
      <c r="Q784" s="690"/>
      <c r="R784" s="691">
        <f t="shared" si="100"/>
        <v>0</v>
      </c>
      <c r="S784" s="692">
        <f t="shared" si="101"/>
        <v>14023308</v>
      </c>
      <c r="T784" s="693">
        <f t="shared" si="102"/>
        <v>14023308</v>
      </c>
      <c r="U784" s="1035"/>
      <c r="V784" s="690"/>
      <c r="W784" s="1025"/>
      <c r="X784" s="1030"/>
      <c r="Y784" s="694">
        <f t="shared" si="103"/>
        <v>0</v>
      </c>
      <c r="Z784" s="690"/>
      <c r="AA784" s="690"/>
      <c r="AB784" s="695">
        <f t="shared" si="104"/>
        <v>0</v>
      </c>
      <c r="AC784" s="1035"/>
      <c r="AD784" s="690"/>
      <c r="AE784" s="1025"/>
      <c r="AF784" s="1030"/>
      <c r="AG784" s="690"/>
      <c r="AH784" s="690"/>
      <c r="AI784" s="696">
        <f t="shared" si="105"/>
        <v>14023308</v>
      </c>
      <c r="AJ784" s="697">
        <f t="shared" si="106"/>
        <v>14023308</v>
      </c>
    </row>
    <row r="785" spans="1:36" s="700" customFormat="1" ht="12.75" customHeight="1">
      <c r="A785" s="755" t="s">
        <v>209</v>
      </c>
      <c r="B785" s="755" t="s">
        <v>399</v>
      </c>
      <c r="C785" s="761" t="s">
        <v>441</v>
      </c>
      <c r="D785" s="761"/>
      <c r="E785" s="760">
        <v>137351</v>
      </c>
      <c r="F785" s="763">
        <v>1</v>
      </c>
      <c r="G785" s="1025"/>
      <c r="H785" s="690"/>
      <c r="I785" s="1030"/>
      <c r="J785" s="690"/>
      <c r="K785" s="1030"/>
      <c r="L785" s="690"/>
      <c r="M785" s="1025"/>
      <c r="N785" s="1030"/>
      <c r="O785" s="692">
        <f t="shared" si="99"/>
        <v>0</v>
      </c>
      <c r="P785" s="690"/>
      <c r="Q785" s="690"/>
      <c r="R785" s="691">
        <f t="shared" si="100"/>
        <v>0</v>
      </c>
      <c r="S785" s="692">
        <f t="shared" si="101"/>
        <v>0</v>
      </c>
      <c r="T785" s="693">
        <f t="shared" si="102"/>
        <v>0</v>
      </c>
      <c r="U785" s="1035"/>
      <c r="V785" s="690"/>
      <c r="W785" s="1025"/>
      <c r="X785" s="1030"/>
      <c r="Y785" s="694">
        <f t="shared" si="103"/>
        <v>0</v>
      </c>
      <c r="Z785" s="690"/>
      <c r="AA785" s="690"/>
      <c r="AB785" s="695">
        <f t="shared" si="104"/>
        <v>0</v>
      </c>
      <c r="AC785" s="1035"/>
      <c r="AD785" s="690"/>
      <c r="AE785" s="1025"/>
      <c r="AF785" s="1030"/>
      <c r="AG785" s="690"/>
      <c r="AH785" s="690"/>
      <c r="AI785" s="696">
        <f t="shared" si="105"/>
        <v>0</v>
      </c>
      <c r="AJ785" s="697">
        <f t="shared" si="106"/>
        <v>0</v>
      </c>
    </row>
    <row r="786" spans="1:36" s="700" customFormat="1" ht="12.75" customHeight="1">
      <c r="A786" s="755" t="s">
        <v>209</v>
      </c>
      <c r="B786" s="755" t="s">
        <v>399</v>
      </c>
      <c r="C786" s="759" t="s">
        <v>720</v>
      </c>
      <c r="D786" s="759"/>
      <c r="E786" s="760">
        <v>137351</v>
      </c>
      <c r="F786" s="763">
        <v>2</v>
      </c>
      <c r="G786" s="1025"/>
      <c r="H786" s="690"/>
      <c r="I786" s="1030"/>
      <c r="J786" s="690"/>
      <c r="K786" s="1030"/>
      <c r="L786" s="690"/>
      <c r="M786" s="1025"/>
      <c r="N786" s="1030"/>
      <c r="O786" s="692">
        <f t="shared" si="99"/>
        <v>0</v>
      </c>
      <c r="P786" s="690"/>
      <c r="Q786" s="690"/>
      <c r="R786" s="691">
        <f t="shared" si="100"/>
        <v>0</v>
      </c>
      <c r="S786" s="692">
        <f t="shared" si="101"/>
        <v>0</v>
      </c>
      <c r="T786" s="693">
        <f t="shared" si="102"/>
        <v>0</v>
      </c>
      <c r="U786" s="1035"/>
      <c r="V786" s="690"/>
      <c r="W786" s="1025"/>
      <c r="X786" s="1030"/>
      <c r="Y786" s="694">
        <f t="shared" si="103"/>
        <v>0</v>
      </c>
      <c r="Z786" s="690"/>
      <c r="AA786" s="690"/>
      <c r="AB786" s="695">
        <f t="shared" si="104"/>
        <v>0</v>
      </c>
      <c r="AC786" s="1035"/>
      <c r="AD786" s="690"/>
      <c r="AE786" s="1025"/>
      <c r="AF786" s="1030"/>
      <c r="AG786" s="690"/>
      <c r="AH786" s="690"/>
      <c r="AI786" s="696">
        <f t="shared" si="105"/>
        <v>0</v>
      </c>
      <c r="AJ786" s="697">
        <f t="shared" si="106"/>
        <v>0</v>
      </c>
    </row>
    <row r="787" spans="1:36" s="700" customFormat="1" ht="12.75" customHeight="1">
      <c r="A787" s="755" t="s">
        <v>209</v>
      </c>
      <c r="B787" s="755" t="s">
        <v>392</v>
      </c>
      <c r="C787" s="762" t="s">
        <v>729</v>
      </c>
      <c r="D787" s="762"/>
      <c r="E787" s="760">
        <v>133650</v>
      </c>
      <c r="F787" s="763">
        <v>3</v>
      </c>
      <c r="G787" s="1025">
        <f>89746147+10188211-1506303-1060219</f>
        <v>97367836</v>
      </c>
      <c r="H787" s="690">
        <f>95218434+11720688</f>
        <v>106939122</v>
      </c>
      <c r="I787" s="1030"/>
      <c r="J787" s="690"/>
      <c r="K787" s="1030"/>
      <c r="L787" s="690"/>
      <c r="M787" s="1025">
        <f>57171795-1162460</f>
        <v>56009335</v>
      </c>
      <c r="N787" s="1030">
        <v>1162460</v>
      </c>
      <c r="O787" s="692">
        <f t="shared" si="99"/>
        <v>57171795</v>
      </c>
      <c r="P787" s="690">
        <f>59607188-1349381</f>
        <v>58257807</v>
      </c>
      <c r="Q787" s="690">
        <v>1349381</v>
      </c>
      <c r="R787" s="691">
        <f t="shared" si="100"/>
        <v>59607188</v>
      </c>
      <c r="S787" s="692">
        <f t="shared" si="101"/>
        <v>153377171</v>
      </c>
      <c r="T787" s="693">
        <f t="shared" si="102"/>
        <v>165196929</v>
      </c>
      <c r="U787" s="1035"/>
      <c r="V787" s="690"/>
      <c r="W787" s="1025"/>
      <c r="X787" s="1030"/>
      <c r="Y787" s="694">
        <f t="shared" si="103"/>
        <v>0</v>
      </c>
      <c r="Z787" s="690"/>
      <c r="AA787" s="690"/>
      <c r="AB787" s="695">
        <f t="shared" si="104"/>
        <v>0</v>
      </c>
      <c r="AC787" s="1035"/>
      <c r="AD787" s="690"/>
      <c r="AE787" s="1025"/>
      <c r="AF787" s="1030"/>
      <c r="AG787" s="690"/>
      <c r="AH787" s="690"/>
      <c r="AI787" s="696">
        <f t="shared" si="105"/>
        <v>153377171</v>
      </c>
      <c r="AJ787" s="697">
        <f t="shared" si="106"/>
        <v>165196929</v>
      </c>
    </row>
    <row r="788" spans="1:36" s="700" customFormat="1" ht="12.75" customHeight="1">
      <c r="A788" s="755" t="s">
        <v>209</v>
      </c>
      <c r="B788" s="755" t="s">
        <v>392</v>
      </c>
      <c r="C788" s="759" t="s">
        <v>711</v>
      </c>
      <c r="D788" s="759"/>
      <c r="E788" s="760">
        <v>133650</v>
      </c>
      <c r="F788" s="763">
        <v>3</v>
      </c>
      <c r="G788" s="1025"/>
      <c r="H788" s="690"/>
      <c r="I788" s="1030">
        <v>1506303</v>
      </c>
      <c r="J788" s="690">
        <v>1469218</v>
      </c>
      <c r="K788" s="1030"/>
      <c r="L788" s="690"/>
      <c r="M788" s="1025"/>
      <c r="N788" s="1030"/>
      <c r="O788" s="692">
        <f t="shared" si="99"/>
        <v>0</v>
      </c>
      <c r="P788" s="690"/>
      <c r="Q788" s="690"/>
      <c r="R788" s="691">
        <f t="shared" si="100"/>
        <v>0</v>
      </c>
      <c r="S788" s="692">
        <f t="shared" si="101"/>
        <v>1506303</v>
      </c>
      <c r="T788" s="693">
        <f t="shared" si="102"/>
        <v>1469218</v>
      </c>
      <c r="U788" s="1035"/>
      <c r="V788" s="690"/>
      <c r="W788" s="1025"/>
      <c r="X788" s="1030"/>
      <c r="Y788" s="694">
        <f t="shared" si="103"/>
        <v>0</v>
      </c>
      <c r="Z788" s="690"/>
      <c r="AA788" s="690"/>
      <c r="AB788" s="695">
        <f t="shared" si="104"/>
        <v>0</v>
      </c>
      <c r="AC788" s="1035"/>
      <c r="AD788" s="690"/>
      <c r="AE788" s="1025"/>
      <c r="AF788" s="1030"/>
      <c r="AG788" s="690"/>
      <c r="AH788" s="690"/>
      <c r="AI788" s="696">
        <f t="shared" si="105"/>
        <v>1506303</v>
      </c>
      <c r="AJ788" s="697">
        <f t="shared" si="106"/>
        <v>1469218</v>
      </c>
    </row>
    <row r="789" spans="1:36" s="700" customFormat="1" ht="12.75" customHeight="1">
      <c r="A789" s="755" t="s">
        <v>209</v>
      </c>
      <c r="B789" s="755" t="s">
        <v>392</v>
      </c>
      <c r="C789" s="759" t="s">
        <v>712</v>
      </c>
      <c r="D789" s="759"/>
      <c r="E789" s="760">
        <v>133650</v>
      </c>
      <c r="F789" s="763">
        <v>3</v>
      </c>
      <c r="G789" s="1025"/>
      <c r="H789" s="690"/>
      <c r="I789" s="1030">
        <v>1060219</v>
      </c>
      <c r="J789" s="690">
        <v>1060219</v>
      </c>
      <c r="K789" s="1030"/>
      <c r="L789" s="690"/>
      <c r="M789" s="1025"/>
      <c r="N789" s="1030"/>
      <c r="O789" s="692">
        <f t="shared" si="99"/>
        <v>0</v>
      </c>
      <c r="P789" s="690"/>
      <c r="Q789" s="690"/>
      <c r="R789" s="691">
        <f t="shared" si="100"/>
        <v>0</v>
      </c>
      <c r="S789" s="692">
        <f t="shared" si="101"/>
        <v>1060219</v>
      </c>
      <c r="T789" s="693">
        <f t="shared" si="102"/>
        <v>1060219</v>
      </c>
      <c r="U789" s="1035"/>
      <c r="V789" s="690"/>
      <c r="W789" s="1025"/>
      <c r="X789" s="1030"/>
      <c r="Y789" s="694">
        <f t="shared" si="103"/>
        <v>0</v>
      </c>
      <c r="Z789" s="690"/>
      <c r="AA789" s="690"/>
      <c r="AB789" s="695">
        <f t="shared" si="104"/>
        <v>0</v>
      </c>
      <c r="AC789" s="1035"/>
      <c r="AD789" s="690"/>
      <c r="AE789" s="1025"/>
      <c r="AF789" s="1030"/>
      <c r="AG789" s="690"/>
      <c r="AH789" s="690"/>
      <c r="AI789" s="696">
        <f t="shared" si="105"/>
        <v>1060219</v>
      </c>
      <c r="AJ789" s="697">
        <f t="shared" si="106"/>
        <v>1060219</v>
      </c>
    </row>
    <row r="790" spans="1:36" s="700" customFormat="1" ht="12.75" customHeight="1">
      <c r="A790" s="755" t="s">
        <v>209</v>
      </c>
      <c r="B790" s="755" t="s">
        <v>394</v>
      </c>
      <c r="C790" s="761" t="s">
        <v>451</v>
      </c>
      <c r="D790" s="761"/>
      <c r="E790" s="760">
        <v>133650</v>
      </c>
      <c r="F790" s="763">
        <v>3</v>
      </c>
      <c r="G790" s="1025"/>
      <c r="H790" s="690"/>
      <c r="I790" s="1030"/>
      <c r="J790" s="690"/>
      <c r="K790" s="1030"/>
      <c r="L790" s="690"/>
      <c r="M790" s="1025"/>
      <c r="N790" s="1030"/>
      <c r="O790" s="692">
        <f t="shared" si="99"/>
        <v>0</v>
      </c>
      <c r="P790" s="690"/>
      <c r="Q790" s="690"/>
      <c r="R790" s="691">
        <f t="shared" si="100"/>
        <v>0</v>
      </c>
      <c r="S790" s="692">
        <f t="shared" si="101"/>
        <v>0</v>
      </c>
      <c r="T790" s="693">
        <f t="shared" si="102"/>
        <v>0</v>
      </c>
      <c r="U790" s="1035"/>
      <c r="V790" s="690"/>
      <c r="W790" s="1025"/>
      <c r="X790" s="1030"/>
      <c r="Y790" s="694">
        <f t="shared" si="103"/>
        <v>0</v>
      </c>
      <c r="Z790" s="690"/>
      <c r="AA790" s="690"/>
      <c r="AB790" s="695">
        <f t="shared" si="104"/>
        <v>0</v>
      </c>
      <c r="AC790" s="1035"/>
      <c r="AD790" s="690"/>
      <c r="AE790" s="1025"/>
      <c r="AF790" s="1030"/>
      <c r="AG790" s="690"/>
      <c r="AH790" s="690"/>
      <c r="AI790" s="696">
        <f t="shared" si="105"/>
        <v>0</v>
      </c>
      <c r="AJ790" s="697">
        <f t="shared" si="106"/>
        <v>0</v>
      </c>
    </row>
    <row r="791" spans="1:36" s="700" customFormat="1" ht="12.75" customHeight="1">
      <c r="A791" s="755" t="s">
        <v>209</v>
      </c>
      <c r="B791" s="755" t="s">
        <v>394</v>
      </c>
      <c r="C791" s="759" t="s">
        <v>717</v>
      </c>
      <c r="D791" s="759"/>
      <c r="E791" s="760">
        <v>133650</v>
      </c>
      <c r="F791" s="763">
        <v>3</v>
      </c>
      <c r="G791" s="1025"/>
      <c r="H791" s="690"/>
      <c r="I791" s="1030">
        <v>3747147</v>
      </c>
      <c r="J791" s="690">
        <v>3747147</v>
      </c>
      <c r="K791" s="1030"/>
      <c r="L791" s="690"/>
      <c r="M791" s="1025"/>
      <c r="N791" s="1030"/>
      <c r="O791" s="692">
        <f t="shared" si="99"/>
        <v>0</v>
      </c>
      <c r="P791" s="690"/>
      <c r="Q791" s="690"/>
      <c r="R791" s="691">
        <f t="shared" si="100"/>
        <v>0</v>
      </c>
      <c r="S791" s="692">
        <f t="shared" si="101"/>
        <v>3747147</v>
      </c>
      <c r="T791" s="693">
        <f t="shared" si="102"/>
        <v>3747147</v>
      </c>
      <c r="U791" s="1035"/>
      <c r="V791" s="690"/>
      <c r="W791" s="1025"/>
      <c r="X791" s="1030"/>
      <c r="Y791" s="694">
        <f t="shared" si="103"/>
        <v>0</v>
      </c>
      <c r="Z791" s="690"/>
      <c r="AA791" s="690"/>
      <c r="AB791" s="695">
        <f t="shared" si="104"/>
        <v>0</v>
      </c>
      <c r="AC791" s="1035"/>
      <c r="AD791" s="690"/>
      <c r="AE791" s="1025"/>
      <c r="AF791" s="1030"/>
      <c r="AG791" s="690"/>
      <c r="AH791" s="690"/>
      <c r="AI791" s="696">
        <f t="shared" si="105"/>
        <v>3747147</v>
      </c>
      <c r="AJ791" s="697">
        <f t="shared" si="106"/>
        <v>3747147</v>
      </c>
    </row>
    <row r="792" spans="1:36" s="700" customFormat="1" ht="12.75" customHeight="1">
      <c r="A792" s="755" t="s">
        <v>209</v>
      </c>
      <c r="B792" s="755" t="s">
        <v>392</v>
      </c>
      <c r="C792" s="762" t="s">
        <v>730</v>
      </c>
      <c r="D792" s="762"/>
      <c r="E792" s="760">
        <v>136172</v>
      </c>
      <c r="F792" s="763">
        <v>3</v>
      </c>
      <c r="G792" s="1025">
        <f>65619544+8968320-483840-588642</f>
        <v>73515382</v>
      </c>
      <c r="H792" s="690">
        <f>65936711+10102963</f>
        <v>76039674</v>
      </c>
      <c r="I792" s="1030"/>
      <c r="J792" s="690"/>
      <c r="K792" s="1030"/>
      <c r="L792" s="690"/>
      <c r="M792" s="1025">
        <f>51808699-1570439</f>
        <v>50238260</v>
      </c>
      <c r="N792" s="1030">
        <v>1570439</v>
      </c>
      <c r="O792" s="692">
        <f t="shared" si="99"/>
        <v>51808699</v>
      </c>
      <c r="P792" s="690">
        <f>56901156-1391287</f>
        <v>55509869</v>
      </c>
      <c r="Q792" s="690">
        <v>1391287</v>
      </c>
      <c r="R792" s="691">
        <f t="shared" si="100"/>
        <v>56901156</v>
      </c>
      <c r="S792" s="692">
        <f t="shared" si="101"/>
        <v>123753642</v>
      </c>
      <c r="T792" s="693">
        <f t="shared" si="102"/>
        <v>131549543</v>
      </c>
      <c r="U792" s="1035"/>
      <c r="V792" s="690"/>
      <c r="W792" s="1025"/>
      <c r="X792" s="1030"/>
      <c r="Y792" s="694">
        <f t="shared" si="103"/>
        <v>0</v>
      </c>
      <c r="Z792" s="690"/>
      <c r="AA792" s="690"/>
      <c r="AB792" s="695">
        <f t="shared" si="104"/>
        <v>0</v>
      </c>
      <c r="AC792" s="1035"/>
      <c r="AD792" s="690"/>
      <c r="AE792" s="1025"/>
      <c r="AF792" s="1030"/>
      <c r="AG792" s="690"/>
      <c r="AH792" s="690"/>
      <c r="AI792" s="696">
        <f t="shared" si="105"/>
        <v>123753642</v>
      </c>
      <c r="AJ792" s="697">
        <f t="shared" si="106"/>
        <v>131549543</v>
      </c>
    </row>
    <row r="793" spans="1:36" s="700" customFormat="1" ht="12.75" customHeight="1">
      <c r="A793" s="755" t="s">
        <v>209</v>
      </c>
      <c r="B793" s="755" t="s">
        <v>392</v>
      </c>
      <c r="C793" s="759" t="s">
        <v>711</v>
      </c>
      <c r="D793" s="759"/>
      <c r="E793" s="760">
        <v>136172</v>
      </c>
      <c r="F793" s="763">
        <v>3</v>
      </c>
      <c r="G793" s="1025"/>
      <c r="H793" s="690"/>
      <c r="I793" s="1030">
        <v>483840</v>
      </c>
      <c r="J793" s="690">
        <v>471928</v>
      </c>
      <c r="K793" s="1030"/>
      <c r="L793" s="690"/>
      <c r="M793" s="1025"/>
      <c r="N793" s="1030"/>
      <c r="O793" s="692">
        <f t="shared" si="99"/>
        <v>0</v>
      </c>
      <c r="P793" s="690"/>
      <c r="Q793" s="690"/>
      <c r="R793" s="691">
        <f t="shared" si="100"/>
        <v>0</v>
      </c>
      <c r="S793" s="692">
        <f t="shared" si="101"/>
        <v>483840</v>
      </c>
      <c r="T793" s="693">
        <f t="shared" si="102"/>
        <v>471928</v>
      </c>
      <c r="U793" s="1035"/>
      <c r="V793" s="690"/>
      <c r="W793" s="1025"/>
      <c r="X793" s="1030"/>
      <c r="Y793" s="694">
        <f t="shared" si="103"/>
        <v>0</v>
      </c>
      <c r="Z793" s="690"/>
      <c r="AA793" s="690"/>
      <c r="AB793" s="695">
        <f t="shared" si="104"/>
        <v>0</v>
      </c>
      <c r="AC793" s="1035"/>
      <c r="AD793" s="690"/>
      <c r="AE793" s="1025"/>
      <c r="AF793" s="1030"/>
      <c r="AG793" s="690"/>
      <c r="AH793" s="690"/>
      <c r="AI793" s="696">
        <f t="shared" si="105"/>
        <v>483840</v>
      </c>
      <c r="AJ793" s="697">
        <f t="shared" si="106"/>
        <v>471928</v>
      </c>
    </row>
    <row r="794" spans="1:36" s="700" customFormat="1" ht="12.75" customHeight="1">
      <c r="A794" s="755" t="s">
        <v>209</v>
      </c>
      <c r="B794" s="755" t="s">
        <v>392</v>
      </c>
      <c r="C794" s="759" t="s">
        <v>712</v>
      </c>
      <c r="D794" s="759"/>
      <c r="E794" s="760">
        <v>136172</v>
      </c>
      <c r="F794" s="763">
        <v>3</v>
      </c>
      <c r="G794" s="1025"/>
      <c r="H794" s="690"/>
      <c r="I794" s="1030">
        <v>588642</v>
      </c>
      <c r="J794" s="690">
        <v>588642</v>
      </c>
      <c r="K794" s="1030"/>
      <c r="L794" s="690"/>
      <c r="M794" s="1025"/>
      <c r="N794" s="1030"/>
      <c r="O794" s="692">
        <f t="shared" si="99"/>
        <v>0</v>
      </c>
      <c r="P794" s="690"/>
      <c r="Q794" s="690"/>
      <c r="R794" s="691">
        <f t="shared" si="100"/>
        <v>0</v>
      </c>
      <c r="S794" s="692">
        <f t="shared" si="101"/>
        <v>588642</v>
      </c>
      <c r="T794" s="693">
        <f t="shared" si="102"/>
        <v>588642</v>
      </c>
      <c r="U794" s="1035"/>
      <c r="V794" s="690"/>
      <c r="W794" s="1025"/>
      <c r="X794" s="1030"/>
      <c r="Y794" s="694">
        <f t="shared" si="103"/>
        <v>0</v>
      </c>
      <c r="Z794" s="690"/>
      <c r="AA794" s="690"/>
      <c r="AB794" s="695">
        <f t="shared" si="104"/>
        <v>0</v>
      </c>
      <c r="AC794" s="1035"/>
      <c r="AD794" s="690"/>
      <c r="AE794" s="1025"/>
      <c r="AF794" s="1030"/>
      <c r="AG794" s="690"/>
      <c r="AH794" s="690"/>
      <c r="AI794" s="696">
        <f t="shared" si="105"/>
        <v>588642</v>
      </c>
      <c r="AJ794" s="697">
        <f t="shared" si="106"/>
        <v>588642</v>
      </c>
    </row>
    <row r="795" spans="1:36" s="700" customFormat="1" ht="12.75" customHeight="1">
      <c r="A795" s="755" t="s">
        <v>209</v>
      </c>
      <c r="B795" s="755" t="s">
        <v>392</v>
      </c>
      <c r="C795" s="762" t="s">
        <v>731</v>
      </c>
      <c r="D795" s="762"/>
      <c r="E795" s="760">
        <v>138354</v>
      </c>
      <c r="F795" s="763">
        <v>3</v>
      </c>
      <c r="G795" s="1025">
        <f>51391384+5532667-380584-659862</f>
        <v>55883605</v>
      </c>
      <c r="H795" s="690">
        <f>51405794+6419530</f>
        <v>57825324</v>
      </c>
      <c r="I795" s="1030"/>
      <c r="J795" s="690"/>
      <c r="K795" s="1030"/>
      <c r="L795" s="690"/>
      <c r="M795" s="1025">
        <f>31567486-924938</f>
        <v>30642548</v>
      </c>
      <c r="N795" s="1030">
        <v>924938</v>
      </c>
      <c r="O795" s="692">
        <f t="shared" si="99"/>
        <v>31567486</v>
      </c>
      <c r="P795" s="690">
        <f>32196415-975019</f>
        <v>31221396</v>
      </c>
      <c r="Q795" s="690">
        <v>975019</v>
      </c>
      <c r="R795" s="691">
        <f t="shared" si="100"/>
        <v>32196415</v>
      </c>
      <c r="S795" s="692">
        <f t="shared" si="101"/>
        <v>86526153</v>
      </c>
      <c r="T795" s="693">
        <f t="shared" si="102"/>
        <v>89046720</v>
      </c>
      <c r="U795" s="1035"/>
      <c r="V795" s="690"/>
      <c r="W795" s="1025"/>
      <c r="X795" s="1030"/>
      <c r="Y795" s="694">
        <f t="shared" si="103"/>
        <v>0</v>
      </c>
      <c r="Z795" s="690"/>
      <c r="AA795" s="690"/>
      <c r="AB795" s="695">
        <f t="shared" si="104"/>
        <v>0</v>
      </c>
      <c r="AC795" s="1035"/>
      <c r="AD795" s="690"/>
      <c r="AE795" s="1025"/>
      <c r="AF795" s="1030"/>
      <c r="AG795" s="690"/>
      <c r="AH795" s="690"/>
      <c r="AI795" s="696">
        <f t="shared" si="105"/>
        <v>86526153</v>
      </c>
      <c r="AJ795" s="697">
        <f t="shared" si="106"/>
        <v>89046720</v>
      </c>
    </row>
    <row r="796" spans="1:36" s="700" customFormat="1" ht="12.75" customHeight="1">
      <c r="A796" s="755" t="s">
        <v>209</v>
      </c>
      <c r="B796" s="755" t="s">
        <v>392</v>
      </c>
      <c r="C796" s="759" t="s">
        <v>711</v>
      </c>
      <c r="D796" s="759"/>
      <c r="E796" s="760">
        <v>138354</v>
      </c>
      <c r="F796" s="763">
        <v>3</v>
      </c>
      <c r="G796" s="1025"/>
      <c r="H796" s="690"/>
      <c r="I796" s="1030">
        <v>380584</v>
      </c>
      <c r="J796" s="690">
        <v>371214</v>
      </c>
      <c r="K796" s="1030"/>
      <c r="L796" s="690"/>
      <c r="M796" s="1025"/>
      <c r="N796" s="1030"/>
      <c r="O796" s="692">
        <f t="shared" si="99"/>
        <v>0</v>
      </c>
      <c r="P796" s="690"/>
      <c r="Q796" s="690"/>
      <c r="R796" s="691">
        <f t="shared" si="100"/>
        <v>0</v>
      </c>
      <c r="S796" s="692">
        <f t="shared" si="101"/>
        <v>380584</v>
      </c>
      <c r="T796" s="693">
        <f t="shared" si="102"/>
        <v>371214</v>
      </c>
      <c r="U796" s="1035"/>
      <c r="V796" s="690"/>
      <c r="W796" s="1025"/>
      <c r="X796" s="1030"/>
      <c r="Y796" s="694">
        <f t="shared" si="103"/>
        <v>0</v>
      </c>
      <c r="Z796" s="690"/>
      <c r="AA796" s="690"/>
      <c r="AB796" s="695">
        <f t="shared" si="104"/>
        <v>0</v>
      </c>
      <c r="AC796" s="1035"/>
      <c r="AD796" s="690"/>
      <c r="AE796" s="1025"/>
      <c r="AF796" s="1030"/>
      <c r="AG796" s="690"/>
      <c r="AH796" s="690"/>
      <c r="AI796" s="696">
        <f t="shared" si="105"/>
        <v>380584</v>
      </c>
      <c r="AJ796" s="697">
        <f t="shared" si="106"/>
        <v>371214</v>
      </c>
    </row>
    <row r="797" spans="1:36" s="700" customFormat="1" ht="12.75" customHeight="1">
      <c r="A797" s="755" t="s">
        <v>209</v>
      </c>
      <c r="B797" s="755" t="s">
        <v>392</v>
      </c>
      <c r="C797" s="759" t="s">
        <v>712</v>
      </c>
      <c r="D797" s="759"/>
      <c r="E797" s="760">
        <v>138354</v>
      </c>
      <c r="F797" s="763">
        <v>3</v>
      </c>
      <c r="G797" s="1025"/>
      <c r="H797" s="690"/>
      <c r="I797" s="1030">
        <v>659862</v>
      </c>
      <c r="J797" s="690">
        <v>659862</v>
      </c>
      <c r="K797" s="1030"/>
      <c r="L797" s="690"/>
      <c r="M797" s="1025"/>
      <c r="N797" s="1030"/>
      <c r="O797" s="692">
        <f t="shared" si="99"/>
        <v>0</v>
      </c>
      <c r="P797" s="690"/>
      <c r="Q797" s="690"/>
      <c r="R797" s="691">
        <f t="shared" si="100"/>
        <v>0</v>
      </c>
      <c r="S797" s="692">
        <f t="shared" si="101"/>
        <v>659862</v>
      </c>
      <c r="T797" s="693">
        <f t="shared" si="102"/>
        <v>659862</v>
      </c>
      <c r="U797" s="1035"/>
      <c r="V797" s="690"/>
      <c r="W797" s="1025"/>
      <c r="X797" s="1030"/>
      <c r="Y797" s="694">
        <f t="shared" si="103"/>
        <v>0</v>
      </c>
      <c r="Z797" s="690"/>
      <c r="AA797" s="690"/>
      <c r="AB797" s="695">
        <f t="shared" si="104"/>
        <v>0</v>
      </c>
      <c r="AC797" s="1035"/>
      <c r="AD797" s="690"/>
      <c r="AE797" s="1025"/>
      <c r="AF797" s="1030"/>
      <c r="AG797" s="690"/>
      <c r="AH797" s="690"/>
      <c r="AI797" s="696">
        <f t="shared" si="105"/>
        <v>659862</v>
      </c>
      <c r="AJ797" s="697">
        <f t="shared" si="106"/>
        <v>659862</v>
      </c>
    </row>
    <row r="798" spans="1:36" s="700" customFormat="1" ht="12.75" customHeight="1">
      <c r="A798" s="755" t="s">
        <v>209</v>
      </c>
      <c r="B798" s="755" t="s">
        <v>392</v>
      </c>
      <c r="C798" s="762" t="s">
        <v>732</v>
      </c>
      <c r="D798" s="762"/>
      <c r="E798" s="760">
        <v>433660</v>
      </c>
      <c r="F798" s="763">
        <v>4</v>
      </c>
      <c r="G798" s="1025">
        <f>41317763+4945119-236585-775445</f>
        <v>45250852</v>
      </c>
      <c r="H798" s="690">
        <f>41054170+5657839</f>
        <v>46712009</v>
      </c>
      <c r="I798" s="1030"/>
      <c r="J798" s="690"/>
      <c r="K798" s="1030"/>
      <c r="L798" s="690"/>
      <c r="M798" s="1025">
        <f>33919107-852285</f>
        <v>33066822</v>
      </c>
      <c r="N798" s="1030">
        <v>852285</v>
      </c>
      <c r="O798" s="692">
        <f t="shared" si="99"/>
        <v>33919107</v>
      </c>
      <c r="P798" s="690">
        <f>36502181-1022512</f>
        <v>35479669</v>
      </c>
      <c r="Q798" s="690">
        <v>1022512</v>
      </c>
      <c r="R798" s="691">
        <f t="shared" si="100"/>
        <v>36502181</v>
      </c>
      <c r="S798" s="692">
        <f t="shared" si="101"/>
        <v>78317674</v>
      </c>
      <c r="T798" s="693">
        <f t="shared" si="102"/>
        <v>82191678</v>
      </c>
      <c r="U798" s="1035"/>
      <c r="V798" s="690"/>
      <c r="W798" s="1025"/>
      <c r="X798" s="1030"/>
      <c r="Y798" s="694">
        <f t="shared" si="103"/>
        <v>0</v>
      </c>
      <c r="Z798" s="690"/>
      <c r="AA798" s="690"/>
      <c r="AB798" s="695">
        <f t="shared" si="104"/>
        <v>0</v>
      </c>
      <c r="AC798" s="1035"/>
      <c r="AD798" s="690"/>
      <c r="AE798" s="1025"/>
      <c r="AF798" s="1030"/>
      <c r="AG798" s="690"/>
      <c r="AH798" s="690"/>
      <c r="AI798" s="696">
        <f t="shared" si="105"/>
        <v>78317674</v>
      </c>
      <c r="AJ798" s="697">
        <f t="shared" si="106"/>
        <v>82191678</v>
      </c>
    </row>
    <row r="799" spans="1:36" s="700" customFormat="1" ht="12.75" customHeight="1">
      <c r="A799" s="755" t="s">
        <v>209</v>
      </c>
      <c r="B799" s="755" t="s">
        <v>392</v>
      </c>
      <c r="C799" s="759" t="s">
        <v>711</v>
      </c>
      <c r="D799" s="759"/>
      <c r="E799" s="760">
        <v>433660</v>
      </c>
      <c r="F799" s="763">
        <v>4</v>
      </c>
      <c r="G799" s="1025"/>
      <c r="H799" s="690"/>
      <c r="I799" s="1030">
        <v>236585</v>
      </c>
      <c r="J799" s="690">
        <v>230760</v>
      </c>
      <c r="K799" s="1030"/>
      <c r="L799" s="690"/>
      <c r="M799" s="1025"/>
      <c r="N799" s="1030"/>
      <c r="O799" s="692">
        <f t="shared" si="99"/>
        <v>0</v>
      </c>
      <c r="P799" s="690"/>
      <c r="Q799" s="690"/>
      <c r="R799" s="691">
        <f t="shared" si="100"/>
        <v>0</v>
      </c>
      <c r="S799" s="692">
        <f t="shared" si="101"/>
        <v>236585</v>
      </c>
      <c r="T799" s="693">
        <f t="shared" si="102"/>
        <v>230760</v>
      </c>
      <c r="U799" s="1035"/>
      <c r="V799" s="690"/>
      <c r="W799" s="1025"/>
      <c r="X799" s="1030"/>
      <c r="Y799" s="694">
        <f t="shared" si="103"/>
        <v>0</v>
      </c>
      <c r="Z799" s="690"/>
      <c r="AA799" s="690"/>
      <c r="AB799" s="695">
        <f t="shared" si="104"/>
        <v>0</v>
      </c>
      <c r="AC799" s="1035"/>
      <c r="AD799" s="690"/>
      <c r="AE799" s="1025"/>
      <c r="AF799" s="1030"/>
      <c r="AG799" s="690"/>
      <c r="AH799" s="690"/>
      <c r="AI799" s="696">
        <f t="shared" si="105"/>
        <v>236585</v>
      </c>
      <c r="AJ799" s="697">
        <f t="shared" si="106"/>
        <v>230760</v>
      </c>
    </row>
    <row r="800" spans="1:36" s="700" customFormat="1" ht="12.75" customHeight="1">
      <c r="A800" s="755" t="s">
        <v>209</v>
      </c>
      <c r="B800" s="755" t="s">
        <v>392</v>
      </c>
      <c r="C800" s="759" t="s">
        <v>712</v>
      </c>
      <c r="D800" s="759"/>
      <c r="E800" s="760">
        <v>433660</v>
      </c>
      <c r="F800" s="763">
        <v>4</v>
      </c>
      <c r="G800" s="1025"/>
      <c r="H800" s="690"/>
      <c r="I800" s="1030">
        <v>775445</v>
      </c>
      <c r="J800" s="690">
        <v>775445</v>
      </c>
      <c r="K800" s="1030"/>
      <c r="L800" s="690"/>
      <c r="M800" s="1025"/>
      <c r="N800" s="1030"/>
      <c r="O800" s="692">
        <f t="shared" si="99"/>
        <v>0</v>
      </c>
      <c r="P800" s="690"/>
      <c r="Q800" s="690"/>
      <c r="R800" s="691">
        <f t="shared" si="100"/>
        <v>0</v>
      </c>
      <c r="S800" s="692">
        <f t="shared" si="101"/>
        <v>775445</v>
      </c>
      <c r="T800" s="693">
        <f t="shared" si="102"/>
        <v>775445</v>
      </c>
      <c r="U800" s="1035"/>
      <c r="V800" s="690"/>
      <c r="W800" s="1025"/>
      <c r="X800" s="1030"/>
      <c r="Y800" s="694">
        <f t="shared" si="103"/>
        <v>0</v>
      </c>
      <c r="Z800" s="690"/>
      <c r="AA800" s="690"/>
      <c r="AB800" s="695">
        <f t="shared" si="104"/>
        <v>0</v>
      </c>
      <c r="AC800" s="1035"/>
      <c r="AD800" s="690"/>
      <c r="AE800" s="1025"/>
      <c r="AF800" s="1030"/>
      <c r="AG800" s="690"/>
      <c r="AH800" s="690"/>
      <c r="AI800" s="696">
        <f t="shared" si="105"/>
        <v>775445</v>
      </c>
      <c r="AJ800" s="697">
        <f t="shared" si="106"/>
        <v>775445</v>
      </c>
    </row>
    <row r="801" spans="1:36" s="700" customFormat="1" ht="12.75" customHeight="1">
      <c r="A801" s="755" t="s">
        <v>209</v>
      </c>
      <c r="B801" s="755" t="s">
        <v>392</v>
      </c>
      <c r="C801" s="762" t="s">
        <v>733</v>
      </c>
      <c r="D801" s="762"/>
      <c r="E801" s="760">
        <v>262129</v>
      </c>
      <c r="F801" s="763">
        <v>6</v>
      </c>
      <c r="G801" s="1025">
        <f>14800296+614824-493100-292282</f>
        <v>14629738</v>
      </c>
      <c r="H801" s="690">
        <f>15264202+859725</f>
        <v>16123927</v>
      </c>
      <c r="I801" s="1030"/>
      <c r="J801" s="690"/>
      <c r="K801" s="1030"/>
      <c r="L801" s="690"/>
      <c r="M801" s="1025">
        <f>5528803-100598</f>
        <v>5428205</v>
      </c>
      <c r="N801" s="1030">
        <v>100598</v>
      </c>
      <c r="O801" s="692">
        <f t="shared" si="99"/>
        <v>5528803</v>
      </c>
      <c r="P801" s="690">
        <f>5179709-106162</f>
        <v>5073547</v>
      </c>
      <c r="Q801" s="690">
        <v>106162</v>
      </c>
      <c r="R801" s="691">
        <f t="shared" si="100"/>
        <v>5179709</v>
      </c>
      <c r="S801" s="692">
        <f t="shared" si="101"/>
        <v>20057943</v>
      </c>
      <c r="T801" s="693">
        <f t="shared" si="102"/>
        <v>21197474</v>
      </c>
      <c r="U801" s="1035"/>
      <c r="V801" s="690"/>
      <c r="W801" s="1025"/>
      <c r="X801" s="1030"/>
      <c r="Y801" s="694">
        <f t="shared" si="103"/>
        <v>0</v>
      </c>
      <c r="Z801" s="690"/>
      <c r="AA801" s="690"/>
      <c r="AB801" s="695">
        <f t="shared" si="104"/>
        <v>0</v>
      </c>
      <c r="AC801" s="1035"/>
      <c r="AD801" s="690"/>
      <c r="AE801" s="1025"/>
      <c r="AF801" s="1030"/>
      <c r="AG801" s="690"/>
      <c r="AH801" s="690"/>
      <c r="AI801" s="696">
        <f t="shared" si="105"/>
        <v>20057943</v>
      </c>
      <c r="AJ801" s="697">
        <f t="shared" si="106"/>
        <v>21197474</v>
      </c>
    </row>
    <row r="802" spans="1:36" s="700" customFormat="1" ht="12.75" customHeight="1">
      <c r="A802" s="755" t="s">
        <v>209</v>
      </c>
      <c r="B802" s="755" t="s">
        <v>392</v>
      </c>
      <c r="C802" s="759" t="s">
        <v>711</v>
      </c>
      <c r="D802" s="759"/>
      <c r="E802" s="760">
        <v>262129</v>
      </c>
      <c r="F802" s="763">
        <v>6</v>
      </c>
      <c r="G802" s="1025"/>
      <c r="H802" s="690"/>
      <c r="I802" s="1030">
        <v>493100</v>
      </c>
      <c r="J802" s="690">
        <v>480959</v>
      </c>
      <c r="K802" s="1030"/>
      <c r="L802" s="690"/>
      <c r="M802" s="1025"/>
      <c r="N802" s="1030"/>
      <c r="O802" s="692">
        <f t="shared" si="99"/>
        <v>0</v>
      </c>
      <c r="P802" s="690"/>
      <c r="Q802" s="690"/>
      <c r="R802" s="691">
        <f t="shared" si="100"/>
        <v>0</v>
      </c>
      <c r="S802" s="692">
        <f t="shared" si="101"/>
        <v>493100</v>
      </c>
      <c r="T802" s="693">
        <f t="shared" si="102"/>
        <v>480959</v>
      </c>
      <c r="U802" s="1035"/>
      <c r="V802" s="690"/>
      <c r="W802" s="1025"/>
      <c r="X802" s="1030"/>
      <c r="Y802" s="694">
        <f t="shared" si="103"/>
        <v>0</v>
      </c>
      <c r="Z802" s="690"/>
      <c r="AA802" s="690"/>
      <c r="AB802" s="695">
        <f t="shared" si="104"/>
        <v>0</v>
      </c>
      <c r="AC802" s="1035"/>
      <c r="AD802" s="690"/>
      <c r="AE802" s="1025"/>
      <c r="AF802" s="1030"/>
      <c r="AG802" s="690"/>
      <c r="AH802" s="690"/>
      <c r="AI802" s="696">
        <f t="shared" si="105"/>
        <v>493100</v>
      </c>
      <c r="AJ802" s="697">
        <f t="shared" si="106"/>
        <v>480959</v>
      </c>
    </row>
    <row r="803" spans="1:36" s="700" customFormat="1" ht="12.75" customHeight="1">
      <c r="A803" s="755" t="s">
        <v>209</v>
      </c>
      <c r="B803" s="755" t="s">
        <v>392</v>
      </c>
      <c r="C803" s="759" t="s">
        <v>712</v>
      </c>
      <c r="D803" s="759"/>
      <c r="E803" s="760">
        <v>262129</v>
      </c>
      <c r="F803" s="763">
        <v>6</v>
      </c>
      <c r="G803" s="1025"/>
      <c r="H803" s="690"/>
      <c r="I803" s="1030">
        <v>292282</v>
      </c>
      <c r="J803" s="690">
        <v>292282</v>
      </c>
      <c r="K803" s="1030"/>
      <c r="L803" s="690"/>
      <c r="M803" s="1025"/>
      <c r="N803" s="1030"/>
      <c r="O803" s="692">
        <f t="shared" si="99"/>
        <v>0</v>
      </c>
      <c r="P803" s="690"/>
      <c r="Q803" s="690"/>
      <c r="R803" s="691">
        <f t="shared" si="100"/>
        <v>0</v>
      </c>
      <c r="S803" s="692">
        <f t="shared" si="101"/>
        <v>292282</v>
      </c>
      <c r="T803" s="693">
        <f t="shared" si="102"/>
        <v>292282</v>
      </c>
      <c r="U803" s="1035"/>
      <c r="V803" s="690"/>
      <c r="W803" s="1025"/>
      <c r="X803" s="1030"/>
      <c r="Y803" s="694">
        <f t="shared" si="103"/>
        <v>0</v>
      </c>
      <c r="Z803" s="690"/>
      <c r="AA803" s="690"/>
      <c r="AB803" s="695">
        <f t="shared" si="104"/>
        <v>0</v>
      </c>
      <c r="AC803" s="1035"/>
      <c r="AD803" s="690"/>
      <c r="AE803" s="1025"/>
      <c r="AF803" s="1030"/>
      <c r="AG803" s="690"/>
      <c r="AH803" s="690"/>
      <c r="AI803" s="696">
        <f t="shared" si="105"/>
        <v>292282</v>
      </c>
      <c r="AJ803" s="697">
        <f t="shared" si="106"/>
        <v>292282</v>
      </c>
    </row>
    <row r="804" spans="1:36" s="700" customFormat="1" ht="12.75" customHeight="1">
      <c r="A804" s="755" t="s">
        <v>209</v>
      </c>
      <c r="B804" s="755" t="s">
        <v>431</v>
      </c>
      <c r="C804" s="764" t="s">
        <v>734</v>
      </c>
      <c r="D804" s="764"/>
      <c r="E804" s="760"/>
      <c r="F804" s="763"/>
      <c r="G804" s="1025"/>
      <c r="H804" s="690"/>
      <c r="I804" s="1030"/>
      <c r="J804" s="690"/>
      <c r="K804" s="1030"/>
      <c r="L804" s="690"/>
      <c r="M804" s="1025"/>
      <c r="N804" s="1030"/>
      <c r="O804" s="692">
        <f t="shared" si="99"/>
        <v>0</v>
      </c>
      <c r="P804" s="690"/>
      <c r="Q804" s="690"/>
      <c r="R804" s="691">
        <f t="shared" si="100"/>
        <v>0</v>
      </c>
      <c r="S804" s="692">
        <f t="shared" si="101"/>
        <v>0</v>
      </c>
      <c r="T804" s="693">
        <f t="shared" si="102"/>
        <v>0</v>
      </c>
      <c r="U804" s="1035"/>
      <c r="V804" s="690"/>
      <c r="W804" s="1025"/>
      <c r="X804" s="1030"/>
      <c r="Y804" s="694">
        <f t="shared" si="103"/>
        <v>0</v>
      </c>
      <c r="Z804" s="690"/>
      <c r="AA804" s="690"/>
      <c r="AB804" s="695">
        <f t="shared" si="104"/>
        <v>0</v>
      </c>
      <c r="AC804" s="1035"/>
      <c r="AD804" s="690"/>
      <c r="AE804" s="1025"/>
      <c r="AF804" s="1030"/>
      <c r="AG804" s="690"/>
      <c r="AH804" s="690"/>
      <c r="AI804" s="696">
        <f t="shared" si="105"/>
        <v>0</v>
      </c>
      <c r="AJ804" s="697">
        <f t="shared" si="106"/>
        <v>0</v>
      </c>
    </row>
    <row r="805" spans="1:36" s="700" customFormat="1" ht="12.75" customHeight="1">
      <c r="A805" s="755" t="s">
        <v>209</v>
      </c>
      <c r="B805" s="755" t="s">
        <v>431</v>
      </c>
      <c r="C805" s="759" t="s">
        <v>735</v>
      </c>
      <c r="D805" s="759"/>
      <c r="E805" s="760"/>
      <c r="F805" s="763"/>
      <c r="G805" s="1025"/>
      <c r="H805" s="690"/>
      <c r="I805" s="1030"/>
      <c r="J805" s="690"/>
      <c r="K805" s="1030"/>
      <c r="L805" s="690"/>
      <c r="M805" s="1025"/>
      <c r="N805" s="1030"/>
      <c r="O805" s="692">
        <f t="shared" si="99"/>
        <v>0</v>
      </c>
      <c r="P805" s="690"/>
      <c r="Q805" s="690"/>
      <c r="R805" s="691">
        <f t="shared" si="100"/>
        <v>0</v>
      </c>
      <c r="S805" s="692">
        <f t="shared" si="101"/>
        <v>0</v>
      </c>
      <c r="T805" s="693">
        <f t="shared" si="102"/>
        <v>0</v>
      </c>
      <c r="U805" s="1035"/>
      <c r="V805" s="690"/>
      <c r="W805" s="1025"/>
      <c r="X805" s="1030"/>
      <c r="Y805" s="694">
        <f t="shared" si="103"/>
        <v>0</v>
      </c>
      <c r="Z805" s="690"/>
      <c r="AA805" s="690"/>
      <c r="AB805" s="695">
        <f t="shared" si="104"/>
        <v>0</v>
      </c>
      <c r="AC805" s="1035"/>
      <c r="AD805" s="690"/>
      <c r="AE805" s="1025"/>
      <c r="AF805" s="1030"/>
      <c r="AG805" s="690"/>
      <c r="AH805" s="690"/>
      <c r="AI805" s="696">
        <f t="shared" si="105"/>
        <v>0</v>
      </c>
      <c r="AJ805" s="697">
        <f t="shared" si="106"/>
        <v>0</v>
      </c>
    </row>
    <row r="806" spans="1:36" s="700" customFormat="1" ht="12.75" customHeight="1">
      <c r="A806" s="755" t="s">
        <v>209</v>
      </c>
      <c r="B806" s="755" t="s">
        <v>402</v>
      </c>
      <c r="C806" s="761" t="s">
        <v>451</v>
      </c>
      <c r="D806" s="761"/>
      <c r="E806" s="760"/>
      <c r="F806" s="763"/>
      <c r="G806" s="1025"/>
      <c r="H806" s="690"/>
      <c r="I806" s="1030"/>
      <c r="J806" s="690"/>
      <c r="K806" s="1030"/>
      <c r="L806" s="690"/>
      <c r="M806" s="1025"/>
      <c r="N806" s="1030"/>
      <c r="O806" s="692">
        <f t="shared" si="99"/>
        <v>0</v>
      </c>
      <c r="P806" s="690"/>
      <c r="Q806" s="690"/>
      <c r="R806" s="691">
        <f t="shared" si="100"/>
        <v>0</v>
      </c>
      <c r="S806" s="692">
        <f t="shared" si="101"/>
        <v>0</v>
      </c>
      <c r="T806" s="693">
        <f t="shared" si="102"/>
        <v>0</v>
      </c>
      <c r="U806" s="1035"/>
      <c r="V806" s="690"/>
      <c r="W806" s="1025"/>
      <c r="X806" s="1030"/>
      <c r="Y806" s="694">
        <f t="shared" si="103"/>
        <v>0</v>
      </c>
      <c r="Z806" s="690"/>
      <c r="AA806" s="690"/>
      <c r="AB806" s="695">
        <f t="shared" si="104"/>
        <v>0</v>
      </c>
      <c r="AC806" s="1035"/>
      <c r="AD806" s="690"/>
      <c r="AE806" s="1025"/>
      <c r="AF806" s="1030"/>
      <c r="AG806" s="690"/>
      <c r="AH806" s="690"/>
      <c r="AI806" s="696">
        <f t="shared" si="105"/>
        <v>0</v>
      </c>
      <c r="AJ806" s="697">
        <f t="shared" si="106"/>
        <v>0</v>
      </c>
    </row>
    <row r="807" spans="1:36" s="700" customFormat="1" ht="12.75" customHeight="1">
      <c r="A807" s="755" t="s">
        <v>209</v>
      </c>
      <c r="B807" s="755" t="s">
        <v>406</v>
      </c>
      <c r="C807" s="761" t="s">
        <v>441</v>
      </c>
      <c r="D807" s="761"/>
      <c r="E807" s="760"/>
      <c r="F807" s="763"/>
      <c r="G807" s="1025"/>
      <c r="H807" s="690"/>
      <c r="I807" s="1030"/>
      <c r="J807" s="690"/>
      <c r="K807" s="1030"/>
      <c r="L807" s="690"/>
      <c r="M807" s="1025"/>
      <c r="N807" s="1030"/>
      <c r="O807" s="692">
        <f t="shared" si="99"/>
        <v>0</v>
      </c>
      <c r="P807" s="690"/>
      <c r="Q807" s="690"/>
      <c r="R807" s="691">
        <f t="shared" si="100"/>
        <v>0</v>
      </c>
      <c r="S807" s="692">
        <f t="shared" si="101"/>
        <v>0</v>
      </c>
      <c r="T807" s="693">
        <f t="shared" si="102"/>
        <v>0</v>
      </c>
      <c r="U807" s="1035"/>
      <c r="V807" s="690"/>
      <c r="W807" s="1025"/>
      <c r="X807" s="1030"/>
      <c r="Y807" s="694">
        <f t="shared" si="103"/>
        <v>0</v>
      </c>
      <c r="Z807" s="690"/>
      <c r="AA807" s="690"/>
      <c r="AB807" s="695">
        <f t="shared" si="104"/>
        <v>0</v>
      </c>
      <c r="AC807" s="1035"/>
      <c r="AD807" s="690"/>
      <c r="AE807" s="1025"/>
      <c r="AF807" s="1030"/>
      <c r="AG807" s="690"/>
      <c r="AH807" s="690"/>
      <c r="AI807" s="696">
        <f t="shared" si="105"/>
        <v>0</v>
      </c>
      <c r="AJ807" s="697">
        <f t="shared" si="106"/>
        <v>0</v>
      </c>
    </row>
    <row r="808" spans="1:36" s="700" customFormat="1" ht="12.75" customHeight="1">
      <c r="A808" s="755" t="s">
        <v>209</v>
      </c>
      <c r="B808" s="755" t="s">
        <v>406</v>
      </c>
      <c r="C808" s="759" t="s">
        <v>736</v>
      </c>
      <c r="D808" s="759"/>
      <c r="E808" s="760"/>
      <c r="F808" s="763"/>
      <c r="G808" s="1025"/>
      <c r="H808" s="690"/>
      <c r="I808" s="1030">
        <v>9363197</v>
      </c>
      <c r="J808" s="690">
        <v>9114381</v>
      </c>
      <c r="K808" s="1030"/>
      <c r="L808" s="690"/>
      <c r="M808" s="1025"/>
      <c r="N808" s="1030"/>
      <c r="O808" s="692">
        <f t="shared" si="99"/>
        <v>0</v>
      </c>
      <c r="P808" s="690"/>
      <c r="Q808" s="690"/>
      <c r="R808" s="691">
        <f t="shared" si="100"/>
        <v>0</v>
      </c>
      <c r="S808" s="692">
        <f t="shared" si="101"/>
        <v>9363197</v>
      </c>
      <c r="T808" s="693">
        <f t="shared" si="102"/>
        <v>9114381</v>
      </c>
      <c r="U808" s="1035"/>
      <c r="V808" s="690"/>
      <c r="W808" s="1025"/>
      <c r="X808" s="1030"/>
      <c r="Y808" s="694">
        <f t="shared" si="103"/>
        <v>0</v>
      </c>
      <c r="Z808" s="690"/>
      <c r="AA808" s="690"/>
      <c r="AB808" s="695">
        <f t="shared" si="104"/>
        <v>0</v>
      </c>
      <c r="AC808" s="1035"/>
      <c r="AD808" s="690"/>
      <c r="AE808" s="1025"/>
      <c r="AF808" s="1030"/>
      <c r="AG808" s="690"/>
      <c r="AH808" s="690"/>
      <c r="AI808" s="696">
        <f t="shared" si="105"/>
        <v>9363197</v>
      </c>
      <c r="AJ808" s="697">
        <f t="shared" si="106"/>
        <v>9114381</v>
      </c>
    </row>
    <row r="809" spans="1:36" s="700" customFormat="1" ht="12.75" customHeight="1">
      <c r="A809" s="755" t="s">
        <v>209</v>
      </c>
      <c r="B809" s="755" t="s">
        <v>406</v>
      </c>
      <c r="C809" s="759" t="s">
        <v>737</v>
      </c>
      <c r="D809" s="759"/>
      <c r="E809" s="760"/>
      <c r="F809" s="763"/>
      <c r="G809" s="1025"/>
      <c r="H809" s="690"/>
      <c r="I809" s="1030">
        <v>1055016</v>
      </c>
      <c r="J809" s="690">
        <v>1010453</v>
      </c>
      <c r="K809" s="1030"/>
      <c r="L809" s="690"/>
      <c r="M809" s="1025"/>
      <c r="N809" s="1030"/>
      <c r="O809" s="692">
        <f t="shared" si="99"/>
        <v>0</v>
      </c>
      <c r="P809" s="690"/>
      <c r="Q809" s="690"/>
      <c r="R809" s="691">
        <f t="shared" si="100"/>
        <v>0</v>
      </c>
      <c r="S809" s="692">
        <f t="shared" si="101"/>
        <v>1055016</v>
      </c>
      <c r="T809" s="693">
        <f t="shared" si="102"/>
        <v>1010453</v>
      </c>
      <c r="U809" s="1035"/>
      <c r="V809" s="690"/>
      <c r="W809" s="1025"/>
      <c r="X809" s="1030"/>
      <c r="Y809" s="694">
        <f t="shared" si="103"/>
        <v>0</v>
      </c>
      <c r="Z809" s="690"/>
      <c r="AA809" s="690"/>
      <c r="AB809" s="695">
        <f t="shared" si="104"/>
        <v>0</v>
      </c>
      <c r="AC809" s="1035"/>
      <c r="AD809" s="690"/>
      <c r="AE809" s="1025"/>
      <c r="AF809" s="1030"/>
      <c r="AG809" s="690"/>
      <c r="AH809" s="690"/>
      <c r="AI809" s="696">
        <f t="shared" si="105"/>
        <v>1055016</v>
      </c>
      <c r="AJ809" s="697">
        <f t="shared" si="106"/>
        <v>1010453</v>
      </c>
    </row>
    <row r="810" spans="1:36" s="700" customFormat="1" ht="12.75" customHeight="1">
      <c r="A810" s="755" t="s">
        <v>209</v>
      </c>
      <c r="B810" s="755" t="s">
        <v>407</v>
      </c>
      <c r="C810" s="761" t="s">
        <v>484</v>
      </c>
      <c r="D810" s="761"/>
      <c r="E810" s="760"/>
      <c r="F810" s="763"/>
      <c r="G810" s="1025"/>
      <c r="H810" s="690"/>
      <c r="I810" s="1030"/>
      <c r="J810" s="690"/>
      <c r="K810" s="1030"/>
      <c r="L810" s="690"/>
      <c r="M810" s="1025"/>
      <c r="N810" s="1030"/>
      <c r="O810" s="692">
        <f t="shared" si="99"/>
        <v>0</v>
      </c>
      <c r="P810" s="690"/>
      <c r="Q810" s="690"/>
      <c r="R810" s="691">
        <f t="shared" si="100"/>
        <v>0</v>
      </c>
      <c r="S810" s="692">
        <f t="shared" si="101"/>
        <v>0</v>
      </c>
      <c r="T810" s="693">
        <f t="shared" si="102"/>
        <v>0</v>
      </c>
      <c r="U810" s="1035"/>
      <c r="V810" s="690"/>
      <c r="W810" s="1025"/>
      <c r="X810" s="1030"/>
      <c r="Y810" s="694">
        <f t="shared" si="103"/>
        <v>0</v>
      </c>
      <c r="Z810" s="690"/>
      <c r="AA810" s="690"/>
      <c r="AB810" s="695">
        <f t="shared" si="104"/>
        <v>0</v>
      </c>
      <c r="AC810" s="1035"/>
      <c r="AD810" s="690"/>
      <c r="AE810" s="1025"/>
      <c r="AF810" s="1030"/>
      <c r="AG810" s="690"/>
      <c r="AH810" s="690"/>
      <c r="AI810" s="696">
        <f t="shared" si="105"/>
        <v>0</v>
      </c>
      <c r="AJ810" s="697">
        <f t="shared" si="106"/>
        <v>0</v>
      </c>
    </row>
    <row r="811" spans="1:36" s="700" customFormat="1" ht="12.75" customHeight="1">
      <c r="A811" s="755" t="s">
        <v>209</v>
      </c>
      <c r="B811" s="755" t="s">
        <v>407</v>
      </c>
      <c r="C811" s="759" t="s">
        <v>738</v>
      </c>
      <c r="D811" s="759"/>
      <c r="E811" s="760"/>
      <c r="F811" s="763"/>
      <c r="G811" s="1025"/>
      <c r="H811" s="690"/>
      <c r="I811" s="1030">
        <v>285898</v>
      </c>
      <c r="J811" s="690">
        <v>278859</v>
      </c>
      <c r="K811" s="1030"/>
      <c r="L811" s="690"/>
      <c r="M811" s="1025"/>
      <c r="N811" s="1030"/>
      <c r="O811" s="692">
        <f t="shared" si="99"/>
        <v>0</v>
      </c>
      <c r="P811" s="690"/>
      <c r="Q811" s="690"/>
      <c r="R811" s="691">
        <f t="shared" si="100"/>
        <v>0</v>
      </c>
      <c r="S811" s="692">
        <f t="shared" si="101"/>
        <v>285898</v>
      </c>
      <c r="T811" s="693">
        <f t="shared" si="102"/>
        <v>278859</v>
      </c>
      <c r="U811" s="1035"/>
      <c r="V811" s="690"/>
      <c r="W811" s="1025"/>
      <c r="X811" s="1030"/>
      <c r="Y811" s="694">
        <f t="shared" si="103"/>
        <v>0</v>
      </c>
      <c r="Z811" s="690"/>
      <c r="AA811" s="690"/>
      <c r="AB811" s="695">
        <f t="shared" si="104"/>
        <v>0</v>
      </c>
      <c r="AC811" s="1035"/>
      <c r="AD811" s="690"/>
      <c r="AE811" s="1025"/>
      <c r="AF811" s="1030"/>
      <c r="AG811" s="690"/>
      <c r="AH811" s="690"/>
      <c r="AI811" s="696">
        <f t="shared" si="105"/>
        <v>285898</v>
      </c>
      <c r="AJ811" s="697">
        <f t="shared" si="106"/>
        <v>278859</v>
      </c>
    </row>
    <row r="812" spans="1:36" s="700" customFormat="1" ht="12.75" customHeight="1">
      <c r="A812" s="755" t="s">
        <v>209</v>
      </c>
      <c r="B812" s="755" t="s">
        <v>409</v>
      </c>
      <c r="C812" s="764" t="s">
        <v>157</v>
      </c>
      <c r="D812" s="764"/>
      <c r="E812" s="760"/>
      <c r="F812" s="763"/>
      <c r="G812" s="1025"/>
      <c r="H812" s="690"/>
      <c r="I812" s="1030"/>
      <c r="J812" s="690"/>
      <c r="K812" s="1030"/>
      <c r="L812" s="690"/>
      <c r="M812" s="1025"/>
      <c r="N812" s="1030"/>
      <c r="O812" s="692">
        <f t="shared" si="99"/>
        <v>0</v>
      </c>
      <c r="P812" s="690"/>
      <c r="Q812" s="690"/>
      <c r="R812" s="691">
        <f t="shared" si="100"/>
        <v>0</v>
      </c>
      <c r="S812" s="692">
        <f t="shared" si="101"/>
        <v>0</v>
      </c>
      <c r="T812" s="693">
        <f t="shared" si="102"/>
        <v>0</v>
      </c>
      <c r="U812" s="1035"/>
      <c r="V812" s="690"/>
      <c r="W812" s="1025"/>
      <c r="X812" s="1030"/>
      <c r="Y812" s="694">
        <f t="shared" si="103"/>
        <v>0</v>
      </c>
      <c r="Z812" s="690"/>
      <c r="AA812" s="690"/>
      <c r="AB812" s="695">
        <f t="shared" si="104"/>
        <v>0</v>
      </c>
      <c r="AC812" s="1035"/>
      <c r="AD812" s="690"/>
      <c r="AE812" s="1025"/>
      <c r="AF812" s="1030"/>
      <c r="AG812" s="690"/>
      <c r="AH812" s="690"/>
      <c r="AI812" s="696">
        <f t="shared" si="105"/>
        <v>0</v>
      </c>
      <c r="AJ812" s="697">
        <f t="shared" si="106"/>
        <v>0</v>
      </c>
    </row>
    <row r="813" spans="1:36" s="700" customFormat="1" ht="12.75" customHeight="1">
      <c r="A813" s="755" t="s">
        <v>209</v>
      </c>
      <c r="B813" s="755" t="s">
        <v>410</v>
      </c>
      <c r="C813" s="761" t="s">
        <v>200</v>
      </c>
      <c r="D813" s="761"/>
      <c r="E813" s="760"/>
      <c r="F813" s="763"/>
      <c r="G813" s="1025"/>
      <c r="H813" s="690"/>
      <c r="I813" s="1030"/>
      <c r="J813" s="690"/>
      <c r="K813" s="1030"/>
      <c r="L813" s="690"/>
      <c r="M813" s="1025"/>
      <c r="N813" s="1030"/>
      <c r="O813" s="692">
        <f t="shared" si="99"/>
        <v>0</v>
      </c>
      <c r="P813" s="690"/>
      <c r="Q813" s="690"/>
      <c r="R813" s="691">
        <f t="shared" si="100"/>
        <v>0</v>
      </c>
      <c r="S813" s="692">
        <f t="shared" si="101"/>
        <v>0</v>
      </c>
      <c r="T813" s="693">
        <f t="shared" si="102"/>
        <v>0</v>
      </c>
      <c r="U813" s="1035"/>
      <c r="V813" s="690"/>
      <c r="W813" s="1025"/>
      <c r="X813" s="1030"/>
      <c r="Y813" s="694">
        <f t="shared" si="103"/>
        <v>0</v>
      </c>
      <c r="Z813" s="690"/>
      <c r="AA813" s="690"/>
      <c r="AB813" s="695">
        <f t="shared" si="104"/>
        <v>0</v>
      </c>
      <c r="AC813" s="1035"/>
      <c r="AD813" s="690"/>
      <c r="AE813" s="1025"/>
      <c r="AF813" s="1030"/>
      <c r="AG813" s="690"/>
      <c r="AH813" s="690"/>
      <c r="AI813" s="696">
        <f t="shared" si="105"/>
        <v>0</v>
      </c>
      <c r="AJ813" s="697">
        <f t="shared" si="106"/>
        <v>0</v>
      </c>
    </row>
    <row r="814" spans="1:36" s="700" customFormat="1" ht="12.75" customHeight="1">
      <c r="A814" s="755" t="s">
        <v>209</v>
      </c>
      <c r="B814" s="755" t="s">
        <v>410</v>
      </c>
      <c r="C814" s="759" t="s">
        <v>739</v>
      </c>
      <c r="D814" s="759"/>
      <c r="E814" s="760"/>
      <c r="F814" s="765"/>
      <c r="G814" s="1025"/>
      <c r="H814" s="690"/>
      <c r="I814" s="1030"/>
      <c r="J814" s="690"/>
      <c r="K814" s="1030"/>
      <c r="L814" s="690"/>
      <c r="M814" s="1025"/>
      <c r="N814" s="1030"/>
      <c r="O814" s="692">
        <f t="shared" si="99"/>
        <v>0</v>
      </c>
      <c r="P814" s="690"/>
      <c r="Q814" s="690"/>
      <c r="R814" s="691">
        <f t="shared" si="100"/>
        <v>0</v>
      </c>
      <c r="S814" s="692">
        <f t="shared" si="101"/>
        <v>0</v>
      </c>
      <c r="T814" s="693">
        <f t="shared" si="102"/>
        <v>0</v>
      </c>
      <c r="U814" s="1035">
        <v>4092033</v>
      </c>
      <c r="V814" s="690">
        <v>4690945</v>
      </c>
      <c r="W814" s="1025"/>
      <c r="X814" s="1030"/>
      <c r="Y814" s="694">
        <f t="shared" si="103"/>
        <v>0</v>
      </c>
      <c r="Z814" s="690"/>
      <c r="AA814" s="690"/>
      <c r="AB814" s="695">
        <f t="shared" si="104"/>
        <v>0</v>
      </c>
      <c r="AC814" s="1035"/>
      <c r="AD814" s="690"/>
      <c r="AE814" s="1025"/>
      <c r="AF814" s="1030"/>
      <c r="AG814" s="690"/>
      <c r="AH814" s="690"/>
      <c r="AI814" s="696">
        <f t="shared" si="105"/>
        <v>4092033</v>
      </c>
      <c r="AJ814" s="697">
        <f t="shared" si="106"/>
        <v>4690945</v>
      </c>
    </row>
    <row r="815" spans="1:36" s="700" customFormat="1" ht="12.75" customHeight="1">
      <c r="A815" s="755" t="s">
        <v>209</v>
      </c>
      <c r="B815" s="755" t="s">
        <v>412</v>
      </c>
      <c r="C815" s="761" t="s">
        <v>198</v>
      </c>
      <c r="D815" s="761"/>
      <c r="E815" s="760"/>
      <c r="F815" s="763"/>
      <c r="G815" s="1025"/>
      <c r="H815" s="690"/>
      <c r="I815" s="1030"/>
      <c r="J815" s="690"/>
      <c r="K815" s="1030"/>
      <c r="L815" s="690"/>
      <c r="M815" s="1025"/>
      <c r="N815" s="1030"/>
      <c r="O815" s="692">
        <f t="shared" si="99"/>
        <v>0</v>
      </c>
      <c r="P815" s="690"/>
      <c r="Q815" s="690"/>
      <c r="R815" s="691">
        <f t="shared" si="100"/>
        <v>0</v>
      </c>
      <c r="S815" s="692">
        <f t="shared" si="101"/>
        <v>0</v>
      </c>
      <c r="T815" s="693">
        <f t="shared" si="102"/>
        <v>0</v>
      </c>
      <c r="U815" s="1035"/>
      <c r="V815" s="690"/>
      <c r="W815" s="1025"/>
      <c r="X815" s="1030"/>
      <c r="Y815" s="694">
        <f t="shared" si="103"/>
        <v>0</v>
      </c>
      <c r="Z815" s="690"/>
      <c r="AA815" s="690"/>
      <c r="AB815" s="695">
        <f t="shared" si="104"/>
        <v>0</v>
      </c>
      <c r="AC815" s="1035"/>
      <c r="AD815" s="690"/>
      <c r="AE815" s="1025"/>
      <c r="AF815" s="1030"/>
      <c r="AG815" s="690"/>
      <c r="AH815" s="690"/>
      <c r="AI815" s="696">
        <f t="shared" si="105"/>
        <v>0</v>
      </c>
      <c r="AJ815" s="697">
        <f t="shared" si="106"/>
        <v>0</v>
      </c>
    </row>
    <row r="816" spans="1:36" s="700" customFormat="1" ht="12.75" customHeight="1">
      <c r="A816" s="755" t="s">
        <v>209</v>
      </c>
      <c r="B816" s="755" t="s">
        <v>412</v>
      </c>
      <c r="C816" s="759" t="s">
        <v>740</v>
      </c>
      <c r="D816" s="759"/>
      <c r="E816" s="760"/>
      <c r="F816" s="763"/>
      <c r="G816" s="1025"/>
      <c r="H816" s="690"/>
      <c r="I816" s="1030"/>
      <c r="J816" s="690"/>
      <c r="K816" s="1030"/>
      <c r="L816" s="690"/>
      <c r="M816" s="1025"/>
      <c r="N816" s="1030"/>
      <c r="O816" s="692">
        <f t="shared" si="99"/>
        <v>0</v>
      </c>
      <c r="P816" s="690"/>
      <c r="Q816" s="690"/>
      <c r="R816" s="691">
        <f t="shared" si="100"/>
        <v>0</v>
      </c>
      <c r="S816" s="692">
        <f t="shared" si="101"/>
        <v>0</v>
      </c>
      <c r="T816" s="693">
        <f t="shared" si="102"/>
        <v>0</v>
      </c>
      <c r="U816" s="1035">
        <v>193550</v>
      </c>
      <c r="V816" s="690">
        <v>193550</v>
      </c>
      <c r="W816" s="1025"/>
      <c r="X816" s="1030"/>
      <c r="Y816" s="694">
        <f t="shared" si="103"/>
        <v>0</v>
      </c>
      <c r="Z816" s="690"/>
      <c r="AA816" s="690"/>
      <c r="AB816" s="695">
        <f t="shared" si="104"/>
        <v>0</v>
      </c>
      <c r="AC816" s="1035"/>
      <c r="AD816" s="690"/>
      <c r="AE816" s="1025"/>
      <c r="AF816" s="1030"/>
      <c r="AG816" s="690"/>
      <c r="AH816" s="690"/>
      <c r="AI816" s="696">
        <f t="shared" si="105"/>
        <v>193550</v>
      </c>
      <c r="AJ816" s="697">
        <f t="shared" si="106"/>
        <v>193550</v>
      </c>
    </row>
    <row r="817" spans="1:36" s="700" customFormat="1" ht="12.75" customHeight="1">
      <c r="A817" s="755" t="s">
        <v>209</v>
      </c>
      <c r="B817" s="755" t="s">
        <v>413</v>
      </c>
      <c r="C817" s="761" t="s">
        <v>632</v>
      </c>
      <c r="D817" s="761"/>
      <c r="E817" s="760"/>
      <c r="F817" s="763"/>
      <c r="G817" s="1025"/>
      <c r="H817" s="690"/>
      <c r="I817" s="1030"/>
      <c r="J817" s="690"/>
      <c r="K817" s="1030"/>
      <c r="L817" s="690"/>
      <c r="M817" s="1025"/>
      <c r="N817" s="1030"/>
      <c r="O817" s="692">
        <f t="shared" si="99"/>
        <v>0</v>
      </c>
      <c r="P817" s="690"/>
      <c r="Q817" s="690"/>
      <c r="R817" s="691">
        <f t="shared" si="100"/>
        <v>0</v>
      </c>
      <c r="S817" s="692">
        <f t="shared" si="101"/>
        <v>0</v>
      </c>
      <c r="T817" s="693">
        <f t="shared" si="102"/>
        <v>0</v>
      </c>
      <c r="U817" s="1035"/>
      <c r="V817" s="690"/>
      <c r="W817" s="1025"/>
      <c r="X817" s="1030"/>
      <c r="Y817" s="694">
        <f t="shared" si="103"/>
        <v>0</v>
      </c>
      <c r="Z817" s="690"/>
      <c r="AA817" s="690"/>
      <c r="AB817" s="695">
        <f t="shared" si="104"/>
        <v>0</v>
      </c>
      <c r="AC817" s="1035"/>
      <c r="AD817" s="690"/>
      <c r="AE817" s="1025"/>
      <c r="AF817" s="1030"/>
      <c r="AG817" s="690"/>
      <c r="AH817" s="690"/>
      <c r="AI817" s="696">
        <f t="shared" si="105"/>
        <v>0</v>
      </c>
      <c r="AJ817" s="697">
        <f t="shared" si="106"/>
        <v>0</v>
      </c>
    </row>
    <row r="818" spans="1:36" s="700" customFormat="1" ht="12.75" customHeight="1">
      <c r="A818" s="755" t="s">
        <v>209</v>
      </c>
      <c r="B818" s="755" t="s">
        <v>414</v>
      </c>
      <c r="C818" s="764" t="s">
        <v>160</v>
      </c>
      <c r="D818" s="764"/>
      <c r="E818" s="760"/>
      <c r="F818" s="763"/>
      <c r="G818" s="1025"/>
      <c r="H818" s="690"/>
      <c r="I818" s="1030"/>
      <c r="J818" s="690"/>
      <c r="K818" s="1030"/>
      <c r="L818" s="690"/>
      <c r="M818" s="1025"/>
      <c r="N818" s="1030"/>
      <c r="O818" s="692">
        <f t="shared" si="99"/>
        <v>0</v>
      </c>
      <c r="P818" s="690"/>
      <c r="Q818" s="690"/>
      <c r="R818" s="691">
        <f t="shared" si="100"/>
        <v>0</v>
      </c>
      <c r="S818" s="692">
        <f t="shared" si="101"/>
        <v>0</v>
      </c>
      <c r="T818" s="693">
        <f t="shared" si="102"/>
        <v>0</v>
      </c>
      <c r="U818" s="1035"/>
      <c r="V818" s="690"/>
      <c r="W818" s="1025"/>
      <c r="X818" s="1030"/>
      <c r="Y818" s="694">
        <f t="shared" si="103"/>
        <v>0</v>
      </c>
      <c r="Z818" s="690"/>
      <c r="AA818" s="690"/>
      <c r="AB818" s="695">
        <f t="shared" si="104"/>
        <v>0</v>
      </c>
      <c r="AC818" s="1035"/>
      <c r="AD818" s="690"/>
      <c r="AE818" s="1025"/>
      <c r="AF818" s="1030"/>
      <c r="AG818" s="690"/>
      <c r="AH818" s="690"/>
      <c r="AI818" s="696">
        <f t="shared" si="105"/>
        <v>0</v>
      </c>
      <c r="AJ818" s="697">
        <f t="shared" si="106"/>
        <v>0</v>
      </c>
    </row>
    <row r="819" spans="1:36" s="700" customFormat="1" ht="12.75" customHeight="1">
      <c r="A819" s="755" t="s">
        <v>209</v>
      </c>
      <c r="B819" s="755" t="s">
        <v>414</v>
      </c>
      <c r="C819" s="759" t="s">
        <v>741</v>
      </c>
      <c r="D819" s="759"/>
      <c r="E819" s="760"/>
      <c r="F819" s="763"/>
      <c r="G819" s="1025"/>
      <c r="H819" s="690"/>
      <c r="I819" s="1030"/>
      <c r="J819" s="690"/>
      <c r="K819" s="1030"/>
      <c r="L819" s="690"/>
      <c r="M819" s="1025"/>
      <c r="N819" s="1030"/>
      <c r="O819" s="692">
        <f t="shared" si="99"/>
        <v>0</v>
      </c>
      <c r="P819" s="690"/>
      <c r="Q819" s="690"/>
      <c r="R819" s="691">
        <f t="shared" si="100"/>
        <v>0</v>
      </c>
      <c r="S819" s="692">
        <f t="shared" si="101"/>
        <v>0</v>
      </c>
      <c r="T819" s="693">
        <f t="shared" si="102"/>
        <v>0</v>
      </c>
      <c r="U819" s="1035">
        <v>4946237</v>
      </c>
      <c r="V819" s="690">
        <v>4660188</v>
      </c>
      <c r="W819" s="1025"/>
      <c r="X819" s="1030"/>
      <c r="Y819" s="694">
        <f t="shared" si="103"/>
        <v>0</v>
      </c>
      <c r="Z819" s="690"/>
      <c r="AA819" s="690"/>
      <c r="AB819" s="695">
        <f t="shared" si="104"/>
        <v>0</v>
      </c>
      <c r="AC819" s="1035"/>
      <c r="AD819" s="690"/>
      <c r="AE819" s="1025"/>
      <c r="AF819" s="1030"/>
      <c r="AG819" s="690"/>
      <c r="AH819" s="690"/>
      <c r="AI819" s="696">
        <f t="shared" si="105"/>
        <v>4946237</v>
      </c>
      <c r="AJ819" s="697">
        <f t="shared" si="106"/>
        <v>4660188</v>
      </c>
    </row>
    <row r="820" spans="1:36" s="700" customFormat="1" ht="12.75" customHeight="1">
      <c r="A820" s="755" t="s">
        <v>209</v>
      </c>
      <c r="B820" s="755" t="s">
        <v>414</v>
      </c>
      <c r="C820" s="759" t="s">
        <v>742</v>
      </c>
      <c r="D820" s="759"/>
      <c r="E820" s="760"/>
      <c r="F820" s="763"/>
      <c r="G820" s="1025"/>
      <c r="H820" s="690"/>
      <c r="I820" s="1030"/>
      <c r="J820" s="690"/>
      <c r="K820" s="1030"/>
      <c r="L820" s="690"/>
      <c r="M820" s="1025"/>
      <c r="N820" s="1030"/>
      <c r="O820" s="692">
        <f t="shared" si="99"/>
        <v>0</v>
      </c>
      <c r="P820" s="690"/>
      <c r="Q820" s="690"/>
      <c r="R820" s="691">
        <f t="shared" si="100"/>
        <v>0</v>
      </c>
      <c r="S820" s="692">
        <f t="shared" si="101"/>
        <v>0</v>
      </c>
      <c r="T820" s="693">
        <f t="shared" si="102"/>
        <v>0</v>
      </c>
      <c r="U820" s="1035">
        <v>416685</v>
      </c>
      <c r="V820" s="690">
        <v>400018</v>
      </c>
      <c r="W820" s="1025"/>
      <c r="X820" s="1030"/>
      <c r="Y820" s="694">
        <f t="shared" si="103"/>
        <v>0</v>
      </c>
      <c r="Z820" s="690"/>
      <c r="AA820" s="690"/>
      <c r="AB820" s="695">
        <f t="shared" si="104"/>
        <v>0</v>
      </c>
      <c r="AC820" s="1035"/>
      <c r="AD820" s="690"/>
      <c r="AE820" s="1025"/>
      <c r="AF820" s="1030"/>
      <c r="AG820" s="690"/>
      <c r="AH820" s="690"/>
      <c r="AI820" s="696">
        <f t="shared" si="105"/>
        <v>416685</v>
      </c>
      <c r="AJ820" s="697">
        <f t="shared" si="106"/>
        <v>400018</v>
      </c>
    </row>
    <row r="821" spans="1:36" s="700" customFormat="1" ht="12.75" customHeight="1">
      <c r="A821" s="755" t="s">
        <v>209</v>
      </c>
      <c r="B821" s="755" t="s">
        <v>414</v>
      </c>
      <c r="C821" s="759" t="s">
        <v>743</v>
      </c>
      <c r="D821" s="759"/>
      <c r="E821" s="760"/>
      <c r="F821" s="763"/>
      <c r="G821" s="1025"/>
      <c r="H821" s="690"/>
      <c r="I821" s="1030"/>
      <c r="J821" s="690"/>
      <c r="K821" s="1030"/>
      <c r="L821" s="690"/>
      <c r="M821" s="1025"/>
      <c r="N821" s="1030"/>
      <c r="O821" s="692">
        <f t="shared" si="99"/>
        <v>0</v>
      </c>
      <c r="P821" s="690"/>
      <c r="Q821" s="690"/>
      <c r="R821" s="691">
        <f t="shared" si="100"/>
        <v>0</v>
      </c>
      <c r="S821" s="692">
        <f t="shared" si="101"/>
        <v>0</v>
      </c>
      <c r="T821" s="693">
        <f t="shared" si="102"/>
        <v>0</v>
      </c>
      <c r="U821" s="1035">
        <v>1120396</v>
      </c>
      <c r="V821" s="690">
        <v>1120396</v>
      </c>
      <c r="W821" s="1025"/>
      <c r="X821" s="1030"/>
      <c r="Y821" s="694">
        <f t="shared" si="103"/>
        <v>0</v>
      </c>
      <c r="Z821" s="690"/>
      <c r="AA821" s="690"/>
      <c r="AB821" s="695">
        <f t="shared" si="104"/>
        <v>0</v>
      </c>
      <c r="AC821" s="1035"/>
      <c r="AD821" s="690"/>
      <c r="AE821" s="1025"/>
      <c r="AF821" s="1030"/>
      <c r="AG821" s="690"/>
      <c r="AH821" s="690"/>
      <c r="AI821" s="696">
        <f t="shared" si="105"/>
        <v>1120396</v>
      </c>
      <c r="AJ821" s="697">
        <f t="shared" si="106"/>
        <v>1120396</v>
      </c>
    </row>
    <row r="822" spans="1:36" s="700" customFormat="1" ht="12.75" customHeight="1">
      <c r="A822" s="755" t="s">
        <v>209</v>
      </c>
      <c r="B822" s="755" t="s">
        <v>414</v>
      </c>
      <c r="C822" s="759" t="s">
        <v>744</v>
      </c>
      <c r="D822" s="759"/>
      <c r="E822" s="760"/>
      <c r="F822" s="763"/>
      <c r="G822" s="1025"/>
      <c r="H822" s="690"/>
      <c r="I822" s="1030"/>
      <c r="J822" s="690"/>
      <c r="K822" s="1030"/>
      <c r="L822" s="690"/>
      <c r="M822" s="1025"/>
      <c r="N822" s="1030"/>
      <c r="O822" s="692">
        <f t="shared" si="99"/>
        <v>0</v>
      </c>
      <c r="P822" s="690"/>
      <c r="Q822" s="690"/>
      <c r="R822" s="691">
        <f t="shared" si="100"/>
        <v>0</v>
      </c>
      <c r="S822" s="692">
        <f t="shared" si="101"/>
        <v>0</v>
      </c>
      <c r="T822" s="693">
        <f t="shared" si="102"/>
        <v>0</v>
      </c>
      <c r="U822" s="1035">
        <v>3466492</v>
      </c>
      <c r="V822" s="690">
        <v>3260832</v>
      </c>
      <c r="W822" s="1025"/>
      <c r="X822" s="1030"/>
      <c r="Y822" s="694">
        <f t="shared" si="103"/>
        <v>0</v>
      </c>
      <c r="Z822" s="690"/>
      <c r="AA822" s="690"/>
      <c r="AB822" s="695">
        <f t="shared" si="104"/>
        <v>0</v>
      </c>
      <c r="AC822" s="1035"/>
      <c r="AD822" s="690"/>
      <c r="AE822" s="1025"/>
      <c r="AF822" s="1030"/>
      <c r="AG822" s="690"/>
      <c r="AH822" s="690"/>
      <c r="AI822" s="696">
        <f t="shared" si="105"/>
        <v>3466492</v>
      </c>
      <c r="AJ822" s="697">
        <f t="shared" si="106"/>
        <v>3260832</v>
      </c>
    </row>
    <row r="823" spans="1:36" s="700" customFormat="1" ht="12.75" customHeight="1">
      <c r="A823" s="755" t="s">
        <v>209</v>
      </c>
      <c r="B823" s="755" t="s">
        <v>414</v>
      </c>
      <c r="C823" s="759" t="s">
        <v>745</v>
      </c>
      <c r="D823" s="759"/>
      <c r="E823" s="760"/>
      <c r="F823" s="763"/>
      <c r="G823" s="1025"/>
      <c r="H823" s="690"/>
      <c r="I823" s="1030"/>
      <c r="J823" s="690"/>
      <c r="K823" s="1030"/>
      <c r="L823" s="690"/>
      <c r="M823" s="1025"/>
      <c r="N823" s="1030"/>
      <c r="O823" s="692">
        <f t="shared" si="99"/>
        <v>0</v>
      </c>
      <c r="P823" s="690"/>
      <c r="Q823" s="690"/>
      <c r="R823" s="691">
        <f t="shared" si="100"/>
        <v>0</v>
      </c>
      <c r="S823" s="692">
        <f t="shared" si="101"/>
        <v>0</v>
      </c>
      <c r="T823" s="693">
        <f t="shared" si="102"/>
        <v>0</v>
      </c>
      <c r="U823" s="1035">
        <v>2543065</v>
      </c>
      <c r="V823" s="690">
        <v>2396335</v>
      </c>
      <c r="W823" s="1025"/>
      <c r="X823" s="1030"/>
      <c r="Y823" s="694">
        <f t="shared" si="103"/>
        <v>0</v>
      </c>
      <c r="Z823" s="690"/>
      <c r="AA823" s="690"/>
      <c r="AB823" s="695">
        <f t="shared" si="104"/>
        <v>0</v>
      </c>
      <c r="AC823" s="1035"/>
      <c r="AD823" s="690"/>
      <c r="AE823" s="1025"/>
      <c r="AF823" s="1030"/>
      <c r="AG823" s="690"/>
      <c r="AH823" s="690"/>
      <c r="AI823" s="696">
        <f t="shared" si="105"/>
        <v>2543065</v>
      </c>
      <c r="AJ823" s="697">
        <f t="shared" si="106"/>
        <v>2396335</v>
      </c>
    </row>
    <row r="824" spans="1:36" s="700" customFormat="1" ht="12.75" customHeight="1">
      <c r="A824" s="755" t="s">
        <v>209</v>
      </c>
      <c r="B824" s="755" t="s">
        <v>414</v>
      </c>
      <c r="C824" s="759" t="s">
        <v>746</v>
      </c>
      <c r="D824" s="759"/>
      <c r="E824" s="760"/>
      <c r="F824" s="763"/>
      <c r="G824" s="1025"/>
      <c r="H824" s="690"/>
      <c r="I824" s="1030"/>
      <c r="J824" s="690"/>
      <c r="K824" s="1030"/>
      <c r="L824" s="690"/>
      <c r="M824" s="1025"/>
      <c r="N824" s="1030"/>
      <c r="O824" s="692">
        <f t="shared" si="99"/>
        <v>0</v>
      </c>
      <c r="P824" s="690"/>
      <c r="Q824" s="690"/>
      <c r="R824" s="691">
        <f t="shared" si="100"/>
        <v>0</v>
      </c>
      <c r="S824" s="692">
        <f t="shared" si="101"/>
        <v>0</v>
      </c>
      <c r="T824" s="693">
        <f t="shared" si="102"/>
        <v>0</v>
      </c>
      <c r="U824" s="1035">
        <v>1976680</v>
      </c>
      <c r="V824" s="690">
        <v>1862629</v>
      </c>
      <c r="W824" s="1025"/>
      <c r="X824" s="1030"/>
      <c r="Y824" s="694">
        <f t="shared" si="103"/>
        <v>0</v>
      </c>
      <c r="Z824" s="690"/>
      <c r="AA824" s="690"/>
      <c r="AB824" s="695">
        <f t="shared" si="104"/>
        <v>0</v>
      </c>
      <c r="AC824" s="1035"/>
      <c r="AD824" s="690"/>
      <c r="AE824" s="1025"/>
      <c r="AF824" s="1030"/>
      <c r="AG824" s="690"/>
      <c r="AH824" s="690"/>
      <c r="AI824" s="696">
        <f t="shared" si="105"/>
        <v>1976680</v>
      </c>
      <c r="AJ824" s="697">
        <f t="shared" si="106"/>
        <v>1862629</v>
      </c>
    </row>
    <row r="825" spans="1:36" s="700" customFormat="1" ht="12.75" customHeight="1">
      <c r="A825" s="755" t="s">
        <v>209</v>
      </c>
      <c r="B825" s="755" t="s">
        <v>414</v>
      </c>
      <c r="C825" s="759" t="s">
        <v>747</v>
      </c>
      <c r="D825" s="759"/>
      <c r="E825" s="760"/>
      <c r="F825" s="763"/>
      <c r="G825" s="1025"/>
      <c r="H825" s="690"/>
      <c r="I825" s="1030"/>
      <c r="J825" s="690"/>
      <c r="K825" s="1030"/>
      <c r="L825" s="690"/>
      <c r="M825" s="1025"/>
      <c r="N825" s="1030"/>
      <c r="O825" s="692">
        <f t="shared" si="99"/>
        <v>0</v>
      </c>
      <c r="P825" s="690"/>
      <c r="Q825" s="690"/>
      <c r="R825" s="691">
        <f t="shared" si="100"/>
        <v>0</v>
      </c>
      <c r="S825" s="692">
        <f t="shared" si="101"/>
        <v>0</v>
      </c>
      <c r="T825" s="693">
        <f t="shared" si="102"/>
        <v>0</v>
      </c>
      <c r="U825" s="1035">
        <v>2202103</v>
      </c>
      <c r="V825" s="690">
        <v>2075045</v>
      </c>
      <c r="W825" s="1025"/>
      <c r="X825" s="1030"/>
      <c r="Y825" s="694">
        <f t="shared" si="103"/>
        <v>0</v>
      </c>
      <c r="Z825" s="690"/>
      <c r="AA825" s="690"/>
      <c r="AB825" s="695">
        <f t="shared" si="104"/>
        <v>0</v>
      </c>
      <c r="AC825" s="1035"/>
      <c r="AD825" s="690"/>
      <c r="AE825" s="1025"/>
      <c r="AF825" s="1030"/>
      <c r="AG825" s="690"/>
      <c r="AH825" s="690"/>
      <c r="AI825" s="696">
        <f t="shared" si="105"/>
        <v>2202103</v>
      </c>
      <c r="AJ825" s="697">
        <f t="shared" si="106"/>
        <v>2075045</v>
      </c>
    </row>
    <row r="826" spans="1:36" s="700" customFormat="1" ht="12.75" customHeight="1">
      <c r="A826" s="755" t="s">
        <v>209</v>
      </c>
      <c r="B826" s="755" t="s">
        <v>414</v>
      </c>
      <c r="C826" s="759" t="s">
        <v>748</v>
      </c>
      <c r="D826" s="759"/>
      <c r="E826" s="760"/>
      <c r="F826" s="763"/>
      <c r="G826" s="1025"/>
      <c r="H826" s="690"/>
      <c r="I826" s="1030"/>
      <c r="J826" s="690"/>
      <c r="K826" s="1030"/>
      <c r="L826" s="690"/>
      <c r="M826" s="1025"/>
      <c r="N826" s="1030"/>
      <c r="O826" s="692">
        <f t="shared" si="99"/>
        <v>0</v>
      </c>
      <c r="P826" s="690"/>
      <c r="Q826" s="690"/>
      <c r="R826" s="691">
        <f t="shared" si="100"/>
        <v>0</v>
      </c>
      <c r="S826" s="692">
        <f t="shared" si="101"/>
        <v>0</v>
      </c>
      <c r="T826" s="693">
        <f t="shared" si="102"/>
        <v>0</v>
      </c>
      <c r="U826" s="1035">
        <v>94666</v>
      </c>
      <c r="V826" s="690">
        <v>89204</v>
      </c>
      <c r="W826" s="1025"/>
      <c r="X826" s="1030"/>
      <c r="Y826" s="694">
        <f t="shared" si="103"/>
        <v>0</v>
      </c>
      <c r="Z826" s="690"/>
      <c r="AA826" s="690"/>
      <c r="AB826" s="695">
        <f t="shared" si="104"/>
        <v>0</v>
      </c>
      <c r="AC826" s="1035"/>
      <c r="AD826" s="690"/>
      <c r="AE826" s="1025"/>
      <c r="AF826" s="1030"/>
      <c r="AG826" s="690"/>
      <c r="AH826" s="690"/>
      <c r="AI826" s="696">
        <f t="shared" si="105"/>
        <v>94666</v>
      </c>
      <c r="AJ826" s="697">
        <f t="shared" si="106"/>
        <v>89204</v>
      </c>
    </row>
    <row r="827" spans="1:36" s="700" customFormat="1" ht="12.75" customHeight="1">
      <c r="A827" s="755" t="s">
        <v>209</v>
      </c>
      <c r="B827" s="755" t="s">
        <v>415</v>
      </c>
      <c r="C827" s="764" t="s">
        <v>165</v>
      </c>
      <c r="D827" s="764"/>
      <c r="E827" s="760"/>
      <c r="F827" s="763"/>
      <c r="G827" s="1025"/>
      <c r="H827" s="690"/>
      <c r="I827" s="1030"/>
      <c r="J827" s="690"/>
      <c r="K827" s="1030"/>
      <c r="L827" s="690"/>
      <c r="M827" s="1025"/>
      <c r="N827" s="1030"/>
      <c r="O827" s="692">
        <f t="shared" si="99"/>
        <v>0</v>
      </c>
      <c r="P827" s="690"/>
      <c r="Q827" s="690"/>
      <c r="R827" s="691">
        <f t="shared" si="100"/>
        <v>0</v>
      </c>
      <c r="S827" s="692">
        <f t="shared" si="101"/>
        <v>0</v>
      </c>
      <c r="T827" s="693">
        <f t="shared" si="102"/>
        <v>0</v>
      </c>
      <c r="U827" s="1035"/>
      <c r="V827" s="690"/>
      <c r="W827" s="1025"/>
      <c r="X827" s="1030"/>
      <c r="Y827" s="694">
        <f t="shared" si="103"/>
        <v>0</v>
      </c>
      <c r="Z827" s="690"/>
      <c r="AA827" s="690"/>
      <c r="AB827" s="695">
        <f t="shared" si="104"/>
        <v>0</v>
      </c>
      <c r="AC827" s="1035"/>
      <c r="AD827" s="690"/>
      <c r="AE827" s="1025"/>
      <c r="AF827" s="1030"/>
      <c r="AG827" s="690"/>
      <c r="AH827" s="690"/>
      <c r="AI827" s="696">
        <f t="shared" si="105"/>
        <v>0</v>
      </c>
      <c r="AJ827" s="697">
        <f t="shared" si="106"/>
        <v>0</v>
      </c>
    </row>
    <row r="828" spans="1:36" s="700" customFormat="1" ht="12.75" customHeight="1">
      <c r="A828" s="755" t="s">
        <v>209</v>
      </c>
      <c r="B828" s="755" t="s">
        <v>416</v>
      </c>
      <c r="C828" s="761" t="s">
        <v>166</v>
      </c>
      <c r="D828" s="761"/>
      <c r="E828" s="760"/>
      <c r="F828" s="763"/>
      <c r="G828" s="1025"/>
      <c r="H828" s="690"/>
      <c r="I828" s="1030"/>
      <c r="J828" s="690"/>
      <c r="K828" s="1030"/>
      <c r="L828" s="690"/>
      <c r="M828" s="1025"/>
      <c r="N828" s="1030"/>
      <c r="O828" s="692">
        <f t="shared" si="99"/>
        <v>0</v>
      </c>
      <c r="P828" s="690"/>
      <c r="Q828" s="690"/>
      <c r="R828" s="691">
        <f t="shared" si="100"/>
        <v>0</v>
      </c>
      <c r="S828" s="692">
        <f t="shared" si="101"/>
        <v>0</v>
      </c>
      <c r="T828" s="693">
        <f t="shared" si="102"/>
        <v>0</v>
      </c>
      <c r="U828" s="1035"/>
      <c r="V828" s="690"/>
      <c r="W828" s="1025"/>
      <c r="X828" s="1030"/>
      <c r="Y828" s="694">
        <f t="shared" si="103"/>
        <v>0</v>
      </c>
      <c r="Z828" s="690"/>
      <c r="AA828" s="690"/>
      <c r="AB828" s="695">
        <f t="shared" si="104"/>
        <v>0</v>
      </c>
      <c r="AC828" s="1035"/>
      <c r="AD828" s="690"/>
      <c r="AE828" s="1025"/>
      <c r="AF828" s="1030"/>
      <c r="AG828" s="690"/>
      <c r="AH828" s="690"/>
      <c r="AI828" s="696">
        <f t="shared" si="105"/>
        <v>0</v>
      </c>
      <c r="AJ828" s="697">
        <f t="shared" si="106"/>
        <v>0</v>
      </c>
    </row>
    <row r="829" spans="1:36" s="700" customFormat="1" ht="12.75" customHeight="1">
      <c r="A829" s="755" t="s">
        <v>209</v>
      </c>
      <c r="B829" s="755" t="s">
        <v>417</v>
      </c>
      <c r="C829" s="761" t="s">
        <v>168</v>
      </c>
      <c r="D829" s="761"/>
      <c r="E829" s="760"/>
      <c r="F829" s="763"/>
      <c r="G829" s="1025"/>
      <c r="H829" s="690"/>
      <c r="I829" s="1030"/>
      <c r="J829" s="690"/>
      <c r="K829" s="1030"/>
      <c r="L829" s="690"/>
      <c r="M829" s="1025"/>
      <c r="N829" s="1030"/>
      <c r="O829" s="692">
        <f t="shared" si="99"/>
        <v>0</v>
      </c>
      <c r="P829" s="690"/>
      <c r="Q829" s="690"/>
      <c r="R829" s="691">
        <f t="shared" si="100"/>
        <v>0</v>
      </c>
      <c r="S829" s="692">
        <f t="shared" si="101"/>
        <v>0</v>
      </c>
      <c r="T829" s="693">
        <f t="shared" si="102"/>
        <v>0</v>
      </c>
      <c r="U829" s="1035"/>
      <c r="V829" s="690"/>
      <c r="W829" s="1025"/>
      <c r="X829" s="1030"/>
      <c r="Y829" s="694">
        <f t="shared" si="103"/>
        <v>0</v>
      </c>
      <c r="Z829" s="690"/>
      <c r="AA829" s="690"/>
      <c r="AB829" s="695">
        <f t="shared" si="104"/>
        <v>0</v>
      </c>
      <c r="AC829" s="1035"/>
      <c r="AD829" s="690"/>
      <c r="AE829" s="1025"/>
      <c r="AF829" s="1030"/>
      <c r="AG829" s="690"/>
      <c r="AH829" s="690"/>
      <c r="AI829" s="696">
        <f t="shared" si="105"/>
        <v>0</v>
      </c>
      <c r="AJ829" s="697">
        <f t="shared" si="106"/>
        <v>0</v>
      </c>
    </row>
    <row r="830" spans="1:36" s="700" customFormat="1" ht="12.75" customHeight="1">
      <c r="A830" s="755" t="s">
        <v>209</v>
      </c>
      <c r="B830" s="755" t="s">
        <v>418</v>
      </c>
      <c r="C830" s="761" t="s">
        <v>197</v>
      </c>
      <c r="D830" s="761"/>
      <c r="E830" s="760"/>
      <c r="F830" s="763"/>
      <c r="G830" s="1025"/>
      <c r="H830" s="690"/>
      <c r="I830" s="1030"/>
      <c r="J830" s="690"/>
      <c r="K830" s="1030"/>
      <c r="L830" s="690"/>
      <c r="M830" s="1025"/>
      <c r="N830" s="1030"/>
      <c r="O830" s="692">
        <f t="shared" si="99"/>
        <v>0</v>
      </c>
      <c r="P830" s="690"/>
      <c r="Q830" s="690"/>
      <c r="R830" s="691">
        <f t="shared" si="100"/>
        <v>0</v>
      </c>
      <c r="S830" s="692">
        <f t="shared" si="101"/>
        <v>0</v>
      </c>
      <c r="T830" s="693">
        <f t="shared" si="102"/>
        <v>0</v>
      </c>
      <c r="U830" s="1035"/>
      <c r="V830" s="690"/>
      <c r="W830" s="1025"/>
      <c r="X830" s="1030"/>
      <c r="Y830" s="694">
        <f t="shared" si="103"/>
        <v>0</v>
      </c>
      <c r="Z830" s="690"/>
      <c r="AA830" s="690"/>
      <c r="AB830" s="695">
        <f t="shared" si="104"/>
        <v>0</v>
      </c>
      <c r="AC830" s="1035"/>
      <c r="AD830" s="690"/>
      <c r="AE830" s="1025"/>
      <c r="AF830" s="1030"/>
      <c r="AG830" s="690"/>
      <c r="AH830" s="690"/>
      <c r="AI830" s="696">
        <f t="shared" si="105"/>
        <v>0</v>
      </c>
      <c r="AJ830" s="697">
        <f t="shared" si="106"/>
        <v>0</v>
      </c>
    </row>
    <row r="831" spans="1:36" s="700" customFormat="1" ht="12.75" customHeight="1">
      <c r="A831" s="755" t="s">
        <v>209</v>
      </c>
      <c r="B831" s="755" t="s">
        <v>418</v>
      </c>
      <c r="C831" s="759" t="s">
        <v>749</v>
      </c>
      <c r="D831" s="759"/>
      <c r="E831" s="760"/>
      <c r="F831" s="763"/>
      <c r="G831" s="1025"/>
      <c r="H831" s="690"/>
      <c r="I831" s="1030"/>
      <c r="J831" s="690"/>
      <c r="K831" s="1030"/>
      <c r="L831" s="690"/>
      <c r="M831" s="1025"/>
      <c r="N831" s="1030"/>
      <c r="O831" s="692">
        <f t="shared" si="99"/>
        <v>0</v>
      </c>
      <c r="P831" s="690"/>
      <c r="Q831" s="690"/>
      <c r="R831" s="691">
        <f t="shared" si="100"/>
        <v>0</v>
      </c>
      <c r="S831" s="692">
        <f t="shared" si="101"/>
        <v>0</v>
      </c>
      <c r="T831" s="693">
        <f t="shared" si="102"/>
        <v>0</v>
      </c>
      <c r="U831" s="1035">
        <v>399710</v>
      </c>
      <c r="V831" s="690">
        <f>107922+191860</f>
        <v>299782</v>
      </c>
      <c r="W831" s="1025"/>
      <c r="X831" s="1030"/>
      <c r="Y831" s="694">
        <f t="shared" si="103"/>
        <v>0</v>
      </c>
      <c r="Z831" s="690"/>
      <c r="AA831" s="690"/>
      <c r="AB831" s="695">
        <f t="shared" si="104"/>
        <v>0</v>
      </c>
      <c r="AC831" s="1035"/>
      <c r="AD831" s="690"/>
      <c r="AE831" s="1025"/>
      <c r="AF831" s="1030"/>
      <c r="AG831" s="690"/>
      <c r="AH831" s="690"/>
      <c r="AI831" s="696">
        <f t="shared" si="105"/>
        <v>399710</v>
      </c>
      <c r="AJ831" s="697">
        <f t="shared" si="106"/>
        <v>299782</v>
      </c>
    </row>
    <row r="832" spans="1:36" s="700" customFormat="1" ht="12.75" customHeight="1">
      <c r="A832" s="755" t="s">
        <v>209</v>
      </c>
      <c r="B832" s="755" t="s">
        <v>418</v>
      </c>
      <c r="C832" s="759" t="s">
        <v>750</v>
      </c>
      <c r="D832" s="759"/>
      <c r="E832" s="760"/>
      <c r="F832" s="763"/>
      <c r="G832" s="1025"/>
      <c r="H832" s="690"/>
      <c r="I832" s="1030"/>
      <c r="J832" s="690"/>
      <c r="K832" s="1030"/>
      <c r="L832" s="690"/>
      <c r="M832" s="1025"/>
      <c r="N832" s="1030"/>
      <c r="O832" s="692">
        <f t="shared" si="99"/>
        <v>0</v>
      </c>
      <c r="P832" s="690"/>
      <c r="Q832" s="690"/>
      <c r="R832" s="691">
        <f t="shared" si="100"/>
        <v>0</v>
      </c>
      <c r="S832" s="692">
        <f t="shared" si="101"/>
        <v>0</v>
      </c>
      <c r="T832" s="693">
        <f t="shared" si="102"/>
        <v>0</v>
      </c>
      <c r="U832" s="1035">
        <v>62995</v>
      </c>
      <c r="V832" s="690">
        <v>47246</v>
      </c>
      <c r="W832" s="1025"/>
      <c r="X832" s="1030"/>
      <c r="Y832" s="694">
        <f t="shared" si="103"/>
        <v>0</v>
      </c>
      <c r="Z832" s="690"/>
      <c r="AA832" s="690"/>
      <c r="AB832" s="695">
        <f t="shared" si="104"/>
        <v>0</v>
      </c>
      <c r="AC832" s="1035"/>
      <c r="AD832" s="690"/>
      <c r="AE832" s="1025"/>
      <c r="AF832" s="1030"/>
      <c r="AG832" s="690"/>
      <c r="AH832" s="690"/>
      <c r="AI832" s="696">
        <f t="shared" si="105"/>
        <v>62995</v>
      </c>
      <c r="AJ832" s="697">
        <f t="shared" si="106"/>
        <v>47246</v>
      </c>
    </row>
    <row r="833" spans="1:36" s="700" customFormat="1" ht="12.75" customHeight="1">
      <c r="A833" s="755" t="s">
        <v>209</v>
      </c>
      <c r="B833" s="755" t="s">
        <v>418</v>
      </c>
      <c r="C833" s="759" t="s">
        <v>751</v>
      </c>
      <c r="D833" s="759"/>
      <c r="E833" s="760"/>
      <c r="F833" s="763"/>
      <c r="G833" s="1025"/>
      <c r="H833" s="690"/>
      <c r="I833" s="1030"/>
      <c r="J833" s="690"/>
      <c r="K833" s="1030"/>
      <c r="L833" s="690"/>
      <c r="M833" s="1025"/>
      <c r="N833" s="1030"/>
      <c r="O833" s="692">
        <f t="shared" si="99"/>
        <v>0</v>
      </c>
      <c r="P833" s="690"/>
      <c r="Q833" s="690"/>
      <c r="R833" s="691">
        <f t="shared" si="100"/>
        <v>0</v>
      </c>
      <c r="S833" s="692">
        <f t="shared" si="101"/>
        <v>0</v>
      </c>
      <c r="T833" s="693">
        <f t="shared" si="102"/>
        <v>0</v>
      </c>
      <c r="U833" s="1035">
        <v>206841</v>
      </c>
      <c r="V833" s="690">
        <v>155131</v>
      </c>
      <c r="W833" s="1025"/>
      <c r="X833" s="1030"/>
      <c r="Y833" s="694">
        <f t="shared" si="103"/>
        <v>0</v>
      </c>
      <c r="Z833" s="690"/>
      <c r="AA833" s="690"/>
      <c r="AB833" s="695">
        <f t="shared" si="104"/>
        <v>0</v>
      </c>
      <c r="AC833" s="1035"/>
      <c r="AD833" s="690"/>
      <c r="AE833" s="1025"/>
      <c r="AF833" s="1030"/>
      <c r="AG833" s="690"/>
      <c r="AH833" s="690"/>
      <c r="AI833" s="696">
        <f t="shared" si="105"/>
        <v>206841</v>
      </c>
      <c r="AJ833" s="697">
        <f t="shared" si="106"/>
        <v>155131</v>
      </c>
    </row>
    <row r="834" spans="1:36" s="700" customFormat="1" ht="12.75" customHeight="1">
      <c r="A834" s="755" t="s">
        <v>209</v>
      </c>
      <c r="B834" s="755" t="s">
        <v>418</v>
      </c>
      <c r="C834" s="759" t="s">
        <v>752</v>
      </c>
      <c r="D834" s="759"/>
      <c r="E834" s="760"/>
      <c r="F834" s="763"/>
      <c r="G834" s="1025"/>
      <c r="H834" s="690"/>
      <c r="I834" s="1030"/>
      <c r="J834" s="690"/>
      <c r="K834" s="1030"/>
      <c r="L834" s="690"/>
      <c r="M834" s="1025"/>
      <c r="N834" s="1030"/>
      <c r="O834" s="692">
        <f t="shared" si="99"/>
        <v>0</v>
      </c>
      <c r="P834" s="690"/>
      <c r="Q834" s="690"/>
      <c r="R834" s="691">
        <f t="shared" si="100"/>
        <v>0</v>
      </c>
      <c r="S834" s="692">
        <f t="shared" si="101"/>
        <v>0</v>
      </c>
      <c r="T834" s="693">
        <f t="shared" si="102"/>
        <v>0</v>
      </c>
      <c r="U834" s="1035">
        <v>112286</v>
      </c>
      <c r="V834" s="690">
        <v>84215</v>
      </c>
      <c r="W834" s="1025"/>
      <c r="X834" s="1030"/>
      <c r="Y834" s="694">
        <f t="shared" si="103"/>
        <v>0</v>
      </c>
      <c r="Z834" s="690"/>
      <c r="AA834" s="690"/>
      <c r="AB834" s="695">
        <f t="shared" si="104"/>
        <v>0</v>
      </c>
      <c r="AC834" s="1035"/>
      <c r="AD834" s="690"/>
      <c r="AE834" s="1025"/>
      <c r="AF834" s="1030"/>
      <c r="AG834" s="690"/>
      <c r="AH834" s="690"/>
      <c r="AI834" s="696">
        <f t="shared" si="105"/>
        <v>112286</v>
      </c>
      <c r="AJ834" s="697">
        <f t="shared" si="106"/>
        <v>84215</v>
      </c>
    </row>
    <row r="835" spans="1:36" s="700" customFormat="1" ht="12.75" customHeight="1">
      <c r="A835" s="755" t="s">
        <v>209</v>
      </c>
      <c r="B835" s="755" t="s">
        <v>418</v>
      </c>
      <c r="C835" s="759" t="s">
        <v>753</v>
      </c>
      <c r="D835" s="759"/>
      <c r="E835" s="760"/>
      <c r="F835" s="763"/>
      <c r="G835" s="1025"/>
      <c r="H835" s="690"/>
      <c r="I835" s="1030"/>
      <c r="J835" s="690"/>
      <c r="K835" s="1030"/>
      <c r="L835" s="690"/>
      <c r="M835" s="1025"/>
      <c r="N835" s="1030"/>
      <c r="O835" s="692">
        <f t="shared" si="99"/>
        <v>0</v>
      </c>
      <c r="P835" s="690"/>
      <c r="Q835" s="690"/>
      <c r="R835" s="691">
        <f t="shared" si="100"/>
        <v>0</v>
      </c>
      <c r="S835" s="692">
        <f t="shared" si="101"/>
        <v>0</v>
      </c>
      <c r="T835" s="693">
        <f t="shared" si="102"/>
        <v>0</v>
      </c>
      <c r="U835" s="1035">
        <v>785106</v>
      </c>
      <c r="V835" s="690">
        <v>740422</v>
      </c>
      <c r="W835" s="1025"/>
      <c r="X835" s="1030"/>
      <c r="Y835" s="694">
        <f t="shared" si="103"/>
        <v>0</v>
      </c>
      <c r="Z835" s="690"/>
      <c r="AA835" s="690"/>
      <c r="AB835" s="695">
        <f t="shared" si="104"/>
        <v>0</v>
      </c>
      <c r="AC835" s="1035"/>
      <c r="AD835" s="690"/>
      <c r="AE835" s="1025"/>
      <c r="AF835" s="1030"/>
      <c r="AG835" s="690"/>
      <c r="AH835" s="690"/>
      <c r="AI835" s="696">
        <f t="shared" si="105"/>
        <v>785106</v>
      </c>
      <c r="AJ835" s="697">
        <f t="shared" si="106"/>
        <v>740422</v>
      </c>
    </row>
    <row r="836" spans="1:36" s="700" customFormat="1" ht="12.75" customHeight="1">
      <c r="A836" s="755" t="s">
        <v>209</v>
      </c>
      <c r="B836" s="755" t="s">
        <v>419</v>
      </c>
      <c r="C836" s="764" t="s">
        <v>50</v>
      </c>
      <c r="D836" s="764"/>
      <c r="E836" s="760"/>
      <c r="F836" s="763"/>
      <c r="G836" s="1025"/>
      <c r="H836" s="690"/>
      <c r="I836" s="1030"/>
      <c r="J836" s="690"/>
      <c r="K836" s="1030"/>
      <c r="L836" s="690"/>
      <c r="M836" s="1025"/>
      <c r="N836" s="1030"/>
      <c r="O836" s="692">
        <f t="shared" si="99"/>
        <v>0</v>
      </c>
      <c r="P836" s="690"/>
      <c r="Q836" s="690"/>
      <c r="R836" s="691">
        <f t="shared" si="100"/>
        <v>0</v>
      </c>
      <c r="S836" s="692">
        <f t="shared" si="101"/>
        <v>0</v>
      </c>
      <c r="T836" s="693">
        <f t="shared" si="102"/>
        <v>0</v>
      </c>
      <c r="U836" s="1035"/>
      <c r="V836" s="690"/>
      <c r="W836" s="1025"/>
      <c r="X836" s="1030"/>
      <c r="Y836" s="694">
        <f t="shared" si="103"/>
        <v>0</v>
      </c>
      <c r="Z836" s="690"/>
      <c r="AA836" s="690"/>
      <c r="AB836" s="695">
        <f t="shared" si="104"/>
        <v>0</v>
      </c>
      <c r="AC836" s="1035"/>
      <c r="AD836" s="690"/>
      <c r="AE836" s="1025"/>
      <c r="AF836" s="1030"/>
      <c r="AG836" s="690"/>
      <c r="AH836" s="690"/>
      <c r="AI836" s="696">
        <f t="shared" si="105"/>
        <v>0</v>
      </c>
      <c r="AJ836" s="697">
        <f t="shared" si="106"/>
        <v>0</v>
      </c>
    </row>
    <row r="837" spans="1:36" s="700" customFormat="1" ht="12.75" customHeight="1">
      <c r="A837" s="755" t="s">
        <v>209</v>
      </c>
      <c r="B837" s="755" t="s">
        <v>420</v>
      </c>
      <c r="C837" s="766" t="s">
        <v>51</v>
      </c>
      <c r="D837" s="766"/>
      <c r="E837" s="760"/>
      <c r="F837" s="763"/>
      <c r="G837" s="1025"/>
      <c r="H837" s="690"/>
      <c r="I837" s="1030"/>
      <c r="J837" s="690"/>
      <c r="K837" s="1030"/>
      <c r="L837" s="690"/>
      <c r="M837" s="1025"/>
      <c r="N837" s="1030"/>
      <c r="O837" s="692">
        <f t="shared" si="99"/>
        <v>0</v>
      </c>
      <c r="P837" s="690"/>
      <c r="Q837" s="690"/>
      <c r="R837" s="691">
        <f t="shared" si="100"/>
        <v>0</v>
      </c>
      <c r="S837" s="692">
        <f t="shared" si="101"/>
        <v>0</v>
      </c>
      <c r="T837" s="693">
        <f t="shared" si="102"/>
        <v>0</v>
      </c>
      <c r="U837" s="1035"/>
      <c r="V837" s="690"/>
      <c r="W837" s="1025"/>
      <c r="X837" s="1030"/>
      <c r="Y837" s="694">
        <f t="shared" si="103"/>
        <v>0</v>
      </c>
      <c r="Z837" s="690"/>
      <c r="AA837" s="690"/>
      <c r="AB837" s="695">
        <f t="shared" si="104"/>
        <v>0</v>
      </c>
      <c r="AC837" s="1035"/>
      <c r="AD837" s="690"/>
      <c r="AE837" s="1025"/>
      <c r="AF837" s="1030"/>
      <c r="AG837" s="690"/>
      <c r="AH837" s="690"/>
      <c r="AI837" s="696">
        <f t="shared" si="105"/>
        <v>0</v>
      </c>
      <c r="AJ837" s="697">
        <f t="shared" si="106"/>
        <v>0</v>
      </c>
    </row>
    <row r="838" spans="1:36" s="700" customFormat="1" ht="12.75" customHeight="1">
      <c r="A838" s="755" t="s">
        <v>209</v>
      </c>
      <c r="B838" s="755" t="s">
        <v>420</v>
      </c>
      <c r="C838" s="767" t="s">
        <v>754</v>
      </c>
      <c r="D838" s="767"/>
      <c r="E838" s="760"/>
      <c r="F838" s="763"/>
      <c r="G838" s="1025"/>
      <c r="H838" s="690"/>
      <c r="I838" s="1030"/>
      <c r="J838" s="690"/>
      <c r="K838" s="1030"/>
      <c r="L838" s="690"/>
      <c r="M838" s="1025"/>
      <c r="N838" s="1030"/>
      <c r="O838" s="692">
        <f t="shared" si="99"/>
        <v>0</v>
      </c>
      <c r="P838" s="690"/>
      <c r="Q838" s="690"/>
      <c r="R838" s="691">
        <f t="shared" si="100"/>
        <v>0</v>
      </c>
      <c r="S838" s="692">
        <f t="shared" si="101"/>
        <v>0</v>
      </c>
      <c r="T838" s="693">
        <f t="shared" si="102"/>
        <v>0</v>
      </c>
      <c r="U838" s="1035"/>
      <c r="V838" s="690"/>
      <c r="W838" s="1025"/>
      <c r="X838" s="1030"/>
      <c r="Y838" s="694">
        <f t="shared" si="103"/>
        <v>0</v>
      </c>
      <c r="Z838" s="690"/>
      <c r="AA838" s="690"/>
      <c r="AB838" s="695">
        <f t="shared" si="104"/>
        <v>0</v>
      </c>
      <c r="AC838" s="1035"/>
      <c r="AD838" s="690"/>
      <c r="AE838" s="1025"/>
      <c r="AF838" s="1030"/>
      <c r="AG838" s="690"/>
      <c r="AH838" s="690"/>
      <c r="AI838" s="696">
        <f t="shared" si="105"/>
        <v>0</v>
      </c>
      <c r="AJ838" s="697">
        <f t="shared" si="106"/>
        <v>0</v>
      </c>
    </row>
    <row r="839" spans="1:36" s="700" customFormat="1" ht="12.75" customHeight="1">
      <c r="A839" s="755" t="s">
        <v>209</v>
      </c>
      <c r="B839" s="768" t="s">
        <v>442</v>
      </c>
      <c r="C839" s="769" t="s">
        <v>443</v>
      </c>
      <c r="D839" s="769"/>
      <c r="E839" s="760"/>
      <c r="F839" s="763"/>
      <c r="G839" s="1025"/>
      <c r="H839" s="690"/>
      <c r="I839" s="1030"/>
      <c r="J839" s="690"/>
      <c r="K839" s="1030"/>
      <c r="L839" s="690"/>
      <c r="M839" s="1025"/>
      <c r="N839" s="1030"/>
      <c r="O839" s="692">
        <f t="shared" si="99"/>
        <v>0</v>
      </c>
      <c r="P839" s="690"/>
      <c r="Q839" s="690"/>
      <c r="R839" s="691">
        <f t="shared" si="100"/>
        <v>0</v>
      </c>
      <c r="S839" s="692">
        <f t="shared" si="101"/>
        <v>0</v>
      </c>
      <c r="T839" s="693">
        <f t="shared" si="102"/>
        <v>0</v>
      </c>
      <c r="U839" s="1035"/>
      <c r="V839" s="690"/>
      <c r="W839" s="1025"/>
      <c r="X839" s="1030"/>
      <c r="Y839" s="694">
        <f t="shared" si="103"/>
        <v>0</v>
      </c>
      <c r="Z839" s="690"/>
      <c r="AA839" s="690"/>
      <c r="AB839" s="695">
        <f t="shared" si="104"/>
        <v>0</v>
      </c>
      <c r="AC839" s="1035"/>
      <c r="AD839" s="690"/>
      <c r="AE839" s="1025"/>
      <c r="AF839" s="1030"/>
      <c r="AG839" s="690"/>
      <c r="AH839" s="690"/>
      <c r="AI839" s="696">
        <f t="shared" si="105"/>
        <v>0</v>
      </c>
      <c r="AJ839" s="697">
        <f t="shared" si="106"/>
        <v>0</v>
      </c>
    </row>
    <row r="840" spans="1:36" s="700" customFormat="1" ht="12.75" customHeight="1">
      <c r="A840" s="755" t="s">
        <v>209</v>
      </c>
      <c r="B840" s="768" t="s">
        <v>379</v>
      </c>
      <c r="C840" s="769" t="s">
        <v>377</v>
      </c>
      <c r="D840" s="769"/>
      <c r="E840" s="760"/>
      <c r="F840" s="763"/>
      <c r="G840" s="1025"/>
      <c r="H840" s="690"/>
      <c r="I840" s="1030"/>
      <c r="J840" s="690"/>
      <c r="K840" s="1030"/>
      <c r="L840" s="690"/>
      <c r="M840" s="1025"/>
      <c r="N840" s="1030"/>
      <c r="O840" s="692">
        <f t="shared" si="99"/>
        <v>0</v>
      </c>
      <c r="P840" s="690"/>
      <c r="Q840" s="690"/>
      <c r="R840" s="691">
        <f t="shared" si="100"/>
        <v>0</v>
      </c>
      <c r="S840" s="692">
        <f t="shared" si="101"/>
        <v>0</v>
      </c>
      <c r="T840" s="693">
        <f t="shared" si="102"/>
        <v>0</v>
      </c>
      <c r="U840" s="1035">
        <v>418878452</v>
      </c>
      <c r="V840" s="690">
        <v>338367564</v>
      </c>
      <c r="W840" s="1025"/>
      <c r="X840" s="1030"/>
      <c r="Y840" s="694">
        <f t="shared" si="103"/>
        <v>0</v>
      </c>
      <c r="Z840" s="690"/>
      <c r="AA840" s="690"/>
      <c r="AB840" s="695">
        <f t="shared" si="104"/>
        <v>0</v>
      </c>
      <c r="AC840" s="1035"/>
      <c r="AD840" s="690"/>
      <c r="AE840" s="1025"/>
      <c r="AF840" s="1030"/>
      <c r="AG840" s="690"/>
      <c r="AH840" s="690"/>
      <c r="AI840" s="696">
        <f t="shared" si="105"/>
        <v>418878452</v>
      </c>
      <c r="AJ840" s="697">
        <f t="shared" si="106"/>
        <v>338367564</v>
      </c>
    </row>
    <row r="841" spans="1:36" s="700" customFormat="1" ht="12.75" customHeight="1">
      <c r="A841" s="755" t="s">
        <v>209</v>
      </c>
      <c r="B841" s="768" t="s">
        <v>295</v>
      </c>
      <c r="C841" s="769" t="s">
        <v>53</v>
      </c>
      <c r="D841" s="769"/>
      <c r="E841" s="770"/>
      <c r="F841" s="771"/>
      <c r="G841" s="1025"/>
      <c r="H841" s="690"/>
      <c r="I841" s="1030"/>
      <c r="J841" s="690"/>
      <c r="K841" s="1030"/>
      <c r="L841" s="690"/>
      <c r="M841" s="1025"/>
      <c r="N841" s="1030"/>
      <c r="O841" s="692">
        <f t="shared" si="99"/>
        <v>0</v>
      </c>
      <c r="P841" s="690"/>
      <c r="Q841" s="690"/>
      <c r="R841" s="691">
        <f t="shared" si="100"/>
        <v>0</v>
      </c>
      <c r="S841" s="692">
        <f t="shared" si="101"/>
        <v>0</v>
      </c>
      <c r="T841" s="693">
        <f t="shared" si="102"/>
        <v>0</v>
      </c>
      <c r="U841" s="1035"/>
      <c r="V841" s="690"/>
      <c r="W841" s="1025"/>
      <c r="X841" s="1030"/>
      <c r="Y841" s="694">
        <f t="shared" si="103"/>
        <v>0</v>
      </c>
      <c r="Z841" s="690"/>
      <c r="AA841" s="690"/>
      <c r="AB841" s="695">
        <f t="shared" si="104"/>
        <v>0</v>
      </c>
      <c r="AC841" s="1035"/>
      <c r="AD841" s="690"/>
      <c r="AE841" s="1025"/>
      <c r="AF841" s="1030"/>
      <c r="AG841" s="690"/>
      <c r="AH841" s="690"/>
      <c r="AI841" s="696">
        <f t="shared" si="105"/>
        <v>0</v>
      </c>
      <c r="AJ841" s="697">
        <f t="shared" si="106"/>
        <v>0</v>
      </c>
    </row>
    <row r="842" spans="1:36" s="700" customFormat="1" ht="12.75" customHeight="1">
      <c r="A842" s="755" t="s">
        <v>209</v>
      </c>
      <c r="B842" s="768" t="s">
        <v>296</v>
      </c>
      <c r="C842" s="769" t="s">
        <v>443</v>
      </c>
      <c r="D842" s="769"/>
      <c r="E842" s="770"/>
      <c r="F842" s="771"/>
      <c r="G842" s="1025"/>
      <c r="H842" s="690"/>
      <c r="I842" s="1030"/>
      <c r="J842" s="690"/>
      <c r="K842" s="1030"/>
      <c r="L842" s="690"/>
      <c r="M842" s="1025"/>
      <c r="N842" s="1030"/>
      <c r="O842" s="692">
        <f t="shared" ref="O842:O905" si="107">SUM(M842:N842)</f>
        <v>0</v>
      </c>
      <c r="P842" s="690"/>
      <c r="Q842" s="690"/>
      <c r="R842" s="691">
        <f t="shared" ref="R842:R905" si="108">SUM(P842:Q842)</f>
        <v>0</v>
      </c>
      <c r="S842" s="692">
        <f t="shared" ref="S842:S905" si="109">SUM(G842,I842,K842,M842)</f>
        <v>0</v>
      </c>
      <c r="T842" s="693">
        <f t="shared" ref="T842:T905" si="110">SUM(H842,J842,L842,P842)</f>
        <v>0</v>
      </c>
      <c r="U842" s="1035"/>
      <c r="V842" s="690"/>
      <c r="W842" s="1025"/>
      <c r="X842" s="1030"/>
      <c r="Y842" s="694">
        <f t="shared" ref="Y842:Y905" si="111">SUM(W842:X842)</f>
        <v>0</v>
      </c>
      <c r="Z842" s="690"/>
      <c r="AA842" s="690"/>
      <c r="AB842" s="695">
        <f t="shared" ref="AB842:AB905" si="112">SUM(Z842:AA842)</f>
        <v>0</v>
      </c>
      <c r="AC842" s="1035"/>
      <c r="AD842" s="690"/>
      <c r="AE842" s="1025"/>
      <c r="AF842" s="1030"/>
      <c r="AG842" s="690"/>
      <c r="AH842" s="690"/>
      <c r="AI842" s="696">
        <f t="shared" ref="AI842:AI905" si="113">SUM(S842,U842,W842,AC842,AE842)</f>
        <v>0</v>
      </c>
      <c r="AJ842" s="697">
        <f t="shared" ref="AJ842:AJ905" si="114">SUM(T842,V842,Z842,AD842,AG842)</f>
        <v>0</v>
      </c>
    </row>
    <row r="843" spans="1:36" s="700" customFormat="1" ht="12.75" customHeight="1">
      <c r="A843" s="755" t="s">
        <v>209</v>
      </c>
      <c r="B843" s="768" t="s">
        <v>278</v>
      </c>
      <c r="C843" s="769" t="s">
        <v>377</v>
      </c>
      <c r="D843" s="769"/>
      <c r="E843" s="770"/>
      <c r="F843" s="771"/>
      <c r="G843" s="1025"/>
      <c r="H843" s="690"/>
      <c r="I843" s="1030"/>
      <c r="J843" s="690"/>
      <c r="K843" s="1030"/>
      <c r="L843" s="690"/>
      <c r="M843" s="1025"/>
      <c r="N843" s="1030"/>
      <c r="O843" s="692">
        <f t="shared" si="107"/>
        <v>0</v>
      </c>
      <c r="P843" s="690"/>
      <c r="Q843" s="690"/>
      <c r="R843" s="691">
        <f t="shared" si="108"/>
        <v>0</v>
      </c>
      <c r="S843" s="692">
        <f t="shared" si="109"/>
        <v>0</v>
      </c>
      <c r="T843" s="693">
        <f t="shared" si="110"/>
        <v>0</v>
      </c>
      <c r="U843" s="1035"/>
      <c r="V843" s="690"/>
      <c r="W843" s="1025"/>
      <c r="X843" s="1030"/>
      <c r="Y843" s="694">
        <f t="shared" si="111"/>
        <v>0</v>
      </c>
      <c r="Z843" s="690"/>
      <c r="AA843" s="690"/>
      <c r="AB843" s="695">
        <f t="shared" si="112"/>
        <v>0</v>
      </c>
      <c r="AC843" s="1035"/>
      <c r="AD843" s="690"/>
      <c r="AE843" s="1025"/>
      <c r="AF843" s="1030"/>
      <c r="AG843" s="690"/>
      <c r="AH843" s="690"/>
      <c r="AI843" s="696">
        <f t="shared" si="113"/>
        <v>0</v>
      </c>
      <c r="AJ843" s="697">
        <f t="shared" si="114"/>
        <v>0</v>
      </c>
    </row>
    <row r="844" spans="1:36" s="700" customFormat="1" ht="12.75" customHeight="1">
      <c r="A844" s="755" t="s">
        <v>209</v>
      </c>
      <c r="B844" s="768" t="s">
        <v>279</v>
      </c>
      <c r="C844" s="769" t="s">
        <v>54</v>
      </c>
      <c r="D844" s="769"/>
      <c r="E844" s="770"/>
      <c r="F844" s="771"/>
      <c r="G844" s="1025"/>
      <c r="H844" s="690"/>
      <c r="I844" s="1030"/>
      <c r="J844" s="690"/>
      <c r="K844" s="1030"/>
      <c r="L844" s="690"/>
      <c r="M844" s="1025"/>
      <c r="N844" s="1030"/>
      <c r="O844" s="692">
        <f t="shared" si="107"/>
        <v>0</v>
      </c>
      <c r="P844" s="690"/>
      <c r="Q844" s="690"/>
      <c r="R844" s="691">
        <f t="shared" si="108"/>
        <v>0</v>
      </c>
      <c r="S844" s="692">
        <f t="shared" si="109"/>
        <v>0</v>
      </c>
      <c r="T844" s="693">
        <f t="shared" si="110"/>
        <v>0</v>
      </c>
      <c r="U844" s="1035"/>
      <c r="V844" s="690"/>
      <c r="W844" s="1025"/>
      <c r="X844" s="1030"/>
      <c r="Y844" s="694">
        <f t="shared" si="111"/>
        <v>0</v>
      </c>
      <c r="Z844" s="690"/>
      <c r="AA844" s="690"/>
      <c r="AB844" s="695">
        <f t="shared" si="112"/>
        <v>0</v>
      </c>
      <c r="AC844" s="1035"/>
      <c r="AD844" s="690"/>
      <c r="AE844" s="1025"/>
      <c r="AF844" s="1030"/>
      <c r="AG844" s="690"/>
      <c r="AH844" s="690"/>
      <c r="AI844" s="696">
        <f t="shared" si="113"/>
        <v>0</v>
      </c>
      <c r="AJ844" s="697">
        <f t="shared" si="114"/>
        <v>0</v>
      </c>
    </row>
    <row r="845" spans="1:36" s="700" customFormat="1" ht="12.75" customHeight="1">
      <c r="A845" s="755" t="s">
        <v>209</v>
      </c>
      <c r="B845" s="768" t="s">
        <v>317</v>
      </c>
      <c r="C845" s="769" t="s">
        <v>443</v>
      </c>
      <c r="D845" s="769"/>
      <c r="E845" s="770"/>
      <c r="F845" s="771"/>
      <c r="G845" s="1025"/>
      <c r="H845" s="690"/>
      <c r="I845" s="1030"/>
      <c r="J845" s="690"/>
      <c r="K845" s="1030"/>
      <c r="L845" s="690"/>
      <c r="M845" s="1025"/>
      <c r="N845" s="1030"/>
      <c r="O845" s="692">
        <f t="shared" si="107"/>
        <v>0</v>
      </c>
      <c r="P845" s="690"/>
      <c r="Q845" s="690"/>
      <c r="R845" s="691">
        <f t="shared" si="108"/>
        <v>0</v>
      </c>
      <c r="S845" s="692">
        <f t="shared" si="109"/>
        <v>0</v>
      </c>
      <c r="T845" s="693">
        <f t="shared" si="110"/>
        <v>0</v>
      </c>
      <c r="U845" s="1035"/>
      <c r="V845" s="690"/>
      <c r="W845" s="1025"/>
      <c r="X845" s="1030"/>
      <c r="Y845" s="694">
        <f t="shared" si="111"/>
        <v>0</v>
      </c>
      <c r="Z845" s="690"/>
      <c r="AA845" s="690"/>
      <c r="AB845" s="695">
        <f t="shared" si="112"/>
        <v>0</v>
      </c>
      <c r="AC845" s="1035"/>
      <c r="AD845" s="690"/>
      <c r="AE845" s="1025"/>
      <c r="AF845" s="1030"/>
      <c r="AG845" s="690"/>
      <c r="AH845" s="690"/>
      <c r="AI845" s="696">
        <f t="shared" si="113"/>
        <v>0</v>
      </c>
      <c r="AJ845" s="697">
        <f t="shared" si="114"/>
        <v>0</v>
      </c>
    </row>
    <row r="846" spans="1:36" s="700" customFormat="1" ht="12.75" customHeight="1">
      <c r="A846" s="755" t="s">
        <v>209</v>
      </c>
      <c r="B846" s="768" t="s">
        <v>318</v>
      </c>
      <c r="C846" s="769" t="s">
        <v>377</v>
      </c>
      <c r="D846" s="769"/>
      <c r="E846" s="770"/>
      <c r="F846" s="771"/>
      <c r="G846" s="1025"/>
      <c r="H846" s="690"/>
      <c r="I846" s="1030"/>
      <c r="J846" s="690"/>
      <c r="K846" s="1030"/>
      <c r="L846" s="690"/>
      <c r="M846" s="1025"/>
      <c r="N846" s="1030"/>
      <c r="O846" s="692">
        <f t="shared" si="107"/>
        <v>0</v>
      </c>
      <c r="P846" s="690"/>
      <c r="Q846" s="690"/>
      <c r="R846" s="691">
        <f t="shared" si="108"/>
        <v>0</v>
      </c>
      <c r="S846" s="692">
        <f t="shared" si="109"/>
        <v>0</v>
      </c>
      <c r="T846" s="693">
        <f t="shared" si="110"/>
        <v>0</v>
      </c>
      <c r="U846" s="1035"/>
      <c r="V846" s="690"/>
      <c r="W846" s="1025"/>
      <c r="X846" s="1030"/>
      <c r="Y846" s="694">
        <f t="shared" si="111"/>
        <v>0</v>
      </c>
      <c r="Z846" s="690"/>
      <c r="AA846" s="690"/>
      <c r="AB846" s="695">
        <f t="shared" si="112"/>
        <v>0</v>
      </c>
      <c r="AC846" s="1035"/>
      <c r="AD846" s="690"/>
      <c r="AE846" s="1025"/>
      <c r="AF846" s="1030"/>
      <c r="AG846" s="690"/>
      <c r="AH846" s="690"/>
      <c r="AI846" s="696">
        <f t="shared" si="113"/>
        <v>0</v>
      </c>
      <c r="AJ846" s="697">
        <f t="shared" si="114"/>
        <v>0</v>
      </c>
    </row>
    <row r="847" spans="1:36" s="700" customFormat="1" ht="12.75" customHeight="1">
      <c r="A847" s="755" t="s">
        <v>209</v>
      </c>
      <c r="B847" s="755" t="s">
        <v>420</v>
      </c>
      <c r="C847" s="767" t="s">
        <v>755</v>
      </c>
      <c r="D847" s="767"/>
      <c r="E847" s="760"/>
      <c r="F847" s="763"/>
      <c r="G847" s="1025"/>
      <c r="H847" s="690"/>
      <c r="I847" s="1030"/>
      <c r="J847" s="690"/>
      <c r="K847" s="1030"/>
      <c r="L847" s="690"/>
      <c r="M847" s="1025"/>
      <c r="N847" s="1030"/>
      <c r="O847" s="692">
        <f t="shared" si="107"/>
        <v>0</v>
      </c>
      <c r="P847" s="690"/>
      <c r="Q847" s="690"/>
      <c r="R847" s="691">
        <f t="shared" si="108"/>
        <v>0</v>
      </c>
      <c r="S847" s="692">
        <f t="shared" si="109"/>
        <v>0</v>
      </c>
      <c r="T847" s="693">
        <f t="shared" si="110"/>
        <v>0</v>
      </c>
      <c r="U847" s="1035"/>
      <c r="V847" s="690"/>
      <c r="W847" s="1025"/>
      <c r="X847" s="1030"/>
      <c r="Y847" s="694">
        <f t="shared" si="111"/>
        <v>0</v>
      </c>
      <c r="Z847" s="690"/>
      <c r="AA847" s="690"/>
      <c r="AB847" s="695">
        <f t="shared" si="112"/>
        <v>0</v>
      </c>
      <c r="AC847" s="1035"/>
      <c r="AD847" s="690"/>
      <c r="AE847" s="1025"/>
      <c r="AF847" s="1030"/>
      <c r="AG847" s="690"/>
      <c r="AH847" s="690"/>
      <c r="AI847" s="696">
        <f t="shared" si="113"/>
        <v>0</v>
      </c>
      <c r="AJ847" s="697">
        <f t="shared" si="114"/>
        <v>0</v>
      </c>
    </row>
    <row r="848" spans="1:36" s="700" customFormat="1" ht="12.75" customHeight="1">
      <c r="A848" s="755" t="s">
        <v>209</v>
      </c>
      <c r="B848" s="768" t="s">
        <v>442</v>
      </c>
      <c r="C848" s="769" t="s">
        <v>443</v>
      </c>
      <c r="D848" s="769"/>
      <c r="E848" s="760"/>
      <c r="F848" s="763"/>
      <c r="G848" s="1025"/>
      <c r="H848" s="690"/>
      <c r="I848" s="1030"/>
      <c r="J848" s="690"/>
      <c r="K848" s="1030"/>
      <c r="L848" s="690"/>
      <c r="M848" s="1025"/>
      <c r="N848" s="1030"/>
      <c r="O848" s="692">
        <f t="shared" si="107"/>
        <v>0</v>
      </c>
      <c r="P848" s="690"/>
      <c r="Q848" s="690"/>
      <c r="R848" s="691">
        <f t="shared" si="108"/>
        <v>0</v>
      </c>
      <c r="S848" s="692">
        <f t="shared" si="109"/>
        <v>0</v>
      </c>
      <c r="T848" s="693">
        <f t="shared" si="110"/>
        <v>0</v>
      </c>
      <c r="U848" s="1035"/>
      <c r="V848" s="690"/>
      <c r="W848" s="1025"/>
      <c r="X848" s="1030"/>
      <c r="Y848" s="694">
        <f t="shared" si="111"/>
        <v>0</v>
      </c>
      <c r="Z848" s="690"/>
      <c r="AA848" s="690"/>
      <c r="AB848" s="695">
        <f t="shared" si="112"/>
        <v>0</v>
      </c>
      <c r="AC848" s="1035"/>
      <c r="AD848" s="690"/>
      <c r="AE848" s="1025"/>
      <c r="AF848" s="1030"/>
      <c r="AG848" s="690"/>
      <c r="AH848" s="690"/>
      <c r="AI848" s="696">
        <f t="shared" si="113"/>
        <v>0</v>
      </c>
      <c r="AJ848" s="697">
        <f t="shared" si="114"/>
        <v>0</v>
      </c>
    </row>
    <row r="849" spans="1:36" s="700" customFormat="1" ht="12.75" customHeight="1">
      <c r="A849" s="755" t="s">
        <v>209</v>
      </c>
      <c r="B849" s="768" t="s">
        <v>379</v>
      </c>
      <c r="C849" s="769" t="s">
        <v>377</v>
      </c>
      <c r="D849" s="769"/>
      <c r="E849" s="760"/>
      <c r="F849" s="763"/>
      <c r="G849" s="1025"/>
      <c r="H849" s="690"/>
      <c r="I849" s="1030"/>
      <c r="J849" s="690"/>
      <c r="K849" s="1030"/>
      <c r="L849" s="690"/>
      <c r="M849" s="1025"/>
      <c r="N849" s="1030"/>
      <c r="O849" s="692">
        <f t="shared" si="107"/>
        <v>0</v>
      </c>
      <c r="P849" s="690"/>
      <c r="Q849" s="690"/>
      <c r="R849" s="691">
        <f t="shared" si="108"/>
        <v>0</v>
      </c>
      <c r="S849" s="692">
        <f t="shared" si="109"/>
        <v>0</v>
      </c>
      <c r="T849" s="693">
        <f t="shared" si="110"/>
        <v>0</v>
      </c>
      <c r="U849" s="1035">
        <v>1997365</v>
      </c>
      <c r="V849" s="690">
        <v>2442776</v>
      </c>
      <c r="W849" s="1025"/>
      <c r="X849" s="1030"/>
      <c r="Y849" s="694">
        <f t="shared" si="111"/>
        <v>0</v>
      </c>
      <c r="Z849" s="690"/>
      <c r="AA849" s="690"/>
      <c r="AB849" s="695">
        <f t="shared" si="112"/>
        <v>0</v>
      </c>
      <c r="AC849" s="1035"/>
      <c r="AD849" s="690"/>
      <c r="AE849" s="1025"/>
      <c r="AF849" s="1030"/>
      <c r="AG849" s="690"/>
      <c r="AH849" s="690"/>
      <c r="AI849" s="696">
        <f t="shared" si="113"/>
        <v>1997365</v>
      </c>
      <c r="AJ849" s="697">
        <f t="shared" si="114"/>
        <v>2442776</v>
      </c>
    </row>
    <row r="850" spans="1:36" s="700" customFormat="1" ht="12.75" customHeight="1">
      <c r="A850" s="755" t="s">
        <v>209</v>
      </c>
      <c r="B850" s="768" t="s">
        <v>295</v>
      </c>
      <c r="C850" s="769" t="s">
        <v>53</v>
      </c>
      <c r="D850" s="769"/>
      <c r="E850" s="770"/>
      <c r="F850" s="771"/>
      <c r="G850" s="1025"/>
      <c r="H850" s="690"/>
      <c r="I850" s="1030"/>
      <c r="J850" s="690"/>
      <c r="K850" s="1030"/>
      <c r="L850" s="690"/>
      <c r="M850" s="1025"/>
      <c r="N850" s="1030"/>
      <c r="O850" s="692">
        <f t="shared" si="107"/>
        <v>0</v>
      </c>
      <c r="P850" s="690"/>
      <c r="Q850" s="690"/>
      <c r="R850" s="691">
        <f t="shared" si="108"/>
        <v>0</v>
      </c>
      <c r="S850" s="692">
        <f t="shared" si="109"/>
        <v>0</v>
      </c>
      <c r="T850" s="693">
        <f t="shared" si="110"/>
        <v>0</v>
      </c>
      <c r="U850" s="1035"/>
      <c r="V850" s="690"/>
      <c r="W850" s="1025"/>
      <c r="X850" s="1030"/>
      <c r="Y850" s="694">
        <f t="shared" si="111"/>
        <v>0</v>
      </c>
      <c r="Z850" s="690"/>
      <c r="AA850" s="690"/>
      <c r="AB850" s="695">
        <f t="shared" si="112"/>
        <v>0</v>
      </c>
      <c r="AC850" s="1035"/>
      <c r="AD850" s="690"/>
      <c r="AE850" s="1025"/>
      <c r="AF850" s="1030"/>
      <c r="AG850" s="690"/>
      <c r="AH850" s="690"/>
      <c r="AI850" s="696">
        <f t="shared" si="113"/>
        <v>0</v>
      </c>
      <c r="AJ850" s="697">
        <f t="shared" si="114"/>
        <v>0</v>
      </c>
    </row>
    <row r="851" spans="1:36" s="700" customFormat="1" ht="12.75" customHeight="1">
      <c r="A851" s="755" t="s">
        <v>209</v>
      </c>
      <c r="B851" s="768" t="s">
        <v>296</v>
      </c>
      <c r="C851" s="769" t="s">
        <v>443</v>
      </c>
      <c r="D851" s="769"/>
      <c r="E851" s="770"/>
      <c r="F851" s="771"/>
      <c r="G851" s="1025"/>
      <c r="H851" s="690"/>
      <c r="I851" s="1030"/>
      <c r="J851" s="690"/>
      <c r="K851" s="1030"/>
      <c r="L851" s="690"/>
      <c r="M851" s="1025"/>
      <c r="N851" s="1030"/>
      <c r="O851" s="692">
        <f t="shared" si="107"/>
        <v>0</v>
      </c>
      <c r="P851" s="690"/>
      <c r="Q851" s="690"/>
      <c r="R851" s="691">
        <f t="shared" si="108"/>
        <v>0</v>
      </c>
      <c r="S851" s="692">
        <f t="shared" si="109"/>
        <v>0</v>
      </c>
      <c r="T851" s="693">
        <f t="shared" si="110"/>
        <v>0</v>
      </c>
      <c r="U851" s="1035"/>
      <c r="V851" s="690"/>
      <c r="W851" s="1025"/>
      <c r="X851" s="1030"/>
      <c r="Y851" s="694">
        <f t="shared" si="111"/>
        <v>0</v>
      </c>
      <c r="Z851" s="690"/>
      <c r="AA851" s="690"/>
      <c r="AB851" s="695">
        <f t="shared" si="112"/>
        <v>0</v>
      </c>
      <c r="AC851" s="1035"/>
      <c r="AD851" s="690"/>
      <c r="AE851" s="1025"/>
      <c r="AF851" s="1030"/>
      <c r="AG851" s="690"/>
      <c r="AH851" s="690"/>
      <c r="AI851" s="696">
        <f t="shared" si="113"/>
        <v>0</v>
      </c>
      <c r="AJ851" s="697">
        <f t="shared" si="114"/>
        <v>0</v>
      </c>
    </row>
    <row r="852" spans="1:36" s="700" customFormat="1" ht="12.75" customHeight="1">
      <c r="A852" s="755" t="s">
        <v>209</v>
      </c>
      <c r="B852" s="768" t="s">
        <v>278</v>
      </c>
      <c r="C852" s="769" t="s">
        <v>377</v>
      </c>
      <c r="D852" s="769"/>
      <c r="E852" s="770"/>
      <c r="F852" s="771"/>
      <c r="G852" s="1025"/>
      <c r="H852" s="690"/>
      <c r="I852" s="1030"/>
      <c r="J852" s="690"/>
      <c r="K852" s="1030"/>
      <c r="L852" s="690"/>
      <c r="M852" s="1025"/>
      <c r="N852" s="1030"/>
      <c r="O852" s="692">
        <f t="shared" si="107"/>
        <v>0</v>
      </c>
      <c r="P852" s="690"/>
      <c r="Q852" s="690"/>
      <c r="R852" s="691">
        <f t="shared" si="108"/>
        <v>0</v>
      </c>
      <c r="S852" s="692">
        <f t="shared" si="109"/>
        <v>0</v>
      </c>
      <c r="T852" s="693">
        <f t="shared" si="110"/>
        <v>0</v>
      </c>
      <c r="U852" s="1035"/>
      <c r="V852" s="690"/>
      <c r="W852" s="1025"/>
      <c r="X852" s="1030"/>
      <c r="Y852" s="694">
        <f t="shared" si="111"/>
        <v>0</v>
      </c>
      <c r="Z852" s="690"/>
      <c r="AA852" s="690"/>
      <c r="AB852" s="695">
        <f t="shared" si="112"/>
        <v>0</v>
      </c>
      <c r="AC852" s="1035"/>
      <c r="AD852" s="690"/>
      <c r="AE852" s="1025"/>
      <c r="AF852" s="1030"/>
      <c r="AG852" s="690"/>
      <c r="AH852" s="690"/>
      <c r="AI852" s="696">
        <f t="shared" si="113"/>
        <v>0</v>
      </c>
      <c r="AJ852" s="697">
        <f t="shared" si="114"/>
        <v>0</v>
      </c>
    </row>
    <row r="853" spans="1:36" s="700" customFormat="1" ht="12.75" customHeight="1">
      <c r="A853" s="755" t="s">
        <v>209</v>
      </c>
      <c r="B853" s="768" t="s">
        <v>279</v>
      </c>
      <c r="C853" s="769" t="s">
        <v>54</v>
      </c>
      <c r="D853" s="769"/>
      <c r="E853" s="770"/>
      <c r="F853" s="771"/>
      <c r="G853" s="1025"/>
      <c r="H853" s="690"/>
      <c r="I853" s="1030"/>
      <c r="J853" s="690"/>
      <c r="K853" s="1030"/>
      <c r="L853" s="690"/>
      <c r="M853" s="1025"/>
      <c r="N853" s="1030"/>
      <c r="O853" s="692">
        <f t="shared" si="107"/>
        <v>0</v>
      </c>
      <c r="P853" s="690"/>
      <c r="Q853" s="690"/>
      <c r="R853" s="691">
        <f t="shared" si="108"/>
        <v>0</v>
      </c>
      <c r="S853" s="692">
        <f t="shared" si="109"/>
        <v>0</v>
      </c>
      <c r="T853" s="693">
        <f t="shared" si="110"/>
        <v>0</v>
      </c>
      <c r="U853" s="1035"/>
      <c r="V853" s="690"/>
      <c r="W853" s="1025"/>
      <c r="X853" s="1030"/>
      <c r="Y853" s="694">
        <f t="shared" si="111"/>
        <v>0</v>
      </c>
      <c r="Z853" s="690"/>
      <c r="AA853" s="690"/>
      <c r="AB853" s="695">
        <f t="shared" si="112"/>
        <v>0</v>
      </c>
      <c r="AC853" s="1035"/>
      <c r="AD853" s="690"/>
      <c r="AE853" s="1025"/>
      <c r="AF853" s="1030"/>
      <c r="AG853" s="690"/>
      <c r="AH853" s="690"/>
      <c r="AI853" s="696">
        <f t="shared" si="113"/>
        <v>0</v>
      </c>
      <c r="AJ853" s="697">
        <f t="shared" si="114"/>
        <v>0</v>
      </c>
    </row>
    <row r="854" spans="1:36" s="700" customFormat="1" ht="12.75" customHeight="1">
      <c r="A854" s="755" t="s">
        <v>209</v>
      </c>
      <c r="B854" s="768" t="s">
        <v>317</v>
      </c>
      <c r="C854" s="769" t="s">
        <v>443</v>
      </c>
      <c r="D854" s="769"/>
      <c r="E854" s="770"/>
      <c r="F854" s="771"/>
      <c r="G854" s="1025"/>
      <c r="H854" s="690"/>
      <c r="I854" s="1030"/>
      <c r="J854" s="690"/>
      <c r="K854" s="1030"/>
      <c r="L854" s="690"/>
      <c r="M854" s="1025"/>
      <c r="N854" s="1030"/>
      <c r="O854" s="692">
        <f t="shared" si="107"/>
        <v>0</v>
      </c>
      <c r="P854" s="690"/>
      <c r="Q854" s="690"/>
      <c r="R854" s="691">
        <f t="shared" si="108"/>
        <v>0</v>
      </c>
      <c r="S854" s="692">
        <f t="shared" si="109"/>
        <v>0</v>
      </c>
      <c r="T854" s="693">
        <f t="shared" si="110"/>
        <v>0</v>
      </c>
      <c r="U854" s="1035"/>
      <c r="V854" s="690"/>
      <c r="W854" s="1025"/>
      <c r="X854" s="1030"/>
      <c r="Y854" s="694">
        <f t="shared" si="111"/>
        <v>0</v>
      </c>
      <c r="Z854" s="690"/>
      <c r="AA854" s="690"/>
      <c r="AB854" s="695">
        <f t="shared" si="112"/>
        <v>0</v>
      </c>
      <c r="AC854" s="1035"/>
      <c r="AD854" s="690"/>
      <c r="AE854" s="1025"/>
      <c r="AF854" s="1030"/>
      <c r="AG854" s="690"/>
      <c r="AH854" s="690"/>
      <c r="AI854" s="696">
        <f t="shared" si="113"/>
        <v>0</v>
      </c>
      <c r="AJ854" s="697">
        <f t="shared" si="114"/>
        <v>0</v>
      </c>
    </row>
    <row r="855" spans="1:36" s="700" customFormat="1" ht="12.75" customHeight="1">
      <c r="A855" s="755" t="s">
        <v>209</v>
      </c>
      <c r="B855" s="768" t="s">
        <v>318</v>
      </c>
      <c r="C855" s="769" t="s">
        <v>377</v>
      </c>
      <c r="D855" s="769"/>
      <c r="E855" s="770"/>
      <c r="F855" s="771"/>
      <c r="G855" s="1025"/>
      <c r="H855" s="690"/>
      <c r="I855" s="1030"/>
      <c r="J855" s="690"/>
      <c r="K855" s="1030"/>
      <c r="L855" s="690"/>
      <c r="M855" s="1025"/>
      <c r="N855" s="1030"/>
      <c r="O855" s="692">
        <f t="shared" si="107"/>
        <v>0</v>
      </c>
      <c r="P855" s="690"/>
      <c r="Q855" s="690"/>
      <c r="R855" s="691">
        <f t="shared" si="108"/>
        <v>0</v>
      </c>
      <c r="S855" s="692">
        <f t="shared" si="109"/>
        <v>0</v>
      </c>
      <c r="T855" s="693">
        <f t="shared" si="110"/>
        <v>0</v>
      </c>
      <c r="U855" s="1035"/>
      <c r="V855" s="690"/>
      <c r="W855" s="1025"/>
      <c r="X855" s="1030"/>
      <c r="Y855" s="694">
        <f t="shared" si="111"/>
        <v>0</v>
      </c>
      <c r="Z855" s="690"/>
      <c r="AA855" s="690"/>
      <c r="AB855" s="695">
        <f t="shared" si="112"/>
        <v>0</v>
      </c>
      <c r="AC855" s="1035"/>
      <c r="AD855" s="690"/>
      <c r="AE855" s="1025"/>
      <c r="AF855" s="1030"/>
      <c r="AG855" s="690"/>
      <c r="AH855" s="690"/>
      <c r="AI855" s="696">
        <f t="shared" si="113"/>
        <v>0</v>
      </c>
      <c r="AJ855" s="697">
        <f t="shared" si="114"/>
        <v>0</v>
      </c>
    </row>
    <row r="856" spans="1:36" s="700" customFormat="1" ht="12.75" customHeight="1">
      <c r="A856" s="755" t="s">
        <v>209</v>
      </c>
      <c r="B856" s="755" t="s">
        <v>420</v>
      </c>
      <c r="C856" s="767" t="s">
        <v>756</v>
      </c>
      <c r="D856" s="767"/>
      <c r="E856" s="760"/>
      <c r="F856" s="763"/>
      <c r="G856" s="1025"/>
      <c r="H856" s="690"/>
      <c r="I856" s="1030"/>
      <c r="J856" s="690"/>
      <c r="K856" s="1030"/>
      <c r="L856" s="690"/>
      <c r="M856" s="1025"/>
      <c r="N856" s="1030"/>
      <c r="O856" s="692">
        <f t="shared" si="107"/>
        <v>0</v>
      </c>
      <c r="P856" s="690"/>
      <c r="Q856" s="690"/>
      <c r="R856" s="691">
        <f t="shared" si="108"/>
        <v>0</v>
      </c>
      <c r="S856" s="692">
        <f t="shared" si="109"/>
        <v>0</v>
      </c>
      <c r="T856" s="693">
        <f t="shared" si="110"/>
        <v>0</v>
      </c>
      <c r="U856" s="1035"/>
      <c r="V856" s="690"/>
      <c r="W856" s="1025"/>
      <c r="X856" s="1030"/>
      <c r="Y856" s="694">
        <f t="shared" si="111"/>
        <v>0</v>
      </c>
      <c r="Z856" s="690"/>
      <c r="AA856" s="690"/>
      <c r="AB856" s="695">
        <f t="shared" si="112"/>
        <v>0</v>
      </c>
      <c r="AC856" s="1035"/>
      <c r="AD856" s="690"/>
      <c r="AE856" s="1025"/>
      <c r="AF856" s="1030"/>
      <c r="AG856" s="690"/>
      <c r="AH856" s="690"/>
      <c r="AI856" s="696">
        <f t="shared" si="113"/>
        <v>0</v>
      </c>
      <c r="AJ856" s="697">
        <f t="shared" si="114"/>
        <v>0</v>
      </c>
    </row>
    <row r="857" spans="1:36" s="700" customFormat="1" ht="12.75" customHeight="1">
      <c r="A857" s="755" t="s">
        <v>209</v>
      </c>
      <c r="B857" s="768" t="s">
        <v>442</v>
      </c>
      <c r="C857" s="769" t="s">
        <v>443</v>
      </c>
      <c r="D857" s="769"/>
      <c r="E857" s="760"/>
      <c r="F857" s="763"/>
      <c r="G857" s="1025"/>
      <c r="H857" s="690"/>
      <c r="I857" s="1030"/>
      <c r="J857" s="690"/>
      <c r="K857" s="1030"/>
      <c r="L857" s="690"/>
      <c r="M857" s="1025"/>
      <c r="N857" s="1030"/>
      <c r="O857" s="692">
        <f t="shared" si="107"/>
        <v>0</v>
      </c>
      <c r="P857" s="690"/>
      <c r="Q857" s="690"/>
      <c r="R857" s="691">
        <f t="shared" si="108"/>
        <v>0</v>
      </c>
      <c r="S857" s="692">
        <f t="shared" si="109"/>
        <v>0</v>
      </c>
      <c r="T857" s="693">
        <f t="shared" si="110"/>
        <v>0</v>
      </c>
      <c r="U857" s="1035"/>
      <c r="V857" s="690"/>
      <c r="W857" s="1025"/>
      <c r="X857" s="1030"/>
      <c r="Y857" s="694">
        <f t="shared" si="111"/>
        <v>0</v>
      </c>
      <c r="Z857" s="690"/>
      <c r="AA857" s="690"/>
      <c r="AB857" s="695">
        <f t="shared" si="112"/>
        <v>0</v>
      </c>
      <c r="AC857" s="1035"/>
      <c r="AD857" s="690"/>
      <c r="AE857" s="1025"/>
      <c r="AF857" s="1030"/>
      <c r="AG857" s="690"/>
      <c r="AH857" s="690"/>
      <c r="AI857" s="696">
        <f t="shared" si="113"/>
        <v>0</v>
      </c>
      <c r="AJ857" s="697">
        <f t="shared" si="114"/>
        <v>0</v>
      </c>
    </row>
    <row r="858" spans="1:36" s="700" customFormat="1" ht="12.75" customHeight="1">
      <c r="A858" s="755" t="s">
        <v>209</v>
      </c>
      <c r="B858" s="768" t="s">
        <v>379</v>
      </c>
      <c r="C858" s="769" t="s">
        <v>377</v>
      </c>
      <c r="D858" s="769"/>
      <c r="E858" s="760"/>
      <c r="F858" s="763"/>
      <c r="G858" s="1025"/>
      <c r="H858" s="690"/>
      <c r="I858" s="1030"/>
      <c r="J858" s="690"/>
      <c r="K858" s="1030"/>
      <c r="L858" s="690"/>
      <c r="M858" s="1025"/>
      <c r="N858" s="1030"/>
      <c r="O858" s="692">
        <f t="shared" si="107"/>
        <v>0</v>
      </c>
      <c r="P858" s="690"/>
      <c r="Q858" s="690"/>
      <c r="R858" s="691">
        <f t="shared" si="108"/>
        <v>0</v>
      </c>
      <c r="S858" s="692">
        <f t="shared" si="109"/>
        <v>0</v>
      </c>
      <c r="T858" s="693">
        <f t="shared" si="110"/>
        <v>0</v>
      </c>
      <c r="U858" s="1035"/>
      <c r="V858" s="690"/>
      <c r="W858" s="1025"/>
      <c r="X858" s="1030"/>
      <c r="Y858" s="694">
        <f t="shared" si="111"/>
        <v>0</v>
      </c>
      <c r="Z858" s="690"/>
      <c r="AA858" s="690"/>
      <c r="AB858" s="695">
        <f t="shared" si="112"/>
        <v>0</v>
      </c>
      <c r="AC858" s="1035"/>
      <c r="AD858" s="690"/>
      <c r="AE858" s="1025"/>
      <c r="AF858" s="1030"/>
      <c r="AG858" s="690"/>
      <c r="AH858" s="690"/>
      <c r="AI858" s="696">
        <f t="shared" si="113"/>
        <v>0</v>
      </c>
      <c r="AJ858" s="697">
        <f t="shared" si="114"/>
        <v>0</v>
      </c>
    </row>
    <row r="859" spans="1:36" s="700" customFormat="1" ht="12.75" customHeight="1">
      <c r="A859" s="755" t="s">
        <v>209</v>
      </c>
      <c r="B859" s="768" t="s">
        <v>295</v>
      </c>
      <c r="C859" s="769" t="s">
        <v>53</v>
      </c>
      <c r="D859" s="769"/>
      <c r="E859" s="770"/>
      <c r="F859" s="771"/>
      <c r="G859" s="1025"/>
      <c r="H859" s="690"/>
      <c r="I859" s="1030"/>
      <c r="J859" s="690"/>
      <c r="K859" s="1030"/>
      <c r="L859" s="690"/>
      <c r="M859" s="1025"/>
      <c r="N859" s="1030"/>
      <c r="O859" s="692">
        <f t="shared" si="107"/>
        <v>0</v>
      </c>
      <c r="P859" s="690"/>
      <c r="Q859" s="690"/>
      <c r="R859" s="691">
        <f t="shared" si="108"/>
        <v>0</v>
      </c>
      <c r="S859" s="692">
        <f t="shared" si="109"/>
        <v>0</v>
      </c>
      <c r="T859" s="693">
        <f t="shared" si="110"/>
        <v>0</v>
      </c>
      <c r="U859" s="1035"/>
      <c r="V859" s="690"/>
      <c r="W859" s="1025"/>
      <c r="X859" s="1030"/>
      <c r="Y859" s="694">
        <f t="shared" si="111"/>
        <v>0</v>
      </c>
      <c r="Z859" s="690"/>
      <c r="AA859" s="690"/>
      <c r="AB859" s="695">
        <f t="shared" si="112"/>
        <v>0</v>
      </c>
      <c r="AC859" s="1035"/>
      <c r="AD859" s="690"/>
      <c r="AE859" s="1025"/>
      <c r="AF859" s="1030"/>
      <c r="AG859" s="690"/>
      <c r="AH859" s="690"/>
      <c r="AI859" s="696">
        <f t="shared" si="113"/>
        <v>0</v>
      </c>
      <c r="AJ859" s="697">
        <f t="shared" si="114"/>
        <v>0</v>
      </c>
    </row>
    <row r="860" spans="1:36" s="700" customFormat="1" ht="12.75" customHeight="1">
      <c r="A860" s="755" t="s">
        <v>209</v>
      </c>
      <c r="B860" s="768" t="s">
        <v>296</v>
      </c>
      <c r="C860" s="769" t="s">
        <v>443</v>
      </c>
      <c r="D860" s="769"/>
      <c r="E860" s="770"/>
      <c r="F860" s="771"/>
      <c r="G860" s="1025"/>
      <c r="H860" s="690"/>
      <c r="I860" s="1030"/>
      <c r="J860" s="690"/>
      <c r="K860" s="1030"/>
      <c r="L860" s="690"/>
      <c r="M860" s="1025"/>
      <c r="N860" s="1030"/>
      <c r="O860" s="692">
        <f t="shared" si="107"/>
        <v>0</v>
      </c>
      <c r="P860" s="690"/>
      <c r="Q860" s="690"/>
      <c r="R860" s="691">
        <f t="shared" si="108"/>
        <v>0</v>
      </c>
      <c r="S860" s="692">
        <f t="shared" si="109"/>
        <v>0</v>
      </c>
      <c r="T860" s="693">
        <f t="shared" si="110"/>
        <v>0</v>
      </c>
      <c r="U860" s="1035"/>
      <c r="V860" s="690"/>
      <c r="W860" s="1025"/>
      <c r="X860" s="1030"/>
      <c r="Y860" s="694">
        <f t="shared" si="111"/>
        <v>0</v>
      </c>
      <c r="Z860" s="690"/>
      <c r="AA860" s="690"/>
      <c r="AB860" s="695">
        <f t="shared" si="112"/>
        <v>0</v>
      </c>
      <c r="AC860" s="1035"/>
      <c r="AD860" s="690"/>
      <c r="AE860" s="1025"/>
      <c r="AF860" s="1030"/>
      <c r="AG860" s="690"/>
      <c r="AH860" s="690"/>
      <c r="AI860" s="696">
        <f t="shared" si="113"/>
        <v>0</v>
      </c>
      <c r="AJ860" s="697">
        <f t="shared" si="114"/>
        <v>0</v>
      </c>
    </row>
    <row r="861" spans="1:36" s="700" customFormat="1" ht="12.75" customHeight="1">
      <c r="A861" s="755" t="s">
        <v>209</v>
      </c>
      <c r="B861" s="768" t="s">
        <v>278</v>
      </c>
      <c r="C861" s="769" t="s">
        <v>377</v>
      </c>
      <c r="D861" s="769"/>
      <c r="E861" s="770"/>
      <c r="F861" s="771"/>
      <c r="G861" s="1025"/>
      <c r="H861" s="690"/>
      <c r="I861" s="1030"/>
      <c r="J861" s="690"/>
      <c r="K861" s="1030"/>
      <c r="L861" s="690"/>
      <c r="M861" s="1025"/>
      <c r="N861" s="1030"/>
      <c r="O861" s="692">
        <f t="shared" si="107"/>
        <v>0</v>
      </c>
      <c r="P861" s="690"/>
      <c r="Q861" s="690"/>
      <c r="R861" s="691">
        <f t="shared" si="108"/>
        <v>0</v>
      </c>
      <c r="S861" s="692">
        <f t="shared" si="109"/>
        <v>0</v>
      </c>
      <c r="T861" s="693">
        <f t="shared" si="110"/>
        <v>0</v>
      </c>
      <c r="U861" s="1035"/>
      <c r="V861" s="690"/>
      <c r="W861" s="1025"/>
      <c r="X861" s="1030"/>
      <c r="Y861" s="694">
        <f t="shared" si="111"/>
        <v>0</v>
      </c>
      <c r="Z861" s="690"/>
      <c r="AA861" s="690"/>
      <c r="AB861" s="695">
        <f t="shared" si="112"/>
        <v>0</v>
      </c>
      <c r="AC861" s="1035"/>
      <c r="AD861" s="690"/>
      <c r="AE861" s="1025"/>
      <c r="AF861" s="1030"/>
      <c r="AG861" s="690"/>
      <c r="AH861" s="690"/>
      <c r="AI861" s="696">
        <f t="shared" si="113"/>
        <v>0</v>
      </c>
      <c r="AJ861" s="697">
        <f t="shared" si="114"/>
        <v>0</v>
      </c>
    </row>
    <row r="862" spans="1:36" s="700" customFormat="1" ht="12.75" customHeight="1">
      <c r="A862" s="755" t="s">
        <v>209</v>
      </c>
      <c r="B862" s="768" t="s">
        <v>279</v>
      </c>
      <c r="C862" s="769" t="s">
        <v>54</v>
      </c>
      <c r="D862" s="769"/>
      <c r="E862" s="770"/>
      <c r="F862" s="771"/>
      <c r="G862" s="1025"/>
      <c r="H862" s="690"/>
      <c r="I862" s="1030"/>
      <c r="J862" s="690"/>
      <c r="K862" s="1030"/>
      <c r="L862" s="690"/>
      <c r="M862" s="1025"/>
      <c r="N862" s="1030"/>
      <c r="O862" s="692">
        <f t="shared" si="107"/>
        <v>0</v>
      </c>
      <c r="P862" s="690"/>
      <c r="Q862" s="690"/>
      <c r="R862" s="691">
        <f t="shared" si="108"/>
        <v>0</v>
      </c>
      <c r="S862" s="692">
        <f t="shared" si="109"/>
        <v>0</v>
      </c>
      <c r="T862" s="693">
        <f t="shared" si="110"/>
        <v>0</v>
      </c>
      <c r="U862" s="1035"/>
      <c r="V862" s="690"/>
      <c r="W862" s="1025"/>
      <c r="X862" s="1030"/>
      <c r="Y862" s="694">
        <f t="shared" si="111"/>
        <v>0</v>
      </c>
      <c r="Z862" s="690"/>
      <c r="AA862" s="690"/>
      <c r="AB862" s="695">
        <f t="shared" si="112"/>
        <v>0</v>
      </c>
      <c r="AC862" s="1035"/>
      <c r="AD862" s="690"/>
      <c r="AE862" s="1025"/>
      <c r="AF862" s="1030"/>
      <c r="AG862" s="690"/>
      <c r="AH862" s="690"/>
      <c r="AI862" s="696">
        <f t="shared" si="113"/>
        <v>0</v>
      </c>
      <c r="AJ862" s="697">
        <f t="shared" si="114"/>
        <v>0</v>
      </c>
    </row>
    <row r="863" spans="1:36" s="700" customFormat="1" ht="12.75" customHeight="1">
      <c r="A863" s="755" t="s">
        <v>209</v>
      </c>
      <c r="B863" s="768" t="s">
        <v>317</v>
      </c>
      <c r="C863" s="769" t="s">
        <v>443</v>
      </c>
      <c r="D863" s="769"/>
      <c r="E863" s="770"/>
      <c r="F863" s="771"/>
      <c r="G863" s="1025"/>
      <c r="H863" s="690"/>
      <c r="I863" s="1030"/>
      <c r="J863" s="690"/>
      <c r="K863" s="1030"/>
      <c r="L863" s="690"/>
      <c r="M863" s="1025"/>
      <c r="N863" s="1030"/>
      <c r="O863" s="692">
        <f t="shared" si="107"/>
        <v>0</v>
      </c>
      <c r="P863" s="690"/>
      <c r="Q863" s="690"/>
      <c r="R863" s="691">
        <f t="shared" si="108"/>
        <v>0</v>
      </c>
      <c r="S863" s="692">
        <f t="shared" si="109"/>
        <v>0</v>
      </c>
      <c r="T863" s="693">
        <f t="shared" si="110"/>
        <v>0</v>
      </c>
      <c r="U863" s="1035"/>
      <c r="V863" s="690"/>
      <c r="W863" s="1025"/>
      <c r="X863" s="1030"/>
      <c r="Y863" s="694">
        <f t="shared" si="111"/>
        <v>0</v>
      </c>
      <c r="Z863" s="690"/>
      <c r="AA863" s="690"/>
      <c r="AB863" s="695">
        <f t="shared" si="112"/>
        <v>0</v>
      </c>
      <c r="AC863" s="1035"/>
      <c r="AD863" s="690"/>
      <c r="AE863" s="1025"/>
      <c r="AF863" s="1030"/>
      <c r="AG863" s="690"/>
      <c r="AH863" s="690"/>
      <c r="AI863" s="696">
        <f t="shared" si="113"/>
        <v>0</v>
      </c>
      <c r="AJ863" s="697">
        <f t="shared" si="114"/>
        <v>0</v>
      </c>
    </row>
    <row r="864" spans="1:36" s="700" customFormat="1" ht="12.75" customHeight="1">
      <c r="A864" s="755" t="s">
        <v>209</v>
      </c>
      <c r="B864" s="768" t="s">
        <v>318</v>
      </c>
      <c r="C864" s="769" t="s">
        <v>377</v>
      </c>
      <c r="D864" s="769"/>
      <c r="E864" s="770"/>
      <c r="F864" s="771"/>
      <c r="G864" s="1025"/>
      <c r="H864" s="690"/>
      <c r="I864" s="1030"/>
      <c r="J864" s="690"/>
      <c r="K864" s="1030"/>
      <c r="L864" s="690"/>
      <c r="M864" s="1025"/>
      <c r="N864" s="1030"/>
      <c r="O864" s="692">
        <f t="shared" si="107"/>
        <v>0</v>
      </c>
      <c r="P864" s="690"/>
      <c r="Q864" s="690"/>
      <c r="R864" s="691">
        <f t="shared" si="108"/>
        <v>0</v>
      </c>
      <c r="S864" s="692">
        <f t="shared" si="109"/>
        <v>0</v>
      </c>
      <c r="T864" s="693">
        <f t="shared" si="110"/>
        <v>0</v>
      </c>
      <c r="U864" s="1035"/>
      <c r="V864" s="690"/>
      <c r="W864" s="1025"/>
      <c r="X864" s="1030"/>
      <c r="Y864" s="694">
        <f t="shared" si="111"/>
        <v>0</v>
      </c>
      <c r="Z864" s="690"/>
      <c r="AA864" s="690"/>
      <c r="AB864" s="695">
        <f t="shared" si="112"/>
        <v>0</v>
      </c>
      <c r="AC864" s="1035"/>
      <c r="AD864" s="690"/>
      <c r="AE864" s="1025"/>
      <c r="AF864" s="1030"/>
      <c r="AG864" s="690"/>
      <c r="AH864" s="690"/>
      <c r="AI864" s="696">
        <f t="shared" si="113"/>
        <v>0</v>
      </c>
      <c r="AJ864" s="697">
        <f t="shared" si="114"/>
        <v>0</v>
      </c>
    </row>
    <row r="865" spans="1:36" s="700" customFormat="1" ht="12.75" customHeight="1">
      <c r="A865" s="755" t="s">
        <v>209</v>
      </c>
      <c r="B865" s="755" t="s">
        <v>420</v>
      </c>
      <c r="C865" s="767" t="s">
        <v>757</v>
      </c>
      <c r="D865" s="767"/>
      <c r="E865" s="760"/>
      <c r="F865" s="763"/>
      <c r="G865" s="1025"/>
      <c r="H865" s="690"/>
      <c r="I865" s="1030"/>
      <c r="J865" s="690"/>
      <c r="K865" s="1030"/>
      <c r="L865" s="690"/>
      <c r="M865" s="1025"/>
      <c r="N865" s="1030"/>
      <c r="O865" s="692">
        <f t="shared" si="107"/>
        <v>0</v>
      </c>
      <c r="P865" s="690"/>
      <c r="Q865" s="690"/>
      <c r="R865" s="691">
        <f t="shared" si="108"/>
        <v>0</v>
      </c>
      <c r="S865" s="692">
        <f t="shared" si="109"/>
        <v>0</v>
      </c>
      <c r="T865" s="693">
        <f t="shared" si="110"/>
        <v>0</v>
      </c>
      <c r="U865" s="1035"/>
      <c r="V865" s="690"/>
      <c r="W865" s="1025"/>
      <c r="X865" s="1030"/>
      <c r="Y865" s="694">
        <f t="shared" si="111"/>
        <v>0</v>
      </c>
      <c r="Z865" s="690"/>
      <c r="AA865" s="690"/>
      <c r="AB865" s="695">
        <f t="shared" si="112"/>
        <v>0</v>
      </c>
      <c r="AC865" s="1035"/>
      <c r="AD865" s="690"/>
      <c r="AE865" s="1025"/>
      <c r="AF865" s="1030"/>
      <c r="AG865" s="690"/>
      <c r="AH865" s="690"/>
      <c r="AI865" s="696">
        <f t="shared" si="113"/>
        <v>0</v>
      </c>
      <c r="AJ865" s="697">
        <f t="shared" si="114"/>
        <v>0</v>
      </c>
    </row>
    <row r="866" spans="1:36" s="700" customFormat="1" ht="12.75" customHeight="1">
      <c r="A866" s="755" t="s">
        <v>209</v>
      </c>
      <c r="B866" s="768" t="s">
        <v>442</v>
      </c>
      <c r="C866" s="769" t="s">
        <v>443</v>
      </c>
      <c r="D866" s="769"/>
      <c r="E866" s="760"/>
      <c r="F866" s="763"/>
      <c r="G866" s="1025"/>
      <c r="H866" s="690"/>
      <c r="I866" s="1030"/>
      <c r="J866" s="690"/>
      <c r="K866" s="1030"/>
      <c r="L866" s="690"/>
      <c r="M866" s="1025"/>
      <c r="N866" s="1030"/>
      <c r="O866" s="692">
        <f t="shared" si="107"/>
        <v>0</v>
      </c>
      <c r="P866" s="690"/>
      <c r="Q866" s="690"/>
      <c r="R866" s="691">
        <f t="shared" si="108"/>
        <v>0</v>
      </c>
      <c r="S866" s="692">
        <f t="shared" si="109"/>
        <v>0</v>
      </c>
      <c r="T866" s="693">
        <f t="shared" si="110"/>
        <v>0</v>
      </c>
      <c r="U866" s="1035">
        <v>1569922</v>
      </c>
      <c r="V866" s="690">
        <v>1569922</v>
      </c>
      <c r="W866" s="1025"/>
      <c r="X866" s="1030"/>
      <c r="Y866" s="694">
        <f t="shared" si="111"/>
        <v>0</v>
      </c>
      <c r="Z866" s="690"/>
      <c r="AA866" s="690"/>
      <c r="AB866" s="695">
        <f t="shared" si="112"/>
        <v>0</v>
      </c>
      <c r="AC866" s="1035"/>
      <c r="AD866" s="690"/>
      <c r="AE866" s="1025"/>
      <c r="AF866" s="1030"/>
      <c r="AG866" s="690"/>
      <c r="AH866" s="690"/>
      <c r="AI866" s="696">
        <f t="shared" si="113"/>
        <v>1569922</v>
      </c>
      <c r="AJ866" s="697">
        <f t="shared" si="114"/>
        <v>1569922</v>
      </c>
    </row>
    <row r="867" spans="1:36" s="700" customFormat="1" ht="12.75" customHeight="1">
      <c r="A867" s="755" t="s">
        <v>209</v>
      </c>
      <c r="B867" s="768" t="s">
        <v>379</v>
      </c>
      <c r="C867" s="769" t="s">
        <v>377</v>
      </c>
      <c r="D867" s="769"/>
      <c r="E867" s="760"/>
      <c r="F867" s="763"/>
      <c r="G867" s="1025"/>
      <c r="H867" s="690"/>
      <c r="I867" s="1030"/>
      <c r="J867" s="690"/>
      <c r="K867" s="1030"/>
      <c r="L867" s="690"/>
      <c r="M867" s="1025"/>
      <c r="N867" s="1030"/>
      <c r="O867" s="692">
        <f t="shared" si="107"/>
        <v>0</v>
      </c>
      <c r="P867" s="690"/>
      <c r="Q867" s="690"/>
      <c r="R867" s="691">
        <f t="shared" si="108"/>
        <v>0</v>
      </c>
      <c r="S867" s="692">
        <f t="shared" si="109"/>
        <v>0</v>
      </c>
      <c r="T867" s="693">
        <f t="shared" si="110"/>
        <v>0</v>
      </c>
      <c r="U867" s="1035"/>
      <c r="V867" s="690"/>
      <c r="W867" s="1025"/>
      <c r="X867" s="1030"/>
      <c r="Y867" s="694">
        <f t="shared" si="111"/>
        <v>0</v>
      </c>
      <c r="Z867" s="690"/>
      <c r="AA867" s="690"/>
      <c r="AB867" s="695">
        <f t="shared" si="112"/>
        <v>0</v>
      </c>
      <c r="AC867" s="1035"/>
      <c r="AD867" s="690"/>
      <c r="AE867" s="1025"/>
      <c r="AF867" s="1030"/>
      <c r="AG867" s="690"/>
      <c r="AH867" s="690"/>
      <c r="AI867" s="696">
        <f t="shared" si="113"/>
        <v>0</v>
      </c>
      <c r="AJ867" s="697">
        <f t="shared" si="114"/>
        <v>0</v>
      </c>
    </row>
    <row r="868" spans="1:36" s="700" customFormat="1" ht="12.75" customHeight="1">
      <c r="A868" s="755" t="s">
        <v>209</v>
      </c>
      <c r="B868" s="768" t="s">
        <v>295</v>
      </c>
      <c r="C868" s="769" t="s">
        <v>53</v>
      </c>
      <c r="D868" s="769"/>
      <c r="E868" s="770"/>
      <c r="F868" s="771"/>
      <c r="G868" s="1025"/>
      <c r="H868" s="690"/>
      <c r="I868" s="1030"/>
      <c r="J868" s="690"/>
      <c r="K868" s="1030"/>
      <c r="L868" s="690"/>
      <c r="M868" s="1025"/>
      <c r="N868" s="1030"/>
      <c r="O868" s="692">
        <f t="shared" si="107"/>
        <v>0</v>
      </c>
      <c r="P868" s="690"/>
      <c r="Q868" s="690"/>
      <c r="R868" s="691">
        <f t="shared" si="108"/>
        <v>0</v>
      </c>
      <c r="S868" s="692">
        <f t="shared" si="109"/>
        <v>0</v>
      </c>
      <c r="T868" s="693">
        <f t="shared" si="110"/>
        <v>0</v>
      </c>
      <c r="U868" s="1035"/>
      <c r="V868" s="690"/>
      <c r="W868" s="1025"/>
      <c r="X868" s="1030"/>
      <c r="Y868" s="694">
        <f t="shared" si="111"/>
        <v>0</v>
      </c>
      <c r="Z868" s="690"/>
      <c r="AA868" s="690"/>
      <c r="AB868" s="695">
        <f t="shared" si="112"/>
        <v>0</v>
      </c>
      <c r="AC868" s="1035"/>
      <c r="AD868" s="690"/>
      <c r="AE868" s="1025"/>
      <c r="AF868" s="1030"/>
      <c r="AG868" s="690"/>
      <c r="AH868" s="690"/>
      <c r="AI868" s="696">
        <f t="shared" si="113"/>
        <v>0</v>
      </c>
      <c r="AJ868" s="697">
        <f t="shared" si="114"/>
        <v>0</v>
      </c>
    </row>
    <row r="869" spans="1:36" s="700" customFormat="1" ht="12.75" customHeight="1">
      <c r="A869" s="755" t="s">
        <v>209</v>
      </c>
      <c r="B869" s="768" t="s">
        <v>296</v>
      </c>
      <c r="C869" s="769" t="s">
        <v>443</v>
      </c>
      <c r="D869" s="769"/>
      <c r="E869" s="770"/>
      <c r="F869" s="771"/>
      <c r="G869" s="1025"/>
      <c r="H869" s="690"/>
      <c r="I869" s="1030"/>
      <c r="J869" s="690"/>
      <c r="K869" s="1030"/>
      <c r="L869" s="690"/>
      <c r="M869" s="1025"/>
      <c r="N869" s="1030"/>
      <c r="O869" s="692">
        <f t="shared" si="107"/>
        <v>0</v>
      </c>
      <c r="P869" s="690"/>
      <c r="Q869" s="690"/>
      <c r="R869" s="691">
        <f t="shared" si="108"/>
        <v>0</v>
      </c>
      <c r="S869" s="692">
        <f t="shared" si="109"/>
        <v>0</v>
      </c>
      <c r="T869" s="693">
        <f t="shared" si="110"/>
        <v>0</v>
      </c>
      <c r="U869" s="1035"/>
      <c r="V869" s="690"/>
      <c r="W869" s="1025"/>
      <c r="X869" s="1030"/>
      <c r="Y869" s="694">
        <f t="shared" si="111"/>
        <v>0</v>
      </c>
      <c r="Z869" s="690"/>
      <c r="AA869" s="690"/>
      <c r="AB869" s="695">
        <f t="shared" si="112"/>
        <v>0</v>
      </c>
      <c r="AC869" s="1035"/>
      <c r="AD869" s="690"/>
      <c r="AE869" s="1025"/>
      <c r="AF869" s="1030"/>
      <c r="AG869" s="690"/>
      <c r="AH869" s="690"/>
      <c r="AI869" s="696">
        <f t="shared" si="113"/>
        <v>0</v>
      </c>
      <c r="AJ869" s="697">
        <f t="shared" si="114"/>
        <v>0</v>
      </c>
    </row>
    <row r="870" spans="1:36" s="700" customFormat="1" ht="12.75" customHeight="1">
      <c r="A870" s="755" t="s">
        <v>209</v>
      </c>
      <c r="B870" s="768" t="s">
        <v>278</v>
      </c>
      <c r="C870" s="769" t="s">
        <v>377</v>
      </c>
      <c r="D870" s="769"/>
      <c r="E870" s="770"/>
      <c r="F870" s="771"/>
      <c r="G870" s="1025"/>
      <c r="H870" s="690"/>
      <c r="I870" s="1030"/>
      <c r="J870" s="690"/>
      <c r="K870" s="1030"/>
      <c r="L870" s="690"/>
      <c r="M870" s="1025"/>
      <c r="N870" s="1030"/>
      <c r="O870" s="692">
        <f t="shared" si="107"/>
        <v>0</v>
      </c>
      <c r="P870" s="690"/>
      <c r="Q870" s="690"/>
      <c r="R870" s="691">
        <f t="shared" si="108"/>
        <v>0</v>
      </c>
      <c r="S870" s="692">
        <f t="shared" si="109"/>
        <v>0</v>
      </c>
      <c r="T870" s="693">
        <f t="shared" si="110"/>
        <v>0</v>
      </c>
      <c r="U870" s="1035"/>
      <c r="V870" s="690"/>
      <c r="W870" s="1025"/>
      <c r="X870" s="1030"/>
      <c r="Y870" s="694">
        <f t="shared" si="111"/>
        <v>0</v>
      </c>
      <c r="Z870" s="690"/>
      <c r="AA870" s="690"/>
      <c r="AB870" s="695">
        <f t="shared" si="112"/>
        <v>0</v>
      </c>
      <c r="AC870" s="1035"/>
      <c r="AD870" s="690"/>
      <c r="AE870" s="1025"/>
      <c r="AF870" s="1030"/>
      <c r="AG870" s="690"/>
      <c r="AH870" s="690"/>
      <c r="AI870" s="696">
        <f t="shared" si="113"/>
        <v>0</v>
      </c>
      <c r="AJ870" s="697">
        <f t="shared" si="114"/>
        <v>0</v>
      </c>
    </row>
    <row r="871" spans="1:36" s="700" customFormat="1" ht="12.75" customHeight="1">
      <c r="A871" s="755" t="s">
        <v>209</v>
      </c>
      <c r="B871" s="768" t="s">
        <v>279</v>
      </c>
      <c r="C871" s="769" t="s">
        <v>54</v>
      </c>
      <c r="D871" s="769"/>
      <c r="E871" s="770"/>
      <c r="F871" s="771"/>
      <c r="G871" s="1025"/>
      <c r="H871" s="690"/>
      <c r="I871" s="1030"/>
      <c r="J871" s="690"/>
      <c r="K871" s="1030"/>
      <c r="L871" s="690"/>
      <c r="M871" s="1025"/>
      <c r="N871" s="1030"/>
      <c r="O871" s="692">
        <f t="shared" si="107"/>
        <v>0</v>
      </c>
      <c r="P871" s="690"/>
      <c r="Q871" s="690"/>
      <c r="R871" s="691">
        <f t="shared" si="108"/>
        <v>0</v>
      </c>
      <c r="S871" s="692">
        <f t="shared" si="109"/>
        <v>0</v>
      </c>
      <c r="T871" s="693">
        <f t="shared" si="110"/>
        <v>0</v>
      </c>
      <c r="U871" s="1035"/>
      <c r="V871" s="690"/>
      <c r="W871" s="1025"/>
      <c r="X871" s="1030"/>
      <c r="Y871" s="694">
        <f t="shared" si="111"/>
        <v>0</v>
      </c>
      <c r="Z871" s="690"/>
      <c r="AA871" s="690"/>
      <c r="AB871" s="695">
        <f t="shared" si="112"/>
        <v>0</v>
      </c>
      <c r="AC871" s="1035"/>
      <c r="AD871" s="690"/>
      <c r="AE871" s="1025"/>
      <c r="AF871" s="1030"/>
      <c r="AG871" s="690"/>
      <c r="AH871" s="690"/>
      <c r="AI871" s="696">
        <f t="shared" si="113"/>
        <v>0</v>
      </c>
      <c r="AJ871" s="697">
        <f t="shared" si="114"/>
        <v>0</v>
      </c>
    </row>
    <row r="872" spans="1:36" s="700" customFormat="1" ht="12.75" customHeight="1">
      <c r="A872" s="755" t="s">
        <v>209</v>
      </c>
      <c r="B872" s="768" t="s">
        <v>317</v>
      </c>
      <c r="C872" s="769" t="s">
        <v>443</v>
      </c>
      <c r="D872" s="769"/>
      <c r="E872" s="770"/>
      <c r="F872" s="771"/>
      <c r="G872" s="1025"/>
      <c r="H872" s="690"/>
      <c r="I872" s="1030"/>
      <c r="J872" s="690"/>
      <c r="K872" s="1030"/>
      <c r="L872" s="690"/>
      <c r="M872" s="1025"/>
      <c r="N872" s="1030"/>
      <c r="O872" s="692">
        <f t="shared" si="107"/>
        <v>0</v>
      </c>
      <c r="P872" s="690"/>
      <c r="Q872" s="690"/>
      <c r="R872" s="691">
        <f t="shared" si="108"/>
        <v>0</v>
      </c>
      <c r="S872" s="692">
        <f t="shared" si="109"/>
        <v>0</v>
      </c>
      <c r="T872" s="693">
        <f t="shared" si="110"/>
        <v>0</v>
      </c>
      <c r="U872" s="1035"/>
      <c r="V872" s="690"/>
      <c r="W872" s="1025"/>
      <c r="X872" s="1030"/>
      <c r="Y872" s="694">
        <f t="shared" si="111"/>
        <v>0</v>
      </c>
      <c r="Z872" s="690"/>
      <c r="AA872" s="690"/>
      <c r="AB872" s="695">
        <f t="shared" si="112"/>
        <v>0</v>
      </c>
      <c r="AC872" s="1035"/>
      <c r="AD872" s="690"/>
      <c r="AE872" s="1025"/>
      <c r="AF872" s="1030"/>
      <c r="AG872" s="690"/>
      <c r="AH872" s="690"/>
      <c r="AI872" s="696">
        <f t="shared" si="113"/>
        <v>0</v>
      </c>
      <c r="AJ872" s="697">
        <f t="shared" si="114"/>
        <v>0</v>
      </c>
    </row>
    <row r="873" spans="1:36" s="700" customFormat="1" ht="12.75" customHeight="1">
      <c r="A873" s="755" t="s">
        <v>209</v>
      </c>
      <c r="B873" s="768" t="s">
        <v>318</v>
      </c>
      <c r="C873" s="769" t="s">
        <v>377</v>
      </c>
      <c r="D873" s="769"/>
      <c r="E873" s="770"/>
      <c r="F873" s="771"/>
      <c r="G873" s="1025"/>
      <c r="H873" s="690"/>
      <c r="I873" s="1030"/>
      <c r="J873" s="690"/>
      <c r="K873" s="1030"/>
      <c r="L873" s="690"/>
      <c r="M873" s="1025"/>
      <c r="N873" s="1030"/>
      <c r="O873" s="692">
        <f t="shared" si="107"/>
        <v>0</v>
      </c>
      <c r="P873" s="690"/>
      <c r="Q873" s="690"/>
      <c r="R873" s="691">
        <f t="shared" si="108"/>
        <v>0</v>
      </c>
      <c r="S873" s="692">
        <f t="shared" si="109"/>
        <v>0</v>
      </c>
      <c r="T873" s="693">
        <f t="shared" si="110"/>
        <v>0</v>
      </c>
      <c r="U873" s="1035"/>
      <c r="V873" s="690"/>
      <c r="W873" s="1025"/>
      <c r="X873" s="1030"/>
      <c r="Y873" s="694">
        <f t="shared" si="111"/>
        <v>0</v>
      </c>
      <c r="Z873" s="690"/>
      <c r="AA873" s="690"/>
      <c r="AB873" s="695">
        <f t="shared" si="112"/>
        <v>0</v>
      </c>
      <c r="AC873" s="1035"/>
      <c r="AD873" s="690"/>
      <c r="AE873" s="1025"/>
      <c r="AF873" s="1030"/>
      <c r="AG873" s="690"/>
      <c r="AH873" s="690"/>
      <c r="AI873" s="696">
        <f t="shared" si="113"/>
        <v>0</v>
      </c>
      <c r="AJ873" s="697">
        <f t="shared" si="114"/>
        <v>0</v>
      </c>
    </row>
    <row r="874" spans="1:36" s="700" customFormat="1" ht="12.75" customHeight="1">
      <c r="A874" s="755" t="s">
        <v>209</v>
      </c>
      <c r="B874" s="755" t="s">
        <v>420</v>
      </c>
      <c r="C874" s="767" t="s">
        <v>758</v>
      </c>
      <c r="D874" s="767"/>
      <c r="E874" s="760"/>
      <c r="F874" s="763"/>
      <c r="G874" s="1025"/>
      <c r="H874" s="690"/>
      <c r="I874" s="1030"/>
      <c r="J874" s="690"/>
      <c r="K874" s="1030"/>
      <c r="L874" s="690"/>
      <c r="M874" s="1025"/>
      <c r="N874" s="1030"/>
      <c r="O874" s="692">
        <f t="shared" si="107"/>
        <v>0</v>
      </c>
      <c r="P874" s="690"/>
      <c r="Q874" s="690"/>
      <c r="R874" s="691">
        <f t="shared" si="108"/>
        <v>0</v>
      </c>
      <c r="S874" s="692">
        <f t="shared" si="109"/>
        <v>0</v>
      </c>
      <c r="T874" s="693">
        <f t="shared" si="110"/>
        <v>0</v>
      </c>
      <c r="U874" s="1035"/>
      <c r="V874" s="690"/>
      <c r="W874" s="1025"/>
      <c r="X874" s="1030"/>
      <c r="Y874" s="694">
        <f t="shared" si="111"/>
        <v>0</v>
      </c>
      <c r="Z874" s="690"/>
      <c r="AA874" s="690"/>
      <c r="AB874" s="695">
        <f t="shared" si="112"/>
        <v>0</v>
      </c>
      <c r="AC874" s="1035"/>
      <c r="AD874" s="690"/>
      <c r="AE874" s="1025"/>
      <c r="AF874" s="1030"/>
      <c r="AG874" s="690"/>
      <c r="AH874" s="690"/>
      <c r="AI874" s="696">
        <f t="shared" si="113"/>
        <v>0</v>
      </c>
      <c r="AJ874" s="697">
        <f t="shared" si="114"/>
        <v>0</v>
      </c>
    </row>
    <row r="875" spans="1:36" s="700" customFormat="1" ht="12.75" customHeight="1">
      <c r="A875" s="755" t="s">
        <v>209</v>
      </c>
      <c r="B875" s="768" t="s">
        <v>442</v>
      </c>
      <c r="C875" s="769" t="s">
        <v>443</v>
      </c>
      <c r="D875" s="769"/>
      <c r="E875" s="760"/>
      <c r="F875" s="763"/>
      <c r="G875" s="1025"/>
      <c r="H875" s="690"/>
      <c r="I875" s="1030"/>
      <c r="J875" s="690"/>
      <c r="K875" s="1030"/>
      <c r="L875" s="690"/>
      <c r="M875" s="1025"/>
      <c r="N875" s="1030"/>
      <c r="O875" s="692">
        <f t="shared" si="107"/>
        <v>0</v>
      </c>
      <c r="P875" s="690"/>
      <c r="Q875" s="690"/>
      <c r="R875" s="691">
        <f t="shared" si="108"/>
        <v>0</v>
      </c>
      <c r="S875" s="692">
        <f t="shared" si="109"/>
        <v>0</v>
      </c>
      <c r="T875" s="693">
        <f t="shared" si="110"/>
        <v>0</v>
      </c>
      <c r="U875" s="1035">
        <v>61431</v>
      </c>
      <c r="V875" s="690">
        <v>58974</v>
      </c>
      <c r="W875" s="1025"/>
      <c r="X875" s="1030"/>
      <c r="Y875" s="694">
        <f t="shared" si="111"/>
        <v>0</v>
      </c>
      <c r="Z875" s="690"/>
      <c r="AA875" s="690"/>
      <c r="AB875" s="695">
        <f t="shared" si="112"/>
        <v>0</v>
      </c>
      <c r="AC875" s="1035"/>
      <c r="AD875" s="690"/>
      <c r="AE875" s="1025"/>
      <c r="AF875" s="1030"/>
      <c r="AG875" s="690"/>
      <c r="AH875" s="690"/>
      <c r="AI875" s="696">
        <f t="shared" si="113"/>
        <v>61431</v>
      </c>
      <c r="AJ875" s="697">
        <f t="shared" si="114"/>
        <v>58974</v>
      </c>
    </row>
    <row r="876" spans="1:36" s="700" customFormat="1" ht="12.75" customHeight="1">
      <c r="A876" s="755" t="s">
        <v>209</v>
      </c>
      <c r="B876" s="768" t="s">
        <v>379</v>
      </c>
      <c r="C876" s="769" t="s">
        <v>377</v>
      </c>
      <c r="D876" s="769"/>
      <c r="E876" s="760"/>
      <c r="F876" s="763"/>
      <c r="G876" s="1025"/>
      <c r="H876" s="690"/>
      <c r="I876" s="1030"/>
      <c r="J876" s="690"/>
      <c r="K876" s="1030"/>
      <c r="L876" s="690"/>
      <c r="M876" s="1025"/>
      <c r="N876" s="1030"/>
      <c r="O876" s="692">
        <f t="shared" si="107"/>
        <v>0</v>
      </c>
      <c r="P876" s="690"/>
      <c r="Q876" s="690"/>
      <c r="R876" s="691">
        <f t="shared" si="108"/>
        <v>0</v>
      </c>
      <c r="S876" s="692">
        <f t="shared" si="109"/>
        <v>0</v>
      </c>
      <c r="T876" s="693">
        <f t="shared" si="110"/>
        <v>0</v>
      </c>
      <c r="U876" s="1035"/>
      <c r="V876" s="690"/>
      <c r="W876" s="1025"/>
      <c r="X876" s="1030"/>
      <c r="Y876" s="694">
        <f t="shared" si="111"/>
        <v>0</v>
      </c>
      <c r="Z876" s="690"/>
      <c r="AA876" s="690"/>
      <c r="AB876" s="695">
        <f t="shared" si="112"/>
        <v>0</v>
      </c>
      <c r="AC876" s="1035"/>
      <c r="AD876" s="690"/>
      <c r="AE876" s="1025"/>
      <c r="AF876" s="1030"/>
      <c r="AG876" s="690"/>
      <c r="AH876" s="690"/>
      <c r="AI876" s="696">
        <f t="shared" si="113"/>
        <v>0</v>
      </c>
      <c r="AJ876" s="697">
        <f t="shared" si="114"/>
        <v>0</v>
      </c>
    </row>
    <row r="877" spans="1:36" s="700" customFormat="1" ht="12.75" customHeight="1">
      <c r="A877" s="755" t="s">
        <v>209</v>
      </c>
      <c r="B877" s="768" t="s">
        <v>295</v>
      </c>
      <c r="C877" s="769" t="s">
        <v>53</v>
      </c>
      <c r="D877" s="769"/>
      <c r="E877" s="770"/>
      <c r="F877" s="771"/>
      <c r="G877" s="1025"/>
      <c r="H877" s="690"/>
      <c r="I877" s="1030"/>
      <c r="J877" s="690"/>
      <c r="K877" s="1030"/>
      <c r="L877" s="690"/>
      <c r="M877" s="1025"/>
      <c r="N877" s="1030"/>
      <c r="O877" s="692">
        <f t="shared" si="107"/>
        <v>0</v>
      </c>
      <c r="P877" s="690"/>
      <c r="Q877" s="690"/>
      <c r="R877" s="691">
        <f t="shared" si="108"/>
        <v>0</v>
      </c>
      <c r="S877" s="692">
        <f t="shared" si="109"/>
        <v>0</v>
      </c>
      <c r="T877" s="693">
        <f t="shared" si="110"/>
        <v>0</v>
      </c>
      <c r="U877" s="1035"/>
      <c r="V877" s="690"/>
      <c r="W877" s="1025"/>
      <c r="X877" s="1030"/>
      <c r="Y877" s="694">
        <f t="shared" si="111"/>
        <v>0</v>
      </c>
      <c r="Z877" s="690"/>
      <c r="AA877" s="690"/>
      <c r="AB877" s="695">
        <f t="shared" si="112"/>
        <v>0</v>
      </c>
      <c r="AC877" s="1035"/>
      <c r="AD877" s="690"/>
      <c r="AE877" s="1025"/>
      <c r="AF877" s="1030"/>
      <c r="AG877" s="690"/>
      <c r="AH877" s="690"/>
      <c r="AI877" s="696">
        <f t="shared" si="113"/>
        <v>0</v>
      </c>
      <c r="AJ877" s="697">
        <f t="shared" si="114"/>
        <v>0</v>
      </c>
    </row>
    <row r="878" spans="1:36" s="700" customFormat="1" ht="12.75" customHeight="1">
      <c r="A878" s="755" t="s">
        <v>209</v>
      </c>
      <c r="B878" s="768" t="s">
        <v>296</v>
      </c>
      <c r="C878" s="769" t="s">
        <v>443</v>
      </c>
      <c r="D878" s="769"/>
      <c r="E878" s="770"/>
      <c r="F878" s="771"/>
      <c r="G878" s="1025"/>
      <c r="H878" s="690"/>
      <c r="I878" s="1030"/>
      <c r="J878" s="690"/>
      <c r="K878" s="1030"/>
      <c r="L878" s="690"/>
      <c r="M878" s="1025"/>
      <c r="N878" s="1030"/>
      <c r="O878" s="692">
        <f t="shared" si="107"/>
        <v>0</v>
      </c>
      <c r="P878" s="690"/>
      <c r="Q878" s="690"/>
      <c r="R878" s="691">
        <f t="shared" si="108"/>
        <v>0</v>
      </c>
      <c r="S878" s="692">
        <f t="shared" si="109"/>
        <v>0</v>
      </c>
      <c r="T878" s="693">
        <f t="shared" si="110"/>
        <v>0</v>
      </c>
      <c r="U878" s="1035"/>
      <c r="V878" s="690"/>
      <c r="W878" s="1025"/>
      <c r="X878" s="1030"/>
      <c r="Y878" s="694">
        <f t="shared" si="111"/>
        <v>0</v>
      </c>
      <c r="Z878" s="690"/>
      <c r="AA878" s="690"/>
      <c r="AB878" s="695">
        <f t="shared" si="112"/>
        <v>0</v>
      </c>
      <c r="AC878" s="1035"/>
      <c r="AD878" s="690"/>
      <c r="AE878" s="1025"/>
      <c r="AF878" s="1030"/>
      <c r="AG878" s="690"/>
      <c r="AH878" s="690"/>
      <c r="AI878" s="696">
        <f t="shared" si="113"/>
        <v>0</v>
      </c>
      <c r="AJ878" s="697">
        <f t="shared" si="114"/>
        <v>0</v>
      </c>
    </row>
    <row r="879" spans="1:36" s="700" customFormat="1" ht="12.75" customHeight="1">
      <c r="A879" s="755" t="s">
        <v>209</v>
      </c>
      <c r="B879" s="768" t="s">
        <v>278</v>
      </c>
      <c r="C879" s="769" t="s">
        <v>377</v>
      </c>
      <c r="D879" s="769"/>
      <c r="E879" s="770"/>
      <c r="F879" s="771"/>
      <c r="G879" s="1025"/>
      <c r="H879" s="690"/>
      <c r="I879" s="1030"/>
      <c r="J879" s="690"/>
      <c r="K879" s="1030"/>
      <c r="L879" s="690"/>
      <c r="M879" s="1025"/>
      <c r="N879" s="1030"/>
      <c r="O879" s="692">
        <f t="shared" si="107"/>
        <v>0</v>
      </c>
      <c r="P879" s="690"/>
      <c r="Q879" s="690"/>
      <c r="R879" s="691">
        <f t="shared" si="108"/>
        <v>0</v>
      </c>
      <c r="S879" s="692">
        <f t="shared" si="109"/>
        <v>0</v>
      </c>
      <c r="T879" s="693">
        <f t="shared" si="110"/>
        <v>0</v>
      </c>
      <c r="U879" s="1035"/>
      <c r="V879" s="690"/>
      <c r="W879" s="1025"/>
      <c r="X879" s="1030"/>
      <c r="Y879" s="694">
        <f t="shared" si="111"/>
        <v>0</v>
      </c>
      <c r="Z879" s="690"/>
      <c r="AA879" s="690"/>
      <c r="AB879" s="695">
        <f t="shared" si="112"/>
        <v>0</v>
      </c>
      <c r="AC879" s="1035"/>
      <c r="AD879" s="690"/>
      <c r="AE879" s="1025"/>
      <c r="AF879" s="1030"/>
      <c r="AG879" s="690"/>
      <c r="AH879" s="690"/>
      <c r="AI879" s="696">
        <f t="shared" si="113"/>
        <v>0</v>
      </c>
      <c r="AJ879" s="697">
        <f t="shared" si="114"/>
        <v>0</v>
      </c>
    </row>
    <row r="880" spans="1:36" s="700" customFormat="1" ht="12.75" customHeight="1">
      <c r="A880" s="755" t="s">
        <v>209</v>
      </c>
      <c r="B880" s="768" t="s">
        <v>279</v>
      </c>
      <c r="C880" s="769" t="s">
        <v>54</v>
      </c>
      <c r="D880" s="769"/>
      <c r="E880" s="770"/>
      <c r="F880" s="771"/>
      <c r="G880" s="1025"/>
      <c r="H880" s="690"/>
      <c r="I880" s="1030"/>
      <c r="J880" s="690"/>
      <c r="K880" s="1030"/>
      <c r="L880" s="690"/>
      <c r="M880" s="1025"/>
      <c r="N880" s="1030"/>
      <c r="O880" s="692">
        <f t="shared" si="107"/>
        <v>0</v>
      </c>
      <c r="P880" s="690"/>
      <c r="Q880" s="690"/>
      <c r="R880" s="691">
        <f t="shared" si="108"/>
        <v>0</v>
      </c>
      <c r="S880" s="692">
        <f t="shared" si="109"/>
        <v>0</v>
      </c>
      <c r="T880" s="693">
        <f t="shared" si="110"/>
        <v>0</v>
      </c>
      <c r="U880" s="1035"/>
      <c r="V880" s="690"/>
      <c r="W880" s="1025"/>
      <c r="X880" s="1030"/>
      <c r="Y880" s="694">
        <f t="shared" si="111"/>
        <v>0</v>
      </c>
      <c r="Z880" s="690"/>
      <c r="AA880" s="690"/>
      <c r="AB880" s="695">
        <f t="shared" si="112"/>
        <v>0</v>
      </c>
      <c r="AC880" s="1035"/>
      <c r="AD880" s="690"/>
      <c r="AE880" s="1025"/>
      <c r="AF880" s="1030"/>
      <c r="AG880" s="690"/>
      <c r="AH880" s="690"/>
      <c r="AI880" s="696">
        <f t="shared" si="113"/>
        <v>0</v>
      </c>
      <c r="AJ880" s="697">
        <f t="shared" si="114"/>
        <v>0</v>
      </c>
    </row>
    <row r="881" spans="1:36" s="700" customFormat="1" ht="12.75" customHeight="1">
      <c r="A881" s="755" t="s">
        <v>209</v>
      </c>
      <c r="B881" s="768" t="s">
        <v>317</v>
      </c>
      <c r="C881" s="769" t="s">
        <v>443</v>
      </c>
      <c r="D881" s="769"/>
      <c r="E881" s="770"/>
      <c r="F881" s="771"/>
      <c r="G881" s="1025"/>
      <c r="H881" s="690"/>
      <c r="I881" s="1030"/>
      <c r="J881" s="690"/>
      <c r="K881" s="1030"/>
      <c r="L881" s="690"/>
      <c r="M881" s="1025"/>
      <c r="N881" s="1030"/>
      <c r="O881" s="692">
        <f t="shared" si="107"/>
        <v>0</v>
      </c>
      <c r="P881" s="690"/>
      <c r="Q881" s="690"/>
      <c r="R881" s="691">
        <f t="shared" si="108"/>
        <v>0</v>
      </c>
      <c r="S881" s="692">
        <f t="shared" si="109"/>
        <v>0</v>
      </c>
      <c r="T881" s="693">
        <f t="shared" si="110"/>
        <v>0</v>
      </c>
      <c r="U881" s="1035"/>
      <c r="V881" s="690"/>
      <c r="W881" s="1025"/>
      <c r="X881" s="1030"/>
      <c r="Y881" s="694">
        <f t="shared" si="111"/>
        <v>0</v>
      </c>
      <c r="Z881" s="690"/>
      <c r="AA881" s="690"/>
      <c r="AB881" s="695">
        <f t="shared" si="112"/>
        <v>0</v>
      </c>
      <c r="AC881" s="1035"/>
      <c r="AD881" s="690"/>
      <c r="AE881" s="1025"/>
      <c r="AF881" s="1030"/>
      <c r="AG881" s="690"/>
      <c r="AH881" s="690"/>
      <c r="AI881" s="696">
        <f t="shared" si="113"/>
        <v>0</v>
      </c>
      <c r="AJ881" s="697">
        <f t="shared" si="114"/>
        <v>0</v>
      </c>
    </row>
    <row r="882" spans="1:36" s="700" customFormat="1" ht="12.75" customHeight="1">
      <c r="A882" s="755" t="s">
        <v>209</v>
      </c>
      <c r="B882" s="768" t="s">
        <v>318</v>
      </c>
      <c r="C882" s="769" t="s">
        <v>377</v>
      </c>
      <c r="D882" s="769"/>
      <c r="E882" s="770"/>
      <c r="F882" s="771"/>
      <c r="G882" s="1025"/>
      <c r="H882" s="690"/>
      <c r="I882" s="1030"/>
      <c r="J882" s="690"/>
      <c r="K882" s="1030"/>
      <c r="L882" s="690"/>
      <c r="M882" s="1025"/>
      <c r="N882" s="1030"/>
      <c r="O882" s="692">
        <f t="shared" si="107"/>
        <v>0</v>
      </c>
      <c r="P882" s="690"/>
      <c r="Q882" s="690"/>
      <c r="R882" s="691">
        <f t="shared" si="108"/>
        <v>0</v>
      </c>
      <c r="S882" s="692">
        <f t="shared" si="109"/>
        <v>0</v>
      </c>
      <c r="T882" s="693">
        <f t="shared" si="110"/>
        <v>0</v>
      </c>
      <c r="U882" s="1035"/>
      <c r="V882" s="690"/>
      <c r="W882" s="1025"/>
      <c r="X882" s="1030"/>
      <c r="Y882" s="694">
        <f t="shared" si="111"/>
        <v>0</v>
      </c>
      <c r="Z882" s="690"/>
      <c r="AA882" s="690"/>
      <c r="AB882" s="695">
        <f t="shared" si="112"/>
        <v>0</v>
      </c>
      <c r="AC882" s="1035"/>
      <c r="AD882" s="690"/>
      <c r="AE882" s="1025"/>
      <c r="AF882" s="1030"/>
      <c r="AG882" s="690"/>
      <c r="AH882" s="690"/>
      <c r="AI882" s="696">
        <f t="shared" si="113"/>
        <v>0</v>
      </c>
      <c r="AJ882" s="697">
        <f t="shared" si="114"/>
        <v>0</v>
      </c>
    </row>
    <row r="883" spans="1:36" s="700" customFormat="1" ht="12.75" customHeight="1">
      <c r="A883" s="755" t="s">
        <v>209</v>
      </c>
      <c r="B883" s="755" t="s">
        <v>420</v>
      </c>
      <c r="C883" s="767" t="s">
        <v>759</v>
      </c>
      <c r="D883" s="767"/>
      <c r="E883" s="760"/>
      <c r="F883" s="763"/>
      <c r="G883" s="1025"/>
      <c r="H883" s="690"/>
      <c r="I883" s="1030"/>
      <c r="J883" s="690"/>
      <c r="K883" s="1030"/>
      <c r="L883" s="690"/>
      <c r="M883" s="1025"/>
      <c r="N883" s="1030"/>
      <c r="O883" s="692">
        <f t="shared" si="107"/>
        <v>0</v>
      </c>
      <c r="P883" s="690"/>
      <c r="Q883" s="690"/>
      <c r="R883" s="691">
        <f t="shared" si="108"/>
        <v>0</v>
      </c>
      <c r="S883" s="692">
        <f t="shared" si="109"/>
        <v>0</v>
      </c>
      <c r="T883" s="693">
        <f t="shared" si="110"/>
        <v>0</v>
      </c>
      <c r="U883" s="1035"/>
      <c r="V883" s="690"/>
      <c r="W883" s="1025"/>
      <c r="X883" s="1030"/>
      <c r="Y883" s="694">
        <f t="shared" si="111"/>
        <v>0</v>
      </c>
      <c r="Z883" s="690"/>
      <c r="AA883" s="690"/>
      <c r="AB883" s="695">
        <f t="shared" si="112"/>
        <v>0</v>
      </c>
      <c r="AC883" s="1035"/>
      <c r="AD883" s="690"/>
      <c r="AE883" s="1025"/>
      <c r="AF883" s="1030"/>
      <c r="AG883" s="690"/>
      <c r="AH883" s="690"/>
      <c r="AI883" s="696">
        <f t="shared" si="113"/>
        <v>0</v>
      </c>
      <c r="AJ883" s="697">
        <f t="shared" si="114"/>
        <v>0</v>
      </c>
    </row>
    <row r="884" spans="1:36" s="700" customFormat="1" ht="12.75" customHeight="1">
      <c r="A884" s="755" t="s">
        <v>209</v>
      </c>
      <c r="B884" s="768" t="s">
        <v>442</v>
      </c>
      <c r="C884" s="769" t="s">
        <v>443</v>
      </c>
      <c r="D884" s="769"/>
      <c r="E884" s="760"/>
      <c r="F884" s="763"/>
      <c r="G884" s="1025"/>
      <c r="H884" s="690"/>
      <c r="I884" s="1030"/>
      <c r="J884" s="690"/>
      <c r="K884" s="1030"/>
      <c r="L884" s="690"/>
      <c r="M884" s="1025"/>
      <c r="N884" s="1030"/>
      <c r="O884" s="692">
        <f t="shared" si="107"/>
        <v>0</v>
      </c>
      <c r="P884" s="690"/>
      <c r="Q884" s="690"/>
      <c r="R884" s="691">
        <f t="shared" si="108"/>
        <v>0</v>
      </c>
      <c r="S884" s="692">
        <f t="shared" si="109"/>
        <v>0</v>
      </c>
      <c r="T884" s="693">
        <f t="shared" si="110"/>
        <v>0</v>
      </c>
      <c r="U884" s="1035">
        <v>3275611</v>
      </c>
      <c r="V884" s="690">
        <v>3108087</v>
      </c>
      <c r="W884" s="1025"/>
      <c r="X884" s="1030"/>
      <c r="Y884" s="694">
        <f t="shared" si="111"/>
        <v>0</v>
      </c>
      <c r="Z884" s="690"/>
      <c r="AA884" s="690"/>
      <c r="AB884" s="695">
        <f t="shared" si="112"/>
        <v>0</v>
      </c>
      <c r="AC884" s="1035"/>
      <c r="AD884" s="690"/>
      <c r="AE884" s="1025"/>
      <c r="AF884" s="1030"/>
      <c r="AG884" s="690"/>
      <c r="AH884" s="690"/>
      <c r="AI884" s="696">
        <f t="shared" si="113"/>
        <v>3275611</v>
      </c>
      <c r="AJ884" s="697">
        <f t="shared" si="114"/>
        <v>3108087</v>
      </c>
    </row>
    <row r="885" spans="1:36" s="700" customFormat="1" ht="12.75" customHeight="1">
      <c r="A885" s="755" t="s">
        <v>209</v>
      </c>
      <c r="B885" s="768" t="s">
        <v>379</v>
      </c>
      <c r="C885" s="769" t="s">
        <v>377</v>
      </c>
      <c r="D885" s="769"/>
      <c r="E885" s="760"/>
      <c r="F885" s="763"/>
      <c r="G885" s="1025"/>
      <c r="H885" s="690"/>
      <c r="I885" s="1030"/>
      <c r="J885" s="690"/>
      <c r="K885" s="1030"/>
      <c r="L885" s="690"/>
      <c r="M885" s="1025"/>
      <c r="N885" s="1030"/>
      <c r="O885" s="692">
        <f t="shared" si="107"/>
        <v>0</v>
      </c>
      <c r="P885" s="690"/>
      <c r="Q885" s="690"/>
      <c r="R885" s="691">
        <f t="shared" si="108"/>
        <v>0</v>
      </c>
      <c r="S885" s="692">
        <f t="shared" si="109"/>
        <v>0</v>
      </c>
      <c r="T885" s="693">
        <f t="shared" si="110"/>
        <v>0</v>
      </c>
      <c r="U885" s="1035"/>
      <c r="V885" s="690"/>
      <c r="W885" s="1025"/>
      <c r="X885" s="1030"/>
      <c r="Y885" s="694">
        <f t="shared" si="111"/>
        <v>0</v>
      </c>
      <c r="Z885" s="690"/>
      <c r="AA885" s="690"/>
      <c r="AB885" s="695">
        <f t="shared" si="112"/>
        <v>0</v>
      </c>
      <c r="AC885" s="1035"/>
      <c r="AD885" s="690"/>
      <c r="AE885" s="1025"/>
      <c r="AF885" s="1030"/>
      <c r="AG885" s="690"/>
      <c r="AH885" s="690"/>
      <c r="AI885" s="696">
        <f t="shared" si="113"/>
        <v>0</v>
      </c>
      <c r="AJ885" s="697">
        <f t="shared" si="114"/>
        <v>0</v>
      </c>
    </row>
    <row r="886" spans="1:36" s="700" customFormat="1" ht="12.75" customHeight="1">
      <c r="A886" s="755" t="s">
        <v>209</v>
      </c>
      <c r="B886" s="768" t="s">
        <v>295</v>
      </c>
      <c r="C886" s="769" t="s">
        <v>53</v>
      </c>
      <c r="D886" s="769"/>
      <c r="E886" s="770"/>
      <c r="F886" s="771"/>
      <c r="G886" s="1025"/>
      <c r="H886" s="690"/>
      <c r="I886" s="1030"/>
      <c r="J886" s="690"/>
      <c r="K886" s="1030"/>
      <c r="L886" s="690"/>
      <c r="M886" s="1025"/>
      <c r="N886" s="1030"/>
      <c r="O886" s="692">
        <f t="shared" si="107"/>
        <v>0</v>
      </c>
      <c r="P886" s="690"/>
      <c r="Q886" s="690"/>
      <c r="R886" s="691">
        <f t="shared" si="108"/>
        <v>0</v>
      </c>
      <c r="S886" s="692">
        <f t="shared" si="109"/>
        <v>0</v>
      </c>
      <c r="T886" s="693">
        <f t="shared" si="110"/>
        <v>0</v>
      </c>
      <c r="U886" s="1035"/>
      <c r="V886" s="690"/>
      <c r="W886" s="1025"/>
      <c r="X886" s="1030"/>
      <c r="Y886" s="694">
        <f t="shared" si="111"/>
        <v>0</v>
      </c>
      <c r="Z886" s="690"/>
      <c r="AA886" s="690"/>
      <c r="AB886" s="695">
        <f t="shared" si="112"/>
        <v>0</v>
      </c>
      <c r="AC886" s="1035"/>
      <c r="AD886" s="690"/>
      <c r="AE886" s="1025"/>
      <c r="AF886" s="1030"/>
      <c r="AG886" s="690"/>
      <c r="AH886" s="690"/>
      <c r="AI886" s="696">
        <f t="shared" si="113"/>
        <v>0</v>
      </c>
      <c r="AJ886" s="697">
        <f t="shared" si="114"/>
        <v>0</v>
      </c>
    </row>
    <row r="887" spans="1:36" s="700" customFormat="1" ht="12.75" customHeight="1">
      <c r="A887" s="755" t="s">
        <v>209</v>
      </c>
      <c r="B887" s="768" t="s">
        <v>296</v>
      </c>
      <c r="C887" s="769" t="s">
        <v>443</v>
      </c>
      <c r="D887" s="769"/>
      <c r="E887" s="770"/>
      <c r="F887" s="771"/>
      <c r="G887" s="1025"/>
      <c r="H887" s="690"/>
      <c r="I887" s="1030"/>
      <c r="J887" s="690"/>
      <c r="K887" s="1030"/>
      <c r="L887" s="690"/>
      <c r="M887" s="1025"/>
      <c r="N887" s="1030"/>
      <c r="O887" s="692">
        <f t="shared" si="107"/>
        <v>0</v>
      </c>
      <c r="P887" s="690"/>
      <c r="Q887" s="690"/>
      <c r="R887" s="691">
        <f t="shared" si="108"/>
        <v>0</v>
      </c>
      <c r="S887" s="692">
        <f t="shared" si="109"/>
        <v>0</v>
      </c>
      <c r="T887" s="693">
        <f t="shared" si="110"/>
        <v>0</v>
      </c>
      <c r="U887" s="1035"/>
      <c r="V887" s="690"/>
      <c r="W887" s="1025"/>
      <c r="X887" s="1030"/>
      <c r="Y887" s="694">
        <f t="shared" si="111"/>
        <v>0</v>
      </c>
      <c r="Z887" s="690"/>
      <c r="AA887" s="690"/>
      <c r="AB887" s="695">
        <f t="shared" si="112"/>
        <v>0</v>
      </c>
      <c r="AC887" s="1035"/>
      <c r="AD887" s="690"/>
      <c r="AE887" s="1025"/>
      <c r="AF887" s="1030"/>
      <c r="AG887" s="690"/>
      <c r="AH887" s="690"/>
      <c r="AI887" s="696">
        <f t="shared" si="113"/>
        <v>0</v>
      </c>
      <c r="AJ887" s="697">
        <f t="shared" si="114"/>
        <v>0</v>
      </c>
    </row>
    <row r="888" spans="1:36" s="700" customFormat="1" ht="12.75" customHeight="1">
      <c r="A888" s="755" t="s">
        <v>209</v>
      </c>
      <c r="B888" s="768" t="s">
        <v>278</v>
      </c>
      <c r="C888" s="769" t="s">
        <v>377</v>
      </c>
      <c r="D888" s="769"/>
      <c r="E888" s="770"/>
      <c r="F888" s="771"/>
      <c r="G888" s="1025"/>
      <c r="H888" s="690"/>
      <c r="I888" s="1030"/>
      <c r="J888" s="690"/>
      <c r="K888" s="1030"/>
      <c r="L888" s="690"/>
      <c r="M888" s="1025"/>
      <c r="N888" s="1030"/>
      <c r="O888" s="692">
        <f t="shared" si="107"/>
        <v>0</v>
      </c>
      <c r="P888" s="690"/>
      <c r="Q888" s="690"/>
      <c r="R888" s="691">
        <f t="shared" si="108"/>
        <v>0</v>
      </c>
      <c r="S888" s="692">
        <f t="shared" si="109"/>
        <v>0</v>
      </c>
      <c r="T888" s="693">
        <f t="shared" si="110"/>
        <v>0</v>
      </c>
      <c r="U888" s="1035"/>
      <c r="V888" s="690"/>
      <c r="W888" s="1025"/>
      <c r="X888" s="1030"/>
      <c r="Y888" s="694">
        <f t="shared" si="111"/>
        <v>0</v>
      </c>
      <c r="Z888" s="690"/>
      <c r="AA888" s="690"/>
      <c r="AB888" s="695">
        <f t="shared" si="112"/>
        <v>0</v>
      </c>
      <c r="AC888" s="1035"/>
      <c r="AD888" s="690"/>
      <c r="AE888" s="1025"/>
      <c r="AF888" s="1030"/>
      <c r="AG888" s="690"/>
      <c r="AH888" s="690"/>
      <c r="AI888" s="696">
        <f t="shared" si="113"/>
        <v>0</v>
      </c>
      <c r="AJ888" s="697">
        <f t="shared" si="114"/>
        <v>0</v>
      </c>
    </row>
    <row r="889" spans="1:36" s="700" customFormat="1" ht="12.75" customHeight="1">
      <c r="A889" s="755" t="s">
        <v>209</v>
      </c>
      <c r="B889" s="768" t="s">
        <v>279</v>
      </c>
      <c r="C889" s="769" t="s">
        <v>54</v>
      </c>
      <c r="D889" s="769"/>
      <c r="E889" s="770"/>
      <c r="F889" s="771"/>
      <c r="G889" s="1025"/>
      <c r="H889" s="690"/>
      <c r="I889" s="1030"/>
      <c r="J889" s="690"/>
      <c r="K889" s="1030"/>
      <c r="L889" s="690"/>
      <c r="M889" s="1025"/>
      <c r="N889" s="1030"/>
      <c r="O889" s="692">
        <f t="shared" si="107"/>
        <v>0</v>
      </c>
      <c r="P889" s="690"/>
      <c r="Q889" s="690"/>
      <c r="R889" s="691">
        <f t="shared" si="108"/>
        <v>0</v>
      </c>
      <c r="S889" s="692">
        <f t="shared" si="109"/>
        <v>0</v>
      </c>
      <c r="T889" s="693">
        <f t="shared" si="110"/>
        <v>0</v>
      </c>
      <c r="U889" s="1035"/>
      <c r="V889" s="690"/>
      <c r="W889" s="1025"/>
      <c r="X889" s="1030"/>
      <c r="Y889" s="694">
        <f t="shared" si="111"/>
        <v>0</v>
      </c>
      <c r="Z889" s="690"/>
      <c r="AA889" s="690"/>
      <c r="AB889" s="695">
        <f t="shared" si="112"/>
        <v>0</v>
      </c>
      <c r="AC889" s="1035"/>
      <c r="AD889" s="690"/>
      <c r="AE889" s="1025"/>
      <c r="AF889" s="1030"/>
      <c r="AG889" s="690"/>
      <c r="AH889" s="690"/>
      <c r="AI889" s="696">
        <f t="shared" si="113"/>
        <v>0</v>
      </c>
      <c r="AJ889" s="697">
        <f t="shared" si="114"/>
        <v>0</v>
      </c>
    </row>
    <row r="890" spans="1:36" s="700" customFormat="1" ht="12.75" customHeight="1">
      <c r="A890" s="755" t="s">
        <v>209</v>
      </c>
      <c r="B890" s="768" t="s">
        <v>317</v>
      </c>
      <c r="C890" s="769" t="s">
        <v>443</v>
      </c>
      <c r="D890" s="769"/>
      <c r="E890" s="770"/>
      <c r="F890" s="771"/>
      <c r="G890" s="1025"/>
      <c r="H890" s="690"/>
      <c r="I890" s="1030"/>
      <c r="J890" s="690"/>
      <c r="K890" s="1030"/>
      <c r="L890" s="690"/>
      <c r="M890" s="1025"/>
      <c r="N890" s="1030"/>
      <c r="O890" s="692">
        <f t="shared" si="107"/>
        <v>0</v>
      </c>
      <c r="P890" s="690"/>
      <c r="Q890" s="690"/>
      <c r="R890" s="691">
        <f t="shared" si="108"/>
        <v>0</v>
      </c>
      <c r="S890" s="692">
        <f t="shared" si="109"/>
        <v>0</v>
      </c>
      <c r="T890" s="693">
        <f t="shared" si="110"/>
        <v>0</v>
      </c>
      <c r="U890" s="1035"/>
      <c r="V890" s="690"/>
      <c r="W890" s="1025"/>
      <c r="X890" s="1030"/>
      <c r="Y890" s="694">
        <f t="shared" si="111"/>
        <v>0</v>
      </c>
      <c r="Z890" s="690"/>
      <c r="AA890" s="690"/>
      <c r="AB890" s="695">
        <f t="shared" si="112"/>
        <v>0</v>
      </c>
      <c r="AC890" s="1035"/>
      <c r="AD890" s="690"/>
      <c r="AE890" s="1025"/>
      <c r="AF890" s="1030"/>
      <c r="AG890" s="690"/>
      <c r="AH890" s="690"/>
      <c r="AI890" s="696">
        <f t="shared" si="113"/>
        <v>0</v>
      </c>
      <c r="AJ890" s="697">
        <f t="shared" si="114"/>
        <v>0</v>
      </c>
    </row>
    <row r="891" spans="1:36" s="700" customFormat="1" ht="12.75" customHeight="1">
      <c r="A891" s="755" t="s">
        <v>209</v>
      </c>
      <c r="B891" s="768" t="s">
        <v>318</v>
      </c>
      <c r="C891" s="769" t="s">
        <v>377</v>
      </c>
      <c r="D891" s="769"/>
      <c r="E891" s="770"/>
      <c r="F891" s="771"/>
      <c r="G891" s="1025"/>
      <c r="H891" s="690"/>
      <c r="I891" s="1030"/>
      <c r="J891" s="690"/>
      <c r="K891" s="1030"/>
      <c r="L891" s="690"/>
      <c r="M891" s="1025"/>
      <c r="N891" s="1030"/>
      <c r="O891" s="692">
        <f t="shared" si="107"/>
        <v>0</v>
      </c>
      <c r="P891" s="690"/>
      <c r="Q891" s="690"/>
      <c r="R891" s="691">
        <f t="shared" si="108"/>
        <v>0</v>
      </c>
      <c r="S891" s="692">
        <f t="shared" si="109"/>
        <v>0</v>
      </c>
      <c r="T891" s="693">
        <f t="shared" si="110"/>
        <v>0</v>
      </c>
      <c r="U891" s="1035"/>
      <c r="V891" s="690"/>
      <c r="W891" s="1025"/>
      <c r="X891" s="1030"/>
      <c r="Y891" s="694">
        <f t="shared" si="111"/>
        <v>0</v>
      </c>
      <c r="Z891" s="690"/>
      <c r="AA891" s="690"/>
      <c r="AB891" s="695">
        <f t="shared" si="112"/>
        <v>0</v>
      </c>
      <c r="AC891" s="1035"/>
      <c r="AD891" s="690"/>
      <c r="AE891" s="1025"/>
      <c r="AF891" s="1030"/>
      <c r="AG891" s="690"/>
      <c r="AH891" s="690"/>
      <c r="AI891" s="696">
        <f t="shared" si="113"/>
        <v>0</v>
      </c>
      <c r="AJ891" s="697">
        <f t="shared" si="114"/>
        <v>0</v>
      </c>
    </row>
    <row r="892" spans="1:36" s="700" customFormat="1" ht="12.75" customHeight="1">
      <c r="A892" s="755" t="s">
        <v>209</v>
      </c>
      <c r="B892" s="755" t="s">
        <v>421</v>
      </c>
      <c r="C892" s="766" t="s">
        <v>181</v>
      </c>
      <c r="D892" s="766"/>
      <c r="E892" s="760"/>
      <c r="F892" s="763"/>
      <c r="G892" s="1025"/>
      <c r="H892" s="690"/>
      <c r="I892" s="1030"/>
      <c r="J892" s="690"/>
      <c r="K892" s="1030"/>
      <c r="L892" s="690"/>
      <c r="M892" s="1025"/>
      <c r="N892" s="1030"/>
      <c r="O892" s="692">
        <f t="shared" si="107"/>
        <v>0</v>
      </c>
      <c r="P892" s="690"/>
      <c r="Q892" s="690"/>
      <c r="R892" s="691">
        <f t="shared" si="108"/>
        <v>0</v>
      </c>
      <c r="S892" s="692">
        <f t="shared" si="109"/>
        <v>0</v>
      </c>
      <c r="T892" s="693">
        <f t="shared" si="110"/>
        <v>0</v>
      </c>
      <c r="U892" s="1035"/>
      <c r="V892" s="690"/>
      <c r="W892" s="1025"/>
      <c r="X892" s="1030"/>
      <c r="Y892" s="694">
        <f t="shared" si="111"/>
        <v>0</v>
      </c>
      <c r="Z892" s="690"/>
      <c r="AA892" s="690"/>
      <c r="AB892" s="695">
        <f t="shared" si="112"/>
        <v>0</v>
      </c>
      <c r="AC892" s="1035"/>
      <c r="AD892" s="690"/>
      <c r="AE892" s="1025"/>
      <c r="AF892" s="1030"/>
      <c r="AG892" s="690"/>
      <c r="AH892" s="690"/>
      <c r="AI892" s="696">
        <f t="shared" si="113"/>
        <v>0</v>
      </c>
      <c r="AJ892" s="697">
        <f t="shared" si="114"/>
        <v>0</v>
      </c>
    </row>
    <row r="893" spans="1:36" s="700" customFormat="1" ht="12.75" customHeight="1">
      <c r="A893" s="755" t="s">
        <v>209</v>
      </c>
      <c r="B893" s="755" t="s">
        <v>421</v>
      </c>
      <c r="C893" s="767" t="s">
        <v>760</v>
      </c>
      <c r="D893" s="767"/>
      <c r="E893" s="760"/>
      <c r="F893" s="763"/>
      <c r="G893" s="1025"/>
      <c r="H893" s="690"/>
      <c r="I893" s="1030"/>
      <c r="J893" s="690"/>
      <c r="K893" s="1030"/>
      <c r="L893" s="690"/>
      <c r="M893" s="1025"/>
      <c r="N893" s="1030"/>
      <c r="O893" s="692">
        <f t="shared" si="107"/>
        <v>0</v>
      </c>
      <c r="P893" s="690"/>
      <c r="Q893" s="690"/>
      <c r="R893" s="691">
        <f t="shared" si="108"/>
        <v>0</v>
      </c>
      <c r="S893" s="692">
        <f t="shared" si="109"/>
        <v>0</v>
      </c>
      <c r="T893" s="693">
        <f t="shared" si="110"/>
        <v>0</v>
      </c>
      <c r="U893" s="1035"/>
      <c r="V893" s="690"/>
      <c r="W893" s="1025"/>
      <c r="X893" s="1030"/>
      <c r="Y893" s="694">
        <f t="shared" si="111"/>
        <v>0</v>
      </c>
      <c r="Z893" s="690"/>
      <c r="AA893" s="690"/>
      <c r="AB893" s="695">
        <f t="shared" si="112"/>
        <v>0</v>
      </c>
      <c r="AC893" s="1035"/>
      <c r="AD893" s="690"/>
      <c r="AE893" s="1025"/>
      <c r="AF893" s="1030"/>
      <c r="AG893" s="690"/>
      <c r="AH893" s="690"/>
      <c r="AI893" s="696">
        <f t="shared" si="113"/>
        <v>0</v>
      </c>
      <c r="AJ893" s="697">
        <f t="shared" si="114"/>
        <v>0</v>
      </c>
    </row>
    <row r="894" spans="1:36" s="700" customFormat="1" ht="12.75" customHeight="1">
      <c r="A894" s="755" t="s">
        <v>209</v>
      </c>
      <c r="B894" s="768" t="s">
        <v>380</v>
      </c>
      <c r="C894" s="769" t="s">
        <v>443</v>
      </c>
      <c r="D894" s="769"/>
      <c r="E894" s="770"/>
      <c r="F894" s="771"/>
      <c r="G894" s="1025"/>
      <c r="H894" s="690"/>
      <c r="I894" s="1030"/>
      <c r="J894" s="690"/>
      <c r="K894" s="1030"/>
      <c r="L894" s="690"/>
      <c r="M894" s="1025"/>
      <c r="N894" s="1030"/>
      <c r="O894" s="692">
        <f t="shared" si="107"/>
        <v>0</v>
      </c>
      <c r="P894" s="690"/>
      <c r="Q894" s="690"/>
      <c r="R894" s="691">
        <f t="shared" si="108"/>
        <v>0</v>
      </c>
      <c r="S894" s="692">
        <f t="shared" si="109"/>
        <v>0</v>
      </c>
      <c r="T894" s="693">
        <f t="shared" si="110"/>
        <v>0</v>
      </c>
      <c r="U894" s="1035"/>
      <c r="V894" s="690"/>
      <c r="W894" s="1025"/>
      <c r="X894" s="1030"/>
      <c r="Y894" s="694">
        <f t="shared" si="111"/>
        <v>0</v>
      </c>
      <c r="Z894" s="690"/>
      <c r="AA894" s="690"/>
      <c r="AB894" s="695">
        <f t="shared" si="112"/>
        <v>0</v>
      </c>
      <c r="AC894" s="1035"/>
      <c r="AD894" s="690"/>
      <c r="AE894" s="1025"/>
      <c r="AF894" s="1030"/>
      <c r="AG894" s="690"/>
      <c r="AH894" s="690"/>
      <c r="AI894" s="696">
        <f t="shared" si="113"/>
        <v>0</v>
      </c>
      <c r="AJ894" s="697">
        <f t="shared" si="114"/>
        <v>0</v>
      </c>
    </row>
    <row r="895" spans="1:36" s="700" customFormat="1" ht="12.75" customHeight="1">
      <c r="A895" s="755" t="s">
        <v>209</v>
      </c>
      <c r="B895" s="768" t="s">
        <v>381</v>
      </c>
      <c r="C895" s="769" t="s">
        <v>377</v>
      </c>
      <c r="D895" s="769"/>
      <c r="E895" s="770"/>
      <c r="F895" s="771"/>
      <c r="G895" s="1025"/>
      <c r="H895" s="690"/>
      <c r="I895" s="1030"/>
      <c r="J895" s="690"/>
      <c r="K895" s="1030"/>
      <c r="L895" s="690"/>
      <c r="M895" s="1025"/>
      <c r="N895" s="1030"/>
      <c r="O895" s="692">
        <f t="shared" si="107"/>
        <v>0</v>
      </c>
      <c r="P895" s="690"/>
      <c r="Q895" s="690"/>
      <c r="R895" s="691">
        <f t="shared" si="108"/>
        <v>0</v>
      </c>
      <c r="S895" s="692">
        <f t="shared" si="109"/>
        <v>0</v>
      </c>
      <c r="T895" s="693">
        <f t="shared" si="110"/>
        <v>0</v>
      </c>
      <c r="U895" s="1035">
        <v>2500000</v>
      </c>
      <c r="V895" s="690">
        <v>0</v>
      </c>
      <c r="W895" s="1025"/>
      <c r="X895" s="1030"/>
      <c r="Y895" s="694">
        <f t="shared" si="111"/>
        <v>0</v>
      </c>
      <c r="Z895" s="690"/>
      <c r="AA895" s="690"/>
      <c r="AB895" s="695">
        <f t="shared" si="112"/>
        <v>0</v>
      </c>
      <c r="AC895" s="1035"/>
      <c r="AD895" s="690"/>
      <c r="AE895" s="1025"/>
      <c r="AF895" s="1030"/>
      <c r="AG895" s="690"/>
      <c r="AH895" s="690"/>
      <c r="AI895" s="696">
        <f t="shared" si="113"/>
        <v>2500000</v>
      </c>
      <c r="AJ895" s="697">
        <f t="shared" si="114"/>
        <v>0</v>
      </c>
    </row>
    <row r="896" spans="1:36" s="700" customFormat="1" ht="12.75" customHeight="1">
      <c r="A896" s="755" t="s">
        <v>209</v>
      </c>
      <c r="B896" s="755" t="s">
        <v>421</v>
      </c>
      <c r="C896" s="767" t="s">
        <v>761</v>
      </c>
      <c r="D896" s="767"/>
      <c r="E896" s="770"/>
      <c r="F896" s="771"/>
      <c r="G896" s="1025"/>
      <c r="H896" s="690"/>
      <c r="I896" s="1030"/>
      <c r="J896" s="690"/>
      <c r="K896" s="1030"/>
      <c r="L896" s="690"/>
      <c r="M896" s="1025"/>
      <c r="N896" s="1030"/>
      <c r="O896" s="692">
        <f t="shared" si="107"/>
        <v>0</v>
      </c>
      <c r="P896" s="690"/>
      <c r="Q896" s="690"/>
      <c r="R896" s="691">
        <f t="shared" si="108"/>
        <v>0</v>
      </c>
      <c r="S896" s="692">
        <f t="shared" si="109"/>
        <v>0</v>
      </c>
      <c r="T896" s="693">
        <f t="shared" si="110"/>
        <v>0</v>
      </c>
      <c r="U896" s="1035"/>
      <c r="V896" s="690"/>
      <c r="W896" s="1025"/>
      <c r="X896" s="1030"/>
      <c r="Y896" s="694">
        <f t="shared" si="111"/>
        <v>0</v>
      </c>
      <c r="Z896" s="690"/>
      <c r="AA896" s="690"/>
      <c r="AB896" s="695">
        <f t="shared" si="112"/>
        <v>0</v>
      </c>
      <c r="AC896" s="1035"/>
      <c r="AD896" s="690"/>
      <c r="AE896" s="1025"/>
      <c r="AF896" s="1030"/>
      <c r="AG896" s="690"/>
      <c r="AH896" s="690"/>
      <c r="AI896" s="696">
        <f t="shared" si="113"/>
        <v>0</v>
      </c>
      <c r="AJ896" s="697">
        <f t="shared" si="114"/>
        <v>0</v>
      </c>
    </row>
    <row r="897" spans="1:36" s="700" customFormat="1" ht="12.75" customHeight="1">
      <c r="A897" s="755" t="s">
        <v>209</v>
      </c>
      <c r="B897" s="768" t="s">
        <v>380</v>
      </c>
      <c r="C897" s="769" t="s">
        <v>443</v>
      </c>
      <c r="D897" s="769"/>
      <c r="E897" s="770"/>
      <c r="F897" s="771"/>
      <c r="G897" s="1025"/>
      <c r="H897" s="690"/>
      <c r="I897" s="1030"/>
      <c r="J897" s="690"/>
      <c r="K897" s="1030"/>
      <c r="L897" s="690"/>
      <c r="M897" s="1025"/>
      <c r="N897" s="1030"/>
      <c r="O897" s="692">
        <f t="shared" si="107"/>
        <v>0</v>
      </c>
      <c r="P897" s="690"/>
      <c r="Q897" s="690"/>
      <c r="R897" s="691">
        <f t="shared" si="108"/>
        <v>0</v>
      </c>
      <c r="S897" s="692">
        <f t="shared" si="109"/>
        <v>0</v>
      </c>
      <c r="T897" s="693">
        <f t="shared" si="110"/>
        <v>0</v>
      </c>
      <c r="U897" s="1035">
        <v>98546590</v>
      </c>
      <c r="V897" s="690">
        <v>100350612</v>
      </c>
      <c r="W897" s="1025"/>
      <c r="X897" s="1030"/>
      <c r="Y897" s="694">
        <f t="shared" si="111"/>
        <v>0</v>
      </c>
      <c r="Z897" s="690"/>
      <c r="AA897" s="690"/>
      <c r="AB897" s="695">
        <f t="shared" si="112"/>
        <v>0</v>
      </c>
      <c r="AC897" s="1035"/>
      <c r="AD897" s="690"/>
      <c r="AE897" s="1025"/>
      <c r="AF897" s="1030"/>
      <c r="AG897" s="690"/>
      <c r="AH897" s="690"/>
      <c r="AI897" s="696">
        <f t="shared" si="113"/>
        <v>98546590</v>
      </c>
      <c r="AJ897" s="697">
        <f t="shared" si="114"/>
        <v>100350612</v>
      </c>
    </row>
    <row r="898" spans="1:36" s="700" customFormat="1" ht="12.75" customHeight="1">
      <c r="A898" s="755" t="s">
        <v>209</v>
      </c>
      <c r="B898" s="768" t="s">
        <v>381</v>
      </c>
      <c r="C898" s="769" t="s">
        <v>377</v>
      </c>
      <c r="D898" s="769"/>
      <c r="E898" s="770"/>
      <c r="F898" s="771"/>
      <c r="G898" s="1025"/>
      <c r="H898" s="690"/>
      <c r="I898" s="1030"/>
      <c r="J898" s="690"/>
      <c r="K898" s="1030"/>
      <c r="L898" s="690"/>
      <c r="M898" s="1025"/>
      <c r="N898" s="1030"/>
      <c r="O898" s="692">
        <f t="shared" si="107"/>
        <v>0</v>
      </c>
      <c r="P898" s="690"/>
      <c r="Q898" s="690"/>
      <c r="R898" s="691">
        <f t="shared" si="108"/>
        <v>0</v>
      </c>
      <c r="S898" s="692">
        <f t="shared" si="109"/>
        <v>0</v>
      </c>
      <c r="T898" s="693">
        <f t="shared" si="110"/>
        <v>0</v>
      </c>
      <c r="U898" s="1035"/>
      <c r="V898" s="690"/>
      <c r="W898" s="1025"/>
      <c r="X898" s="1030"/>
      <c r="Y898" s="694">
        <f t="shared" si="111"/>
        <v>0</v>
      </c>
      <c r="Z898" s="690"/>
      <c r="AA898" s="690"/>
      <c r="AB898" s="695">
        <f t="shared" si="112"/>
        <v>0</v>
      </c>
      <c r="AC898" s="1035"/>
      <c r="AD898" s="690"/>
      <c r="AE898" s="1025"/>
      <c r="AF898" s="1030"/>
      <c r="AG898" s="690"/>
      <c r="AH898" s="690"/>
      <c r="AI898" s="696">
        <f t="shared" si="113"/>
        <v>0</v>
      </c>
      <c r="AJ898" s="697">
        <f t="shared" si="114"/>
        <v>0</v>
      </c>
    </row>
    <row r="899" spans="1:36" s="700" customFormat="1" ht="12.75" customHeight="1">
      <c r="A899" s="755" t="s">
        <v>209</v>
      </c>
      <c r="B899" s="755" t="s">
        <v>421</v>
      </c>
      <c r="C899" s="767" t="s">
        <v>762</v>
      </c>
      <c r="D899" s="767"/>
      <c r="E899" s="760"/>
      <c r="F899" s="763"/>
      <c r="G899" s="1025"/>
      <c r="H899" s="690"/>
      <c r="I899" s="1030"/>
      <c r="J899" s="690"/>
      <c r="K899" s="1030"/>
      <c r="L899" s="690"/>
      <c r="M899" s="1025"/>
      <c r="N899" s="1030"/>
      <c r="O899" s="692">
        <f t="shared" si="107"/>
        <v>0</v>
      </c>
      <c r="P899" s="690"/>
      <c r="Q899" s="690"/>
      <c r="R899" s="691">
        <f t="shared" si="108"/>
        <v>0</v>
      </c>
      <c r="S899" s="692">
        <f t="shared" si="109"/>
        <v>0</v>
      </c>
      <c r="T899" s="693">
        <f t="shared" si="110"/>
        <v>0</v>
      </c>
      <c r="U899" s="1035"/>
      <c r="V899" s="690"/>
      <c r="W899" s="1025"/>
      <c r="X899" s="1030"/>
      <c r="Y899" s="694">
        <f t="shared" si="111"/>
        <v>0</v>
      </c>
      <c r="Z899" s="690"/>
      <c r="AA899" s="690"/>
      <c r="AB899" s="695">
        <f t="shared" si="112"/>
        <v>0</v>
      </c>
      <c r="AC899" s="1035"/>
      <c r="AD899" s="690"/>
      <c r="AE899" s="1025"/>
      <c r="AF899" s="1030"/>
      <c r="AG899" s="690"/>
      <c r="AH899" s="690"/>
      <c r="AI899" s="696">
        <f t="shared" si="113"/>
        <v>0</v>
      </c>
      <c r="AJ899" s="697">
        <f t="shared" si="114"/>
        <v>0</v>
      </c>
    </row>
    <row r="900" spans="1:36" s="700" customFormat="1" ht="12.75" customHeight="1">
      <c r="A900" s="755" t="s">
        <v>209</v>
      </c>
      <c r="B900" s="768" t="s">
        <v>380</v>
      </c>
      <c r="C900" s="769" t="s">
        <v>443</v>
      </c>
      <c r="D900" s="769"/>
      <c r="E900" s="770"/>
      <c r="F900" s="771"/>
      <c r="G900" s="1025"/>
      <c r="H900" s="690"/>
      <c r="I900" s="1030"/>
      <c r="J900" s="690"/>
      <c r="K900" s="1030"/>
      <c r="L900" s="690"/>
      <c r="M900" s="1025"/>
      <c r="N900" s="1030"/>
      <c r="O900" s="692">
        <f t="shared" si="107"/>
        <v>0</v>
      </c>
      <c r="P900" s="690"/>
      <c r="Q900" s="690"/>
      <c r="R900" s="691">
        <f t="shared" si="108"/>
        <v>0</v>
      </c>
      <c r="S900" s="692">
        <f t="shared" si="109"/>
        <v>0</v>
      </c>
      <c r="T900" s="693">
        <f t="shared" si="110"/>
        <v>0</v>
      </c>
      <c r="U900" s="1035"/>
      <c r="V900" s="690"/>
      <c r="W900" s="1025"/>
      <c r="X900" s="1030"/>
      <c r="Y900" s="694">
        <f t="shared" si="111"/>
        <v>0</v>
      </c>
      <c r="Z900" s="690"/>
      <c r="AA900" s="690"/>
      <c r="AB900" s="695">
        <f t="shared" si="112"/>
        <v>0</v>
      </c>
      <c r="AC900" s="1035"/>
      <c r="AD900" s="690"/>
      <c r="AE900" s="1025"/>
      <c r="AF900" s="1030"/>
      <c r="AG900" s="690"/>
      <c r="AH900" s="690"/>
      <c r="AI900" s="696">
        <f t="shared" si="113"/>
        <v>0</v>
      </c>
      <c r="AJ900" s="697">
        <f t="shared" si="114"/>
        <v>0</v>
      </c>
    </row>
    <row r="901" spans="1:36" s="700" customFormat="1" ht="12.75" customHeight="1">
      <c r="A901" s="755" t="s">
        <v>209</v>
      </c>
      <c r="B901" s="768" t="s">
        <v>381</v>
      </c>
      <c r="C901" s="769" t="s">
        <v>377</v>
      </c>
      <c r="D901" s="769"/>
      <c r="E901" s="770"/>
      <c r="F901" s="771"/>
      <c r="G901" s="1025"/>
      <c r="H901" s="690"/>
      <c r="I901" s="1030"/>
      <c r="J901" s="690"/>
      <c r="K901" s="1030"/>
      <c r="L901" s="690"/>
      <c r="M901" s="1025"/>
      <c r="N901" s="1030"/>
      <c r="O901" s="692">
        <f t="shared" si="107"/>
        <v>0</v>
      </c>
      <c r="P901" s="690"/>
      <c r="Q901" s="690"/>
      <c r="R901" s="691">
        <f t="shared" si="108"/>
        <v>0</v>
      </c>
      <c r="S901" s="692">
        <f t="shared" si="109"/>
        <v>0</v>
      </c>
      <c r="T901" s="693">
        <f t="shared" si="110"/>
        <v>0</v>
      </c>
      <c r="U901" s="1035">
        <v>1263442</v>
      </c>
      <c r="V901" s="690">
        <v>1199124</v>
      </c>
      <c r="W901" s="1025"/>
      <c r="X901" s="1030"/>
      <c r="Y901" s="694">
        <f t="shared" si="111"/>
        <v>0</v>
      </c>
      <c r="Z901" s="690"/>
      <c r="AA901" s="690"/>
      <c r="AB901" s="695">
        <f t="shared" si="112"/>
        <v>0</v>
      </c>
      <c r="AC901" s="1035"/>
      <c r="AD901" s="690"/>
      <c r="AE901" s="1025"/>
      <c r="AF901" s="1030"/>
      <c r="AG901" s="690"/>
      <c r="AH901" s="690"/>
      <c r="AI901" s="696">
        <f t="shared" si="113"/>
        <v>1263442</v>
      </c>
      <c r="AJ901" s="697">
        <f t="shared" si="114"/>
        <v>1199124</v>
      </c>
    </row>
    <row r="902" spans="1:36" s="700" customFormat="1" ht="12.75" customHeight="1">
      <c r="A902" s="755" t="s">
        <v>209</v>
      </c>
      <c r="B902" s="755" t="s">
        <v>421</v>
      </c>
      <c r="C902" s="767" t="s">
        <v>763</v>
      </c>
      <c r="D902" s="767"/>
      <c r="E902" s="760"/>
      <c r="F902" s="763"/>
      <c r="G902" s="1025"/>
      <c r="H902" s="690"/>
      <c r="I902" s="1030"/>
      <c r="J902" s="690"/>
      <c r="K902" s="1030"/>
      <c r="L902" s="690"/>
      <c r="M902" s="1025"/>
      <c r="N902" s="1030"/>
      <c r="O902" s="692">
        <f t="shared" si="107"/>
        <v>0</v>
      </c>
      <c r="P902" s="690"/>
      <c r="Q902" s="690"/>
      <c r="R902" s="691">
        <f t="shared" si="108"/>
        <v>0</v>
      </c>
      <c r="S902" s="692">
        <f t="shared" si="109"/>
        <v>0</v>
      </c>
      <c r="T902" s="693">
        <f t="shared" si="110"/>
        <v>0</v>
      </c>
      <c r="U902" s="1035"/>
      <c r="V902" s="690"/>
      <c r="W902" s="1025"/>
      <c r="X902" s="1030"/>
      <c r="Y902" s="694">
        <f t="shared" si="111"/>
        <v>0</v>
      </c>
      <c r="Z902" s="690"/>
      <c r="AA902" s="690"/>
      <c r="AB902" s="695">
        <f t="shared" si="112"/>
        <v>0</v>
      </c>
      <c r="AC902" s="1035"/>
      <c r="AD902" s="690"/>
      <c r="AE902" s="1025"/>
      <c r="AF902" s="1030"/>
      <c r="AG902" s="690"/>
      <c r="AH902" s="690"/>
      <c r="AI902" s="696">
        <f t="shared" si="113"/>
        <v>0</v>
      </c>
      <c r="AJ902" s="697">
        <f t="shared" si="114"/>
        <v>0</v>
      </c>
    </row>
    <row r="903" spans="1:36" s="700" customFormat="1" ht="12.75" customHeight="1">
      <c r="A903" s="755" t="s">
        <v>209</v>
      </c>
      <c r="B903" s="768" t="s">
        <v>380</v>
      </c>
      <c r="C903" s="769" t="s">
        <v>443</v>
      </c>
      <c r="D903" s="769"/>
      <c r="E903" s="770"/>
      <c r="F903" s="771"/>
      <c r="G903" s="1025"/>
      <c r="H903" s="690"/>
      <c r="I903" s="1030"/>
      <c r="J903" s="690"/>
      <c r="K903" s="1030"/>
      <c r="L903" s="690"/>
      <c r="M903" s="1025"/>
      <c r="N903" s="1030"/>
      <c r="O903" s="692">
        <f t="shared" si="107"/>
        <v>0</v>
      </c>
      <c r="P903" s="690"/>
      <c r="Q903" s="690"/>
      <c r="R903" s="691">
        <f t="shared" si="108"/>
        <v>0</v>
      </c>
      <c r="S903" s="692">
        <f t="shared" si="109"/>
        <v>0</v>
      </c>
      <c r="T903" s="693">
        <f t="shared" si="110"/>
        <v>0</v>
      </c>
      <c r="U903" s="1035"/>
      <c r="V903" s="690"/>
      <c r="W903" s="1025"/>
      <c r="X903" s="1030"/>
      <c r="Y903" s="694">
        <f t="shared" si="111"/>
        <v>0</v>
      </c>
      <c r="Z903" s="690"/>
      <c r="AA903" s="690"/>
      <c r="AB903" s="695">
        <f t="shared" si="112"/>
        <v>0</v>
      </c>
      <c r="AC903" s="1035"/>
      <c r="AD903" s="690"/>
      <c r="AE903" s="1025"/>
      <c r="AF903" s="1030"/>
      <c r="AG903" s="690"/>
      <c r="AH903" s="690"/>
      <c r="AI903" s="696">
        <f t="shared" si="113"/>
        <v>0</v>
      </c>
      <c r="AJ903" s="697">
        <f t="shared" si="114"/>
        <v>0</v>
      </c>
    </row>
    <row r="904" spans="1:36" s="700" customFormat="1" ht="12.75" customHeight="1">
      <c r="A904" s="755" t="s">
        <v>209</v>
      </c>
      <c r="B904" s="768" t="s">
        <v>381</v>
      </c>
      <c r="C904" s="769" t="s">
        <v>377</v>
      </c>
      <c r="D904" s="769"/>
      <c r="E904" s="770"/>
      <c r="F904" s="771"/>
      <c r="G904" s="1025"/>
      <c r="H904" s="690"/>
      <c r="I904" s="1030"/>
      <c r="J904" s="690"/>
      <c r="K904" s="1030"/>
      <c r="L904" s="690"/>
      <c r="M904" s="1025"/>
      <c r="N904" s="1030"/>
      <c r="O904" s="692">
        <f t="shared" si="107"/>
        <v>0</v>
      </c>
      <c r="P904" s="690"/>
      <c r="Q904" s="690"/>
      <c r="R904" s="691">
        <f t="shared" si="108"/>
        <v>0</v>
      </c>
      <c r="S904" s="692">
        <f t="shared" si="109"/>
        <v>0</v>
      </c>
      <c r="T904" s="693">
        <f t="shared" si="110"/>
        <v>0</v>
      </c>
      <c r="U904" s="1035">
        <v>60000</v>
      </c>
      <c r="V904" s="690">
        <v>60000</v>
      </c>
      <c r="W904" s="1025"/>
      <c r="X904" s="1030"/>
      <c r="Y904" s="694">
        <f t="shared" si="111"/>
        <v>0</v>
      </c>
      <c r="Z904" s="690"/>
      <c r="AA904" s="690"/>
      <c r="AB904" s="695">
        <f t="shared" si="112"/>
        <v>0</v>
      </c>
      <c r="AC904" s="1035"/>
      <c r="AD904" s="690"/>
      <c r="AE904" s="1025"/>
      <c r="AF904" s="1030"/>
      <c r="AG904" s="690"/>
      <c r="AH904" s="690"/>
      <c r="AI904" s="696">
        <f t="shared" si="113"/>
        <v>60000</v>
      </c>
      <c r="AJ904" s="697">
        <f t="shared" si="114"/>
        <v>60000</v>
      </c>
    </row>
    <row r="905" spans="1:36" s="700" customFormat="1" ht="12.75" customHeight="1">
      <c r="A905" s="755" t="s">
        <v>209</v>
      </c>
      <c r="B905" s="755" t="s">
        <v>422</v>
      </c>
      <c r="C905" s="766" t="s">
        <v>439</v>
      </c>
      <c r="D905" s="766"/>
      <c r="E905" s="760"/>
      <c r="F905" s="763"/>
      <c r="G905" s="1025"/>
      <c r="H905" s="690"/>
      <c r="I905" s="1030"/>
      <c r="J905" s="690"/>
      <c r="K905" s="1030"/>
      <c r="L905" s="690"/>
      <c r="M905" s="1025"/>
      <c r="N905" s="1030"/>
      <c r="O905" s="692">
        <f t="shared" si="107"/>
        <v>0</v>
      </c>
      <c r="P905" s="690"/>
      <c r="Q905" s="690"/>
      <c r="R905" s="691">
        <f t="shared" si="108"/>
        <v>0</v>
      </c>
      <c r="S905" s="692">
        <f t="shared" si="109"/>
        <v>0</v>
      </c>
      <c r="T905" s="693">
        <f t="shared" si="110"/>
        <v>0</v>
      </c>
      <c r="U905" s="1035"/>
      <c r="V905" s="690"/>
      <c r="W905" s="1025"/>
      <c r="X905" s="1030"/>
      <c r="Y905" s="694">
        <f t="shared" si="111"/>
        <v>0</v>
      </c>
      <c r="Z905" s="690"/>
      <c r="AA905" s="690"/>
      <c r="AB905" s="695">
        <f t="shared" si="112"/>
        <v>0</v>
      </c>
      <c r="AC905" s="1035"/>
      <c r="AD905" s="690"/>
      <c r="AE905" s="1025"/>
      <c r="AF905" s="1030"/>
      <c r="AG905" s="690"/>
      <c r="AH905" s="690"/>
      <c r="AI905" s="696">
        <f t="shared" si="113"/>
        <v>0</v>
      </c>
      <c r="AJ905" s="697">
        <f t="shared" si="114"/>
        <v>0</v>
      </c>
    </row>
    <row r="906" spans="1:36" s="700" customFormat="1" ht="12.75" customHeight="1">
      <c r="A906" s="755" t="s">
        <v>209</v>
      </c>
      <c r="B906" s="755" t="s">
        <v>422</v>
      </c>
      <c r="C906" s="767" t="s">
        <v>764</v>
      </c>
      <c r="D906" s="767"/>
      <c r="E906" s="760"/>
      <c r="F906" s="763"/>
      <c r="G906" s="1025"/>
      <c r="H906" s="690"/>
      <c r="I906" s="1030"/>
      <c r="J906" s="690"/>
      <c r="K906" s="1030"/>
      <c r="L906" s="690"/>
      <c r="M906" s="1025"/>
      <c r="N906" s="1030"/>
      <c r="O906" s="692">
        <f t="shared" ref="O906:O969" si="115">SUM(M906:N906)</f>
        <v>0</v>
      </c>
      <c r="P906" s="690"/>
      <c r="Q906" s="690"/>
      <c r="R906" s="691">
        <f t="shared" ref="R906:R955" si="116">SUM(P906:Q906)</f>
        <v>0</v>
      </c>
      <c r="S906" s="692">
        <f t="shared" ref="S906:S969" si="117">SUM(G906,I906,K906,M906)</f>
        <v>0</v>
      </c>
      <c r="T906" s="693">
        <f t="shared" ref="T906:T969" si="118">SUM(H906,J906,L906,P906)</f>
        <v>0</v>
      </c>
      <c r="U906" s="1035"/>
      <c r="V906" s="690"/>
      <c r="W906" s="1025"/>
      <c r="X906" s="1030"/>
      <c r="Y906" s="694">
        <f t="shared" ref="Y906:Y969" si="119">SUM(W906:X906)</f>
        <v>0</v>
      </c>
      <c r="Z906" s="690"/>
      <c r="AA906" s="690"/>
      <c r="AB906" s="695">
        <f t="shared" ref="AB906:AB969" si="120">SUM(Z906:AA906)</f>
        <v>0</v>
      </c>
      <c r="AC906" s="1035"/>
      <c r="AD906" s="690"/>
      <c r="AE906" s="1025"/>
      <c r="AF906" s="1030"/>
      <c r="AG906" s="690"/>
      <c r="AH906" s="690"/>
      <c r="AI906" s="696">
        <f t="shared" ref="AI906:AI969" si="121">SUM(S906,U906,W906,AC906,AE906)</f>
        <v>0</v>
      </c>
      <c r="AJ906" s="697">
        <f t="shared" ref="AJ906:AJ969" si="122">SUM(T906,V906,Z906,AD906,AG906)</f>
        <v>0</v>
      </c>
    </row>
    <row r="907" spans="1:36" s="700" customFormat="1" ht="12.75" customHeight="1">
      <c r="A907" s="755" t="s">
        <v>209</v>
      </c>
      <c r="B907" s="768" t="s">
        <v>382</v>
      </c>
      <c r="C907" s="769" t="s">
        <v>443</v>
      </c>
      <c r="D907" s="769"/>
      <c r="E907" s="770"/>
      <c r="F907" s="771"/>
      <c r="G907" s="1025"/>
      <c r="H907" s="690"/>
      <c r="I907" s="1030"/>
      <c r="J907" s="690"/>
      <c r="K907" s="1030"/>
      <c r="L907" s="690"/>
      <c r="M907" s="1025"/>
      <c r="N907" s="1030"/>
      <c r="O907" s="692">
        <f t="shared" si="115"/>
        <v>0</v>
      </c>
      <c r="P907" s="690"/>
      <c r="Q907" s="690"/>
      <c r="R907" s="691">
        <f t="shared" si="116"/>
        <v>0</v>
      </c>
      <c r="S907" s="692">
        <f t="shared" si="117"/>
        <v>0</v>
      </c>
      <c r="T907" s="693">
        <f t="shared" si="118"/>
        <v>0</v>
      </c>
      <c r="U907" s="1035"/>
      <c r="V907" s="690"/>
      <c r="W907" s="1025"/>
      <c r="X907" s="1030"/>
      <c r="Y907" s="694">
        <f t="shared" si="119"/>
        <v>0</v>
      </c>
      <c r="Z907" s="690"/>
      <c r="AA907" s="690"/>
      <c r="AB907" s="695">
        <f t="shared" si="120"/>
        <v>0</v>
      </c>
      <c r="AC907" s="1035"/>
      <c r="AD907" s="690"/>
      <c r="AE907" s="1025"/>
      <c r="AF907" s="1030"/>
      <c r="AG907" s="690"/>
      <c r="AH907" s="690"/>
      <c r="AI907" s="696">
        <f t="shared" si="121"/>
        <v>0</v>
      </c>
      <c r="AJ907" s="697">
        <f t="shared" si="122"/>
        <v>0</v>
      </c>
    </row>
    <row r="908" spans="1:36" s="700" customFormat="1" ht="12.75" customHeight="1">
      <c r="A908" s="755" t="s">
        <v>209</v>
      </c>
      <c r="B908" s="768" t="s">
        <v>383</v>
      </c>
      <c r="C908" s="769" t="s">
        <v>377</v>
      </c>
      <c r="D908" s="769"/>
      <c r="E908" s="770"/>
      <c r="F908" s="771"/>
      <c r="G908" s="1025"/>
      <c r="H908" s="690"/>
      <c r="I908" s="1030"/>
      <c r="J908" s="690"/>
      <c r="K908" s="1030"/>
      <c r="L908" s="690"/>
      <c r="M908" s="1025"/>
      <c r="N908" s="1030"/>
      <c r="O908" s="692">
        <f t="shared" si="115"/>
        <v>0</v>
      </c>
      <c r="P908" s="690"/>
      <c r="Q908" s="690"/>
      <c r="R908" s="691">
        <f t="shared" si="116"/>
        <v>0</v>
      </c>
      <c r="S908" s="692">
        <f t="shared" si="117"/>
        <v>0</v>
      </c>
      <c r="T908" s="693">
        <f t="shared" si="118"/>
        <v>0</v>
      </c>
      <c r="U908" s="1035">
        <v>58301709</v>
      </c>
      <c r="V908" s="690">
        <v>57986500</v>
      </c>
      <c r="W908" s="1025"/>
      <c r="X908" s="1030"/>
      <c r="Y908" s="694">
        <f t="shared" si="119"/>
        <v>0</v>
      </c>
      <c r="Z908" s="690"/>
      <c r="AA908" s="690"/>
      <c r="AB908" s="695">
        <f t="shared" si="120"/>
        <v>0</v>
      </c>
      <c r="AC908" s="1035"/>
      <c r="AD908" s="690"/>
      <c r="AE908" s="1025"/>
      <c r="AF908" s="1030"/>
      <c r="AG908" s="690"/>
      <c r="AH908" s="690"/>
      <c r="AI908" s="696">
        <f t="shared" si="121"/>
        <v>58301709</v>
      </c>
      <c r="AJ908" s="697">
        <f t="shared" si="122"/>
        <v>57986500</v>
      </c>
    </row>
    <row r="909" spans="1:36" s="700" customFormat="1" ht="12.75" customHeight="1">
      <c r="A909" s="755" t="s">
        <v>209</v>
      </c>
      <c r="B909" s="755" t="s">
        <v>422</v>
      </c>
      <c r="C909" s="767" t="s">
        <v>765</v>
      </c>
      <c r="D909" s="767"/>
      <c r="E909" s="770"/>
      <c r="F909" s="771"/>
      <c r="G909" s="1025"/>
      <c r="H909" s="690"/>
      <c r="I909" s="1030"/>
      <c r="J909" s="690"/>
      <c r="K909" s="1030"/>
      <c r="L909" s="690"/>
      <c r="M909" s="1025"/>
      <c r="N909" s="1030"/>
      <c r="O909" s="692">
        <f t="shared" si="115"/>
        <v>0</v>
      </c>
      <c r="P909" s="690"/>
      <c r="Q909" s="690"/>
      <c r="R909" s="691">
        <f t="shared" si="116"/>
        <v>0</v>
      </c>
      <c r="S909" s="692">
        <f t="shared" si="117"/>
        <v>0</v>
      </c>
      <c r="T909" s="693">
        <f t="shared" si="118"/>
        <v>0</v>
      </c>
      <c r="U909" s="1035"/>
      <c r="V909" s="690"/>
      <c r="W909" s="1025"/>
      <c r="X909" s="1030"/>
      <c r="Y909" s="694">
        <f t="shared" si="119"/>
        <v>0</v>
      </c>
      <c r="Z909" s="690"/>
      <c r="AA909" s="690"/>
      <c r="AB909" s="695">
        <f t="shared" si="120"/>
        <v>0</v>
      </c>
      <c r="AC909" s="1035"/>
      <c r="AD909" s="690"/>
      <c r="AE909" s="1025"/>
      <c r="AF909" s="1030"/>
      <c r="AG909" s="690"/>
      <c r="AH909" s="690"/>
      <c r="AI909" s="696">
        <f t="shared" si="121"/>
        <v>0</v>
      </c>
      <c r="AJ909" s="697">
        <f t="shared" si="122"/>
        <v>0</v>
      </c>
    </row>
    <row r="910" spans="1:36" s="700" customFormat="1" ht="12.75" customHeight="1">
      <c r="A910" s="755" t="s">
        <v>209</v>
      </c>
      <c r="B910" s="768" t="s">
        <v>382</v>
      </c>
      <c r="C910" s="769" t="s">
        <v>443</v>
      </c>
      <c r="D910" s="769"/>
      <c r="E910" s="770"/>
      <c r="F910" s="771"/>
      <c r="G910" s="1025"/>
      <c r="H910" s="690"/>
      <c r="I910" s="1030"/>
      <c r="J910" s="690"/>
      <c r="K910" s="1030"/>
      <c r="L910" s="690"/>
      <c r="M910" s="1025"/>
      <c r="N910" s="1030"/>
      <c r="O910" s="692">
        <f t="shared" si="115"/>
        <v>0</v>
      </c>
      <c r="P910" s="690"/>
      <c r="Q910" s="690"/>
      <c r="R910" s="691">
        <f t="shared" si="116"/>
        <v>0</v>
      </c>
      <c r="S910" s="692">
        <f t="shared" si="117"/>
        <v>0</v>
      </c>
      <c r="T910" s="693">
        <f t="shared" si="118"/>
        <v>0</v>
      </c>
      <c r="U910" s="1035"/>
      <c r="V910" s="690"/>
      <c r="W910" s="1025"/>
      <c r="X910" s="1030"/>
      <c r="Y910" s="694">
        <f t="shared" si="119"/>
        <v>0</v>
      </c>
      <c r="Z910" s="690"/>
      <c r="AA910" s="690"/>
      <c r="AB910" s="695">
        <f t="shared" si="120"/>
        <v>0</v>
      </c>
      <c r="AC910" s="1035"/>
      <c r="AD910" s="690"/>
      <c r="AE910" s="1025"/>
      <c r="AF910" s="1030"/>
      <c r="AG910" s="690"/>
      <c r="AH910" s="690"/>
      <c r="AI910" s="696">
        <f t="shared" si="121"/>
        <v>0</v>
      </c>
      <c r="AJ910" s="697">
        <f t="shared" si="122"/>
        <v>0</v>
      </c>
    </row>
    <row r="911" spans="1:36" s="700" customFormat="1" ht="12.75" customHeight="1">
      <c r="A911" s="755" t="s">
        <v>209</v>
      </c>
      <c r="B911" s="768" t="s">
        <v>383</v>
      </c>
      <c r="C911" s="769" t="s">
        <v>377</v>
      </c>
      <c r="D911" s="769"/>
      <c r="E911" s="770"/>
      <c r="F911" s="771"/>
      <c r="G911" s="1025"/>
      <c r="H911" s="690"/>
      <c r="I911" s="1030"/>
      <c r="J911" s="690"/>
      <c r="K911" s="1030"/>
      <c r="L911" s="690"/>
      <c r="M911" s="1025"/>
      <c r="N911" s="1030"/>
      <c r="O911" s="692">
        <f t="shared" si="115"/>
        <v>0</v>
      </c>
      <c r="P911" s="690"/>
      <c r="Q911" s="690"/>
      <c r="R911" s="691">
        <f t="shared" si="116"/>
        <v>0</v>
      </c>
      <c r="S911" s="692">
        <f t="shared" si="117"/>
        <v>0</v>
      </c>
      <c r="T911" s="693">
        <f t="shared" si="118"/>
        <v>0</v>
      </c>
      <c r="U911" s="1035">
        <v>2552287</v>
      </c>
      <c r="V911" s="690">
        <v>2658355</v>
      </c>
      <c r="W911" s="1025"/>
      <c r="X911" s="1030"/>
      <c r="Y911" s="694">
        <f t="shared" si="119"/>
        <v>0</v>
      </c>
      <c r="Z911" s="690"/>
      <c r="AA911" s="690"/>
      <c r="AB911" s="695">
        <f t="shared" si="120"/>
        <v>0</v>
      </c>
      <c r="AC911" s="1035"/>
      <c r="AD911" s="690"/>
      <c r="AE911" s="1025"/>
      <c r="AF911" s="1030"/>
      <c r="AG911" s="690"/>
      <c r="AH911" s="690"/>
      <c r="AI911" s="696">
        <f t="shared" si="121"/>
        <v>2552287</v>
      </c>
      <c r="AJ911" s="697">
        <f t="shared" si="122"/>
        <v>2658355</v>
      </c>
    </row>
    <row r="912" spans="1:36" s="700" customFormat="1" ht="12.75" customHeight="1">
      <c r="A912" s="755" t="s">
        <v>209</v>
      </c>
      <c r="B912" s="755" t="s">
        <v>422</v>
      </c>
      <c r="C912" s="767" t="s">
        <v>766</v>
      </c>
      <c r="D912" s="767"/>
      <c r="E912" s="760"/>
      <c r="F912" s="763"/>
      <c r="G912" s="1025"/>
      <c r="H912" s="690"/>
      <c r="I912" s="1030"/>
      <c r="J912" s="690"/>
      <c r="K912" s="1030"/>
      <c r="L912" s="690"/>
      <c r="M912" s="1025"/>
      <c r="N912" s="1030"/>
      <c r="O912" s="692">
        <f t="shared" si="115"/>
        <v>0</v>
      </c>
      <c r="P912" s="690"/>
      <c r="Q912" s="690"/>
      <c r="R912" s="691">
        <f t="shared" si="116"/>
        <v>0</v>
      </c>
      <c r="S912" s="692">
        <f t="shared" si="117"/>
        <v>0</v>
      </c>
      <c r="T912" s="693">
        <f t="shared" si="118"/>
        <v>0</v>
      </c>
      <c r="U912" s="1035"/>
      <c r="V912" s="690"/>
      <c r="W912" s="1025"/>
      <c r="X912" s="1030"/>
      <c r="Y912" s="694">
        <f t="shared" si="119"/>
        <v>0</v>
      </c>
      <c r="Z912" s="690"/>
      <c r="AA912" s="690"/>
      <c r="AB912" s="695">
        <f t="shared" si="120"/>
        <v>0</v>
      </c>
      <c r="AC912" s="1035"/>
      <c r="AD912" s="690"/>
      <c r="AE912" s="1025"/>
      <c r="AF912" s="1030"/>
      <c r="AG912" s="690"/>
      <c r="AH912" s="690"/>
      <c r="AI912" s="696">
        <f t="shared" si="121"/>
        <v>0</v>
      </c>
      <c r="AJ912" s="697">
        <f t="shared" si="122"/>
        <v>0</v>
      </c>
    </row>
    <row r="913" spans="1:36" s="700" customFormat="1" ht="12.75" customHeight="1">
      <c r="A913" s="755" t="s">
        <v>209</v>
      </c>
      <c r="B913" s="768" t="s">
        <v>382</v>
      </c>
      <c r="C913" s="769" t="s">
        <v>443</v>
      </c>
      <c r="D913" s="769"/>
      <c r="E913" s="770"/>
      <c r="F913" s="771"/>
      <c r="G913" s="1025"/>
      <c r="H913" s="690"/>
      <c r="I913" s="1030"/>
      <c r="J913" s="690"/>
      <c r="K913" s="1030"/>
      <c r="L913" s="690"/>
      <c r="M913" s="1025"/>
      <c r="N913" s="1030"/>
      <c r="O913" s="692">
        <f t="shared" si="115"/>
        <v>0</v>
      </c>
      <c r="P913" s="690"/>
      <c r="Q913" s="690"/>
      <c r="R913" s="691">
        <f t="shared" si="116"/>
        <v>0</v>
      </c>
      <c r="S913" s="692">
        <f t="shared" si="117"/>
        <v>0</v>
      </c>
      <c r="T913" s="693">
        <f t="shared" si="118"/>
        <v>0</v>
      </c>
      <c r="U913" s="1035">
        <v>11066226</v>
      </c>
      <c r="V913" s="690">
        <v>11268807</v>
      </c>
      <c r="W913" s="1025"/>
      <c r="X913" s="1030"/>
      <c r="Y913" s="694">
        <f t="shared" si="119"/>
        <v>0</v>
      </c>
      <c r="Z913" s="690"/>
      <c r="AA913" s="690"/>
      <c r="AB913" s="695">
        <f t="shared" si="120"/>
        <v>0</v>
      </c>
      <c r="AC913" s="1035"/>
      <c r="AD913" s="690"/>
      <c r="AE913" s="1025"/>
      <c r="AF913" s="1030"/>
      <c r="AG913" s="690"/>
      <c r="AH913" s="690"/>
      <c r="AI913" s="696">
        <f t="shared" si="121"/>
        <v>11066226</v>
      </c>
      <c r="AJ913" s="697">
        <f t="shared" si="122"/>
        <v>11268807</v>
      </c>
    </row>
    <row r="914" spans="1:36" s="700" customFormat="1" ht="12.75" customHeight="1">
      <c r="A914" s="755" t="s">
        <v>209</v>
      </c>
      <c r="B914" s="768" t="s">
        <v>383</v>
      </c>
      <c r="C914" s="769" t="s">
        <v>377</v>
      </c>
      <c r="D914" s="769"/>
      <c r="E914" s="770"/>
      <c r="F914" s="771"/>
      <c r="G914" s="1025"/>
      <c r="H914" s="690"/>
      <c r="I914" s="1030"/>
      <c r="J914" s="690"/>
      <c r="K914" s="1030"/>
      <c r="L914" s="690"/>
      <c r="M914" s="1025"/>
      <c r="N914" s="1030"/>
      <c r="O914" s="692">
        <f t="shared" si="115"/>
        <v>0</v>
      </c>
      <c r="P914" s="690"/>
      <c r="Q914" s="690"/>
      <c r="R914" s="691">
        <f t="shared" si="116"/>
        <v>0</v>
      </c>
      <c r="S914" s="692">
        <f t="shared" si="117"/>
        <v>0</v>
      </c>
      <c r="T914" s="693">
        <f t="shared" si="118"/>
        <v>0</v>
      </c>
      <c r="U914" s="1035"/>
      <c r="V914" s="690"/>
      <c r="W914" s="1025"/>
      <c r="X914" s="1030"/>
      <c r="Y914" s="694">
        <f t="shared" si="119"/>
        <v>0</v>
      </c>
      <c r="Z914" s="690"/>
      <c r="AA914" s="690"/>
      <c r="AB914" s="695">
        <f t="shared" si="120"/>
        <v>0</v>
      </c>
      <c r="AC914" s="1035"/>
      <c r="AD914" s="690"/>
      <c r="AE914" s="1025"/>
      <c r="AF914" s="1030"/>
      <c r="AG914" s="690"/>
      <c r="AH914" s="690"/>
      <c r="AI914" s="696">
        <f t="shared" si="121"/>
        <v>0</v>
      </c>
      <c r="AJ914" s="697">
        <f t="shared" si="122"/>
        <v>0</v>
      </c>
    </row>
    <row r="915" spans="1:36" s="700" customFormat="1" ht="12.75" customHeight="1">
      <c r="A915" s="755" t="s">
        <v>209</v>
      </c>
      <c r="B915" s="755" t="s">
        <v>422</v>
      </c>
      <c r="C915" s="767" t="s">
        <v>767</v>
      </c>
      <c r="D915" s="767"/>
      <c r="E915" s="760"/>
      <c r="F915" s="763"/>
      <c r="G915" s="1025"/>
      <c r="H915" s="690"/>
      <c r="I915" s="1030"/>
      <c r="J915" s="690"/>
      <c r="K915" s="1030"/>
      <c r="L915" s="690"/>
      <c r="M915" s="1025"/>
      <c r="N915" s="1030"/>
      <c r="O915" s="692">
        <f t="shared" si="115"/>
        <v>0</v>
      </c>
      <c r="P915" s="690"/>
      <c r="Q915" s="690"/>
      <c r="R915" s="691">
        <f t="shared" si="116"/>
        <v>0</v>
      </c>
      <c r="S915" s="692">
        <f t="shared" si="117"/>
        <v>0</v>
      </c>
      <c r="T915" s="693">
        <f t="shared" si="118"/>
        <v>0</v>
      </c>
      <c r="U915" s="1035"/>
      <c r="V915" s="690"/>
      <c r="W915" s="1025"/>
      <c r="X915" s="1030"/>
      <c r="Y915" s="694">
        <f t="shared" si="119"/>
        <v>0</v>
      </c>
      <c r="Z915" s="690"/>
      <c r="AA915" s="690"/>
      <c r="AB915" s="695">
        <f t="shared" si="120"/>
        <v>0</v>
      </c>
      <c r="AC915" s="1035"/>
      <c r="AD915" s="690"/>
      <c r="AE915" s="1025"/>
      <c r="AF915" s="1030"/>
      <c r="AG915" s="690"/>
      <c r="AH915" s="690"/>
      <c r="AI915" s="696">
        <f t="shared" si="121"/>
        <v>0</v>
      </c>
      <c r="AJ915" s="697">
        <f t="shared" si="122"/>
        <v>0</v>
      </c>
    </row>
    <row r="916" spans="1:36" s="700" customFormat="1" ht="12.75" customHeight="1">
      <c r="A916" s="755" t="s">
        <v>209</v>
      </c>
      <c r="B916" s="768" t="s">
        <v>382</v>
      </c>
      <c r="C916" s="769" t="s">
        <v>443</v>
      </c>
      <c r="D916" s="769"/>
      <c r="E916" s="770"/>
      <c r="F916" s="771"/>
      <c r="G916" s="1025"/>
      <c r="H916" s="690"/>
      <c r="I916" s="1030"/>
      <c r="J916" s="690"/>
      <c r="K916" s="1030"/>
      <c r="L916" s="690"/>
      <c r="M916" s="1025"/>
      <c r="N916" s="1030"/>
      <c r="O916" s="692">
        <f t="shared" si="115"/>
        <v>0</v>
      </c>
      <c r="P916" s="690"/>
      <c r="Q916" s="690"/>
      <c r="R916" s="691">
        <f t="shared" si="116"/>
        <v>0</v>
      </c>
      <c r="S916" s="692">
        <f t="shared" si="117"/>
        <v>0</v>
      </c>
      <c r="T916" s="693">
        <f t="shared" si="118"/>
        <v>0</v>
      </c>
      <c r="U916" s="1035">
        <v>15875417</v>
      </c>
      <c r="V916" s="690">
        <v>16166037</v>
      </c>
      <c r="W916" s="1025"/>
      <c r="X916" s="1030"/>
      <c r="Y916" s="694">
        <f t="shared" si="119"/>
        <v>0</v>
      </c>
      <c r="Z916" s="690"/>
      <c r="AA916" s="690"/>
      <c r="AB916" s="695">
        <f t="shared" si="120"/>
        <v>0</v>
      </c>
      <c r="AC916" s="1035"/>
      <c r="AD916" s="690"/>
      <c r="AE916" s="1025"/>
      <c r="AF916" s="1030"/>
      <c r="AG916" s="690"/>
      <c r="AH916" s="690"/>
      <c r="AI916" s="696">
        <f t="shared" si="121"/>
        <v>15875417</v>
      </c>
      <c r="AJ916" s="697">
        <f t="shared" si="122"/>
        <v>16166037</v>
      </c>
    </row>
    <row r="917" spans="1:36" s="700" customFormat="1" ht="12.75" customHeight="1">
      <c r="A917" s="755" t="s">
        <v>209</v>
      </c>
      <c r="B917" s="768" t="s">
        <v>383</v>
      </c>
      <c r="C917" s="769" t="s">
        <v>377</v>
      </c>
      <c r="D917" s="769"/>
      <c r="E917" s="770"/>
      <c r="F917" s="771"/>
      <c r="G917" s="1025"/>
      <c r="H917" s="690"/>
      <c r="I917" s="1030"/>
      <c r="J917" s="690"/>
      <c r="K917" s="1030"/>
      <c r="L917" s="690"/>
      <c r="M917" s="1025"/>
      <c r="N917" s="1030"/>
      <c r="O917" s="692">
        <f t="shared" si="115"/>
        <v>0</v>
      </c>
      <c r="P917" s="690"/>
      <c r="Q917" s="690"/>
      <c r="R917" s="691">
        <f t="shared" si="116"/>
        <v>0</v>
      </c>
      <c r="S917" s="692">
        <f t="shared" si="117"/>
        <v>0</v>
      </c>
      <c r="T917" s="693">
        <f t="shared" si="118"/>
        <v>0</v>
      </c>
      <c r="U917" s="1035"/>
      <c r="V917" s="690"/>
      <c r="W917" s="1025"/>
      <c r="X917" s="1030"/>
      <c r="Y917" s="694">
        <f t="shared" si="119"/>
        <v>0</v>
      </c>
      <c r="Z917" s="690"/>
      <c r="AA917" s="690"/>
      <c r="AB917" s="695">
        <f t="shared" si="120"/>
        <v>0</v>
      </c>
      <c r="AC917" s="1035"/>
      <c r="AD917" s="690"/>
      <c r="AE917" s="1025"/>
      <c r="AF917" s="1030"/>
      <c r="AG917" s="690"/>
      <c r="AH917" s="690"/>
      <c r="AI917" s="696">
        <f t="shared" si="121"/>
        <v>0</v>
      </c>
      <c r="AJ917" s="697">
        <f t="shared" si="122"/>
        <v>0</v>
      </c>
    </row>
    <row r="918" spans="1:36" s="700" customFormat="1" ht="12.75" customHeight="1">
      <c r="A918" s="755" t="s">
        <v>209</v>
      </c>
      <c r="B918" s="755" t="s">
        <v>422</v>
      </c>
      <c r="C918" s="767" t="s">
        <v>768</v>
      </c>
      <c r="D918" s="767"/>
      <c r="E918" s="760"/>
      <c r="F918" s="763"/>
      <c r="G918" s="1025"/>
      <c r="H918" s="690"/>
      <c r="I918" s="1030"/>
      <c r="J918" s="690"/>
      <c r="K918" s="1030"/>
      <c r="L918" s="690"/>
      <c r="M918" s="1025"/>
      <c r="N918" s="1030"/>
      <c r="O918" s="692">
        <f t="shared" si="115"/>
        <v>0</v>
      </c>
      <c r="P918" s="690"/>
      <c r="Q918" s="690"/>
      <c r="R918" s="691">
        <f t="shared" si="116"/>
        <v>0</v>
      </c>
      <c r="S918" s="692">
        <f t="shared" si="117"/>
        <v>0</v>
      </c>
      <c r="T918" s="693">
        <f t="shared" si="118"/>
        <v>0</v>
      </c>
      <c r="U918" s="1035"/>
      <c r="V918" s="690"/>
      <c r="W918" s="1025"/>
      <c r="X918" s="1030"/>
      <c r="Y918" s="694">
        <f t="shared" si="119"/>
        <v>0</v>
      </c>
      <c r="Z918" s="690"/>
      <c r="AA918" s="690"/>
      <c r="AB918" s="695">
        <f t="shared" si="120"/>
        <v>0</v>
      </c>
      <c r="AC918" s="1035"/>
      <c r="AD918" s="690"/>
      <c r="AE918" s="1025"/>
      <c r="AF918" s="1030"/>
      <c r="AG918" s="690"/>
      <c r="AH918" s="690"/>
      <c r="AI918" s="696">
        <f t="shared" si="121"/>
        <v>0</v>
      </c>
      <c r="AJ918" s="697">
        <f t="shared" si="122"/>
        <v>0</v>
      </c>
    </row>
    <row r="919" spans="1:36" s="700" customFormat="1" ht="12.75" customHeight="1">
      <c r="A919" s="755" t="s">
        <v>209</v>
      </c>
      <c r="B919" s="768" t="s">
        <v>382</v>
      </c>
      <c r="C919" s="769" t="s">
        <v>443</v>
      </c>
      <c r="D919" s="769"/>
      <c r="E919" s="770"/>
      <c r="F919" s="771"/>
      <c r="G919" s="1025"/>
      <c r="H919" s="690"/>
      <c r="I919" s="1030"/>
      <c r="J919" s="690"/>
      <c r="K919" s="1030"/>
      <c r="L919" s="690"/>
      <c r="M919" s="1025"/>
      <c r="N919" s="1030"/>
      <c r="O919" s="692">
        <f t="shared" si="115"/>
        <v>0</v>
      </c>
      <c r="P919" s="690"/>
      <c r="Q919" s="690"/>
      <c r="R919" s="691">
        <f t="shared" si="116"/>
        <v>0</v>
      </c>
      <c r="S919" s="692">
        <f t="shared" si="117"/>
        <v>0</v>
      </c>
      <c r="T919" s="693">
        <f t="shared" si="118"/>
        <v>0</v>
      </c>
      <c r="U919" s="1035">
        <v>372309</v>
      </c>
      <c r="V919" s="690">
        <v>357417</v>
      </c>
      <c r="W919" s="1025"/>
      <c r="X919" s="1030"/>
      <c r="Y919" s="694">
        <f t="shared" si="119"/>
        <v>0</v>
      </c>
      <c r="Z919" s="690"/>
      <c r="AA919" s="690"/>
      <c r="AB919" s="695">
        <f t="shared" si="120"/>
        <v>0</v>
      </c>
      <c r="AC919" s="1035"/>
      <c r="AD919" s="690"/>
      <c r="AE919" s="1025"/>
      <c r="AF919" s="1030"/>
      <c r="AG919" s="690"/>
      <c r="AH919" s="690"/>
      <c r="AI919" s="696">
        <f t="shared" si="121"/>
        <v>372309</v>
      </c>
      <c r="AJ919" s="697">
        <f t="shared" si="122"/>
        <v>357417</v>
      </c>
    </row>
    <row r="920" spans="1:36" s="700" customFormat="1" ht="12.75" customHeight="1">
      <c r="A920" s="755" t="s">
        <v>209</v>
      </c>
      <c r="B920" s="768" t="s">
        <v>383</v>
      </c>
      <c r="C920" s="769" t="s">
        <v>377</v>
      </c>
      <c r="D920" s="769"/>
      <c r="E920" s="770"/>
      <c r="F920" s="771"/>
      <c r="G920" s="1025"/>
      <c r="H920" s="690"/>
      <c r="I920" s="1030"/>
      <c r="J920" s="690"/>
      <c r="K920" s="1030"/>
      <c r="L920" s="690"/>
      <c r="M920" s="1025"/>
      <c r="N920" s="1030"/>
      <c r="O920" s="692">
        <f t="shared" si="115"/>
        <v>0</v>
      </c>
      <c r="P920" s="690"/>
      <c r="Q920" s="690"/>
      <c r="R920" s="691">
        <f t="shared" si="116"/>
        <v>0</v>
      </c>
      <c r="S920" s="692">
        <f t="shared" si="117"/>
        <v>0</v>
      </c>
      <c r="T920" s="693">
        <f t="shared" si="118"/>
        <v>0</v>
      </c>
      <c r="U920" s="1035"/>
      <c r="V920" s="690"/>
      <c r="W920" s="1025"/>
      <c r="X920" s="1030"/>
      <c r="Y920" s="694">
        <f t="shared" si="119"/>
        <v>0</v>
      </c>
      <c r="Z920" s="690"/>
      <c r="AA920" s="690"/>
      <c r="AB920" s="695">
        <f t="shared" si="120"/>
        <v>0</v>
      </c>
      <c r="AC920" s="1035"/>
      <c r="AD920" s="690"/>
      <c r="AE920" s="1025"/>
      <c r="AF920" s="1030"/>
      <c r="AG920" s="690"/>
      <c r="AH920" s="690"/>
      <c r="AI920" s="696">
        <f t="shared" si="121"/>
        <v>0</v>
      </c>
      <c r="AJ920" s="697">
        <f t="shared" si="122"/>
        <v>0</v>
      </c>
    </row>
    <row r="921" spans="1:36" s="700" customFormat="1" ht="12.75" customHeight="1">
      <c r="A921" s="772" t="s">
        <v>209</v>
      </c>
      <c r="B921" s="773" t="s">
        <v>392</v>
      </c>
      <c r="C921" s="774" t="s">
        <v>769</v>
      </c>
      <c r="D921" s="774"/>
      <c r="E921" s="775">
        <v>132693</v>
      </c>
      <c r="F921" s="776">
        <v>8</v>
      </c>
      <c r="G921" s="1026">
        <v>35186924</v>
      </c>
      <c r="H921" s="777">
        <v>37411362</v>
      </c>
      <c r="I921" s="1031"/>
      <c r="J921" s="690"/>
      <c r="K921" s="1030"/>
      <c r="L921" s="690"/>
      <c r="M921" s="1032">
        <v>25994945</v>
      </c>
      <c r="N921" s="1030"/>
      <c r="O921" s="692">
        <f t="shared" si="115"/>
        <v>25994945</v>
      </c>
      <c r="P921" s="778">
        <v>27636731.717012126</v>
      </c>
      <c r="Q921" s="779"/>
      <c r="R921" s="691">
        <f t="shared" si="116"/>
        <v>27636731.717012126</v>
      </c>
      <c r="S921" s="692">
        <f t="shared" si="117"/>
        <v>61181869</v>
      </c>
      <c r="T921" s="693">
        <f t="shared" si="118"/>
        <v>65048093.717012122</v>
      </c>
      <c r="U921" s="1035"/>
      <c r="V921" s="690"/>
      <c r="W921" s="1025"/>
      <c r="X921" s="1030"/>
      <c r="Y921" s="694">
        <f t="shared" si="119"/>
        <v>0</v>
      </c>
      <c r="Z921" s="690"/>
      <c r="AA921" s="690"/>
      <c r="AB921" s="695">
        <f t="shared" si="120"/>
        <v>0</v>
      </c>
      <c r="AC921" s="1035"/>
      <c r="AD921" s="690"/>
      <c r="AE921" s="1025"/>
      <c r="AF921" s="1030"/>
      <c r="AG921" s="690"/>
      <c r="AH921" s="690"/>
      <c r="AI921" s="696">
        <f t="shared" si="121"/>
        <v>61181869</v>
      </c>
      <c r="AJ921" s="697">
        <f t="shared" si="122"/>
        <v>65048093.717012122</v>
      </c>
    </row>
    <row r="922" spans="1:36" s="700" customFormat="1" ht="12.75" customHeight="1">
      <c r="A922" s="772" t="s">
        <v>209</v>
      </c>
      <c r="B922" s="773" t="s">
        <v>392</v>
      </c>
      <c r="C922" s="780" t="s">
        <v>1914</v>
      </c>
      <c r="D922" s="1049" t="s">
        <v>1915</v>
      </c>
      <c r="E922" s="781">
        <v>132709</v>
      </c>
      <c r="F922" s="782">
        <v>8</v>
      </c>
      <c r="G922" s="1026">
        <v>66945461</v>
      </c>
      <c r="H922" s="777">
        <v>71124001</v>
      </c>
      <c r="I922" s="1031"/>
      <c r="J922" s="690"/>
      <c r="K922" s="1030"/>
      <c r="L922" s="690"/>
      <c r="M922" s="1033">
        <v>64406524</v>
      </c>
      <c r="N922" s="1030"/>
      <c r="O922" s="692">
        <f t="shared" si="115"/>
        <v>64406524</v>
      </c>
      <c r="P922" s="783">
        <v>71061836.134082079</v>
      </c>
      <c r="Q922" s="779"/>
      <c r="R922" s="691">
        <f t="shared" si="116"/>
        <v>71061836.134082079</v>
      </c>
      <c r="S922" s="692">
        <f t="shared" si="117"/>
        <v>131351985</v>
      </c>
      <c r="T922" s="693">
        <f t="shared" si="118"/>
        <v>142185837.13408208</v>
      </c>
      <c r="U922" s="1035"/>
      <c r="V922" s="690"/>
      <c r="W922" s="1025"/>
      <c r="X922" s="1030"/>
      <c r="Y922" s="694">
        <f t="shared" si="119"/>
        <v>0</v>
      </c>
      <c r="Z922" s="690"/>
      <c r="AA922" s="690"/>
      <c r="AB922" s="695">
        <f t="shared" si="120"/>
        <v>0</v>
      </c>
      <c r="AC922" s="1035"/>
      <c r="AD922" s="690"/>
      <c r="AE922" s="1025"/>
      <c r="AF922" s="1030"/>
      <c r="AG922" s="690"/>
      <c r="AH922" s="690"/>
      <c r="AI922" s="696">
        <f t="shared" si="121"/>
        <v>131351985</v>
      </c>
      <c r="AJ922" s="697">
        <f t="shared" si="122"/>
        <v>142185837.13408208</v>
      </c>
    </row>
    <row r="923" spans="1:36" s="700" customFormat="1" ht="12.75" customHeight="1">
      <c r="A923" s="772" t="s">
        <v>209</v>
      </c>
      <c r="B923" s="773" t="s">
        <v>392</v>
      </c>
      <c r="C923" s="1050" t="s">
        <v>1916</v>
      </c>
      <c r="D923" s="1051" t="s">
        <v>1917</v>
      </c>
      <c r="E923" s="775">
        <v>132851</v>
      </c>
      <c r="F923" s="1052">
        <v>8</v>
      </c>
      <c r="G923" s="1026">
        <v>17282683</v>
      </c>
      <c r="H923" s="777">
        <v>18517704</v>
      </c>
      <c r="I923" s="1031"/>
      <c r="J923" s="690"/>
      <c r="K923" s="1030"/>
      <c r="L923" s="690"/>
      <c r="M923" s="1033">
        <v>15606376</v>
      </c>
      <c r="N923" s="1030"/>
      <c r="O923" s="692">
        <f t="shared" si="115"/>
        <v>15606376</v>
      </c>
      <c r="P923" s="783">
        <v>15003035.797507176</v>
      </c>
      <c r="Q923" s="779"/>
      <c r="R923" s="691">
        <f t="shared" si="116"/>
        <v>15003035.797507176</v>
      </c>
      <c r="S923" s="692">
        <f t="shared" si="117"/>
        <v>32889059</v>
      </c>
      <c r="T923" s="693">
        <f t="shared" si="118"/>
        <v>33520739.797507174</v>
      </c>
      <c r="U923" s="1035"/>
      <c r="V923" s="690"/>
      <c r="W923" s="1025"/>
      <c r="X923" s="1030"/>
      <c r="Y923" s="694">
        <f t="shared" si="119"/>
        <v>0</v>
      </c>
      <c r="Z923" s="690"/>
      <c r="AA923" s="690"/>
      <c r="AB923" s="695">
        <f t="shared" si="120"/>
        <v>0</v>
      </c>
      <c r="AC923" s="1035"/>
      <c r="AD923" s="690"/>
      <c r="AE923" s="1025"/>
      <c r="AF923" s="1030"/>
      <c r="AG923" s="690"/>
      <c r="AH923" s="690"/>
      <c r="AI923" s="696">
        <f t="shared" si="121"/>
        <v>32889059</v>
      </c>
      <c r="AJ923" s="697">
        <f t="shared" si="122"/>
        <v>33520739.797507174</v>
      </c>
    </row>
    <row r="924" spans="1:36" s="700" customFormat="1" ht="12.75" customHeight="1">
      <c r="A924" s="772" t="s">
        <v>209</v>
      </c>
      <c r="B924" s="773" t="s">
        <v>392</v>
      </c>
      <c r="C924" s="774" t="s">
        <v>770</v>
      </c>
      <c r="D924" s="774"/>
      <c r="E924" s="775">
        <v>133021</v>
      </c>
      <c r="F924" s="776">
        <v>7</v>
      </c>
      <c r="G924" s="1026">
        <v>9333308</v>
      </c>
      <c r="H924" s="777">
        <v>9638166</v>
      </c>
      <c r="I924" s="1031"/>
      <c r="J924" s="690"/>
      <c r="K924" s="1030"/>
      <c r="L924" s="690"/>
      <c r="M924" s="1033">
        <v>3216520</v>
      </c>
      <c r="N924" s="1030"/>
      <c r="O924" s="692">
        <f t="shared" si="115"/>
        <v>3216520</v>
      </c>
      <c r="P924" s="783">
        <v>3308812.0778580671</v>
      </c>
      <c r="Q924" s="779"/>
      <c r="R924" s="691">
        <f t="shared" si="116"/>
        <v>3308812.0778580671</v>
      </c>
      <c r="S924" s="692">
        <f t="shared" si="117"/>
        <v>12549828</v>
      </c>
      <c r="T924" s="693">
        <f t="shared" si="118"/>
        <v>12946978.077858068</v>
      </c>
      <c r="U924" s="1035"/>
      <c r="V924" s="690"/>
      <c r="W924" s="1025"/>
      <c r="X924" s="1030"/>
      <c r="Y924" s="694">
        <f t="shared" si="119"/>
        <v>0</v>
      </c>
      <c r="Z924" s="690"/>
      <c r="AA924" s="690"/>
      <c r="AB924" s="695">
        <f t="shared" si="120"/>
        <v>0</v>
      </c>
      <c r="AC924" s="1035"/>
      <c r="AD924" s="690"/>
      <c r="AE924" s="1025"/>
      <c r="AF924" s="1030"/>
      <c r="AG924" s="690"/>
      <c r="AH924" s="690"/>
      <c r="AI924" s="696">
        <f t="shared" si="121"/>
        <v>12549828</v>
      </c>
      <c r="AJ924" s="697">
        <f t="shared" si="122"/>
        <v>12946978.077858068</v>
      </c>
    </row>
    <row r="925" spans="1:36" s="700" customFormat="1" ht="12.75" customHeight="1">
      <c r="A925" s="772" t="s">
        <v>209</v>
      </c>
      <c r="B925" s="773" t="s">
        <v>392</v>
      </c>
      <c r="C925" s="780" t="s">
        <v>1911</v>
      </c>
      <c r="D925" s="1049" t="s">
        <v>1912</v>
      </c>
      <c r="E925" s="781">
        <v>133386</v>
      </c>
      <c r="F925" s="782">
        <v>7</v>
      </c>
      <c r="G925" s="1026">
        <v>46053097</v>
      </c>
      <c r="H925" s="777">
        <v>48569764</v>
      </c>
      <c r="I925" s="1031"/>
      <c r="J925" s="690"/>
      <c r="K925" s="1030"/>
      <c r="L925" s="690"/>
      <c r="M925" s="1033">
        <v>30487845</v>
      </c>
      <c r="N925" s="1030"/>
      <c r="O925" s="692">
        <f t="shared" si="115"/>
        <v>30487845</v>
      </c>
      <c r="P925" s="783">
        <v>33491675.153173309</v>
      </c>
      <c r="Q925" s="779"/>
      <c r="R925" s="691">
        <f t="shared" si="116"/>
        <v>33491675.153173309</v>
      </c>
      <c r="S925" s="692">
        <f t="shared" si="117"/>
        <v>76540942</v>
      </c>
      <c r="T925" s="693">
        <f t="shared" si="118"/>
        <v>82061439.153173313</v>
      </c>
      <c r="U925" s="1035"/>
      <c r="V925" s="690"/>
      <c r="W925" s="1025"/>
      <c r="X925" s="1030"/>
      <c r="Y925" s="694">
        <f t="shared" si="119"/>
        <v>0</v>
      </c>
      <c r="Z925" s="690"/>
      <c r="AA925" s="690"/>
      <c r="AB925" s="695">
        <f t="shared" si="120"/>
        <v>0</v>
      </c>
      <c r="AC925" s="1035"/>
      <c r="AD925" s="690"/>
      <c r="AE925" s="1025"/>
      <c r="AF925" s="1030"/>
      <c r="AG925" s="690"/>
      <c r="AH925" s="690"/>
      <c r="AI925" s="696">
        <f t="shared" si="121"/>
        <v>76540942</v>
      </c>
      <c r="AJ925" s="697">
        <f t="shared" si="122"/>
        <v>82061439.153173313</v>
      </c>
    </row>
    <row r="926" spans="1:36" s="700" customFormat="1" ht="12.75" customHeight="1">
      <c r="A926" s="772" t="s">
        <v>209</v>
      </c>
      <c r="B926" s="773" t="s">
        <v>392</v>
      </c>
      <c r="C926" s="1050" t="s">
        <v>771</v>
      </c>
      <c r="D926" s="1051" t="s">
        <v>1913</v>
      </c>
      <c r="E926" s="775">
        <v>133508</v>
      </c>
      <c r="F926" s="1052">
        <v>7</v>
      </c>
      <c r="G926" s="1026">
        <v>22025827</v>
      </c>
      <c r="H926" s="777">
        <v>25047076</v>
      </c>
      <c r="I926" s="1031"/>
      <c r="J926" s="690"/>
      <c r="K926" s="1030"/>
      <c r="L926" s="690"/>
      <c r="M926" s="1033">
        <v>25621604</v>
      </c>
      <c r="N926" s="1030"/>
      <c r="O926" s="692">
        <f t="shared" si="115"/>
        <v>25621604</v>
      </c>
      <c r="P926" s="783">
        <v>28077346.335722372</v>
      </c>
      <c r="Q926" s="779"/>
      <c r="R926" s="691">
        <f t="shared" si="116"/>
        <v>28077346.335722372</v>
      </c>
      <c r="S926" s="692">
        <f t="shared" si="117"/>
        <v>47647431</v>
      </c>
      <c r="T926" s="693">
        <f t="shared" si="118"/>
        <v>53124422.335722372</v>
      </c>
      <c r="U926" s="1035"/>
      <c r="V926" s="690"/>
      <c r="W926" s="1025"/>
      <c r="X926" s="1030"/>
      <c r="Y926" s="694">
        <f t="shared" si="119"/>
        <v>0</v>
      </c>
      <c r="Z926" s="690"/>
      <c r="AA926" s="690"/>
      <c r="AB926" s="695">
        <f t="shared" si="120"/>
        <v>0</v>
      </c>
      <c r="AC926" s="1035"/>
      <c r="AD926" s="690"/>
      <c r="AE926" s="1025"/>
      <c r="AF926" s="1030"/>
      <c r="AG926" s="690"/>
      <c r="AH926" s="690"/>
      <c r="AI926" s="696">
        <f t="shared" si="121"/>
        <v>47647431</v>
      </c>
      <c r="AJ926" s="697">
        <f t="shared" si="122"/>
        <v>53124422.335722372</v>
      </c>
    </row>
    <row r="927" spans="1:36" s="700" customFormat="1" ht="12.75" customHeight="1">
      <c r="A927" s="772" t="s">
        <v>209</v>
      </c>
      <c r="B927" s="773" t="s">
        <v>392</v>
      </c>
      <c r="C927" s="780" t="s">
        <v>1918</v>
      </c>
      <c r="D927" s="1049" t="s">
        <v>1919</v>
      </c>
      <c r="E927" s="775">
        <v>133702</v>
      </c>
      <c r="F927" s="776">
        <v>8</v>
      </c>
      <c r="G927" s="1026">
        <v>69940467</v>
      </c>
      <c r="H927" s="777">
        <v>74396242</v>
      </c>
      <c r="I927" s="1031"/>
      <c r="J927" s="690"/>
      <c r="K927" s="1030"/>
      <c r="L927" s="690"/>
      <c r="M927" s="1033">
        <v>68869805</v>
      </c>
      <c r="N927" s="1030"/>
      <c r="O927" s="692">
        <f t="shared" si="115"/>
        <v>68869805</v>
      </c>
      <c r="P927" s="783">
        <v>55173973.479748584</v>
      </c>
      <c r="Q927" s="779"/>
      <c r="R927" s="691">
        <f t="shared" si="116"/>
        <v>55173973.479748584</v>
      </c>
      <c r="S927" s="692">
        <f t="shared" si="117"/>
        <v>138810272</v>
      </c>
      <c r="T927" s="693">
        <f t="shared" si="118"/>
        <v>129570215.47974858</v>
      </c>
      <c r="U927" s="1035"/>
      <c r="V927" s="690"/>
      <c r="W927" s="1025"/>
      <c r="X927" s="1030"/>
      <c r="Y927" s="694">
        <f t="shared" si="119"/>
        <v>0</v>
      </c>
      <c r="Z927" s="690"/>
      <c r="AA927" s="690"/>
      <c r="AB927" s="695">
        <f t="shared" si="120"/>
        <v>0</v>
      </c>
      <c r="AC927" s="1035"/>
      <c r="AD927" s="690"/>
      <c r="AE927" s="1025"/>
      <c r="AF927" s="1030"/>
      <c r="AG927" s="690"/>
      <c r="AH927" s="690"/>
      <c r="AI927" s="696">
        <f t="shared" si="121"/>
        <v>138810272</v>
      </c>
      <c r="AJ927" s="697">
        <f t="shared" si="122"/>
        <v>129570215.47974858</v>
      </c>
    </row>
    <row r="928" spans="1:36" s="700" customFormat="1" ht="12.75" customHeight="1">
      <c r="A928" s="772" t="s">
        <v>209</v>
      </c>
      <c r="B928" s="773" t="s">
        <v>392</v>
      </c>
      <c r="C928" s="774" t="s">
        <v>772</v>
      </c>
      <c r="D928" s="774"/>
      <c r="E928" s="775">
        <v>133960</v>
      </c>
      <c r="F928" s="776">
        <v>10</v>
      </c>
      <c r="G928" s="1026">
        <v>5489550</v>
      </c>
      <c r="H928" s="777">
        <v>5740109</v>
      </c>
      <c r="I928" s="1031"/>
      <c r="J928" s="690"/>
      <c r="K928" s="1030"/>
      <c r="L928" s="690"/>
      <c r="M928" s="1033">
        <v>2762967</v>
      </c>
      <c r="N928" s="1030"/>
      <c r="O928" s="692">
        <f t="shared" si="115"/>
        <v>2762967</v>
      </c>
      <c r="P928" s="783">
        <v>2525622.0910654953</v>
      </c>
      <c r="Q928" s="779"/>
      <c r="R928" s="691">
        <f t="shared" si="116"/>
        <v>2525622.0910654953</v>
      </c>
      <c r="S928" s="692">
        <f t="shared" si="117"/>
        <v>8252517</v>
      </c>
      <c r="T928" s="693">
        <f t="shared" si="118"/>
        <v>8265731.0910654953</v>
      </c>
      <c r="U928" s="1035"/>
      <c r="V928" s="690"/>
      <c r="W928" s="1025"/>
      <c r="X928" s="1030"/>
      <c r="Y928" s="694">
        <f t="shared" si="119"/>
        <v>0</v>
      </c>
      <c r="Z928" s="690"/>
      <c r="AA928" s="690"/>
      <c r="AB928" s="695">
        <f t="shared" si="120"/>
        <v>0</v>
      </c>
      <c r="AC928" s="1035"/>
      <c r="AD928" s="690"/>
      <c r="AE928" s="1025"/>
      <c r="AF928" s="1030"/>
      <c r="AG928" s="690"/>
      <c r="AH928" s="690"/>
      <c r="AI928" s="696">
        <f t="shared" si="121"/>
        <v>8252517</v>
      </c>
      <c r="AJ928" s="697">
        <f t="shared" si="122"/>
        <v>8265731.0910654953</v>
      </c>
    </row>
    <row r="929" spans="1:36" s="700" customFormat="1" ht="12.75" customHeight="1">
      <c r="A929" s="772" t="s">
        <v>209</v>
      </c>
      <c r="B929" s="773" t="s">
        <v>392</v>
      </c>
      <c r="C929" s="784" t="s">
        <v>773</v>
      </c>
      <c r="D929" s="1053" t="s">
        <v>1909</v>
      </c>
      <c r="E929" s="775">
        <v>134343</v>
      </c>
      <c r="F929" s="776">
        <v>9</v>
      </c>
      <c r="G929" s="1026">
        <v>16852292</v>
      </c>
      <c r="H929" s="777">
        <v>17814864</v>
      </c>
      <c r="I929" s="1031"/>
      <c r="J929" s="690"/>
      <c r="K929" s="1030"/>
      <c r="L929" s="690"/>
      <c r="M929" s="1033">
        <v>9952987</v>
      </c>
      <c r="N929" s="1030"/>
      <c r="O929" s="692">
        <f t="shared" si="115"/>
        <v>9952987</v>
      </c>
      <c r="P929" s="783">
        <v>9555430.5523966942</v>
      </c>
      <c r="Q929" s="779"/>
      <c r="R929" s="691">
        <f t="shared" si="116"/>
        <v>9555430.5523966942</v>
      </c>
      <c r="S929" s="692">
        <f t="shared" si="117"/>
        <v>26805279</v>
      </c>
      <c r="T929" s="693">
        <f t="shared" si="118"/>
        <v>27370294.552396692</v>
      </c>
      <c r="U929" s="1035"/>
      <c r="V929" s="690"/>
      <c r="W929" s="1025"/>
      <c r="X929" s="1030"/>
      <c r="Y929" s="694">
        <f t="shared" si="119"/>
        <v>0</v>
      </c>
      <c r="Z929" s="690"/>
      <c r="AA929" s="690"/>
      <c r="AB929" s="695">
        <f t="shared" si="120"/>
        <v>0</v>
      </c>
      <c r="AC929" s="1035"/>
      <c r="AD929" s="690"/>
      <c r="AE929" s="1025"/>
      <c r="AF929" s="1030"/>
      <c r="AG929" s="690"/>
      <c r="AH929" s="690"/>
      <c r="AI929" s="696">
        <f t="shared" si="121"/>
        <v>26805279</v>
      </c>
      <c r="AJ929" s="697">
        <f t="shared" si="122"/>
        <v>27370294.552396692</v>
      </c>
    </row>
    <row r="930" spans="1:36" s="700" customFormat="1" ht="12.75" customHeight="1">
      <c r="A930" s="772" t="s">
        <v>209</v>
      </c>
      <c r="B930" s="773" t="s">
        <v>392</v>
      </c>
      <c r="C930" s="774" t="s">
        <v>774</v>
      </c>
      <c r="D930" s="774"/>
      <c r="E930" s="775">
        <v>134495</v>
      </c>
      <c r="F930" s="776">
        <v>8</v>
      </c>
      <c r="G930" s="1026">
        <v>45640478</v>
      </c>
      <c r="H930" s="777">
        <v>49064771</v>
      </c>
      <c r="I930" s="1031"/>
      <c r="J930" s="690"/>
      <c r="K930" s="1030"/>
      <c r="L930" s="690"/>
      <c r="M930" s="1033">
        <v>46705693</v>
      </c>
      <c r="N930" s="1030"/>
      <c r="O930" s="692">
        <f t="shared" si="115"/>
        <v>46705693</v>
      </c>
      <c r="P930" s="783">
        <v>49460112.503466435</v>
      </c>
      <c r="Q930" s="779"/>
      <c r="R930" s="691">
        <f t="shared" si="116"/>
        <v>49460112.503466435</v>
      </c>
      <c r="S930" s="692">
        <f t="shared" si="117"/>
        <v>92346171</v>
      </c>
      <c r="T930" s="693">
        <f t="shared" si="118"/>
        <v>98524883.503466427</v>
      </c>
      <c r="U930" s="1035"/>
      <c r="V930" s="690"/>
      <c r="W930" s="1025"/>
      <c r="X930" s="1030"/>
      <c r="Y930" s="694">
        <f t="shared" si="119"/>
        <v>0</v>
      </c>
      <c r="Z930" s="690"/>
      <c r="AA930" s="690"/>
      <c r="AB930" s="695">
        <f t="shared" si="120"/>
        <v>0</v>
      </c>
      <c r="AC930" s="1035"/>
      <c r="AD930" s="690"/>
      <c r="AE930" s="1025"/>
      <c r="AF930" s="1030"/>
      <c r="AG930" s="690"/>
      <c r="AH930" s="690"/>
      <c r="AI930" s="696">
        <f t="shared" si="121"/>
        <v>92346171</v>
      </c>
      <c r="AJ930" s="697">
        <f t="shared" si="122"/>
        <v>98524883.503466427</v>
      </c>
    </row>
    <row r="931" spans="1:36" s="700" customFormat="1" ht="12.75" customHeight="1">
      <c r="A931" s="772" t="s">
        <v>209</v>
      </c>
      <c r="B931" s="773" t="s">
        <v>392</v>
      </c>
      <c r="C931" s="780" t="s">
        <v>1920</v>
      </c>
      <c r="D931" s="1049" t="s">
        <v>1921</v>
      </c>
      <c r="E931" s="775">
        <v>134608</v>
      </c>
      <c r="F931" s="776">
        <v>8</v>
      </c>
      <c r="G931" s="1026">
        <v>41855506</v>
      </c>
      <c r="H931" s="777">
        <v>44058319</v>
      </c>
      <c r="I931" s="1031"/>
      <c r="J931" s="690"/>
      <c r="K931" s="1030"/>
      <c r="L931" s="690"/>
      <c r="M931" s="1033">
        <v>24501346</v>
      </c>
      <c r="N931" s="1030"/>
      <c r="O931" s="692">
        <f t="shared" si="115"/>
        <v>24501346</v>
      </c>
      <c r="P931" s="783">
        <v>27471984.164917991</v>
      </c>
      <c r="Q931" s="779"/>
      <c r="R931" s="691">
        <f t="shared" si="116"/>
        <v>27471984.164917991</v>
      </c>
      <c r="S931" s="692">
        <f t="shared" si="117"/>
        <v>66356852</v>
      </c>
      <c r="T931" s="693">
        <f t="shared" si="118"/>
        <v>71530303.164917991</v>
      </c>
      <c r="U931" s="1035"/>
      <c r="V931" s="690"/>
      <c r="W931" s="1025"/>
      <c r="X931" s="1030"/>
      <c r="Y931" s="694">
        <f t="shared" si="119"/>
        <v>0</v>
      </c>
      <c r="Z931" s="690"/>
      <c r="AA931" s="690"/>
      <c r="AB931" s="695">
        <f t="shared" si="120"/>
        <v>0</v>
      </c>
      <c r="AC931" s="1035"/>
      <c r="AD931" s="690"/>
      <c r="AE931" s="1025"/>
      <c r="AF931" s="1030"/>
      <c r="AG931" s="690"/>
      <c r="AH931" s="690"/>
      <c r="AI931" s="696">
        <f t="shared" si="121"/>
        <v>66356852</v>
      </c>
      <c r="AJ931" s="697">
        <f t="shared" si="122"/>
        <v>71530303.164917991</v>
      </c>
    </row>
    <row r="932" spans="1:36" s="700" customFormat="1" ht="12.75" customHeight="1">
      <c r="A932" s="772" t="s">
        <v>209</v>
      </c>
      <c r="B932" s="773" t="s">
        <v>392</v>
      </c>
      <c r="C932" s="774" t="s">
        <v>775</v>
      </c>
      <c r="D932" s="774"/>
      <c r="E932" s="775">
        <v>135160</v>
      </c>
      <c r="F932" s="776">
        <v>9</v>
      </c>
      <c r="G932" s="1026">
        <v>11706494</v>
      </c>
      <c r="H932" s="777">
        <v>12221493</v>
      </c>
      <c r="I932" s="1031"/>
      <c r="J932" s="690"/>
      <c r="K932" s="1030"/>
      <c r="L932" s="690"/>
      <c r="M932" s="1033">
        <v>4630930</v>
      </c>
      <c r="N932" s="1030"/>
      <c r="O932" s="692">
        <f t="shared" si="115"/>
        <v>4630930</v>
      </c>
      <c r="P932" s="783">
        <v>4412631.5541444356</v>
      </c>
      <c r="Q932" s="779"/>
      <c r="R932" s="691">
        <f t="shared" si="116"/>
        <v>4412631.5541444356</v>
      </c>
      <c r="S932" s="692">
        <f t="shared" si="117"/>
        <v>16337424</v>
      </c>
      <c r="T932" s="693">
        <f t="shared" si="118"/>
        <v>16634124.554144435</v>
      </c>
      <c r="U932" s="1035"/>
      <c r="V932" s="690"/>
      <c r="W932" s="1025"/>
      <c r="X932" s="1030"/>
      <c r="Y932" s="694">
        <f t="shared" si="119"/>
        <v>0</v>
      </c>
      <c r="Z932" s="690"/>
      <c r="AA932" s="690"/>
      <c r="AB932" s="695">
        <f t="shared" si="120"/>
        <v>0</v>
      </c>
      <c r="AC932" s="1035"/>
      <c r="AD932" s="690"/>
      <c r="AE932" s="1025"/>
      <c r="AF932" s="1030"/>
      <c r="AG932" s="690"/>
      <c r="AH932" s="690"/>
      <c r="AI932" s="696">
        <f t="shared" si="121"/>
        <v>16337424</v>
      </c>
      <c r="AJ932" s="697">
        <f t="shared" si="122"/>
        <v>16634124.554144435</v>
      </c>
    </row>
    <row r="933" spans="1:36" s="700" customFormat="1" ht="12.75" customHeight="1">
      <c r="A933" s="772" t="s">
        <v>209</v>
      </c>
      <c r="B933" s="773" t="s">
        <v>392</v>
      </c>
      <c r="C933" s="774" t="s">
        <v>776</v>
      </c>
      <c r="D933" s="774"/>
      <c r="E933" s="775">
        <v>135188</v>
      </c>
      <c r="F933" s="776">
        <v>9</v>
      </c>
      <c r="G933" s="1026">
        <v>10146073</v>
      </c>
      <c r="H933" s="777">
        <v>10726900</v>
      </c>
      <c r="I933" s="1031"/>
      <c r="J933" s="690"/>
      <c r="K933" s="1030"/>
      <c r="L933" s="690"/>
      <c r="M933" s="1033">
        <v>6357811</v>
      </c>
      <c r="N933" s="1030"/>
      <c r="O933" s="692">
        <f t="shared" si="115"/>
        <v>6357811</v>
      </c>
      <c r="P933" s="783">
        <v>6760765.2967113005</v>
      </c>
      <c r="Q933" s="779"/>
      <c r="R933" s="691">
        <f t="shared" si="116"/>
        <v>6760765.2967113005</v>
      </c>
      <c r="S933" s="692">
        <f t="shared" si="117"/>
        <v>16503884</v>
      </c>
      <c r="T933" s="693">
        <f t="shared" si="118"/>
        <v>17487665.2967113</v>
      </c>
      <c r="U933" s="1035"/>
      <c r="V933" s="690"/>
      <c r="W933" s="1025"/>
      <c r="X933" s="1030"/>
      <c r="Y933" s="694">
        <f t="shared" si="119"/>
        <v>0</v>
      </c>
      <c r="Z933" s="690"/>
      <c r="AA933" s="690"/>
      <c r="AB933" s="695">
        <f t="shared" si="120"/>
        <v>0</v>
      </c>
      <c r="AC933" s="1035"/>
      <c r="AD933" s="690"/>
      <c r="AE933" s="1025"/>
      <c r="AF933" s="1030"/>
      <c r="AG933" s="690"/>
      <c r="AH933" s="690"/>
      <c r="AI933" s="696">
        <f t="shared" si="121"/>
        <v>16503884</v>
      </c>
      <c r="AJ933" s="697">
        <f t="shared" si="122"/>
        <v>17487665.2967113</v>
      </c>
    </row>
    <row r="934" spans="1:36" s="700" customFormat="1" ht="12.75" customHeight="1">
      <c r="A934" s="772" t="s">
        <v>209</v>
      </c>
      <c r="B934" s="773" t="s">
        <v>392</v>
      </c>
      <c r="C934" s="774" t="s">
        <v>777</v>
      </c>
      <c r="D934" s="774"/>
      <c r="E934" s="775">
        <v>135717</v>
      </c>
      <c r="F934" s="776">
        <v>7</v>
      </c>
      <c r="G934" s="1026">
        <v>156745548</v>
      </c>
      <c r="H934" s="777">
        <v>164120185</v>
      </c>
      <c r="I934" s="1031"/>
      <c r="J934" s="690"/>
      <c r="K934" s="1030"/>
      <c r="L934" s="690"/>
      <c r="M934" s="1033">
        <v>126060244</v>
      </c>
      <c r="N934" s="1030"/>
      <c r="O934" s="692">
        <f t="shared" si="115"/>
        <v>126060244</v>
      </c>
      <c r="P934" s="783">
        <v>137092015.61169529</v>
      </c>
      <c r="Q934" s="779"/>
      <c r="R934" s="691">
        <f t="shared" si="116"/>
        <v>137092015.61169529</v>
      </c>
      <c r="S934" s="692">
        <f t="shared" si="117"/>
        <v>282805792</v>
      </c>
      <c r="T934" s="693">
        <f t="shared" si="118"/>
        <v>301212200.61169529</v>
      </c>
      <c r="U934" s="1035"/>
      <c r="V934" s="690"/>
      <c r="W934" s="1025"/>
      <c r="X934" s="1030"/>
      <c r="Y934" s="694">
        <f t="shared" si="119"/>
        <v>0</v>
      </c>
      <c r="Z934" s="690"/>
      <c r="AA934" s="690"/>
      <c r="AB934" s="695">
        <f t="shared" si="120"/>
        <v>0</v>
      </c>
      <c r="AC934" s="1035"/>
      <c r="AD934" s="690"/>
      <c r="AE934" s="1025"/>
      <c r="AF934" s="1030"/>
      <c r="AG934" s="690"/>
      <c r="AH934" s="690"/>
      <c r="AI934" s="696">
        <f t="shared" si="121"/>
        <v>282805792</v>
      </c>
      <c r="AJ934" s="697">
        <f t="shared" si="122"/>
        <v>301212200.61169529</v>
      </c>
    </row>
    <row r="935" spans="1:36" s="700" customFormat="1" ht="12.75" customHeight="1">
      <c r="A935" s="772" t="s">
        <v>209</v>
      </c>
      <c r="B935" s="773" t="s">
        <v>392</v>
      </c>
      <c r="C935" s="774" t="s">
        <v>778</v>
      </c>
      <c r="D935" s="774"/>
      <c r="E935" s="775">
        <v>136145</v>
      </c>
      <c r="F935" s="776">
        <v>10</v>
      </c>
      <c r="G935" s="1026">
        <v>5921803</v>
      </c>
      <c r="H935" s="777">
        <v>6175241</v>
      </c>
      <c r="I935" s="1031"/>
      <c r="J935" s="690"/>
      <c r="K935" s="1030"/>
      <c r="L935" s="690"/>
      <c r="M935" s="1033">
        <v>1756781</v>
      </c>
      <c r="N935" s="1030"/>
      <c r="O935" s="692">
        <f t="shared" si="115"/>
        <v>1756781</v>
      </c>
      <c r="P935" s="783">
        <v>1925656.5118793002</v>
      </c>
      <c r="Q935" s="779"/>
      <c r="R935" s="691">
        <f t="shared" si="116"/>
        <v>1925656.5118793002</v>
      </c>
      <c r="S935" s="692">
        <f t="shared" si="117"/>
        <v>7678584</v>
      </c>
      <c r="T935" s="693">
        <f t="shared" si="118"/>
        <v>8100897.5118793007</v>
      </c>
      <c r="U935" s="1035"/>
      <c r="V935" s="690"/>
      <c r="W935" s="1025"/>
      <c r="X935" s="1030"/>
      <c r="Y935" s="694">
        <f t="shared" si="119"/>
        <v>0</v>
      </c>
      <c r="Z935" s="690"/>
      <c r="AA935" s="690"/>
      <c r="AB935" s="695">
        <f t="shared" si="120"/>
        <v>0</v>
      </c>
      <c r="AC935" s="1035"/>
      <c r="AD935" s="690"/>
      <c r="AE935" s="1025"/>
      <c r="AF935" s="1030"/>
      <c r="AG935" s="690"/>
      <c r="AH935" s="690"/>
      <c r="AI935" s="696">
        <f t="shared" si="121"/>
        <v>7678584</v>
      </c>
      <c r="AJ935" s="697">
        <f t="shared" si="122"/>
        <v>8100897.5118793007</v>
      </c>
    </row>
    <row r="936" spans="1:36" s="700" customFormat="1" ht="12.75" customHeight="1">
      <c r="A936" s="772" t="s">
        <v>209</v>
      </c>
      <c r="B936" s="773" t="s">
        <v>392</v>
      </c>
      <c r="C936" s="774" t="s">
        <v>779</v>
      </c>
      <c r="D936" s="774"/>
      <c r="E936" s="775">
        <v>136233</v>
      </c>
      <c r="F936" s="776">
        <v>7</v>
      </c>
      <c r="G936" s="1026">
        <v>16627029</v>
      </c>
      <c r="H936" s="777">
        <v>17922303</v>
      </c>
      <c r="I936" s="1031"/>
      <c r="J936" s="690"/>
      <c r="K936" s="1030"/>
      <c r="L936" s="690"/>
      <c r="M936" s="1033">
        <v>11508738</v>
      </c>
      <c r="N936" s="1030"/>
      <c r="O936" s="692">
        <f t="shared" si="115"/>
        <v>11508738</v>
      </c>
      <c r="P936" s="783">
        <v>12838821.028946487</v>
      </c>
      <c r="Q936" s="779"/>
      <c r="R936" s="691">
        <f t="shared" si="116"/>
        <v>12838821.028946487</v>
      </c>
      <c r="S936" s="692">
        <f t="shared" si="117"/>
        <v>28135767</v>
      </c>
      <c r="T936" s="693">
        <f t="shared" si="118"/>
        <v>30761124.028946489</v>
      </c>
      <c r="U936" s="1035"/>
      <c r="V936" s="690"/>
      <c r="W936" s="1025"/>
      <c r="X936" s="1030"/>
      <c r="Y936" s="694">
        <f t="shared" si="119"/>
        <v>0</v>
      </c>
      <c r="Z936" s="690"/>
      <c r="AA936" s="690"/>
      <c r="AB936" s="695">
        <f t="shared" si="120"/>
        <v>0</v>
      </c>
      <c r="AC936" s="1035"/>
      <c r="AD936" s="690"/>
      <c r="AE936" s="1025"/>
      <c r="AF936" s="1030"/>
      <c r="AG936" s="690"/>
      <c r="AH936" s="690"/>
      <c r="AI936" s="696">
        <f t="shared" si="121"/>
        <v>28135767</v>
      </c>
      <c r="AJ936" s="697">
        <f t="shared" si="122"/>
        <v>30761124.028946489</v>
      </c>
    </row>
    <row r="937" spans="1:36" s="700" customFormat="1" ht="12.75" customHeight="1">
      <c r="A937" s="772" t="s">
        <v>209</v>
      </c>
      <c r="B937" s="773" t="s">
        <v>392</v>
      </c>
      <c r="C937" s="780" t="s">
        <v>1922</v>
      </c>
      <c r="D937" s="1049" t="s">
        <v>1923</v>
      </c>
      <c r="E937" s="775">
        <v>136358</v>
      </c>
      <c r="F937" s="776">
        <v>8</v>
      </c>
      <c r="G937" s="1026">
        <v>47715293</v>
      </c>
      <c r="H937" s="777">
        <v>51300233</v>
      </c>
      <c r="I937" s="1031"/>
      <c r="J937" s="690"/>
      <c r="K937" s="1030"/>
      <c r="L937" s="690"/>
      <c r="M937" s="1033">
        <v>43742162</v>
      </c>
      <c r="N937" s="1030"/>
      <c r="O937" s="692">
        <f t="shared" si="115"/>
        <v>43742162</v>
      </c>
      <c r="P937" s="783">
        <v>48554801.500749253</v>
      </c>
      <c r="Q937" s="779"/>
      <c r="R937" s="691">
        <f t="shared" si="116"/>
        <v>48554801.500749253</v>
      </c>
      <c r="S937" s="692">
        <f t="shared" si="117"/>
        <v>91457455</v>
      </c>
      <c r="T937" s="693">
        <f t="shared" si="118"/>
        <v>99855034.50074926</v>
      </c>
      <c r="U937" s="1035"/>
      <c r="V937" s="690"/>
      <c r="W937" s="1025"/>
      <c r="X937" s="1030"/>
      <c r="Y937" s="694">
        <f t="shared" si="119"/>
        <v>0</v>
      </c>
      <c r="Z937" s="690"/>
      <c r="AA937" s="690"/>
      <c r="AB937" s="695">
        <f t="shared" si="120"/>
        <v>0</v>
      </c>
      <c r="AC937" s="1035"/>
      <c r="AD937" s="690"/>
      <c r="AE937" s="1025"/>
      <c r="AF937" s="1030"/>
      <c r="AG937" s="690"/>
      <c r="AH937" s="690"/>
      <c r="AI937" s="696">
        <f t="shared" si="121"/>
        <v>91457455</v>
      </c>
      <c r="AJ937" s="697">
        <f t="shared" si="122"/>
        <v>99855034.50074926</v>
      </c>
    </row>
    <row r="938" spans="1:36" s="700" customFormat="1" ht="12.75" customHeight="1">
      <c r="A938" s="772" t="s">
        <v>209</v>
      </c>
      <c r="B938" s="773" t="s">
        <v>392</v>
      </c>
      <c r="C938" s="774" t="s">
        <v>780</v>
      </c>
      <c r="D938" s="774"/>
      <c r="E938" s="775">
        <v>136400</v>
      </c>
      <c r="F938" s="776">
        <v>8</v>
      </c>
      <c r="G938" s="1026">
        <v>17731562</v>
      </c>
      <c r="H938" s="777">
        <v>19657172</v>
      </c>
      <c r="I938" s="1031"/>
      <c r="J938" s="690"/>
      <c r="K938" s="1030"/>
      <c r="L938" s="690"/>
      <c r="M938" s="1033">
        <v>13870121</v>
      </c>
      <c r="N938" s="1030"/>
      <c r="O938" s="692">
        <f t="shared" si="115"/>
        <v>13870121</v>
      </c>
      <c r="P938" s="783">
        <v>15487188.298441311</v>
      </c>
      <c r="Q938" s="779"/>
      <c r="R938" s="691">
        <f t="shared" si="116"/>
        <v>15487188.298441311</v>
      </c>
      <c r="S938" s="692">
        <f t="shared" si="117"/>
        <v>31601683</v>
      </c>
      <c r="T938" s="693">
        <f t="shared" si="118"/>
        <v>35144360.298441313</v>
      </c>
      <c r="U938" s="1035"/>
      <c r="V938" s="690"/>
      <c r="W938" s="1025"/>
      <c r="X938" s="1030"/>
      <c r="Y938" s="694">
        <f t="shared" si="119"/>
        <v>0</v>
      </c>
      <c r="Z938" s="690"/>
      <c r="AA938" s="690"/>
      <c r="AB938" s="695">
        <f t="shared" si="120"/>
        <v>0</v>
      </c>
      <c r="AC938" s="1035"/>
      <c r="AD938" s="690"/>
      <c r="AE938" s="1025"/>
      <c r="AF938" s="1030"/>
      <c r="AG938" s="690"/>
      <c r="AH938" s="690"/>
      <c r="AI938" s="696">
        <f t="shared" si="121"/>
        <v>31601683</v>
      </c>
      <c r="AJ938" s="697">
        <f t="shared" si="122"/>
        <v>35144360.298441313</v>
      </c>
    </row>
    <row r="939" spans="1:36" s="700" customFormat="1" ht="12.75" customHeight="1">
      <c r="A939" s="772" t="s">
        <v>209</v>
      </c>
      <c r="B939" s="773" t="s">
        <v>392</v>
      </c>
      <c r="C939" s="780" t="s">
        <v>1924</v>
      </c>
      <c r="D939" s="1049" t="s">
        <v>1925</v>
      </c>
      <c r="E939" s="775">
        <v>136473</v>
      </c>
      <c r="F939" s="776">
        <v>8</v>
      </c>
      <c r="G939" s="1026">
        <v>31709441</v>
      </c>
      <c r="H939" s="777">
        <v>33197201</v>
      </c>
      <c r="I939" s="1031"/>
      <c r="J939" s="690"/>
      <c r="K939" s="1030"/>
      <c r="L939" s="690"/>
      <c r="M939" s="1033">
        <v>17539613</v>
      </c>
      <c r="N939" s="1030"/>
      <c r="O939" s="692">
        <f t="shared" si="115"/>
        <v>17539613</v>
      </c>
      <c r="P939" s="783">
        <v>18162517.645373393</v>
      </c>
      <c r="Q939" s="779"/>
      <c r="R939" s="691">
        <f t="shared" si="116"/>
        <v>18162517.645373393</v>
      </c>
      <c r="S939" s="692">
        <f t="shared" si="117"/>
        <v>49249054</v>
      </c>
      <c r="T939" s="693">
        <f t="shared" si="118"/>
        <v>51359718.645373389</v>
      </c>
      <c r="U939" s="1035"/>
      <c r="V939" s="690"/>
      <c r="W939" s="1025"/>
      <c r="X939" s="1030"/>
      <c r="Y939" s="694">
        <f t="shared" si="119"/>
        <v>0</v>
      </c>
      <c r="Z939" s="690"/>
      <c r="AA939" s="690"/>
      <c r="AB939" s="695">
        <f t="shared" si="120"/>
        <v>0</v>
      </c>
      <c r="AC939" s="1035"/>
      <c r="AD939" s="690"/>
      <c r="AE939" s="1025"/>
      <c r="AF939" s="1030"/>
      <c r="AG939" s="690"/>
      <c r="AH939" s="690"/>
      <c r="AI939" s="696">
        <f t="shared" si="121"/>
        <v>49249054</v>
      </c>
      <c r="AJ939" s="697">
        <f t="shared" si="122"/>
        <v>51359718.645373389</v>
      </c>
    </row>
    <row r="940" spans="1:36" s="700" customFormat="1" ht="12.75" customHeight="1">
      <c r="A940" s="772" t="s">
        <v>209</v>
      </c>
      <c r="B940" s="773" t="s">
        <v>392</v>
      </c>
      <c r="C940" s="780" t="s">
        <v>1926</v>
      </c>
      <c r="D940" s="1049" t="s">
        <v>1927</v>
      </c>
      <c r="E940" s="781">
        <v>136516</v>
      </c>
      <c r="F940" s="782">
        <v>8</v>
      </c>
      <c r="G940" s="1026">
        <v>17378060</v>
      </c>
      <c r="H940" s="777">
        <v>21697656</v>
      </c>
      <c r="I940" s="1031"/>
      <c r="J940" s="690"/>
      <c r="K940" s="1030"/>
      <c r="L940" s="690"/>
      <c r="M940" s="1033">
        <v>13285800</v>
      </c>
      <c r="N940" s="1030"/>
      <c r="O940" s="692">
        <f t="shared" si="115"/>
        <v>13285800</v>
      </c>
      <c r="P940" s="783">
        <v>15588601.110590465</v>
      </c>
      <c r="Q940" s="779"/>
      <c r="R940" s="691">
        <f t="shared" si="116"/>
        <v>15588601.110590465</v>
      </c>
      <c r="S940" s="692">
        <f t="shared" si="117"/>
        <v>30663860</v>
      </c>
      <c r="T940" s="693">
        <f t="shared" si="118"/>
        <v>37286257.110590465</v>
      </c>
      <c r="U940" s="1035"/>
      <c r="V940" s="690"/>
      <c r="W940" s="1025"/>
      <c r="X940" s="1030"/>
      <c r="Y940" s="694">
        <f t="shared" si="119"/>
        <v>0</v>
      </c>
      <c r="Z940" s="690"/>
      <c r="AA940" s="690"/>
      <c r="AB940" s="695">
        <f t="shared" si="120"/>
        <v>0</v>
      </c>
      <c r="AC940" s="1035"/>
      <c r="AD940" s="690"/>
      <c r="AE940" s="1025"/>
      <c r="AF940" s="1030"/>
      <c r="AG940" s="690"/>
      <c r="AH940" s="690"/>
      <c r="AI940" s="696">
        <f t="shared" si="121"/>
        <v>30663860</v>
      </c>
      <c r="AJ940" s="697">
        <f t="shared" si="122"/>
        <v>37286257.110590465</v>
      </c>
    </row>
    <row r="941" spans="1:36" s="700" customFormat="1" ht="12.75" customHeight="1">
      <c r="A941" s="772" t="s">
        <v>209</v>
      </c>
      <c r="B941" s="773" t="s">
        <v>392</v>
      </c>
      <c r="C941" s="780" t="s">
        <v>1928</v>
      </c>
      <c r="D941" s="1049" t="s">
        <v>1929</v>
      </c>
      <c r="E941" s="775">
        <v>137096</v>
      </c>
      <c r="F941" s="776">
        <v>8</v>
      </c>
      <c r="G941" s="1026">
        <v>32750780</v>
      </c>
      <c r="H941" s="777">
        <v>34329487</v>
      </c>
      <c r="I941" s="1031"/>
      <c r="J941" s="690"/>
      <c r="K941" s="1030"/>
      <c r="L941" s="690"/>
      <c r="M941" s="1033">
        <v>27753634</v>
      </c>
      <c r="N941" s="1030"/>
      <c r="O941" s="692">
        <f t="shared" si="115"/>
        <v>27753634</v>
      </c>
      <c r="P941" s="783">
        <v>29874079.498927061</v>
      </c>
      <c r="Q941" s="779"/>
      <c r="R941" s="691">
        <f t="shared" si="116"/>
        <v>29874079.498927061</v>
      </c>
      <c r="S941" s="692">
        <f t="shared" si="117"/>
        <v>60504414</v>
      </c>
      <c r="T941" s="693">
        <f t="shared" si="118"/>
        <v>64203566.498927057</v>
      </c>
      <c r="U941" s="1035"/>
      <c r="V941" s="690"/>
      <c r="W941" s="1025"/>
      <c r="X941" s="1030"/>
      <c r="Y941" s="694">
        <f t="shared" si="119"/>
        <v>0</v>
      </c>
      <c r="Z941" s="690"/>
      <c r="AA941" s="690"/>
      <c r="AB941" s="695">
        <f t="shared" si="120"/>
        <v>0</v>
      </c>
      <c r="AC941" s="1035"/>
      <c r="AD941" s="690"/>
      <c r="AE941" s="1025"/>
      <c r="AF941" s="1030"/>
      <c r="AG941" s="690"/>
      <c r="AH941" s="690"/>
      <c r="AI941" s="696">
        <f t="shared" si="121"/>
        <v>60504414</v>
      </c>
      <c r="AJ941" s="697">
        <f t="shared" si="122"/>
        <v>64203566.498927057</v>
      </c>
    </row>
    <row r="942" spans="1:36" s="700" customFormat="1" ht="12.75" customHeight="1">
      <c r="A942" s="772" t="s">
        <v>209</v>
      </c>
      <c r="B942" s="773" t="s">
        <v>392</v>
      </c>
      <c r="C942" s="780" t="s">
        <v>1930</v>
      </c>
      <c r="D942" s="1049" t="s">
        <v>1931</v>
      </c>
      <c r="E942" s="775">
        <v>137209</v>
      </c>
      <c r="F942" s="776">
        <v>8</v>
      </c>
      <c r="G942" s="1026">
        <v>32928008</v>
      </c>
      <c r="H942" s="777">
        <v>35649730</v>
      </c>
      <c r="I942" s="1031"/>
      <c r="J942" s="690"/>
      <c r="K942" s="1030"/>
      <c r="L942" s="690"/>
      <c r="M942" s="1033">
        <v>30126563</v>
      </c>
      <c r="N942" s="1030"/>
      <c r="O942" s="692">
        <f t="shared" si="115"/>
        <v>30126563</v>
      </c>
      <c r="P942" s="783">
        <v>34520786.017012253</v>
      </c>
      <c r="Q942" s="779"/>
      <c r="R942" s="691">
        <f t="shared" si="116"/>
        <v>34520786.017012253</v>
      </c>
      <c r="S942" s="692">
        <f t="shared" si="117"/>
        <v>63054571</v>
      </c>
      <c r="T942" s="693">
        <f t="shared" si="118"/>
        <v>70170516.017012253</v>
      </c>
      <c r="U942" s="1035"/>
      <c r="V942" s="690"/>
      <c r="W942" s="1025"/>
      <c r="X942" s="1030"/>
      <c r="Y942" s="694">
        <f t="shared" si="119"/>
        <v>0</v>
      </c>
      <c r="Z942" s="690"/>
      <c r="AA942" s="690"/>
      <c r="AB942" s="695">
        <f t="shared" si="120"/>
        <v>0</v>
      </c>
      <c r="AC942" s="1035"/>
      <c r="AD942" s="690"/>
      <c r="AE942" s="1025"/>
      <c r="AF942" s="1030"/>
      <c r="AG942" s="690"/>
      <c r="AH942" s="690"/>
      <c r="AI942" s="696">
        <f t="shared" si="121"/>
        <v>63054571</v>
      </c>
      <c r="AJ942" s="697">
        <f t="shared" si="122"/>
        <v>70170516.017012253</v>
      </c>
    </row>
    <row r="943" spans="1:36" s="700" customFormat="1" ht="12.75" customHeight="1">
      <c r="A943" s="772" t="s">
        <v>209</v>
      </c>
      <c r="B943" s="773" t="s">
        <v>392</v>
      </c>
      <c r="C943" s="774" t="s">
        <v>781</v>
      </c>
      <c r="D943" s="774"/>
      <c r="E943" s="775">
        <v>137315</v>
      </c>
      <c r="F943" s="776">
        <v>9</v>
      </c>
      <c r="G943" s="1026">
        <v>14648377</v>
      </c>
      <c r="H943" s="777">
        <v>15231389</v>
      </c>
      <c r="I943" s="1031"/>
      <c r="J943" s="690"/>
      <c r="K943" s="1030"/>
      <c r="L943" s="690"/>
      <c r="M943" s="1033">
        <v>4029941</v>
      </c>
      <c r="N943" s="1030"/>
      <c r="O943" s="692">
        <f t="shared" si="115"/>
        <v>4029941</v>
      </c>
      <c r="P943" s="783">
        <v>3963957.2853873484</v>
      </c>
      <c r="Q943" s="779"/>
      <c r="R943" s="691">
        <f t="shared" si="116"/>
        <v>3963957.2853873484</v>
      </c>
      <c r="S943" s="692">
        <f t="shared" si="117"/>
        <v>18678318</v>
      </c>
      <c r="T943" s="693">
        <f t="shared" si="118"/>
        <v>19195346.285387348</v>
      </c>
      <c r="U943" s="1035"/>
      <c r="V943" s="690"/>
      <c r="W943" s="1025"/>
      <c r="X943" s="1030"/>
      <c r="Y943" s="694">
        <f t="shared" si="119"/>
        <v>0</v>
      </c>
      <c r="Z943" s="690"/>
      <c r="AA943" s="690"/>
      <c r="AB943" s="695">
        <f t="shared" si="120"/>
        <v>0</v>
      </c>
      <c r="AC943" s="1035"/>
      <c r="AD943" s="690"/>
      <c r="AE943" s="1025"/>
      <c r="AF943" s="1030"/>
      <c r="AG943" s="690"/>
      <c r="AH943" s="690"/>
      <c r="AI943" s="696">
        <f t="shared" si="121"/>
        <v>18678318</v>
      </c>
      <c r="AJ943" s="697">
        <f t="shared" si="122"/>
        <v>19195346.285387348</v>
      </c>
    </row>
    <row r="944" spans="1:36" s="700" customFormat="1" ht="12.75" customHeight="1">
      <c r="A944" s="772" t="s">
        <v>209</v>
      </c>
      <c r="B944" s="773" t="s">
        <v>392</v>
      </c>
      <c r="C944" s="780" t="s">
        <v>782</v>
      </c>
      <c r="D944" s="1049" t="s">
        <v>1932</v>
      </c>
      <c r="E944" s="775">
        <v>137281</v>
      </c>
      <c r="F944" s="776">
        <v>9</v>
      </c>
      <c r="G944" s="1026">
        <v>15568626</v>
      </c>
      <c r="H944" s="777">
        <v>16668502</v>
      </c>
      <c r="I944" s="1031"/>
      <c r="J944" s="690"/>
      <c r="K944" s="1030"/>
      <c r="L944" s="690"/>
      <c r="M944" s="1033">
        <v>9403447</v>
      </c>
      <c r="N944" s="1030"/>
      <c r="O944" s="692">
        <f t="shared" si="115"/>
        <v>9403447</v>
      </c>
      <c r="P944" s="783">
        <v>10114459.078029143</v>
      </c>
      <c r="Q944" s="779"/>
      <c r="R944" s="691">
        <f t="shared" si="116"/>
        <v>10114459.078029143</v>
      </c>
      <c r="S944" s="692">
        <f t="shared" si="117"/>
        <v>24972073</v>
      </c>
      <c r="T944" s="693">
        <f t="shared" si="118"/>
        <v>26782961.078029141</v>
      </c>
      <c r="U944" s="1035"/>
      <c r="V944" s="690"/>
      <c r="W944" s="1025"/>
      <c r="X944" s="1030"/>
      <c r="Y944" s="694">
        <f t="shared" si="119"/>
        <v>0</v>
      </c>
      <c r="Z944" s="690"/>
      <c r="AA944" s="690"/>
      <c r="AB944" s="695">
        <f t="shared" si="120"/>
        <v>0</v>
      </c>
      <c r="AC944" s="1035"/>
      <c r="AD944" s="690"/>
      <c r="AE944" s="1025"/>
      <c r="AF944" s="1030"/>
      <c r="AG944" s="690"/>
      <c r="AH944" s="690"/>
      <c r="AI944" s="696">
        <f t="shared" si="121"/>
        <v>24972073</v>
      </c>
      <c r="AJ944" s="697">
        <f t="shared" si="122"/>
        <v>26782961.078029141</v>
      </c>
    </row>
    <row r="945" spans="1:36" s="700" customFormat="1" ht="12.75" customHeight="1">
      <c r="A945" s="772" t="s">
        <v>209</v>
      </c>
      <c r="B945" s="773" t="s">
        <v>392</v>
      </c>
      <c r="C945" s="774" t="s">
        <v>783</v>
      </c>
      <c r="D945" s="774"/>
      <c r="E945" s="775">
        <v>137078</v>
      </c>
      <c r="F945" s="776">
        <v>7</v>
      </c>
      <c r="G945" s="1026">
        <v>60393235</v>
      </c>
      <c r="H945" s="777">
        <v>63031486</v>
      </c>
      <c r="I945" s="1031"/>
      <c r="J945" s="690"/>
      <c r="K945" s="1030"/>
      <c r="L945" s="690"/>
      <c r="M945" s="1033">
        <v>51689640</v>
      </c>
      <c r="N945" s="1030"/>
      <c r="O945" s="692">
        <f t="shared" si="115"/>
        <v>51689640</v>
      </c>
      <c r="P945" s="783">
        <v>55017177.060220815</v>
      </c>
      <c r="Q945" s="779"/>
      <c r="R945" s="691">
        <f t="shared" si="116"/>
        <v>55017177.060220815</v>
      </c>
      <c r="S945" s="692">
        <f t="shared" si="117"/>
        <v>112082875</v>
      </c>
      <c r="T945" s="693">
        <f t="shared" si="118"/>
        <v>118048663.06022081</v>
      </c>
      <c r="U945" s="1035"/>
      <c r="V945" s="690"/>
      <c r="W945" s="1025"/>
      <c r="X945" s="1030"/>
      <c r="Y945" s="694">
        <f t="shared" si="119"/>
        <v>0</v>
      </c>
      <c r="Z945" s="690"/>
      <c r="AA945" s="690"/>
      <c r="AB945" s="695">
        <f t="shared" si="120"/>
        <v>0</v>
      </c>
      <c r="AC945" s="1035"/>
      <c r="AD945" s="690"/>
      <c r="AE945" s="1025"/>
      <c r="AF945" s="1030"/>
      <c r="AG945" s="690"/>
      <c r="AH945" s="690"/>
      <c r="AI945" s="696">
        <f t="shared" si="121"/>
        <v>112082875</v>
      </c>
      <c r="AJ945" s="697">
        <f t="shared" si="122"/>
        <v>118048663.06022081</v>
      </c>
    </row>
    <row r="946" spans="1:36" s="700" customFormat="1" ht="12.75" customHeight="1">
      <c r="A946" s="772" t="s">
        <v>209</v>
      </c>
      <c r="B946" s="773" t="s">
        <v>392</v>
      </c>
      <c r="C946" s="780" t="s">
        <v>784</v>
      </c>
      <c r="D946" s="780"/>
      <c r="E946" s="775">
        <v>135391</v>
      </c>
      <c r="F946" s="776">
        <v>8</v>
      </c>
      <c r="G946" s="1026">
        <v>19869946</v>
      </c>
      <c r="H946" s="777">
        <v>21755709</v>
      </c>
      <c r="I946" s="1031"/>
      <c r="J946" s="690"/>
      <c r="K946" s="1030"/>
      <c r="L946" s="690"/>
      <c r="M946" s="1033">
        <v>21626151</v>
      </c>
      <c r="N946" s="1030"/>
      <c r="O946" s="692">
        <f t="shared" si="115"/>
        <v>21626151</v>
      </c>
      <c r="P946" s="783">
        <v>20920528.895805813</v>
      </c>
      <c r="Q946" s="779"/>
      <c r="R946" s="691">
        <f t="shared" si="116"/>
        <v>20920528.895805813</v>
      </c>
      <c r="S946" s="692">
        <f t="shared" si="117"/>
        <v>41496097</v>
      </c>
      <c r="T946" s="693">
        <f t="shared" si="118"/>
        <v>42676237.895805813</v>
      </c>
      <c r="U946" s="1035"/>
      <c r="V946" s="690"/>
      <c r="W946" s="1025"/>
      <c r="X946" s="1030"/>
      <c r="Y946" s="694">
        <f t="shared" si="119"/>
        <v>0</v>
      </c>
      <c r="Z946" s="690"/>
      <c r="AA946" s="690"/>
      <c r="AB946" s="695">
        <f t="shared" si="120"/>
        <v>0</v>
      </c>
      <c r="AC946" s="1035"/>
      <c r="AD946" s="690"/>
      <c r="AE946" s="1025"/>
      <c r="AF946" s="1030"/>
      <c r="AG946" s="690"/>
      <c r="AH946" s="690"/>
      <c r="AI946" s="696">
        <f t="shared" si="121"/>
        <v>41496097</v>
      </c>
      <c r="AJ946" s="697">
        <f t="shared" si="122"/>
        <v>42676237.895805813</v>
      </c>
    </row>
    <row r="947" spans="1:36" s="700" customFormat="1" ht="12.75" customHeight="1">
      <c r="A947" s="772" t="s">
        <v>209</v>
      </c>
      <c r="B947" s="773" t="s">
        <v>392</v>
      </c>
      <c r="C947" s="774" t="s">
        <v>785</v>
      </c>
      <c r="D947" s="774"/>
      <c r="E947" s="775">
        <v>137759</v>
      </c>
      <c r="F947" s="776">
        <v>8</v>
      </c>
      <c r="G947" s="1026">
        <v>27132764</v>
      </c>
      <c r="H947" s="777">
        <v>29316900</v>
      </c>
      <c r="I947" s="1031"/>
      <c r="J947" s="690"/>
      <c r="K947" s="1030"/>
      <c r="L947" s="690"/>
      <c r="M947" s="1033">
        <v>23904997</v>
      </c>
      <c r="N947" s="1030"/>
      <c r="O947" s="692">
        <f t="shared" si="115"/>
        <v>23904997</v>
      </c>
      <c r="P947" s="783">
        <v>28174466.33506719</v>
      </c>
      <c r="Q947" s="779"/>
      <c r="R947" s="691">
        <f t="shared" si="116"/>
        <v>28174466.33506719</v>
      </c>
      <c r="S947" s="692">
        <f t="shared" si="117"/>
        <v>51037761</v>
      </c>
      <c r="T947" s="693">
        <f t="shared" si="118"/>
        <v>57491366.33506719</v>
      </c>
      <c r="U947" s="1035"/>
      <c r="V947" s="690"/>
      <c r="W947" s="1025"/>
      <c r="X947" s="1030"/>
      <c r="Y947" s="694">
        <f t="shared" si="119"/>
        <v>0</v>
      </c>
      <c r="Z947" s="690"/>
      <c r="AA947" s="690"/>
      <c r="AB947" s="695">
        <f t="shared" si="120"/>
        <v>0</v>
      </c>
      <c r="AC947" s="1035"/>
      <c r="AD947" s="690"/>
      <c r="AE947" s="1025"/>
      <c r="AF947" s="1030"/>
      <c r="AG947" s="690"/>
      <c r="AH947" s="690"/>
      <c r="AI947" s="696">
        <f t="shared" si="121"/>
        <v>51037761</v>
      </c>
      <c r="AJ947" s="697">
        <f t="shared" si="122"/>
        <v>57491366.33506719</v>
      </c>
    </row>
    <row r="948" spans="1:36" s="700" customFormat="1" ht="12.75" customHeight="1">
      <c r="A948" s="772" t="s">
        <v>209</v>
      </c>
      <c r="B948" s="773" t="s">
        <v>392</v>
      </c>
      <c r="C948" s="774" t="s">
        <v>786</v>
      </c>
      <c r="D948" s="774"/>
      <c r="E948" s="775">
        <v>138187</v>
      </c>
      <c r="F948" s="776">
        <v>8</v>
      </c>
      <c r="G948" s="1026">
        <v>57656855</v>
      </c>
      <c r="H948" s="777">
        <v>61937606</v>
      </c>
      <c r="I948" s="1031"/>
      <c r="J948" s="690"/>
      <c r="K948" s="1030"/>
      <c r="L948" s="690"/>
      <c r="M948" s="1033">
        <v>70010417</v>
      </c>
      <c r="N948" s="1030"/>
      <c r="O948" s="692">
        <f t="shared" si="115"/>
        <v>70010417</v>
      </c>
      <c r="P948" s="783">
        <v>73854720.147220448</v>
      </c>
      <c r="Q948" s="779"/>
      <c r="R948" s="691">
        <f t="shared" si="116"/>
        <v>73854720.147220448</v>
      </c>
      <c r="S948" s="692">
        <f t="shared" si="117"/>
        <v>127667272</v>
      </c>
      <c r="T948" s="693">
        <f t="shared" si="118"/>
        <v>135792326.14722043</v>
      </c>
      <c r="U948" s="1035"/>
      <c r="V948" s="690"/>
      <c r="W948" s="1025"/>
      <c r="X948" s="1030"/>
      <c r="Y948" s="694">
        <f t="shared" si="119"/>
        <v>0</v>
      </c>
      <c r="Z948" s="690"/>
      <c r="AA948" s="690"/>
      <c r="AB948" s="695">
        <f t="shared" si="120"/>
        <v>0</v>
      </c>
      <c r="AC948" s="1035"/>
      <c r="AD948" s="690"/>
      <c r="AE948" s="1025"/>
      <c r="AF948" s="1030"/>
      <c r="AG948" s="690"/>
      <c r="AH948" s="690"/>
      <c r="AI948" s="696">
        <f t="shared" si="121"/>
        <v>127667272</v>
      </c>
      <c r="AJ948" s="697">
        <f t="shared" si="122"/>
        <v>135792326.14722043</v>
      </c>
    </row>
    <row r="949" spans="1:36" s="700" customFormat="1" ht="12.75" customHeight="1">
      <c r="A949" s="772" t="s">
        <v>209</v>
      </c>
      <c r="B949" s="773" t="s">
        <v>409</v>
      </c>
      <c r="C949" s="992" t="s">
        <v>157</v>
      </c>
      <c r="D949" s="774"/>
      <c r="E949" s="775"/>
      <c r="F949" s="776"/>
      <c r="G949" s="1026"/>
      <c r="H949" s="777"/>
      <c r="I949" s="1031"/>
      <c r="J949" s="690"/>
      <c r="K949" s="1030"/>
      <c r="L949" s="690"/>
      <c r="M949" s="1033"/>
      <c r="N949" s="1030"/>
      <c r="O949" s="692">
        <f t="shared" si="115"/>
        <v>0</v>
      </c>
      <c r="P949" s="783"/>
      <c r="Q949" s="779"/>
      <c r="R949" s="691">
        <f t="shared" si="116"/>
        <v>0</v>
      </c>
      <c r="S949" s="692">
        <f t="shared" si="117"/>
        <v>0</v>
      </c>
      <c r="T949" s="693">
        <f t="shared" si="118"/>
        <v>0</v>
      </c>
      <c r="U949" s="1035"/>
      <c r="V949" s="690"/>
      <c r="W949" s="1025"/>
      <c r="X949" s="1030"/>
      <c r="Y949" s="694">
        <f t="shared" si="119"/>
        <v>0</v>
      </c>
      <c r="Z949" s="690"/>
      <c r="AA949" s="690"/>
      <c r="AB949" s="695">
        <f t="shared" si="120"/>
        <v>0</v>
      </c>
      <c r="AC949" s="1035"/>
      <c r="AD949" s="690"/>
      <c r="AE949" s="1025"/>
      <c r="AF949" s="1030"/>
      <c r="AG949" s="690"/>
      <c r="AH949" s="690"/>
      <c r="AI949" s="696">
        <f t="shared" si="121"/>
        <v>0</v>
      </c>
      <c r="AJ949" s="697">
        <f t="shared" si="122"/>
        <v>0</v>
      </c>
    </row>
    <row r="950" spans="1:36" s="700" customFormat="1" ht="12.75" customHeight="1">
      <c r="A950" s="772" t="s">
        <v>209</v>
      </c>
      <c r="B950" s="773" t="s">
        <v>411</v>
      </c>
      <c r="C950" s="989" t="s">
        <v>787</v>
      </c>
      <c r="D950" s="785"/>
      <c r="E950" s="786"/>
      <c r="F950" s="776"/>
      <c r="G950" s="1027"/>
      <c r="H950" s="787"/>
      <c r="I950" s="1031"/>
      <c r="J950" s="690"/>
      <c r="K950" s="1030"/>
      <c r="L950" s="690"/>
      <c r="M950" s="1025"/>
      <c r="N950" s="1030"/>
      <c r="O950" s="692">
        <f t="shared" si="115"/>
        <v>0</v>
      </c>
      <c r="P950" s="690"/>
      <c r="Q950" s="690"/>
      <c r="R950" s="691">
        <f t="shared" si="116"/>
        <v>0</v>
      </c>
      <c r="S950" s="692">
        <f t="shared" si="117"/>
        <v>0</v>
      </c>
      <c r="T950" s="693">
        <f t="shared" si="118"/>
        <v>0</v>
      </c>
      <c r="U950" s="1035">
        <v>1938333</v>
      </c>
      <c r="V950" s="788">
        <v>1926838</v>
      </c>
      <c r="W950" s="1025"/>
      <c r="X950" s="1030"/>
      <c r="Y950" s="694">
        <f t="shared" si="119"/>
        <v>0</v>
      </c>
      <c r="Z950" s="690"/>
      <c r="AA950" s="690"/>
      <c r="AB950" s="695">
        <f t="shared" si="120"/>
        <v>0</v>
      </c>
      <c r="AC950" s="1035"/>
      <c r="AD950" s="690"/>
      <c r="AE950" s="1025"/>
      <c r="AF950" s="1030"/>
      <c r="AG950" s="690"/>
      <c r="AH950" s="690"/>
      <c r="AI950" s="696">
        <f t="shared" si="121"/>
        <v>1938333</v>
      </c>
      <c r="AJ950" s="697">
        <f t="shared" si="122"/>
        <v>1926838</v>
      </c>
    </row>
    <row r="951" spans="1:36" s="700" customFormat="1" ht="12.75" customHeight="1">
      <c r="A951" s="789" t="s">
        <v>204</v>
      </c>
      <c r="B951" s="789" t="s">
        <v>392</v>
      </c>
      <c r="C951" s="790" t="s">
        <v>788</v>
      </c>
      <c r="D951" s="790"/>
      <c r="E951" s="791">
        <v>139940</v>
      </c>
      <c r="F951" s="792">
        <v>1</v>
      </c>
      <c r="G951" s="1025">
        <v>175509705</v>
      </c>
      <c r="H951" s="690">
        <v>189437176</v>
      </c>
      <c r="I951" s="1030"/>
      <c r="J951" s="690"/>
      <c r="K951" s="1030"/>
      <c r="L951" s="690"/>
      <c r="M951" s="1025">
        <v>170025080</v>
      </c>
      <c r="N951" s="1030"/>
      <c r="O951" s="692">
        <f t="shared" si="115"/>
        <v>170025080</v>
      </c>
      <c r="P951" s="690">
        <v>200561048</v>
      </c>
      <c r="Q951" s="690"/>
      <c r="R951" s="691">
        <f t="shared" si="116"/>
        <v>200561048</v>
      </c>
      <c r="S951" s="692">
        <f t="shared" si="117"/>
        <v>345534785</v>
      </c>
      <c r="T951" s="693">
        <f t="shared" si="118"/>
        <v>389998224</v>
      </c>
      <c r="U951" s="1035"/>
      <c r="V951" s="690"/>
      <c r="W951" s="1025"/>
      <c r="X951" s="1030"/>
      <c r="Y951" s="694">
        <f t="shared" si="119"/>
        <v>0</v>
      </c>
      <c r="Z951" s="690"/>
      <c r="AA951" s="690"/>
      <c r="AB951" s="695">
        <f t="shared" si="120"/>
        <v>0</v>
      </c>
      <c r="AC951" s="1035"/>
      <c r="AD951" s="690"/>
      <c r="AE951" s="1025"/>
      <c r="AF951" s="1030"/>
      <c r="AG951" s="690"/>
      <c r="AH951" s="690"/>
      <c r="AI951" s="696">
        <f t="shared" si="121"/>
        <v>345534785</v>
      </c>
      <c r="AJ951" s="697">
        <f t="shared" si="122"/>
        <v>389998224</v>
      </c>
    </row>
    <row r="952" spans="1:36" s="700" customFormat="1" ht="12.75" customHeight="1">
      <c r="A952" s="789" t="s">
        <v>204</v>
      </c>
      <c r="B952" s="789" t="s">
        <v>392</v>
      </c>
      <c r="C952" s="790" t="s">
        <v>789</v>
      </c>
      <c r="D952" s="790"/>
      <c r="E952" s="791">
        <v>139959</v>
      </c>
      <c r="F952" s="792">
        <v>1</v>
      </c>
      <c r="G952" s="1153">
        <f>293534839+1070443-13296105</f>
        <v>281309177</v>
      </c>
      <c r="H952" s="818">
        <f>310789985-13118159</f>
        <v>297671826</v>
      </c>
      <c r="I952" s="1030"/>
      <c r="J952" s="690"/>
      <c r="K952" s="1030"/>
      <c r="L952" s="690"/>
      <c r="M952" s="1025">
        <f>244979280-5635224</f>
        <v>239344056</v>
      </c>
      <c r="N952" s="1030"/>
      <c r="O952" s="692">
        <f t="shared" si="115"/>
        <v>239344056</v>
      </c>
      <c r="P952" s="690">
        <f>278530845-6224550</f>
        <v>272306295</v>
      </c>
      <c r="Q952" s="690"/>
      <c r="R952" s="691">
        <f t="shared" si="116"/>
        <v>272306295</v>
      </c>
      <c r="S952" s="692">
        <f t="shared" si="117"/>
        <v>520653233</v>
      </c>
      <c r="T952" s="693">
        <f t="shared" si="118"/>
        <v>569978121</v>
      </c>
      <c r="U952" s="1035"/>
      <c r="V952" s="690"/>
      <c r="W952" s="1025"/>
      <c r="X952" s="1030"/>
      <c r="Y952" s="694">
        <f t="shared" si="119"/>
        <v>0</v>
      </c>
      <c r="Z952" s="690"/>
      <c r="AA952" s="690"/>
      <c r="AB952" s="695">
        <f t="shared" si="120"/>
        <v>0</v>
      </c>
      <c r="AC952" s="1035"/>
      <c r="AD952" s="690"/>
      <c r="AE952" s="1025"/>
      <c r="AF952" s="1030"/>
      <c r="AG952" s="690"/>
      <c r="AH952" s="690"/>
      <c r="AI952" s="696">
        <f t="shared" si="121"/>
        <v>520653233</v>
      </c>
      <c r="AJ952" s="697">
        <f t="shared" si="122"/>
        <v>569978121</v>
      </c>
    </row>
    <row r="953" spans="1:36" s="700" customFormat="1" ht="12.75" customHeight="1">
      <c r="A953" s="789" t="s">
        <v>204</v>
      </c>
      <c r="B953" s="789" t="s">
        <v>408</v>
      </c>
      <c r="C953" s="793" t="s">
        <v>790</v>
      </c>
      <c r="D953" s="793"/>
      <c r="E953" s="791">
        <v>139959</v>
      </c>
      <c r="F953" s="792">
        <v>1</v>
      </c>
      <c r="G953" s="1025"/>
      <c r="H953" s="690"/>
      <c r="I953" s="1030"/>
      <c r="J953" s="690"/>
      <c r="K953" s="1030"/>
      <c r="L953" s="690"/>
      <c r="M953" s="1025"/>
      <c r="N953" s="1030"/>
      <c r="O953" s="692">
        <f t="shared" si="115"/>
        <v>0</v>
      </c>
      <c r="P953" s="690"/>
      <c r="Q953" s="690"/>
      <c r="R953" s="691">
        <f t="shared" si="116"/>
        <v>0</v>
      </c>
      <c r="S953" s="692">
        <f t="shared" si="117"/>
        <v>0</v>
      </c>
      <c r="T953" s="693">
        <f t="shared" si="118"/>
        <v>0</v>
      </c>
      <c r="U953" s="1035"/>
      <c r="V953" s="690"/>
      <c r="W953" s="1025"/>
      <c r="X953" s="1030"/>
      <c r="Y953" s="694">
        <f t="shared" si="119"/>
        <v>0</v>
      </c>
      <c r="Z953" s="690"/>
      <c r="AA953" s="690"/>
      <c r="AB953" s="695">
        <f t="shared" si="120"/>
        <v>0</v>
      </c>
      <c r="AC953" s="1035"/>
      <c r="AD953" s="690"/>
      <c r="AE953" s="1025"/>
      <c r="AF953" s="1030"/>
      <c r="AG953" s="690"/>
      <c r="AH953" s="690"/>
      <c r="AI953" s="696">
        <f t="shared" si="121"/>
        <v>0</v>
      </c>
      <c r="AJ953" s="697">
        <f t="shared" si="122"/>
        <v>0</v>
      </c>
    </row>
    <row r="954" spans="1:36" s="700" customFormat="1" ht="12.75" customHeight="1">
      <c r="A954" s="789" t="s">
        <v>204</v>
      </c>
      <c r="B954" s="789" t="s">
        <v>408</v>
      </c>
      <c r="C954" s="794" t="s">
        <v>791</v>
      </c>
      <c r="D954" s="794"/>
      <c r="E954" s="791">
        <v>139959</v>
      </c>
      <c r="F954" s="792">
        <v>1</v>
      </c>
      <c r="G954" s="1025"/>
      <c r="H954" s="690"/>
      <c r="I954" s="1030"/>
      <c r="J954" s="690"/>
      <c r="K954" s="1030"/>
      <c r="L954" s="690"/>
      <c r="M954" s="1025"/>
      <c r="N954" s="1030"/>
      <c r="O954" s="692">
        <f t="shared" si="115"/>
        <v>0</v>
      </c>
      <c r="P954" s="690"/>
      <c r="Q954" s="690"/>
      <c r="R954" s="691">
        <f t="shared" si="116"/>
        <v>0</v>
      </c>
      <c r="S954" s="692">
        <f t="shared" si="117"/>
        <v>0</v>
      </c>
      <c r="T954" s="693">
        <f t="shared" si="118"/>
        <v>0</v>
      </c>
      <c r="U954" s="1035"/>
      <c r="V954" s="690"/>
      <c r="W954" s="1025"/>
      <c r="X954" s="1030"/>
      <c r="Y954" s="694">
        <f t="shared" si="119"/>
        <v>0</v>
      </c>
      <c r="Z954" s="690"/>
      <c r="AA954" s="690"/>
      <c r="AB954" s="695">
        <f t="shared" si="120"/>
        <v>0</v>
      </c>
      <c r="AC954" s="1035">
        <v>13296105</v>
      </c>
      <c r="AD954" s="690">
        <v>13118159</v>
      </c>
      <c r="AE954" s="1025">
        <v>5635224</v>
      </c>
      <c r="AF954" s="1030"/>
      <c r="AG954" s="690">
        <v>6224550</v>
      </c>
      <c r="AH954" s="690"/>
      <c r="AI954" s="696">
        <f t="shared" si="121"/>
        <v>18931329</v>
      </c>
      <c r="AJ954" s="697">
        <f t="shared" si="122"/>
        <v>19342709</v>
      </c>
    </row>
    <row r="955" spans="1:36" s="700" customFormat="1" ht="12.75" customHeight="1">
      <c r="A955" s="789" t="s">
        <v>204</v>
      </c>
      <c r="B955" s="789" t="s">
        <v>408</v>
      </c>
      <c r="C955" s="794" t="s">
        <v>792</v>
      </c>
      <c r="D955" s="794"/>
      <c r="E955" s="791">
        <v>139959</v>
      </c>
      <c r="F955" s="792">
        <v>1</v>
      </c>
      <c r="G955" s="1025"/>
      <c r="H955" s="690"/>
      <c r="I955" s="1030"/>
      <c r="J955" s="690"/>
      <c r="K955" s="1030"/>
      <c r="L955" s="690"/>
      <c r="M955" s="1025"/>
      <c r="N955" s="1030"/>
      <c r="O955" s="692">
        <f t="shared" si="115"/>
        <v>0</v>
      </c>
      <c r="P955" s="690"/>
      <c r="Q955" s="690"/>
      <c r="R955" s="691">
        <f t="shared" si="116"/>
        <v>0</v>
      </c>
      <c r="S955" s="692">
        <f t="shared" si="117"/>
        <v>0</v>
      </c>
      <c r="T955" s="693">
        <f t="shared" si="118"/>
        <v>0</v>
      </c>
      <c r="U955" s="1035"/>
      <c r="V955" s="690"/>
      <c r="W955" s="1025"/>
      <c r="X955" s="1030"/>
      <c r="Y955" s="694">
        <f t="shared" si="119"/>
        <v>0</v>
      </c>
      <c r="Z955" s="690"/>
      <c r="AA955" s="690"/>
      <c r="AB955" s="695">
        <f t="shared" si="120"/>
        <v>0</v>
      </c>
      <c r="AC955" s="1035">
        <v>483572</v>
      </c>
      <c r="AD955" s="690">
        <v>433774</v>
      </c>
      <c r="AE955" s="1025"/>
      <c r="AF955" s="1030"/>
      <c r="AG955" s="690"/>
      <c r="AH955" s="690"/>
      <c r="AI955" s="696">
        <f t="shared" si="121"/>
        <v>483572</v>
      </c>
      <c r="AJ955" s="697">
        <f t="shared" si="122"/>
        <v>433774</v>
      </c>
    </row>
    <row r="956" spans="1:36" s="700" customFormat="1" ht="12.75" customHeight="1">
      <c r="A956" s="789" t="s">
        <v>204</v>
      </c>
      <c r="B956" s="789" t="s">
        <v>394</v>
      </c>
      <c r="C956" s="793" t="s">
        <v>793</v>
      </c>
      <c r="D956" s="793"/>
      <c r="E956" s="791">
        <v>139959</v>
      </c>
      <c r="F956" s="792">
        <v>1</v>
      </c>
      <c r="G956" s="1025"/>
      <c r="H956" s="690"/>
      <c r="I956" s="1030"/>
      <c r="J956" s="690"/>
      <c r="K956" s="1030"/>
      <c r="L956" s="690"/>
      <c r="M956" s="1025"/>
      <c r="N956" s="1030"/>
      <c r="O956" s="692">
        <f t="shared" si="115"/>
        <v>0</v>
      </c>
      <c r="P956" s="690"/>
      <c r="Q956" s="690"/>
      <c r="R956" s="691">
        <f t="shared" ref="R956:R1019" si="123">SUM(P956:Q956)</f>
        <v>0</v>
      </c>
      <c r="S956" s="692">
        <f t="shared" si="117"/>
        <v>0</v>
      </c>
      <c r="T956" s="693">
        <f t="shared" si="118"/>
        <v>0</v>
      </c>
      <c r="U956" s="1035"/>
      <c r="V956" s="690"/>
      <c r="W956" s="1025"/>
      <c r="X956" s="1030"/>
      <c r="Y956" s="694">
        <f t="shared" si="119"/>
        <v>0</v>
      </c>
      <c r="Z956" s="690"/>
      <c r="AA956" s="690"/>
      <c r="AB956" s="695">
        <f t="shared" si="120"/>
        <v>0</v>
      </c>
      <c r="AC956" s="1035"/>
      <c r="AD956" s="690"/>
      <c r="AE956" s="1025"/>
      <c r="AF956" s="1030"/>
      <c r="AG956" s="690"/>
      <c r="AH956" s="690"/>
      <c r="AI956" s="696">
        <f t="shared" si="121"/>
        <v>0</v>
      </c>
      <c r="AJ956" s="697">
        <f t="shared" si="122"/>
        <v>0</v>
      </c>
    </row>
    <row r="957" spans="1:36" s="700" customFormat="1" ht="12.75" customHeight="1">
      <c r="A957" s="789" t="s">
        <v>204</v>
      </c>
      <c r="B957" s="789" t="s">
        <v>396</v>
      </c>
      <c r="C957" s="793" t="s">
        <v>794</v>
      </c>
      <c r="D957" s="793"/>
      <c r="E957" s="791">
        <v>139959</v>
      </c>
      <c r="F957" s="792">
        <v>1</v>
      </c>
      <c r="G957" s="1025"/>
      <c r="H957" s="690"/>
      <c r="I957" s="1030">
        <v>31668434</v>
      </c>
      <c r="J957" s="690">
        <v>29614855</v>
      </c>
      <c r="K957" s="1030"/>
      <c r="L957" s="690"/>
      <c r="M957" s="1025"/>
      <c r="N957" s="1030"/>
      <c r="O957" s="692">
        <f t="shared" si="115"/>
        <v>0</v>
      </c>
      <c r="P957" s="690"/>
      <c r="Q957" s="690"/>
      <c r="R957" s="691">
        <f t="shared" si="123"/>
        <v>0</v>
      </c>
      <c r="S957" s="692">
        <f t="shared" si="117"/>
        <v>31668434</v>
      </c>
      <c r="T957" s="693">
        <f t="shared" si="118"/>
        <v>29614855</v>
      </c>
      <c r="U957" s="1035"/>
      <c r="V957" s="690"/>
      <c r="W957" s="1025"/>
      <c r="X957" s="1030"/>
      <c r="Y957" s="694">
        <f t="shared" si="119"/>
        <v>0</v>
      </c>
      <c r="Z957" s="690"/>
      <c r="AA957" s="690"/>
      <c r="AB957" s="695">
        <f t="shared" si="120"/>
        <v>0</v>
      </c>
      <c r="AC957" s="1035"/>
      <c r="AD957" s="690"/>
      <c r="AE957" s="1025"/>
      <c r="AF957" s="1030"/>
      <c r="AG957" s="690"/>
      <c r="AH957" s="690"/>
      <c r="AI957" s="696">
        <f t="shared" si="121"/>
        <v>31668434</v>
      </c>
      <c r="AJ957" s="697">
        <f t="shared" si="122"/>
        <v>29614855</v>
      </c>
    </row>
    <row r="958" spans="1:36" s="700" customFormat="1" ht="12.75" customHeight="1">
      <c r="A958" s="789" t="s">
        <v>204</v>
      </c>
      <c r="B958" s="789" t="s">
        <v>397</v>
      </c>
      <c r="C958" s="793" t="s">
        <v>795</v>
      </c>
      <c r="D958" s="793"/>
      <c r="E958" s="791">
        <v>139959</v>
      </c>
      <c r="F958" s="792">
        <v>1</v>
      </c>
      <c r="G958" s="1025"/>
      <c r="H958" s="690"/>
      <c r="I958" s="1030">
        <v>37743953</v>
      </c>
      <c r="J958" s="690">
        <v>35212885</v>
      </c>
      <c r="K958" s="1030"/>
      <c r="L958" s="690"/>
      <c r="M958" s="1025"/>
      <c r="N958" s="1030"/>
      <c r="O958" s="692">
        <f t="shared" si="115"/>
        <v>0</v>
      </c>
      <c r="P958" s="690"/>
      <c r="Q958" s="690"/>
      <c r="R958" s="691">
        <f t="shared" si="123"/>
        <v>0</v>
      </c>
      <c r="S958" s="692">
        <f t="shared" si="117"/>
        <v>37743953</v>
      </c>
      <c r="T958" s="693">
        <f t="shared" si="118"/>
        <v>35212885</v>
      </c>
      <c r="U958" s="1035"/>
      <c r="V958" s="690"/>
      <c r="W958" s="1025"/>
      <c r="X958" s="1030"/>
      <c r="Y958" s="694">
        <f t="shared" si="119"/>
        <v>0</v>
      </c>
      <c r="Z958" s="690"/>
      <c r="AA958" s="690"/>
      <c r="AB958" s="695">
        <f t="shared" si="120"/>
        <v>0</v>
      </c>
      <c r="AC958" s="1035"/>
      <c r="AD958" s="690"/>
      <c r="AE958" s="1025"/>
      <c r="AF958" s="1030"/>
      <c r="AG958" s="690"/>
      <c r="AH958" s="690"/>
      <c r="AI958" s="696">
        <f t="shared" si="121"/>
        <v>37743953</v>
      </c>
      <c r="AJ958" s="697">
        <f t="shared" si="122"/>
        <v>35212885</v>
      </c>
    </row>
    <row r="959" spans="1:36" s="700" customFormat="1" ht="12.75" customHeight="1">
      <c r="A959" s="789" t="s">
        <v>204</v>
      </c>
      <c r="B959" s="789" t="s">
        <v>399</v>
      </c>
      <c r="C959" s="793" t="s">
        <v>796</v>
      </c>
      <c r="D959" s="793"/>
      <c r="E959" s="791">
        <v>139959</v>
      </c>
      <c r="F959" s="792">
        <v>1</v>
      </c>
      <c r="G959" s="1025"/>
      <c r="H959" s="690"/>
      <c r="I959" s="1030"/>
      <c r="J959" s="690"/>
      <c r="K959" s="1030"/>
      <c r="L959" s="690"/>
      <c r="M959" s="1025"/>
      <c r="N959" s="1030"/>
      <c r="O959" s="692">
        <f t="shared" si="115"/>
        <v>0</v>
      </c>
      <c r="P959" s="690"/>
      <c r="Q959" s="690"/>
      <c r="R959" s="691">
        <f t="shared" si="123"/>
        <v>0</v>
      </c>
      <c r="S959" s="692">
        <f t="shared" si="117"/>
        <v>0</v>
      </c>
      <c r="T959" s="693">
        <f t="shared" si="118"/>
        <v>0</v>
      </c>
      <c r="U959" s="1035"/>
      <c r="V959" s="690"/>
      <c r="W959" s="1025"/>
      <c r="X959" s="1030"/>
      <c r="Y959" s="694">
        <f t="shared" si="119"/>
        <v>0</v>
      </c>
      <c r="Z959" s="690"/>
      <c r="AA959" s="690"/>
      <c r="AB959" s="695">
        <f t="shared" si="120"/>
        <v>0</v>
      </c>
      <c r="AC959" s="1035"/>
      <c r="AD959" s="690"/>
      <c r="AE959" s="1025"/>
      <c r="AF959" s="1030"/>
      <c r="AG959" s="690"/>
      <c r="AH959" s="690"/>
      <c r="AI959" s="696">
        <f t="shared" si="121"/>
        <v>0</v>
      </c>
      <c r="AJ959" s="697">
        <f t="shared" si="122"/>
        <v>0</v>
      </c>
    </row>
    <row r="960" spans="1:36" s="700" customFormat="1" ht="12.75" customHeight="1">
      <c r="A960" s="789" t="s">
        <v>204</v>
      </c>
      <c r="B960" s="789" t="s">
        <v>399</v>
      </c>
      <c r="C960" s="794" t="s">
        <v>797</v>
      </c>
      <c r="D960" s="794"/>
      <c r="E960" s="791">
        <v>139959</v>
      </c>
      <c r="F960" s="792">
        <v>1</v>
      </c>
      <c r="G960" s="1025"/>
      <c r="H960" s="690"/>
      <c r="I960" s="1030">
        <v>1323628</v>
      </c>
      <c r="J960" s="690">
        <v>1218201</v>
      </c>
      <c r="K960" s="1030"/>
      <c r="L960" s="690"/>
      <c r="M960" s="1025"/>
      <c r="N960" s="1030"/>
      <c r="O960" s="692">
        <f t="shared" si="115"/>
        <v>0</v>
      </c>
      <c r="P960" s="690"/>
      <c r="Q960" s="690"/>
      <c r="R960" s="691">
        <f t="shared" si="123"/>
        <v>0</v>
      </c>
      <c r="S960" s="692">
        <f t="shared" si="117"/>
        <v>1323628</v>
      </c>
      <c r="T960" s="693">
        <f t="shared" si="118"/>
        <v>1218201</v>
      </c>
      <c r="U960" s="1035"/>
      <c r="V960" s="690"/>
      <c r="W960" s="1025"/>
      <c r="X960" s="1030"/>
      <c r="Y960" s="694">
        <f t="shared" si="119"/>
        <v>0</v>
      </c>
      <c r="Z960" s="690"/>
      <c r="AA960" s="690"/>
      <c r="AB960" s="695">
        <f t="shared" si="120"/>
        <v>0</v>
      </c>
      <c r="AC960" s="1035"/>
      <c r="AD960" s="690"/>
      <c r="AE960" s="1025"/>
      <c r="AF960" s="1030"/>
      <c r="AG960" s="690"/>
      <c r="AH960" s="690"/>
      <c r="AI960" s="696">
        <f t="shared" si="121"/>
        <v>1323628</v>
      </c>
      <c r="AJ960" s="697">
        <f t="shared" si="122"/>
        <v>1218201</v>
      </c>
    </row>
    <row r="961" spans="1:36" s="700" customFormat="1" ht="12.75" customHeight="1">
      <c r="A961" s="789" t="s">
        <v>204</v>
      </c>
      <c r="B961" s="789" t="s">
        <v>399</v>
      </c>
      <c r="C961" s="794" t="s">
        <v>798</v>
      </c>
      <c r="D961" s="794"/>
      <c r="E961" s="791">
        <v>139959</v>
      </c>
      <c r="F961" s="792">
        <v>1</v>
      </c>
      <c r="G961" s="1025"/>
      <c r="H961" s="690"/>
      <c r="I961" s="1030">
        <v>2858730</v>
      </c>
      <c r="J961" s="690">
        <v>2653432</v>
      </c>
      <c r="K961" s="1030"/>
      <c r="L961" s="690"/>
      <c r="M961" s="1025"/>
      <c r="N961" s="1030"/>
      <c r="O961" s="692">
        <f t="shared" si="115"/>
        <v>0</v>
      </c>
      <c r="P961" s="690"/>
      <c r="Q961" s="690"/>
      <c r="R961" s="691">
        <f t="shared" si="123"/>
        <v>0</v>
      </c>
      <c r="S961" s="692">
        <f t="shared" si="117"/>
        <v>2858730</v>
      </c>
      <c r="T961" s="693">
        <f t="shared" si="118"/>
        <v>2653432</v>
      </c>
      <c r="U961" s="1035"/>
      <c r="V961" s="690"/>
      <c r="W961" s="1025"/>
      <c r="X961" s="1030"/>
      <c r="Y961" s="694">
        <f t="shared" si="119"/>
        <v>0</v>
      </c>
      <c r="Z961" s="690"/>
      <c r="AA961" s="690"/>
      <c r="AB961" s="695">
        <f t="shared" si="120"/>
        <v>0</v>
      </c>
      <c r="AC961" s="1035"/>
      <c r="AD961" s="690"/>
      <c r="AE961" s="1025"/>
      <c r="AF961" s="1030"/>
      <c r="AG961" s="690"/>
      <c r="AH961" s="690"/>
      <c r="AI961" s="696">
        <f t="shared" si="121"/>
        <v>2858730</v>
      </c>
      <c r="AJ961" s="697">
        <f t="shared" si="122"/>
        <v>2653432</v>
      </c>
    </row>
    <row r="962" spans="1:36" s="700" customFormat="1" ht="12.75" customHeight="1">
      <c r="A962" s="789" t="s">
        <v>204</v>
      </c>
      <c r="B962" s="789" t="s">
        <v>399</v>
      </c>
      <c r="C962" s="794" t="s">
        <v>799</v>
      </c>
      <c r="D962" s="794"/>
      <c r="E962" s="791">
        <v>139959</v>
      </c>
      <c r="F962" s="792">
        <v>1</v>
      </c>
      <c r="G962" s="1025"/>
      <c r="H962" s="690"/>
      <c r="I962" s="1030">
        <v>808304</v>
      </c>
      <c r="J962" s="690">
        <v>749746</v>
      </c>
      <c r="K962" s="1030"/>
      <c r="L962" s="690"/>
      <c r="M962" s="1025"/>
      <c r="N962" s="1030"/>
      <c r="O962" s="692">
        <f t="shared" si="115"/>
        <v>0</v>
      </c>
      <c r="P962" s="690"/>
      <c r="Q962" s="690"/>
      <c r="R962" s="691">
        <f t="shared" si="123"/>
        <v>0</v>
      </c>
      <c r="S962" s="692">
        <f t="shared" si="117"/>
        <v>808304</v>
      </c>
      <c r="T962" s="693">
        <f t="shared" si="118"/>
        <v>749746</v>
      </c>
      <c r="U962" s="1035"/>
      <c r="V962" s="690"/>
      <c r="W962" s="1025"/>
      <c r="X962" s="1030"/>
      <c r="Y962" s="694">
        <f t="shared" si="119"/>
        <v>0</v>
      </c>
      <c r="Z962" s="690"/>
      <c r="AA962" s="690"/>
      <c r="AB962" s="695">
        <f t="shared" si="120"/>
        <v>0</v>
      </c>
      <c r="AC962" s="1035"/>
      <c r="AD962" s="690"/>
      <c r="AE962" s="1025"/>
      <c r="AF962" s="1030"/>
      <c r="AG962" s="690"/>
      <c r="AH962" s="690"/>
      <c r="AI962" s="696">
        <f t="shared" si="121"/>
        <v>808304</v>
      </c>
      <c r="AJ962" s="697">
        <f t="shared" si="122"/>
        <v>749746</v>
      </c>
    </row>
    <row r="963" spans="1:36" s="700" customFormat="1" ht="12.75" customHeight="1">
      <c r="A963" s="789" t="s">
        <v>204</v>
      </c>
      <c r="B963" s="789" t="s">
        <v>399</v>
      </c>
      <c r="C963" s="794" t="s">
        <v>800</v>
      </c>
      <c r="D963" s="794"/>
      <c r="E963" s="791">
        <v>139959</v>
      </c>
      <c r="F963" s="792">
        <v>1</v>
      </c>
      <c r="G963" s="1025"/>
      <c r="H963" s="690"/>
      <c r="I963" s="1030">
        <f>2822644+578909</f>
        <v>3401553</v>
      </c>
      <c r="J963" s="690">
        <f>535535+2633323</f>
        <v>3168858</v>
      </c>
      <c r="K963" s="1030"/>
      <c r="L963" s="690"/>
      <c r="M963" s="1025"/>
      <c r="N963" s="1030"/>
      <c r="O963" s="692">
        <f t="shared" si="115"/>
        <v>0</v>
      </c>
      <c r="P963" s="690"/>
      <c r="Q963" s="690"/>
      <c r="R963" s="691">
        <f t="shared" si="123"/>
        <v>0</v>
      </c>
      <c r="S963" s="692">
        <f t="shared" si="117"/>
        <v>3401553</v>
      </c>
      <c r="T963" s="693">
        <f t="shared" si="118"/>
        <v>3168858</v>
      </c>
      <c r="U963" s="1035"/>
      <c r="V963" s="690"/>
      <c r="W963" s="1025"/>
      <c r="X963" s="1030"/>
      <c r="Y963" s="694">
        <f t="shared" si="119"/>
        <v>0</v>
      </c>
      <c r="Z963" s="690"/>
      <c r="AA963" s="690"/>
      <c r="AB963" s="695">
        <f t="shared" si="120"/>
        <v>0</v>
      </c>
      <c r="AC963" s="1035"/>
      <c r="AD963" s="690"/>
      <c r="AE963" s="1025"/>
      <c r="AF963" s="1030"/>
      <c r="AG963" s="690"/>
      <c r="AH963" s="690"/>
      <c r="AI963" s="696">
        <f t="shared" si="121"/>
        <v>3401553</v>
      </c>
      <c r="AJ963" s="697">
        <f t="shared" si="122"/>
        <v>3168858</v>
      </c>
    </row>
    <row r="964" spans="1:36" s="700" customFormat="1" ht="12.75" customHeight="1">
      <c r="A964" s="789" t="s">
        <v>204</v>
      </c>
      <c r="B964" s="789" t="s">
        <v>392</v>
      </c>
      <c r="C964" s="790" t="s">
        <v>801</v>
      </c>
      <c r="D964" s="790"/>
      <c r="E964" s="791">
        <v>139755</v>
      </c>
      <c r="F964" s="792">
        <v>2</v>
      </c>
      <c r="G964" s="1025">
        <v>192906840</v>
      </c>
      <c r="H964" s="690">
        <f>207515816+993537</f>
        <v>208509353</v>
      </c>
      <c r="I964" s="1030"/>
      <c r="J964" s="690"/>
      <c r="K964" s="1030"/>
      <c r="L964" s="690"/>
      <c r="M964" s="1025">
        <v>205250723</v>
      </c>
      <c r="N964" s="1030"/>
      <c r="O964" s="692">
        <f t="shared" si="115"/>
        <v>205250723</v>
      </c>
      <c r="P964" s="690">
        <v>236973640</v>
      </c>
      <c r="Q964" s="690"/>
      <c r="R964" s="691">
        <f t="shared" si="123"/>
        <v>236973640</v>
      </c>
      <c r="S964" s="692">
        <f t="shared" si="117"/>
        <v>398157563</v>
      </c>
      <c r="T964" s="693">
        <f t="shared" si="118"/>
        <v>445482993</v>
      </c>
      <c r="U964" s="1035"/>
      <c r="V964" s="690"/>
      <c r="W964" s="1025"/>
      <c r="X964" s="1030"/>
      <c r="Y964" s="694">
        <f t="shared" si="119"/>
        <v>0</v>
      </c>
      <c r="Z964" s="690"/>
      <c r="AA964" s="690"/>
      <c r="AB964" s="695">
        <f t="shared" si="120"/>
        <v>0</v>
      </c>
      <c r="AC964" s="1035"/>
      <c r="AD964" s="690"/>
      <c r="AE964" s="1025"/>
      <c r="AF964" s="1030"/>
      <c r="AG964" s="690"/>
      <c r="AH964" s="690"/>
      <c r="AI964" s="696">
        <f t="shared" si="121"/>
        <v>398157563</v>
      </c>
      <c r="AJ964" s="697">
        <f t="shared" si="122"/>
        <v>445482993</v>
      </c>
    </row>
    <row r="965" spans="1:36" s="700" customFormat="1" ht="12.75" customHeight="1">
      <c r="A965" s="789" t="s">
        <v>204</v>
      </c>
      <c r="B965" s="789" t="s">
        <v>394</v>
      </c>
      <c r="C965" s="793" t="s">
        <v>793</v>
      </c>
      <c r="D965" s="793"/>
      <c r="E965" s="791">
        <v>139755</v>
      </c>
      <c r="F965" s="792">
        <v>2</v>
      </c>
      <c r="G965" s="1025"/>
      <c r="H965" s="690"/>
      <c r="I965" s="1030"/>
      <c r="J965" s="690"/>
      <c r="K965" s="1030"/>
      <c r="L965" s="690"/>
      <c r="M965" s="1025"/>
      <c r="N965" s="1030"/>
      <c r="O965" s="692">
        <f t="shared" si="115"/>
        <v>0</v>
      </c>
      <c r="P965" s="690"/>
      <c r="Q965" s="690"/>
      <c r="R965" s="691">
        <f t="shared" si="123"/>
        <v>0</v>
      </c>
      <c r="S965" s="692">
        <f t="shared" si="117"/>
        <v>0</v>
      </c>
      <c r="T965" s="693">
        <f t="shared" si="118"/>
        <v>0</v>
      </c>
      <c r="U965" s="1035"/>
      <c r="V965" s="690"/>
      <c r="W965" s="1025"/>
      <c r="X965" s="1030"/>
      <c r="Y965" s="694">
        <f t="shared" si="119"/>
        <v>0</v>
      </c>
      <c r="Z965" s="690"/>
      <c r="AA965" s="690"/>
      <c r="AB965" s="695">
        <f t="shared" si="120"/>
        <v>0</v>
      </c>
      <c r="AC965" s="1035"/>
      <c r="AD965" s="690"/>
      <c r="AE965" s="1025"/>
      <c r="AF965" s="1030"/>
      <c r="AG965" s="690"/>
      <c r="AH965" s="690"/>
      <c r="AI965" s="696">
        <f t="shared" si="121"/>
        <v>0</v>
      </c>
      <c r="AJ965" s="697">
        <f t="shared" si="122"/>
        <v>0</v>
      </c>
    </row>
    <row r="966" spans="1:36" s="700" customFormat="1" ht="12.75" customHeight="1">
      <c r="A966" s="789" t="s">
        <v>204</v>
      </c>
      <c r="B966" s="789" t="s">
        <v>394</v>
      </c>
      <c r="C966" s="794" t="s">
        <v>802</v>
      </c>
      <c r="D966" s="794"/>
      <c r="E966" s="791">
        <v>139755</v>
      </c>
      <c r="F966" s="792">
        <v>2</v>
      </c>
      <c r="G966" s="1025"/>
      <c r="H966" s="690"/>
      <c r="I966" s="1030">
        <v>8415436</v>
      </c>
      <c r="J966" s="690">
        <v>7808944</v>
      </c>
      <c r="K966" s="1030"/>
      <c r="L966" s="690"/>
      <c r="M966" s="1025"/>
      <c r="N966" s="1030"/>
      <c r="O966" s="692">
        <f t="shared" si="115"/>
        <v>0</v>
      </c>
      <c r="P966" s="690"/>
      <c r="Q966" s="690"/>
      <c r="R966" s="691">
        <f t="shared" si="123"/>
        <v>0</v>
      </c>
      <c r="S966" s="692">
        <f t="shared" si="117"/>
        <v>8415436</v>
      </c>
      <c r="T966" s="693">
        <f t="shared" si="118"/>
        <v>7808944</v>
      </c>
      <c r="U966" s="1035"/>
      <c r="V966" s="690"/>
      <c r="W966" s="1025"/>
      <c r="X966" s="1030"/>
      <c r="Y966" s="694">
        <f t="shared" si="119"/>
        <v>0</v>
      </c>
      <c r="Z966" s="690"/>
      <c r="AA966" s="690"/>
      <c r="AB966" s="695">
        <f t="shared" si="120"/>
        <v>0</v>
      </c>
      <c r="AC966" s="1035"/>
      <c r="AD966" s="690"/>
      <c r="AE966" s="1025"/>
      <c r="AF966" s="1030"/>
      <c r="AG966" s="690"/>
      <c r="AH966" s="690"/>
      <c r="AI966" s="696">
        <f t="shared" si="121"/>
        <v>8415436</v>
      </c>
      <c r="AJ966" s="697">
        <f t="shared" si="122"/>
        <v>7808944</v>
      </c>
    </row>
    <row r="967" spans="1:36" s="700" customFormat="1" ht="12.75" customHeight="1">
      <c r="A967" s="789" t="s">
        <v>204</v>
      </c>
      <c r="B967" s="789" t="s">
        <v>399</v>
      </c>
      <c r="C967" s="793" t="s">
        <v>796</v>
      </c>
      <c r="D967" s="793"/>
      <c r="E967" s="791">
        <v>139755</v>
      </c>
      <c r="F967" s="792">
        <v>2</v>
      </c>
      <c r="G967" s="1025"/>
      <c r="H967" s="690"/>
      <c r="I967" s="1030"/>
      <c r="J967" s="690"/>
      <c r="K967" s="1030"/>
      <c r="L967" s="690"/>
      <c r="M967" s="1025"/>
      <c r="N967" s="1030"/>
      <c r="O967" s="692">
        <f t="shared" si="115"/>
        <v>0</v>
      </c>
      <c r="P967" s="690"/>
      <c r="Q967" s="690"/>
      <c r="R967" s="691">
        <f t="shared" si="123"/>
        <v>0</v>
      </c>
      <c r="S967" s="692">
        <f t="shared" si="117"/>
        <v>0</v>
      </c>
      <c r="T967" s="693">
        <f t="shared" si="118"/>
        <v>0</v>
      </c>
      <c r="U967" s="1035"/>
      <c r="V967" s="690"/>
      <c r="W967" s="1025"/>
      <c r="X967" s="1030"/>
      <c r="Y967" s="694">
        <f t="shared" si="119"/>
        <v>0</v>
      </c>
      <c r="Z967" s="690"/>
      <c r="AA967" s="690"/>
      <c r="AB967" s="695">
        <f t="shared" si="120"/>
        <v>0</v>
      </c>
      <c r="AC967" s="1035"/>
      <c r="AD967" s="690"/>
      <c r="AE967" s="1025"/>
      <c r="AF967" s="1030"/>
      <c r="AG967" s="690"/>
      <c r="AH967" s="690"/>
      <c r="AI967" s="696">
        <f t="shared" si="121"/>
        <v>0</v>
      </c>
      <c r="AJ967" s="697">
        <f t="shared" si="122"/>
        <v>0</v>
      </c>
    </row>
    <row r="968" spans="1:36" s="700" customFormat="1" ht="12.75" customHeight="1">
      <c r="A968" s="789" t="s">
        <v>204</v>
      </c>
      <c r="B968" s="789" t="s">
        <v>398</v>
      </c>
      <c r="C968" s="793" t="s">
        <v>803</v>
      </c>
      <c r="D968" s="793"/>
      <c r="E968" s="791">
        <v>139755</v>
      </c>
      <c r="F968" s="792">
        <v>2</v>
      </c>
      <c r="G968" s="1025"/>
      <c r="H968" s="690"/>
      <c r="I968" s="1030">
        <v>6391518</v>
      </c>
      <c r="J968" s="690">
        <v>5866807</v>
      </c>
      <c r="K968" s="1030"/>
      <c r="L968" s="690"/>
      <c r="M968" s="1025"/>
      <c r="N968" s="1030"/>
      <c r="O968" s="692">
        <f t="shared" si="115"/>
        <v>0</v>
      </c>
      <c r="P968" s="690"/>
      <c r="Q968" s="690"/>
      <c r="R968" s="691">
        <f t="shared" si="123"/>
        <v>0</v>
      </c>
      <c r="S968" s="692">
        <f t="shared" si="117"/>
        <v>6391518</v>
      </c>
      <c r="T968" s="693">
        <f t="shared" si="118"/>
        <v>5866807</v>
      </c>
      <c r="U968" s="1035"/>
      <c r="V968" s="690"/>
      <c r="W968" s="1025"/>
      <c r="X968" s="1030"/>
      <c r="Y968" s="694">
        <f t="shared" si="119"/>
        <v>0</v>
      </c>
      <c r="Z968" s="690"/>
      <c r="AA968" s="690"/>
      <c r="AB968" s="695">
        <f t="shared" si="120"/>
        <v>0</v>
      </c>
      <c r="AC968" s="1035"/>
      <c r="AD968" s="690"/>
      <c r="AE968" s="1025"/>
      <c r="AF968" s="1030"/>
      <c r="AG968" s="690"/>
      <c r="AH968" s="690"/>
      <c r="AI968" s="696">
        <f t="shared" si="121"/>
        <v>6391518</v>
      </c>
      <c r="AJ968" s="697">
        <f t="shared" si="122"/>
        <v>5866807</v>
      </c>
    </row>
    <row r="969" spans="1:36" s="700" customFormat="1" ht="12.75" customHeight="1">
      <c r="A969" s="789" t="s">
        <v>204</v>
      </c>
      <c r="B969" s="789" t="s">
        <v>392</v>
      </c>
      <c r="C969" s="790" t="s">
        <v>804</v>
      </c>
      <c r="D969" s="790"/>
      <c r="E969" s="791">
        <v>139931</v>
      </c>
      <c r="F969" s="792">
        <v>3</v>
      </c>
      <c r="G969" s="1025">
        <v>69629279</v>
      </c>
      <c r="H969" s="690">
        <v>76676117</v>
      </c>
      <c r="I969" s="1030"/>
      <c r="J969" s="690" t="s">
        <v>131</v>
      </c>
      <c r="K969" s="1030"/>
      <c r="L969" s="690"/>
      <c r="M969" s="1025">
        <v>79068719</v>
      </c>
      <c r="N969" s="1030"/>
      <c r="O969" s="692">
        <f t="shared" si="115"/>
        <v>79068719</v>
      </c>
      <c r="P969" s="690">
        <v>104452139</v>
      </c>
      <c r="Q969" s="690"/>
      <c r="R969" s="691">
        <f t="shared" si="123"/>
        <v>104452139</v>
      </c>
      <c r="S969" s="692">
        <f t="shared" si="117"/>
        <v>148697998</v>
      </c>
      <c r="T969" s="693">
        <f t="shared" si="118"/>
        <v>181128256</v>
      </c>
      <c r="U969" s="1035"/>
      <c r="V969" s="690"/>
      <c r="W969" s="1025"/>
      <c r="X969" s="1030"/>
      <c r="Y969" s="694">
        <f t="shared" si="119"/>
        <v>0</v>
      </c>
      <c r="Z969" s="690"/>
      <c r="AA969" s="690"/>
      <c r="AB969" s="695">
        <f t="shared" si="120"/>
        <v>0</v>
      </c>
      <c r="AC969" s="1035"/>
      <c r="AD969" s="690"/>
      <c r="AE969" s="1025"/>
      <c r="AF969" s="1030"/>
      <c r="AG969" s="690"/>
      <c r="AH969" s="690"/>
      <c r="AI969" s="696">
        <f t="shared" si="121"/>
        <v>148697998</v>
      </c>
      <c r="AJ969" s="697">
        <f t="shared" si="122"/>
        <v>181128256</v>
      </c>
    </row>
    <row r="970" spans="1:36" s="700" customFormat="1" ht="12.75" customHeight="1">
      <c r="A970" s="789" t="s">
        <v>204</v>
      </c>
      <c r="B970" s="789" t="s">
        <v>392</v>
      </c>
      <c r="C970" s="790" t="s">
        <v>805</v>
      </c>
      <c r="D970" s="790"/>
      <c r="E970" s="791">
        <v>141334</v>
      </c>
      <c r="F970" s="792">
        <v>3</v>
      </c>
      <c r="G970" s="1025">
        <v>38484728</v>
      </c>
      <c r="H970" s="690">
        <v>42993711</v>
      </c>
      <c r="I970" s="1030"/>
      <c r="J970" s="690"/>
      <c r="K970" s="1030"/>
      <c r="L970" s="690"/>
      <c r="M970" s="1025">
        <v>45525843</v>
      </c>
      <c r="N970" s="1030"/>
      <c r="O970" s="692">
        <f t="shared" ref="O970:O971" si="124">SUM(M970:N970)</f>
        <v>45525843</v>
      </c>
      <c r="P970" s="690">
        <v>51641497</v>
      </c>
      <c r="Q970" s="690"/>
      <c r="R970" s="691">
        <f t="shared" si="123"/>
        <v>51641497</v>
      </c>
      <c r="S970" s="692">
        <f t="shared" ref="S970:S1033" si="125">SUM(G970,I970,K970,M970)</f>
        <v>84010571</v>
      </c>
      <c r="T970" s="693">
        <f t="shared" ref="T970:T1033" si="126">SUM(H970,J970,L970,P970)</f>
        <v>94635208</v>
      </c>
      <c r="U970" s="1035"/>
      <c r="V970" s="690"/>
      <c r="W970" s="1025"/>
      <c r="X970" s="1030"/>
      <c r="Y970" s="694">
        <f t="shared" ref="Y970:Y1033" si="127">SUM(W970:X970)</f>
        <v>0</v>
      </c>
      <c r="Z970" s="690"/>
      <c r="AA970" s="690"/>
      <c r="AB970" s="695">
        <f t="shared" ref="AB970:AB1033" si="128">SUM(Z970:AA970)</f>
        <v>0</v>
      </c>
      <c r="AC970" s="1035"/>
      <c r="AD970" s="690"/>
      <c r="AE970" s="1025"/>
      <c r="AF970" s="1030"/>
      <c r="AG970" s="690"/>
      <c r="AH970" s="690"/>
      <c r="AI970" s="696">
        <f t="shared" ref="AI970:AI1033" si="129">SUM(S970,U970,W970,AC970,AE970)</f>
        <v>84010571</v>
      </c>
      <c r="AJ970" s="697">
        <f t="shared" ref="AJ970:AJ1033" si="130">SUM(T970,V970,Z970,AD970,AG970)</f>
        <v>94635208</v>
      </c>
    </row>
    <row r="971" spans="1:36" s="700" customFormat="1" ht="12.75" customHeight="1">
      <c r="A971" s="789" t="s">
        <v>204</v>
      </c>
      <c r="B971" s="789" t="s">
        <v>392</v>
      </c>
      <c r="C971" s="790" t="s">
        <v>806</v>
      </c>
      <c r="D971" s="790"/>
      <c r="E971" s="791">
        <v>141264</v>
      </c>
      <c r="F971" s="792">
        <v>3</v>
      </c>
      <c r="G971" s="1025">
        <v>42130486</v>
      </c>
      <c r="H971" s="690">
        <v>45940783</v>
      </c>
      <c r="I971" s="1030"/>
      <c r="J971" s="690"/>
      <c r="K971" s="1030"/>
      <c r="L971" s="690"/>
      <c r="M971" s="1025">
        <v>49100885</v>
      </c>
      <c r="N971" s="1030"/>
      <c r="O971" s="692">
        <f t="shared" si="124"/>
        <v>49100885</v>
      </c>
      <c r="P971" s="690">
        <v>59290071</v>
      </c>
      <c r="Q971" s="690"/>
      <c r="R971" s="691">
        <f t="shared" si="123"/>
        <v>59290071</v>
      </c>
      <c r="S971" s="692">
        <f t="shared" si="125"/>
        <v>91231371</v>
      </c>
      <c r="T971" s="693">
        <f t="shared" si="126"/>
        <v>105230854</v>
      </c>
      <c r="U971" s="1035"/>
      <c r="V971" s="690"/>
      <c r="W971" s="1025"/>
      <c r="X971" s="1030"/>
      <c r="Y971" s="694">
        <f t="shared" si="127"/>
        <v>0</v>
      </c>
      <c r="Z971" s="690"/>
      <c r="AA971" s="690"/>
      <c r="AB971" s="695">
        <f t="shared" si="128"/>
        <v>0</v>
      </c>
      <c r="AC971" s="1035"/>
      <c r="AD971" s="690"/>
      <c r="AE971" s="1025"/>
      <c r="AF971" s="1030"/>
      <c r="AG971" s="690"/>
      <c r="AH971" s="690"/>
      <c r="AI971" s="696">
        <f t="shared" si="129"/>
        <v>91231371</v>
      </c>
      <c r="AJ971" s="697">
        <f t="shared" si="130"/>
        <v>105230854</v>
      </c>
    </row>
    <row r="972" spans="1:36" s="700" customFormat="1" ht="12.75" customHeight="1">
      <c r="A972" s="789" t="s">
        <v>204</v>
      </c>
      <c r="B972" s="789" t="s">
        <v>392</v>
      </c>
      <c r="C972" s="790" t="s">
        <v>807</v>
      </c>
      <c r="D972" s="790"/>
      <c r="E972" s="791">
        <v>138716</v>
      </c>
      <c r="F972" s="792">
        <v>4</v>
      </c>
      <c r="G972" s="1153">
        <v>17513538</v>
      </c>
      <c r="H972" s="690">
        <v>18930667</v>
      </c>
      <c r="I972" s="1030"/>
      <c r="J972" s="690"/>
      <c r="K972" s="1030"/>
      <c r="L972" s="690"/>
      <c r="M972" s="1025">
        <v>17756843</v>
      </c>
      <c r="N972" s="1030"/>
      <c r="O972" s="692">
        <f t="shared" ref="O972:O1035" si="131">SUM(M972:N972)</f>
        <v>17756843</v>
      </c>
      <c r="P972" s="690">
        <v>21525907</v>
      </c>
      <c r="Q972" s="690"/>
      <c r="R972" s="691">
        <f t="shared" si="123"/>
        <v>21525907</v>
      </c>
      <c r="S972" s="692">
        <f t="shared" si="125"/>
        <v>35270381</v>
      </c>
      <c r="T972" s="693">
        <f t="shared" si="126"/>
        <v>40456574</v>
      </c>
      <c r="U972" s="1035"/>
      <c r="V972" s="690"/>
      <c r="W972" s="1025"/>
      <c r="X972" s="1030"/>
      <c r="Y972" s="694">
        <f t="shared" si="127"/>
        <v>0</v>
      </c>
      <c r="Z972" s="690"/>
      <c r="AA972" s="690"/>
      <c r="AB972" s="695">
        <f t="shared" si="128"/>
        <v>0</v>
      </c>
      <c r="AC972" s="1035"/>
      <c r="AD972" s="690"/>
      <c r="AE972" s="1025"/>
      <c r="AF972" s="1030"/>
      <c r="AG972" s="690"/>
      <c r="AH972" s="690"/>
      <c r="AI972" s="696">
        <f t="shared" si="129"/>
        <v>35270381</v>
      </c>
      <c r="AJ972" s="697">
        <f t="shared" si="130"/>
        <v>40456574</v>
      </c>
    </row>
    <row r="973" spans="1:36" s="700" customFormat="1" ht="12.75" customHeight="1">
      <c r="A973" s="789" t="s">
        <v>204</v>
      </c>
      <c r="B973" s="789" t="s">
        <v>394</v>
      </c>
      <c r="C973" s="793" t="s">
        <v>793</v>
      </c>
      <c r="D973" s="793"/>
      <c r="E973" s="791">
        <v>138716</v>
      </c>
      <c r="F973" s="792">
        <v>4</v>
      </c>
      <c r="G973" s="1025"/>
      <c r="H973" s="690"/>
      <c r="I973" s="1030"/>
      <c r="J973" s="690"/>
      <c r="K973" s="1030"/>
      <c r="L973" s="690"/>
      <c r="M973" s="1025"/>
      <c r="N973" s="1030"/>
      <c r="O973" s="692">
        <f t="shared" si="131"/>
        <v>0</v>
      </c>
      <c r="P973" s="690"/>
      <c r="Q973" s="690"/>
      <c r="R973" s="691">
        <f t="shared" si="123"/>
        <v>0</v>
      </c>
      <c r="S973" s="692">
        <f t="shared" si="125"/>
        <v>0</v>
      </c>
      <c r="T973" s="693">
        <f t="shared" si="126"/>
        <v>0</v>
      </c>
      <c r="U973" s="1035"/>
      <c r="V973" s="690"/>
      <c r="W973" s="1025"/>
      <c r="X973" s="1030"/>
      <c r="Y973" s="694">
        <f t="shared" si="127"/>
        <v>0</v>
      </c>
      <c r="Z973" s="690"/>
      <c r="AA973" s="690"/>
      <c r="AB973" s="695">
        <f t="shared" si="128"/>
        <v>0</v>
      </c>
      <c r="AC973" s="1035"/>
      <c r="AD973" s="690"/>
      <c r="AE973" s="1025"/>
      <c r="AF973" s="1030"/>
      <c r="AG973" s="690"/>
      <c r="AH973" s="690"/>
      <c r="AI973" s="696">
        <f t="shared" si="129"/>
        <v>0</v>
      </c>
      <c r="AJ973" s="697">
        <f t="shared" si="130"/>
        <v>0</v>
      </c>
    </row>
    <row r="974" spans="1:36" s="700" customFormat="1" ht="12.75" customHeight="1">
      <c r="A974" s="789" t="s">
        <v>204</v>
      </c>
      <c r="B974" s="789" t="s">
        <v>392</v>
      </c>
      <c r="C974" s="790" t="s">
        <v>808</v>
      </c>
      <c r="D974" s="790"/>
      <c r="E974" s="791">
        <v>138789</v>
      </c>
      <c r="F974" s="792">
        <v>4</v>
      </c>
      <c r="G974" s="1025">
        <v>25004411</v>
      </c>
      <c r="H974" s="690">
        <v>27780646</v>
      </c>
      <c r="I974" s="1030"/>
      <c r="J974" s="690"/>
      <c r="K974" s="1030"/>
      <c r="L974" s="690"/>
      <c r="M974" s="1025">
        <v>26417005</v>
      </c>
      <c r="N974" s="1030"/>
      <c r="O974" s="692">
        <f t="shared" si="131"/>
        <v>26417005</v>
      </c>
      <c r="P974" s="690">
        <v>31414030</v>
      </c>
      <c r="Q974" s="690"/>
      <c r="R974" s="691">
        <f t="shared" si="123"/>
        <v>31414030</v>
      </c>
      <c r="S974" s="692">
        <f t="shared" si="125"/>
        <v>51421416</v>
      </c>
      <c r="T974" s="693">
        <f t="shared" si="126"/>
        <v>59194676</v>
      </c>
      <c r="U974" s="1035"/>
      <c r="V974" s="690"/>
      <c r="W974" s="1025"/>
      <c r="X974" s="1030"/>
      <c r="Y974" s="694">
        <f t="shared" si="127"/>
        <v>0</v>
      </c>
      <c r="Z974" s="690"/>
      <c r="AA974" s="690"/>
      <c r="AB974" s="695">
        <f t="shared" si="128"/>
        <v>0</v>
      </c>
      <c r="AC974" s="1035"/>
      <c r="AD974" s="690"/>
      <c r="AE974" s="1025"/>
      <c r="AF974" s="1030"/>
      <c r="AG974" s="690"/>
      <c r="AH974" s="690"/>
      <c r="AI974" s="696">
        <f t="shared" si="129"/>
        <v>51421416</v>
      </c>
      <c r="AJ974" s="697">
        <f t="shared" si="130"/>
        <v>59194676</v>
      </c>
    </row>
    <row r="975" spans="1:36" s="700" customFormat="1" ht="12.75" customHeight="1">
      <c r="A975" s="789" t="s">
        <v>204</v>
      </c>
      <c r="B975" s="789" t="s">
        <v>392</v>
      </c>
      <c r="C975" s="790" t="s">
        <v>809</v>
      </c>
      <c r="D975" s="790"/>
      <c r="E975" s="791">
        <v>139366</v>
      </c>
      <c r="F975" s="792">
        <v>4</v>
      </c>
      <c r="G975" s="1025">
        <v>28811321</v>
      </c>
      <c r="H975" s="690">
        <v>31662207</v>
      </c>
      <c r="I975" s="1030"/>
      <c r="J975" s="690"/>
      <c r="K975" s="1030"/>
      <c r="L975" s="690"/>
      <c r="M975" s="1025">
        <v>29862702</v>
      </c>
      <c r="N975" s="1030"/>
      <c r="O975" s="692">
        <f t="shared" si="131"/>
        <v>29862702</v>
      </c>
      <c r="P975" s="690">
        <v>35577955</v>
      </c>
      <c r="Q975" s="690"/>
      <c r="R975" s="691">
        <f t="shared" si="123"/>
        <v>35577955</v>
      </c>
      <c r="S975" s="692">
        <f t="shared" si="125"/>
        <v>58674023</v>
      </c>
      <c r="T975" s="693">
        <f t="shared" si="126"/>
        <v>67240162</v>
      </c>
      <c r="U975" s="1035"/>
      <c r="V975" s="690"/>
      <c r="W975" s="1025"/>
      <c r="X975" s="1030"/>
      <c r="Y975" s="694">
        <f t="shared" si="127"/>
        <v>0</v>
      </c>
      <c r="Z975" s="690"/>
      <c r="AA975" s="690"/>
      <c r="AB975" s="695">
        <f t="shared" si="128"/>
        <v>0</v>
      </c>
      <c r="AC975" s="1035"/>
      <c r="AD975" s="690"/>
      <c r="AE975" s="1025"/>
      <c r="AF975" s="1030"/>
      <c r="AG975" s="690"/>
      <c r="AH975" s="690"/>
      <c r="AI975" s="696">
        <f t="shared" si="129"/>
        <v>58674023</v>
      </c>
      <c r="AJ975" s="697">
        <f t="shared" si="130"/>
        <v>67240162</v>
      </c>
    </row>
    <row r="976" spans="1:36" s="700" customFormat="1" ht="12.75" customHeight="1">
      <c r="A976" s="789" t="s">
        <v>204</v>
      </c>
      <c r="B976" s="789" t="s">
        <v>392</v>
      </c>
      <c r="C976" s="790" t="s">
        <v>810</v>
      </c>
      <c r="D976" s="790"/>
      <c r="E976" s="791">
        <v>139861</v>
      </c>
      <c r="F976" s="792">
        <v>4</v>
      </c>
      <c r="G976" s="1025">
        <v>26423094</v>
      </c>
      <c r="H976" s="818">
        <v>28703565</v>
      </c>
      <c r="I976" s="1030"/>
      <c r="J976" s="690"/>
      <c r="K976" s="1030"/>
      <c r="L976" s="690"/>
      <c r="M976" s="1025">
        <v>33917549</v>
      </c>
      <c r="N976" s="1030"/>
      <c r="O976" s="692">
        <f t="shared" si="131"/>
        <v>33917549</v>
      </c>
      <c r="P976" s="690">
        <v>40549259</v>
      </c>
      <c r="Q976" s="690"/>
      <c r="R976" s="691">
        <f t="shared" si="123"/>
        <v>40549259</v>
      </c>
      <c r="S976" s="692">
        <f t="shared" si="125"/>
        <v>60340643</v>
      </c>
      <c r="T976" s="693">
        <f t="shared" si="126"/>
        <v>69252824</v>
      </c>
      <c r="U976" s="1035"/>
      <c r="V976" s="690"/>
      <c r="W976" s="1025"/>
      <c r="X976" s="1030"/>
      <c r="Y976" s="694">
        <f t="shared" si="127"/>
        <v>0</v>
      </c>
      <c r="Z976" s="690"/>
      <c r="AA976" s="690"/>
      <c r="AB976" s="695">
        <f t="shared" si="128"/>
        <v>0</v>
      </c>
      <c r="AC976" s="1035"/>
      <c r="AD976" s="690"/>
      <c r="AE976" s="1025"/>
      <c r="AF976" s="1030"/>
      <c r="AG976" s="690"/>
      <c r="AH976" s="690"/>
      <c r="AI976" s="696">
        <f t="shared" si="129"/>
        <v>60340643</v>
      </c>
      <c r="AJ976" s="697">
        <f t="shared" si="130"/>
        <v>69252824</v>
      </c>
    </row>
    <row r="977" spans="1:36" s="700" customFormat="1" ht="12.75" customHeight="1">
      <c r="A977" s="789" t="s">
        <v>204</v>
      </c>
      <c r="B977" s="789" t="s">
        <v>392</v>
      </c>
      <c r="C977" s="790" t="s">
        <v>811</v>
      </c>
      <c r="D977" s="790"/>
      <c r="E977" s="791">
        <v>140164</v>
      </c>
      <c r="F977" s="792">
        <v>4</v>
      </c>
      <c r="G977" s="1025">
        <v>67363113</v>
      </c>
      <c r="H977" s="690">
        <v>73767255</v>
      </c>
      <c r="I977" s="1030"/>
      <c r="J977" s="690"/>
      <c r="K977" s="1030"/>
      <c r="L977" s="690"/>
      <c r="M977" s="1025">
        <v>90352359</v>
      </c>
      <c r="N977" s="1030"/>
      <c r="O977" s="692">
        <f t="shared" si="131"/>
        <v>90352359</v>
      </c>
      <c r="P977" s="690">
        <v>109521030</v>
      </c>
      <c r="Q977" s="690"/>
      <c r="R977" s="691">
        <f t="shared" si="123"/>
        <v>109521030</v>
      </c>
      <c r="S977" s="692">
        <f t="shared" si="125"/>
        <v>157715472</v>
      </c>
      <c r="T977" s="693">
        <f t="shared" si="126"/>
        <v>183288285</v>
      </c>
      <c r="U977" s="1035"/>
      <c r="V977" s="690"/>
      <c r="W977" s="1025"/>
      <c r="X977" s="1030"/>
      <c r="Y977" s="694">
        <f t="shared" si="127"/>
        <v>0</v>
      </c>
      <c r="Z977" s="690"/>
      <c r="AA977" s="690"/>
      <c r="AB977" s="695">
        <f t="shared" si="128"/>
        <v>0</v>
      </c>
      <c r="AC977" s="1035"/>
      <c r="AD977" s="690"/>
      <c r="AE977" s="1025"/>
      <c r="AF977" s="1030"/>
      <c r="AG977" s="690"/>
      <c r="AH977" s="690"/>
      <c r="AI977" s="696">
        <f t="shared" si="129"/>
        <v>157715472</v>
      </c>
      <c r="AJ977" s="697">
        <f t="shared" si="130"/>
        <v>183288285</v>
      </c>
    </row>
    <row r="978" spans="1:36" s="700" customFormat="1" ht="12.75" customHeight="1">
      <c r="A978" s="789" t="s">
        <v>204</v>
      </c>
      <c r="B978" s="789" t="s">
        <v>392</v>
      </c>
      <c r="C978" s="1054" t="s">
        <v>812</v>
      </c>
      <c r="D978" s="1058" t="s">
        <v>1933</v>
      </c>
      <c r="E978" s="791">
        <v>138983</v>
      </c>
      <c r="F978" s="792">
        <v>5</v>
      </c>
      <c r="G978" s="1025">
        <v>22203416</v>
      </c>
      <c r="H978" s="690">
        <v>24203315</v>
      </c>
      <c r="I978" s="1030"/>
      <c r="J978" s="690"/>
      <c r="K978" s="1030"/>
      <c r="L978" s="690"/>
      <c r="M978" s="1025">
        <v>23884898</v>
      </c>
      <c r="N978" s="1030"/>
      <c r="O978" s="692">
        <f t="shared" si="131"/>
        <v>23884898</v>
      </c>
      <c r="P978" s="690">
        <v>26497339</v>
      </c>
      <c r="Q978" s="690"/>
      <c r="R978" s="691">
        <f t="shared" si="123"/>
        <v>26497339</v>
      </c>
      <c r="S978" s="692">
        <f t="shared" si="125"/>
        <v>46088314</v>
      </c>
      <c r="T978" s="693">
        <f t="shared" si="126"/>
        <v>50700654</v>
      </c>
      <c r="U978" s="1035"/>
      <c r="V978" s="690"/>
      <c r="W978" s="1025"/>
      <c r="X978" s="1030"/>
      <c r="Y978" s="694">
        <f t="shared" si="127"/>
        <v>0</v>
      </c>
      <c r="Z978" s="690"/>
      <c r="AA978" s="690"/>
      <c r="AB978" s="695">
        <f t="shared" si="128"/>
        <v>0</v>
      </c>
      <c r="AC978" s="1035"/>
      <c r="AD978" s="690"/>
      <c r="AE978" s="1025"/>
      <c r="AF978" s="1030"/>
      <c r="AG978" s="690"/>
      <c r="AH978" s="690"/>
      <c r="AI978" s="696">
        <f t="shared" si="129"/>
        <v>46088314</v>
      </c>
      <c r="AJ978" s="697">
        <f t="shared" si="130"/>
        <v>50700654</v>
      </c>
    </row>
    <row r="979" spans="1:36" s="700" customFormat="1" ht="12.75" customHeight="1">
      <c r="A979" s="789" t="s">
        <v>204</v>
      </c>
      <c r="B979" s="789" t="s">
        <v>394</v>
      </c>
      <c r="C979" s="793" t="s">
        <v>793</v>
      </c>
      <c r="D979" s="793"/>
      <c r="E979" s="791">
        <v>138983</v>
      </c>
      <c r="F979" s="792">
        <v>5</v>
      </c>
      <c r="G979" s="1025"/>
      <c r="H979" s="690"/>
      <c r="I979" s="1030"/>
      <c r="J979" s="690"/>
      <c r="K979" s="1030"/>
      <c r="L979" s="690"/>
      <c r="M979" s="1025"/>
      <c r="N979" s="1030"/>
      <c r="O979" s="692">
        <f t="shared" si="131"/>
        <v>0</v>
      </c>
      <c r="P979" s="690"/>
      <c r="Q979" s="690"/>
      <c r="R979" s="691">
        <f t="shared" si="123"/>
        <v>0</v>
      </c>
      <c r="S979" s="692">
        <f t="shared" si="125"/>
        <v>0</v>
      </c>
      <c r="T979" s="693">
        <f t="shared" si="126"/>
        <v>0</v>
      </c>
      <c r="U979" s="1035"/>
      <c r="V979" s="690"/>
      <c r="W979" s="1025"/>
      <c r="X979" s="1030"/>
      <c r="Y979" s="694">
        <f t="shared" si="127"/>
        <v>0</v>
      </c>
      <c r="Z979" s="690"/>
      <c r="AA979" s="690"/>
      <c r="AB979" s="695">
        <f t="shared" si="128"/>
        <v>0</v>
      </c>
      <c r="AC979" s="1035"/>
      <c r="AD979" s="690"/>
      <c r="AE979" s="1025"/>
      <c r="AF979" s="1030"/>
      <c r="AG979" s="690"/>
      <c r="AH979" s="690"/>
      <c r="AI979" s="696">
        <f t="shared" si="129"/>
        <v>0</v>
      </c>
      <c r="AJ979" s="697">
        <f t="shared" si="130"/>
        <v>0</v>
      </c>
    </row>
    <row r="980" spans="1:36" s="700" customFormat="1" ht="12.75" customHeight="1">
      <c r="A980" s="789" t="s">
        <v>204</v>
      </c>
      <c r="B980" s="789" t="s">
        <v>392</v>
      </c>
      <c r="C980" s="790" t="s">
        <v>813</v>
      </c>
      <c r="D980" s="790"/>
      <c r="E980" s="791">
        <v>139719</v>
      </c>
      <c r="F980" s="792">
        <v>5</v>
      </c>
      <c r="G980" s="1025">
        <v>17724293</v>
      </c>
      <c r="H980" s="690">
        <v>20970177</v>
      </c>
      <c r="I980" s="1030"/>
      <c r="J980" s="690"/>
      <c r="K980" s="1030"/>
      <c r="L980" s="690"/>
      <c r="M980" s="1025">
        <v>14123746</v>
      </c>
      <c r="N980" s="1030"/>
      <c r="O980" s="692">
        <f t="shared" si="131"/>
        <v>14123746</v>
      </c>
      <c r="P980" s="690">
        <v>16390580</v>
      </c>
      <c r="Q980" s="690"/>
      <c r="R980" s="691">
        <f t="shared" si="123"/>
        <v>16390580</v>
      </c>
      <c r="S980" s="692">
        <f t="shared" si="125"/>
        <v>31848039</v>
      </c>
      <c r="T980" s="693">
        <f t="shared" si="126"/>
        <v>37360757</v>
      </c>
      <c r="U980" s="1035"/>
      <c r="V980" s="690"/>
      <c r="W980" s="1025"/>
      <c r="X980" s="1030"/>
      <c r="Y980" s="694">
        <f t="shared" si="127"/>
        <v>0</v>
      </c>
      <c r="Z980" s="690"/>
      <c r="AA980" s="690"/>
      <c r="AB980" s="695">
        <f t="shared" si="128"/>
        <v>0</v>
      </c>
      <c r="AC980" s="1035"/>
      <c r="AD980" s="690"/>
      <c r="AE980" s="1025"/>
      <c r="AF980" s="1030"/>
      <c r="AG980" s="690"/>
      <c r="AH980" s="690"/>
      <c r="AI980" s="696">
        <f t="shared" si="129"/>
        <v>31848039</v>
      </c>
      <c r="AJ980" s="697">
        <f t="shared" si="130"/>
        <v>37360757</v>
      </c>
    </row>
    <row r="981" spans="1:36" s="700" customFormat="1" ht="12.75" customHeight="1">
      <c r="A981" s="789" t="s">
        <v>204</v>
      </c>
      <c r="B981" s="789" t="s">
        <v>392</v>
      </c>
      <c r="C981" s="790" t="s">
        <v>814</v>
      </c>
      <c r="D981" s="790"/>
      <c r="E981" s="791">
        <v>139764</v>
      </c>
      <c r="F981" s="792">
        <v>5</v>
      </c>
      <c r="G981" s="1025">
        <v>9886424</v>
      </c>
      <c r="H981" s="690">
        <v>11547347</v>
      </c>
      <c r="I981" s="1030"/>
      <c r="J981" s="690"/>
      <c r="K981" s="1030"/>
      <c r="L981" s="690"/>
      <c r="M981" s="1025">
        <v>10777939</v>
      </c>
      <c r="N981" s="1030"/>
      <c r="O981" s="692">
        <f t="shared" si="131"/>
        <v>10777939</v>
      </c>
      <c r="P981" s="690">
        <v>12790158</v>
      </c>
      <c r="Q981" s="690"/>
      <c r="R981" s="691">
        <f t="shared" si="123"/>
        <v>12790158</v>
      </c>
      <c r="S981" s="692">
        <f t="shared" si="125"/>
        <v>20664363</v>
      </c>
      <c r="T981" s="693">
        <f t="shared" si="126"/>
        <v>24337505</v>
      </c>
      <c r="U981" s="1035"/>
      <c r="V981" s="690"/>
      <c r="W981" s="1025"/>
      <c r="X981" s="1030"/>
      <c r="Y981" s="694">
        <f t="shared" si="127"/>
        <v>0</v>
      </c>
      <c r="Z981" s="690"/>
      <c r="AA981" s="690"/>
      <c r="AB981" s="695">
        <f t="shared" si="128"/>
        <v>0</v>
      </c>
      <c r="AC981" s="1035"/>
      <c r="AD981" s="690"/>
      <c r="AE981" s="1025"/>
      <c r="AF981" s="1030"/>
      <c r="AG981" s="690"/>
      <c r="AH981" s="690"/>
      <c r="AI981" s="696">
        <f t="shared" si="129"/>
        <v>20664363</v>
      </c>
      <c r="AJ981" s="697">
        <f t="shared" si="130"/>
        <v>24337505</v>
      </c>
    </row>
    <row r="982" spans="1:36" s="700" customFormat="1" ht="12.75" customHeight="1">
      <c r="A982" s="789" t="s">
        <v>204</v>
      </c>
      <c r="B982" s="789" t="s">
        <v>392</v>
      </c>
      <c r="C982" s="1054" t="s">
        <v>815</v>
      </c>
      <c r="D982" s="1058" t="s">
        <v>1933</v>
      </c>
      <c r="E982" s="791">
        <v>140669</v>
      </c>
      <c r="F982" s="792">
        <v>5</v>
      </c>
      <c r="G982" s="1025">
        <v>20324006</v>
      </c>
      <c r="H982" s="690">
        <v>21739968</v>
      </c>
      <c r="I982" s="1030"/>
      <c r="J982" s="690"/>
      <c r="K982" s="1030"/>
      <c r="L982" s="690"/>
      <c r="M982" s="1025">
        <v>20627180</v>
      </c>
      <c r="N982" s="1030"/>
      <c r="O982" s="692">
        <f t="shared" si="131"/>
        <v>20627180</v>
      </c>
      <c r="P982" s="690">
        <v>26687203</v>
      </c>
      <c r="Q982" s="690"/>
      <c r="R982" s="691">
        <f t="shared" si="123"/>
        <v>26687203</v>
      </c>
      <c r="S982" s="692">
        <f t="shared" si="125"/>
        <v>40951186</v>
      </c>
      <c r="T982" s="693">
        <f t="shared" si="126"/>
        <v>48427171</v>
      </c>
      <c r="U982" s="1035"/>
      <c r="V982" s="690"/>
      <c r="W982" s="1025"/>
      <c r="X982" s="1030"/>
      <c r="Y982" s="694">
        <f t="shared" si="127"/>
        <v>0</v>
      </c>
      <c r="Z982" s="690"/>
      <c r="AA982" s="690"/>
      <c r="AB982" s="695">
        <f t="shared" si="128"/>
        <v>0</v>
      </c>
      <c r="AC982" s="1035"/>
      <c r="AD982" s="690"/>
      <c r="AE982" s="1025"/>
      <c r="AF982" s="1030"/>
      <c r="AG982" s="690"/>
      <c r="AH982" s="690"/>
      <c r="AI982" s="696">
        <f t="shared" si="129"/>
        <v>40951186</v>
      </c>
      <c r="AJ982" s="697">
        <f t="shared" si="130"/>
        <v>48427171</v>
      </c>
    </row>
    <row r="983" spans="1:36" s="700" customFormat="1" ht="12.75" customHeight="1">
      <c r="A983" s="789" t="s">
        <v>204</v>
      </c>
      <c r="B983" s="789" t="s">
        <v>392</v>
      </c>
      <c r="C983" s="790" t="s">
        <v>816</v>
      </c>
      <c r="D983" s="790"/>
      <c r="E983" s="791">
        <v>140960</v>
      </c>
      <c r="F983" s="792">
        <v>5</v>
      </c>
      <c r="G983" s="1025">
        <v>15531617</v>
      </c>
      <c r="H983" s="690">
        <v>17663509</v>
      </c>
      <c r="I983" s="1030"/>
      <c r="J983" s="690"/>
      <c r="K983" s="1030"/>
      <c r="L983" s="690"/>
      <c r="M983" s="1025">
        <v>15943690</v>
      </c>
      <c r="N983" s="1030"/>
      <c r="O983" s="692">
        <f t="shared" si="131"/>
        <v>15943690</v>
      </c>
      <c r="P983" s="690">
        <v>18279511</v>
      </c>
      <c r="Q983" s="690"/>
      <c r="R983" s="691">
        <f t="shared" si="123"/>
        <v>18279511</v>
      </c>
      <c r="S983" s="692">
        <f t="shared" si="125"/>
        <v>31475307</v>
      </c>
      <c r="T983" s="693">
        <f t="shared" si="126"/>
        <v>35943020</v>
      </c>
      <c r="U983" s="1035"/>
      <c r="V983" s="690"/>
      <c r="W983" s="1025"/>
      <c r="X983" s="1030"/>
      <c r="Y983" s="694">
        <f t="shared" si="127"/>
        <v>0</v>
      </c>
      <c r="Z983" s="690"/>
      <c r="AA983" s="690"/>
      <c r="AB983" s="695">
        <f t="shared" si="128"/>
        <v>0</v>
      </c>
      <c r="AC983" s="1035"/>
      <c r="AD983" s="690"/>
      <c r="AE983" s="1025"/>
      <c r="AF983" s="1030"/>
      <c r="AG983" s="690"/>
      <c r="AH983" s="690"/>
      <c r="AI983" s="696">
        <f t="shared" si="129"/>
        <v>31475307</v>
      </c>
      <c r="AJ983" s="697">
        <f t="shared" si="130"/>
        <v>35943020</v>
      </c>
    </row>
    <row r="984" spans="1:36" s="700" customFormat="1" ht="12.75" customHeight="1">
      <c r="A984" s="789" t="s">
        <v>204</v>
      </c>
      <c r="B984" s="789" t="s">
        <v>392</v>
      </c>
      <c r="C984" s="1054" t="s">
        <v>817</v>
      </c>
      <c r="D984" s="1058" t="s">
        <v>1934</v>
      </c>
      <c r="E984" s="791">
        <v>139311</v>
      </c>
      <c r="F984" s="792">
        <v>6</v>
      </c>
      <c r="G984" s="1025">
        <v>19827885</v>
      </c>
      <c r="H984" s="690">
        <v>22643975</v>
      </c>
      <c r="I984" s="1030"/>
      <c r="J984" s="690"/>
      <c r="K984" s="1030"/>
      <c r="L984" s="690"/>
      <c r="M984" s="1025">
        <v>24639230</v>
      </c>
      <c r="N984" s="1030"/>
      <c r="O984" s="692">
        <f t="shared" si="131"/>
        <v>24639230</v>
      </c>
      <c r="P984" s="690">
        <v>28043134</v>
      </c>
      <c r="Q984" s="690"/>
      <c r="R984" s="691">
        <f t="shared" si="123"/>
        <v>28043134</v>
      </c>
      <c r="S984" s="692">
        <f t="shared" si="125"/>
        <v>44467115</v>
      </c>
      <c r="T984" s="693">
        <f t="shared" si="126"/>
        <v>50687109</v>
      </c>
      <c r="U984" s="1035"/>
      <c r="V984" s="690"/>
      <c r="W984" s="1025"/>
      <c r="X984" s="1030"/>
      <c r="Y984" s="694">
        <f t="shared" si="127"/>
        <v>0</v>
      </c>
      <c r="Z984" s="690"/>
      <c r="AA984" s="690"/>
      <c r="AB984" s="695">
        <f t="shared" si="128"/>
        <v>0</v>
      </c>
      <c r="AC984" s="1035"/>
      <c r="AD984" s="690"/>
      <c r="AE984" s="1025"/>
      <c r="AF984" s="1030"/>
      <c r="AG984" s="690"/>
      <c r="AH984" s="690"/>
      <c r="AI984" s="696">
        <f t="shared" si="129"/>
        <v>44467115</v>
      </c>
      <c r="AJ984" s="697">
        <f t="shared" si="130"/>
        <v>50687109</v>
      </c>
    </row>
    <row r="985" spans="1:36" s="700" customFormat="1" ht="12.75" customHeight="1">
      <c r="A985" s="789" t="s">
        <v>204</v>
      </c>
      <c r="B985" s="789" t="s">
        <v>392</v>
      </c>
      <c r="C985" s="790" t="s">
        <v>818</v>
      </c>
      <c r="D985" s="790"/>
      <c r="E985" s="791">
        <v>140322</v>
      </c>
      <c r="F985" s="792">
        <v>6</v>
      </c>
      <c r="G985" s="1025">
        <f>26192361-9135359</f>
        <v>17057002</v>
      </c>
      <c r="H985" s="690">
        <v>18305239</v>
      </c>
      <c r="I985" s="1030"/>
      <c r="J985" s="690"/>
      <c r="K985" s="1030"/>
      <c r="L985" s="690"/>
      <c r="M985" s="1025">
        <v>14565850</v>
      </c>
      <c r="N985" s="1030"/>
      <c r="O985" s="692">
        <f t="shared" si="131"/>
        <v>14565850</v>
      </c>
      <c r="P985" s="690">
        <v>13099677</v>
      </c>
      <c r="Q985" s="690"/>
      <c r="R985" s="691">
        <f t="shared" si="123"/>
        <v>13099677</v>
      </c>
      <c r="S985" s="692">
        <f t="shared" si="125"/>
        <v>31622852</v>
      </c>
      <c r="T985" s="693">
        <f t="shared" si="126"/>
        <v>31404916</v>
      </c>
      <c r="U985" s="1035"/>
      <c r="V985" s="690"/>
      <c r="W985" s="1025"/>
      <c r="X985" s="1030"/>
      <c r="Y985" s="694">
        <f t="shared" si="127"/>
        <v>0</v>
      </c>
      <c r="Z985" s="690"/>
      <c r="AA985" s="690"/>
      <c r="AB985" s="695">
        <f t="shared" si="128"/>
        <v>0</v>
      </c>
      <c r="AC985" s="1035"/>
      <c r="AD985" s="690"/>
      <c r="AE985" s="1025"/>
      <c r="AF985" s="1030"/>
      <c r="AG985" s="690"/>
      <c r="AH985" s="690"/>
      <c r="AI985" s="696">
        <f t="shared" si="129"/>
        <v>31622852</v>
      </c>
      <c r="AJ985" s="697">
        <f t="shared" si="130"/>
        <v>31404916</v>
      </c>
    </row>
    <row r="986" spans="1:36" s="700" customFormat="1" ht="12.75" customHeight="1">
      <c r="A986" s="789" t="s">
        <v>204</v>
      </c>
      <c r="B986" s="789" t="s">
        <v>392</v>
      </c>
      <c r="C986" s="790" t="s">
        <v>819</v>
      </c>
      <c r="D986" s="790"/>
      <c r="E986" s="791">
        <v>139463</v>
      </c>
      <c r="F986" s="792">
        <v>7</v>
      </c>
      <c r="G986" s="1025">
        <v>11390723</v>
      </c>
      <c r="H986" s="690">
        <v>13094814</v>
      </c>
      <c r="I986" s="1030"/>
      <c r="J986" s="690"/>
      <c r="K986" s="1030"/>
      <c r="L986" s="690"/>
      <c r="M986" s="1025">
        <v>12265558</v>
      </c>
      <c r="N986" s="1030"/>
      <c r="O986" s="692">
        <f t="shared" si="131"/>
        <v>12265558</v>
      </c>
      <c r="P986" s="690">
        <v>13730931</v>
      </c>
      <c r="Q986" s="690"/>
      <c r="R986" s="691">
        <f t="shared" si="123"/>
        <v>13730931</v>
      </c>
      <c r="S986" s="692">
        <f t="shared" si="125"/>
        <v>23656281</v>
      </c>
      <c r="T986" s="693">
        <f t="shared" si="126"/>
        <v>26825745</v>
      </c>
      <c r="U986" s="1035"/>
      <c r="V986" s="690"/>
      <c r="W986" s="1025"/>
      <c r="X986" s="1030"/>
      <c r="Y986" s="694">
        <f t="shared" si="127"/>
        <v>0</v>
      </c>
      <c r="Z986" s="690"/>
      <c r="AA986" s="690"/>
      <c r="AB986" s="695">
        <f t="shared" si="128"/>
        <v>0</v>
      </c>
      <c r="AC986" s="1035"/>
      <c r="AD986" s="690"/>
      <c r="AE986" s="1025"/>
      <c r="AF986" s="1030"/>
      <c r="AG986" s="690"/>
      <c r="AH986" s="690"/>
      <c r="AI986" s="696">
        <f t="shared" si="129"/>
        <v>23656281</v>
      </c>
      <c r="AJ986" s="697">
        <f t="shared" si="130"/>
        <v>26825745</v>
      </c>
    </row>
    <row r="987" spans="1:36" s="700" customFormat="1" ht="12.75" customHeight="1">
      <c r="A987" s="789" t="s">
        <v>204</v>
      </c>
      <c r="B987" s="789" t="s">
        <v>392</v>
      </c>
      <c r="C987" s="790" t="s">
        <v>820</v>
      </c>
      <c r="D987" s="790"/>
      <c r="E987" s="791">
        <v>244437</v>
      </c>
      <c r="F987" s="792">
        <v>8</v>
      </c>
      <c r="G987" s="1025">
        <v>47589445</v>
      </c>
      <c r="H987" s="690">
        <v>52911645</v>
      </c>
      <c r="I987" s="1030"/>
      <c r="J987" s="690"/>
      <c r="K987" s="1030"/>
      <c r="L987" s="690"/>
      <c r="M987" s="1025">
        <v>61354201</v>
      </c>
      <c r="N987" s="1030"/>
      <c r="O987" s="692">
        <f t="shared" si="131"/>
        <v>61354201</v>
      </c>
      <c r="P987" s="690">
        <v>64526532</v>
      </c>
      <c r="Q987" s="690"/>
      <c r="R987" s="691">
        <f t="shared" si="123"/>
        <v>64526532</v>
      </c>
      <c r="S987" s="692">
        <f t="shared" si="125"/>
        <v>108943646</v>
      </c>
      <c r="T987" s="693">
        <f t="shared" si="126"/>
        <v>117438177</v>
      </c>
      <c r="U987" s="1035"/>
      <c r="V987" s="690"/>
      <c r="W987" s="1025"/>
      <c r="X987" s="1030"/>
      <c r="Y987" s="694">
        <f t="shared" si="127"/>
        <v>0</v>
      </c>
      <c r="Z987" s="690"/>
      <c r="AA987" s="690"/>
      <c r="AB987" s="695">
        <f t="shared" si="128"/>
        <v>0</v>
      </c>
      <c r="AC987" s="1035"/>
      <c r="AD987" s="690"/>
      <c r="AE987" s="1025"/>
      <c r="AF987" s="1030"/>
      <c r="AG987" s="690"/>
      <c r="AH987" s="690"/>
      <c r="AI987" s="696">
        <f t="shared" si="129"/>
        <v>108943646</v>
      </c>
      <c r="AJ987" s="697">
        <f t="shared" si="130"/>
        <v>117438177</v>
      </c>
    </row>
    <row r="988" spans="1:36" s="700" customFormat="1" ht="12.75" customHeight="1">
      <c r="A988" s="789" t="s">
        <v>204</v>
      </c>
      <c r="B988" s="789" t="s">
        <v>392</v>
      </c>
      <c r="C988" s="1054" t="s">
        <v>821</v>
      </c>
      <c r="D988" s="1058" t="s">
        <v>1936</v>
      </c>
      <c r="E988" s="791">
        <v>138558</v>
      </c>
      <c r="F988" s="792">
        <v>9</v>
      </c>
      <c r="G988" s="1025">
        <v>11204802</v>
      </c>
      <c r="H988" s="690">
        <v>12802845</v>
      </c>
      <c r="I988" s="1030"/>
      <c r="J988" s="690"/>
      <c r="K988" s="1030"/>
      <c r="L988" s="690"/>
      <c r="M988" s="1025">
        <v>7518615</v>
      </c>
      <c r="N988" s="1030"/>
      <c r="O988" s="692">
        <f t="shared" si="131"/>
        <v>7518615</v>
      </c>
      <c r="P988" s="690">
        <v>8690642</v>
      </c>
      <c r="Q988" s="690"/>
      <c r="R988" s="691">
        <f t="shared" si="123"/>
        <v>8690642</v>
      </c>
      <c r="S988" s="692">
        <f t="shared" si="125"/>
        <v>18723417</v>
      </c>
      <c r="T988" s="693">
        <f t="shared" si="126"/>
        <v>21493487</v>
      </c>
      <c r="U988" s="1035"/>
      <c r="V988" s="690"/>
      <c r="W988" s="1025"/>
      <c r="X988" s="1030"/>
      <c r="Y988" s="694">
        <f t="shared" si="127"/>
        <v>0</v>
      </c>
      <c r="Z988" s="690"/>
      <c r="AA988" s="690"/>
      <c r="AB988" s="695">
        <f t="shared" si="128"/>
        <v>0</v>
      </c>
      <c r="AC988" s="1035"/>
      <c r="AD988" s="690"/>
      <c r="AE988" s="1025"/>
      <c r="AF988" s="1030"/>
      <c r="AG988" s="690"/>
      <c r="AH988" s="690"/>
      <c r="AI988" s="696">
        <f t="shared" si="129"/>
        <v>18723417</v>
      </c>
      <c r="AJ988" s="697">
        <f t="shared" si="130"/>
        <v>21493487</v>
      </c>
    </row>
    <row r="989" spans="1:36" s="700" customFormat="1" ht="12.75" customHeight="1">
      <c r="A989" s="789" t="s">
        <v>204</v>
      </c>
      <c r="B989" s="789" t="s">
        <v>392</v>
      </c>
      <c r="C989" s="790" t="s">
        <v>822</v>
      </c>
      <c r="D989" s="790"/>
      <c r="E989" s="791">
        <v>139010</v>
      </c>
      <c r="F989" s="792">
        <v>9</v>
      </c>
      <c r="G989" s="1025">
        <v>7335113</v>
      </c>
      <c r="H989" s="690">
        <v>8447534</v>
      </c>
      <c r="I989" s="1030"/>
      <c r="J989" s="690"/>
      <c r="K989" s="1030"/>
      <c r="L989" s="690"/>
      <c r="M989" s="1025">
        <v>7573667</v>
      </c>
      <c r="N989" s="1030"/>
      <c r="O989" s="692">
        <f t="shared" si="131"/>
        <v>7573667</v>
      </c>
      <c r="P989" s="690">
        <v>8992193</v>
      </c>
      <c r="Q989" s="690"/>
      <c r="R989" s="691">
        <f t="shared" si="123"/>
        <v>8992193</v>
      </c>
      <c r="S989" s="692">
        <f t="shared" si="125"/>
        <v>14908780</v>
      </c>
      <c r="T989" s="693">
        <f t="shared" si="126"/>
        <v>17439727</v>
      </c>
      <c r="U989" s="1035"/>
      <c r="V989" s="690"/>
      <c r="W989" s="1025"/>
      <c r="X989" s="1030"/>
      <c r="Y989" s="694">
        <f t="shared" si="127"/>
        <v>0</v>
      </c>
      <c r="Z989" s="690"/>
      <c r="AA989" s="690"/>
      <c r="AB989" s="695">
        <f t="shared" si="128"/>
        <v>0</v>
      </c>
      <c r="AC989" s="1035"/>
      <c r="AD989" s="690"/>
      <c r="AE989" s="1025"/>
      <c r="AF989" s="1030"/>
      <c r="AG989" s="690"/>
      <c r="AH989" s="690"/>
      <c r="AI989" s="696">
        <f t="shared" si="129"/>
        <v>14908780</v>
      </c>
      <c r="AJ989" s="697">
        <f t="shared" si="130"/>
        <v>17439727</v>
      </c>
    </row>
    <row r="990" spans="1:36" s="700" customFormat="1" ht="12.75" customHeight="1">
      <c r="A990" s="789" t="s">
        <v>204</v>
      </c>
      <c r="B990" s="789" t="s">
        <v>392</v>
      </c>
      <c r="C990" s="790" t="s">
        <v>823</v>
      </c>
      <c r="D990" s="790"/>
      <c r="E990" s="791">
        <v>139250</v>
      </c>
      <c r="F990" s="792">
        <v>9</v>
      </c>
      <c r="G990" s="1025">
        <v>11046460</v>
      </c>
      <c r="H990" s="690">
        <v>12738935</v>
      </c>
      <c r="I990" s="1030"/>
      <c r="J990" s="690"/>
      <c r="K990" s="1030"/>
      <c r="L990" s="690"/>
      <c r="M990" s="1025">
        <v>6211920</v>
      </c>
      <c r="N990" s="1030"/>
      <c r="O990" s="692">
        <f t="shared" si="131"/>
        <v>6211920</v>
      </c>
      <c r="P990" s="690">
        <v>8499036</v>
      </c>
      <c r="Q990" s="690"/>
      <c r="R990" s="691">
        <f t="shared" si="123"/>
        <v>8499036</v>
      </c>
      <c r="S990" s="692">
        <f t="shared" si="125"/>
        <v>17258380</v>
      </c>
      <c r="T990" s="693">
        <f t="shared" si="126"/>
        <v>21237971</v>
      </c>
      <c r="U990" s="1035"/>
      <c r="V990" s="690"/>
      <c r="W990" s="1025"/>
      <c r="X990" s="1030"/>
      <c r="Y990" s="694">
        <f t="shared" si="127"/>
        <v>0</v>
      </c>
      <c r="Z990" s="690"/>
      <c r="AA990" s="690"/>
      <c r="AB990" s="695">
        <f t="shared" si="128"/>
        <v>0</v>
      </c>
      <c r="AC990" s="1035"/>
      <c r="AD990" s="690"/>
      <c r="AE990" s="1025"/>
      <c r="AF990" s="1030"/>
      <c r="AG990" s="690"/>
      <c r="AH990" s="690"/>
      <c r="AI990" s="696">
        <f t="shared" si="129"/>
        <v>17258380</v>
      </c>
      <c r="AJ990" s="697">
        <f t="shared" si="130"/>
        <v>21237971</v>
      </c>
    </row>
    <row r="991" spans="1:36" s="700" customFormat="1" ht="12.75" customHeight="1">
      <c r="A991" s="789" t="s">
        <v>204</v>
      </c>
      <c r="B991" s="789" t="s">
        <v>392</v>
      </c>
      <c r="C991" s="790" t="s">
        <v>824</v>
      </c>
      <c r="D991" s="790"/>
      <c r="E991" s="791">
        <v>138691</v>
      </c>
      <c r="F991" s="792">
        <v>9</v>
      </c>
      <c r="G991" s="1025">
        <v>12476670</v>
      </c>
      <c r="H991" s="690">
        <v>14035772</v>
      </c>
      <c r="I991" s="1030"/>
      <c r="J991" s="690"/>
      <c r="K991" s="1030"/>
      <c r="L991" s="690"/>
      <c r="M991" s="1025">
        <v>11870048</v>
      </c>
      <c r="N991" s="1030"/>
      <c r="O991" s="692">
        <f t="shared" si="131"/>
        <v>11870048</v>
      </c>
      <c r="P991" s="690">
        <v>13532669</v>
      </c>
      <c r="Q991" s="690"/>
      <c r="R991" s="691">
        <f t="shared" si="123"/>
        <v>13532669</v>
      </c>
      <c r="S991" s="692">
        <f t="shared" si="125"/>
        <v>24346718</v>
      </c>
      <c r="T991" s="693">
        <f t="shared" si="126"/>
        <v>27568441</v>
      </c>
      <c r="U991" s="1035"/>
      <c r="V991" s="690"/>
      <c r="W991" s="1025"/>
      <c r="X991" s="1030"/>
      <c r="Y991" s="694">
        <f t="shared" si="127"/>
        <v>0</v>
      </c>
      <c r="Z991" s="690"/>
      <c r="AA991" s="690"/>
      <c r="AB991" s="695">
        <f t="shared" si="128"/>
        <v>0</v>
      </c>
      <c r="AC991" s="1035"/>
      <c r="AD991" s="690"/>
      <c r="AE991" s="1025"/>
      <c r="AF991" s="1030"/>
      <c r="AG991" s="690"/>
      <c r="AH991" s="690"/>
      <c r="AI991" s="696">
        <f t="shared" si="129"/>
        <v>24346718</v>
      </c>
      <c r="AJ991" s="697">
        <f t="shared" si="130"/>
        <v>27568441</v>
      </c>
    </row>
    <row r="992" spans="1:36" s="700" customFormat="1" ht="12.75" customHeight="1">
      <c r="A992" s="789" t="s">
        <v>204</v>
      </c>
      <c r="B992" s="789" t="s">
        <v>392</v>
      </c>
      <c r="C992" s="1055" t="s">
        <v>825</v>
      </c>
      <c r="D992" s="1056" t="s">
        <v>1935</v>
      </c>
      <c r="E992" s="791">
        <v>139773</v>
      </c>
      <c r="F992" s="1057">
        <v>7</v>
      </c>
      <c r="G992" s="1025">
        <v>16091846</v>
      </c>
      <c r="H992" s="690">
        <v>19347681</v>
      </c>
      <c r="I992" s="1030"/>
      <c r="J992" s="690"/>
      <c r="K992" s="1030"/>
      <c r="L992" s="690"/>
      <c r="M992" s="1025">
        <v>19256899</v>
      </c>
      <c r="N992" s="1030"/>
      <c r="O992" s="692">
        <f t="shared" si="131"/>
        <v>19256899</v>
      </c>
      <c r="P992" s="690">
        <v>21328215</v>
      </c>
      <c r="Q992" s="690"/>
      <c r="R992" s="691">
        <f t="shared" si="123"/>
        <v>21328215</v>
      </c>
      <c r="S992" s="692">
        <f t="shared" si="125"/>
        <v>35348745</v>
      </c>
      <c r="T992" s="693">
        <f t="shared" si="126"/>
        <v>40675896</v>
      </c>
      <c r="U992" s="1035"/>
      <c r="V992" s="690"/>
      <c r="W992" s="1025"/>
      <c r="X992" s="1030"/>
      <c r="Y992" s="694">
        <f t="shared" si="127"/>
        <v>0</v>
      </c>
      <c r="Z992" s="690"/>
      <c r="AA992" s="690"/>
      <c r="AB992" s="695">
        <f t="shared" si="128"/>
        <v>0</v>
      </c>
      <c r="AC992" s="1035"/>
      <c r="AD992" s="690"/>
      <c r="AE992" s="1025"/>
      <c r="AF992" s="1030"/>
      <c r="AG992" s="690"/>
      <c r="AH992" s="690"/>
      <c r="AI992" s="696">
        <f t="shared" si="129"/>
        <v>35348745</v>
      </c>
      <c r="AJ992" s="697">
        <f t="shared" si="130"/>
        <v>40675896</v>
      </c>
    </row>
    <row r="993" spans="1:36" s="700" customFormat="1" ht="12.75" customHeight="1">
      <c r="A993" s="789" t="s">
        <v>204</v>
      </c>
      <c r="B993" s="789" t="s">
        <v>392</v>
      </c>
      <c r="C993" s="790" t="s">
        <v>826</v>
      </c>
      <c r="D993" s="790"/>
      <c r="E993" s="791">
        <v>139700</v>
      </c>
      <c r="F993" s="792">
        <v>9</v>
      </c>
      <c r="G993" s="1025">
        <v>11510669</v>
      </c>
      <c r="H993" s="690">
        <v>13569415</v>
      </c>
      <c r="I993" s="1030"/>
      <c r="J993" s="690"/>
      <c r="K993" s="1030"/>
      <c r="L993" s="690"/>
      <c r="M993" s="1025">
        <v>10668521</v>
      </c>
      <c r="N993" s="1030"/>
      <c r="O993" s="692">
        <f t="shared" si="131"/>
        <v>10668521</v>
      </c>
      <c r="P993" s="690">
        <v>11492821</v>
      </c>
      <c r="Q993" s="690"/>
      <c r="R993" s="691">
        <f t="shared" si="123"/>
        <v>11492821</v>
      </c>
      <c r="S993" s="692">
        <f t="shared" si="125"/>
        <v>22179190</v>
      </c>
      <c r="T993" s="693">
        <f t="shared" si="126"/>
        <v>25062236</v>
      </c>
      <c r="U993" s="1035"/>
      <c r="V993" s="690"/>
      <c r="W993" s="1025"/>
      <c r="X993" s="1030"/>
      <c r="Y993" s="694">
        <f t="shared" si="127"/>
        <v>0</v>
      </c>
      <c r="Z993" s="690"/>
      <c r="AA993" s="690"/>
      <c r="AB993" s="695">
        <f t="shared" si="128"/>
        <v>0</v>
      </c>
      <c r="AC993" s="1035"/>
      <c r="AD993" s="690"/>
      <c r="AE993" s="1025"/>
      <c r="AF993" s="1030"/>
      <c r="AG993" s="690"/>
      <c r="AH993" s="690"/>
      <c r="AI993" s="696">
        <f t="shared" si="129"/>
        <v>22179190</v>
      </c>
      <c r="AJ993" s="697">
        <f t="shared" si="130"/>
        <v>25062236</v>
      </c>
    </row>
    <row r="994" spans="1:36" s="700" customFormat="1" ht="12.75" customHeight="1">
      <c r="A994" s="789" t="s">
        <v>204</v>
      </c>
      <c r="B994" s="789" t="s">
        <v>392</v>
      </c>
      <c r="C994" s="1054" t="s">
        <v>827</v>
      </c>
      <c r="D994" s="1058" t="s">
        <v>1937</v>
      </c>
      <c r="E994" s="791">
        <v>139968</v>
      </c>
      <c r="F994" s="792">
        <v>9</v>
      </c>
      <c r="G994" s="1025">
        <v>9439666</v>
      </c>
      <c r="H994" s="690">
        <v>10682968</v>
      </c>
      <c r="I994" s="1030"/>
      <c r="J994" s="690"/>
      <c r="K994" s="1030"/>
      <c r="L994" s="690"/>
      <c r="M994" s="1025">
        <v>10174448</v>
      </c>
      <c r="N994" s="1030"/>
      <c r="O994" s="692">
        <f t="shared" si="131"/>
        <v>10174448</v>
      </c>
      <c r="P994" s="690">
        <v>12590192</v>
      </c>
      <c r="Q994" s="690"/>
      <c r="R994" s="691">
        <f t="shared" si="123"/>
        <v>12590192</v>
      </c>
      <c r="S994" s="692">
        <f t="shared" si="125"/>
        <v>19614114</v>
      </c>
      <c r="T994" s="693">
        <f t="shared" si="126"/>
        <v>23273160</v>
      </c>
      <c r="U994" s="1035"/>
      <c r="V994" s="690"/>
      <c r="W994" s="1025"/>
      <c r="X994" s="1030"/>
      <c r="Y994" s="694">
        <f t="shared" si="127"/>
        <v>0</v>
      </c>
      <c r="Z994" s="690"/>
      <c r="AA994" s="690"/>
      <c r="AB994" s="695">
        <f t="shared" si="128"/>
        <v>0</v>
      </c>
      <c r="AC994" s="1035"/>
      <c r="AD994" s="690"/>
      <c r="AE994" s="1025"/>
      <c r="AF994" s="1030"/>
      <c r="AG994" s="690"/>
      <c r="AH994" s="690"/>
      <c r="AI994" s="696">
        <f t="shared" si="129"/>
        <v>19614114</v>
      </c>
      <c r="AJ994" s="697">
        <f t="shared" si="130"/>
        <v>23273160</v>
      </c>
    </row>
    <row r="995" spans="1:36" s="700" customFormat="1" ht="12.75" customHeight="1">
      <c r="A995" s="789" t="s">
        <v>204</v>
      </c>
      <c r="B995" s="789" t="s">
        <v>392</v>
      </c>
      <c r="C995" s="790" t="s">
        <v>828</v>
      </c>
      <c r="D995" s="790"/>
      <c r="E995" s="791">
        <v>140483</v>
      </c>
      <c r="F995" s="792">
        <v>9</v>
      </c>
      <c r="G995" s="1025">
        <v>14481692</v>
      </c>
      <c r="H995" s="690">
        <v>15305356</v>
      </c>
      <c r="I995" s="1030"/>
      <c r="J995" s="690"/>
      <c r="K995" s="1030"/>
      <c r="L995" s="690"/>
      <c r="M995" s="1025">
        <v>8755814</v>
      </c>
      <c r="N995" s="1030"/>
      <c r="O995" s="692">
        <f t="shared" si="131"/>
        <v>8755814</v>
      </c>
      <c r="P995" s="690">
        <v>9221506</v>
      </c>
      <c r="Q995" s="690"/>
      <c r="R995" s="691">
        <f t="shared" si="123"/>
        <v>9221506</v>
      </c>
      <c r="S995" s="692">
        <f t="shared" si="125"/>
        <v>23237506</v>
      </c>
      <c r="T995" s="693">
        <f t="shared" si="126"/>
        <v>24526862</v>
      </c>
      <c r="U995" s="1035"/>
      <c r="V995" s="690"/>
      <c r="W995" s="1025"/>
      <c r="X995" s="1030"/>
      <c r="Y995" s="694">
        <f t="shared" si="127"/>
        <v>0</v>
      </c>
      <c r="Z995" s="690"/>
      <c r="AA995" s="690"/>
      <c r="AB995" s="695">
        <f t="shared" si="128"/>
        <v>0</v>
      </c>
      <c r="AC995" s="1035"/>
      <c r="AD995" s="690"/>
      <c r="AE995" s="1025"/>
      <c r="AF995" s="1030"/>
      <c r="AG995" s="690"/>
      <c r="AH995" s="690"/>
      <c r="AI995" s="696">
        <f t="shared" si="129"/>
        <v>23237506</v>
      </c>
      <c r="AJ995" s="697">
        <f t="shared" si="130"/>
        <v>24526862</v>
      </c>
    </row>
    <row r="996" spans="1:36" s="700" customFormat="1" ht="12.75" customHeight="1">
      <c r="A996" s="789" t="s">
        <v>204</v>
      </c>
      <c r="B996" s="789" t="s">
        <v>392</v>
      </c>
      <c r="C996" s="1054" t="s">
        <v>829</v>
      </c>
      <c r="D996" s="1058" t="s">
        <v>1938</v>
      </c>
      <c r="E996" s="791">
        <v>138901</v>
      </c>
      <c r="F996" s="792">
        <v>10</v>
      </c>
      <c r="G996" s="1025">
        <v>6486957</v>
      </c>
      <c r="H996" s="690">
        <v>7778657</v>
      </c>
      <c r="I996" s="1030"/>
      <c r="J996" s="690"/>
      <c r="K996" s="1030"/>
      <c r="L996" s="690"/>
      <c r="M996" s="1025">
        <v>7302629</v>
      </c>
      <c r="N996" s="1030"/>
      <c r="O996" s="692">
        <f t="shared" si="131"/>
        <v>7302629</v>
      </c>
      <c r="P996" s="690">
        <v>8445522</v>
      </c>
      <c r="Q996" s="690"/>
      <c r="R996" s="691">
        <f t="shared" si="123"/>
        <v>8445522</v>
      </c>
      <c r="S996" s="692">
        <f t="shared" si="125"/>
        <v>13789586</v>
      </c>
      <c r="T996" s="693">
        <f t="shared" si="126"/>
        <v>16224179</v>
      </c>
      <c r="U996" s="1035"/>
      <c r="V996" s="690"/>
      <c r="W996" s="1025"/>
      <c r="X996" s="1030"/>
      <c r="Y996" s="694">
        <f t="shared" si="127"/>
        <v>0</v>
      </c>
      <c r="Z996" s="690"/>
      <c r="AA996" s="690"/>
      <c r="AB996" s="695">
        <f t="shared" si="128"/>
        <v>0</v>
      </c>
      <c r="AC996" s="1035"/>
      <c r="AD996" s="690"/>
      <c r="AE996" s="1025"/>
      <c r="AF996" s="1030"/>
      <c r="AG996" s="690"/>
      <c r="AH996" s="690"/>
      <c r="AI996" s="696">
        <f t="shared" si="129"/>
        <v>13789586</v>
      </c>
      <c r="AJ996" s="697">
        <f t="shared" si="130"/>
        <v>16224179</v>
      </c>
    </row>
    <row r="997" spans="1:36" s="700" customFormat="1" ht="12.75" customHeight="1">
      <c r="A997" s="789" t="s">
        <v>204</v>
      </c>
      <c r="B997" s="789" t="s">
        <v>392</v>
      </c>
      <c r="C997" s="1054" t="s">
        <v>830</v>
      </c>
      <c r="D997" s="1058" t="s">
        <v>1938</v>
      </c>
      <c r="E997" s="791">
        <v>139621</v>
      </c>
      <c r="F997" s="792">
        <v>10</v>
      </c>
      <c r="G997" s="1025">
        <v>4911132</v>
      </c>
      <c r="H997" s="690">
        <v>6180471</v>
      </c>
      <c r="I997" s="1030"/>
      <c r="J997" s="690"/>
      <c r="K997" s="1030"/>
      <c r="L997" s="690"/>
      <c r="M997" s="1025">
        <v>5783292</v>
      </c>
      <c r="N997" s="1030"/>
      <c r="O997" s="692">
        <f t="shared" si="131"/>
        <v>5783292</v>
      </c>
      <c r="P997" s="690">
        <v>6911924</v>
      </c>
      <c r="Q997" s="690"/>
      <c r="R997" s="691">
        <f t="shared" si="123"/>
        <v>6911924</v>
      </c>
      <c r="S997" s="692">
        <f t="shared" si="125"/>
        <v>10694424</v>
      </c>
      <c r="T997" s="693">
        <f t="shared" si="126"/>
        <v>13092395</v>
      </c>
      <c r="U997" s="1035"/>
      <c r="V997" s="690"/>
      <c r="W997" s="1025"/>
      <c r="X997" s="1030"/>
      <c r="Y997" s="694">
        <f t="shared" si="127"/>
        <v>0</v>
      </c>
      <c r="Z997" s="690"/>
      <c r="AA997" s="690"/>
      <c r="AB997" s="695">
        <f t="shared" si="128"/>
        <v>0</v>
      </c>
      <c r="AC997" s="1035"/>
      <c r="AD997" s="690"/>
      <c r="AE997" s="1025"/>
      <c r="AF997" s="1030"/>
      <c r="AG997" s="690"/>
      <c r="AH997" s="690"/>
      <c r="AI997" s="696">
        <f t="shared" si="129"/>
        <v>10694424</v>
      </c>
      <c r="AJ997" s="697">
        <f t="shared" si="130"/>
        <v>13092395</v>
      </c>
    </row>
    <row r="998" spans="1:36" s="700" customFormat="1" ht="12.75" customHeight="1">
      <c r="A998" s="789" t="s">
        <v>204</v>
      </c>
      <c r="B998" s="789" t="s">
        <v>392</v>
      </c>
      <c r="C998" s="790" t="s">
        <v>831</v>
      </c>
      <c r="D998" s="790"/>
      <c r="E998" s="791">
        <v>140997</v>
      </c>
      <c r="F998" s="792">
        <v>10</v>
      </c>
      <c r="G998" s="1025">
        <v>6205056</v>
      </c>
      <c r="H998" s="690">
        <v>6705246</v>
      </c>
      <c r="I998" s="1030"/>
      <c r="J998" s="690"/>
      <c r="K998" s="1030"/>
      <c r="L998" s="690"/>
      <c r="M998" s="1025">
        <v>4655126</v>
      </c>
      <c r="N998" s="1030"/>
      <c r="O998" s="692">
        <f t="shared" si="131"/>
        <v>4655126</v>
      </c>
      <c r="P998" s="690">
        <v>5195223</v>
      </c>
      <c r="Q998" s="690"/>
      <c r="R998" s="691">
        <f t="shared" si="123"/>
        <v>5195223</v>
      </c>
      <c r="S998" s="692">
        <f t="shared" si="125"/>
        <v>10860182</v>
      </c>
      <c r="T998" s="693">
        <f t="shared" si="126"/>
        <v>11900469</v>
      </c>
      <c r="U998" s="1035"/>
      <c r="V998" s="690"/>
      <c r="W998" s="1025"/>
      <c r="X998" s="1030"/>
      <c r="Y998" s="694">
        <f t="shared" si="127"/>
        <v>0</v>
      </c>
      <c r="Z998" s="690"/>
      <c r="AA998" s="690"/>
      <c r="AB998" s="695">
        <f t="shared" si="128"/>
        <v>0</v>
      </c>
      <c r="AC998" s="1035"/>
      <c r="AD998" s="690"/>
      <c r="AE998" s="1025"/>
      <c r="AF998" s="1030"/>
      <c r="AG998" s="690"/>
      <c r="AH998" s="690"/>
      <c r="AI998" s="696">
        <f t="shared" si="129"/>
        <v>10860182</v>
      </c>
      <c r="AJ998" s="697">
        <f t="shared" si="130"/>
        <v>11900469</v>
      </c>
    </row>
    <row r="999" spans="1:36" s="700" customFormat="1" ht="12.75" customHeight="1">
      <c r="A999" s="789" t="s">
        <v>204</v>
      </c>
      <c r="B999" s="789" t="s">
        <v>392</v>
      </c>
      <c r="C999" s="790" t="s">
        <v>832</v>
      </c>
      <c r="D999" s="790"/>
      <c r="E999" s="791">
        <v>141307</v>
      </c>
      <c r="F999" s="792">
        <v>10</v>
      </c>
      <c r="G999" s="1025">
        <v>3181137</v>
      </c>
      <c r="H999" s="690">
        <v>3450157</v>
      </c>
      <c r="I999" s="1030"/>
      <c r="J999" s="690"/>
      <c r="K999" s="1030"/>
      <c r="L999" s="690"/>
      <c r="M999" s="1025">
        <v>2273881</v>
      </c>
      <c r="N999" s="1030"/>
      <c r="O999" s="692">
        <f t="shared" si="131"/>
        <v>2273881</v>
      </c>
      <c r="P999" s="690">
        <v>2491048</v>
      </c>
      <c r="Q999" s="690"/>
      <c r="R999" s="691">
        <f t="shared" si="123"/>
        <v>2491048</v>
      </c>
      <c r="S999" s="692">
        <f t="shared" si="125"/>
        <v>5455018</v>
      </c>
      <c r="T999" s="693">
        <f t="shared" si="126"/>
        <v>5941205</v>
      </c>
      <c r="U999" s="1035"/>
      <c r="V999" s="690"/>
      <c r="W999" s="1025"/>
      <c r="X999" s="1030"/>
      <c r="Y999" s="694">
        <f t="shared" si="127"/>
        <v>0</v>
      </c>
      <c r="Z999" s="690"/>
      <c r="AA999" s="690"/>
      <c r="AB999" s="695">
        <f t="shared" si="128"/>
        <v>0</v>
      </c>
      <c r="AC999" s="1035"/>
      <c r="AD999" s="690"/>
      <c r="AE999" s="1025"/>
      <c r="AF999" s="1030"/>
      <c r="AG999" s="690"/>
      <c r="AH999" s="690"/>
      <c r="AI999" s="696">
        <f t="shared" si="129"/>
        <v>5455018</v>
      </c>
      <c r="AJ999" s="697">
        <f t="shared" si="130"/>
        <v>5941205</v>
      </c>
    </row>
    <row r="1000" spans="1:36" s="700" customFormat="1" ht="12.75" customHeight="1">
      <c r="A1000" s="789" t="s">
        <v>204</v>
      </c>
      <c r="B1000" s="789" t="s">
        <v>430</v>
      </c>
      <c r="C1000" s="1054" t="s">
        <v>833</v>
      </c>
      <c r="D1000" s="1058" t="s">
        <v>1939</v>
      </c>
      <c r="E1000" s="795">
        <v>447689</v>
      </c>
      <c r="F1000" s="792">
        <v>99</v>
      </c>
      <c r="G1000" s="1025"/>
      <c r="H1000" s="690"/>
      <c r="I1000" s="1030"/>
      <c r="J1000" s="690"/>
      <c r="K1000" s="1030"/>
      <c r="L1000" s="690"/>
      <c r="M1000" s="1025"/>
      <c r="N1000" s="1030"/>
      <c r="O1000" s="692">
        <f t="shared" si="131"/>
        <v>0</v>
      </c>
      <c r="P1000" s="690"/>
      <c r="Q1000" s="690"/>
      <c r="R1000" s="691">
        <f t="shared" si="123"/>
        <v>0</v>
      </c>
      <c r="S1000" s="692">
        <f t="shared" si="125"/>
        <v>0</v>
      </c>
      <c r="T1000" s="693">
        <f t="shared" si="126"/>
        <v>0</v>
      </c>
      <c r="U1000" s="1035">
        <v>28491424</v>
      </c>
      <c r="V1000" s="690">
        <v>31908828</v>
      </c>
      <c r="W1000" s="1153">
        <v>8878580</v>
      </c>
      <c r="X1000" s="1030"/>
      <c r="Y1000" s="694">
        <f t="shared" si="127"/>
        <v>8878580</v>
      </c>
      <c r="Z1000" s="818">
        <v>17749975</v>
      </c>
      <c r="AA1000" s="690"/>
      <c r="AB1000" s="695">
        <f t="shared" si="128"/>
        <v>17749975</v>
      </c>
      <c r="AC1000" s="1035"/>
      <c r="AD1000" s="690"/>
      <c r="AE1000" s="1025"/>
      <c r="AF1000" s="1030"/>
      <c r="AG1000" s="690"/>
      <c r="AH1000" s="690"/>
      <c r="AI1000" s="696">
        <f t="shared" si="129"/>
        <v>37370004</v>
      </c>
      <c r="AJ1000" s="697">
        <f t="shared" si="130"/>
        <v>49658803</v>
      </c>
    </row>
    <row r="1001" spans="1:36" s="700" customFormat="1" ht="12.75" customHeight="1">
      <c r="A1001" s="789" t="s">
        <v>204</v>
      </c>
      <c r="B1001" s="789" t="s">
        <v>429</v>
      </c>
      <c r="C1001" s="790" t="s">
        <v>834</v>
      </c>
      <c r="D1001" s="790"/>
      <c r="E1001" s="791">
        <v>140401</v>
      </c>
      <c r="F1001" s="792">
        <v>15</v>
      </c>
      <c r="G1001" s="1025"/>
      <c r="H1001" s="690"/>
      <c r="I1001" s="1030"/>
      <c r="J1001" s="690"/>
      <c r="K1001" s="1030"/>
      <c r="L1001" s="690"/>
      <c r="M1001" s="1025"/>
      <c r="N1001" s="1030"/>
      <c r="O1001" s="692">
        <f t="shared" si="131"/>
        <v>0</v>
      </c>
      <c r="P1001" s="690"/>
      <c r="Q1001" s="690"/>
      <c r="R1001" s="691">
        <f t="shared" si="123"/>
        <v>0</v>
      </c>
      <c r="S1001" s="692">
        <f t="shared" si="125"/>
        <v>0</v>
      </c>
      <c r="T1001" s="693">
        <f t="shared" si="126"/>
        <v>0</v>
      </c>
      <c r="U1001" s="1035"/>
      <c r="V1001" s="690"/>
      <c r="W1001" s="1025"/>
      <c r="X1001" s="1030"/>
      <c r="Y1001" s="694">
        <f t="shared" si="127"/>
        <v>0</v>
      </c>
      <c r="Z1001" s="690"/>
      <c r="AA1001" s="690"/>
      <c r="AB1001" s="695">
        <f t="shared" si="128"/>
        <v>0</v>
      </c>
      <c r="AC1001" s="1035">
        <v>130390109</v>
      </c>
      <c r="AD1001" s="690">
        <v>140142107</v>
      </c>
      <c r="AE1001" s="1153">
        <v>34353142</v>
      </c>
      <c r="AF1001" s="1030"/>
      <c r="AG1001" s="818">
        <v>37652050</v>
      </c>
      <c r="AH1001" s="690"/>
      <c r="AI1001" s="696">
        <f t="shared" si="129"/>
        <v>164743251</v>
      </c>
      <c r="AJ1001" s="697">
        <f t="shared" si="130"/>
        <v>177794157</v>
      </c>
    </row>
    <row r="1002" spans="1:36" s="700" customFormat="1" ht="12.75" customHeight="1">
      <c r="A1002" s="789" t="s">
        <v>204</v>
      </c>
      <c r="B1002" s="789" t="s">
        <v>429</v>
      </c>
      <c r="C1002" s="794" t="s">
        <v>835</v>
      </c>
      <c r="D1002" s="794"/>
      <c r="E1002" s="791">
        <v>140401</v>
      </c>
      <c r="F1002" s="792">
        <v>15</v>
      </c>
      <c r="G1002" s="1025"/>
      <c r="H1002" s="690"/>
      <c r="I1002" s="1030"/>
      <c r="J1002" s="690"/>
      <c r="K1002" s="1030"/>
      <c r="L1002" s="690"/>
      <c r="M1002" s="1025"/>
      <c r="N1002" s="1030"/>
      <c r="O1002" s="692">
        <f t="shared" si="131"/>
        <v>0</v>
      </c>
      <c r="P1002" s="690"/>
      <c r="Q1002" s="690"/>
      <c r="R1002" s="691">
        <f t="shared" si="123"/>
        <v>0</v>
      </c>
      <c r="S1002" s="692">
        <f t="shared" si="125"/>
        <v>0</v>
      </c>
      <c r="T1002" s="693">
        <f t="shared" si="126"/>
        <v>0</v>
      </c>
      <c r="U1002" s="1035"/>
      <c r="V1002" s="690"/>
      <c r="W1002" s="1025"/>
      <c r="X1002" s="1030"/>
      <c r="Y1002" s="694">
        <f t="shared" si="127"/>
        <v>0</v>
      </c>
      <c r="Z1002" s="690"/>
      <c r="AA1002" s="690"/>
      <c r="AB1002" s="695">
        <f t="shared" si="128"/>
        <v>0</v>
      </c>
      <c r="AC1002" s="1035"/>
      <c r="AD1002" s="690"/>
      <c r="AE1002" s="1025"/>
      <c r="AF1002" s="1030"/>
      <c r="AG1002" s="690"/>
      <c r="AH1002" s="690"/>
      <c r="AI1002" s="696">
        <f t="shared" si="129"/>
        <v>0</v>
      </c>
      <c r="AJ1002" s="697">
        <f t="shared" si="130"/>
        <v>0</v>
      </c>
    </row>
    <row r="1003" spans="1:36" s="700" customFormat="1" ht="12.75" customHeight="1">
      <c r="A1003" s="789" t="s">
        <v>204</v>
      </c>
      <c r="B1003" s="789" t="s">
        <v>429</v>
      </c>
      <c r="C1003" s="794" t="s">
        <v>836</v>
      </c>
      <c r="D1003" s="794"/>
      <c r="E1003" s="791">
        <v>140401</v>
      </c>
      <c r="F1003" s="792">
        <v>15</v>
      </c>
      <c r="G1003" s="1025"/>
      <c r="H1003" s="690"/>
      <c r="I1003" s="1030"/>
      <c r="J1003" s="690"/>
      <c r="K1003" s="1030"/>
      <c r="L1003" s="690"/>
      <c r="M1003" s="1025"/>
      <c r="N1003" s="1030"/>
      <c r="O1003" s="692">
        <f t="shared" si="131"/>
        <v>0</v>
      </c>
      <c r="P1003" s="796"/>
      <c r="Q1003" s="690"/>
      <c r="R1003" s="691">
        <f>SUM(P1003:Q1003)</f>
        <v>0</v>
      </c>
      <c r="S1003" s="692">
        <f t="shared" si="125"/>
        <v>0</v>
      </c>
      <c r="T1003" s="693">
        <f t="shared" si="126"/>
        <v>0</v>
      </c>
      <c r="U1003" s="1035"/>
      <c r="V1003" s="690"/>
      <c r="W1003" s="1025"/>
      <c r="X1003" s="1030"/>
      <c r="Y1003" s="694">
        <f t="shared" si="127"/>
        <v>0</v>
      </c>
      <c r="Z1003" s="690"/>
      <c r="AA1003" s="690"/>
      <c r="AB1003" s="695">
        <f t="shared" si="128"/>
        <v>0</v>
      </c>
      <c r="AC1003" s="1035">
        <v>31914306</v>
      </c>
      <c r="AD1003" s="690">
        <v>30441017</v>
      </c>
      <c r="AE1003" s="1025"/>
      <c r="AF1003" s="1030"/>
      <c r="AG1003" s="690"/>
      <c r="AH1003" s="690"/>
      <c r="AI1003" s="696">
        <f t="shared" si="129"/>
        <v>31914306</v>
      </c>
      <c r="AJ1003" s="697">
        <f t="shared" si="130"/>
        <v>30441017</v>
      </c>
    </row>
    <row r="1004" spans="1:36" s="700" customFormat="1" ht="12.75" customHeight="1">
      <c r="A1004" s="789" t="s">
        <v>204</v>
      </c>
      <c r="B1004" s="789" t="s">
        <v>430</v>
      </c>
      <c r="C1004" s="790" t="s">
        <v>837</v>
      </c>
      <c r="D1004" s="790"/>
      <c r="E1004" s="791">
        <v>141097</v>
      </c>
      <c r="F1004" s="792">
        <v>15</v>
      </c>
      <c r="G1004" s="1025"/>
      <c r="H1004" s="690"/>
      <c r="I1004" s="1030"/>
      <c r="J1004" s="690"/>
      <c r="K1004" s="1030"/>
      <c r="L1004" s="690"/>
      <c r="M1004" s="1025"/>
      <c r="N1004" s="1030"/>
      <c r="O1004" s="692">
        <f t="shared" si="131"/>
        <v>0</v>
      </c>
      <c r="P1004" s="796"/>
      <c r="Q1004" s="690"/>
      <c r="R1004" s="691">
        <f>SUM(P1004:Q1004)</f>
        <v>0</v>
      </c>
      <c r="S1004" s="692">
        <f t="shared" si="125"/>
        <v>0</v>
      </c>
      <c r="T1004" s="693">
        <f t="shared" si="126"/>
        <v>0</v>
      </c>
      <c r="U1004" s="1035">
        <v>17506941</v>
      </c>
      <c r="V1004" s="690">
        <v>20284279</v>
      </c>
      <c r="W1004" s="1153">
        <v>23176800</v>
      </c>
      <c r="X1004" s="1030"/>
      <c r="Y1004" s="694">
        <f t="shared" si="127"/>
        <v>23176800</v>
      </c>
      <c r="Z1004" s="818">
        <v>28287154</v>
      </c>
      <c r="AA1004" s="690"/>
      <c r="AB1004" s="695">
        <f t="shared" si="128"/>
        <v>28287154</v>
      </c>
      <c r="AC1004" s="1035"/>
      <c r="AD1004" s="690"/>
      <c r="AE1004" s="1025"/>
      <c r="AF1004" s="1030"/>
      <c r="AG1004" s="690"/>
      <c r="AH1004" s="690"/>
      <c r="AI1004" s="696">
        <f t="shared" si="129"/>
        <v>40683741</v>
      </c>
      <c r="AJ1004" s="697">
        <f t="shared" si="130"/>
        <v>48571433</v>
      </c>
    </row>
    <row r="1005" spans="1:36" s="700" customFormat="1" ht="12.75" customHeight="1">
      <c r="A1005" s="789" t="s">
        <v>204</v>
      </c>
      <c r="B1005" s="789" t="s">
        <v>401</v>
      </c>
      <c r="C1005" s="797" t="s">
        <v>838</v>
      </c>
      <c r="D1005" s="797"/>
      <c r="E1005" s="791"/>
      <c r="F1005" s="792"/>
      <c r="G1005" s="1025"/>
      <c r="H1005" s="690"/>
      <c r="I1005" s="1030"/>
      <c r="J1005" s="690"/>
      <c r="K1005" s="1030"/>
      <c r="L1005" s="690"/>
      <c r="M1005" s="1025"/>
      <c r="N1005" s="1030"/>
      <c r="O1005" s="692">
        <f t="shared" si="131"/>
        <v>0</v>
      </c>
      <c r="P1005" s="690"/>
      <c r="Q1005" s="690"/>
      <c r="R1005" s="691">
        <f t="shared" si="123"/>
        <v>0</v>
      </c>
      <c r="S1005" s="692">
        <f t="shared" si="125"/>
        <v>0</v>
      </c>
      <c r="T1005" s="693">
        <f t="shared" si="126"/>
        <v>0</v>
      </c>
      <c r="U1005" s="1035"/>
      <c r="V1005" s="690"/>
      <c r="W1005" s="1025"/>
      <c r="X1005" s="1030"/>
      <c r="Y1005" s="694">
        <f t="shared" si="127"/>
        <v>0</v>
      </c>
      <c r="Z1005" s="690"/>
      <c r="AA1005" s="690"/>
      <c r="AB1005" s="695">
        <f t="shared" si="128"/>
        <v>0</v>
      </c>
      <c r="AC1005" s="1035"/>
      <c r="AD1005" s="690"/>
      <c r="AE1005" s="1025"/>
      <c r="AF1005" s="1030"/>
      <c r="AG1005" s="690"/>
      <c r="AH1005" s="690"/>
      <c r="AI1005" s="696">
        <f t="shared" si="129"/>
        <v>0</v>
      </c>
      <c r="AJ1005" s="697">
        <f t="shared" si="130"/>
        <v>0</v>
      </c>
    </row>
    <row r="1006" spans="1:36" s="700" customFormat="1" ht="12.75" customHeight="1">
      <c r="A1006" s="789" t="s">
        <v>204</v>
      </c>
      <c r="B1006" s="789" t="s">
        <v>406</v>
      </c>
      <c r="C1006" s="793" t="s">
        <v>441</v>
      </c>
      <c r="D1006" s="793"/>
      <c r="E1006" s="791"/>
      <c r="F1006" s="792"/>
      <c r="G1006" s="1025"/>
      <c r="H1006" s="690"/>
      <c r="I1006" s="1030"/>
      <c r="J1006" s="690"/>
      <c r="K1006" s="1030"/>
      <c r="L1006" s="690"/>
      <c r="M1006" s="1025"/>
      <c r="N1006" s="1030"/>
      <c r="O1006" s="692">
        <f t="shared" si="131"/>
        <v>0</v>
      </c>
      <c r="P1006" s="690"/>
      <c r="Q1006" s="690"/>
      <c r="R1006" s="691">
        <f t="shared" si="123"/>
        <v>0</v>
      </c>
      <c r="S1006" s="692">
        <f t="shared" si="125"/>
        <v>0</v>
      </c>
      <c r="T1006" s="693">
        <f t="shared" si="126"/>
        <v>0</v>
      </c>
      <c r="U1006" s="1035"/>
      <c r="V1006" s="690"/>
      <c r="W1006" s="1025"/>
      <c r="X1006" s="1030"/>
      <c r="Y1006" s="694">
        <f t="shared" si="127"/>
        <v>0</v>
      </c>
      <c r="Z1006" s="690"/>
      <c r="AA1006" s="690"/>
      <c r="AB1006" s="695">
        <f t="shared" si="128"/>
        <v>0</v>
      </c>
      <c r="AC1006" s="1035"/>
      <c r="AD1006" s="690"/>
      <c r="AE1006" s="1025"/>
      <c r="AF1006" s="1030"/>
      <c r="AG1006" s="690"/>
      <c r="AH1006" s="690"/>
      <c r="AI1006" s="696">
        <f t="shared" si="129"/>
        <v>0</v>
      </c>
      <c r="AJ1006" s="697">
        <f t="shared" si="130"/>
        <v>0</v>
      </c>
    </row>
    <row r="1007" spans="1:36" s="700" customFormat="1" ht="12.75" customHeight="1">
      <c r="A1007" s="789" t="s">
        <v>204</v>
      </c>
      <c r="B1007" s="789" t="s">
        <v>406</v>
      </c>
      <c r="C1007" s="794" t="s">
        <v>839</v>
      </c>
      <c r="D1007" s="794"/>
      <c r="E1007" s="791"/>
      <c r="F1007" s="792"/>
      <c r="G1007" s="1025"/>
      <c r="H1007" s="690"/>
      <c r="I1007" s="1030">
        <f>1418777+1038164</f>
        <v>2456941</v>
      </c>
      <c r="J1007" s="690">
        <f>898749+1302592</f>
        <v>2201341</v>
      </c>
      <c r="K1007" s="1030"/>
      <c r="L1007" s="690"/>
      <c r="M1007" s="1025"/>
      <c r="N1007" s="1030"/>
      <c r="O1007" s="692">
        <f t="shared" si="131"/>
        <v>0</v>
      </c>
      <c r="P1007" s="690"/>
      <c r="Q1007" s="690"/>
      <c r="R1007" s="691">
        <f t="shared" si="123"/>
        <v>0</v>
      </c>
      <c r="S1007" s="692">
        <f t="shared" si="125"/>
        <v>2456941</v>
      </c>
      <c r="T1007" s="693">
        <f t="shared" si="126"/>
        <v>2201341</v>
      </c>
      <c r="U1007" s="1035"/>
      <c r="V1007" s="690"/>
      <c r="W1007" s="1025"/>
      <c r="X1007" s="1030"/>
      <c r="Y1007" s="694">
        <f t="shared" si="127"/>
        <v>0</v>
      </c>
      <c r="Z1007" s="690"/>
      <c r="AA1007" s="690"/>
      <c r="AB1007" s="695">
        <f t="shared" si="128"/>
        <v>0</v>
      </c>
      <c r="AC1007" s="1035"/>
      <c r="AD1007" s="690"/>
      <c r="AE1007" s="1025"/>
      <c r="AF1007" s="1030"/>
      <c r="AG1007" s="690"/>
      <c r="AH1007" s="690"/>
      <c r="AI1007" s="696">
        <f t="shared" si="129"/>
        <v>2456941</v>
      </c>
      <c r="AJ1007" s="697">
        <f t="shared" si="130"/>
        <v>2201341</v>
      </c>
    </row>
    <row r="1008" spans="1:36" s="700" customFormat="1" ht="12.75" customHeight="1">
      <c r="A1008" s="789" t="s">
        <v>204</v>
      </c>
      <c r="B1008" s="789" t="s">
        <v>431</v>
      </c>
      <c r="C1008" s="797" t="s">
        <v>734</v>
      </c>
      <c r="D1008" s="797"/>
      <c r="E1008" s="798"/>
      <c r="F1008" s="799"/>
      <c r="G1008" s="1025"/>
      <c r="H1008" s="690"/>
      <c r="I1008" s="1030"/>
      <c r="J1008" s="690"/>
      <c r="K1008" s="1030"/>
      <c r="L1008" s="690"/>
      <c r="M1008" s="1025"/>
      <c r="N1008" s="1030"/>
      <c r="O1008" s="692">
        <f t="shared" si="131"/>
        <v>0</v>
      </c>
      <c r="P1008" s="690"/>
      <c r="Q1008" s="690"/>
      <c r="R1008" s="691">
        <f t="shared" si="123"/>
        <v>0</v>
      </c>
      <c r="S1008" s="692">
        <f t="shared" si="125"/>
        <v>0</v>
      </c>
      <c r="T1008" s="693">
        <f t="shared" si="126"/>
        <v>0</v>
      </c>
      <c r="U1008" s="1035"/>
      <c r="V1008" s="690"/>
      <c r="W1008" s="1025"/>
      <c r="X1008" s="1030"/>
      <c r="Y1008" s="694">
        <f t="shared" si="127"/>
        <v>0</v>
      </c>
      <c r="Z1008" s="690"/>
      <c r="AA1008" s="690"/>
      <c r="AB1008" s="695">
        <f t="shared" si="128"/>
        <v>0</v>
      </c>
      <c r="AC1008" s="1035"/>
      <c r="AD1008" s="690"/>
      <c r="AE1008" s="1025"/>
      <c r="AF1008" s="1030"/>
      <c r="AG1008" s="690"/>
      <c r="AH1008" s="690"/>
      <c r="AI1008" s="696">
        <f t="shared" si="129"/>
        <v>0</v>
      </c>
      <c r="AJ1008" s="697">
        <f t="shared" si="130"/>
        <v>0</v>
      </c>
    </row>
    <row r="1009" spans="1:36" s="700" customFormat="1" ht="12.75" customHeight="1">
      <c r="A1009" s="789" t="s">
        <v>204</v>
      </c>
      <c r="B1009" s="789" t="s">
        <v>431</v>
      </c>
      <c r="C1009" s="794" t="s">
        <v>840</v>
      </c>
      <c r="D1009" s="794"/>
      <c r="E1009" s="798"/>
      <c r="F1009" s="799"/>
      <c r="G1009" s="1025"/>
      <c r="H1009" s="690"/>
      <c r="I1009" s="1030"/>
      <c r="J1009" s="690"/>
      <c r="K1009" s="1030"/>
      <c r="L1009" s="690"/>
      <c r="M1009" s="1025"/>
      <c r="N1009" s="1030"/>
      <c r="O1009" s="692">
        <f t="shared" si="131"/>
        <v>0</v>
      </c>
      <c r="P1009" s="690"/>
      <c r="Q1009" s="690"/>
      <c r="R1009" s="691">
        <f t="shared" si="123"/>
        <v>0</v>
      </c>
      <c r="S1009" s="692">
        <f t="shared" si="125"/>
        <v>0</v>
      </c>
      <c r="T1009" s="693">
        <f t="shared" si="126"/>
        <v>0</v>
      </c>
      <c r="U1009" s="1035"/>
      <c r="V1009" s="690"/>
      <c r="W1009" s="1025"/>
      <c r="X1009" s="1030"/>
      <c r="Y1009" s="694">
        <f t="shared" si="127"/>
        <v>0</v>
      </c>
      <c r="Z1009" s="690"/>
      <c r="AA1009" s="690"/>
      <c r="AB1009" s="695">
        <f t="shared" si="128"/>
        <v>0</v>
      </c>
      <c r="AC1009" s="1035"/>
      <c r="AD1009" s="690"/>
      <c r="AE1009" s="1025"/>
      <c r="AF1009" s="1030"/>
      <c r="AG1009" s="690"/>
      <c r="AH1009" s="690"/>
      <c r="AI1009" s="696">
        <f t="shared" si="129"/>
        <v>0</v>
      </c>
      <c r="AJ1009" s="697">
        <f t="shared" si="130"/>
        <v>0</v>
      </c>
    </row>
    <row r="1010" spans="1:36" s="700" customFormat="1" ht="12.75" customHeight="1">
      <c r="A1010" s="789" t="s">
        <v>204</v>
      </c>
      <c r="B1010" s="789" t="s">
        <v>431</v>
      </c>
      <c r="C1010" s="794" t="s">
        <v>841</v>
      </c>
      <c r="D1010" s="794"/>
      <c r="E1010" s="798"/>
      <c r="F1010" s="799"/>
      <c r="G1010" s="1025"/>
      <c r="H1010" s="690"/>
      <c r="I1010" s="1030">
        <v>36405259</v>
      </c>
      <c r="J1010" s="690">
        <v>34329035</v>
      </c>
      <c r="K1010" s="1030"/>
      <c r="L1010" s="690"/>
      <c r="M1010" s="1025"/>
      <c r="N1010" s="1030"/>
      <c r="O1010" s="692">
        <f t="shared" si="131"/>
        <v>0</v>
      </c>
      <c r="P1010" s="690"/>
      <c r="Q1010" s="690"/>
      <c r="R1010" s="691">
        <f t="shared" si="123"/>
        <v>0</v>
      </c>
      <c r="S1010" s="692">
        <f t="shared" si="125"/>
        <v>36405259</v>
      </c>
      <c r="T1010" s="693">
        <f t="shared" si="126"/>
        <v>34329035</v>
      </c>
      <c r="U1010" s="1035"/>
      <c r="V1010" s="690"/>
      <c r="W1010" s="1025"/>
      <c r="X1010" s="1030"/>
      <c r="Y1010" s="694">
        <f t="shared" si="127"/>
        <v>0</v>
      </c>
      <c r="Z1010" s="690"/>
      <c r="AA1010" s="690"/>
      <c r="AB1010" s="695">
        <f t="shared" si="128"/>
        <v>0</v>
      </c>
      <c r="AC1010" s="1035"/>
      <c r="AD1010" s="690"/>
      <c r="AE1010" s="1025"/>
      <c r="AF1010" s="1030"/>
      <c r="AG1010" s="690"/>
      <c r="AH1010" s="690"/>
      <c r="AI1010" s="696">
        <f t="shared" si="129"/>
        <v>36405259</v>
      </c>
      <c r="AJ1010" s="697">
        <f t="shared" si="130"/>
        <v>34329035</v>
      </c>
    </row>
    <row r="1011" spans="1:36" s="700" customFormat="1" ht="12.75" customHeight="1">
      <c r="A1011" s="789" t="s">
        <v>204</v>
      </c>
      <c r="B1011" s="789" t="s">
        <v>431</v>
      </c>
      <c r="C1011" s="794" t="s">
        <v>842</v>
      </c>
      <c r="D1011" s="794"/>
      <c r="E1011" s="798"/>
      <c r="F1011" s="799"/>
      <c r="G1011" s="1025"/>
      <c r="H1011" s="690"/>
      <c r="I1011" s="1030">
        <v>9135359</v>
      </c>
      <c r="J1011" s="690">
        <v>9290150</v>
      </c>
      <c r="K1011" s="1030"/>
      <c r="L1011" s="690"/>
      <c r="M1011" s="1025"/>
      <c r="N1011" s="1030"/>
      <c r="O1011" s="692">
        <f>SUM(M1011:N1011)</f>
        <v>0</v>
      </c>
      <c r="P1011" s="690"/>
      <c r="Q1011" s="690"/>
      <c r="R1011" s="691">
        <f>SUM(P1011:Q1011)</f>
        <v>0</v>
      </c>
      <c r="S1011" s="692">
        <f>SUM(G1011,I1011,K1011,M1011)</f>
        <v>9135359</v>
      </c>
      <c r="T1011" s="693">
        <f>SUM(H1011,J1011,L1011,P1011)</f>
        <v>9290150</v>
      </c>
      <c r="U1011" s="1035"/>
      <c r="V1011" s="690"/>
      <c r="W1011" s="1025"/>
      <c r="X1011" s="1030"/>
      <c r="Y1011" s="694">
        <f>SUM(W1011:X1011)</f>
        <v>0</v>
      </c>
      <c r="Z1011" s="690"/>
      <c r="AA1011" s="690"/>
      <c r="AB1011" s="695">
        <f>SUM(Z1011:AA1011)</f>
        <v>0</v>
      </c>
      <c r="AC1011" s="1035"/>
      <c r="AD1011" s="690"/>
      <c r="AE1011" s="1025"/>
      <c r="AF1011" s="1030"/>
      <c r="AG1011" s="690"/>
      <c r="AH1011" s="690"/>
      <c r="AI1011" s="696">
        <f>SUM(S1011,U1011,W1011,AC1011,AE1011)</f>
        <v>9135359</v>
      </c>
      <c r="AJ1011" s="697">
        <f>SUM(T1011,V1011,Z1011,AD1011,AG1011)</f>
        <v>9290150</v>
      </c>
    </row>
    <row r="1012" spans="1:36" s="700" customFormat="1" ht="12.75" customHeight="1">
      <c r="A1012" s="789" t="s">
        <v>204</v>
      </c>
      <c r="B1012" s="789" t="s">
        <v>431</v>
      </c>
      <c r="C1012" s="794" t="s">
        <v>843</v>
      </c>
      <c r="D1012" s="794"/>
      <c r="E1012" s="798"/>
      <c r="F1012" s="799"/>
      <c r="G1012" s="1025"/>
      <c r="H1012" s="690"/>
      <c r="I1012" s="1030">
        <v>15938808</v>
      </c>
      <c r="J1012" s="690">
        <v>11444175</v>
      </c>
      <c r="K1012" s="1030"/>
      <c r="L1012" s="690"/>
      <c r="M1012" s="1025"/>
      <c r="N1012" s="1030"/>
      <c r="O1012" s="692">
        <f>SUM(M1012:N1012)</f>
        <v>0</v>
      </c>
      <c r="P1012" s="690"/>
      <c r="Q1012" s="690"/>
      <c r="R1012" s="691">
        <f>SUM(P1012:Q1012)</f>
        <v>0</v>
      </c>
      <c r="S1012" s="692">
        <f>SUM(G1012,I1012,K1012,M1012)</f>
        <v>15938808</v>
      </c>
      <c r="T1012" s="693">
        <f>SUM(H1012,J1012,L1012,P1012)</f>
        <v>11444175</v>
      </c>
      <c r="U1012" s="1035"/>
      <c r="V1012" s="690"/>
      <c r="W1012" s="1025"/>
      <c r="X1012" s="1030"/>
      <c r="Y1012" s="694">
        <f>SUM(W1012:X1012)</f>
        <v>0</v>
      </c>
      <c r="Z1012" s="690"/>
      <c r="AA1012" s="690"/>
      <c r="AB1012" s="695">
        <f>SUM(Z1012:AA1012)</f>
        <v>0</v>
      </c>
      <c r="AC1012" s="1035"/>
      <c r="AD1012" s="690"/>
      <c r="AE1012" s="1025"/>
      <c r="AF1012" s="1030"/>
      <c r="AG1012" s="690"/>
      <c r="AH1012" s="690"/>
      <c r="AI1012" s="696">
        <f>SUM(S1012,U1012,W1012,AC1012,AE1012)</f>
        <v>15938808</v>
      </c>
      <c r="AJ1012" s="697">
        <f>SUM(T1012,V1012,Z1012,AD1012,AG1012)</f>
        <v>11444175</v>
      </c>
    </row>
    <row r="1013" spans="1:36" s="700" customFormat="1" ht="12.75" customHeight="1">
      <c r="A1013" s="789" t="s">
        <v>204</v>
      </c>
      <c r="B1013" s="789" t="s">
        <v>409</v>
      </c>
      <c r="C1013" s="797" t="s">
        <v>157</v>
      </c>
      <c r="D1013" s="797"/>
      <c r="E1013" s="791"/>
      <c r="F1013" s="792"/>
      <c r="G1013" s="1025"/>
      <c r="H1013" s="690"/>
      <c r="I1013" s="1030"/>
      <c r="J1013" s="690"/>
      <c r="K1013" s="1030"/>
      <c r="L1013" s="690"/>
      <c r="M1013" s="1025"/>
      <c r="N1013" s="1030"/>
      <c r="O1013" s="692">
        <f t="shared" si="131"/>
        <v>0</v>
      </c>
      <c r="P1013" s="690"/>
      <c r="Q1013" s="690"/>
      <c r="R1013" s="691">
        <f t="shared" si="123"/>
        <v>0</v>
      </c>
      <c r="S1013" s="692">
        <f t="shared" si="125"/>
        <v>0</v>
      </c>
      <c r="T1013" s="693">
        <f t="shared" si="126"/>
        <v>0</v>
      </c>
      <c r="U1013" s="1035"/>
      <c r="V1013" s="690"/>
      <c r="W1013" s="1025"/>
      <c r="X1013" s="1030"/>
      <c r="Y1013" s="694">
        <f t="shared" si="127"/>
        <v>0</v>
      </c>
      <c r="Z1013" s="690"/>
      <c r="AA1013" s="690"/>
      <c r="AB1013" s="695">
        <f t="shared" si="128"/>
        <v>0</v>
      </c>
      <c r="AC1013" s="1035"/>
      <c r="AD1013" s="690"/>
      <c r="AE1013" s="1025"/>
      <c r="AF1013" s="1030"/>
      <c r="AG1013" s="690"/>
      <c r="AH1013" s="690"/>
      <c r="AI1013" s="696">
        <f t="shared" si="129"/>
        <v>0</v>
      </c>
      <c r="AJ1013" s="697">
        <f t="shared" si="130"/>
        <v>0</v>
      </c>
    </row>
    <row r="1014" spans="1:36" s="700" customFormat="1" ht="12.75" customHeight="1">
      <c r="A1014" s="789" t="s">
        <v>204</v>
      </c>
      <c r="B1014" s="789" t="s">
        <v>410</v>
      </c>
      <c r="C1014" s="793" t="s">
        <v>200</v>
      </c>
      <c r="D1014" s="793"/>
      <c r="E1014" s="791"/>
      <c r="F1014" s="792"/>
      <c r="G1014" s="1025"/>
      <c r="H1014" s="690"/>
      <c r="I1014" s="1030"/>
      <c r="J1014" s="690"/>
      <c r="K1014" s="1030"/>
      <c r="L1014" s="690"/>
      <c r="M1014" s="1025"/>
      <c r="N1014" s="1030"/>
      <c r="O1014" s="692">
        <f t="shared" si="131"/>
        <v>0</v>
      </c>
      <c r="P1014" s="690"/>
      <c r="Q1014" s="690"/>
      <c r="R1014" s="691">
        <f t="shared" si="123"/>
        <v>0</v>
      </c>
      <c r="S1014" s="692">
        <f t="shared" si="125"/>
        <v>0</v>
      </c>
      <c r="T1014" s="693">
        <f t="shared" si="126"/>
        <v>0</v>
      </c>
      <c r="U1014" s="1035"/>
      <c r="V1014" s="690"/>
      <c r="W1014" s="1025"/>
      <c r="X1014" s="1030"/>
      <c r="Y1014" s="694">
        <f t="shared" si="127"/>
        <v>0</v>
      </c>
      <c r="Z1014" s="690"/>
      <c r="AA1014" s="690"/>
      <c r="AB1014" s="695">
        <f t="shared" si="128"/>
        <v>0</v>
      </c>
      <c r="AC1014" s="1035"/>
      <c r="AD1014" s="690"/>
      <c r="AE1014" s="1025"/>
      <c r="AF1014" s="1030"/>
      <c r="AG1014" s="690"/>
      <c r="AH1014" s="690"/>
      <c r="AI1014" s="696">
        <f t="shared" si="129"/>
        <v>0</v>
      </c>
      <c r="AJ1014" s="697">
        <f t="shared" si="130"/>
        <v>0</v>
      </c>
    </row>
    <row r="1015" spans="1:36" s="700" customFormat="1" ht="12.75" customHeight="1">
      <c r="A1015" s="789" t="s">
        <v>204</v>
      </c>
      <c r="B1015" s="789" t="s">
        <v>410</v>
      </c>
      <c r="C1015" s="794" t="s">
        <v>844</v>
      </c>
      <c r="D1015" s="794"/>
      <c r="E1015" s="798"/>
      <c r="F1015" s="799"/>
      <c r="G1015" s="1025"/>
      <c r="H1015" s="690"/>
      <c r="I1015" s="1030"/>
      <c r="J1015" s="690"/>
      <c r="K1015" s="1030"/>
      <c r="L1015" s="690"/>
      <c r="M1015" s="1025"/>
      <c r="N1015" s="1030"/>
      <c r="O1015" s="692">
        <f t="shared" si="131"/>
        <v>0</v>
      </c>
      <c r="P1015" s="690"/>
      <c r="Q1015" s="690"/>
      <c r="R1015" s="691">
        <f t="shared" si="123"/>
        <v>0</v>
      </c>
      <c r="S1015" s="692">
        <f t="shared" si="125"/>
        <v>0</v>
      </c>
      <c r="T1015" s="693">
        <f t="shared" si="126"/>
        <v>0</v>
      </c>
      <c r="U1015" s="1035">
        <v>5273275</v>
      </c>
      <c r="V1015" s="690">
        <v>4672521</v>
      </c>
      <c r="W1015" s="1025"/>
      <c r="X1015" s="1030"/>
      <c r="Y1015" s="694">
        <f t="shared" si="127"/>
        <v>0</v>
      </c>
      <c r="Z1015" s="690"/>
      <c r="AA1015" s="690"/>
      <c r="AB1015" s="695">
        <f t="shared" si="128"/>
        <v>0</v>
      </c>
      <c r="AC1015" s="1035"/>
      <c r="AD1015" s="690"/>
      <c r="AE1015" s="1025"/>
      <c r="AF1015" s="1030"/>
      <c r="AG1015" s="690"/>
      <c r="AH1015" s="690"/>
      <c r="AI1015" s="696">
        <f t="shared" si="129"/>
        <v>5273275</v>
      </c>
      <c r="AJ1015" s="697">
        <f t="shared" si="130"/>
        <v>4672521</v>
      </c>
    </row>
    <row r="1016" spans="1:36" s="700" customFormat="1" ht="12.75" customHeight="1">
      <c r="A1016" s="789" t="s">
        <v>204</v>
      </c>
      <c r="B1016" s="789" t="s">
        <v>412</v>
      </c>
      <c r="C1016" s="793" t="s">
        <v>198</v>
      </c>
      <c r="D1016" s="793"/>
      <c r="E1016" s="798"/>
      <c r="F1016" s="792"/>
      <c r="G1016" s="1025"/>
      <c r="H1016" s="690"/>
      <c r="I1016" s="1030"/>
      <c r="J1016" s="690"/>
      <c r="K1016" s="1030"/>
      <c r="L1016" s="690"/>
      <c r="M1016" s="1025"/>
      <c r="N1016" s="1030"/>
      <c r="O1016" s="692">
        <f t="shared" si="131"/>
        <v>0</v>
      </c>
      <c r="P1016" s="690"/>
      <c r="Q1016" s="690"/>
      <c r="R1016" s="691">
        <f t="shared" si="123"/>
        <v>0</v>
      </c>
      <c r="S1016" s="692">
        <f t="shared" si="125"/>
        <v>0</v>
      </c>
      <c r="T1016" s="693">
        <f t="shared" si="126"/>
        <v>0</v>
      </c>
      <c r="U1016" s="1035"/>
      <c r="V1016" s="690"/>
      <c r="W1016" s="1025"/>
      <c r="X1016" s="1030"/>
      <c r="Y1016" s="694">
        <f t="shared" si="127"/>
        <v>0</v>
      </c>
      <c r="Z1016" s="690"/>
      <c r="AA1016" s="690"/>
      <c r="AB1016" s="695">
        <f t="shared" si="128"/>
        <v>0</v>
      </c>
      <c r="AC1016" s="1035"/>
      <c r="AD1016" s="690"/>
      <c r="AE1016" s="1025"/>
      <c r="AF1016" s="1030"/>
      <c r="AG1016" s="690"/>
      <c r="AH1016" s="690"/>
      <c r="AI1016" s="696">
        <f t="shared" si="129"/>
        <v>0</v>
      </c>
      <c r="AJ1016" s="697">
        <f t="shared" si="130"/>
        <v>0</v>
      </c>
    </row>
    <row r="1017" spans="1:36" s="700" customFormat="1" ht="12.75" customHeight="1">
      <c r="A1017" s="789" t="s">
        <v>204</v>
      </c>
      <c r="B1017" s="789" t="s">
        <v>412</v>
      </c>
      <c r="C1017" s="800" t="s">
        <v>740</v>
      </c>
      <c r="D1017" s="800"/>
      <c r="E1017" s="798"/>
      <c r="F1017" s="792"/>
      <c r="G1017" s="1025"/>
      <c r="H1017" s="690"/>
      <c r="I1017" s="1030"/>
      <c r="J1017" s="690"/>
      <c r="K1017" s="1030"/>
      <c r="L1017" s="690"/>
      <c r="M1017" s="1025"/>
      <c r="N1017" s="1030"/>
      <c r="O1017" s="692">
        <f t="shared" si="131"/>
        <v>0</v>
      </c>
      <c r="P1017" s="690"/>
      <c r="Q1017" s="690"/>
      <c r="R1017" s="691">
        <f t="shared" si="123"/>
        <v>0</v>
      </c>
      <c r="S1017" s="692">
        <f t="shared" si="125"/>
        <v>0</v>
      </c>
      <c r="T1017" s="693">
        <f t="shared" si="126"/>
        <v>0</v>
      </c>
      <c r="U1017" s="1035">
        <v>103550</v>
      </c>
      <c r="V1017" s="690">
        <v>103550</v>
      </c>
      <c r="W1017" s="1025"/>
      <c r="X1017" s="1030"/>
      <c r="Y1017" s="694">
        <f t="shared" si="127"/>
        <v>0</v>
      </c>
      <c r="Z1017" s="690"/>
      <c r="AA1017" s="690"/>
      <c r="AB1017" s="695">
        <f t="shared" si="128"/>
        <v>0</v>
      </c>
      <c r="AC1017" s="1035"/>
      <c r="AD1017" s="690"/>
      <c r="AE1017" s="1025"/>
      <c r="AF1017" s="1030"/>
      <c r="AG1017" s="690"/>
      <c r="AH1017" s="690"/>
      <c r="AI1017" s="696">
        <f t="shared" si="129"/>
        <v>103550</v>
      </c>
      <c r="AJ1017" s="697">
        <f t="shared" si="130"/>
        <v>103550</v>
      </c>
    </row>
    <row r="1018" spans="1:36" s="700" customFormat="1" ht="12.75" customHeight="1">
      <c r="A1018" s="789" t="s">
        <v>204</v>
      </c>
      <c r="B1018" s="789" t="s">
        <v>412</v>
      </c>
      <c r="C1018" s="800" t="s">
        <v>845</v>
      </c>
      <c r="D1018" s="800"/>
      <c r="E1018" s="798"/>
      <c r="F1018" s="792"/>
      <c r="G1018" s="1025"/>
      <c r="H1018" s="690"/>
      <c r="I1018" s="1030"/>
      <c r="J1018" s="690"/>
      <c r="K1018" s="1030"/>
      <c r="L1018" s="690"/>
      <c r="M1018" s="1025"/>
      <c r="N1018" s="1030"/>
      <c r="O1018" s="692">
        <f t="shared" si="131"/>
        <v>0</v>
      </c>
      <c r="P1018" s="690"/>
      <c r="Q1018" s="690"/>
      <c r="R1018" s="691">
        <f t="shared" si="123"/>
        <v>0</v>
      </c>
      <c r="S1018" s="692">
        <f t="shared" si="125"/>
        <v>0</v>
      </c>
      <c r="T1018" s="693">
        <f t="shared" si="126"/>
        <v>0</v>
      </c>
      <c r="U1018" s="1035">
        <v>500000</v>
      </c>
      <c r="V1018" s="690">
        <v>500000</v>
      </c>
      <c r="W1018" s="1025"/>
      <c r="X1018" s="1030"/>
      <c r="Y1018" s="694">
        <f t="shared" si="127"/>
        <v>0</v>
      </c>
      <c r="Z1018" s="690"/>
      <c r="AA1018" s="690"/>
      <c r="AB1018" s="695">
        <f t="shared" si="128"/>
        <v>0</v>
      </c>
      <c r="AC1018" s="1035"/>
      <c r="AD1018" s="690"/>
      <c r="AE1018" s="1025"/>
      <c r="AF1018" s="1030"/>
      <c r="AG1018" s="690"/>
      <c r="AH1018" s="690"/>
      <c r="AI1018" s="696">
        <f t="shared" si="129"/>
        <v>500000</v>
      </c>
      <c r="AJ1018" s="697">
        <f t="shared" si="130"/>
        <v>500000</v>
      </c>
    </row>
    <row r="1019" spans="1:36" s="700" customFormat="1" ht="12.75" customHeight="1">
      <c r="A1019" s="789" t="s">
        <v>204</v>
      </c>
      <c r="B1019" s="789" t="s">
        <v>413</v>
      </c>
      <c r="C1019" s="793" t="s">
        <v>632</v>
      </c>
      <c r="D1019" s="793"/>
      <c r="E1019" s="801"/>
      <c r="F1019" s="792"/>
      <c r="G1019" s="1025"/>
      <c r="H1019" s="690"/>
      <c r="I1019" s="1030"/>
      <c r="J1019" s="690"/>
      <c r="K1019" s="1030"/>
      <c r="L1019" s="690"/>
      <c r="M1019" s="1025"/>
      <c r="N1019" s="1030"/>
      <c r="O1019" s="692">
        <f t="shared" si="131"/>
        <v>0</v>
      </c>
      <c r="P1019" s="690"/>
      <c r="Q1019" s="690"/>
      <c r="R1019" s="691">
        <f t="shared" si="123"/>
        <v>0</v>
      </c>
      <c r="S1019" s="692">
        <f t="shared" si="125"/>
        <v>0</v>
      </c>
      <c r="T1019" s="693">
        <f t="shared" si="126"/>
        <v>0</v>
      </c>
      <c r="U1019" s="1035"/>
      <c r="V1019" s="690"/>
      <c r="W1019" s="1025"/>
      <c r="X1019" s="1030"/>
      <c r="Y1019" s="694">
        <f t="shared" si="127"/>
        <v>0</v>
      </c>
      <c r="Z1019" s="690"/>
      <c r="AA1019" s="690"/>
      <c r="AB1019" s="695">
        <f t="shared" si="128"/>
        <v>0</v>
      </c>
      <c r="AC1019" s="1035"/>
      <c r="AD1019" s="690"/>
      <c r="AE1019" s="1025"/>
      <c r="AF1019" s="1030"/>
      <c r="AG1019" s="690"/>
      <c r="AH1019" s="690"/>
      <c r="AI1019" s="696">
        <f t="shared" si="129"/>
        <v>0</v>
      </c>
      <c r="AJ1019" s="697">
        <f t="shared" si="130"/>
        <v>0</v>
      </c>
    </row>
    <row r="1020" spans="1:36" s="700" customFormat="1" ht="12.75" customHeight="1">
      <c r="A1020" s="789" t="s">
        <v>204</v>
      </c>
      <c r="B1020" s="789" t="s">
        <v>413</v>
      </c>
      <c r="C1020" s="794" t="s">
        <v>846</v>
      </c>
      <c r="D1020" s="794"/>
      <c r="E1020" s="801"/>
      <c r="F1020" s="799"/>
      <c r="G1020" s="1025"/>
      <c r="H1020" s="690"/>
      <c r="I1020" s="1030"/>
      <c r="J1020" s="690"/>
      <c r="K1020" s="1030"/>
      <c r="L1020" s="690"/>
      <c r="M1020" s="1025"/>
      <c r="N1020" s="1030"/>
      <c r="O1020" s="692">
        <f t="shared" si="131"/>
        <v>0</v>
      </c>
      <c r="P1020" s="690"/>
      <c r="Q1020" s="690"/>
      <c r="R1020" s="691">
        <f t="shared" ref="R1020:R1083" si="132">SUM(P1020:Q1020)</f>
        <v>0</v>
      </c>
      <c r="S1020" s="692">
        <f t="shared" si="125"/>
        <v>0</v>
      </c>
      <c r="T1020" s="693">
        <f t="shared" si="126"/>
        <v>0</v>
      </c>
      <c r="U1020" s="1035"/>
      <c r="V1020" s="690"/>
      <c r="W1020" s="1025"/>
      <c r="X1020" s="1030"/>
      <c r="Y1020" s="694">
        <f t="shared" si="127"/>
        <v>0</v>
      </c>
      <c r="Z1020" s="690"/>
      <c r="AA1020" s="690"/>
      <c r="AB1020" s="695">
        <f t="shared" si="128"/>
        <v>0</v>
      </c>
      <c r="AC1020" s="1035"/>
      <c r="AD1020" s="690"/>
      <c r="AE1020" s="1025"/>
      <c r="AF1020" s="1030"/>
      <c r="AG1020" s="690"/>
      <c r="AH1020" s="690"/>
      <c r="AI1020" s="696">
        <f t="shared" si="129"/>
        <v>0</v>
      </c>
      <c r="AJ1020" s="697">
        <f t="shared" si="130"/>
        <v>0</v>
      </c>
    </row>
    <row r="1021" spans="1:36" s="700" customFormat="1" ht="12.75" customHeight="1">
      <c r="A1021" s="789" t="s">
        <v>204</v>
      </c>
      <c r="B1021" s="789" t="s">
        <v>414</v>
      </c>
      <c r="C1021" s="797" t="s">
        <v>160</v>
      </c>
      <c r="D1021" s="797"/>
      <c r="E1021" s="798"/>
      <c r="F1021" s="799"/>
      <c r="G1021" s="1025"/>
      <c r="H1021" s="690"/>
      <c r="I1021" s="1030"/>
      <c r="J1021" s="690"/>
      <c r="K1021" s="1030"/>
      <c r="L1021" s="690"/>
      <c r="M1021" s="1025"/>
      <c r="N1021" s="1030"/>
      <c r="O1021" s="692">
        <f t="shared" si="131"/>
        <v>0</v>
      </c>
      <c r="P1021" s="690"/>
      <c r="Q1021" s="690"/>
      <c r="R1021" s="691">
        <f t="shared" si="132"/>
        <v>0</v>
      </c>
      <c r="S1021" s="692">
        <f t="shared" si="125"/>
        <v>0</v>
      </c>
      <c r="T1021" s="693">
        <f t="shared" si="126"/>
        <v>0</v>
      </c>
      <c r="U1021" s="1035"/>
      <c r="V1021" s="690"/>
      <c r="W1021" s="1025"/>
      <c r="X1021" s="1030"/>
      <c r="Y1021" s="694">
        <f t="shared" si="127"/>
        <v>0</v>
      </c>
      <c r="Z1021" s="690"/>
      <c r="AA1021" s="690"/>
      <c r="AB1021" s="695">
        <f t="shared" si="128"/>
        <v>0</v>
      </c>
      <c r="AC1021" s="1035"/>
      <c r="AD1021" s="690"/>
      <c r="AE1021" s="1025"/>
      <c r="AF1021" s="1030"/>
      <c r="AG1021" s="690"/>
      <c r="AH1021" s="690"/>
      <c r="AI1021" s="696">
        <f t="shared" si="129"/>
        <v>0</v>
      </c>
      <c r="AJ1021" s="697">
        <f t="shared" si="130"/>
        <v>0</v>
      </c>
    </row>
    <row r="1022" spans="1:36" s="700" customFormat="1" ht="12.75" customHeight="1">
      <c r="A1022" s="789" t="s">
        <v>204</v>
      </c>
      <c r="B1022" s="789" t="s">
        <v>414</v>
      </c>
      <c r="C1022" s="794" t="s">
        <v>847</v>
      </c>
      <c r="D1022" s="794"/>
      <c r="E1022" s="798"/>
      <c r="F1022" s="799"/>
      <c r="G1022" s="1025"/>
      <c r="H1022" s="690"/>
      <c r="I1022" s="1030"/>
      <c r="J1022" s="690"/>
      <c r="K1022" s="1030"/>
      <c r="L1022" s="690"/>
      <c r="M1022" s="1025"/>
      <c r="N1022" s="1030"/>
      <c r="O1022" s="692">
        <f t="shared" si="131"/>
        <v>0</v>
      </c>
      <c r="P1022" s="690"/>
      <c r="Q1022" s="690"/>
      <c r="R1022" s="691">
        <f t="shared" si="132"/>
        <v>0</v>
      </c>
      <c r="S1022" s="692">
        <f t="shared" si="125"/>
        <v>0</v>
      </c>
      <c r="T1022" s="693">
        <f t="shared" si="126"/>
        <v>0</v>
      </c>
      <c r="U1022" s="1035">
        <v>2364930</v>
      </c>
      <c r="V1022" s="690">
        <v>2393133</v>
      </c>
      <c r="W1022" s="1025"/>
      <c r="X1022" s="1030"/>
      <c r="Y1022" s="694">
        <f t="shared" si="127"/>
        <v>0</v>
      </c>
      <c r="Z1022" s="690"/>
      <c r="AA1022" s="690"/>
      <c r="AB1022" s="695">
        <f t="shared" si="128"/>
        <v>0</v>
      </c>
      <c r="AC1022" s="1035"/>
      <c r="AD1022" s="690"/>
      <c r="AE1022" s="1025"/>
      <c r="AF1022" s="1030"/>
      <c r="AG1022" s="690"/>
      <c r="AH1022" s="690"/>
      <c r="AI1022" s="696">
        <f t="shared" si="129"/>
        <v>2364930</v>
      </c>
      <c r="AJ1022" s="697">
        <f t="shared" si="130"/>
        <v>2393133</v>
      </c>
    </row>
    <row r="1023" spans="1:36" s="700" customFormat="1" ht="12.75" customHeight="1">
      <c r="A1023" s="789" t="s">
        <v>204</v>
      </c>
      <c r="B1023" s="789" t="s">
        <v>414</v>
      </c>
      <c r="C1023" s="794" t="s">
        <v>848</v>
      </c>
      <c r="D1023" s="794"/>
      <c r="E1023" s="798"/>
      <c r="F1023" s="799"/>
      <c r="G1023" s="1025"/>
      <c r="H1023" s="690"/>
      <c r="I1023" s="1030"/>
      <c r="J1023" s="690"/>
      <c r="K1023" s="1030"/>
      <c r="L1023" s="690"/>
      <c r="M1023" s="1025"/>
      <c r="N1023" s="1030"/>
      <c r="O1023" s="692">
        <f t="shared" si="131"/>
        <v>0</v>
      </c>
      <c r="P1023" s="690"/>
      <c r="Q1023" s="690"/>
      <c r="R1023" s="691">
        <f t="shared" si="132"/>
        <v>0</v>
      </c>
      <c r="S1023" s="692">
        <f t="shared" si="125"/>
        <v>0</v>
      </c>
      <c r="T1023" s="693">
        <f t="shared" si="126"/>
        <v>0</v>
      </c>
      <c r="U1023" s="1154">
        <v>21616240</v>
      </c>
      <c r="V1023" s="690">
        <v>21615287</v>
      </c>
      <c r="W1023" s="1025"/>
      <c r="X1023" s="1030"/>
      <c r="Y1023" s="694">
        <f t="shared" si="127"/>
        <v>0</v>
      </c>
      <c r="Z1023" s="690"/>
      <c r="AA1023" s="690"/>
      <c r="AB1023" s="695">
        <f t="shared" si="128"/>
        <v>0</v>
      </c>
      <c r="AC1023" s="1035"/>
      <c r="AD1023" s="690"/>
      <c r="AE1023" s="1025"/>
      <c r="AF1023" s="1030"/>
      <c r="AG1023" s="690"/>
      <c r="AH1023" s="690"/>
      <c r="AI1023" s="696">
        <f t="shared" si="129"/>
        <v>21616240</v>
      </c>
      <c r="AJ1023" s="697">
        <f t="shared" si="130"/>
        <v>21615287</v>
      </c>
    </row>
    <row r="1024" spans="1:36" s="700" customFormat="1" ht="12.75" customHeight="1">
      <c r="A1024" s="789" t="s">
        <v>204</v>
      </c>
      <c r="B1024" s="789" t="s">
        <v>414</v>
      </c>
      <c r="C1024" s="794" t="s">
        <v>849</v>
      </c>
      <c r="D1024" s="794"/>
      <c r="E1024" s="798"/>
      <c r="F1024" s="799"/>
      <c r="G1024" s="1025"/>
      <c r="H1024" s="690"/>
      <c r="I1024" s="1030"/>
      <c r="J1024" s="690"/>
      <c r="K1024" s="1030"/>
      <c r="L1024" s="690"/>
      <c r="M1024" s="1025"/>
      <c r="N1024" s="1030"/>
      <c r="O1024" s="692">
        <f t="shared" si="131"/>
        <v>0</v>
      </c>
      <c r="P1024" s="690"/>
      <c r="Q1024" s="690"/>
      <c r="R1024" s="691">
        <f t="shared" si="132"/>
        <v>0</v>
      </c>
      <c r="S1024" s="692">
        <f t="shared" si="125"/>
        <v>0</v>
      </c>
      <c r="T1024" s="693">
        <f t="shared" si="126"/>
        <v>0</v>
      </c>
      <c r="U1024" s="1154">
        <v>8885607</v>
      </c>
      <c r="V1024" s="690">
        <v>8122357</v>
      </c>
      <c r="W1024" s="1025"/>
      <c r="X1024" s="1030"/>
      <c r="Y1024" s="694">
        <f t="shared" si="127"/>
        <v>0</v>
      </c>
      <c r="Z1024" s="690"/>
      <c r="AA1024" s="690"/>
      <c r="AB1024" s="695">
        <f t="shared" si="128"/>
        <v>0</v>
      </c>
      <c r="AC1024" s="1035"/>
      <c r="AD1024" s="690"/>
      <c r="AE1024" s="1025"/>
      <c r="AF1024" s="1030"/>
      <c r="AG1024" s="690"/>
      <c r="AH1024" s="690"/>
      <c r="AI1024" s="696">
        <f t="shared" si="129"/>
        <v>8885607</v>
      </c>
      <c r="AJ1024" s="697">
        <f t="shared" si="130"/>
        <v>8122357</v>
      </c>
    </row>
    <row r="1025" spans="1:36" s="700" customFormat="1" ht="12.75" customHeight="1">
      <c r="A1025" s="789" t="s">
        <v>204</v>
      </c>
      <c r="B1025" s="789" t="s">
        <v>415</v>
      </c>
      <c r="C1025" s="797" t="s">
        <v>165</v>
      </c>
      <c r="D1025" s="797"/>
      <c r="E1025" s="798"/>
      <c r="F1025" s="799"/>
      <c r="G1025" s="1025"/>
      <c r="H1025" s="690"/>
      <c r="I1025" s="1030"/>
      <c r="J1025" s="690"/>
      <c r="K1025" s="1030"/>
      <c r="L1025" s="690"/>
      <c r="M1025" s="1025"/>
      <c r="N1025" s="1030"/>
      <c r="O1025" s="692">
        <f t="shared" si="131"/>
        <v>0</v>
      </c>
      <c r="P1025" s="690"/>
      <c r="Q1025" s="690"/>
      <c r="R1025" s="691">
        <f t="shared" si="132"/>
        <v>0</v>
      </c>
      <c r="S1025" s="692">
        <f t="shared" si="125"/>
        <v>0</v>
      </c>
      <c r="T1025" s="693">
        <f t="shared" si="126"/>
        <v>0</v>
      </c>
      <c r="U1025" s="1035"/>
      <c r="V1025" s="690"/>
      <c r="W1025" s="1025"/>
      <c r="X1025" s="1030"/>
      <c r="Y1025" s="694">
        <f t="shared" si="127"/>
        <v>0</v>
      </c>
      <c r="Z1025" s="690"/>
      <c r="AA1025" s="690"/>
      <c r="AB1025" s="695">
        <f t="shared" si="128"/>
        <v>0</v>
      </c>
      <c r="AC1025" s="1035"/>
      <c r="AD1025" s="690"/>
      <c r="AE1025" s="1025"/>
      <c r="AF1025" s="1030"/>
      <c r="AG1025" s="690"/>
      <c r="AH1025" s="690"/>
      <c r="AI1025" s="696">
        <f t="shared" si="129"/>
        <v>0</v>
      </c>
      <c r="AJ1025" s="697">
        <f t="shared" si="130"/>
        <v>0</v>
      </c>
    </row>
    <row r="1026" spans="1:36" s="700" customFormat="1" ht="12.75" customHeight="1">
      <c r="A1026" s="789" t="s">
        <v>204</v>
      </c>
      <c r="B1026" s="789" t="s">
        <v>416</v>
      </c>
      <c r="C1026" s="793" t="s">
        <v>166</v>
      </c>
      <c r="D1026" s="793"/>
      <c r="E1026" s="798"/>
      <c r="F1026" s="799"/>
      <c r="G1026" s="1025"/>
      <c r="H1026" s="690"/>
      <c r="I1026" s="1030"/>
      <c r="J1026" s="690"/>
      <c r="K1026" s="1030"/>
      <c r="L1026" s="690"/>
      <c r="M1026" s="1025"/>
      <c r="N1026" s="1030"/>
      <c r="O1026" s="692">
        <f t="shared" si="131"/>
        <v>0</v>
      </c>
      <c r="P1026" s="690"/>
      <c r="Q1026" s="690"/>
      <c r="R1026" s="691">
        <f t="shared" si="132"/>
        <v>0</v>
      </c>
      <c r="S1026" s="692">
        <f t="shared" si="125"/>
        <v>0</v>
      </c>
      <c r="T1026" s="693">
        <f t="shared" si="126"/>
        <v>0</v>
      </c>
      <c r="U1026" s="1035"/>
      <c r="V1026" s="690"/>
      <c r="W1026" s="1025"/>
      <c r="X1026" s="1030"/>
      <c r="Y1026" s="694">
        <f t="shared" si="127"/>
        <v>0</v>
      </c>
      <c r="Z1026" s="690"/>
      <c r="AA1026" s="690"/>
      <c r="AB1026" s="695">
        <f t="shared" si="128"/>
        <v>0</v>
      </c>
      <c r="AC1026" s="1035"/>
      <c r="AD1026" s="690"/>
      <c r="AE1026" s="1025"/>
      <c r="AF1026" s="1030"/>
      <c r="AG1026" s="690"/>
      <c r="AH1026" s="690"/>
      <c r="AI1026" s="696">
        <f t="shared" si="129"/>
        <v>0</v>
      </c>
      <c r="AJ1026" s="697">
        <f t="shared" si="130"/>
        <v>0</v>
      </c>
    </row>
    <row r="1027" spans="1:36" s="700" customFormat="1" ht="12.75" customHeight="1">
      <c r="A1027" s="789" t="s">
        <v>204</v>
      </c>
      <c r="B1027" s="789" t="s">
        <v>416</v>
      </c>
      <c r="C1027" s="794" t="s">
        <v>850</v>
      </c>
      <c r="D1027" s="794"/>
      <c r="E1027" s="798"/>
      <c r="F1027" s="799"/>
      <c r="G1027" s="1025"/>
      <c r="H1027" s="690"/>
      <c r="I1027" s="1030"/>
      <c r="J1027" s="690"/>
      <c r="K1027" s="1030"/>
      <c r="L1027" s="690"/>
      <c r="M1027" s="1025"/>
      <c r="N1027" s="1030"/>
      <c r="O1027" s="692">
        <f t="shared" si="131"/>
        <v>0</v>
      </c>
      <c r="P1027" s="690"/>
      <c r="Q1027" s="690"/>
      <c r="R1027" s="691">
        <f t="shared" si="132"/>
        <v>0</v>
      </c>
      <c r="S1027" s="692">
        <f t="shared" si="125"/>
        <v>0</v>
      </c>
      <c r="T1027" s="693">
        <f t="shared" si="126"/>
        <v>0</v>
      </c>
      <c r="U1027" s="1035"/>
      <c r="V1027" s="690"/>
      <c r="W1027" s="1025"/>
      <c r="X1027" s="1030"/>
      <c r="Y1027" s="694">
        <f t="shared" si="127"/>
        <v>0</v>
      </c>
      <c r="Z1027" s="690"/>
      <c r="AA1027" s="690"/>
      <c r="AB1027" s="695">
        <f t="shared" si="128"/>
        <v>0</v>
      </c>
      <c r="AC1027" s="1035"/>
      <c r="AD1027" s="690"/>
      <c r="AE1027" s="1025"/>
      <c r="AF1027" s="1030"/>
      <c r="AG1027" s="690"/>
      <c r="AH1027" s="690"/>
      <c r="AI1027" s="696">
        <f t="shared" si="129"/>
        <v>0</v>
      </c>
      <c r="AJ1027" s="697">
        <f t="shared" si="130"/>
        <v>0</v>
      </c>
    </row>
    <row r="1028" spans="1:36" s="700" customFormat="1" ht="12.75" customHeight="1">
      <c r="A1028" s="789" t="s">
        <v>204</v>
      </c>
      <c r="B1028" s="789" t="s">
        <v>416</v>
      </c>
      <c r="C1028" s="794" t="s">
        <v>851</v>
      </c>
      <c r="D1028" s="794"/>
      <c r="E1028" s="798"/>
      <c r="F1028" s="799"/>
      <c r="G1028" s="1025"/>
      <c r="H1028" s="690"/>
      <c r="I1028" s="1030"/>
      <c r="J1028" s="690"/>
      <c r="K1028" s="1030"/>
      <c r="L1028" s="690"/>
      <c r="M1028" s="1025"/>
      <c r="N1028" s="1030"/>
      <c r="O1028" s="692">
        <f t="shared" si="131"/>
        <v>0</v>
      </c>
      <c r="P1028" s="690"/>
      <c r="Q1028" s="690"/>
      <c r="R1028" s="691">
        <f t="shared" si="132"/>
        <v>0</v>
      </c>
      <c r="S1028" s="692">
        <f t="shared" si="125"/>
        <v>0</v>
      </c>
      <c r="T1028" s="693">
        <f t="shared" si="126"/>
        <v>0</v>
      </c>
      <c r="U1028" s="1035">
        <v>316118</v>
      </c>
      <c r="V1028" s="690">
        <v>333600</v>
      </c>
      <c r="W1028" s="1025"/>
      <c r="X1028" s="1030"/>
      <c r="Y1028" s="694">
        <f t="shared" si="127"/>
        <v>0</v>
      </c>
      <c r="Z1028" s="690"/>
      <c r="AA1028" s="690"/>
      <c r="AB1028" s="695">
        <f t="shared" si="128"/>
        <v>0</v>
      </c>
      <c r="AC1028" s="1035"/>
      <c r="AD1028" s="690"/>
      <c r="AE1028" s="1025"/>
      <c r="AF1028" s="1030"/>
      <c r="AG1028" s="690"/>
      <c r="AH1028" s="690"/>
      <c r="AI1028" s="696">
        <f t="shared" si="129"/>
        <v>316118</v>
      </c>
      <c r="AJ1028" s="697">
        <f t="shared" si="130"/>
        <v>333600</v>
      </c>
    </row>
    <row r="1029" spans="1:36" s="700" customFormat="1" ht="12.75" customHeight="1">
      <c r="A1029" s="789" t="s">
        <v>204</v>
      </c>
      <c r="B1029" s="789" t="s">
        <v>416</v>
      </c>
      <c r="C1029" s="794" t="s">
        <v>852</v>
      </c>
      <c r="D1029" s="794"/>
      <c r="E1029" s="798"/>
      <c r="F1029" s="799"/>
      <c r="G1029" s="1025"/>
      <c r="H1029" s="690"/>
      <c r="I1029" s="1030"/>
      <c r="J1029" s="690"/>
      <c r="K1029" s="1030"/>
      <c r="L1029" s="690"/>
      <c r="M1029" s="1025"/>
      <c r="N1029" s="1030"/>
      <c r="O1029" s="692">
        <f t="shared" si="131"/>
        <v>0</v>
      </c>
      <c r="P1029" s="690"/>
      <c r="Q1029" s="690"/>
      <c r="R1029" s="691">
        <f t="shared" si="132"/>
        <v>0</v>
      </c>
      <c r="S1029" s="692">
        <f t="shared" si="125"/>
        <v>0</v>
      </c>
      <c r="T1029" s="693">
        <f t="shared" si="126"/>
        <v>0</v>
      </c>
      <c r="U1029" s="1035">
        <v>67500</v>
      </c>
      <c r="V1029" s="690">
        <v>40500</v>
      </c>
      <c r="W1029" s="1025"/>
      <c r="X1029" s="1030"/>
      <c r="Y1029" s="694">
        <f t="shared" si="127"/>
        <v>0</v>
      </c>
      <c r="Z1029" s="690"/>
      <c r="AA1029" s="690"/>
      <c r="AB1029" s="695">
        <f t="shared" si="128"/>
        <v>0</v>
      </c>
      <c r="AC1029" s="1035"/>
      <c r="AD1029" s="690"/>
      <c r="AE1029" s="1025"/>
      <c r="AF1029" s="1030"/>
      <c r="AG1029" s="690"/>
      <c r="AH1029" s="690"/>
      <c r="AI1029" s="696">
        <f t="shared" si="129"/>
        <v>67500</v>
      </c>
      <c r="AJ1029" s="697">
        <f t="shared" si="130"/>
        <v>40500</v>
      </c>
    </row>
    <row r="1030" spans="1:36" s="700" customFormat="1" ht="12.75" customHeight="1">
      <c r="A1030" s="789" t="s">
        <v>204</v>
      </c>
      <c r="B1030" s="789" t="s">
        <v>417</v>
      </c>
      <c r="C1030" s="793" t="s">
        <v>168</v>
      </c>
      <c r="D1030" s="793"/>
      <c r="E1030" s="798"/>
      <c r="F1030" s="799"/>
      <c r="G1030" s="1025"/>
      <c r="H1030" s="690"/>
      <c r="I1030" s="1030"/>
      <c r="J1030" s="690"/>
      <c r="K1030" s="1030"/>
      <c r="L1030" s="690"/>
      <c r="M1030" s="1025"/>
      <c r="N1030" s="1030"/>
      <c r="O1030" s="692">
        <f t="shared" si="131"/>
        <v>0</v>
      </c>
      <c r="P1030" s="690"/>
      <c r="Q1030" s="690"/>
      <c r="R1030" s="691">
        <f t="shared" si="132"/>
        <v>0</v>
      </c>
      <c r="S1030" s="692">
        <f t="shared" si="125"/>
        <v>0</v>
      </c>
      <c r="T1030" s="693">
        <f t="shared" si="126"/>
        <v>0</v>
      </c>
      <c r="U1030" s="1035"/>
      <c r="V1030" s="690"/>
      <c r="W1030" s="1025"/>
      <c r="X1030" s="1030"/>
      <c r="Y1030" s="694">
        <f t="shared" si="127"/>
        <v>0</v>
      </c>
      <c r="Z1030" s="690"/>
      <c r="AA1030" s="690"/>
      <c r="AB1030" s="695">
        <f t="shared" si="128"/>
        <v>0</v>
      </c>
      <c r="AC1030" s="1035"/>
      <c r="AD1030" s="690"/>
      <c r="AE1030" s="1025"/>
      <c r="AF1030" s="1030"/>
      <c r="AG1030" s="690"/>
      <c r="AH1030" s="690"/>
      <c r="AI1030" s="696">
        <f t="shared" si="129"/>
        <v>0</v>
      </c>
      <c r="AJ1030" s="697">
        <f t="shared" si="130"/>
        <v>0</v>
      </c>
    </row>
    <row r="1031" spans="1:36" s="700" customFormat="1" ht="12.75" customHeight="1">
      <c r="A1031" s="789" t="s">
        <v>204</v>
      </c>
      <c r="B1031" s="789" t="s">
        <v>417</v>
      </c>
      <c r="C1031" s="794" t="s">
        <v>853</v>
      </c>
      <c r="D1031" s="794"/>
      <c r="E1031" s="798"/>
      <c r="F1031" s="799"/>
      <c r="G1031" s="1025"/>
      <c r="H1031" s="690"/>
      <c r="I1031" s="1030"/>
      <c r="J1031" s="690"/>
      <c r="K1031" s="1030"/>
      <c r="L1031" s="690"/>
      <c r="M1031" s="1025"/>
      <c r="N1031" s="1030"/>
      <c r="O1031" s="692">
        <f t="shared" si="131"/>
        <v>0</v>
      </c>
      <c r="P1031" s="690"/>
      <c r="Q1031" s="690"/>
      <c r="R1031" s="691">
        <f t="shared" si="132"/>
        <v>0</v>
      </c>
      <c r="S1031" s="692">
        <f t="shared" si="125"/>
        <v>0</v>
      </c>
      <c r="T1031" s="693">
        <f t="shared" si="126"/>
        <v>0</v>
      </c>
      <c r="U1031" s="1035">
        <v>107617</v>
      </c>
      <c r="V1031" s="690">
        <v>125100</v>
      </c>
      <c r="W1031" s="1025"/>
      <c r="X1031" s="1030"/>
      <c r="Y1031" s="694">
        <f t="shared" si="127"/>
        <v>0</v>
      </c>
      <c r="Z1031" s="690"/>
      <c r="AA1031" s="690"/>
      <c r="AB1031" s="695">
        <f t="shared" si="128"/>
        <v>0</v>
      </c>
      <c r="AC1031" s="1035"/>
      <c r="AD1031" s="690"/>
      <c r="AE1031" s="1025"/>
      <c r="AF1031" s="1030"/>
      <c r="AG1031" s="690"/>
      <c r="AH1031" s="690"/>
      <c r="AI1031" s="696">
        <f t="shared" si="129"/>
        <v>107617</v>
      </c>
      <c r="AJ1031" s="697">
        <f t="shared" si="130"/>
        <v>125100</v>
      </c>
    </row>
    <row r="1032" spans="1:36" s="700" customFormat="1" ht="12.75" customHeight="1">
      <c r="A1032" s="789" t="s">
        <v>204</v>
      </c>
      <c r="B1032" s="789" t="s">
        <v>418</v>
      </c>
      <c r="C1032" s="793" t="s">
        <v>854</v>
      </c>
      <c r="D1032" s="793"/>
      <c r="E1032" s="798"/>
      <c r="F1032" s="799"/>
      <c r="G1032" s="1025"/>
      <c r="H1032" s="690"/>
      <c r="I1032" s="1030"/>
      <c r="J1032" s="690"/>
      <c r="K1032" s="1030"/>
      <c r="L1032" s="690"/>
      <c r="M1032" s="1025"/>
      <c r="N1032" s="1030"/>
      <c r="O1032" s="692">
        <f t="shared" si="131"/>
        <v>0</v>
      </c>
      <c r="P1032" s="690"/>
      <c r="Q1032" s="690"/>
      <c r="R1032" s="691">
        <f t="shared" si="132"/>
        <v>0</v>
      </c>
      <c r="S1032" s="692">
        <f t="shared" si="125"/>
        <v>0</v>
      </c>
      <c r="T1032" s="693">
        <f t="shared" si="126"/>
        <v>0</v>
      </c>
      <c r="U1032" s="1035"/>
      <c r="V1032" s="690"/>
      <c r="W1032" s="1025"/>
      <c r="X1032" s="1030"/>
      <c r="Y1032" s="694">
        <f t="shared" si="127"/>
        <v>0</v>
      </c>
      <c r="Z1032" s="690"/>
      <c r="AA1032" s="690"/>
      <c r="AB1032" s="695">
        <f t="shared" si="128"/>
        <v>0</v>
      </c>
      <c r="AC1032" s="1035"/>
      <c r="AD1032" s="690"/>
      <c r="AE1032" s="1025"/>
      <c r="AF1032" s="1030"/>
      <c r="AG1032" s="690"/>
      <c r="AH1032" s="690"/>
      <c r="AI1032" s="696">
        <f t="shared" si="129"/>
        <v>0</v>
      </c>
      <c r="AJ1032" s="697">
        <f t="shared" si="130"/>
        <v>0</v>
      </c>
    </row>
    <row r="1033" spans="1:36" s="700" customFormat="1" ht="12.75" customHeight="1">
      <c r="A1033" s="789" t="s">
        <v>204</v>
      </c>
      <c r="B1033" s="789" t="s">
        <v>418</v>
      </c>
      <c r="C1033" s="794" t="s">
        <v>848</v>
      </c>
      <c r="D1033" s="794"/>
      <c r="E1033" s="798"/>
      <c r="F1033" s="799"/>
      <c r="G1033" s="1025"/>
      <c r="H1033" s="690"/>
      <c r="I1033" s="1030"/>
      <c r="J1033" s="690"/>
      <c r="K1033" s="1030"/>
      <c r="L1033" s="690"/>
      <c r="M1033" s="1025"/>
      <c r="N1033" s="1030"/>
      <c r="O1033" s="692">
        <f t="shared" si="131"/>
        <v>0</v>
      </c>
      <c r="P1033" s="690"/>
      <c r="Q1033" s="690"/>
      <c r="R1033" s="691">
        <f t="shared" si="132"/>
        <v>0</v>
      </c>
      <c r="S1033" s="692">
        <f t="shared" si="125"/>
        <v>0</v>
      </c>
      <c r="T1033" s="693">
        <f t="shared" si="126"/>
        <v>0</v>
      </c>
      <c r="U1033" s="1035">
        <v>1637240</v>
      </c>
      <c r="V1033" s="690">
        <v>1473043</v>
      </c>
      <c r="W1033" s="1025"/>
      <c r="X1033" s="1030"/>
      <c r="Y1033" s="694">
        <f t="shared" si="127"/>
        <v>0</v>
      </c>
      <c r="Z1033" s="690"/>
      <c r="AA1033" s="690"/>
      <c r="AB1033" s="695">
        <f t="shared" si="128"/>
        <v>0</v>
      </c>
      <c r="AC1033" s="1035"/>
      <c r="AD1033" s="690"/>
      <c r="AE1033" s="1025"/>
      <c r="AF1033" s="1030"/>
      <c r="AG1033" s="690"/>
      <c r="AH1033" s="690"/>
      <c r="AI1033" s="696">
        <f t="shared" si="129"/>
        <v>1637240</v>
      </c>
      <c r="AJ1033" s="697">
        <f t="shared" si="130"/>
        <v>1473043</v>
      </c>
    </row>
    <row r="1034" spans="1:36" s="700" customFormat="1" ht="12.75" customHeight="1">
      <c r="A1034" s="789" t="s">
        <v>204</v>
      </c>
      <c r="B1034" s="789" t="s">
        <v>418</v>
      </c>
      <c r="C1034" s="794" t="s">
        <v>849</v>
      </c>
      <c r="D1034" s="794"/>
      <c r="E1034" s="798"/>
      <c r="F1034" s="799"/>
      <c r="G1034" s="1025"/>
      <c r="H1034" s="690"/>
      <c r="I1034" s="1030"/>
      <c r="J1034" s="690"/>
      <c r="K1034" s="1030"/>
      <c r="L1034" s="690"/>
      <c r="M1034" s="1025"/>
      <c r="N1034" s="1030"/>
      <c r="O1034" s="692">
        <f t="shared" si="131"/>
        <v>0</v>
      </c>
      <c r="P1034" s="690"/>
      <c r="Q1034" s="690"/>
      <c r="R1034" s="691">
        <f t="shared" si="132"/>
        <v>0</v>
      </c>
      <c r="S1034" s="692">
        <f t="shared" ref="S1034:S1089" si="133">SUM(G1034,I1034,K1034,M1034)</f>
        <v>0</v>
      </c>
      <c r="T1034" s="693">
        <f t="shared" ref="T1034:T1089" si="134">SUM(H1034,J1034,L1034,P1034)</f>
        <v>0</v>
      </c>
      <c r="U1034" s="1035">
        <v>1038</v>
      </c>
      <c r="V1034" s="690">
        <v>299820</v>
      </c>
      <c r="W1034" s="1025"/>
      <c r="X1034" s="1030"/>
      <c r="Y1034" s="694">
        <f t="shared" ref="Y1034:Y1089" si="135">SUM(W1034:X1034)</f>
        <v>0</v>
      </c>
      <c r="Z1034" s="690"/>
      <c r="AA1034" s="690"/>
      <c r="AB1034" s="695">
        <f t="shared" ref="AB1034:AB1089" si="136">SUM(Z1034:AA1034)</f>
        <v>0</v>
      </c>
      <c r="AC1034" s="1035"/>
      <c r="AD1034" s="690"/>
      <c r="AE1034" s="1025"/>
      <c r="AF1034" s="1030"/>
      <c r="AG1034" s="690"/>
      <c r="AH1034" s="690"/>
      <c r="AI1034" s="696">
        <f t="shared" ref="AI1034:AI1089" si="137">SUM(S1034,U1034,W1034,AC1034,AE1034)</f>
        <v>1038</v>
      </c>
      <c r="AJ1034" s="697">
        <f t="shared" ref="AJ1034:AJ1089" si="138">SUM(T1034,V1034,Z1034,AD1034,AG1034)</f>
        <v>299820</v>
      </c>
    </row>
    <row r="1035" spans="1:36" s="700" customFormat="1" ht="12.75" customHeight="1">
      <c r="A1035" s="789" t="s">
        <v>204</v>
      </c>
      <c r="B1035" s="789" t="s">
        <v>418</v>
      </c>
      <c r="C1035" s="794" t="s">
        <v>855</v>
      </c>
      <c r="D1035" s="794"/>
      <c r="E1035" s="798"/>
      <c r="F1035" s="799"/>
      <c r="G1035" s="1025"/>
      <c r="H1035" s="690"/>
      <c r="I1035" s="1030"/>
      <c r="J1035" s="690"/>
      <c r="K1035" s="1030"/>
      <c r="L1035" s="690"/>
      <c r="M1035" s="1025"/>
      <c r="N1035" s="1030"/>
      <c r="O1035" s="692">
        <f t="shared" si="131"/>
        <v>0</v>
      </c>
      <c r="P1035" s="690"/>
      <c r="Q1035" s="690"/>
      <c r="R1035" s="691">
        <f t="shared" si="132"/>
        <v>0</v>
      </c>
      <c r="S1035" s="692">
        <f t="shared" si="133"/>
        <v>0</v>
      </c>
      <c r="T1035" s="693">
        <f t="shared" si="134"/>
        <v>0</v>
      </c>
      <c r="U1035" s="1035">
        <v>882380</v>
      </c>
      <c r="V1035" s="690">
        <v>792641</v>
      </c>
      <c r="W1035" s="1025"/>
      <c r="X1035" s="1030"/>
      <c r="Y1035" s="694">
        <f t="shared" si="135"/>
        <v>0</v>
      </c>
      <c r="Z1035" s="690"/>
      <c r="AA1035" s="690"/>
      <c r="AB1035" s="695">
        <f t="shared" si="136"/>
        <v>0</v>
      </c>
      <c r="AC1035" s="1035"/>
      <c r="AD1035" s="690"/>
      <c r="AE1035" s="1025"/>
      <c r="AF1035" s="1030"/>
      <c r="AG1035" s="690"/>
      <c r="AH1035" s="690"/>
      <c r="AI1035" s="696">
        <f t="shared" si="137"/>
        <v>882380</v>
      </c>
      <c r="AJ1035" s="697">
        <f t="shared" si="138"/>
        <v>792641</v>
      </c>
    </row>
    <row r="1036" spans="1:36" s="700" customFormat="1" ht="12.75" customHeight="1">
      <c r="A1036" s="789" t="s">
        <v>204</v>
      </c>
      <c r="B1036" s="789" t="s">
        <v>419</v>
      </c>
      <c r="C1036" s="802" t="s">
        <v>50</v>
      </c>
      <c r="D1036" s="802"/>
      <c r="E1036" s="798"/>
      <c r="F1036" s="799"/>
      <c r="G1036" s="1025"/>
      <c r="H1036" s="690"/>
      <c r="I1036" s="1030"/>
      <c r="J1036" s="690"/>
      <c r="K1036" s="1030"/>
      <c r="L1036" s="690"/>
      <c r="M1036" s="1025"/>
      <c r="N1036" s="1030"/>
      <c r="O1036" s="692">
        <f t="shared" ref="O1036:O1089" si="139">SUM(M1036:N1036)</f>
        <v>0</v>
      </c>
      <c r="P1036" s="690"/>
      <c r="Q1036" s="690"/>
      <c r="R1036" s="691">
        <f t="shared" si="132"/>
        <v>0</v>
      </c>
      <c r="S1036" s="692">
        <f t="shared" si="133"/>
        <v>0</v>
      </c>
      <c r="T1036" s="693">
        <f t="shared" si="134"/>
        <v>0</v>
      </c>
      <c r="U1036" s="1035"/>
      <c r="V1036" s="690"/>
      <c r="W1036" s="1025"/>
      <c r="X1036" s="1030"/>
      <c r="Y1036" s="694">
        <f t="shared" si="135"/>
        <v>0</v>
      </c>
      <c r="Z1036" s="690"/>
      <c r="AA1036" s="690"/>
      <c r="AB1036" s="695">
        <f t="shared" si="136"/>
        <v>0</v>
      </c>
      <c r="AC1036" s="1035"/>
      <c r="AD1036" s="690"/>
      <c r="AE1036" s="1025"/>
      <c r="AF1036" s="1030"/>
      <c r="AG1036" s="690"/>
      <c r="AH1036" s="690"/>
      <c r="AI1036" s="696">
        <f t="shared" si="137"/>
        <v>0</v>
      </c>
      <c r="AJ1036" s="697">
        <f t="shared" si="138"/>
        <v>0</v>
      </c>
    </row>
    <row r="1037" spans="1:36" s="700" customFormat="1" ht="12.75" customHeight="1">
      <c r="A1037" s="789" t="s">
        <v>204</v>
      </c>
      <c r="B1037" s="789" t="s">
        <v>420</v>
      </c>
      <c r="C1037" s="803" t="s">
        <v>51</v>
      </c>
      <c r="D1037" s="803"/>
      <c r="E1037" s="791"/>
      <c r="F1037" s="792"/>
      <c r="G1037" s="1025"/>
      <c r="H1037" s="690"/>
      <c r="I1037" s="1030"/>
      <c r="J1037" s="690"/>
      <c r="K1037" s="1030"/>
      <c r="L1037" s="690"/>
      <c r="M1037" s="1025"/>
      <c r="N1037" s="1030"/>
      <c r="O1037" s="692">
        <f t="shared" si="139"/>
        <v>0</v>
      </c>
      <c r="P1037" s="690"/>
      <c r="Q1037" s="690"/>
      <c r="R1037" s="691">
        <f t="shared" si="132"/>
        <v>0</v>
      </c>
      <c r="S1037" s="692">
        <f t="shared" si="133"/>
        <v>0</v>
      </c>
      <c r="T1037" s="693">
        <f t="shared" si="134"/>
        <v>0</v>
      </c>
      <c r="U1037" s="1035"/>
      <c r="V1037" s="690"/>
      <c r="W1037" s="1025"/>
      <c r="X1037" s="1030"/>
      <c r="Y1037" s="694">
        <f t="shared" si="135"/>
        <v>0</v>
      </c>
      <c r="Z1037" s="690"/>
      <c r="AA1037" s="690"/>
      <c r="AB1037" s="695">
        <f t="shared" si="136"/>
        <v>0</v>
      </c>
      <c r="AC1037" s="1035"/>
      <c r="AD1037" s="690"/>
      <c r="AE1037" s="1025"/>
      <c r="AF1037" s="1030"/>
      <c r="AG1037" s="690"/>
      <c r="AH1037" s="690"/>
      <c r="AI1037" s="696">
        <f t="shared" si="137"/>
        <v>0</v>
      </c>
      <c r="AJ1037" s="697">
        <f t="shared" si="138"/>
        <v>0</v>
      </c>
    </row>
    <row r="1038" spans="1:36" s="700" customFormat="1" ht="12.75" customHeight="1">
      <c r="A1038" s="789" t="s">
        <v>204</v>
      </c>
      <c r="B1038" s="789" t="s">
        <v>420</v>
      </c>
      <c r="C1038" s="804" t="s">
        <v>856</v>
      </c>
      <c r="D1038" s="804"/>
      <c r="E1038" s="798"/>
      <c r="F1038" s="799"/>
      <c r="G1038" s="1025"/>
      <c r="H1038" s="690"/>
      <c r="I1038" s="1030"/>
      <c r="J1038" s="690"/>
      <c r="K1038" s="1030"/>
      <c r="L1038" s="690"/>
      <c r="M1038" s="1025"/>
      <c r="N1038" s="1030"/>
      <c r="O1038" s="692">
        <f t="shared" si="139"/>
        <v>0</v>
      </c>
      <c r="P1038" s="690"/>
      <c r="Q1038" s="690"/>
      <c r="R1038" s="691">
        <f t="shared" si="132"/>
        <v>0</v>
      </c>
      <c r="S1038" s="692">
        <f t="shared" si="133"/>
        <v>0</v>
      </c>
      <c r="T1038" s="693">
        <f t="shared" si="134"/>
        <v>0</v>
      </c>
      <c r="U1038" s="1035">
        <v>50911</v>
      </c>
      <c r="V1038" s="690">
        <v>0</v>
      </c>
      <c r="W1038" s="1025"/>
      <c r="X1038" s="1030"/>
      <c r="Y1038" s="694">
        <f t="shared" si="135"/>
        <v>0</v>
      </c>
      <c r="Z1038" s="690"/>
      <c r="AA1038" s="690"/>
      <c r="AB1038" s="695">
        <f t="shared" si="136"/>
        <v>0</v>
      </c>
      <c r="AC1038" s="1035"/>
      <c r="AD1038" s="690"/>
      <c r="AE1038" s="1025"/>
      <c r="AF1038" s="1030"/>
      <c r="AG1038" s="690"/>
      <c r="AH1038" s="690"/>
      <c r="AI1038" s="696">
        <f t="shared" si="137"/>
        <v>50911</v>
      </c>
      <c r="AJ1038" s="697">
        <f t="shared" si="138"/>
        <v>0</v>
      </c>
    </row>
    <row r="1039" spans="1:36" s="700" customFormat="1" ht="12.75" customHeight="1">
      <c r="A1039" s="789" t="s">
        <v>204</v>
      </c>
      <c r="B1039" s="805" t="s">
        <v>380</v>
      </c>
      <c r="C1039" s="806" t="s">
        <v>443</v>
      </c>
      <c r="D1039" s="806"/>
      <c r="E1039" s="798"/>
      <c r="F1039" s="799"/>
      <c r="G1039" s="1025"/>
      <c r="H1039" s="690"/>
      <c r="I1039" s="1030"/>
      <c r="J1039" s="690"/>
      <c r="K1039" s="1030"/>
      <c r="L1039" s="690"/>
      <c r="M1039" s="1025"/>
      <c r="N1039" s="1030"/>
      <c r="O1039" s="692">
        <f t="shared" si="139"/>
        <v>0</v>
      </c>
      <c r="P1039" s="690"/>
      <c r="Q1039" s="690"/>
      <c r="R1039" s="691">
        <f t="shared" si="132"/>
        <v>0</v>
      </c>
      <c r="S1039" s="692">
        <f t="shared" si="133"/>
        <v>0</v>
      </c>
      <c r="T1039" s="693">
        <f t="shared" si="134"/>
        <v>0</v>
      </c>
      <c r="U1039" s="1035"/>
      <c r="V1039" s="690"/>
      <c r="W1039" s="1025"/>
      <c r="X1039" s="1030"/>
      <c r="Y1039" s="694">
        <f t="shared" si="135"/>
        <v>0</v>
      </c>
      <c r="Z1039" s="690"/>
      <c r="AA1039" s="690"/>
      <c r="AB1039" s="695">
        <f t="shared" si="136"/>
        <v>0</v>
      </c>
      <c r="AC1039" s="1035"/>
      <c r="AD1039" s="690"/>
      <c r="AE1039" s="1025"/>
      <c r="AF1039" s="1030"/>
      <c r="AG1039" s="690"/>
      <c r="AH1039" s="690"/>
      <c r="AI1039" s="696">
        <f t="shared" si="137"/>
        <v>0</v>
      </c>
      <c r="AJ1039" s="697">
        <f t="shared" si="138"/>
        <v>0</v>
      </c>
    </row>
    <row r="1040" spans="1:36" s="700" customFormat="1" ht="12.75" customHeight="1">
      <c r="A1040" s="789" t="s">
        <v>204</v>
      </c>
      <c r="B1040" s="805" t="s">
        <v>381</v>
      </c>
      <c r="C1040" s="806" t="s">
        <v>377</v>
      </c>
      <c r="D1040" s="806"/>
      <c r="E1040" s="798"/>
      <c r="F1040" s="799"/>
      <c r="G1040" s="1025"/>
      <c r="H1040" s="690"/>
      <c r="I1040" s="1030"/>
      <c r="J1040" s="690"/>
      <c r="K1040" s="1030"/>
      <c r="L1040" s="690"/>
      <c r="M1040" s="1025"/>
      <c r="N1040" s="1030"/>
      <c r="O1040" s="692">
        <f t="shared" si="139"/>
        <v>0</v>
      </c>
      <c r="P1040" s="690"/>
      <c r="Q1040" s="690"/>
      <c r="R1040" s="691">
        <f t="shared" si="132"/>
        <v>0</v>
      </c>
      <c r="S1040" s="692">
        <f t="shared" si="133"/>
        <v>0</v>
      </c>
      <c r="T1040" s="693">
        <f t="shared" si="134"/>
        <v>0</v>
      </c>
      <c r="U1040" s="1035"/>
      <c r="V1040" s="690"/>
      <c r="W1040" s="1025"/>
      <c r="X1040" s="1030"/>
      <c r="Y1040" s="694">
        <f t="shared" si="135"/>
        <v>0</v>
      </c>
      <c r="Z1040" s="690"/>
      <c r="AA1040" s="690"/>
      <c r="AB1040" s="695">
        <f t="shared" si="136"/>
        <v>0</v>
      </c>
      <c r="AC1040" s="1035"/>
      <c r="AD1040" s="690"/>
      <c r="AE1040" s="1025"/>
      <c r="AF1040" s="1030"/>
      <c r="AG1040" s="690"/>
      <c r="AH1040" s="690"/>
      <c r="AI1040" s="696">
        <f t="shared" si="137"/>
        <v>0</v>
      </c>
      <c r="AJ1040" s="697">
        <f t="shared" si="138"/>
        <v>0</v>
      </c>
    </row>
    <row r="1041" spans="1:36" s="700" customFormat="1" ht="12.75" customHeight="1">
      <c r="A1041" s="789" t="s">
        <v>204</v>
      </c>
      <c r="B1041" s="805" t="s">
        <v>295</v>
      </c>
      <c r="C1041" s="806" t="s">
        <v>53</v>
      </c>
      <c r="D1041" s="806"/>
      <c r="E1041" s="798"/>
      <c r="F1041" s="799"/>
      <c r="G1041" s="1025"/>
      <c r="H1041" s="690"/>
      <c r="I1041" s="1030"/>
      <c r="J1041" s="690"/>
      <c r="K1041" s="1030"/>
      <c r="L1041" s="690"/>
      <c r="M1041" s="1025"/>
      <c r="N1041" s="1030"/>
      <c r="O1041" s="692">
        <f t="shared" si="139"/>
        <v>0</v>
      </c>
      <c r="P1041" s="690"/>
      <c r="Q1041" s="690"/>
      <c r="R1041" s="691">
        <f t="shared" si="132"/>
        <v>0</v>
      </c>
      <c r="S1041" s="692">
        <f t="shared" si="133"/>
        <v>0</v>
      </c>
      <c r="T1041" s="693">
        <f t="shared" si="134"/>
        <v>0</v>
      </c>
      <c r="U1041" s="1035"/>
      <c r="V1041" s="690"/>
      <c r="W1041" s="1025"/>
      <c r="X1041" s="1030"/>
      <c r="Y1041" s="694">
        <f t="shared" si="135"/>
        <v>0</v>
      </c>
      <c r="Z1041" s="690"/>
      <c r="AA1041" s="690"/>
      <c r="AB1041" s="695">
        <f t="shared" si="136"/>
        <v>0</v>
      </c>
      <c r="AC1041" s="1035"/>
      <c r="AD1041" s="690"/>
      <c r="AE1041" s="1025"/>
      <c r="AF1041" s="1030"/>
      <c r="AG1041" s="690"/>
      <c r="AH1041" s="690"/>
      <c r="AI1041" s="696">
        <f t="shared" si="137"/>
        <v>0</v>
      </c>
      <c r="AJ1041" s="697">
        <f t="shared" si="138"/>
        <v>0</v>
      </c>
    </row>
    <row r="1042" spans="1:36" s="700" customFormat="1" ht="12.75" customHeight="1">
      <c r="A1042" s="789" t="s">
        <v>204</v>
      </c>
      <c r="B1042" s="805" t="s">
        <v>296</v>
      </c>
      <c r="C1042" s="806" t="s">
        <v>443</v>
      </c>
      <c r="D1042" s="806"/>
      <c r="E1042" s="798"/>
      <c r="F1042" s="799"/>
      <c r="G1042" s="1025"/>
      <c r="H1042" s="690"/>
      <c r="I1042" s="1030"/>
      <c r="J1042" s="690"/>
      <c r="K1042" s="1030"/>
      <c r="L1042" s="690"/>
      <c r="M1042" s="1025"/>
      <c r="N1042" s="1030"/>
      <c r="O1042" s="692">
        <f t="shared" si="139"/>
        <v>0</v>
      </c>
      <c r="P1042" s="690"/>
      <c r="Q1042" s="690"/>
      <c r="R1042" s="691">
        <f t="shared" si="132"/>
        <v>0</v>
      </c>
      <c r="S1042" s="692">
        <f t="shared" si="133"/>
        <v>0</v>
      </c>
      <c r="T1042" s="693">
        <f t="shared" si="134"/>
        <v>0</v>
      </c>
      <c r="U1042" s="1035"/>
      <c r="V1042" s="690"/>
      <c r="W1042" s="1025"/>
      <c r="X1042" s="1030"/>
      <c r="Y1042" s="694">
        <f t="shared" si="135"/>
        <v>0</v>
      </c>
      <c r="Z1042" s="690"/>
      <c r="AA1042" s="690"/>
      <c r="AB1042" s="695">
        <f t="shared" si="136"/>
        <v>0</v>
      </c>
      <c r="AC1042" s="1035"/>
      <c r="AD1042" s="690"/>
      <c r="AE1042" s="1025"/>
      <c r="AF1042" s="1030"/>
      <c r="AG1042" s="690"/>
      <c r="AH1042" s="690"/>
      <c r="AI1042" s="696">
        <f t="shared" si="137"/>
        <v>0</v>
      </c>
      <c r="AJ1042" s="697">
        <f t="shared" si="138"/>
        <v>0</v>
      </c>
    </row>
    <row r="1043" spans="1:36" s="700" customFormat="1" ht="12.75" customHeight="1">
      <c r="A1043" s="789" t="s">
        <v>204</v>
      </c>
      <c r="B1043" s="805" t="s">
        <v>278</v>
      </c>
      <c r="C1043" s="806" t="s">
        <v>377</v>
      </c>
      <c r="D1043" s="806"/>
      <c r="E1043" s="798"/>
      <c r="F1043" s="799"/>
      <c r="G1043" s="1025"/>
      <c r="H1043" s="690"/>
      <c r="I1043" s="1030"/>
      <c r="J1043" s="690"/>
      <c r="K1043" s="1030"/>
      <c r="L1043" s="690"/>
      <c r="M1043" s="1025"/>
      <c r="N1043" s="1030"/>
      <c r="O1043" s="692">
        <f t="shared" si="139"/>
        <v>0</v>
      </c>
      <c r="P1043" s="690"/>
      <c r="Q1043" s="690"/>
      <c r="R1043" s="691">
        <f t="shared" si="132"/>
        <v>0</v>
      </c>
      <c r="S1043" s="692">
        <f t="shared" si="133"/>
        <v>0</v>
      </c>
      <c r="T1043" s="693">
        <f t="shared" si="134"/>
        <v>0</v>
      </c>
      <c r="U1043" s="1035"/>
      <c r="V1043" s="690"/>
      <c r="W1043" s="1025"/>
      <c r="X1043" s="1030"/>
      <c r="Y1043" s="694">
        <f t="shared" si="135"/>
        <v>0</v>
      </c>
      <c r="Z1043" s="690"/>
      <c r="AA1043" s="690"/>
      <c r="AB1043" s="695">
        <f t="shared" si="136"/>
        <v>0</v>
      </c>
      <c r="AC1043" s="1035"/>
      <c r="AD1043" s="690"/>
      <c r="AE1043" s="1025"/>
      <c r="AF1043" s="1030"/>
      <c r="AG1043" s="690"/>
      <c r="AH1043" s="690"/>
      <c r="AI1043" s="696">
        <f t="shared" si="137"/>
        <v>0</v>
      </c>
      <c r="AJ1043" s="697">
        <f t="shared" si="138"/>
        <v>0</v>
      </c>
    </row>
    <row r="1044" spans="1:36" s="700" customFormat="1" ht="12.75" customHeight="1">
      <c r="A1044" s="789" t="s">
        <v>204</v>
      </c>
      <c r="B1044" s="805" t="s">
        <v>279</v>
      </c>
      <c r="C1044" s="806" t="s">
        <v>54</v>
      </c>
      <c r="D1044" s="806"/>
      <c r="E1044" s="798"/>
      <c r="F1044" s="799"/>
      <c r="G1044" s="1025"/>
      <c r="H1044" s="690"/>
      <c r="I1044" s="1030"/>
      <c r="J1044" s="690"/>
      <c r="K1044" s="1030"/>
      <c r="L1044" s="690"/>
      <c r="M1044" s="1025"/>
      <c r="N1044" s="1030"/>
      <c r="O1044" s="692">
        <f t="shared" si="139"/>
        <v>0</v>
      </c>
      <c r="P1044" s="690"/>
      <c r="Q1044" s="690"/>
      <c r="R1044" s="691">
        <f t="shared" si="132"/>
        <v>0</v>
      </c>
      <c r="S1044" s="692">
        <f t="shared" si="133"/>
        <v>0</v>
      </c>
      <c r="T1044" s="693">
        <f t="shared" si="134"/>
        <v>0</v>
      </c>
      <c r="U1044" s="1035"/>
      <c r="V1044" s="690"/>
      <c r="W1044" s="1025"/>
      <c r="X1044" s="1030"/>
      <c r="Y1044" s="694">
        <f t="shared" si="135"/>
        <v>0</v>
      </c>
      <c r="Z1044" s="690"/>
      <c r="AA1044" s="690"/>
      <c r="AB1044" s="695">
        <f t="shared" si="136"/>
        <v>0</v>
      </c>
      <c r="AC1044" s="1035"/>
      <c r="AD1044" s="690"/>
      <c r="AE1044" s="1025"/>
      <c r="AF1044" s="1030"/>
      <c r="AG1044" s="690"/>
      <c r="AH1044" s="690"/>
      <c r="AI1044" s="696">
        <f t="shared" si="137"/>
        <v>0</v>
      </c>
      <c r="AJ1044" s="697">
        <f t="shared" si="138"/>
        <v>0</v>
      </c>
    </row>
    <row r="1045" spans="1:36" s="700" customFormat="1" ht="12.75" customHeight="1">
      <c r="A1045" s="789" t="s">
        <v>204</v>
      </c>
      <c r="B1045" s="805" t="s">
        <v>317</v>
      </c>
      <c r="C1045" s="806" t="s">
        <v>443</v>
      </c>
      <c r="D1045" s="806"/>
      <c r="E1045" s="798"/>
      <c r="F1045" s="799"/>
      <c r="G1045" s="1025"/>
      <c r="H1045" s="690"/>
      <c r="I1045" s="1030"/>
      <c r="J1045" s="690"/>
      <c r="K1045" s="1030"/>
      <c r="L1045" s="690"/>
      <c r="M1045" s="1025"/>
      <c r="N1045" s="1030"/>
      <c r="O1045" s="692">
        <f t="shared" si="139"/>
        <v>0</v>
      </c>
      <c r="P1045" s="690"/>
      <c r="Q1045" s="690"/>
      <c r="R1045" s="691">
        <f t="shared" si="132"/>
        <v>0</v>
      </c>
      <c r="S1045" s="692">
        <f t="shared" si="133"/>
        <v>0</v>
      </c>
      <c r="T1045" s="693">
        <f t="shared" si="134"/>
        <v>0</v>
      </c>
      <c r="U1045" s="1035"/>
      <c r="V1045" s="690"/>
      <c r="W1045" s="1025"/>
      <c r="X1045" s="1030"/>
      <c r="Y1045" s="694">
        <f t="shared" si="135"/>
        <v>0</v>
      </c>
      <c r="Z1045" s="690"/>
      <c r="AA1045" s="690"/>
      <c r="AB1045" s="695">
        <f t="shared" si="136"/>
        <v>0</v>
      </c>
      <c r="AC1045" s="1035"/>
      <c r="AD1045" s="690"/>
      <c r="AE1045" s="1025"/>
      <c r="AF1045" s="1030"/>
      <c r="AG1045" s="690"/>
      <c r="AH1045" s="690"/>
      <c r="AI1045" s="696">
        <f t="shared" si="137"/>
        <v>0</v>
      </c>
      <c r="AJ1045" s="697">
        <f t="shared" si="138"/>
        <v>0</v>
      </c>
    </row>
    <row r="1046" spans="1:36" s="700" customFormat="1" ht="12.75" customHeight="1">
      <c r="A1046" s="789" t="s">
        <v>204</v>
      </c>
      <c r="B1046" s="805" t="s">
        <v>318</v>
      </c>
      <c r="C1046" s="806" t="s">
        <v>377</v>
      </c>
      <c r="D1046" s="806"/>
      <c r="E1046" s="798"/>
      <c r="F1046" s="799"/>
      <c r="G1046" s="1025"/>
      <c r="H1046" s="690"/>
      <c r="I1046" s="1030"/>
      <c r="J1046" s="690"/>
      <c r="K1046" s="1030"/>
      <c r="L1046" s="690"/>
      <c r="M1046" s="1025"/>
      <c r="N1046" s="1030"/>
      <c r="O1046" s="692">
        <f t="shared" si="139"/>
        <v>0</v>
      </c>
      <c r="P1046" s="690"/>
      <c r="Q1046" s="690"/>
      <c r="R1046" s="691">
        <f t="shared" si="132"/>
        <v>0</v>
      </c>
      <c r="S1046" s="692">
        <f t="shared" si="133"/>
        <v>0</v>
      </c>
      <c r="T1046" s="693">
        <f t="shared" si="134"/>
        <v>0</v>
      </c>
      <c r="U1046" s="1035"/>
      <c r="V1046" s="690"/>
      <c r="W1046" s="1025"/>
      <c r="X1046" s="1030"/>
      <c r="Y1046" s="694">
        <f t="shared" si="135"/>
        <v>0</v>
      </c>
      <c r="Z1046" s="690"/>
      <c r="AA1046" s="690"/>
      <c r="AB1046" s="695">
        <f t="shared" si="136"/>
        <v>0</v>
      </c>
      <c r="AC1046" s="1035"/>
      <c r="AD1046" s="690"/>
      <c r="AE1046" s="1025"/>
      <c r="AF1046" s="1030"/>
      <c r="AG1046" s="690"/>
      <c r="AH1046" s="690"/>
      <c r="AI1046" s="696">
        <f t="shared" si="137"/>
        <v>0</v>
      </c>
      <c r="AJ1046" s="697">
        <f t="shared" si="138"/>
        <v>0</v>
      </c>
    </row>
    <row r="1047" spans="1:36" s="700" customFormat="1" ht="12.75" customHeight="1">
      <c r="A1047" s="789" t="s">
        <v>204</v>
      </c>
      <c r="B1047" s="789" t="s">
        <v>420</v>
      </c>
      <c r="C1047" s="804" t="s">
        <v>857</v>
      </c>
      <c r="D1047" s="804"/>
      <c r="E1047" s="798"/>
      <c r="F1047" s="799"/>
      <c r="G1047" s="1025"/>
      <c r="H1047" s="690"/>
      <c r="I1047" s="1030"/>
      <c r="J1047" s="690"/>
      <c r="K1047" s="1030"/>
      <c r="L1047" s="690"/>
      <c r="M1047" s="1025"/>
      <c r="N1047" s="1030"/>
      <c r="O1047" s="692">
        <f t="shared" si="139"/>
        <v>0</v>
      </c>
      <c r="P1047" s="690"/>
      <c r="Q1047" s="690"/>
      <c r="R1047" s="691">
        <f t="shared" si="132"/>
        <v>0</v>
      </c>
      <c r="S1047" s="692">
        <f t="shared" si="133"/>
        <v>0</v>
      </c>
      <c r="T1047" s="693">
        <f t="shared" si="134"/>
        <v>0</v>
      </c>
      <c r="U1047" s="1035"/>
      <c r="V1047" s="690"/>
      <c r="W1047" s="1025"/>
      <c r="X1047" s="1030"/>
      <c r="Y1047" s="694">
        <f t="shared" si="135"/>
        <v>0</v>
      </c>
      <c r="Z1047" s="690"/>
      <c r="AA1047" s="690"/>
      <c r="AB1047" s="695">
        <f t="shared" si="136"/>
        <v>0</v>
      </c>
      <c r="AC1047" s="1035"/>
      <c r="AD1047" s="690"/>
      <c r="AE1047" s="1025"/>
      <c r="AF1047" s="1030"/>
      <c r="AG1047" s="690"/>
      <c r="AH1047" s="690"/>
      <c r="AI1047" s="696">
        <f t="shared" si="137"/>
        <v>0</v>
      </c>
      <c r="AJ1047" s="697">
        <f t="shared" si="138"/>
        <v>0</v>
      </c>
    </row>
    <row r="1048" spans="1:36" s="700" customFormat="1" ht="12.75" customHeight="1">
      <c r="A1048" s="789" t="s">
        <v>204</v>
      </c>
      <c r="B1048" s="805" t="s">
        <v>295</v>
      </c>
      <c r="C1048" s="806" t="s">
        <v>53</v>
      </c>
      <c r="D1048" s="806"/>
      <c r="E1048" s="798"/>
      <c r="F1048" s="799"/>
      <c r="G1048" s="1025"/>
      <c r="H1048" s="690"/>
      <c r="I1048" s="1030"/>
      <c r="J1048" s="690"/>
      <c r="K1048" s="1030"/>
      <c r="L1048" s="690"/>
      <c r="M1048" s="1025"/>
      <c r="N1048" s="1030"/>
      <c r="O1048" s="692">
        <f t="shared" si="139"/>
        <v>0</v>
      </c>
      <c r="P1048" s="690"/>
      <c r="Q1048" s="690"/>
      <c r="R1048" s="691">
        <f t="shared" si="132"/>
        <v>0</v>
      </c>
      <c r="S1048" s="692">
        <f t="shared" si="133"/>
        <v>0</v>
      </c>
      <c r="T1048" s="693">
        <f t="shared" si="134"/>
        <v>0</v>
      </c>
      <c r="U1048" s="1035"/>
      <c r="V1048" s="690"/>
      <c r="W1048" s="1025"/>
      <c r="X1048" s="1030"/>
      <c r="Y1048" s="694">
        <f t="shared" si="135"/>
        <v>0</v>
      </c>
      <c r="Z1048" s="690"/>
      <c r="AA1048" s="690"/>
      <c r="AB1048" s="695">
        <f t="shared" si="136"/>
        <v>0</v>
      </c>
      <c r="AC1048" s="1035"/>
      <c r="AD1048" s="690"/>
      <c r="AE1048" s="1025"/>
      <c r="AF1048" s="1030"/>
      <c r="AG1048" s="690"/>
      <c r="AH1048" s="690"/>
      <c r="AI1048" s="696">
        <f t="shared" si="137"/>
        <v>0</v>
      </c>
      <c r="AJ1048" s="697">
        <f t="shared" si="138"/>
        <v>0</v>
      </c>
    </row>
    <row r="1049" spans="1:36" s="700" customFormat="1" ht="12.75" customHeight="1">
      <c r="A1049" s="789" t="s">
        <v>204</v>
      </c>
      <c r="B1049" s="805" t="s">
        <v>296</v>
      </c>
      <c r="C1049" s="806" t="s">
        <v>443</v>
      </c>
      <c r="D1049" s="806"/>
      <c r="E1049" s="798"/>
      <c r="F1049" s="799"/>
      <c r="G1049" s="1025"/>
      <c r="H1049" s="690"/>
      <c r="I1049" s="1030"/>
      <c r="J1049" s="690"/>
      <c r="K1049" s="1030"/>
      <c r="L1049" s="690"/>
      <c r="M1049" s="1025"/>
      <c r="N1049" s="1030"/>
      <c r="O1049" s="692">
        <f t="shared" si="139"/>
        <v>0</v>
      </c>
      <c r="P1049" s="690"/>
      <c r="Q1049" s="690"/>
      <c r="R1049" s="691">
        <f t="shared" si="132"/>
        <v>0</v>
      </c>
      <c r="S1049" s="692">
        <f t="shared" si="133"/>
        <v>0</v>
      </c>
      <c r="T1049" s="693">
        <f t="shared" si="134"/>
        <v>0</v>
      </c>
      <c r="U1049" s="1035"/>
      <c r="V1049" s="690"/>
      <c r="W1049" s="1025"/>
      <c r="X1049" s="1030"/>
      <c r="Y1049" s="694">
        <f t="shared" si="135"/>
        <v>0</v>
      </c>
      <c r="Z1049" s="690"/>
      <c r="AA1049" s="690"/>
      <c r="AB1049" s="695">
        <f t="shared" si="136"/>
        <v>0</v>
      </c>
      <c r="AC1049" s="1035"/>
      <c r="AD1049" s="690"/>
      <c r="AE1049" s="1025"/>
      <c r="AF1049" s="1030"/>
      <c r="AG1049" s="690"/>
      <c r="AH1049" s="690"/>
      <c r="AI1049" s="696">
        <f t="shared" si="137"/>
        <v>0</v>
      </c>
      <c r="AJ1049" s="697">
        <f t="shared" si="138"/>
        <v>0</v>
      </c>
    </row>
    <row r="1050" spans="1:36" s="700" customFormat="1" ht="12.75" customHeight="1">
      <c r="A1050" s="789" t="s">
        <v>204</v>
      </c>
      <c r="B1050" s="805" t="s">
        <v>278</v>
      </c>
      <c r="C1050" s="806" t="s">
        <v>377</v>
      </c>
      <c r="D1050" s="806"/>
      <c r="E1050" s="798"/>
      <c r="F1050" s="799"/>
      <c r="G1050" s="1025"/>
      <c r="H1050" s="690"/>
      <c r="I1050" s="1030"/>
      <c r="J1050" s="690"/>
      <c r="K1050" s="1030"/>
      <c r="L1050" s="690"/>
      <c r="M1050" s="1025"/>
      <c r="N1050" s="1030"/>
      <c r="O1050" s="692">
        <f t="shared" si="139"/>
        <v>0</v>
      </c>
      <c r="P1050" s="690"/>
      <c r="Q1050" s="690"/>
      <c r="R1050" s="691">
        <f t="shared" si="132"/>
        <v>0</v>
      </c>
      <c r="S1050" s="692">
        <f t="shared" si="133"/>
        <v>0</v>
      </c>
      <c r="T1050" s="693">
        <f t="shared" si="134"/>
        <v>0</v>
      </c>
      <c r="U1050" s="1035">
        <v>255850</v>
      </c>
      <c r="V1050" s="690">
        <v>306761</v>
      </c>
      <c r="W1050" s="1025"/>
      <c r="X1050" s="1030"/>
      <c r="Y1050" s="694">
        <f t="shared" si="135"/>
        <v>0</v>
      </c>
      <c r="Z1050" s="690"/>
      <c r="AA1050" s="690"/>
      <c r="AB1050" s="695">
        <f t="shared" si="136"/>
        <v>0</v>
      </c>
      <c r="AC1050" s="1035"/>
      <c r="AD1050" s="690"/>
      <c r="AE1050" s="1025"/>
      <c r="AF1050" s="1030"/>
      <c r="AG1050" s="690"/>
      <c r="AH1050" s="690"/>
      <c r="AI1050" s="696">
        <f t="shared" si="137"/>
        <v>255850</v>
      </c>
      <c r="AJ1050" s="697">
        <f t="shared" si="138"/>
        <v>306761</v>
      </c>
    </row>
    <row r="1051" spans="1:36" s="700" customFormat="1" ht="12.75" customHeight="1">
      <c r="A1051" s="789" t="s">
        <v>204</v>
      </c>
      <c r="B1051" s="805" t="s">
        <v>279</v>
      </c>
      <c r="C1051" s="806" t="s">
        <v>54</v>
      </c>
      <c r="D1051" s="806"/>
      <c r="E1051" s="798"/>
      <c r="F1051" s="799"/>
      <c r="G1051" s="1025"/>
      <c r="H1051" s="690"/>
      <c r="I1051" s="1030"/>
      <c r="J1051" s="690"/>
      <c r="K1051" s="1030"/>
      <c r="L1051" s="690"/>
      <c r="M1051" s="1025"/>
      <c r="N1051" s="1030"/>
      <c r="O1051" s="692">
        <f t="shared" si="139"/>
        <v>0</v>
      </c>
      <c r="P1051" s="690"/>
      <c r="Q1051" s="690"/>
      <c r="R1051" s="691">
        <f t="shared" si="132"/>
        <v>0</v>
      </c>
      <c r="S1051" s="692">
        <f t="shared" si="133"/>
        <v>0</v>
      </c>
      <c r="T1051" s="693">
        <f t="shared" si="134"/>
        <v>0</v>
      </c>
      <c r="U1051" s="1035"/>
      <c r="V1051" s="690"/>
      <c r="W1051" s="1025"/>
      <c r="X1051" s="1030"/>
      <c r="Y1051" s="694">
        <f t="shared" si="135"/>
        <v>0</v>
      </c>
      <c r="Z1051" s="690"/>
      <c r="AA1051" s="690"/>
      <c r="AB1051" s="695">
        <f t="shared" si="136"/>
        <v>0</v>
      </c>
      <c r="AC1051" s="1035"/>
      <c r="AD1051" s="690"/>
      <c r="AE1051" s="1025"/>
      <c r="AF1051" s="1030"/>
      <c r="AG1051" s="690"/>
      <c r="AH1051" s="690"/>
      <c r="AI1051" s="696">
        <f t="shared" si="137"/>
        <v>0</v>
      </c>
      <c r="AJ1051" s="697">
        <f t="shared" si="138"/>
        <v>0</v>
      </c>
    </row>
    <row r="1052" spans="1:36" s="700" customFormat="1" ht="12.75" customHeight="1">
      <c r="A1052" s="789" t="s">
        <v>204</v>
      </c>
      <c r="B1052" s="805" t="s">
        <v>317</v>
      </c>
      <c r="C1052" s="806" t="s">
        <v>443</v>
      </c>
      <c r="D1052" s="806"/>
      <c r="E1052" s="798"/>
      <c r="F1052" s="799"/>
      <c r="G1052" s="1025"/>
      <c r="H1052" s="690"/>
      <c r="I1052" s="1030"/>
      <c r="J1052" s="690"/>
      <c r="K1052" s="1030"/>
      <c r="L1052" s="690"/>
      <c r="M1052" s="1025"/>
      <c r="N1052" s="1030"/>
      <c r="O1052" s="692">
        <f t="shared" si="139"/>
        <v>0</v>
      </c>
      <c r="P1052" s="690"/>
      <c r="Q1052" s="690"/>
      <c r="R1052" s="691">
        <f t="shared" si="132"/>
        <v>0</v>
      </c>
      <c r="S1052" s="692">
        <f t="shared" si="133"/>
        <v>0</v>
      </c>
      <c r="T1052" s="693">
        <f t="shared" si="134"/>
        <v>0</v>
      </c>
      <c r="U1052" s="1035"/>
      <c r="V1052" s="690"/>
      <c r="W1052" s="1025"/>
      <c r="X1052" s="1030"/>
      <c r="Y1052" s="694">
        <f t="shared" si="135"/>
        <v>0</v>
      </c>
      <c r="Z1052" s="690"/>
      <c r="AA1052" s="690"/>
      <c r="AB1052" s="695">
        <f t="shared" si="136"/>
        <v>0</v>
      </c>
      <c r="AC1052" s="1035"/>
      <c r="AD1052" s="690"/>
      <c r="AE1052" s="1025"/>
      <c r="AF1052" s="1030"/>
      <c r="AG1052" s="690"/>
      <c r="AH1052" s="690"/>
      <c r="AI1052" s="696">
        <f t="shared" si="137"/>
        <v>0</v>
      </c>
      <c r="AJ1052" s="697">
        <f t="shared" si="138"/>
        <v>0</v>
      </c>
    </row>
    <row r="1053" spans="1:36" s="700" customFormat="1" ht="12.75" customHeight="1">
      <c r="A1053" s="789" t="s">
        <v>204</v>
      </c>
      <c r="B1053" s="805" t="s">
        <v>318</v>
      </c>
      <c r="C1053" s="806" t="s">
        <v>377</v>
      </c>
      <c r="D1053" s="806"/>
      <c r="E1053" s="798"/>
      <c r="F1053" s="799"/>
      <c r="G1053" s="1025"/>
      <c r="H1053" s="690"/>
      <c r="I1053" s="1030"/>
      <c r="J1053" s="690"/>
      <c r="K1053" s="1030"/>
      <c r="L1053" s="690"/>
      <c r="M1053" s="1025"/>
      <c r="N1053" s="1030"/>
      <c r="O1053" s="692">
        <f t="shared" si="139"/>
        <v>0</v>
      </c>
      <c r="P1053" s="690"/>
      <c r="Q1053" s="690"/>
      <c r="R1053" s="691">
        <f t="shared" si="132"/>
        <v>0</v>
      </c>
      <c r="S1053" s="692">
        <f t="shared" si="133"/>
        <v>0</v>
      </c>
      <c r="T1053" s="693">
        <f t="shared" si="134"/>
        <v>0</v>
      </c>
      <c r="U1053" s="1035"/>
      <c r="V1053" s="690"/>
      <c r="W1053" s="1025"/>
      <c r="X1053" s="1030"/>
      <c r="Y1053" s="694">
        <f t="shared" si="135"/>
        <v>0</v>
      </c>
      <c r="Z1053" s="690"/>
      <c r="AA1053" s="690"/>
      <c r="AB1053" s="695">
        <f t="shared" si="136"/>
        <v>0</v>
      </c>
      <c r="AC1053" s="1035"/>
      <c r="AD1053" s="690"/>
      <c r="AE1053" s="1025"/>
      <c r="AF1053" s="1030"/>
      <c r="AG1053" s="690"/>
      <c r="AH1053" s="690"/>
      <c r="AI1053" s="696">
        <f t="shared" si="137"/>
        <v>0</v>
      </c>
      <c r="AJ1053" s="697">
        <f t="shared" si="138"/>
        <v>0</v>
      </c>
    </row>
    <row r="1054" spans="1:36" s="700" customFormat="1" ht="12.75" customHeight="1">
      <c r="A1054" s="789" t="s">
        <v>204</v>
      </c>
      <c r="B1054" s="805" t="s">
        <v>420</v>
      </c>
      <c r="C1054" s="804" t="s">
        <v>858</v>
      </c>
      <c r="D1054" s="804"/>
      <c r="E1054" s="798"/>
      <c r="F1054" s="799"/>
      <c r="G1054" s="1025"/>
      <c r="H1054" s="690"/>
      <c r="I1054" s="1030"/>
      <c r="J1054" s="690"/>
      <c r="K1054" s="1030"/>
      <c r="L1054" s="690"/>
      <c r="M1054" s="1025"/>
      <c r="N1054" s="1030"/>
      <c r="O1054" s="692">
        <f t="shared" si="139"/>
        <v>0</v>
      </c>
      <c r="P1054" s="690"/>
      <c r="Q1054" s="690"/>
      <c r="R1054" s="691">
        <f t="shared" si="132"/>
        <v>0</v>
      </c>
      <c r="S1054" s="692">
        <f t="shared" si="133"/>
        <v>0</v>
      </c>
      <c r="T1054" s="693">
        <f t="shared" si="134"/>
        <v>0</v>
      </c>
      <c r="U1054" s="1035">
        <v>5332698</v>
      </c>
      <c r="V1054" s="690">
        <v>0</v>
      </c>
      <c r="W1054" s="1025"/>
      <c r="X1054" s="1030"/>
      <c r="Y1054" s="694">
        <f t="shared" si="135"/>
        <v>0</v>
      </c>
      <c r="Z1054" s="690"/>
      <c r="AA1054" s="690"/>
      <c r="AB1054" s="695">
        <f t="shared" si="136"/>
        <v>0</v>
      </c>
      <c r="AC1054" s="1035"/>
      <c r="AD1054" s="690"/>
      <c r="AE1054" s="1025"/>
      <c r="AF1054" s="1030"/>
      <c r="AG1054" s="690"/>
      <c r="AH1054" s="690"/>
      <c r="AI1054" s="696">
        <f t="shared" si="137"/>
        <v>5332698</v>
      </c>
      <c r="AJ1054" s="697">
        <f t="shared" si="138"/>
        <v>0</v>
      </c>
    </row>
    <row r="1055" spans="1:36" s="700" customFormat="1" ht="12.75" customHeight="1">
      <c r="A1055" s="789" t="s">
        <v>204</v>
      </c>
      <c r="B1055" s="805" t="s">
        <v>380</v>
      </c>
      <c r="C1055" s="806" t="s">
        <v>443</v>
      </c>
      <c r="D1055" s="806"/>
      <c r="E1055" s="798"/>
      <c r="F1055" s="799"/>
      <c r="G1055" s="1025"/>
      <c r="H1055" s="690"/>
      <c r="I1055" s="1030"/>
      <c r="J1055" s="690"/>
      <c r="K1055" s="1030"/>
      <c r="L1055" s="690"/>
      <c r="M1055" s="1025"/>
      <c r="N1055" s="1030"/>
      <c r="O1055" s="692">
        <f t="shared" si="139"/>
        <v>0</v>
      </c>
      <c r="P1055" s="690"/>
      <c r="Q1055" s="690"/>
      <c r="R1055" s="691">
        <f t="shared" si="132"/>
        <v>0</v>
      </c>
      <c r="S1055" s="692">
        <f t="shared" si="133"/>
        <v>0</v>
      </c>
      <c r="T1055" s="693">
        <f t="shared" si="134"/>
        <v>0</v>
      </c>
      <c r="U1055" s="1035"/>
      <c r="V1055" s="690"/>
      <c r="W1055" s="1025"/>
      <c r="X1055" s="1030"/>
      <c r="Y1055" s="694">
        <f t="shared" si="135"/>
        <v>0</v>
      </c>
      <c r="Z1055" s="690"/>
      <c r="AA1055" s="690"/>
      <c r="AB1055" s="695">
        <f t="shared" si="136"/>
        <v>0</v>
      </c>
      <c r="AC1055" s="1035"/>
      <c r="AD1055" s="690"/>
      <c r="AE1055" s="1025"/>
      <c r="AF1055" s="1030"/>
      <c r="AG1055" s="690"/>
      <c r="AH1055" s="690"/>
      <c r="AI1055" s="696">
        <f t="shared" si="137"/>
        <v>0</v>
      </c>
      <c r="AJ1055" s="697">
        <f t="shared" si="138"/>
        <v>0</v>
      </c>
    </row>
    <row r="1056" spans="1:36" s="700" customFormat="1" ht="12.75" customHeight="1">
      <c r="A1056" s="789" t="s">
        <v>204</v>
      </c>
      <c r="B1056" s="805" t="s">
        <v>381</v>
      </c>
      <c r="C1056" s="806" t="s">
        <v>377</v>
      </c>
      <c r="D1056" s="806"/>
      <c r="E1056" s="798"/>
      <c r="F1056" s="799"/>
      <c r="G1056" s="1025"/>
      <c r="H1056" s="690"/>
      <c r="I1056" s="1030"/>
      <c r="J1056" s="690"/>
      <c r="K1056" s="1030"/>
      <c r="L1056" s="690"/>
      <c r="M1056" s="1025"/>
      <c r="N1056" s="1030"/>
      <c r="O1056" s="692">
        <f t="shared" si="139"/>
        <v>0</v>
      </c>
      <c r="P1056" s="690"/>
      <c r="Q1056" s="690"/>
      <c r="R1056" s="691">
        <f t="shared" si="132"/>
        <v>0</v>
      </c>
      <c r="S1056" s="692">
        <f t="shared" si="133"/>
        <v>0</v>
      </c>
      <c r="T1056" s="693">
        <f t="shared" si="134"/>
        <v>0</v>
      </c>
      <c r="U1056" s="1035"/>
      <c r="V1056" s="690"/>
      <c r="W1056" s="1025"/>
      <c r="X1056" s="1030"/>
      <c r="Y1056" s="694">
        <f t="shared" si="135"/>
        <v>0</v>
      </c>
      <c r="Z1056" s="690"/>
      <c r="AA1056" s="690"/>
      <c r="AB1056" s="695">
        <f t="shared" si="136"/>
        <v>0</v>
      </c>
      <c r="AC1056" s="1035"/>
      <c r="AD1056" s="690"/>
      <c r="AE1056" s="1025"/>
      <c r="AF1056" s="1030"/>
      <c r="AG1056" s="690"/>
      <c r="AH1056" s="690"/>
      <c r="AI1056" s="696">
        <f t="shared" si="137"/>
        <v>0</v>
      </c>
      <c r="AJ1056" s="697">
        <f t="shared" si="138"/>
        <v>0</v>
      </c>
    </row>
    <row r="1057" spans="1:36" s="700" customFormat="1" ht="12.75" customHeight="1">
      <c r="A1057" s="789" t="s">
        <v>204</v>
      </c>
      <c r="B1057" s="805" t="s">
        <v>295</v>
      </c>
      <c r="C1057" s="806" t="s">
        <v>53</v>
      </c>
      <c r="D1057" s="806"/>
      <c r="E1057" s="798"/>
      <c r="F1057" s="799"/>
      <c r="G1057" s="1025"/>
      <c r="H1057" s="690"/>
      <c r="I1057" s="1030"/>
      <c r="J1057" s="690"/>
      <c r="K1057" s="1030"/>
      <c r="L1057" s="690"/>
      <c r="M1057" s="1025"/>
      <c r="N1057" s="1030"/>
      <c r="O1057" s="692">
        <f t="shared" si="139"/>
        <v>0</v>
      </c>
      <c r="P1057" s="690"/>
      <c r="Q1057" s="690"/>
      <c r="R1057" s="691">
        <f t="shared" si="132"/>
        <v>0</v>
      </c>
      <c r="S1057" s="692">
        <f t="shared" si="133"/>
        <v>0</v>
      </c>
      <c r="T1057" s="693">
        <f t="shared" si="134"/>
        <v>0</v>
      </c>
      <c r="U1057" s="1035"/>
      <c r="V1057" s="690"/>
      <c r="W1057" s="1025"/>
      <c r="X1057" s="1030"/>
      <c r="Y1057" s="694">
        <f t="shared" si="135"/>
        <v>0</v>
      </c>
      <c r="Z1057" s="690"/>
      <c r="AA1057" s="690"/>
      <c r="AB1057" s="695">
        <f t="shared" si="136"/>
        <v>0</v>
      </c>
      <c r="AC1057" s="1035"/>
      <c r="AD1057" s="690"/>
      <c r="AE1057" s="1025"/>
      <c r="AF1057" s="1030"/>
      <c r="AG1057" s="690"/>
      <c r="AH1057" s="690"/>
      <c r="AI1057" s="696">
        <f t="shared" si="137"/>
        <v>0</v>
      </c>
      <c r="AJ1057" s="697">
        <f t="shared" si="138"/>
        <v>0</v>
      </c>
    </row>
    <row r="1058" spans="1:36" s="700" customFormat="1" ht="12.75" customHeight="1">
      <c r="A1058" s="789" t="s">
        <v>204</v>
      </c>
      <c r="B1058" s="805" t="s">
        <v>296</v>
      </c>
      <c r="C1058" s="806" t="s">
        <v>443</v>
      </c>
      <c r="D1058" s="806"/>
      <c r="E1058" s="798"/>
      <c r="F1058" s="799"/>
      <c r="G1058" s="1025"/>
      <c r="H1058" s="690"/>
      <c r="I1058" s="1030"/>
      <c r="J1058" s="690"/>
      <c r="K1058" s="1030"/>
      <c r="L1058" s="690"/>
      <c r="M1058" s="1025"/>
      <c r="N1058" s="1030"/>
      <c r="O1058" s="692">
        <f t="shared" si="139"/>
        <v>0</v>
      </c>
      <c r="P1058" s="690"/>
      <c r="Q1058" s="690"/>
      <c r="R1058" s="691">
        <f t="shared" si="132"/>
        <v>0</v>
      </c>
      <c r="S1058" s="692">
        <f t="shared" si="133"/>
        <v>0</v>
      </c>
      <c r="T1058" s="693">
        <f t="shared" si="134"/>
        <v>0</v>
      </c>
      <c r="U1058" s="1035"/>
      <c r="V1058" s="690"/>
      <c r="W1058" s="1025"/>
      <c r="X1058" s="1030"/>
      <c r="Y1058" s="694">
        <f t="shared" si="135"/>
        <v>0</v>
      </c>
      <c r="Z1058" s="690"/>
      <c r="AA1058" s="690"/>
      <c r="AB1058" s="695">
        <f t="shared" si="136"/>
        <v>0</v>
      </c>
      <c r="AC1058" s="1035"/>
      <c r="AD1058" s="690"/>
      <c r="AE1058" s="1025"/>
      <c r="AF1058" s="1030"/>
      <c r="AG1058" s="690"/>
      <c r="AH1058" s="690"/>
      <c r="AI1058" s="696">
        <f t="shared" si="137"/>
        <v>0</v>
      </c>
      <c r="AJ1058" s="697">
        <f t="shared" si="138"/>
        <v>0</v>
      </c>
    </row>
    <row r="1059" spans="1:36" s="700" customFormat="1" ht="12.75" customHeight="1">
      <c r="A1059" s="789" t="s">
        <v>204</v>
      </c>
      <c r="B1059" s="805" t="s">
        <v>278</v>
      </c>
      <c r="C1059" s="806" t="s">
        <v>377</v>
      </c>
      <c r="D1059" s="806"/>
      <c r="E1059" s="798"/>
      <c r="F1059" s="799"/>
      <c r="G1059" s="1025"/>
      <c r="H1059" s="690"/>
      <c r="I1059" s="1030"/>
      <c r="J1059" s="690"/>
      <c r="K1059" s="1030"/>
      <c r="L1059" s="690"/>
      <c r="M1059" s="1025"/>
      <c r="N1059" s="1030"/>
      <c r="O1059" s="692">
        <f t="shared" si="139"/>
        <v>0</v>
      </c>
      <c r="P1059" s="690"/>
      <c r="Q1059" s="690"/>
      <c r="R1059" s="691">
        <f t="shared" si="132"/>
        <v>0</v>
      </c>
      <c r="S1059" s="692">
        <f t="shared" si="133"/>
        <v>0</v>
      </c>
      <c r="T1059" s="693">
        <f t="shared" si="134"/>
        <v>0</v>
      </c>
      <c r="U1059" s="1035"/>
      <c r="V1059" s="690"/>
      <c r="W1059" s="1025"/>
      <c r="X1059" s="1030"/>
      <c r="Y1059" s="694">
        <f t="shared" si="135"/>
        <v>0</v>
      </c>
      <c r="Z1059" s="690"/>
      <c r="AA1059" s="690"/>
      <c r="AB1059" s="695">
        <f t="shared" si="136"/>
        <v>0</v>
      </c>
      <c r="AC1059" s="1035"/>
      <c r="AD1059" s="690"/>
      <c r="AE1059" s="1025"/>
      <c r="AF1059" s="1030"/>
      <c r="AG1059" s="690"/>
      <c r="AH1059" s="690"/>
      <c r="AI1059" s="696">
        <f t="shared" si="137"/>
        <v>0</v>
      </c>
      <c r="AJ1059" s="697">
        <f t="shared" si="138"/>
        <v>0</v>
      </c>
    </row>
    <row r="1060" spans="1:36" s="700" customFormat="1" ht="12.75" customHeight="1">
      <c r="A1060" s="789" t="s">
        <v>204</v>
      </c>
      <c r="B1060" s="805" t="s">
        <v>279</v>
      </c>
      <c r="C1060" s="806" t="s">
        <v>54</v>
      </c>
      <c r="D1060" s="806"/>
      <c r="E1060" s="798"/>
      <c r="F1060" s="799"/>
      <c r="G1060" s="1025"/>
      <c r="H1060" s="690"/>
      <c r="I1060" s="1030"/>
      <c r="J1060" s="690"/>
      <c r="K1060" s="1030"/>
      <c r="L1060" s="690"/>
      <c r="M1060" s="1025"/>
      <c r="N1060" s="1030"/>
      <c r="O1060" s="692">
        <f t="shared" si="139"/>
        <v>0</v>
      </c>
      <c r="P1060" s="690"/>
      <c r="Q1060" s="690"/>
      <c r="R1060" s="691">
        <f t="shared" si="132"/>
        <v>0</v>
      </c>
      <c r="S1060" s="692">
        <f t="shared" si="133"/>
        <v>0</v>
      </c>
      <c r="T1060" s="693">
        <f t="shared" si="134"/>
        <v>0</v>
      </c>
      <c r="U1060" s="1035"/>
      <c r="V1060" s="690"/>
      <c r="W1060" s="1025"/>
      <c r="X1060" s="1030"/>
      <c r="Y1060" s="694">
        <f t="shared" si="135"/>
        <v>0</v>
      </c>
      <c r="Z1060" s="690"/>
      <c r="AA1060" s="690"/>
      <c r="AB1060" s="695">
        <f t="shared" si="136"/>
        <v>0</v>
      </c>
      <c r="AC1060" s="1035"/>
      <c r="AD1060" s="690"/>
      <c r="AE1060" s="1025"/>
      <c r="AF1060" s="1030"/>
      <c r="AG1060" s="690"/>
      <c r="AH1060" s="690"/>
      <c r="AI1060" s="696">
        <f t="shared" si="137"/>
        <v>0</v>
      </c>
      <c r="AJ1060" s="697">
        <f t="shared" si="138"/>
        <v>0</v>
      </c>
    </row>
    <row r="1061" spans="1:36" s="700" customFormat="1" ht="12.75" customHeight="1">
      <c r="A1061" s="789" t="s">
        <v>204</v>
      </c>
      <c r="B1061" s="805" t="s">
        <v>317</v>
      </c>
      <c r="C1061" s="806" t="s">
        <v>443</v>
      </c>
      <c r="D1061" s="806"/>
      <c r="E1061" s="798"/>
      <c r="F1061" s="799"/>
      <c r="G1061" s="1025"/>
      <c r="H1061" s="690"/>
      <c r="I1061" s="1030"/>
      <c r="J1061" s="690"/>
      <c r="K1061" s="1030"/>
      <c r="L1061" s="690"/>
      <c r="M1061" s="1025"/>
      <c r="N1061" s="1030"/>
      <c r="O1061" s="692">
        <f t="shared" si="139"/>
        <v>0</v>
      </c>
      <c r="P1061" s="690"/>
      <c r="Q1061" s="690"/>
      <c r="R1061" s="691">
        <f t="shared" si="132"/>
        <v>0</v>
      </c>
      <c r="S1061" s="692">
        <f t="shared" si="133"/>
        <v>0</v>
      </c>
      <c r="T1061" s="693">
        <f t="shared" si="134"/>
        <v>0</v>
      </c>
      <c r="U1061" s="1035"/>
      <c r="V1061" s="690"/>
      <c r="W1061" s="1025"/>
      <c r="X1061" s="1030"/>
      <c r="Y1061" s="694">
        <f t="shared" si="135"/>
        <v>0</v>
      </c>
      <c r="Z1061" s="690"/>
      <c r="AA1061" s="690"/>
      <c r="AB1061" s="695">
        <f t="shared" si="136"/>
        <v>0</v>
      </c>
      <c r="AC1061" s="1035"/>
      <c r="AD1061" s="690"/>
      <c r="AE1061" s="1025"/>
      <c r="AF1061" s="1030"/>
      <c r="AG1061" s="690"/>
      <c r="AH1061" s="690"/>
      <c r="AI1061" s="696">
        <f t="shared" si="137"/>
        <v>0</v>
      </c>
      <c r="AJ1061" s="697">
        <f t="shared" si="138"/>
        <v>0</v>
      </c>
    </row>
    <row r="1062" spans="1:36" s="700" customFormat="1" ht="12.75" customHeight="1">
      <c r="A1062" s="789" t="s">
        <v>204</v>
      </c>
      <c r="B1062" s="805" t="s">
        <v>318</v>
      </c>
      <c r="C1062" s="806" t="s">
        <v>377</v>
      </c>
      <c r="D1062" s="806"/>
      <c r="E1062" s="798"/>
      <c r="F1062" s="799"/>
      <c r="G1062" s="1025"/>
      <c r="H1062" s="690"/>
      <c r="I1062" s="1030"/>
      <c r="J1062" s="690"/>
      <c r="K1062" s="1030"/>
      <c r="L1062" s="690"/>
      <c r="M1062" s="1025"/>
      <c r="N1062" s="1030"/>
      <c r="O1062" s="692">
        <f t="shared" si="139"/>
        <v>0</v>
      </c>
      <c r="P1062" s="690"/>
      <c r="Q1062" s="690"/>
      <c r="R1062" s="691">
        <f t="shared" si="132"/>
        <v>0</v>
      </c>
      <c r="S1062" s="692">
        <f t="shared" si="133"/>
        <v>0</v>
      </c>
      <c r="T1062" s="693">
        <f t="shared" si="134"/>
        <v>0</v>
      </c>
      <c r="U1062" s="1035"/>
      <c r="V1062" s="690"/>
      <c r="W1062" s="1025"/>
      <c r="X1062" s="1030"/>
      <c r="Y1062" s="694">
        <f t="shared" si="135"/>
        <v>0</v>
      </c>
      <c r="Z1062" s="690"/>
      <c r="AA1062" s="690"/>
      <c r="AB1062" s="695">
        <f t="shared" si="136"/>
        <v>0</v>
      </c>
      <c r="AC1062" s="1035"/>
      <c r="AD1062" s="690"/>
      <c r="AE1062" s="1025"/>
      <c r="AF1062" s="1030"/>
      <c r="AG1062" s="690"/>
      <c r="AH1062" s="690"/>
      <c r="AI1062" s="696">
        <f t="shared" si="137"/>
        <v>0</v>
      </c>
      <c r="AJ1062" s="697">
        <f t="shared" si="138"/>
        <v>0</v>
      </c>
    </row>
    <row r="1063" spans="1:36" s="700" customFormat="1" ht="12.75" customHeight="1">
      <c r="A1063" s="789" t="s">
        <v>204</v>
      </c>
      <c r="B1063" s="805" t="s">
        <v>420</v>
      </c>
      <c r="C1063" s="804" t="s">
        <v>859</v>
      </c>
      <c r="D1063" s="804"/>
      <c r="E1063" s="798"/>
      <c r="F1063" s="799"/>
      <c r="G1063" s="1025"/>
      <c r="H1063" s="690"/>
      <c r="I1063" s="1030"/>
      <c r="J1063" s="690"/>
      <c r="K1063" s="1030"/>
      <c r="L1063" s="690"/>
      <c r="M1063" s="1025"/>
      <c r="N1063" s="1030"/>
      <c r="O1063" s="692">
        <f t="shared" si="139"/>
        <v>0</v>
      </c>
      <c r="P1063" s="690"/>
      <c r="Q1063" s="690"/>
      <c r="R1063" s="691">
        <f t="shared" si="132"/>
        <v>0</v>
      </c>
      <c r="S1063" s="692">
        <f t="shared" si="133"/>
        <v>0</v>
      </c>
      <c r="T1063" s="693">
        <f t="shared" si="134"/>
        <v>0</v>
      </c>
      <c r="U1063" s="1035">
        <v>5855278</v>
      </c>
      <c r="V1063" s="690">
        <v>0</v>
      </c>
      <c r="W1063" s="1025"/>
      <c r="X1063" s="1030"/>
      <c r="Y1063" s="694">
        <f t="shared" si="135"/>
        <v>0</v>
      </c>
      <c r="Z1063" s="690"/>
      <c r="AA1063" s="690"/>
      <c r="AB1063" s="695">
        <f t="shared" si="136"/>
        <v>0</v>
      </c>
      <c r="AC1063" s="1035"/>
      <c r="AD1063" s="690"/>
      <c r="AE1063" s="1025"/>
      <c r="AF1063" s="1030"/>
      <c r="AG1063" s="690"/>
      <c r="AH1063" s="690"/>
      <c r="AI1063" s="696">
        <f t="shared" si="137"/>
        <v>5855278</v>
      </c>
      <c r="AJ1063" s="697">
        <f t="shared" si="138"/>
        <v>0</v>
      </c>
    </row>
    <row r="1064" spans="1:36" s="700" customFormat="1" ht="12.75" customHeight="1">
      <c r="A1064" s="789" t="s">
        <v>204</v>
      </c>
      <c r="B1064" s="805" t="s">
        <v>380</v>
      </c>
      <c r="C1064" s="806" t="s">
        <v>443</v>
      </c>
      <c r="D1064" s="806"/>
      <c r="E1064" s="798"/>
      <c r="F1064" s="799"/>
      <c r="G1064" s="1025"/>
      <c r="H1064" s="690"/>
      <c r="I1064" s="1030"/>
      <c r="J1064" s="690"/>
      <c r="K1064" s="1030"/>
      <c r="L1064" s="690"/>
      <c r="M1064" s="1025"/>
      <c r="N1064" s="1030"/>
      <c r="O1064" s="692">
        <f t="shared" si="139"/>
        <v>0</v>
      </c>
      <c r="P1064" s="690"/>
      <c r="Q1064" s="690"/>
      <c r="R1064" s="691">
        <f t="shared" si="132"/>
        <v>0</v>
      </c>
      <c r="S1064" s="692">
        <f t="shared" si="133"/>
        <v>0</v>
      </c>
      <c r="T1064" s="693">
        <f t="shared" si="134"/>
        <v>0</v>
      </c>
      <c r="U1064" s="1035"/>
      <c r="V1064" s="690"/>
      <c r="W1064" s="1025"/>
      <c r="X1064" s="1030"/>
      <c r="Y1064" s="694">
        <f t="shared" si="135"/>
        <v>0</v>
      </c>
      <c r="Z1064" s="690"/>
      <c r="AA1064" s="690"/>
      <c r="AB1064" s="695">
        <f t="shared" si="136"/>
        <v>0</v>
      </c>
      <c r="AC1064" s="1035"/>
      <c r="AD1064" s="690"/>
      <c r="AE1064" s="1025"/>
      <c r="AF1064" s="1030"/>
      <c r="AG1064" s="690"/>
      <c r="AH1064" s="690"/>
      <c r="AI1064" s="696">
        <f t="shared" si="137"/>
        <v>0</v>
      </c>
      <c r="AJ1064" s="697">
        <f t="shared" si="138"/>
        <v>0</v>
      </c>
    </row>
    <row r="1065" spans="1:36" s="700" customFormat="1" ht="12.75" customHeight="1">
      <c r="A1065" s="789" t="s">
        <v>204</v>
      </c>
      <c r="B1065" s="805" t="s">
        <v>381</v>
      </c>
      <c r="C1065" s="806" t="s">
        <v>377</v>
      </c>
      <c r="D1065" s="806"/>
      <c r="E1065" s="798"/>
      <c r="F1065" s="799"/>
      <c r="G1065" s="1025"/>
      <c r="H1065" s="690"/>
      <c r="I1065" s="1030"/>
      <c r="J1065" s="690"/>
      <c r="K1065" s="1030"/>
      <c r="L1065" s="690"/>
      <c r="M1065" s="1025"/>
      <c r="N1065" s="1030"/>
      <c r="O1065" s="692">
        <f t="shared" si="139"/>
        <v>0</v>
      </c>
      <c r="P1065" s="690"/>
      <c r="Q1065" s="690"/>
      <c r="R1065" s="691">
        <f t="shared" si="132"/>
        <v>0</v>
      </c>
      <c r="S1065" s="692">
        <f t="shared" si="133"/>
        <v>0</v>
      </c>
      <c r="T1065" s="693">
        <f t="shared" si="134"/>
        <v>0</v>
      </c>
      <c r="U1065" s="1035"/>
      <c r="V1065" s="690"/>
      <c r="W1065" s="1025"/>
      <c r="X1065" s="1030"/>
      <c r="Y1065" s="694">
        <f t="shared" si="135"/>
        <v>0</v>
      </c>
      <c r="Z1065" s="690"/>
      <c r="AA1065" s="690"/>
      <c r="AB1065" s="695">
        <f t="shared" si="136"/>
        <v>0</v>
      </c>
      <c r="AC1065" s="1035"/>
      <c r="AD1065" s="690"/>
      <c r="AE1065" s="1025"/>
      <c r="AF1065" s="1030"/>
      <c r="AG1065" s="690"/>
      <c r="AH1065" s="690"/>
      <c r="AI1065" s="696">
        <f t="shared" si="137"/>
        <v>0</v>
      </c>
      <c r="AJ1065" s="697">
        <f t="shared" si="138"/>
        <v>0</v>
      </c>
    </row>
    <row r="1066" spans="1:36" s="700" customFormat="1" ht="12.75" customHeight="1">
      <c r="A1066" s="789" t="s">
        <v>204</v>
      </c>
      <c r="B1066" s="805" t="s">
        <v>295</v>
      </c>
      <c r="C1066" s="806" t="s">
        <v>53</v>
      </c>
      <c r="D1066" s="806"/>
      <c r="E1066" s="798"/>
      <c r="F1066" s="799"/>
      <c r="G1066" s="1025"/>
      <c r="H1066" s="690"/>
      <c r="I1066" s="1030"/>
      <c r="J1066" s="690"/>
      <c r="K1066" s="1030"/>
      <c r="L1066" s="690"/>
      <c r="M1066" s="1025"/>
      <c r="N1066" s="1030"/>
      <c r="O1066" s="692">
        <f t="shared" si="139"/>
        <v>0</v>
      </c>
      <c r="P1066" s="690"/>
      <c r="Q1066" s="690"/>
      <c r="R1066" s="691">
        <f t="shared" si="132"/>
        <v>0</v>
      </c>
      <c r="S1066" s="692">
        <f t="shared" si="133"/>
        <v>0</v>
      </c>
      <c r="T1066" s="693">
        <f t="shared" si="134"/>
        <v>0</v>
      </c>
      <c r="U1066" s="1035"/>
      <c r="V1066" s="690"/>
      <c r="W1066" s="1025"/>
      <c r="X1066" s="1030"/>
      <c r="Y1066" s="694">
        <f t="shared" si="135"/>
        <v>0</v>
      </c>
      <c r="Z1066" s="690"/>
      <c r="AA1066" s="690"/>
      <c r="AB1066" s="695">
        <f t="shared" si="136"/>
        <v>0</v>
      </c>
      <c r="AC1066" s="1035"/>
      <c r="AD1066" s="690"/>
      <c r="AE1066" s="1025"/>
      <c r="AF1066" s="1030"/>
      <c r="AG1066" s="690"/>
      <c r="AH1066" s="690"/>
      <c r="AI1066" s="696">
        <f t="shared" si="137"/>
        <v>0</v>
      </c>
      <c r="AJ1066" s="697">
        <f t="shared" si="138"/>
        <v>0</v>
      </c>
    </row>
    <row r="1067" spans="1:36" s="700" customFormat="1" ht="12.75" customHeight="1">
      <c r="A1067" s="789" t="s">
        <v>204</v>
      </c>
      <c r="B1067" s="805" t="s">
        <v>296</v>
      </c>
      <c r="C1067" s="806" t="s">
        <v>443</v>
      </c>
      <c r="D1067" s="806"/>
      <c r="E1067" s="798"/>
      <c r="F1067" s="799"/>
      <c r="G1067" s="1025"/>
      <c r="H1067" s="690"/>
      <c r="I1067" s="1030"/>
      <c r="J1067" s="690"/>
      <c r="K1067" s="1030"/>
      <c r="L1067" s="690"/>
      <c r="M1067" s="1025"/>
      <c r="N1067" s="1030"/>
      <c r="O1067" s="692">
        <f t="shared" si="139"/>
        <v>0</v>
      </c>
      <c r="P1067" s="690"/>
      <c r="Q1067" s="690"/>
      <c r="R1067" s="691">
        <f t="shared" si="132"/>
        <v>0</v>
      </c>
      <c r="S1067" s="692">
        <f t="shared" si="133"/>
        <v>0</v>
      </c>
      <c r="T1067" s="693">
        <f t="shared" si="134"/>
        <v>0</v>
      </c>
      <c r="U1067" s="1035"/>
      <c r="V1067" s="690"/>
      <c r="W1067" s="1025"/>
      <c r="X1067" s="1030"/>
      <c r="Y1067" s="694">
        <f t="shared" si="135"/>
        <v>0</v>
      </c>
      <c r="Z1067" s="690"/>
      <c r="AA1067" s="690"/>
      <c r="AB1067" s="695">
        <f t="shared" si="136"/>
        <v>0</v>
      </c>
      <c r="AC1067" s="1035"/>
      <c r="AD1067" s="690"/>
      <c r="AE1067" s="1025"/>
      <c r="AF1067" s="1030"/>
      <c r="AG1067" s="690"/>
      <c r="AH1067" s="690"/>
      <c r="AI1067" s="696">
        <f t="shared" si="137"/>
        <v>0</v>
      </c>
      <c r="AJ1067" s="697">
        <f t="shared" si="138"/>
        <v>0</v>
      </c>
    </row>
    <row r="1068" spans="1:36" s="700" customFormat="1" ht="12.75" customHeight="1">
      <c r="A1068" s="789" t="s">
        <v>204</v>
      </c>
      <c r="B1068" s="805" t="s">
        <v>278</v>
      </c>
      <c r="C1068" s="806" t="s">
        <v>377</v>
      </c>
      <c r="D1068" s="806"/>
      <c r="E1068" s="798"/>
      <c r="F1068" s="799"/>
      <c r="G1068" s="1025"/>
      <c r="H1068" s="690"/>
      <c r="I1068" s="1030"/>
      <c r="J1068" s="690"/>
      <c r="K1068" s="1030"/>
      <c r="L1068" s="690"/>
      <c r="M1068" s="1025"/>
      <c r="N1068" s="1030"/>
      <c r="O1068" s="692">
        <f t="shared" si="139"/>
        <v>0</v>
      </c>
      <c r="P1068" s="690"/>
      <c r="Q1068" s="690"/>
      <c r="R1068" s="691">
        <f t="shared" si="132"/>
        <v>0</v>
      </c>
      <c r="S1068" s="692">
        <f t="shared" si="133"/>
        <v>0</v>
      </c>
      <c r="T1068" s="693">
        <f t="shared" si="134"/>
        <v>0</v>
      </c>
      <c r="U1068" s="1035"/>
      <c r="V1068" s="690"/>
      <c r="W1068" s="1025"/>
      <c r="X1068" s="1030"/>
      <c r="Y1068" s="694">
        <f t="shared" si="135"/>
        <v>0</v>
      </c>
      <c r="Z1068" s="690"/>
      <c r="AA1068" s="690"/>
      <c r="AB1068" s="695">
        <f t="shared" si="136"/>
        <v>0</v>
      </c>
      <c r="AC1068" s="1035"/>
      <c r="AD1068" s="690"/>
      <c r="AE1068" s="1025"/>
      <c r="AF1068" s="1030"/>
      <c r="AG1068" s="690"/>
      <c r="AH1068" s="690"/>
      <c r="AI1068" s="696">
        <f t="shared" si="137"/>
        <v>0</v>
      </c>
      <c r="AJ1068" s="697">
        <f t="shared" si="138"/>
        <v>0</v>
      </c>
    </row>
    <row r="1069" spans="1:36" s="700" customFormat="1" ht="12.75" customHeight="1">
      <c r="A1069" s="789" t="s">
        <v>204</v>
      </c>
      <c r="B1069" s="805" t="s">
        <v>279</v>
      </c>
      <c r="C1069" s="806" t="s">
        <v>54</v>
      </c>
      <c r="D1069" s="806"/>
      <c r="E1069" s="798"/>
      <c r="F1069" s="799"/>
      <c r="G1069" s="1025"/>
      <c r="H1069" s="690"/>
      <c r="I1069" s="1030"/>
      <c r="J1069" s="690"/>
      <c r="K1069" s="1030"/>
      <c r="L1069" s="690"/>
      <c r="M1069" s="1025"/>
      <c r="N1069" s="1030"/>
      <c r="O1069" s="692">
        <f t="shared" si="139"/>
        <v>0</v>
      </c>
      <c r="P1069" s="690"/>
      <c r="Q1069" s="690"/>
      <c r="R1069" s="691">
        <f t="shared" si="132"/>
        <v>0</v>
      </c>
      <c r="S1069" s="692">
        <f t="shared" si="133"/>
        <v>0</v>
      </c>
      <c r="T1069" s="693">
        <f t="shared" si="134"/>
        <v>0</v>
      </c>
      <c r="U1069" s="1035"/>
      <c r="V1069" s="690"/>
      <c r="W1069" s="1025"/>
      <c r="X1069" s="1030"/>
      <c r="Y1069" s="694">
        <f t="shared" si="135"/>
        <v>0</v>
      </c>
      <c r="Z1069" s="690"/>
      <c r="AA1069" s="690"/>
      <c r="AB1069" s="695">
        <f t="shared" si="136"/>
        <v>0</v>
      </c>
      <c r="AC1069" s="1035"/>
      <c r="AD1069" s="690"/>
      <c r="AE1069" s="1025"/>
      <c r="AF1069" s="1030"/>
      <c r="AG1069" s="690"/>
      <c r="AH1069" s="690"/>
      <c r="AI1069" s="696">
        <f t="shared" si="137"/>
        <v>0</v>
      </c>
      <c r="AJ1069" s="697">
        <f t="shared" si="138"/>
        <v>0</v>
      </c>
    </row>
    <row r="1070" spans="1:36" s="700" customFormat="1" ht="12.75" customHeight="1">
      <c r="A1070" s="789" t="s">
        <v>204</v>
      </c>
      <c r="B1070" s="805" t="s">
        <v>317</v>
      </c>
      <c r="C1070" s="806" t="s">
        <v>443</v>
      </c>
      <c r="D1070" s="806"/>
      <c r="E1070" s="798"/>
      <c r="F1070" s="799"/>
      <c r="G1070" s="1025"/>
      <c r="H1070" s="690"/>
      <c r="I1070" s="1030"/>
      <c r="J1070" s="690"/>
      <c r="K1070" s="1030"/>
      <c r="L1070" s="690"/>
      <c r="M1070" s="1025"/>
      <c r="N1070" s="1030"/>
      <c r="O1070" s="692">
        <f t="shared" si="139"/>
        <v>0</v>
      </c>
      <c r="P1070" s="690"/>
      <c r="Q1070" s="690"/>
      <c r="R1070" s="691">
        <f t="shared" si="132"/>
        <v>0</v>
      </c>
      <c r="S1070" s="692">
        <f t="shared" si="133"/>
        <v>0</v>
      </c>
      <c r="T1070" s="693">
        <f t="shared" si="134"/>
        <v>0</v>
      </c>
      <c r="U1070" s="1035"/>
      <c r="V1070" s="690"/>
      <c r="W1070" s="1025"/>
      <c r="X1070" s="1030"/>
      <c r="Y1070" s="694">
        <f t="shared" si="135"/>
        <v>0</v>
      </c>
      <c r="Z1070" s="690"/>
      <c r="AA1070" s="690"/>
      <c r="AB1070" s="695">
        <f t="shared" si="136"/>
        <v>0</v>
      </c>
      <c r="AC1070" s="1035"/>
      <c r="AD1070" s="690"/>
      <c r="AE1070" s="1025"/>
      <c r="AF1070" s="1030"/>
      <c r="AG1070" s="690"/>
      <c r="AH1070" s="690"/>
      <c r="AI1070" s="696">
        <f t="shared" si="137"/>
        <v>0</v>
      </c>
      <c r="AJ1070" s="697">
        <f t="shared" si="138"/>
        <v>0</v>
      </c>
    </row>
    <row r="1071" spans="1:36" s="700" customFormat="1" ht="12.75" customHeight="1">
      <c r="A1071" s="789" t="s">
        <v>204</v>
      </c>
      <c r="B1071" s="805" t="s">
        <v>318</v>
      </c>
      <c r="C1071" s="806" t="s">
        <v>377</v>
      </c>
      <c r="D1071" s="806"/>
      <c r="E1071" s="798"/>
      <c r="F1071" s="799"/>
      <c r="G1071" s="1025"/>
      <c r="H1071" s="690"/>
      <c r="I1071" s="1030"/>
      <c r="J1071" s="690"/>
      <c r="K1071" s="1030"/>
      <c r="L1071" s="690"/>
      <c r="M1071" s="1025"/>
      <c r="N1071" s="1030"/>
      <c r="O1071" s="692">
        <f t="shared" si="139"/>
        <v>0</v>
      </c>
      <c r="P1071" s="690"/>
      <c r="Q1071" s="690"/>
      <c r="R1071" s="691">
        <f t="shared" si="132"/>
        <v>0</v>
      </c>
      <c r="S1071" s="692">
        <f t="shared" si="133"/>
        <v>0</v>
      </c>
      <c r="T1071" s="693">
        <f t="shared" si="134"/>
        <v>0</v>
      </c>
      <c r="U1071" s="1035"/>
      <c r="V1071" s="690"/>
      <c r="W1071" s="1025"/>
      <c r="X1071" s="1030"/>
      <c r="Y1071" s="694">
        <f t="shared" si="135"/>
        <v>0</v>
      </c>
      <c r="Z1071" s="690"/>
      <c r="AA1071" s="690"/>
      <c r="AB1071" s="695">
        <f t="shared" si="136"/>
        <v>0</v>
      </c>
      <c r="AC1071" s="1035"/>
      <c r="AD1071" s="690"/>
      <c r="AE1071" s="1025"/>
      <c r="AF1071" s="1030"/>
      <c r="AG1071" s="690"/>
      <c r="AH1071" s="690"/>
      <c r="AI1071" s="696">
        <f t="shared" si="137"/>
        <v>0</v>
      </c>
      <c r="AJ1071" s="697">
        <f t="shared" si="138"/>
        <v>0</v>
      </c>
    </row>
    <row r="1072" spans="1:36" s="700" customFormat="1" ht="12.75" customHeight="1">
      <c r="A1072" s="789" t="s">
        <v>204</v>
      </c>
      <c r="B1072" s="789" t="s">
        <v>420</v>
      </c>
      <c r="C1072" s="804" t="s">
        <v>860</v>
      </c>
      <c r="D1072" s="804"/>
      <c r="E1072" s="798"/>
      <c r="F1072" s="799"/>
      <c r="G1072" s="1025"/>
      <c r="H1072" s="690"/>
      <c r="I1072" s="1030"/>
      <c r="J1072" s="690"/>
      <c r="K1072" s="1030"/>
      <c r="L1072" s="690"/>
      <c r="M1072" s="1025"/>
      <c r="N1072" s="1030"/>
      <c r="O1072" s="692">
        <f t="shared" si="139"/>
        <v>0</v>
      </c>
      <c r="P1072" s="690"/>
      <c r="Q1072" s="690"/>
      <c r="R1072" s="691">
        <f t="shared" si="132"/>
        <v>0</v>
      </c>
      <c r="S1072" s="692">
        <f t="shared" si="133"/>
        <v>0</v>
      </c>
      <c r="T1072" s="693">
        <f t="shared" si="134"/>
        <v>0</v>
      </c>
      <c r="U1072" s="1035"/>
      <c r="V1072" s="690"/>
      <c r="W1072" s="1025"/>
      <c r="X1072" s="1030"/>
      <c r="Y1072" s="694">
        <f t="shared" si="135"/>
        <v>0</v>
      </c>
      <c r="Z1072" s="690"/>
      <c r="AA1072" s="690"/>
      <c r="AB1072" s="695">
        <f t="shared" si="136"/>
        <v>0</v>
      </c>
      <c r="AC1072" s="1035"/>
      <c r="AD1072" s="690"/>
      <c r="AE1072" s="1025"/>
      <c r="AF1072" s="1030"/>
      <c r="AG1072" s="690"/>
      <c r="AH1072" s="690"/>
      <c r="AI1072" s="696">
        <f t="shared" si="137"/>
        <v>0</v>
      </c>
      <c r="AJ1072" s="697">
        <f t="shared" si="138"/>
        <v>0</v>
      </c>
    </row>
    <row r="1073" spans="1:36" s="700" customFormat="1" ht="12.75" customHeight="1">
      <c r="A1073" s="789" t="s">
        <v>204</v>
      </c>
      <c r="B1073" s="805" t="s">
        <v>295</v>
      </c>
      <c r="C1073" s="806" t="s">
        <v>53</v>
      </c>
      <c r="D1073" s="806"/>
      <c r="E1073" s="798"/>
      <c r="F1073" s="799"/>
      <c r="G1073" s="1025"/>
      <c r="H1073" s="690"/>
      <c r="I1073" s="1030"/>
      <c r="J1073" s="690"/>
      <c r="K1073" s="1030"/>
      <c r="L1073" s="690"/>
      <c r="M1073" s="1025"/>
      <c r="N1073" s="1030"/>
      <c r="O1073" s="692">
        <f t="shared" si="139"/>
        <v>0</v>
      </c>
      <c r="P1073" s="690"/>
      <c r="Q1073" s="690"/>
      <c r="R1073" s="691">
        <f t="shared" si="132"/>
        <v>0</v>
      </c>
      <c r="S1073" s="692">
        <f t="shared" si="133"/>
        <v>0</v>
      </c>
      <c r="T1073" s="693">
        <f t="shared" si="134"/>
        <v>0</v>
      </c>
      <c r="U1073" s="1035"/>
      <c r="V1073" s="690"/>
      <c r="W1073" s="1025"/>
      <c r="X1073" s="1030"/>
      <c r="Y1073" s="694">
        <f t="shared" si="135"/>
        <v>0</v>
      </c>
      <c r="Z1073" s="690"/>
      <c r="AA1073" s="690"/>
      <c r="AB1073" s="695">
        <f t="shared" si="136"/>
        <v>0</v>
      </c>
      <c r="AC1073" s="1035"/>
      <c r="AD1073" s="690"/>
      <c r="AE1073" s="1025"/>
      <c r="AF1073" s="1030"/>
      <c r="AG1073" s="690"/>
      <c r="AH1073" s="690"/>
      <c r="AI1073" s="696">
        <f t="shared" si="137"/>
        <v>0</v>
      </c>
      <c r="AJ1073" s="697">
        <f t="shared" si="138"/>
        <v>0</v>
      </c>
    </row>
    <row r="1074" spans="1:36" s="700" customFormat="1" ht="12.75" customHeight="1">
      <c r="A1074" s="789" t="s">
        <v>204</v>
      </c>
      <c r="B1074" s="805" t="s">
        <v>296</v>
      </c>
      <c r="C1074" s="806" t="s">
        <v>443</v>
      </c>
      <c r="D1074" s="806"/>
      <c r="E1074" s="798"/>
      <c r="F1074" s="799"/>
      <c r="G1074" s="1025"/>
      <c r="H1074" s="690"/>
      <c r="I1074" s="1030"/>
      <c r="J1074" s="690"/>
      <c r="K1074" s="1030"/>
      <c r="L1074" s="690"/>
      <c r="M1074" s="1025"/>
      <c r="N1074" s="1030"/>
      <c r="O1074" s="692">
        <f t="shared" si="139"/>
        <v>0</v>
      </c>
      <c r="P1074" s="690"/>
      <c r="Q1074" s="690"/>
      <c r="R1074" s="691">
        <f t="shared" si="132"/>
        <v>0</v>
      </c>
      <c r="S1074" s="692">
        <f t="shared" si="133"/>
        <v>0</v>
      </c>
      <c r="T1074" s="693">
        <f t="shared" si="134"/>
        <v>0</v>
      </c>
      <c r="U1074" s="1035"/>
      <c r="V1074" s="690"/>
      <c r="W1074" s="1025"/>
      <c r="X1074" s="1030"/>
      <c r="Y1074" s="694">
        <f t="shared" si="135"/>
        <v>0</v>
      </c>
      <c r="Z1074" s="690"/>
      <c r="AA1074" s="690"/>
      <c r="AB1074" s="695">
        <f t="shared" si="136"/>
        <v>0</v>
      </c>
      <c r="AC1074" s="1035"/>
      <c r="AD1074" s="690"/>
      <c r="AE1074" s="1025"/>
      <c r="AF1074" s="1030"/>
      <c r="AG1074" s="690"/>
      <c r="AH1074" s="690"/>
      <c r="AI1074" s="696">
        <f t="shared" si="137"/>
        <v>0</v>
      </c>
      <c r="AJ1074" s="697">
        <f t="shared" si="138"/>
        <v>0</v>
      </c>
    </row>
    <row r="1075" spans="1:36" s="700" customFormat="1" ht="12.75" customHeight="1">
      <c r="A1075" s="789" t="s">
        <v>204</v>
      </c>
      <c r="B1075" s="805" t="s">
        <v>278</v>
      </c>
      <c r="C1075" s="806" t="s">
        <v>377</v>
      </c>
      <c r="D1075" s="806"/>
      <c r="E1075" s="798"/>
      <c r="F1075" s="799"/>
      <c r="G1075" s="1025"/>
      <c r="H1075" s="690"/>
      <c r="I1075" s="1030"/>
      <c r="J1075" s="690"/>
      <c r="K1075" s="1030"/>
      <c r="L1075" s="690"/>
      <c r="M1075" s="1025"/>
      <c r="N1075" s="1030"/>
      <c r="O1075" s="692">
        <f t="shared" si="139"/>
        <v>0</v>
      </c>
      <c r="P1075" s="690"/>
      <c r="Q1075" s="690"/>
      <c r="R1075" s="691">
        <f t="shared" si="132"/>
        <v>0</v>
      </c>
      <c r="S1075" s="692">
        <f t="shared" si="133"/>
        <v>0</v>
      </c>
      <c r="T1075" s="693">
        <f t="shared" si="134"/>
        <v>0</v>
      </c>
      <c r="U1075" s="1035"/>
      <c r="V1075" s="690"/>
      <c r="W1075" s="1025"/>
      <c r="X1075" s="1030"/>
      <c r="Y1075" s="694">
        <f t="shared" si="135"/>
        <v>0</v>
      </c>
      <c r="Z1075" s="690"/>
      <c r="AA1075" s="690"/>
      <c r="AB1075" s="695">
        <f t="shared" si="136"/>
        <v>0</v>
      </c>
      <c r="AC1075" s="1035"/>
      <c r="AD1075" s="690"/>
      <c r="AE1075" s="1025"/>
      <c r="AF1075" s="1030"/>
      <c r="AG1075" s="690"/>
      <c r="AH1075" s="690"/>
      <c r="AI1075" s="696">
        <f t="shared" si="137"/>
        <v>0</v>
      </c>
      <c r="AJ1075" s="697">
        <f t="shared" si="138"/>
        <v>0</v>
      </c>
    </row>
    <row r="1076" spans="1:36" s="700" customFormat="1" ht="12.75" customHeight="1">
      <c r="A1076" s="789" t="s">
        <v>204</v>
      </c>
      <c r="B1076" s="805" t="s">
        <v>279</v>
      </c>
      <c r="C1076" s="806" t="s">
        <v>54</v>
      </c>
      <c r="D1076" s="806"/>
      <c r="E1076" s="798"/>
      <c r="F1076" s="799"/>
      <c r="G1076" s="1025"/>
      <c r="H1076" s="690"/>
      <c r="I1076" s="1030"/>
      <c r="J1076" s="690"/>
      <c r="K1076" s="1030"/>
      <c r="L1076" s="690"/>
      <c r="M1076" s="1025"/>
      <c r="N1076" s="1030"/>
      <c r="O1076" s="692">
        <f t="shared" si="139"/>
        <v>0</v>
      </c>
      <c r="P1076" s="690"/>
      <c r="Q1076" s="690"/>
      <c r="R1076" s="691">
        <f t="shared" si="132"/>
        <v>0</v>
      </c>
      <c r="S1076" s="692">
        <f t="shared" si="133"/>
        <v>0</v>
      </c>
      <c r="T1076" s="693">
        <f t="shared" si="134"/>
        <v>0</v>
      </c>
      <c r="U1076" s="1035"/>
      <c r="V1076" s="690"/>
      <c r="W1076" s="1025"/>
      <c r="X1076" s="1030"/>
      <c r="Y1076" s="694">
        <f t="shared" si="135"/>
        <v>0</v>
      </c>
      <c r="Z1076" s="690"/>
      <c r="AA1076" s="690"/>
      <c r="AB1076" s="695">
        <f t="shared" si="136"/>
        <v>0</v>
      </c>
      <c r="AC1076" s="1035"/>
      <c r="AD1076" s="690"/>
      <c r="AE1076" s="1025"/>
      <c r="AF1076" s="1030"/>
      <c r="AG1076" s="690"/>
      <c r="AH1076" s="690"/>
      <c r="AI1076" s="696">
        <f t="shared" si="137"/>
        <v>0</v>
      </c>
      <c r="AJ1076" s="697">
        <f t="shared" si="138"/>
        <v>0</v>
      </c>
    </row>
    <row r="1077" spans="1:36" s="700" customFormat="1" ht="12.75" customHeight="1">
      <c r="A1077" s="789" t="s">
        <v>204</v>
      </c>
      <c r="B1077" s="805" t="s">
        <v>317</v>
      </c>
      <c r="C1077" s="806" t="s">
        <v>443</v>
      </c>
      <c r="D1077" s="806"/>
      <c r="E1077" s="798"/>
      <c r="F1077" s="799"/>
      <c r="G1077" s="1025"/>
      <c r="H1077" s="690"/>
      <c r="I1077" s="1030"/>
      <c r="J1077" s="690"/>
      <c r="K1077" s="1030"/>
      <c r="L1077" s="690"/>
      <c r="M1077" s="1025"/>
      <c r="N1077" s="1030"/>
      <c r="O1077" s="692">
        <f t="shared" si="139"/>
        <v>0</v>
      </c>
      <c r="P1077" s="690"/>
      <c r="Q1077" s="690"/>
      <c r="R1077" s="691">
        <f t="shared" si="132"/>
        <v>0</v>
      </c>
      <c r="S1077" s="692">
        <f t="shared" si="133"/>
        <v>0</v>
      </c>
      <c r="T1077" s="693">
        <f t="shared" si="134"/>
        <v>0</v>
      </c>
      <c r="U1077" s="1035"/>
      <c r="V1077" s="690"/>
      <c r="W1077" s="1025"/>
      <c r="X1077" s="1030"/>
      <c r="Y1077" s="694">
        <f t="shared" si="135"/>
        <v>0</v>
      </c>
      <c r="Z1077" s="690"/>
      <c r="AA1077" s="690"/>
      <c r="AB1077" s="695">
        <f t="shared" si="136"/>
        <v>0</v>
      </c>
      <c r="AC1077" s="1035"/>
      <c r="AD1077" s="690"/>
      <c r="AE1077" s="1025"/>
      <c r="AF1077" s="1030"/>
      <c r="AG1077" s="690"/>
      <c r="AH1077" s="690"/>
      <c r="AI1077" s="696">
        <f t="shared" si="137"/>
        <v>0</v>
      </c>
      <c r="AJ1077" s="697">
        <f t="shared" si="138"/>
        <v>0</v>
      </c>
    </row>
    <row r="1078" spans="1:36" s="700" customFormat="1" ht="12.75" customHeight="1">
      <c r="A1078" s="789" t="s">
        <v>204</v>
      </c>
      <c r="B1078" s="805" t="s">
        <v>318</v>
      </c>
      <c r="C1078" s="806" t="s">
        <v>377</v>
      </c>
      <c r="D1078" s="806"/>
      <c r="E1078" s="798"/>
      <c r="F1078" s="799"/>
      <c r="G1078" s="1025"/>
      <c r="H1078" s="690"/>
      <c r="I1078" s="1030"/>
      <c r="J1078" s="690"/>
      <c r="K1078" s="1030"/>
      <c r="L1078" s="690"/>
      <c r="M1078" s="1025"/>
      <c r="N1078" s="1030"/>
      <c r="O1078" s="692">
        <f t="shared" si="139"/>
        <v>0</v>
      </c>
      <c r="P1078" s="690"/>
      <c r="Q1078" s="690"/>
      <c r="R1078" s="691">
        <f t="shared" si="132"/>
        <v>0</v>
      </c>
      <c r="S1078" s="692">
        <f t="shared" si="133"/>
        <v>0</v>
      </c>
      <c r="T1078" s="693">
        <f t="shared" si="134"/>
        <v>0</v>
      </c>
      <c r="U1078" s="1035">
        <v>710000</v>
      </c>
      <c r="V1078" s="690">
        <v>550000</v>
      </c>
      <c r="W1078" s="1025"/>
      <c r="X1078" s="1030"/>
      <c r="Y1078" s="694">
        <f t="shared" si="135"/>
        <v>0</v>
      </c>
      <c r="Z1078" s="690"/>
      <c r="AA1078" s="690"/>
      <c r="AB1078" s="695">
        <f t="shared" si="136"/>
        <v>0</v>
      </c>
      <c r="AC1078" s="1035"/>
      <c r="AD1078" s="690"/>
      <c r="AE1078" s="1025"/>
      <c r="AF1078" s="1030"/>
      <c r="AG1078" s="690"/>
      <c r="AH1078" s="690"/>
      <c r="AI1078" s="696">
        <f t="shared" si="137"/>
        <v>710000</v>
      </c>
      <c r="AJ1078" s="697">
        <f t="shared" si="138"/>
        <v>550000</v>
      </c>
    </row>
    <row r="1079" spans="1:36" s="700" customFormat="1" ht="12.75" customHeight="1">
      <c r="A1079" s="789" t="s">
        <v>204</v>
      </c>
      <c r="B1079" s="805" t="s">
        <v>421</v>
      </c>
      <c r="C1079" s="807" t="s">
        <v>19</v>
      </c>
      <c r="D1079" s="807"/>
      <c r="E1079" s="798"/>
      <c r="F1079" s="799"/>
      <c r="G1079" s="1025"/>
      <c r="H1079" s="690"/>
      <c r="I1079" s="1030"/>
      <c r="J1079" s="690"/>
      <c r="K1079" s="1030"/>
      <c r="L1079" s="690"/>
      <c r="M1079" s="1025"/>
      <c r="N1079" s="1030"/>
      <c r="O1079" s="692">
        <f t="shared" si="139"/>
        <v>0</v>
      </c>
      <c r="P1079" s="690"/>
      <c r="Q1079" s="690"/>
      <c r="R1079" s="691">
        <f t="shared" si="132"/>
        <v>0</v>
      </c>
      <c r="S1079" s="692">
        <f t="shared" si="133"/>
        <v>0</v>
      </c>
      <c r="T1079" s="693">
        <f t="shared" si="134"/>
        <v>0</v>
      </c>
      <c r="U1079" s="1035"/>
      <c r="V1079" s="690"/>
      <c r="W1079" s="1025"/>
      <c r="X1079" s="1030"/>
      <c r="Y1079" s="694">
        <f t="shared" si="135"/>
        <v>0</v>
      </c>
      <c r="Z1079" s="690"/>
      <c r="AA1079" s="690"/>
      <c r="AB1079" s="695">
        <f t="shared" si="136"/>
        <v>0</v>
      </c>
      <c r="AC1079" s="1035"/>
      <c r="AD1079" s="690"/>
      <c r="AE1079" s="1025"/>
      <c r="AF1079" s="1030"/>
      <c r="AG1079" s="690"/>
      <c r="AH1079" s="690"/>
      <c r="AI1079" s="696">
        <f t="shared" si="137"/>
        <v>0</v>
      </c>
      <c r="AJ1079" s="697">
        <f t="shared" si="138"/>
        <v>0</v>
      </c>
    </row>
    <row r="1080" spans="1:36" s="700" customFormat="1" ht="12.75" customHeight="1">
      <c r="A1080" s="789" t="s">
        <v>204</v>
      </c>
      <c r="B1080" s="789" t="s">
        <v>421</v>
      </c>
      <c r="C1080" s="804" t="s">
        <v>861</v>
      </c>
      <c r="D1080" s="804"/>
      <c r="E1080" s="798"/>
      <c r="F1080" s="799"/>
      <c r="G1080" s="1025"/>
      <c r="H1080" s="690"/>
      <c r="I1080" s="1030"/>
      <c r="J1080" s="690"/>
      <c r="K1080" s="1030"/>
      <c r="L1080" s="690"/>
      <c r="M1080" s="1025"/>
      <c r="N1080" s="1030"/>
      <c r="O1080" s="692">
        <f t="shared" si="139"/>
        <v>0</v>
      </c>
      <c r="P1080" s="690"/>
      <c r="Q1080" s="690"/>
      <c r="R1080" s="691">
        <f t="shared" si="132"/>
        <v>0</v>
      </c>
      <c r="S1080" s="692">
        <f t="shared" si="133"/>
        <v>0</v>
      </c>
      <c r="T1080" s="693">
        <f t="shared" si="134"/>
        <v>0</v>
      </c>
      <c r="U1080" s="1035"/>
      <c r="V1080" s="690"/>
      <c r="W1080" s="1025"/>
      <c r="X1080" s="1030"/>
      <c r="Y1080" s="694">
        <f t="shared" si="135"/>
        <v>0</v>
      </c>
      <c r="Z1080" s="690"/>
      <c r="AA1080" s="690"/>
      <c r="AB1080" s="695">
        <f t="shared" si="136"/>
        <v>0</v>
      </c>
      <c r="AC1080" s="1035"/>
      <c r="AD1080" s="690"/>
      <c r="AE1080" s="1025"/>
      <c r="AF1080" s="1030"/>
      <c r="AG1080" s="690"/>
      <c r="AH1080" s="690"/>
      <c r="AI1080" s="696">
        <f t="shared" si="137"/>
        <v>0</v>
      </c>
      <c r="AJ1080" s="697">
        <f t="shared" si="138"/>
        <v>0</v>
      </c>
    </row>
    <row r="1081" spans="1:36" s="700" customFormat="1" ht="12.75" customHeight="1">
      <c r="A1081" s="789" t="s">
        <v>204</v>
      </c>
      <c r="B1081" s="805" t="s">
        <v>380</v>
      </c>
      <c r="C1081" s="806" t="s">
        <v>443</v>
      </c>
      <c r="D1081" s="806"/>
      <c r="E1081" s="798"/>
      <c r="F1081" s="799"/>
      <c r="G1081" s="1025"/>
      <c r="H1081" s="690"/>
      <c r="I1081" s="1030"/>
      <c r="J1081" s="690"/>
      <c r="K1081" s="1030"/>
      <c r="L1081" s="690"/>
      <c r="M1081" s="1025"/>
      <c r="N1081" s="1030"/>
      <c r="O1081" s="692">
        <f t="shared" si="139"/>
        <v>0</v>
      </c>
      <c r="P1081" s="690"/>
      <c r="Q1081" s="690"/>
      <c r="R1081" s="691">
        <f t="shared" si="132"/>
        <v>0</v>
      </c>
      <c r="S1081" s="692">
        <f t="shared" si="133"/>
        <v>0</v>
      </c>
      <c r="T1081" s="693">
        <f t="shared" si="134"/>
        <v>0</v>
      </c>
      <c r="U1081" s="1035"/>
      <c r="V1081" s="690"/>
      <c r="W1081" s="1025"/>
      <c r="X1081" s="1030"/>
      <c r="Y1081" s="694">
        <f t="shared" si="135"/>
        <v>0</v>
      </c>
      <c r="Z1081" s="690"/>
      <c r="AA1081" s="690"/>
      <c r="AB1081" s="695">
        <f t="shared" si="136"/>
        <v>0</v>
      </c>
      <c r="AC1081" s="1035"/>
      <c r="AD1081" s="690"/>
      <c r="AE1081" s="1025"/>
      <c r="AF1081" s="1030"/>
      <c r="AG1081" s="690"/>
      <c r="AH1081" s="690"/>
      <c r="AI1081" s="696">
        <f t="shared" si="137"/>
        <v>0</v>
      </c>
      <c r="AJ1081" s="697">
        <f t="shared" si="138"/>
        <v>0</v>
      </c>
    </row>
    <row r="1082" spans="1:36" s="700" customFormat="1" ht="12.75" customHeight="1">
      <c r="A1082" s="789" t="s">
        <v>204</v>
      </c>
      <c r="B1082" s="805" t="s">
        <v>381</v>
      </c>
      <c r="C1082" s="806" t="s">
        <v>377</v>
      </c>
      <c r="D1082" s="806"/>
      <c r="E1082" s="798"/>
      <c r="F1082" s="799"/>
      <c r="G1082" s="1025"/>
      <c r="H1082" s="690"/>
      <c r="I1082" s="1030"/>
      <c r="J1082" s="690"/>
      <c r="K1082" s="1030"/>
      <c r="L1082" s="690"/>
      <c r="M1082" s="1025"/>
      <c r="N1082" s="1030"/>
      <c r="O1082" s="692">
        <f t="shared" si="139"/>
        <v>0</v>
      </c>
      <c r="P1082" s="690"/>
      <c r="Q1082" s="690"/>
      <c r="R1082" s="691">
        <f t="shared" si="132"/>
        <v>0</v>
      </c>
      <c r="S1082" s="692">
        <f t="shared" si="133"/>
        <v>0</v>
      </c>
      <c r="T1082" s="693">
        <f t="shared" si="134"/>
        <v>0</v>
      </c>
      <c r="U1082" s="1154">
        <v>439062132</v>
      </c>
      <c r="V1082" s="690">
        <v>474575353</v>
      </c>
      <c r="W1082" s="1025"/>
      <c r="X1082" s="1030"/>
      <c r="Y1082" s="694">
        <f t="shared" si="135"/>
        <v>0</v>
      </c>
      <c r="Z1082" s="690"/>
      <c r="AA1082" s="690"/>
      <c r="AB1082" s="695">
        <f t="shared" si="136"/>
        <v>0</v>
      </c>
      <c r="AC1082" s="1035"/>
      <c r="AD1082" s="690"/>
      <c r="AE1082" s="1025"/>
      <c r="AF1082" s="1030"/>
      <c r="AG1082" s="690"/>
      <c r="AH1082" s="690"/>
      <c r="AI1082" s="696">
        <f t="shared" si="137"/>
        <v>439062132</v>
      </c>
      <c r="AJ1082" s="697">
        <f t="shared" si="138"/>
        <v>474575353</v>
      </c>
    </row>
    <row r="1083" spans="1:36" s="700" customFormat="1" ht="12.75" customHeight="1">
      <c r="A1083" s="789" t="s">
        <v>204</v>
      </c>
      <c r="B1083" s="789" t="s">
        <v>422</v>
      </c>
      <c r="C1083" s="803" t="s">
        <v>439</v>
      </c>
      <c r="D1083" s="803"/>
      <c r="E1083" s="798"/>
      <c r="F1083" s="799"/>
      <c r="G1083" s="1025"/>
      <c r="H1083" s="690"/>
      <c r="I1083" s="1030"/>
      <c r="J1083" s="690"/>
      <c r="K1083" s="1030"/>
      <c r="L1083" s="690"/>
      <c r="M1083" s="1025"/>
      <c r="N1083" s="1030"/>
      <c r="O1083" s="692">
        <f t="shared" si="139"/>
        <v>0</v>
      </c>
      <c r="P1083" s="690"/>
      <c r="Q1083" s="690"/>
      <c r="R1083" s="691">
        <f t="shared" si="132"/>
        <v>0</v>
      </c>
      <c r="S1083" s="692">
        <f t="shared" si="133"/>
        <v>0</v>
      </c>
      <c r="T1083" s="693">
        <f t="shared" si="134"/>
        <v>0</v>
      </c>
      <c r="U1083" s="1035"/>
      <c r="V1083" s="690"/>
      <c r="W1083" s="1025"/>
      <c r="X1083" s="1030"/>
      <c r="Y1083" s="694">
        <f t="shared" si="135"/>
        <v>0</v>
      </c>
      <c r="Z1083" s="690"/>
      <c r="AA1083" s="690"/>
      <c r="AB1083" s="695">
        <f t="shared" si="136"/>
        <v>0</v>
      </c>
      <c r="AC1083" s="1035"/>
      <c r="AD1083" s="690"/>
      <c r="AE1083" s="1025"/>
      <c r="AF1083" s="1030"/>
      <c r="AG1083" s="690"/>
      <c r="AH1083" s="690"/>
      <c r="AI1083" s="696">
        <f t="shared" si="137"/>
        <v>0</v>
      </c>
      <c r="AJ1083" s="697">
        <f t="shared" si="138"/>
        <v>0</v>
      </c>
    </row>
    <row r="1084" spans="1:36" s="700" customFormat="1" ht="12.75" customHeight="1">
      <c r="A1084" s="789" t="s">
        <v>204</v>
      </c>
      <c r="B1084" s="789" t="s">
        <v>422</v>
      </c>
      <c r="C1084" s="804" t="s">
        <v>862</v>
      </c>
      <c r="D1084" s="804"/>
      <c r="E1084" s="808"/>
      <c r="F1084" s="809"/>
      <c r="G1084" s="1025"/>
      <c r="H1084" s="690"/>
      <c r="I1084" s="1030"/>
      <c r="J1084" s="690"/>
      <c r="K1084" s="1030"/>
      <c r="L1084" s="690"/>
      <c r="M1084" s="1025"/>
      <c r="N1084" s="1030"/>
      <c r="O1084" s="692">
        <f t="shared" si="139"/>
        <v>0</v>
      </c>
      <c r="P1084" s="690"/>
      <c r="Q1084" s="690"/>
      <c r="R1084" s="691">
        <f t="shared" ref="R1084:R1089" si="140">SUM(P1084:Q1084)</f>
        <v>0</v>
      </c>
      <c r="S1084" s="692">
        <f t="shared" si="133"/>
        <v>0</v>
      </c>
      <c r="T1084" s="693">
        <f t="shared" si="134"/>
        <v>0</v>
      </c>
      <c r="U1084" s="1035"/>
      <c r="V1084" s="690"/>
      <c r="W1084" s="1025"/>
      <c r="X1084" s="1030"/>
      <c r="Y1084" s="694">
        <f t="shared" si="135"/>
        <v>0</v>
      </c>
      <c r="Z1084" s="690"/>
      <c r="AA1084" s="690"/>
      <c r="AB1084" s="695">
        <f t="shared" si="136"/>
        <v>0</v>
      </c>
      <c r="AC1084" s="1035"/>
      <c r="AD1084" s="690"/>
      <c r="AE1084" s="1025"/>
      <c r="AF1084" s="1030"/>
      <c r="AG1084" s="690"/>
      <c r="AH1084" s="690"/>
      <c r="AI1084" s="696">
        <f t="shared" si="137"/>
        <v>0</v>
      </c>
      <c r="AJ1084" s="697">
        <f t="shared" si="138"/>
        <v>0</v>
      </c>
    </row>
    <row r="1085" spans="1:36" s="700" customFormat="1" ht="12.75" customHeight="1">
      <c r="A1085" s="789" t="s">
        <v>204</v>
      </c>
      <c r="B1085" s="805" t="s">
        <v>382</v>
      </c>
      <c r="C1085" s="806" t="s">
        <v>443</v>
      </c>
      <c r="D1085" s="806"/>
      <c r="E1085" s="808"/>
      <c r="F1085" s="809"/>
      <c r="G1085" s="1025"/>
      <c r="H1085" s="690"/>
      <c r="I1085" s="1030"/>
      <c r="J1085" s="690"/>
      <c r="K1085" s="1030"/>
      <c r="L1085" s="690"/>
      <c r="M1085" s="1025"/>
      <c r="N1085" s="1030"/>
      <c r="O1085" s="692">
        <f t="shared" si="139"/>
        <v>0</v>
      </c>
      <c r="P1085" s="690"/>
      <c r="Q1085" s="690"/>
      <c r="R1085" s="691">
        <f t="shared" si="140"/>
        <v>0</v>
      </c>
      <c r="S1085" s="692">
        <f t="shared" si="133"/>
        <v>0</v>
      </c>
      <c r="T1085" s="693">
        <f t="shared" si="134"/>
        <v>0</v>
      </c>
      <c r="U1085" s="1035"/>
      <c r="V1085" s="690"/>
      <c r="W1085" s="1025"/>
      <c r="X1085" s="1030"/>
      <c r="Y1085" s="694">
        <f t="shared" si="135"/>
        <v>0</v>
      </c>
      <c r="Z1085" s="690"/>
      <c r="AA1085" s="690"/>
      <c r="AB1085" s="695">
        <f t="shared" si="136"/>
        <v>0</v>
      </c>
      <c r="AC1085" s="1035"/>
      <c r="AD1085" s="690"/>
      <c r="AE1085" s="1025"/>
      <c r="AF1085" s="1030"/>
      <c r="AG1085" s="690"/>
      <c r="AH1085" s="690"/>
      <c r="AI1085" s="696">
        <f t="shared" si="137"/>
        <v>0</v>
      </c>
      <c r="AJ1085" s="697">
        <f t="shared" si="138"/>
        <v>0</v>
      </c>
    </row>
    <row r="1086" spans="1:36" s="700" customFormat="1" ht="12.75" customHeight="1">
      <c r="A1086" s="789" t="s">
        <v>204</v>
      </c>
      <c r="B1086" s="805" t="s">
        <v>383</v>
      </c>
      <c r="C1086" s="806" t="s">
        <v>377</v>
      </c>
      <c r="D1086" s="806"/>
      <c r="E1086" s="808"/>
      <c r="F1086" s="809"/>
      <c r="G1086" s="1025"/>
      <c r="H1086" s="690"/>
      <c r="I1086" s="1030"/>
      <c r="J1086" s="690"/>
      <c r="K1086" s="1030"/>
      <c r="L1086" s="690"/>
      <c r="M1086" s="1025"/>
      <c r="N1086" s="1030"/>
      <c r="O1086" s="692">
        <f t="shared" si="139"/>
        <v>0</v>
      </c>
      <c r="P1086" s="690"/>
      <c r="Q1086" s="690"/>
      <c r="R1086" s="691">
        <f t="shared" si="140"/>
        <v>0</v>
      </c>
      <c r="S1086" s="692">
        <f t="shared" si="133"/>
        <v>0</v>
      </c>
      <c r="T1086" s="693">
        <f t="shared" si="134"/>
        <v>0</v>
      </c>
      <c r="U1086" s="1035">
        <v>1228708</v>
      </c>
      <c r="V1086" s="690">
        <v>1228708</v>
      </c>
      <c r="W1086" s="1025"/>
      <c r="X1086" s="1030"/>
      <c r="Y1086" s="694">
        <f t="shared" si="135"/>
        <v>0</v>
      </c>
      <c r="Z1086" s="690"/>
      <c r="AA1086" s="690"/>
      <c r="AB1086" s="695">
        <f t="shared" si="136"/>
        <v>0</v>
      </c>
      <c r="AC1086" s="1035"/>
      <c r="AD1086" s="690"/>
      <c r="AE1086" s="1025"/>
      <c r="AF1086" s="1030"/>
      <c r="AG1086" s="690"/>
      <c r="AH1086" s="690"/>
      <c r="AI1086" s="696">
        <f t="shared" si="137"/>
        <v>1228708</v>
      </c>
      <c r="AJ1086" s="697">
        <f t="shared" si="138"/>
        <v>1228708</v>
      </c>
    </row>
    <row r="1087" spans="1:36" s="700" customFormat="1" ht="12.75" customHeight="1">
      <c r="A1087" s="789" t="s">
        <v>204</v>
      </c>
      <c r="B1087" s="789" t="s">
        <v>422</v>
      </c>
      <c r="C1087" s="804" t="s">
        <v>861</v>
      </c>
      <c r="D1087" s="804"/>
      <c r="E1087" s="808"/>
      <c r="F1087" s="809"/>
      <c r="G1087" s="1025"/>
      <c r="H1087" s="690"/>
      <c r="I1087" s="1030"/>
      <c r="J1087" s="690"/>
      <c r="K1087" s="1030"/>
      <c r="L1087" s="690"/>
      <c r="M1087" s="1025"/>
      <c r="N1087" s="1030"/>
      <c r="O1087" s="692">
        <f t="shared" si="139"/>
        <v>0</v>
      </c>
      <c r="P1087" s="690"/>
      <c r="Q1087" s="690"/>
      <c r="R1087" s="691">
        <f t="shared" si="140"/>
        <v>0</v>
      </c>
      <c r="S1087" s="692">
        <f t="shared" si="133"/>
        <v>0</v>
      </c>
      <c r="T1087" s="693">
        <f t="shared" si="134"/>
        <v>0</v>
      </c>
      <c r="U1087" s="1035"/>
      <c r="V1087" s="690"/>
      <c r="W1087" s="1025"/>
      <c r="X1087" s="1030"/>
      <c r="Y1087" s="694">
        <f t="shared" si="135"/>
        <v>0</v>
      </c>
      <c r="Z1087" s="690"/>
      <c r="AA1087" s="690"/>
      <c r="AB1087" s="695">
        <f t="shared" si="136"/>
        <v>0</v>
      </c>
      <c r="AC1087" s="1035"/>
      <c r="AD1087" s="690"/>
      <c r="AE1087" s="1025"/>
      <c r="AF1087" s="1030"/>
      <c r="AG1087" s="690"/>
      <c r="AH1087" s="690"/>
      <c r="AI1087" s="696">
        <f t="shared" si="137"/>
        <v>0</v>
      </c>
      <c r="AJ1087" s="697">
        <f t="shared" si="138"/>
        <v>0</v>
      </c>
    </row>
    <row r="1088" spans="1:36" s="700" customFormat="1" ht="12.75" customHeight="1">
      <c r="A1088" s="789" t="s">
        <v>204</v>
      </c>
      <c r="B1088" s="805" t="s">
        <v>382</v>
      </c>
      <c r="C1088" s="806" t="s">
        <v>443</v>
      </c>
      <c r="D1088" s="806"/>
      <c r="E1088" s="808"/>
      <c r="F1088" s="809"/>
      <c r="G1088" s="1025"/>
      <c r="H1088" s="690"/>
      <c r="I1088" s="1030"/>
      <c r="J1088" s="690"/>
      <c r="K1088" s="1030"/>
      <c r="L1088" s="690"/>
      <c r="M1088" s="1025"/>
      <c r="N1088" s="1030"/>
      <c r="O1088" s="692">
        <f t="shared" si="139"/>
        <v>0</v>
      </c>
      <c r="P1088" s="690"/>
      <c r="Q1088" s="690"/>
      <c r="R1088" s="691">
        <f t="shared" si="140"/>
        <v>0</v>
      </c>
      <c r="S1088" s="692">
        <f t="shared" si="133"/>
        <v>0</v>
      </c>
      <c r="T1088" s="693">
        <f t="shared" si="134"/>
        <v>0</v>
      </c>
      <c r="U1088" s="1035"/>
      <c r="V1088" s="690"/>
      <c r="W1088" s="1025"/>
      <c r="X1088" s="1030"/>
      <c r="Y1088" s="694">
        <f t="shared" si="135"/>
        <v>0</v>
      </c>
      <c r="Z1088" s="690"/>
      <c r="AA1088" s="690"/>
      <c r="AB1088" s="695">
        <f t="shared" si="136"/>
        <v>0</v>
      </c>
      <c r="AC1088" s="1035"/>
      <c r="AD1088" s="690"/>
      <c r="AE1088" s="1025"/>
      <c r="AF1088" s="1030"/>
      <c r="AG1088" s="690"/>
      <c r="AH1088" s="690"/>
      <c r="AI1088" s="696">
        <f t="shared" si="137"/>
        <v>0</v>
      </c>
      <c r="AJ1088" s="697">
        <f t="shared" si="138"/>
        <v>0</v>
      </c>
    </row>
    <row r="1089" spans="1:36" s="700" customFormat="1" ht="12.75" customHeight="1">
      <c r="A1089" s="789" t="s">
        <v>204</v>
      </c>
      <c r="B1089" s="805" t="s">
        <v>383</v>
      </c>
      <c r="C1089" s="806" t="s">
        <v>377</v>
      </c>
      <c r="D1089" s="806"/>
      <c r="E1089" s="808"/>
      <c r="F1089" s="809"/>
      <c r="G1089" s="1025"/>
      <c r="H1089" s="690"/>
      <c r="I1089" s="1030"/>
      <c r="J1089" s="690"/>
      <c r="K1089" s="1030"/>
      <c r="L1089" s="690"/>
      <c r="M1089" s="1025"/>
      <c r="N1089" s="1030"/>
      <c r="O1089" s="692">
        <f t="shared" si="139"/>
        <v>0</v>
      </c>
      <c r="P1089" s="690"/>
      <c r="Q1089" s="690"/>
      <c r="R1089" s="691">
        <f t="shared" si="140"/>
        <v>0</v>
      </c>
      <c r="S1089" s="692">
        <f t="shared" si="133"/>
        <v>0</v>
      </c>
      <c r="T1089" s="693">
        <f t="shared" si="134"/>
        <v>0</v>
      </c>
      <c r="U1089" s="1154">
        <v>45182629</v>
      </c>
      <c r="V1089" s="690">
        <v>59332133</v>
      </c>
      <c r="W1089" s="1025"/>
      <c r="X1089" s="1030"/>
      <c r="Y1089" s="694">
        <f t="shared" si="135"/>
        <v>0</v>
      </c>
      <c r="Z1089" s="690"/>
      <c r="AA1089" s="690"/>
      <c r="AB1089" s="695">
        <f t="shared" si="136"/>
        <v>0</v>
      </c>
      <c r="AC1089" s="1035"/>
      <c r="AD1089" s="690"/>
      <c r="AE1089" s="1025"/>
      <c r="AF1089" s="1030"/>
      <c r="AG1089" s="690"/>
      <c r="AH1089" s="690"/>
      <c r="AI1089" s="696">
        <f t="shared" si="137"/>
        <v>45182629</v>
      </c>
      <c r="AJ1089" s="697">
        <f t="shared" si="138"/>
        <v>59332133</v>
      </c>
    </row>
    <row r="1090" spans="1:36" s="700" customFormat="1" ht="12.75" customHeight="1">
      <c r="A1090" s="686" t="s">
        <v>204</v>
      </c>
      <c r="B1090" s="686" t="s">
        <v>392</v>
      </c>
      <c r="C1090" s="810" t="s">
        <v>863</v>
      </c>
      <c r="D1090" s="810"/>
      <c r="E1090" s="811">
        <v>138682</v>
      </c>
      <c r="F1090" s="812">
        <v>12</v>
      </c>
      <c r="G1090" s="1025">
        <v>9045304</v>
      </c>
      <c r="H1090" s="690">
        <v>8917866</v>
      </c>
      <c r="I1090" s="1030"/>
      <c r="J1090" s="690"/>
      <c r="K1090" s="1030"/>
      <c r="L1090" s="690"/>
      <c r="M1090" s="1025">
        <v>7164599.4840000002</v>
      </c>
      <c r="N1090" s="1030"/>
      <c r="O1090" s="692">
        <f t="shared" ref="O1090:O1097" si="141">SUM(M1090:N1090)</f>
        <v>7164599.4840000002</v>
      </c>
      <c r="P1090" s="690">
        <v>9296663.1899999995</v>
      </c>
      <c r="Q1090" s="690"/>
      <c r="R1090" s="691">
        <f t="shared" ref="R1090:R1097" si="142">SUM(P1090:Q1090)</f>
        <v>9296663.1899999995</v>
      </c>
      <c r="S1090" s="692">
        <f t="shared" ref="S1090:S1097" si="143">SUM(G1090,I1090,K1090,M1090)</f>
        <v>16209903.484000001</v>
      </c>
      <c r="T1090" s="693">
        <f t="shared" ref="T1090:T1097" si="144">SUM(H1090,J1090,L1090,P1090)</f>
        <v>18214529.189999998</v>
      </c>
      <c r="U1090" s="1035"/>
      <c r="V1090" s="690"/>
      <c r="W1090" s="1025"/>
      <c r="X1090" s="1030"/>
      <c r="Y1090" s="694">
        <f t="shared" ref="Y1090:Y1097" si="145">SUM(W1090:X1090)</f>
        <v>0</v>
      </c>
      <c r="Z1090" s="690"/>
      <c r="AA1090" s="690"/>
      <c r="AB1090" s="695">
        <f t="shared" ref="AB1090:AB1097" si="146">SUM(Z1090:AA1090)</f>
        <v>0</v>
      </c>
      <c r="AC1090" s="1035"/>
      <c r="AD1090" s="690"/>
      <c r="AE1090" s="1025"/>
      <c r="AF1090" s="1030"/>
      <c r="AG1090" s="690"/>
      <c r="AH1090" s="690"/>
      <c r="AI1090" s="696">
        <f t="shared" ref="AI1090:AI1097" si="147">SUM(S1090,U1090,W1090,AC1090,AE1090)</f>
        <v>16209903.484000001</v>
      </c>
      <c r="AJ1090" s="697">
        <f t="shared" ref="AJ1090:AJ1097" si="148">SUM(T1090,V1090,Z1090,AD1090,AG1090)</f>
        <v>18214529.189999998</v>
      </c>
    </row>
    <row r="1091" spans="1:36" s="700" customFormat="1" ht="12.75" customHeight="1">
      <c r="A1091" s="686" t="s">
        <v>204</v>
      </c>
      <c r="B1091" s="686" t="s">
        <v>392</v>
      </c>
      <c r="C1091" s="810" t="s">
        <v>864</v>
      </c>
      <c r="D1091" s="810"/>
      <c r="E1091" s="811">
        <v>246813</v>
      </c>
      <c r="F1091" s="812">
        <v>12</v>
      </c>
      <c r="G1091" s="1025">
        <v>10196204</v>
      </c>
      <c r="H1091" s="690">
        <v>10078323</v>
      </c>
      <c r="I1091" s="1030"/>
      <c r="J1091" s="690"/>
      <c r="K1091" s="1030"/>
      <c r="L1091" s="690"/>
      <c r="M1091" s="1025">
        <v>9570830.1719999984</v>
      </c>
      <c r="N1091" s="1030"/>
      <c r="O1091" s="692">
        <f t="shared" si="141"/>
        <v>9570830.1719999984</v>
      </c>
      <c r="P1091" s="690">
        <v>10763240.85</v>
      </c>
      <c r="Q1091" s="690"/>
      <c r="R1091" s="691">
        <f t="shared" si="142"/>
        <v>10763240.85</v>
      </c>
      <c r="S1091" s="692">
        <f t="shared" si="143"/>
        <v>19767034.171999998</v>
      </c>
      <c r="T1091" s="693">
        <f t="shared" si="144"/>
        <v>20841563.850000001</v>
      </c>
      <c r="U1091" s="1035"/>
      <c r="V1091" s="690"/>
      <c r="W1091" s="1025"/>
      <c r="X1091" s="1030"/>
      <c r="Y1091" s="694">
        <f t="shared" si="145"/>
        <v>0</v>
      </c>
      <c r="Z1091" s="690"/>
      <c r="AA1091" s="690"/>
      <c r="AB1091" s="695">
        <f t="shared" si="146"/>
        <v>0</v>
      </c>
      <c r="AC1091" s="1035"/>
      <c r="AD1091" s="690"/>
      <c r="AE1091" s="1025"/>
      <c r="AF1091" s="1030"/>
      <c r="AG1091" s="690"/>
      <c r="AH1091" s="690"/>
      <c r="AI1091" s="696">
        <f t="shared" si="147"/>
        <v>19767034.171999998</v>
      </c>
      <c r="AJ1091" s="697">
        <f t="shared" si="148"/>
        <v>20841563.850000001</v>
      </c>
    </row>
    <row r="1092" spans="1:36" s="700" customFormat="1" ht="12.75" customHeight="1">
      <c r="A1092" s="686" t="s">
        <v>204</v>
      </c>
      <c r="B1092" s="686" t="s">
        <v>392</v>
      </c>
      <c r="C1092" s="810" t="s">
        <v>865</v>
      </c>
      <c r="D1092" s="810"/>
      <c r="E1092" s="811">
        <v>138840</v>
      </c>
      <c r="F1092" s="812">
        <v>12</v>
      </c>
      <c r="G1092" s="1025">
        <v>12412529</v>
      </c>
      <c r="H1092" s="690">
        <v>11937033</v>
      </c>
      <c r="I1092" s="1030"/>
      <c r="J1092" s="690"/>
      <c r="K1092" s="1030"/>
      <c r="L1092" s="690"/>
      <c r="M1092" s="1025">
        <v>9847256.5559999999</v>
      </c>
      <c r="N1092" s="1030"/>
      <c r="O1092" s="692">
        <f t="shared" si="141"/>
        <v>9847256.5559999999</v>
      </c>
      <c r="P1092" s="690">
        <v>12202878.02</v>
      </c>
      <c r="Q1092" s="690"/>
      <c r="R1092" s="691">
        <f t="shared" si="142"/>
        <v>12202878.02</v>
      </c>
      <c r="S1092" s="692">
        <f t="shared" si="143"/>
        <v>22259785.556000002</v>
      </c>
      <c r="T1092" s="693">
        <f t="shared" si="144"/>
        <v>24139911.02</v>
      </c>
      <c r="U1092" s="1035"/>
      <c r="V1092" s="690"/>
      <c r="W1092" s="1025"/>
      <c r="X1092" s="1030"/>
      <c r="Y1092" s="694">
        <f t="shared" si="145"/>
        <v>0</v>
      </c>
      <c r="Z1092" s="690"/>
      <c r="AA1092" s="690"/>
      <c r="AB1092" s="695">
        <f t="shared" si="146"/>
        <v>0</v>
      </c>
      <c r="AC1092" s="1035"/>
      <c r="AD1092" s="690"/>
      <c r="AE1092" s="1025"/>
      <c r="AF1092" s="1030"/>
      <c r="AG1092" s="690"/>
      <c r="AH1092" s="690"/>
      <c r="AI1092" s="696">
        <f t="shared" si="147"/>
        <v>22259785.556000002</v>
      </c>
      <c r="AJ1092" s="697">
        <f t="shared" si="148"/>
        <v>24139911.02</v>
      </c>
    </row>
    <row r="1093" spans="1:36" s="700" customFormat="1" ht="12.75" customHeight="1">
      <c r="A1093" s="686" t="s">
        <v>204</v>
      </c>
      <c r="B1093" s="686" t="s">
        <v>392</v>
      </c>
      <c r="C1093" s="810" t="s">
        <v>866</v>
      </c>
      <c r="D1093" s="810"/>
      <c r="E1093" s="811">
        <v>138956</v>
      </c>
      <c r="F1093" s="812">
        <v>12</v>
      </c>
      <c r="G1093" s="1025">
        <v>14443683</v>
      </c>
      <c r="H1093" s="690">
        <v>13571143</v>
      </c>
      <c r="I1093" s="1030"/>
      <c r="J1093" s="690"/>
      <c r="K1093" s="1030"/>
      <c r="L1093" s="690"/>
      <c r="M1093" s="1025">
        <v>9551529.3479999993</v>
      </c>
      <c r="N1093" s="1030"/>
      <c r="O1093" s="692">
        <f t="shared" si="141"/>
        <v>9551529.3479999993</v>
      </c>
      <c r="P1093" s="690">
        <v>9381545.9800000004</v>
      </c>
      <c r="Q1093" s="690"/>
      <c r="R1093" s="691">
        <f t="shared" si="142"/>
        <v>9381545.9800000004</v>
      </c>
      <c r="S1093" s="692">
        <f t="shared" si="143"/>
        <v>23995212.347999997</v>
      </c>
      <c r="T1093" s="693">
        <f t="shared" si="144"/>
        <v>22952688.98</v>
      </c>
      <c r="U1093" s="1035"/>
      <c r="V1093" s="690"/>
      <c r="W1093" s="1025"/>
      <c r="X1093" s="1030"/>
      <c r="Y1093" s="694">
        <f t="shared" si="145"/>
        <v>0</v>
      </c>
      <c r="Z1093" s="690"/>
      <c r="AA1093" s="690"/>
      <c r="AB1093" s="695">
        <f t="shared" si="146"/>
        <v>0</v>
      </c>
      <c r="AC1093" s="1035"/>
      <c r="AD1093" s="690"/>
      <c r="AE1093" s="1025"/>
      <c r="AF1093" s="1030"/>
      <c r="AG1093" s="690"/>
      <c r="AH1093" s="690"/>
      <c r="AI1093" s="696">
        <f t="shared" si="147"/>
        <v>23995212.347999997</v>
      </c>
      <c r="AJ1093" s="697">
        <f t="shared" si="148"/>
        <v>22952688.98</v>
      </c>
    </row>
    <row r="1094" spans="1:36" s="700" customFormat="1" ht="12.75" customHeight="1">
      <c r="A1094" s="686" t="s">
        <v>204</v>
      </c>
      <c r="B1094" s="686" t="s">
        <v>392</v>
      </c>
      <c r="C1094" s="810" t="s">
        <v>867</v>
      </c>
      <c r="D1094" s="810"/>
      <c r="E1094" s="811">
        <v>140304</v>
      </c>
      <c r="F1094" s="812">
        <v>12</v>
      </c>
      <c r="G1094" s="1025">
        <v>13491080</v>
      </c>
      <c r="H1094" s="690">
        <v>13104791</v>
      </c>
      <c r="I1094" s="1030"/>
      <c r="J1094" s="690"/>
      <c r="K1094" s="1030"/>
      <c r="L1094" s="690"/>
      <c r="M1094" s="1025">
        <v>12775567.716</v>
      </c>
      <c r="N1094" s="1030"/>
      <c r="O1094" s="692">
        <f t="shared" si="141"/>
        <v>12775567.716</v>
      </c>
      <c r="P1094" s="690">
        <v>13684650.939999999</v>
      </c>
      <c r="Q1094" s="690"/>
      <c r="R1094" s="691">
        <f t="shared" si="142"/>
        <v>13684650.939999999</v>
      </c>
      <c r="S1094" s="692">
        <f t="shared" si="143"/>
        <v>26266647.715999998</v>
      </c>
      <c r="T1094" s="693">
        <f t="shared" si="144"/>
        <v>26789441.939999998</v>
      </c>
      <c r="U1094" s="1035"/>
      <c r="V1094" s="690"/>
      <c r="W1094" s="1025"/>
      <c r="X1094" s="1030"/>
      <c r="Y1094" s="694">
        <f t="shared" si="145"/>
        <v>0</v>
      </c>
      <c r="Z1094" s="690"/>
      <c r="AA1094" s="690"/>
      <c r="AB1094" s="695">
        <f t="shared" si="146"/>
        <v>0</v>
      </c>
      <c r="AC1094" s="1035"/>
      <c r="AD1094" s="690"/>
      <c r="AE1094" s="1025"/>
      <c r="AF1094" s="1030"/>
      <c r="AG1094" s="690"/>
      <c r="AH1094" s="690"/>
      <c r="AI1094" s="696">
        <f t="shared" si="147"/>
        <v>26266647.715999998</v>
      </c>
      <c r="AJ1094" s="697">
        <f t="shared" si="148"/>
        <v>26789441.939999998</v>
      </c>
    </row>
    <row r="1095" spans="1:36" s="700" customFormat="1" ht="12.75" customHeight="1">
      <c r="A1095" s="686" t="s">
        <v>204</v>
      </c>
      <c r="B1095" s="686" t="s">
        <v>392</v>
      </c>
      <c r="C1095" s="813" t="s">
        <v>868</v>
      </c>
      <c r="D1095" s="813"/>
      <c r="E1095" s="811">
        <v>140331</v>
      </c>
      <c r="F1095" s="812">
        <v>12</v>
      </c>
      <c r="G1095" s="1025">
        <v>19687098</v>
      </c>
      <c r="H1095" s="690">
        <v>19324737</v>
      </c>
      <c r="I1095" s="1030"/>
      <c r="J1095" s="690"/>
      <c r="K1095" s="1030"/>
      <c r="L1095" s="690"/>
      <c r="M1095" s="1025">
        <v>23210839.439999998</v>
      </c>
      <c r="N1095" s="1030"/>
      <c r="O1095" s="692">
        <f t="shared" si="141"/>
        <v>23210839.439999998</v>
      </c>
      <c r="P1095" s="690">
        <v>25557810.539999999</v>
      </c>
      <c r="Q1095" s="690"/>
      <c r="R1095" s="691">
        <f t="shared" si="142"/>
        <v>25557810.539999999</v>
      </c>
      <c r="S1095" s="692">
        <f t="shared" si="143"/>
        <v>42897937.439999998</v>
      </c>
      <c r="T1095" s="693">
        <f t="shared" si="144"/>
        <v>44882547.539999999</v>
      </c>
      <c r="U1095" s="1035"/>
      <c r="V1095" s="690"/>
      <c r="W1095" s="1025"/>
      <c r="X1095" s="1030"/>
      <c r="Y1095" s="694">
        <f t="shared" si="145"/>
        <v>0</v>
      </c>
      <c r="Z1095" s="690"/>
      <c r="AA1095" s="690"/>
      <c r="AB1095" s="695">
        <f t="shared" si="146"/>
        <v>0</v>
      </c>
      <c r="AC1095" s="1035"/>
      <c r="AD1095" s="690"/>
      <c r="AE1095" s="1025"/>
      <c r="AF1095" s="1030"/>
      <c r="AG1095" s="690"/>
      <c r="AH1095" s="690"/>
      <c r="AI1095" s="696">
        <f t="shared" si="147"/>
        <v>42897937.439999998</v>
      </c>
      <c r="AJ1095" s="697">
        <f t="shared" si="148"/>
        <v>44882547.539999999</v>
      </c>
    </row>
    <row r="1096" spans="1:36" s="700" customFormat="1" ht="12.75" customHeight="1">
      <c r="A1096" s="686" t="s">
        <v>204</v>
      </c>
      <c r="B1096" s="686" t="s">
        <v>392</v>
      </c>
      <c r="C1096" s="810" t="s">
        <v>869</v>
      </c>
      <c r="D1096" s="810"/>
      <c r="E1096" s="811">
        <v>139357</v>
      </c>
      <c r="F1096" s="812">
        <v>12</v>
      </c>
      <c r="G1096" s="1025">
        <v>9715856</v>
      </c>
      <c r="H1096" s="690">
        <v>9978540</v>
      </c>
      <c r="I1096" s="1030"/>
      <c r="J1096" s="690"/>
      <c r="K1096" s="1030"/>
      <c r="L1096" s="690"/>
      <c r="M1096" s="1025">
        <v>8228041.2359999996</v>
      </c>
      <c r="N1096" s="1030"/>
      <c r="O1096" s="692">
        <f t="shared" si="141"/>
        <v>8228041.2359999996</v>
      </c>
      <c r="P1096" s="690">
        <v>8289678.1100000003</v>
      </c>
      <c r="Q1096" s="690"/>
      <c r="R1096" s="691">
        <f t="shared" si="142"/>
        <v>8289678.1100000003</v>
      </c>
      <c r="S1096" s="692">
        <f t="shared" si="143"/>
        <v>17943897.236000001</v>
      </c>
      <c r="T1096" s="693">
        <f t="shared" si="144"/>
        <v>18268218.109999999</v>
      </c>
      <c r="U1096" s="1035"/>
      <c r="V1096" s="690"/>
      <c r="W1096" s="1025"/>
      <c r="X1096" s="1030"/>
      <c r="Y1096" s="694">
        <f t="shared" si="145"/>
        <v>0</v>
      </c>
      <c r="Z1096" s="690"/>
      <c r="AA1096" s="690"/>
      <c r="AB1096" s="695">
        <f t="shared" si="146"/>
        <v>0</v>
      </c>
      <c r="AC1096" s="1035"/>
      <c r="AD1096" s="690"/>
      <c r="AE1096" s="1025"/>
      <c r="AF1096" s="1030"/>
      <c r="AG1096" s="690"/>
      <c r="AH1096" s="690"/>
      <c r="AI1096" s="696">
        <f t="shared" si="147"/>
        <v>17943897.236000001</v>
      </c>
      <c r="AJ1096" s="697">
        <f t="shared" si="148"/>
        <v>18268218.109999999</v>
      </c>
    </row>
    <row r="1097" spans="1:36" s="700" customFormat="1" ht="12.75" customHeight="1">
      <c r="A1097" s="686" t="s">
        <v>204</v>
      </c>
      <c r="B1097" s="686" t="s">
        <v>392</v>
      </c>
      <c r="C1097" s="810" t="s">
        <v>870</v>
      </c>
      <c r="D1097" s="810"/>
      <c r="E1097" s="811">
        <v>244446</v>
      </c>
      <c r="F1097" s="812">
        <v>12</v>
      </c>
      <c r="G1097" s="1025">
        <v>15392458</v>
      </c>
      <c r="H1097" s="690">
        <v>14114140</v>
      </c>
      <c r="I1097" s="1030"/>
      <c r="J1097" s="690"/>
      <c r="K1097" s="1030"/>
      <c r="L1097" s="690"/>
      <c r="M1097" s="1025">
        <v>12343585.02</v>
      </c>
      <c r="N1097" s="1030"/>
      <c r="O1097" s="692">
        <f t="shared" si="141"/>
        <v>12343585.02</v>
      </c>
      <c r="P1097" s="690">
        <v>13178255.949999999</v>
      </c>
      <c r="Q1097" s="690"/>
      <c r="R1097" s="691">
        <f t="shared" si="142"/>
        <v>13178255.949999999</v>
      </c>
      <c r="S1097" s="692">
        <f t="shared" si="143"/>
        <v>27736043.02</v>
      </c>
      <c r="T1097" s="693">
        <f t="shared" si="144"/>
        <v>27292395.949999999</v>
      </c>
      <c r="U1097" s="1035"/>
      <c r="V1097" s="690"/>
      <c r="W1097" s="1025"/>
      <c r="X1097" s="1030"/>
      <c r="Y1097" s="694">
        <f t="shared" si="145"/>
        <v>0</v>
      </c>
      <c r="Z1097" s="690"/>
      <c r="AA1097" s="690"/>
      <c r="AB1097" s="695">
        <f t="shared" si="146"/>
        <v>0</v>
      </c>
      <c r="AC1097" s="1035"/>
      <c r="AD1097" s="690"/>
      <c r="AE1097" s="1025"/>
      <c r="AF1097" s="1030"/>
      <c r="AG1097" s="690"/>
      <c r="AH1097" s="690"/>
      <c r="AI1097" s="696">
        <f t="shared" si="147"/>
        <v>27736043.02</v>
      </c>
      <c r="AJ1097" s="697">
        <f t="shared" si="148"/>
        <v>27292395.949999999</v>
      </c>
    </row>
    <row r="1098" spans="1:36" s="700" customFormat="1" ht="12.75" customHeight="1">
      <c r="A1098" s="686" t="s">
        <v>204</v>
      </c>
      <c r="B1098" s="686" t="s">
        <v>392</v>
      </c>
      <c r="C1098" s="813" t="s">
        <v>871</v>
      </c>
      <c r="D1098" s="813"/>
      <c r="E1098" s="811">
        <v>139384</v>
      </c>
      <c r="F1098" s="812">
        <v>12</v>
      </c>
      <c r="G1098" s="1025">
        <v>15308299</v>
      </c>
      <c r="H1098" s="690">
        <v>14766799</v>
      </c>
      <c r="I1098" s="1030"/>
      <c r="J1098" s="690"/>
      <c r="K1098" s="1030"/>
      <c r="L1098" s="690"/>
      <c r="M1098" s="1025">
        <v>10704549.575999999</v>
      </c>
      <c r="N1098" s="1030"/>
      <c r="O1098" s="692">
        <f t="shared" ref="O1098:O1161" si="149">SUM(M1098:N1098)</f>
        <v>10704549.575999999</v>
      </c>
      <c r="P1098" s="690">
        <v>14957776.82</v>
      </c>
      <c r="Q1098" s="690"/>
      <c r="R1098" s="691">
        <f t="shared" ref="R1098:R1161" si="150">SUM(P1098:Q1098)</f>
        <v>14957776.82</v>
      </c>
      <c r="S1098" s="692">
        <f t="shared" ref="S1098:S1161" si="151">SUM(G1098,I1098,K1098,M1098)</f>
        <v>26012848.575999998</v>
      </c>
      <c r="T1098" s="693">
        <f t="shared" ref="T1098:T1161" si="152">SUM(H1098,J1098,L1098,P1098)</f>
        <v>29724575.82</v>
      </c>
      <c r="U1098" s="1035"/>
      <c r="V1098" s="690"/>
      <c r="W1098" s="1025"/>
      <c r="X1098" s="1030"/>
      <c r="Y1098" s="694">
        <f t="shared" ref="Y1098:Y1161" si="153">SUM(W1098:X1098)</f>
        <v>0</v>
      </c>
      <c r="Z1098" s="690"/>
      <c r="AA1098" s="690"/>
      <c r="AB1098" s="695">
        <f t="shared" ref="AB1098:AB1161" si="154">SUM(Z1098:AA1098)</f>
        <v>0</v>
      </c>
      <c r="AC1098" s="1035"/>
      <c r="AD1098" s="690"/>
      <c r="AE1098" s="1025"/>
      <c r="AF1098" s="1030"/>
      <c r="AG1098" s="690"/>
      <c r="AH1098" s="690"/>
      <c r="AI1098" s="696">
        <f t="shared" ref="AI1098:AI1161" si="155">SUM(S1098,U1098,W1098,AC1098,AE1098)</f>
        <v>26012848.575999998</v>
      </c>
      <c r="AJ1098" s="697">
        <f t="shared" ref="AJ1098:AJ1161" si="156">SUM(T1098,V1098,Z1098,AD1098,AG1098)</f>
        <v>29724575.82</v>
      </c>
    </row>
    <row r="1099" spans="1:36" s="700" customFormat="1" ht="12.75" customHeight="1">
      <c r="A1099" s="686" t="s">
        <v>204</v>
      </c>
      <c r="B1099" s="686" t="s">
        <v>392</v>
      </c>
      <c r="C1099" s="814" t="s">
        <v>872</v>
      </c>
      <c r="D1099" s="814"/>
      <c r="E1099" s="815">
        <v>248794</v>
      </c>
      <c r="F1099" s="816">
        <v>13</v>
      </c>
      <c r="G1099" s="1025">
        <v>3925940.37</v>
      </c>
      <c r="H1099" s="690">
        <v>0</v>
      </c>
      <c r="I1099" s="1030"/>
      <c r="J1099" s="690"/>
      <c r="K1099" s="1030"/>
      <c r="L1099" s="690"/>
      <c r="M1099" s="1025">
        <v>3161121.4920000001</v>
      </c>
      <c r="N1099" s="1030"/>
      <c r="O1099" s="692">
        <f t="shared" si="149"/>
        <v>3161121.4920000001</v>
      </c>
      <c r="P1099" s="690">
        <v>0</v>
      </c>
      <c r="Q1099" s="690"/>
      <c r="R1099" s="691">
        <f t="shared" si="150"/>
        <v>0</v>
      </c>
      <c r="S1099" s="692">
        <f t="shared" si="151"/>
        <v>7087061.8619999997</v>
      </c>
      <c r="T1099" s="693">
        <f t="shared" si="152"/>
        <v>0</v>
      </c>
      <c r="U1099" s="1035"/>
      <c r="V1099" s="690"/>
      <c r="W1099" s="1025"/>
      <c r="X1099" s="1030"/>
      <c r="Y1099" s="694">
        <f t="shared" si="153"/>
        <v>0</v>
      </c>
      <c r="Z1099" s="690"/>
      <c r="AA1099" s="690"/>
      <c r="AB1099" s="695">
        <f t="shared" si="154"/>
        <v>0</v>
      </c>
      <c r="AC1099" s="1035"/>
      <c r="AD1099" s="690"/>
      <c r="AE1099" s="1025"/>
      <c r="AF1099" s="1030"/>
      <c r="AG1099" s="690"/>
      <c r="AH1099" s="690"/>
      <c r="AI1099" s="696">
        <f t="shared" si="155"/>
        <v>7087061.8619999997</v>
      </c>
      <c r="AJ1099" s="697">
        <f t="shared" si="156"/>
        <v>0</v>
      </c>
    </row>
    <row r="1100" spans="1:36" s="700" customFormat="1" ht="12.75" customHeight="1">
      <c r="A1100" s="686" t="s">
        <v>204</v>
      </c>
      <c r="B1100" s="686" t="s">
        <v>392</v>
      </c>
      <c r="C1100" s="817" t="s">
        <v>873</v>
      </c>
      <c r="D1100" s="817"/>
      <c r="E1100" s="811">
        <v>139986</v>
      </c>
      <c r="F1100" s="812">
        <v>12</v>
      </c>
      <c r="G1100" s="1025">
        <v>7970848.6300000008</v>
      </c>
      <c r="H1100" s="690"/>
      <c r="I1100" s="1030"/>
      <c r="J1100" s="690"/>
      <c r="K1100" s="1030"/>
      <c r="L1100" s="690"/>
      <c r="M1100" s="1025">
        <v>9636619.5120000001</v>
      </c>
      <c r="N1100" s="1030"/>
      <c r="O1100" s="692">
        <f t="shared" si="149"/>
        <v>9636619.5120000001</v>
      </c>
      <c r="P1100" s="690"/>
      <c r="Q1100" s="690"/>
      <c r="R1100" s="691">
        <f t="shared" si="150"/>
        <v>0</v>
      </c>
      <c r="S1100" s="692">
        <f t="shared" si="151"/>
        <v>17607468.142000001</v>
      </c>
      <c r="T1100" s="693">
        <f t="shared" si="152"/>
        <v>0</v>
      </c>
      <c r="U1100" s="1035"/>
      <c r="V1100" s="690"/>
      <c r="W1100" s="1025"/>
      <c r="X1100" s="1030"/>
      <c r="Y1100" s="694">
        <f t="shared" si="153"/>
        <v>0</v>
      </c>
      <c r="Z1100" s="690"/>
      <c r="AA1100" s="690"/>
      <c r="AB1100" s="695">
        <f t="shared" si="154"/>
        <v>0</v>
      </c>
      <c r="AC1100" s="1035"/>
      <c r="AD1100" s="690"/>
      <c r="AE1100" s="1025"/>
      <c r="AF1100" s="1030"/>
      <c r="AG1100" s="690"/>
      <c r="AH1100" s="690"/>
      <c r="AI1100" s="696">
        <f t="shared" si="155"/>
        <v>17607468.142000001</v>
      </c>
      <c r="AJ1100" s="697">
        <f t="shared" si="156"/>
        <v>0</v>
      </c>
    </row>
    <row r="1101" spans="1:36" s="700" customFormat="1" ht="12.75" customHeight="1">
      <c r="A1101" s="686" t="s">
        <v>204</v>
      </c>
      <c r="B1101" s="686" t="s">
        <v>392</v>
      </c>
      <c r="C1101" s="1059" t="s">
        <v>874</v>
      </c>
      <c r="D1101" s="1060" t="s">
        <v>1941</v>
      </c>
      <c r="E1101" s="811">
        <v>139986</v>
      </c>
      <c r="F1101" s="812">
        <v>12</v>
      </c>
      <c r="G1101" s="1028">
        <f>G1099+G1100</f>
        <v>11896789</v>
      </c>
      <c r="H1101" s="818">
        <v>11746670</v>
      </c>
      <c r="I1101" s="1030"/>
      <c r="J1101" s="690"/>
      <c r="K1101" s="1030"/>
      <c r="L1101" s="690"/>
      <c r="M1101" s="1025">
        <f>M1099+M1100</f>
        <v>12797741.004000001</v>
      </c>
      <c r="N1101" s="1030"/>
      <c r="O1101" s="692">
        <f t="shared" si="149"/>
        <v>12797741.004000001</v>
      </c>
      <c r="P1101" s="818">
        <v>13417758.15</v>
      </c>
      <c r="Q1101" s="690"/>
      <c r="R1101" s="691">
        <f t="shared" si="150"/>
        <v>13417758.15</v>
      </c>
      <c r="S1101" s="692">
        <f t="shared" si="151"/>
        <v>24694530.004000001</v>
      </c>
      <c r="T1101" s="693">
        <f t="shared" si="152"/>
        <v>25164428.149999999</v>
      </c>
      <c r="U1101" s="1035"/>
      <c r="V1101" s="690"/>
      <c r="W1101" s="1025"/>
      <c r="X1101" s="1030"/>
      <c r="Y1101" s="694">
        <f t="shared" si="153"/>
        <v>0</v>
      </c>
      <c r="Z1101" s="690"/>
      <c r="AA1101" s="690"/>
      <c r="AB1101" s="695">
        <f t="shared" si="154"/>
        <v>0</v>
      </c>
      <c r="AC1101" s="1035"/>
      <c r="AD1101" s="690"/>
      <c r="AE1101" s="1025"/>
      <c r="AF1101" s="1030"/>
      <c r="AG1101" s="690"/>
      <c r="AH1101" s="690"/>
      <c r="AI1101" s="696">
        <f t="shared" si="155"/>
        <v>24694530.004000001</v>
      </c>
      <c r="AJ1101" s="697">
        <f t="shared" si="156"/>
        <v>25164428.149999999</v>
      </c>
    </row>
    <row r="1102" spans="1:36" s="700" customFormat="1" ht="12.75" customHeight="1">
      <c r="A1102" s="686" t="s">
        <v>204</v>
      </c>
      <c r="B1102" s="686" t="s">
        <v>392</v>
      </c>
      <c r="C1102" s="810" t="s">
        <v>875</v>
      </c>
      <c r="D1102" s="810"/>
      <c r="E1102" s="811">
        <v>140012</v>
      </c>
      <c r="F1102" s="812">
        <v>12</v>
      </c>
      <c r="G1102" s="1025">
        <v>13513326</v>
      </c>
      <c r="H1102" s="690">
        <v>13045589</v>
      </c>
      <c r="I1102" s="1030"/>
      <c r="J1102" s="690"/>
      <c r="K1102" s="1030"/>
      <c r="L1102" s="690"/>
      <c r="M1102" s="1025">
        <v>16547321.088</v>
      </c>
      <c r="N1102" s="1030"/>
      <c r="O1102" s="692">
        <f t="shared" si="149"/>
        <v>16547321.088</v>
      </c>
      <c r="P1102" s="690">
        <v>17903490.710000001</v>
      </c>
      <c r="Q1102" s="690"/>
      <c r="R1102" s="691">
        <f t="shared" si="150"/>
        <v>17903490.710000001</v>
      </c>
      <c r="S1102" s="692">
        <f t="shared" si="151"/>
        <v>30060647.088</v>
      </c>
      <c r="T1102" s="693">
        <f t="shared" si="152"/>
        <v>30949079.710000001</v>
      </c>
      <c r="U1102" s="1035"/>
      <c r="V1102" s="690"/>
      <c r="W1102" s="1025"/>
      <c r="X1102" s="1030"/>
      <c r="Y1102" s="694">
        <f t="shared" si="153"/>
        <v>0</v>
      </c>
      <c r="Z1102" s="690"/>
      <c r="AA1102" s="690"/>
      <c r="AB1102" s="695">
        <f t="shared" si="154"/>
        <v>0</v>
      </c>
      <c r="AC1102" s="1035"/>
      <c r="AD1102" s="690"/>
      <c r="AE1102" s="1025"/>
      <c r="AF1102" s="1030"/>
      <c r="AG1102" s="690"/>
      <c r="AH1102" s="690"/>
      <c r="AI1102" s="696">
        <f t="shared" si="155"/>
        <v>30060647.088</v>
      </c>
      <c r="AJ1102" s="697">
        <f t="shared" si="156"/>
        <v>30949079.710000001</v>
      </c>
    </row>
    <row r="1103" spans="1:36" s="700" customFormat="1" ht="12.75" customHeight="1">
      <c r="A1103" s="686" t="s">
        <v>204</v>
      </c>
      <c r="B1103" s="686" t="s">
        <v>392</v>
      </c>
      <c r="C1103" s="810" t="s">
        <v>876</v>
      </c>
      <c r="D1103" s="810"/>
      <c r="E1103" s="811">
        <v>140076</v>
      </c>
      <c r="F1103" s="812">
        <v>12</v>
      </c>
      <c r="G1103" s="1025">
        <v>5786894</v>
      </c>
      <c r="H1103" s="690">
        <v>5347045</v>
      </c>
      <c r="I1103" s="1030"/>
      <c r="J1103" s="690"/>
      <c r="K1103" s="1030"/>
      <c r="L1103" s="690"/>
      <c r="M1103" s="1025">
        <v>4572750.0359999994</v>
      </c>
      <c r="N1103" s="1030"/>
      <c r="O1103" s="692">
        <f t="shared" si="149"/>
        <v>4572750.0359999994</v>
      </c>
      <c r="P1103" s="690">
        <v>4437957.16</v>
      </c>
      <c r="Q1103" s="690"/>
      <c r="R1103" s="691">
        <f t="shared" si="150"/>
        <v>4437957.16</v>
      </c>
      <c r="S1103" s="692">
        <f t="shared" si="151"/>
        <v>10359644.035999998</v>
      </c>
      <c r="T1103" s="693">
        <f t="shared" si="152"/>
        <v>9785002.1600000001</v>
      </c>
      <c r="U1103" s="1035"/>
      <c r="V1103" s="690"/>
      <c r="W1103" s="1025"/>
      <c r="X1103" s="1030"/>
      <c r="Y1103" s="694">
        <f t="shared" si="153"/>
        <v>0</v>
      </c>
      <c r="Z1103" s="690"/>
      <c r="AA1103" s="690"/>
      <c r="AB1103" s="695">
        <f t="shared" si="154"/>
        <v>0</v>
      </c>
      <c r="AC1103" s="1035"/>
      <c r="AD1103" s="690"/>
      <c r="AE1103" s="1025"/>
      <c r="AF1103" s="1030"/>
      <c r="AG1103" s="690"/>
      <c r="AH1103" s="690"/>
      <c r="AI1103" s="696">
        <f t="shared" si="155"/>
        <v>10359644.035999998</v>
      </c>
      <c r="AJ1103" s="697">
        <f t="shared" si="156"/>
        <v>9785002.1600000001</v>
      </c>
    </row>
    <row r="1104" spans="1:36" s="700" customFormat="1" ht="12.75" customHeight="1">
      <c r="A1104" s="686" t="s">
        <v>204</v>
      </c>
      <c r="B1104" s="686" t="s">
        <v>392</v>
      </c>
      <c r="C1104" s="810" t="s">
        <v>877</v>
      </c>
      <c r="D1104" s="810"/>
      <c r="E1104" s="811">
        <v>140243</v>
      </c>
      <c r="F1104" s="812">
        <v>12</v>
      </c>
      <c r="G1104" s="1025">
        <v>8919790</v>
      </c>
      <c r="H1104" s="690">
        <v>8756500</v>
      </c>
      <c r="I1104" s="1030"/>
      <c r="J1104" s="690"/>
      <c r="K1104" s="1030"/>
      <c r="L1104" s="690"/>
      <c r="M1104" s="1025">
        <v>7489078.919999999</v>
      </c>
      <c r="N1104" s="1030"/>
      <c r="O1104" s="692">
        <f t="shared" si="149"/>
        <v>7489078.919999999</v>
      </c>
      <c r="P1104" s="690">
        <v>8194933.5700000003</v>
      </c>
      <c r="Q1104" s="690"/>
      <c r="R1104" s="691">
        <f t="shared" si="150"/>
        <v>8194933.5700000003</v>
      </c>
      <c r="S1104" s="692">
        <f t="shared" si="151"/>
        <v>16408868.919999998</v>
      </c>
      <c r="T1104" s="693">
        <f t="shared" si="152"/>
        <v>16951433.57</v>
      </c>
      <c r="U1104" s="1035"/>
      <c r="V1104" s="690"/>
      <c r="W1104" s="1025"/>
      <c r="X1104" s="1030"/>
      <c r="Y1104" s="694">
        <f t="shared" si="153"/>
        <v>0</v>
      </c>
      <c r="Z1104" s="690"/>
      <c r="AA1104" s="690"/>
      <c r="AB1104" s="695">
        <f t="shared" si="154"/>
        <v>0</v>
      </c>
      <c r="AC1104" s="1035"/>
      <c r="AD1104" s="690"/>
      <c r="AE1104" s="1025"/>
      <c r="AF1104" s="1030"/>
      <c r="AG1104" s="690"/>
      <c r="AH1104" s="690"/>
      <c r="AI1104" s="696">
        <f t="shared" si="155"/>
        <v>16408868.919999998</v>
      </c>
      <c r="AJ1104" s="697">
        <f t="shared" si="156"/>
        <v>16951433.57</v>
      </c>
    </row>
    <row r="1105" spans="1:36" s="700" customFormat="1" ht="12.75" customHeight="1">
      <c r="A1105" s="686" t="s">
        <v>204</v>
      </c>
      <c r="B1105" s="686" t="s">
        <v>392</v>
      </c>
      <c r="C1105" s="810" t="s">
        <v>878</v>
      </c>
      <c r="D1105" s="810"/>
      <c r="E1105" s="811">
        <v>140085</v>
      </c>
      <c r="F1105" s="812">
        <v>12</v>
      </c>
      <c r="G1105" s="1025">
        <v>7863667</v>
      </c>
      <c r="H1105" s="690">
        <v>7802339</v>
      </c>
      <c r="I1105" s="1030"/>
      <c r="J1105" s="690"/>
      <c r="K1105" s="1030"/>
      <c r="L1105" s="690"/>
      <c r="M1105" s="1025">
        <v>5565976.3679999998</v>
      </c>
      <c r="N1105" s="1030"/>
      <c r="O1105" s="692">
        <f t="shared" si="149"/>
        <v>5565976.3679999998</v>
      </c>
      <c r="P1105" s="690">
        <v>7258815.5499999998</v>
      </c>
      <c r="Q1105" s="690"/>
      <c r="R1105" s="691">
        <f t="shared" si="150"/>
        <v>7258815.5499999998</v>
      </c>
      <c r="S1105" s="692">
        <f t="shared" si="151"/>
        <v>13429643.368000001</v>
      </c>
      <c r="T1105" s="693">
        <f t="shared" si="152"/>
        <v>15061154.550000001</v>
      </c>
      <c r="U1105" s="1035"/>
      <c r="V1105" s="690"/>
      <c r="W1105" s="1025"/>
      <c r="X1105" s="1030"/>
      <c r="Y1105" s="694">
        <f t="shared" si="153"/>
        <v>0</v>
      </c>
      <c r="Z1105" s="690"/>
      <c r="AA1105" s="690"/>
      <c r="AB1105" s="695">
        <f t="shared" si="154"/>
        <v>0</v>
      </c>
      <c r="AC1105" s="1035"/>
      <c r="AD1105" s="690"/>
      <c r="AE1105" s="1025"/>
      <c r="AF1105" s="1030"/>
      <c r="AG1105" s="690"/>
      <c r="AH1105" s="690"/>
      <c r="AI1105" s="696">
        <f t="shared" si="155"/>
        <v>13429643.368000001</v>
      </c>
      <c r="AJ1105" s="697">
        <f t="shared" si="156"/>
        <v>15061154.550000001</v>
      </c>
    </row>
    <row r="1106" spans="1:36" s="700" customFormat="1" ht="12.75" customHeight="1">
      <c r="A1106" s="686" t="s">
        <v>204</v>
      </c>
      <c r="B1106" s="686" t="s">
        <v>392</v>
      </c>
      <c r="C1106" s="810" t="s">
        <v>879</v>
      </c>
      <c r="D1106" s="810"/>
      <c r="E1106" s="811">
        <v>140599</v>
      </c>
      <c r="F1106" s="812">
        <v>12</v>
      </c>
      <c r="G1106" s="1025">
        <v>7341981</v>
      </c>
      <c r="H1106" s="690">
        <v>7025145</v>
      </c>
      <c r="I1106" s="1030"/>
      <c r="J1106" s="690"/>
      <c r="K1106" s="1030"/>
      <c r="L1106" s="690"/>
      <c r="M1106" s="1025">
        <v>5469754.8599999994</v>
      </c>
      <c r="N1106" s="1030"/>
      <c r="O1106" s="692">
        <f t="shared" si="149"/>
        <v>5469754.8599999994</v>
      </c>
      <c r="P1106" s="690">
        <v>5617623.5599999996</v>
      </c>
      <c r="Q1106" s="690"/>
      <c r="R1106" s="691">
        <f t="shared" si="150"/>
        <v>5617623.5599999996</v>
      </c>
      <c r="S1106" s="692">
        <f t="shared" si="151"/>
        <v>12811735.859999999</v>
      </c>
      <c r="T1106" s="693">
        <f t="shared" si="152"/>
        <v>12642768.559999999</v>
      </c>
      <c r="U1106" s="1035"/>
      <c r="V1106" s="690"/>
      <c r="W1106" s="1025"/>
      <c r="X1106" s="1030"/>
      <c r="Y1106" s="694">
        <f t="shared" si="153"/>
        <v>0</v>
      </c>
      <c r="Z1106" s="690"/>
      <c r="AA1106" s="690"/>
      <c r="AB1106" s="695">
        <f t="shared" si="154"/>
        <v>0</v>
      </c>
      <c r="AC1106" s="1035"/>
      <c r="AD1106" s="690"/>
      <c r="AE1106" s="1025"/>
      <c r="AF1106" s="1030"/>
      <c r="AG1106" s="690"/>
      <c r="AH1106" s="690"/>
      <c r="AI1106" s="696">
        <f t="shared" si="155"/>
        <v>12811735.859999999</v>
      </c>
      <c r="AJ1106" s="697">
        <f t="shared" si="156"/>
        <v>12642768.559999999</v>
      </c>
    </row>
    <row r="1107" spans="1:36" s="700" customFormat="1" ht="12.75" customHeight="1">
      <c r="A1107" s="686" t="s">
        <v>204</v>
      </c>
      <c r="B1107" s="686" t="s">
        <v>392</v>
      </c>
      <c r="C1107" s="810" t="s">
        <v>880</v>
      </c>
      <c r="D1107" s="810"/>
      <c r="E1107" s="811">
        <v>140678</v>
      </c>
      <c r="F1107" s="812">
        <v>12</v>
      </c>
      <c r="G1107" s="1025">
        <v>8775387</v>
      </c>
      <c r="H1107" s="690">
        <v>8349968</v>
      </c>
      <c r="I1107" s="1030"/>
      <c r="J1107" s="690"/>
      <c r="K1107" s="1030"/>
      <c r="L1107" s="690"/>
      <c r="M1107" s="1025">
        <v>8042216.879999999</v>
      </c>
      <c r="N1107" s="1030"/>
      <c r="O1107" s="692">
        <f t="shared" si="149"/>
        <v>8042216.879999999</v>
      </c>
      <c r="P1107" s="690">
        <v>9043705.2200000007</v>
      </c>
      <c r="Q1107" s="690"/>
      <c r="R1107" s="691">
        <f t="shared" si="150"/>
        <v>9043705.2200000007</v>
      </c>
      <c r="S1107" s="692">
        <f t="shared" si="151"/>
        <v>16817603.879999999</v>
      </c>
      <c r="T1107" s="693">
        <f t="shared" si="152"/>
        <v>17393673.219999999</v>
      </c>
      <c r="U1107" s="1035"/>
      <c r="V1107" s="690"/>
      <c r="W1107" s="1025"/>
      <c r="X1107" s="1030"/>
      <c r="Y1107" s="694">
        <f t="shared" si="153"/>
        <v>0</v>
      </c>
      <c r="Z1107" s="690"/>
      <c r="AA1107" s="690"/>
      <c r="AB1107" s="695">
        <f t="shared" si="154"/>
        <v>0</v>
      </c>
      <c r="AC1107" s="1035"/>
      <c r="AD1107" s="690"/>
      <c r="AE1107" s="1025"/>
      <c r="AF1107" s="1030"/>
      <c r="AG1107" s="690"/>
      <c r="AH1107" s="690"/>
      <c r="AI1107" s="696">
        <f t="shared" si="155"/>
        <v>16817603.879999999</v>
      </c>
      <c r="AJ1107" s="697">
        <f t="shared" si="156"/>
        <v>17393673.219999999</v>
      </c>
    </row>
    <row r="1108" spans="1:36" s="700" customFormat="1" ht="12.75" customHeight="1">
      <c r="A1108" s="686" t="s">
        <v>204</v>
      </c>
      <c r="B1108" s="686" t="s">
        <v>392</v>
      </c>
      <c r="C1108" s="810" t="s">
        <v>881</v>
      </c>
      <c r="D1108" s="810"/>
      <c r="E1108" s="811">
        <v>366465</v>
      </c>
      <c r="F1108" s="812">
        <v>12</v>
      </c>
      <c r="G1108" s="1025">
        <v>6965004</v>
      </c>
      <c r="H1108" s="690">
        <v>6679865</v>
      </c>
      <c r="I1108" s="1030"/>
      <c r="J1108" s="690"/>
      <c r="K1108" s="1030"/>
      <c r="L1108" s="690"/>
      <c r="M1108" s="1025">
        <v>5194777.067999999</v>
      </c>
      <c r="N1108" s="1030"/>
      <c r="O1108" s="692">
        <f t="shared" si="149"/>
        <v>5194777.067999999</v>
      </c>
      <c r="P1108" s="690">
        <v>5953320.9199999999</v>
      </c>
      <c r="Q1108" s="690"/>
      <c r="R1108" s="691">
        <f t="shared" si="150"/>
        <v>5953320.9199999999</v>
      </c>
      <c r="S1108" s="692">
        <f t="shared" si="151"/>
        <v>12159781.068</v>
      </c>
      <c r="T1108" s="693">
        <f t="shared" si="152"/>
        <v>12633185.92</v>
      </c>
      <c r="U1108" s="1035"/>
      <c r="V1108" s="690"/>
      <c r="W1108" s="1025"/>
      <c r="X1108" s="1030"/>
      <c r="Y1108" s="694">
        <f t="shared" si="153"/>
        <v>0</v>
      </c>
      <c r="Z1108" s="690"/>
      <c r="AA1108" s="690"/>
      <c r="AB1108" s="695">
        <f t="shared" si="154"/>
        <v>0</v>
      </c>
      <c r="AC1108" s="1035"/>
      <c r="AD1108" s="690"/>
      <c r="AE1108" s="1025"/>
      <c r="AF1108" s="1030"/>
      <c r="AG1108" s="690"/>
      <c r="AH1108" s="690"/>
      <c r="AI1108" s="696">
        <f t="shared" si="155"/>
        <v>12159781.068</v>
      </c>
      <c r="AJ1108" s="697">
        <f t="shared" si="156"/>
        <v>12633185.92</v>
      </c>
    </row>
    <row r="1109" spans="1:36" s="700" customFormat="1" ht="12.75" customHeight="1">
      <c r="A1109" s="686" t="s">
        <v>204</v>
      </c>
      <c r="B1109" s="686" t="s">
        <v>392</v>
      </c>
      <c r="C1109" s="810" t="s">
        <v>882</v>
      </c>
      <c r="D1109" s="810"/>
      <c r="E1109" s="811">
        <v>248776</v>
      </c>
      <c r="F1109" s="812">
        <v>12</v>
      </c>
      <c r="G1109" s="1025">
        <v>5300674</v>
      </c>
      <c r="H1109" s="690">
        <v>5039536</v>
      </c>
      <c r="I1109" s="1030"/>
      <c r="J1109" s="690"/>
      <c r="K1109" s="1030"/>
      <c r="L1109" s="690"/>
      <c r="M1109" s="1025">
        <v>3759164.6159999999</v>
      </c>
      <c r="N1109" s="1030"/>
      <c r="O1109" s="692">
        <f t="shared" si="149"/>
        <v>3759164.6159999999</v>
      </c>
      <c r="P1109" s="690">
        <v>3831415.47</v>
      </c>
      <c r="Q1109" s="690"/>
      <c r="R1109" s="691">
        <f t="shared" si="150"/>
        <v>3831415.47</v>
      </c>
      <c r="S1109" s="692">
        <f t="shared" si="151"/>
        <v>9059838.6160000004</v>
      </c>
      <c r="T1109" s="693">
        <f t="shared" si="152"/>
        <v>8870951.4700000007</v>
      </c>
      <c r="U1109" s="1035"/>
      <c r="V1109" s="690"/>
      <c r="W1109" s="1025"/>
      <c r="X1109" s="1030"/>
      <c r="Y1109" s="694">
        <f t="shared" si="153"/>
        <v>0</v>
      </c>
      <c r="Z1109" s="690"/>
      <c r="AA1109" s="690"/>
      <c r="AB1109" s="695">
        <f t="shared" si="154"/>
        <v>0</v>
      </c>
      <c r="AC1109" s="1035"/>
      <c r="AD1109" s="690"/>
      <c r="AE1109" s="1025"/>
      <c r="AF1109" s="1030"/>
      <c r="AG1109" s="690"/>
      <c r="AH1109" s="690"/>
      <c r="AI1109" s="696">
        <f t="shared" si="155"/>
        <v>9059838.6160000004</v>
      </c>
      <c r="AJ1109" s="697">
        <f t="shared" si="156"/>
        <v>8870951.4700000007</v>
      </c>
    </row>
    <row r="1110" spans="1:36" s="700" customFormat="1" ht="12.75" customHeight="1">
      <c r="A1110" s="686" t="s">
        <v>204</v>
      </c>
      <c r="B1110" s="686" t="s">
        <v>392</v>
      </c>
      <c r="C1110" s="810" t="s">
        <v>883</v>
      </c>
      <c r="D1110" s="810"/>
      <c r="E1110" s="811">
        <v>140942</v>
      </c>
      <c r="F1110" s="812">
        <v>12</v>
      </c>
      <c r="G1110" s="1025">
        <v>10468639</v>
      </c>
      <c r="H1110" s="690">
        <v>10927359</v>
      </c>
      <c r="I1110" s="1030"/>
      <c r="J1110" s="690"/>
      <c r="K1110" s="1030"/>
      <c r="L1110" s="690"/>
      <c r="M1110" s="1025">
        <v>15568178.76</v>
      </c>
      <c r="N1110" s="1030"/>
      <c r="O1110" s="692">
        <f t="shared" si="149"/>
        <v>15568178.76</v>
      </c>
      <c r="P1110" s="690">
        <v>16531210.189999999</v>
      </c>
      <c r="Q1110" s="690"/>
      <c r="R1110" s="691">
        <f t="shared" si="150"/>
        <v>16531210.189999999</v>
      </c>
      <c r="S1110" s="692">
        <f t="shared" si="151"/>
        <v>26036817.759999998</v>
      </c>
      <c r="T1110" s="693">
        <f t="shared" si="152"/>
        <v>27458569.189999998</v>
      </c>
      <c r="U1110" s="1035"/>
      <c r="V1110" s="690"/>
      <c r="W1110" s="1025"/>
      <c r="X1110" s="1030"/>
      <c r="Y1110" s="694">
        <f t="shared" si="153"/>
        <v>0</v>
      </c>
      <c r="Z1110" s="690"/>
      <c r="AA1110" s="690"/>
      <c r="AB1110" s="695">
        <f t="shared" si="154"/>
        <v>0</v>
      </c>
      <c r="AC1110" s="1035"/>
      <c r="AD1110" s="690"/>
      <c r="AE1110" s="1025"/>
      <c r="AF1110" s="1030"/>
      <c r="AG1110" s="690"/>
      <c r="AH1110" s="690"/>
      <c r="AI1110" s="696">
        <f t="shared" si="155"/>
        <v>26036817.759999998</v>
      </c>
      <c r="AJ1110" s="697">
        <f t="shared" si="156"/>
        <v>27458569.189999998</v>
      </c>
    </row>
    <row r="1111" spans="1:36" s="700" customFormat="1" ht="12.75" customHeight="1">
      <c r="A1111" s="686" t="s">
        <v>204</v>
      </c>
      <c r="B1111" s="686" t="s">
        <v>392</v>
      </c>
      <c r="C1111" s="810" t="s">
        <v>884</v>
      </c>
      <c r="D1111" s="810"/>
      <c r="E1111" s="811">
        <v>141006</v>
      </c>
      <c r="F1111" s="812">
        <v>12</v>
      </c>
      <c r="G1111" s="1025">
        <v>8558554</v>
      </c>
      <c r="H1111" s="690">
        <v>8082834</v>
      </c>
      <c r="I1111" s="1030"/>
      <c r="J1111" s="690"/>
      <c r="K1111" s="1030"/>
      <c r="L1111" s="690"/>
      <c r="M1111" s="1025">
        <v>5654726.892</v>
      </c>
      <c r="N1111" s="1030"/>
      <c r="O1111" s="692">
        <f t="shared" si="149"/>
        <v>5654726.892</v>
      </c>
      <c r="P1111" s="690">
        <v>6457365.3099999996</v>
      </c>
      <c r="Q1111" s="690"/>
      <c r="R1111" s="691">
        <f t="shared" si="150"/>
        <v>6457365.3099999996</v>
      </c>
      <c r="S1111" s="692">
        <f t="shared" si="151"/>
        <v>14213280.892000001</v>
      </c>
      <c r="T1111" s="693">
        <f t="shared" si="152"/>
        <v>14540199.309999999</v>
      </c>
      <c r="U1111" s="1035"/>
      <c r="V1111" s="690"/>
      <c r="W1111" s="1025"/>
      <c r="X1111" s="1030"/>
      <c r="Y1111" s="694">
        <f t="shared" si="153"/>
        <v>0</v>
      </c>
      <c r="Z1111" s="690"/>
      <c r="AA1111" s="690"/>
      <c r="AB1111" s="695">
        <f t="shared" si="154"/>
        <v>0</v>
      </c>
      <c r="AC1111" s="1035"/>
      <c r="AD1111" s="690"/>
      <c r="AE1111" s="1025"/>
      <c r="AF1111" s="1030"/>
      <c r="AG1111" s="690"/>
      <c r="AH1111" s="690"/>
      <c r="AI1111" s="696">
        <f t="shared" si="155"/>
        <v>14213280.892000001</v>
      </c>
      <c r="AJ1111" s="697">
        <f t="shared" si="156"/>
        <v>14540199.309999999</v>
      </c>
    </row>
    <row r="1112" spans="1:36" s="700" customFormat="1" ht="12.75" customHeight="1">
      <c r="A1112" s="686" t="s">
        <v>204</v>
      </c>
      <c r="B1112" s="686" t="s">
        <v>392</v>
      </c>
      <c r="C1112" s="813" t="s">
        <v>885</v>
      </c>
      <c r="D1112" s="813"/>
      <c r="E1112" s="811">
        <v>368911</v>
      </c>
      <c r="F1112" s="812">
        <v>12</v>
      </c>
      <c r="G1112" s="1025">
        <v>9416943</v>
      </c>
      <c r="H1112" s="690">
        <v>8445121</v>
      </c>
      <c r="I1112" s="1030"/>
      <c r="J1112" s="690"/>
      <c r="K1112" s="1030"/>
      <c r="L1112" s="690"/>
      <c r="M1112" s="1025">
        <v>4288734.1919999998</v>
      </c>
      <c r="N1112" s="1030"/>
      <c r="O1112" s="692">
        <f t="shared" si="149"/>
        <v>4288734.1919999998</v>
      </c>
      <c r="P1112" s="690">
        <v>4493050.78</v>
      </c>
      <c r="Q1112" s="690"/>
      <c r="R1112" s="691">
        <f t="shared" si="150"/>
        <v>4493050.78</v>
      </c>
      <c r="S1112" s="692">
        <f t="shared" si="151"/>
        <v>13705677.192</v>
      </c>
      <c r="T1112" s="693">
        <f t="shared" si="152"/>
        <v>12938171.780000001</v>
      </c>
      <c r="U1112" s="1035"/>
      <c r="V1112" s="690"/>
      <c r="W1112" s="1025"/>
      <c r="X1112" s="1030"/>
      <c r="Y1112" s="694">
        <f t="shared" si="153"/>
        <v>0</v>
      </c>
      <c r="Z1112" s="690"/>
      <c r="AA1112" s="690"/>
      <c r="AB1112" s="695">
        <f t="shared" si="154"/>
        <v>0</v>
      </c>
      <c r="AC1112" s="1035"/>
      <c r="AD1112" s="690"/>
      <c r="AE1112" s="1025"/>
      <c r="AF1112" s="1030"/>
      <c r="AG1112" s="690"/>
      <c r="AH1112" s="690"/>
      <c r="AI1112" s="696">
        <f t="shared" si="155"/>
        <v>13705677.192</v>
      </c>
      <c r="AJ1112" s="697">
        <f t="shared" si="156"/>
        <v>12938171.780000001</v>
      </c>
    </row>
    <row r="1113" spans="1:36" s="700" customFormat="1" ht="12.75" customHeight="1">
      <c r="A1113" s="686" t="s">
        <v>204</v>
      </c>
      <c r="B1113" s="686" t="s">
        <v>392</v>
      </c>
      <c r="C1113" s="813" t="s">
        <v>886</v>
      </c>
      <c r="D1113" s="813"/>
      <c r="E1113" s="811">
        <v>141158</v>
      </c>
      <c r="F1113" s="812">
        <v>12</v>
      </c>
      <c r="G1113" s="1025">
        <v>6985171</v>
      </c>
      <c r="H1113" s="690">
        <v>6779860</v>
      </c>
      <c r="I1113" s="1030"/>
      <c r="J1113" s="690"/>
      <c r="K1113" s="1030"/>
      <c r="L1113" s="690"/>
      <c r="M1113" s="1025">
        <v>3862211.04</v>
      </c>
      <c r="N1113" s="1030"/>
      <c r="O1113" s="692">
        <f t="shared" si="149"/>
        <v>3862211.04</v>
      </c>
      <c r="P1113" s="690">
        <v>3956059.49</v>
      </c>
      <c r="Q1113" s="690"/>
      <c r="R1113" s="691">
        <f t="shared" si="150"/>
        <v>3956059.49</v>
      </c>
      <c r="S1113" s="692">
        <f t="shared" si="151"/>
        <v>10847382.039999999</v>
      </c>
      <c r="T1113" s="693">
        <f t="shared" si="152"/>
        <v>10735919.49</v>
      </c>
      <c r="U1113" s="1035"/>
      <c r="V1113" s="690"/>
      <c r="W1113" s="1025"/>
      <c r="X1113" s="1030"/>
      <c r="Y1113" s="694">
        <f t="shared" si="153"/>
        <v>0</v>
      </c>
      <c r="Z1113" s="690"/>
      <c r="AA1113" s="690"/>
      <c r="AB1113" s="695">
        <f t="shared" si="154"/>
        <v>0</v>
      </c>
      <c r="AC1113" s="1035"/>
      <c r="AD1113" s="690"/>
      <c r="AE1113" s="1025"/>
      <c r="AF1113" s="1030"/>
      <c r="AG1113" s="690"/>
      <c r="AH1113" s="690"/>
      <c r="AI1113" s="696">
        <f t="shared" si="155"/>
        <v>10847382.039999999</v>
      </c>
      <c r="AJ1113" s="697">
        <f t="shared" si="156"/>
        <v>10735919.49</v>
      </c>
    </row>
    <row r="1114" spans="1:36" s="700" customFormat="1" ht="12.75" customHeight="1">
      <c r="A1114" s="686" t="s">
        <v>204</v>
      </c>
      <c r="B1114" s="686" t="s">
        <v>392</v>
      </c>
      <c r="C1114" s="817" t="s">
        <v>887</v>
      </c>
      <c r="D1114" s="817"/>
      <c r="E1114" s="811">
        <v>139126</v>
      </c>
      <c r="F1114" s="812">
        <v>12</v>
      </c>
      <c r="G1114" s="1025">
        <v>5864832</v>
      </c>
      <c r="H1114" s="690">
        <v>0</v>
      </c>
      <c r="I1114" s="1030"/>
      <c r="J1114" s="690"/>
      <c r="K1114" s="1030"/>
      <c r="L1114" s="690"/>
      <c r="M1114" s="1025">
        <v>3871117.4160000002</v>
      </c>
      <c r="N1114" s="1030"/>
      <c r="O1114" s="692">
        <f t="shared" si="149"/>
        <v>3871117.4160000002</v>
      </c>
      <c r="P1114" s="690">
        <v>0</v>
      </c>
      <c r="Q1114" s="690"/>
      <c r="R1114" s="691">
        <f t="shared" si="150"/>
        <v>0</v>
      </c>
      <c r="S1114" s="692">
        <f t="shared" si="151"/>
        <v>9735949.4160000011</v>
      </c>
      <c r="T1114" s="693">
        <f t="shared" si="152"/>
        <v>0</v>
      </c>
      <c r="U1114" s="1035"/>
      <c r="V1114" s="690"/>
      <c r="W1114" s="1025"/>
      <c r="X1114" s="1030"/>
      <c r="Y1114" s="694">
        <f t="shared" si="153"/>
        <v>0</v>
      </c>
      <c r="Z1114" s="690"/>
      <c r="AA1114" s="690"/>
      <c r="AB1114" s="695">
        <f t="shared" si="154"/>
        <v>0</v>
      </c>
      <c r="AC1114" s="1035"/>
      <c r="AD1114" s="690"/>
      <c r="AE1114" s="1025"/>
      <c r="AF1114" s="1030"/>
      <c r="AG1114" s="690"/>
      <c r="AH1114" s="690"/>
      <c r="AI1114" s="696">
        <f t="shared" si="155"/>
        <v>9735949.4160000011</v>
      </c>
      <c r="AJ1114" s="697">
        <f t="shared" si="156"/>
        <v>0</v>
      </c>
    </row>
    <row r="1115" spans="1:36" s="700" customFormat="1" ht="12.75" customHeight="1">
      <c r="A1115" s="686" t="s">
        <v>204</v>
      </c>
      <c r="B1115" s="686" t="s">
        <v>392</v>
      </c>
      <c r="C1115" s="819" t="s">
        <v>888</v>
      </c>
      <c r="D1115" s="819"/>
      <c r="E1115" s="811">
        <v>141255</v>
      </c>
      <c r="F1115" s="812">
        <v>12</v>
      </c>
      <c r="G1115" s="1025">
        <v>7415756</v>
      </c>
      <c r="H1115" s="690"/>
      <c r="I1115" s="1030"/>
      <c r="J1115" s="690"/>
      <c r="K1115" s="1030"/>
      <c r="L1115" s="690"/>
      <c r="M1115" s="1025">
        <v>6611451.3599999994</v>
      </c>
      <c r="N1115" s="1030"/>
      <c r="O1115" s="692">
        <f t="shared" si="149"/>
        <v>6611451.3599999994</v>
      </c>
      <c r="P1115" s="690"/>
      <c r="Q1115" s="690"/>
      <c r="R1115" s="691">
        <f t="shared" si="150"/>
        <v>0</v>
      </c>
      <c r="S1115" s="692">
        <f t="shared" si="151"/>
        <v>14027207.359999999</v>
      </c>
      <c r="T1115" s="693">
        <f t="shared" si="152"/>
        <v>0</v>
      </c>
      <c r="U1115" s="1035"/>
      <c r="V1115" s="690"/>
      <c r="W1115" s="1025"/>
      <c r="X1115" s="1030"/>
      <c r="Y1115" s="694">
        <f t="shared" si="153"/>
        <v>0</v>
      </c>
      <c r="Z1115" s="690"/>
      <c r="AA1115" s="690"/>
      <c r="AB1115" s="695">
        <f t="shared" si="154"/>
        <v>0</v>
      </c>
      <c r="AC1115" s="1035"/>
      <c r="AD1115" s="690"/>
      <c r="AE1115" s="1025"/>
      <c r="AF1115" s="1030"/>
      <c r="AG1115" s="690"/>
      <c r="AH1115" s="690"/>
      <c r="AI1115" s="696">
        <f t="shared" si="155"/>
        <v>14027207.359999999</v>
      </c>
      <c r="AJ1115" s="697">
        <f t="shared" si="156"/>
        <v>0</v>
      </c>
    </row>
    <row r="1116" spans="1:36" s="700" customFormat="1" ht="12.75" customHeight="1">
      <c r="A1116" s="686" t="s">
        <v>204</v>
      </c>
      <c r="B1116" s="686" t="s">
        <v>392</v>
      </c>
      <c r="C1116" s="1059" t="s">
        <v>889</v>
      </c>
      <c r="D1116" s="1060" t="s">
        <v>1942</v>
      </c>
      <c r="E1116" s="811">
        <v>141255</v>
      </c>
      <c r="F1116" s="812">
        <v>12</v>
      </c>
      <c r="G1116" s="1028">
        <f>G1114+G1115</f>
        <v>13280588</v>
      </c>
      <c r="H1116" s="818">
        <v>12541592</v>
      </c>
      <c r="I1116" s="1030"/>
      <c r="J1116" s="690"/>
      <c r="K1116" s="1030"/>
      <c r="L1116" s="690"/>
      <c r="M1116" s="1028">
        <f>M1114+M1115</f>
        <v>10482568.776000001</v>
      </c>
      <c r="N1116" s="1030"/>
      <c r="O1116" s="692">
        <f t="shared" si="149"/>
        <v>10482568.776000001</v>
      </c>
      <c r="P1116" s="690">
        <v>12775530.380000001</v>
      </c>
      <c r="Q1116" s="690"/>
      <c r="R1116" s="691">
        <f t="shared" si="150"/>
        <v>12775530.380000001</v>
      </c>
      <c r="S1116" s="692">
        <f t="shared" si="151"/>
        <v>23763156.776000001</v>
      </c>
      <c r="T1116" s="693">
        <f t="shared" si="152"/>
        <v>25317122.380000003</v>
      </c>
      <c r="U1116" s="1035"/>
      <c r="V1116" s="690"/>
      <c r="W1116" s="1025"/>
      <c r="X1116" s="1030"/>
      <c r="Y1116" s="694">
        <f t="shared" si="153"/>
        <v>0</v>
      </c>
      <c r="Z1116" s="690"/>
      <c r="AA1116" s="690"/>
      <c r="AB1116" s="695">
        <f t="shared" si="154"/>
        <v>0</v>
      </c>
      <c r="AC1116" s="1035"/>
      <c r="AD1116" s="690"/>
      <c r="AE1116" s="1025"/>
      <c r="AF1116" s="1030"/>
      <c r="AG1116" s="690"/>
      <c r="AH1116" s="690"/>
      <c r="AI1116" s="696">
        <f t="shared" si="155"/>
        <v>23763156.776000001</v>
      </c>
      <c r="AJ1116" s="697">
        <f t="shared" si="156"/>
        <v>25317122.380000003</v>
      </c>
    </row>
    <row r="1117" spans="1:36" s="700" customFormat="1" ht="12.75" customHeight="1">
      <c r="A1117" s="686" t="s">
        <v>204</v>
      </c>
      <c r="B1117" s="686" t="s">
        <v>392</v>
      </c>
      <c r="C1117" s="813" t="s">
        <v>890</v>
      </c>
      <c r="D1117" s="813"/>
      <c r="E1117" s="811">
        <v>139278</v>
      </c>
      <c r="F1117" s="812">
        <v>12</v>
      </c>
      <c r="G1117" s="1025">
        <v>16008338</v>
      </c>
      <c r="H1117" s="690">
        <v>15566167</v>
      </c>
      <c r="I1117" s="1030"/>
      <c r="J1117" s="690"/>
      <c r="K1117" s="1030"/>
      <c r="L1117" s="690"/>
      <c r="M1117" s="1025">
        <v>14465361.696</v>
      </c>
      <c r="N1117" s="1030"/>
      <c r="O1117" s="692">
        <f t="shared" si="149"/>
        <v>14465361.696</v>
      </c>
      <c r="P1117" s="690">
        <v>14646012.85</v>
      </c>
      <c r="Q1117" s="690"/>
      <c r="R1117" s="691">
        <f t="shared" si="150"/>
        <v>14646012.85</v>
      </c>
      <c r="S1117" s="692">
        <f t="shared" si="151"/>
        <v>30473699.696000002</v>
      </c>
      <c r="T1117" s="693">
        <f t="shared" si="152"/>
        <v>30212179.850000001</v>
      </c>
      <c r="U1117" s="1035"/>
      <c r="V1117" s="690"/>
      <c r="W1117" s="1025"/>
      <c r="X1117" s="1030"/>
      <c r="Y1117" s="694">
        <f t="shared" si="153"/>
        <v>0</v>
      </c>
      <c r="Z1117" s="690"/>
      <c r="AA1117" s="690"/>
      <c r="AB1117" s="695">
        <f t="shared" si="154"/>
        <v>0</v>
      </c>
      <c r="AC1117" s="1035"/>
      <c r="AD1117" s="690"/>
      <c r="AE1117" s="1025"/>
      <c r="AF1117" s="1030"/>
      <c r="AG1117" s="690"/>
      <c r="AH1117" s="690"/>
      <c r="AI1117" s="696">
        <f t="shared" si="155"/>
        <v>30473699.696000002</v>
      </c>
      <c r="AJ1117" s="697">
        <f t="shared" si="156"/>
        <v>30212179.850000001</v>
      </c>
    </row>
    <row r="1118" spans="1:36" s="700" customFormat="1" ht="12.75" customHeight="1">
      <c r="A1118" s="686" t="s">
        <v>204</v>
      </c>
      <c r="B1118" s="686" t="s">
        <v>392</v>
      </c>
      <c r="C1118" s="1059" t="s">
        <v>891</v>
      </c>
      <c r="D1118" s="1060" t="s">
        <v>1940</v>
      </c>
      <c r="E1118" s="815">
        <v>366447</v>
      </c>
      <c r="F1118" s="1041">
        <v>12</v>
      </c>
      <c r="G1118" s="1025">
        <v>7685336</v>
      </c>
      <c r="H1118" s="690">
        <v>6895151</v>
      </c>
      <c r="I1118" s="1030"/>
      <c r="J1118" s="690"/>
      <c r="K1118" s="1030"/>
      <c r="L1118" s="690"/>
      <c r="M1118" s="1025">
        <v>2167068.8879999998</v>
      </c>
      <c r="N1118" s="1030"/>
      <c r="O1118" s="692">
        <f t="shared" si="149"/>
        <v>2167068.8879999998</v>
      </c>
      <c r="P1118" s="690">
        <v>3459783.85</v>
      </c>
      <c r="Q1118" s="690"/>
      <c r="R1118" s="691">
        <f t="shared" si="150"/>
        <v>3459783.85</v>
      </c>
      <c r="S1118" s="692">
        <f t="shared" si="151"/>
        <v>9852404.8880000003</v>
      </c>
      <c r="T1118" s="693">
        <f t="shared" si="152"/>
        <v>10354934.85</v>
      </c>
      <c r="U1118" s="1035"/>
      <c r="V1118" s="690"/>
      <c r="W1118" s="1025"/>
      <c r="X1118" s="1030"/>
      <c r="Y1118" s="694">
        <f t="shared" si="153"/>
        <v>0</v>
      </c>
      <c r="Z1118" s="690"/>
      <c r="AA1118" s="690"/>
      <c r="AB1118" s="695">
        <f t="shared" si="154"/>
        <v>0</v>
      </c>
      <c r="AC1118" s="1035"/>
      <c r="AD1118" s="690"/>
      <c r="AE1118" s="1025"/>
      <c r="AF1118" s="1030"/>
      <c r="AG1118" s="690"/>
      <c r="AH1118" s="690"/>
      <c r="AI1118" s="696">
        <f t="shared" si="155"/>
        <v>9852404.8880000003</v>
      </c>
      <c r="AJ1118" s="697">
        <f t="shared" si="156"/>
        <v>10354934.85</v>
      </c>
    </row>
    <row r="1119" spans="1:36" s="700" customFormat="1" ht="12.75" customHeight="1">
      <c r="A1119" s="686" t="s">
        <v>204</v>
      </c>
      <c r="B1119" s="686" t="s">
        <v>392</v>
      </c>
      <c r="C1119" s="704" t="s">
        <v>892</v>
      </c>
      <c r="D1119" s="704"/>
      <c r="E1119" s="811">
        <v>420431</v>
      </c>
      <c r="F1119" s="812">
        <v>13</v>
      </c>
      <c r="G1119" s="1025">
        <v>3887349</v>
      </c>
      <c r="H1119" s="690">
        <v>3555448</v>
      </c>
      <c r="I1119" s="1030"/>
      <c r="J1119" s="690"/>
      <c r="K1119" s="1030"/>
      <c r="L1119" s="690"/>
      <c r="M1119" s="1025">
        <v>2423990.8080000002</v>
      </c>
      <c r="N1119" s="1030"/>
      <c r="O1119" s="692">
        <f t="shared" si="149"/>
        <v>2423990.8080000002</v>
      </c>
      <c r="P1119" s="690">
        <v>2664655.12</v>
      </c>
      <c r="Q1119" s="690"/>
      <c r="R1119" s="691">
        <f t="shared" si="150"/>
        <v>2664655.12</v>
      </c>
      <c r="S1119" s="692">
        <f t="shared" si="151"/>
        <v>6311339.8080000002</v>
      </c>
      <c r="T1119" s="693">
        <f t="shared" si="152"/>
        <v>6220103.1200000001</v>
      </c>
      <c r="U1119" s="1035"/>
      <c r="V1119" s="690"/>
      <c r="W1119" s="1025"/>
      <c r="X1119" s="1030"/>
      <c r="Y1119" s="694">
        <f t="shared" si="153"/>
        <v>0</v>
      </c>
      <c r="Z1119" s="690"/>
      <c r="AA1119" s="690"/>
      <c r="AB1119" s="695">
        <f t="shared" si="154"/>
        <v>0</v>
      </c>
      <c r="AC1119" s="1035"/>
      <c r="AD1119" s="690"/>
      <c r="AE1119" s="1025"/>
      <c r="AF1119" s="1030"/>
      <c r="AG1119" s="690"/>
      <c r="AH1119" s="690"/>
      <c r="AI1119" s="696">
        <f t="shared" si="155"/>
        <v>6311339.8080000002</v>
      </c>
      <c r="AJ1119" s="697">
        <f t="shared" si="156"/>
        <v>6220103.1200000001</v>
      </c>
    </row>
    <row r="1120" spans="1:36" s="700" customFormat="1" ht="12.75" customHeight="1">
      <c r="A1120" s="686" t="s">
        <v>204</v>
      </c>
      <c r="B1120" s="686" t="s">
        <v>401</v>
      </c>
      <c r="C1120" s="707" t="s">
        <v>893</v>
      </c>
      <c r="D1120" s="707"/>
      <c r="E1120" s="688"/>
      <c r="F1120" s="689"/>
      <c r="G1120" s="1025"/>
      <c r="H1120" s="690"/>
      <c r="I1120" s="1030"/>
      <c r="J1120" s="690"/>
      <c r="K1120" s="1030"/>
      <c r="L1120" s="690"/>
      <c r="M1120" s="1025"/>
      <c r="N1120" s="1030"/>
      <c r="O1120" s="692">
        <f t="shared" si="149"/>
        <v>0</v>
      </c>
      <c r="P1120" s="690"/>
      <c r="Q1120" s="690"/>
      <c r="R1120" s="691">
        <f t="shared" si="150"/>
        <v>0</v>
      </c>
      <c r="S1120" s="692">
        <f t="shared" si="151"/>
        <v>0</v>
      </c>
      <c r="T1120" s="693">
        <f t="shared" si="152"/>
        <v>0</v>
      </c>
      <c r="U1120" s="1035"/>
      <c r="V1120" s="690"/>
      <c r="W1120" s="1025"/>
      <c r="X1120" s="1030"/>
      <c r="Y1120" s="694">
        <f t="shared" si="153"/>
        <v>0</v>
      </c>
      <c r="Z1120" s="690"/>
      <c r="AA1120" s="690"/>
      <c r="AB1120" s="695">
        <f t="shared" si="154"/>
        <v>0</v>
      </c>
      <c r="AC1120" s="1035"/>
      <c r="AD1120" s="690"/>
      <c r="AE1120" s="1025"/>
      <c r="AF1120" s="1030"/>
      <c r="AG1120" s="690"/>
      <c r="AH1120" s="690"/>
      <c r="AI1120" s="696">
        <f t="shared" si="155"/>
        <v>0</v>
      </c>
      <c r="AJ1120" s="697">
        <f t="shared" si="156"/>
        <v>0</v>
      </c>
    </row>
    <row r="1121" spans="1:36" s="700" customFormat="1" ht="12.75" customHeight="1">
      <c r="A1121" s="686" t="s">
        <v>204</v>
      </c>
      <c r="B1121" s="686" t="s">
        <v>402</v>
      </c>
      <c r="C1121" s="699" t="s">
        <v>451</v>
      </c>
      <c r="D1121" s="699"/>
      <c r="E1121" s="688"/>
      <c r="F1121" s="689"/>
      <c r="G1121" s="1025"/>
      <c r="H1121" s="690"/>
      <c r="I1121" s="1030"/>
      <c r="J1121" s="690"/>
      <c r="K1121" s="1030"/>
      <c r="L1121" s="690"/>
      <c r="M1121" s="1025"/>
      <c r="N1121" s="1030"/>
      <c r="O1121" s="692">
        <f t="shared" si="149"/>
        <v>0</v>
      </c>
      <c r="P1121" s="690"/>
      <c r="Q1121" s="690"/>
      <c r="R1121" s="691">
        <f t="shared" si="150"/>
        <v>0</v>
      </c>
      <c r="S1121" s="692">
        <f t="shared" si="151"/>
        <v>0</v>
      </c>
      <c r="T1121" s="693">
        <f t="shared" si="152"/>
        <v>0</v>
      </c>
      <c r="U1121" s="1035"/>
      <c r="V1121" s="690"/>
      <c r="W1121" s="1025"/>
      <c r="X1121" s="1030"/>
      <c r="Y1121" s="694">
        <f t="shared" si="153"/>
        <v>0</v>
      </c>
      <c r="Z1121" s="690"/>
      <c r="AA1121" s="690"/>
      <c r="AB1121" s="695">
        <f t="shared" si="154"/>
        <v>0</v>
      </c>
      <c r="AC1121" s="1035"/>
      <c r="AD1121" s="690"/>
      <c r="AE1121" s="1025"/>
      <c r="AF1121" s="1030"/>
      <c r="AG1121" s="690"/>
      <c r="AH1121" s="690"/>
      <c r="AI1121" s="696">
        <f t="shared" si="155"/>
        <v>0</v>
      </c>
      <c r="AJ1121" s="697">
        <f t="shared" si="156"/>
        <v>0</v>
      </c>
    </row>
    <row r="1122" spans="1:36" s="700" customFormat="1" ht="12.75" customHeight="1">
      <c r="A1122" s="686" t="s">
        <v>204</v>
      </c>
      <c r="B1122" s="686" t="s">
        <v>431</v>
      </c>
      <c r="C1122" s="707" t="s">
        <v>734</v>
      </c>
      <c r="D1122" s="707"/>
      <c r="E1122" s="708" t="s">
        <v>131</v>
      </c>
      <c r="F1122" s="709"/>
      <c r="G1122" s="1025"/>
      <c r="H1122" s="690"/>
      <c r="I1122" s="1030"/>
      <c r="J1122" s="690"/>
      <c r="K1122" s="1030"/>
      <c r="L1122" s="690"/>
      <c r="M1122" s="1025"/>
      <c r="N1122" s="1030"/>
      <c r="O1122" s="692">
        <f t="shared" si="149"/>
        <v>0</v>
      </c>
      <c r="P1122" s="690"/>
      <c r="Q1122" s="690"/>
      <c r="R1122" s="691">
        <f t="shared" si="150"/>
        <v>0</v>
      </c>
      <c r="S1122" s="692">
        <f t="shared" si="151"/>
        <v>0</v>
      </c>
      <c r="T1122" s="693">
        <f t="shared" si="152"/>
        <v>0</v>
      </c>
      <c r="U1122" s="1035"/>
      <c r="V1122" s="690"/>
      <c r="W1122" s="1025"/>
      <c r="X1122" s="1030"/>
      <c r="Y1122" s="694">
        <f t="shared" si="153"/>
        <v>0</v>
      </c>
      <c r="Z1122" s="690"/>
      <c r="AA1122" s="690"/>
      <c r="AB1122" s="695">
        <f t="shared" si="154"/>
        <v>0</v>
      </c>
      <c r="AC1122" s="1035"/>
      <c r="AD1122" s="690"/>
      <c r="AE1122" s="1025"/>
      <c r="AF1122" s="1030"/>
      <c r="AG1122" s="690"/>
      <c r="AH1122" s="690"/>
      <c r="AI1122" s="696">
        <f t="shared" si="155"/>
        <v>0</v>
      </c>
      <c r="AJ1122" s="697">
        <f t="shared" si="156"/>
        <v>0</v>
      </c>
    </row>
    <row r="1123" spans="1:36" s="700" customFormat="1" ht="12.75" customHeight="1">
      <c r="A1123" s="686" t="s">
        <v>204</v>
      </c>
      <c r="B1123" s="686" t="s">
        <v>431</v>
      </c>
      <c r="C1123" s="701" t="s">
        <v>894</v>
      </c>
      <c r="D1123" s="701"/>
      <c r="E1123" s="708"/>
      <c r="F1123" s="709"/>
      <c r="G1123" s="1025"/>
      <c r="H1123" s="690"/>
      <c r="I1123" s="1030">
        <v>2070395</v>
      </c>
      <c r="J1123" s="690">
        <v>1702422</v>
      </c>
      <c r="K1123" s="1030"/>
      <c r="L1123" s="690"/>
      <c r="M1123" s="1025"/>
      <c r="N1123" s="1030"/>
      <c r="O1123" s="692">
        <f t="shared" si="149"/>
        <v>0</v>
      </c>
      <c r="P1123" s="690"/>
      <c r="Q1123" s="690"/>
      <c r="R1123" s="691">
        <f t="shared" si="150"/>
        <v>0</v>
      </c>
      <c r="S1123" s="692">
        <f t="shared" si="151"/>
        <v>2070395</v>
      </c>
      <c r="T1123" s="693">
        <f t="shared" si="152"/>
        <v>1702422</v>
      </c>
      <c r="U1123" s="1035"/>
      <c r="V1123" s="690"/>
      <c r="W1123" s="1025"/>
      <c r="X1123" s="1030"/>
      <c r="Y1123" s="694">
        <f t="shared" si="153"/>
        <v>0</v>
      </c>
      <c r="Z1123" s="690"/>
      <c r="AA1123" s="690"/>
      <c r="AB1123" s="695">
        <f t="shared" si="154"/>
        <v>0</v>
      </c>
      <c r="AC1123" s="1035"/>
      <c r="AD1123" s="690"/>
      <c r="AE1123" s="1025"/>
      <c r="AF1123" s="1030"/>
      <c r="AG1123" s="690"/>
      <c r="AH1123" s="690"/>
      <c r="AI1123" s="696">
        <f t="shared" si="155"/>
        <v>2070395</v>
      </c>
      <c r="AJ1123" s="697">
        <f t="shared" si="156"/>
        <v>1702422</v>
      </c>
    </row>
    <row r="1124" spans="1:36" s="700" customFormat="1" ht="12.75" customHeight="1">
      <c r="A1124" s="686" t="s">
        <v>204</v>
      </c>
      <c r="B1124" s="686" t="s">
        <v>409</v>
      </c>
      <c r="C1124" s="707" t="s">
        <v>157</v>
      </c>
      <c r="D1124" s="707"/>
      <c r="E1124" s="688"/>
      <c r="F1124" s="689"/>
      <c r="G1124" s="1025"/>
      <c r="H1124" s="690"/>
      <c r="I1124" s="1030"/>
      <c r="J1124" s="690"/>
      <c r="K1124" s="1030"/>
      <c r="L1124" s="690"/>
      <c r="M1124" s="1025"/>
      <c r="N1124" s="1030"/>
      <c r="O1124" s="692">
        <f t="shared" si="149"/>
        <v>0</v>
      </c>
      <c r="P1124" s="690"/>
      <c r="Q1124" s="690"/>
      <c r="R1124" s="691">
        <f t="shared" si="150"/>
        <v>0</v>
      </c>
      <c r="S1124" s="692">
        <f t="shared" si="151"/>
        <v>0</v>
      </c>
      <c r="T1124" s="693">
        <f t="shared" si="152"/>
        <v>0</v>
      </c>
      <c r="U1124" s="1035"/>
      <c r="V1124" s="690"/>
      <c r="W1124" s="1025"/>
      <c r="X1124" s="1030"/>
      <c r="Y1124" s="694">
        <f t="shared" si="153"/>
        <v>0</v>
      </c>
      <c r="Z1124" s="690"/>
      <c r="AA1124" s="690"/>
      <c r="AB1124" s="695">
        <f t="shared" si="154"/>
        <v>0</v>
      </c>
      <c r="AC1124" s="1035"/>
      <c r="AD1124" s="690"/>
      <c r="AE1124" s="1025"/>
      <c r="AF1124" s="1030"/>
      <c r="AG1124" s="690"/>
      <c r="AH1124" s="690"/>
      <c r="AI1124" s="696">
        <f t="shared" si="155"/>
        <v>0</v>
      </c>
      <c r="AJ1124" s="697">
        <f t="shared" si="156"/>
        <v>0</v>
      </c>
    </row>
    <row r="1125" spans="1:36" s="700" customFormat="1" ht="12.75" customHeight="1">
      <c r="A1125" s="686" t="s">
        <v>204</v>
      </c>
      <c r="B1125" s="686" t="s">
        <v>411</v>
      </c>
      <c r="C1125" s="699" t="s">
        <v>199</v>
      </c>
      <c r="D1125" s="699"/>
      <c r="E1125" s="688"/>
      <c r="F1125" s="689"/>
      <c r="G1125" s="1025"/>
      <c r="H1125" s="690"/>
      <c r="I1125" s="1030"/>
      <c r="J1125" s="690"/>
      <c r="K1125" s="1030"/>
      <c r="L1125" s="690"/>
      <c r="M1125" s="1025"/>
      <c r="N1125" s="1030"/>
      <c r="O1125" s="692">
        <f t="shared" si="149"/>
        <v>0</v>
      </c>
      <c r="P1125" s="690"/>
      <c r="Q1125" s="690"/>
      <c r="R1125" s="691">
        <f t="shared" si="150"/>
        <v>0</v>
      </c>
      <c r="S1125" s="692">
        <f t="shared" si="151"/>
        <v>0</v>
      </c>
      <c r="T1125" s="693">
        <f t="shared" si="152"/>
        <v>0</v>
      </c>
      <c r="U1125" s="1035"/>
      <c r="V1125" s="690"/>
      <c r="W1125" s="1025"/>
      <c r="X1125" s="1030"/>
      <c r="Y1125" s="694">
        <f t="shared" si="153"/>
        <v>0</v>
      </c>
      <c r="Z1125" s="690"/>
      <c r="AA1125" s="690"/>
      <c r="AB1125" s="695">
        <f t="shared" si="154"/>
        <v>0</v>
      </c>
      <c r="AC1125" s="1035"/>
      <c r="AD1125" s="690"/>
      <c r="AE1125" s="1025"/>
      <c r="AF1125" s="1030"/>
      <c r="AG1125" s="690"/>
      <c r="AH1125" s="690"/>
      <c r="AI1125" s="696">
        <f t="shared" si="155"/>
        <v>0</v>
      </c>
      <c r="AJ1125" s="697">
        <f t="shared" si="156"/>
        <v>0</v>
      </c>
    </row>
    <row r="1126" spans="1:36" s="700" customFormat="1" ht="12.75" customHeight="1">
      <c r="A1126" s="686" t="s">
        <v>204</v>
      </c>
      <c r="B1126" s="686" t="s">
        <v>411</v>
      </c>
      <c r="C1126" s="701" t="s">
        <v>895</v>
      </c>
      <c r="D1126" s="701"/>
      <c r="E1126" s="688"/>
      <c r="F1126" s="689"/>
      <c r="G1126" s="1025"/>
      <c r="H1126" s="690"/>
      <c r="I1126" s="1030"/>
      <c r="J1126" s="690"/>
      <c r="K1126" s="1030"/>
      <c r="L1126" s="690"/>
      <c r="M1126" s="1025"/>
      <c r="N1126" s="1030"/>
      <c r="O1126" s="692">
        <f t="shared" si="149"/>
        <v>0</v>
      </c>
      <c r="P1126" s="690"/>
      <c r="Q1126" s="690"/>
      <c r="R1126" s="691">
        <f t="shared" si="150"/>
        <v>0</v>
      </c>
      <c r="S1126" s="692">
        <f t="shared" si="151"/>
        <v>0</v>
      </c>
      <c r="T1126" s="693">
        <f t="shared" si="152"/>
        <v>0</v>
      </c>
      <c r="U1126" s="1035">
        <v>19220999</v>
      </c>
      <c r="V1126" s="690">
        <v>13825432</v>
      </c>
      <c r="W1126" s="1025"/>
      <c r="X1126" s="1030"/>
      <c r="Y1126" s="694">
        <f t="shared" si="153"/>
        <v>0</v>
      </c>
      <c r="Z1126" s="690"/>
      <c r="AA1126" s="690"/>
      <c r="AB1126" s="695">
        <f t="shared" si="154"/>
        <v>0</v>
      </c>
      <c r="AC1126" s="1035"/>
      <c r="AD1126" s="690"/>
      <c r="AE1126" s="1025"/>
      <c r="AF1126" s="1030"/>
      <c r="AG1126" s="690"/>
      <c r="AH1126" s="690"/>
      <c r="AI1126" s="696">
        <f t="shared" si="155"/>
        <v>19220999</v>
      </c>
      <c r="AJ1126" s="697">
        <f t="shared" si="156"/>
        <v>13825432</v>
      </c>
    </row>
    <row r="1127" spans="1:36" s="700" customFormat="1" ht="12.75" customHeight="1">
      <c r="A1127" s="718" t="s">
        <v>210</v>
      </c>
      <c r="B1127" s="718" t="s">
        <v>392</v>
      </c>
      <c r="C1127" s="820" t="s">
        <v>896</v>
      </c>
      <c r="D1127" s="820"/>
      <c r="E1127" s="721">
        <v>157085</v>
      </c>
      <c r="F1127" s="722">
        <v>1</v>
      </c>
      <c r="G1127" s="1025">
        <v>150416058</v>
      </c>
      <c r="H1127" s="690">
        <v>157456233</v>
      </c>
      <c r="I1127" s="1030"/>
      <c r="J1127" s="690"/>
      <c r="K1127" s="1030"/>
      <c r="L1127" s="690"/>
      <c r="M1127" s="1025">
        <v>253126364</v>
      </c>
      <c r="N1127" s="1030"/>
      <c r="O1127" s="692">
        <f t="shared" si="149"/>
        <v>253126364</v>
      </c>
      <c r="P1127" s="690">
        <v>268087635</v>
      </c>
      <c r="Q1127" s="690"/>
      <c r="R1127" s="691">
        <f t="shared" si="150"/>
        <v>268087635</v>
      </c>
      <c r="S1127" s="692">
        <f t="shared" si="151"/>
        <v>403542422</v>
      </c>
      <c r="T1127" s="693">
        <f t="shared" si="152"/>
        <v>425543868</v>
      </c>
      <c r="U1127" s="1035"/>
      <c r="V1127" s="690"/>
      <c r="W1127" s="1025"/>
      <c r="X1127" s="1030"/>
      <c r="Y1127" s="694">
        <f t="shared" si="153"/>
        <v>0</v>
      </c>
      <c r="Z1127" s="690"/>
      <c r="AA1127" s="690"/>
      <c r="AB1127" s="695">
        <f t="shared" si="154"/>
        <v>0</v>
      </c>
      <c r="AC1127" s="1035"/>
      <c r="AD1127" s="690"/>
      <c r="AE1127" s="1025"/>
      <c r="AF1127" s="1030"/>
      <c r="AG1127" s="690"/>
      <c r="AH1127" s="690"/>
      <c r="AI1127" s="696">
        <f t="shared" si="155"/>
        <v>403542422</v>
      </c>
      <c r="AJ1127" s="697">
        <f t="shared" si="156"/>
        <v>425543868</v>
      </c>
    </row>
    <row r="1128" spans="1:36" s="700" customFormat="1" ht="12.75" customHeight="1">
      <c r="A1128" s="718" t="s">
        <v>210</v>
      </c>
      <c r="B1128" s="718" t="s">
        <v>408</v>
      </c>
      <c r="C1128" s="821" t="s">
        <v>713</v>
      </c>
      <c r="D1128" s="821"/>
      <c r="E1128" s="721">
        <v>157085</v>
      </c>
      <c r="F1128" s="722">
        <v>1</v>
      </c>
      <c r="G1128" s="1025"/>
      <c r="H1128" s="690"/>
      <c r="I1128" s="1030"/>
      <c r="J1128" s="690"/>
      <c r="K1128" s="1030"/>
      <c r="L1128" s="690"/>
      <c r="M1128" s="1025"/>
      <c r="N1128" s="1030"/>
      <c r="O1128" s="692">
        <f t="shared" si="149"/>
        <v>0</v>
      </c>
      <c r="P1128" s="690"/>
      <c r="Q1128" s="690"/>
      <c r="R1128" s="691">
        <f t="shared" si="150"/>
        <v>0</v>
      </c>
      <c r="S1128" s="692">
        <f t="shared" si="151"/>
        <v>0</v>
      </c>
      <c r="T1128" s="693">
        <f t="shared" si="152"/>
        <v>0</v>
      </c>
      <c r="U1128" s="1035"/>
      <c r="V1128" s="690"/>
      <c r="W1128" s="1025"/>
      <c r="X1128" s="1030"/>
      <c r="Y1128" s="694">
        <f t="shared" si="153"/>
        <v>0</v>
      </c>
      <c r="Z1128" s="690"/>
      <c r="AA1128" s="690"/>
      <c r="AB1128" s="695">
        <f t="shared" si="154"/>
        <v>0</v>
      </c>
      <c r="AC1128" s="1035">
        <v>59602200</v>
      </c>
      <c r="AD1128" s="690">
        <v>57455400</v>
      </c>
      <c r="AE1128" s="1025">
        <v>19334336</v>
      </c>
      <c r="AF1128" s="1030"/>
      <c r="AG1128" s="690">
        <v>21049865</v>
      </c>
      <c r="AH1128" s="690"/>
      <c r="AI1128" s="696">
        <f t="shared" si="155"/>
        <v>78936536</v>
      </c>
      <c r="AJ1128" s="697">
        <f t="shared" si="156"/>
        <v>78505265</v>
      </c>
    </row>
    <row r="1129" spans="1:36" s="700" customFormat="1" ht="12.75" customHeight="1">
      <c r="A1129" s="718" t="s">
        <v>210</v>
      </c>
      <c r="B1129" s="718" t="s">
        <v>394</v>
      </c>
      <c r="C1129" s="728" t="s">
        <v>793</v>
      </c>
      <c r="D1129" s="728"/>
      <c r="E1129" s="721">
        <v>157085</v>
      </c>
      <c r="F1129" s="722">
        <v>1</v>
      </c>
      <c r="G1129" s="1025"/>
      <c r="H1129" s="690"/>
      <c r="I1129" s="1030"/>
      <c r="J1129" s="690"/>
      <c r="K1129" s="1030"/>
      <c r="L1129" s="690"/>
      <c r="M1129" s="1025"/>
      <c r="N1129" s="1030"/>
      <c r="O1129" s="692">
        <f t="shared" si="149"/>
        <v>0</v>
      </c>
      <c r="P1129" s="690"/>
      <c r="Q1129" s="690"/>
      <c r="R1129" s="691">
        <f t="shared" si="150"/>
        <v>0</v>
      </c>
      <c r="S1129" s="692">
        <f t="shared" si="151"/>
        <v>0</v>
      </c>
      <c r="T1129" s="693">
        <f t="shared" si="152"/>
        <v>0</v>
      </c>
      <c r="U1129" s="1035"/>
      <c r="V1129" s="690"/>
      <c r="W1129" s="1025"/>
      <c r="X1129" s="1030"/>
      <c r="Y1129" s="694">
        <f t="shared" si="153"/>
        <v>0</v>
      </c>
      <c r="Z1129" s="690"/>
      <c r="AA1129" s="690"/>
      <c r="AB1129" s="695">
        <f t="shared" si="154"/>
        <v>0</v>
      </c>
      <c r="AC1129" s="1035"/>
      <c r="AD1129" s="690"/>
      <c r="AE1129" s="1025"/>
      <c r="AF1129" s="1030"/>
      <c r="AG1129" s="690"/>
      <c r="AH1129" s="690"/>
      <c r="AI1129" s="696">
        <f t="shared" si="155"/>
        <v>0</v>
      </c>
      <c r="AJ1129" s="697">
        <f t="shared" si="156"/>
        <v>0</v>
      </c>
    </row>
    <row r="1130" spans="1:36" s="700" customFormat="1" ht="12.75" customHeight="1">
      <c r="A1130" s="718" t="s">
        <v>210</v>
      </c>
      <c r="B1130" s="718" t="s">
        <v>394</v>
      </c>
      <c r="C1130" s="821" t="s">
        <v>897</v>
      </c>
      <c r="D1130" s="821"/>
      <c r="E1130" s="721">
        <v>157085</v>
      </c>
      <c r="F1130" s="722">
        <v>1</v>
      </c>
      <c r="G1130" s="1025"/>
      <c r="H1130" s="690"/>
      <c r="I1130" s="1030">
        <v>3332300</v>
      </c>
      <c r="J1130" s="690">
        <v>3344500</v>
      </c>
      <c r="K1130" s="1030"/>
      <c r="L1130" s="690"/>
      <c r="M1130" s="1025"/>
      <c r="N1130" s="1030"/>
      <c r="O1130" s="692">
        <f t="shared" si="149"/>
        <v>0</v>
      </c>
      <c r="P1130" s="690"/>
      <c r="Q1130" s="690"/>
      <c r="R1130" s="691">
        <f t="shared" si="150"/>
        <v>0</v>
      </c>
      <c r="S1130" s="692">
        <f t="shared" si="151"/>
        <v>3332300</v>
      </c>
      <c r="T1130" s="693">
        <f t="shared" si="152"/>
        <v>3344500</v>
      </c>
      <c r="U1130" s="1035"/>
      <c r="V1130" s="690"/>
      <c r="W1130" s="1025"/>
      <c r="X1130" s="1030"/>
      <c r="Y1130" s="694">
        <f t="shared" si="153"/>
        <v>0</v>
      </c>
      <c r="Z1130" s="690"/>
      <c r="AA1130" s="690"/>
      <c r="AB1130" s="695">
        <f t="shared" si="154"/>
        <v>0</v>
      </c>
      <c r="AC1130" s="1035"/>
      <c r="AD1130" s="690"/>
      <c r="AE1130" s="1025"/>
      <c r="AF1130" s="1030"/>
      <c r="AG1130" s="690"/>
      <c r="AH1130" s="690"/>
      <c r="AI1130" s="696">
        <f t="shared" si="155"/>
        <v>3332300</v>
      </c>
      <c r="AJ1130" s="697">
        <f t="shared" si="156"/>
        <v>3344500</v>
      </c>
    </row>
    <row r="1131" spans="1:36" s="700" customFormat="1" ht="12.75" customHeight="1">
      <c r="A1131" s="718" t="s">
        <v>210</v>
      </c>
      <c r="B1131" s="718" t="s">
        <v>394</v>
      </c>
      <c r="C1131" s="821" t="s">
        <v>898</v>
      </c>
      <c r="D1131" s="821"/>
      <c r="E1131" s="721">
        <v>157085</v>
      </c>
      <c r="F1131" s="722">
        <v>1</v>
      </c>
      <c r="G1131" s="1025"/>
      <c r="H1131" s="690"/>
      <c r="I1131" s="1030">
        <v>1902800</v>
      </c>
      <c r="J1131" s="690">
        <v>2057400</v>
      </c>
      <c r="K1131" s="1030"/>
      <c r="L1131" s="690"/>
      <c r="M1131" s="1025"/>
      <c r="N1131" s="1030"/>
      <c r="O1131" s="692">
        <f t="shared" si="149"/>
        <v>0</v>
      </c>
      <c r="P1131" s="690"/>
      <c r="Q1131" s="690"/>
      <c r="R1131" s="691">
        <f t="shared" si="150"/>
        <v>0</v>
      </c>
      <c r="S1131" s="692">
        <f t="shared" si="151"/>
        <v>1902800</v>
      </c>
      <c r="T1131" s="693">
        <f t="shared" si="152"/>
        <v>2057400</v>
      </c>
      <c r="U1131" s="1035"/>
      <c r="V1131" s="690"/>
      <c r="W1131" s="1025"/>
      <c r="X1131" s="1030"/>
      <c r="Y1131" s="694">
        <f t="shared" si="153"/>
        <v>0</v>
      </c>
      <c r="Z1131" s="690"/>
      <c r="AA1131" s="690"/>
      <c r="AB1131" s="695">
        <f t="shared" si="154"/>
        <v>0</v>
      </c>
      <c r="AC1131" s="1035"/>
      <c r="AD1131" s="690"/>
      <c r="AE1131" s="1025"/>
      <c r="AF1131" s="1030"/>
      <c r="AG1131" s="690"/>
      <c r="AH1131" s="690"/>
      <c r="AI1131" s="696">
        <f t="shared" si="155"/>
        <v>1902800</v>
      </c>
      <c r="AJ1131" s="697">
        <f t="shared" si="156"/>
        <v>2057400</v>
      </c>
    </row>
    <row r="1132" spans="1:36" s="700" customFormat="1" ht="12.75" customHeight="1">
      <c r="A1132" s="718" t="s">
        <v>210</v>
      </c>
      <c r="B1132" s="718" t="s">
        <v>394</v>
      </c>
      <c r="C1132" s="821" t="s">
        <v>899</v>
      </c>
      <c r="D1132" s="821"/>
      <c r="E1132" s="721">
        <v>157085</v>
      </c>
      <c r="F1132" s="722">
        <v>1</v>
      </c>
      <c r="G1132" s="1025"/>
      <c r="H1132" s="690"/>
      <c r="I1132" s="1030">
        <v>4103900</v>
      </c>
      <c r="J1132" s="690">
        <v>4077800</v>
      </c>
      <c r="K1132" s="1030"/>
      <c r="L1132" s="690"/>
      <c r="M1132" s="1025"/>
      <c r="N1132" s="1030"/>
      <c r="O1132" s="692">
        <f t="shared" si="149"/>
        <v>0</v>
      </c>
      <c r="P1132" s="690"/>
      <c r="Q1132" s="690"/>
      <c r="R1132" s="691">
        <f t="shared" si="150"/>
        <v>0</v>
      </c>
      <c r="S1132" s="692">
        <f t="shared" si="151"/>
        <v>4103900</v>
      </c>
      <c r="T1132" s="693">
        <f t="shared" si="152"/>
        <v>4077800</v>
      </c>
      <c r="U1132" s="1035"/>
      <c r="V1132" s="690"/>
      <c r="W1132" s="1025"/>
      <c r="X1132" s="1030"/>
      <c r="Y1132" s="694">
        <f t="shared" si="153"/>
        <v>0</v>
      </c>
      <c r="Z1132" s="690"/>
      <c r="AA1132" s="690"/>
      <c r="AB1132" s="695">
        <f t="shared" si="154"/>
        <v>0</v>
      </c>
      <c r="AC1132" s="1035"/>
      <c r="AD1132" s="690"/>
      <c r="AE1132" s="1025"/>
      <c r="AF1132" s="1030"/>
      <c r="AG1132" s="690"/>
      <c r="AH1132" s="690"/>
      <c r="AI1132" s="696">
        <f t="shared" si="155"/>
        <v>4103900</v>
      </c>
      <c r="AJ1132" s="697">
        <f t="shared" si="156"/>
        <v>4077800</v>
      </c>
    </row>
    <row r="1133" spans="1:36" s="700" customFormat="1" ht="12.75" customHeight="1">
      <c r="A1133" s="718" t="s">
        <v>210</v>
      </c>
      <c r="B1133" s="718" t="s">
        <v>394</v>
      </c>
      <c r="C1133" s="821" t="s">
        <v>900</v>
      </c>
      <c r="D1133" s="821"/>
      <c r="E1133" s="721">
        <v>157085</v>
      </c>
      <c r="F1133" s="722">
        <v>1</v>
      </c>
      <c r="G1133" s="1025"/>
      <c r="H1133" s="690"/>
      <c r="I1133" s="1030">
        <v>633300</v>
      </c>
      <c r="J1133" s="690">
        <v>633000</v>
      </c>
      <c r="K1133" s="1030"/>
      <c r="L1133" s="690"/>
      <c r="M1133" s="1025"/>
      <c r="N1133" s="1030"/>
      <c r="O1133" s="692">
        <f t="shared" si="149"/>
        <v>0</v>
      </c>
      <c r="P1133" s="690"/>
      <c r="Q1133" s="690"/>
      <c r="R1133" s="691">
        <f t="shared" si="150"/>
        <v>0</v>
      </c>
      <c r="S1133" s="692">
        <f t="shared" si="151"/>
        <v>633300</v>
      </c>
      <c r="T1133" s="693">
        <f t="shared" si="152"/>
        <v>633000</v>
      </c>
      <c r="U1133" s="1035"/>
      <c r="V1133" s="690"/>
      <c r="W1133" s="1025"/>
      <c r="X1133" s="1030"/>
      <c r="Y1133" s="694">
        <f t="shared" si="153"/>
        <v>0</v>
      </c>
      <c r="Z1133" s="690"/>
      <c r="AA1133" s="690"/>
      <c r="AB1133" s="695">
        <f t="shared" si="154"/>
        <v>0</v>
      </c>
      <c r="AC1133" s="1035"/>
      <c r="AD1133" s="690"/>
      <c r="AE1133" s="1025"/>
      <c r="AF1133" s="1030"/>
      <c r="AG1133" s="690"/>
      <c r="AH1133" s="690"/>
      <c r="AI1133" s="696">
        <f t="shared" si="155"/>
        <v>633300</v>
      </c>
      <c r="AJ1133" s="697">
        <f t="shared" si="156"/>
        <v>633000</v>
      </c>
    </row>
    <row r="1134" spans="1:36" s="700" customFormat="1" ht="12.75" customHeight="1">
      <c r="A1134" s="718" t="s">
        <v>210</v>
      </c>
      <c r="B1134" s="718" t="s">
        <v>394</v>
      </c>
      <c r="C1134" s="821" t="s">
        <v>901</v>
      </c>
      <c r="D1134" s="821"/>
      <c r="E1134" s="721">
        <v>157085</v>
      </c>
      <c r="F1134" s="722">
        <v>1</v>
      </c>
      <c r="G1134" s="1025"/>
      <c r="H1134" s="690"/>
      <c r="I1134" s="1030">
        <v>292600</v>
      </c>
      <c r="J1134" s="690">
        <v>283800</v>
      </c>
      <c r="K1134" s="1030"/>
      <c r="L1134" s="690"/>
      <c r="M1134" s="1025"/>
      <c r="N1134" s="1030"/>
      <c r="O1134" s="692">
        <f t="shared" si="149"/>
        <v>0</v>
      </c>
      <c r="P1134" s="690"/>
      <c r="Q1134" s="690"/>
      <c r="R1134" s="691">
        <f t="shared" si="150"/>
        <v>0</v>
      </c>
      <c r="S1134" s="692">
        <f t="shared" si="151"/>
        <v>292600</v>
      </c>
      <c r="T1134" s="693">
        <f t="shared" si="152"/>
        <v>283800</v>
      </c>
      <c r="U1134" s="1035"/>
      <c r="V1134" s="690"/>
      <c r="W1134" s="1025"/>
      <c r="X1134" s="1030"/>
      <c r="Y1134" s="694">
        <f t="shared" si="153"/>
        <v>0</v>
      </c>
      <c r="Z1134" s="690"/>
      <c r="AA1134" s="690"/>
      <c r="AB1134" s="695">
        <f t="shared" si="154"/>
        <v>0</v>
      </c>
      <c r="AC1134" s="1035"/>
      <c r="AD1134" s="690"/>
      <c r="AE1134" s="1025"/>
      <c r="AF1134" s="1030"/>
      <c r="AG1134" s="690"/>
      <c r="AH1134" s="690"/>
      <c r="AI1134" s="696">
        <f t="shared" si="155"/>
        <v>292600</v>
      </c>
      <c r="AJ1134" s="697">
        <f t="shared" si="156"/>
        <v>283800</v>
      </c>
    </row>
    <row r="1135" spans="1:36" s="700" customFormat="1" ht="12.75" customHeight="1">
      <c r="A1135" s="718" t="s">
        <v>210</v>
      </c>
      <c r="B1135" s="718" t="s">
        <v>394</v>
      </c>
      <c r="C1135" s="821" t="s">
        <v>902</v>
      </c>
      <c r="D1135" s="821"/>
      <c r="E1135" s="721">
        <v>157085</v>
      </c>
      <c r="F1135" s="722">
        <v>1</v>
      </c>
      <c r="G1135" s="1025"/>
      <c r="H1135" s="690"/>
      <c r="I1135" s="1030">
        <v>116800</v>
      </c>
      <c r="J1135" s="690">
        <v>106000</v>
      </c>
      <c r="K1135" s="1030"/>
      <c r="L1135" s="690"/>
      <c r="M1135" s="1025"/>
      <c r="N1135" s="1030"/>
      <c r="O1135" s="692">
        <f t="shared" si="149"/>
        <v>0</v>
      </c>
      <c r="P1135" s="690"/>
      <c r="Q1135" s="690"/>
      <c r="R1135" s="691">
        <f t="shared" si="150"/>
        <v>0</v>
      </c>
      <c r="S1135" s="692">
        <f t="shared" si="151"/>
        <v>116800</v>
      </c>
      <c r="T1135" s="693">
        <f t="shared" si="152"/>
        <v>106000</v>
      </c>
      <c r="U1135" s="1035"/>
      <c r="V1135" s="690"/>
      <c r="W1135" s="1025"/>
      <c r="X1135" s="1030"/>
      <c r="Y1135" s="694">
        <f t="shared" si="153"/>
        <v>0</v>
      </c>
      <c r="Z1135" s="690"/>
      <c r="AA1135" s="690"/>
      <c r="AB1135" s="695">
        <f t="shared" si="154"/>
        <v>0</v>
      </c>
      <c r="AC1135" s="1035"/>
      <c r="AD1135" s="690"/>
      <c r="AE1135" s="1025"/>
      <c r="AF1135" s="1030"/>
      <c r="AG1135" s="690"/>
      <c r="AH1135" s="690"/>
      <c r="AI1135" s="696">
        <f t="shared" si="155"/>
        <v>116800</v>
      </c>
      <c r="AJ1135" s="697">
        <f t="shared" si="156"/>
        <v>106000</v>
      </c>
    </row>
    <row r="1136" spans="1:36" s="700" customFormat="1" ht="12.75" customHeight="1">
      <c r="A1136" s="718" t="s">
        <v>210</v>
      </c>
      <c r="B1136" s="718" t="s">
        <v>396</v>
      </c>
      <c r="C1136" s="728" t="s">
        <v>385</v>
      </c>
      <c r="D1136" s="728"/>
      <c r="E1136" s="721">
        <v>157085</v>
      </c>
      <c r="F1136" s="722">
        <v>1</v>
      </c>
      <c r="G1136" s="1025"/>
      <c r="H1136" s="690"/>
      <c r="I1136" s="1030">
        <v>33748100</v>
      </c>
      <c r="J1136" s="690">
        <v>33731800</v>
      </c>
      <c r="K1136" s="1030"/>
      <c r="L1136" s="690"/>
      <c r="M1136" s="1025"/>
      <c r="N1136" s="1030"/>
      <c r="O1136" s="692">
        <f t="shared" si="149"/>
        <v>0</v>
      </c>
      <c r="P1136" s="690"/>
      <c r="Q1136" s="690"/>
      <c r="R1136" s="691">
        <f t="shared" si="150"/>
        <v>0</v>
      </c>
      <c r="S1136" s="692">
        <f t="shared" si="151"/>
        <v>33748100</v>
      </c>
      <c r="T1136" s="693">
        <f t="shared" si="152"/>
        <v>33731800</v>
      </c>
      <c r="U1136" s="1035"/>
      <c r="V1136" s="690"/>
      <c r="W1136" s="1025"/>
      <c r="X1136" s="1030"/>
      <c r="Y1136" s="694">
        <f t="shared" si="153"/>
        <v>0</v>
      </c>
      <c r="Z1136" s="690"/>
      <c r="AA1136" s="690"/>
      <c r="AB1136" s="695">
        <f t="shared" si="154"/>
        <v>0</v>
      </c>
      <c r="AC1136" s="1035"/>
      <c r="AD1136" s="690"/>
      <c r="AE1136" s="1025"/>
      <c r="AF1136" s="1030"/>
      <c r="AG1136" s="690"/>
      <c r="AH1136" s="690"/>
      <c r="AI1136" s="696">
        <f t="shared" si="155"/>
        <v>33748100</v>
      </c>
      <c r="AJ1136" s="697">
        <f t="shared" si="156"/>
        <v>33731800</v>
      </c>
    </row>
    <row r="1137" spans="1:36" s="700" customFormat="1" ht="12.75" customHeight="1">
      <c r="A1137" s="718" t="s">
        <v>210</v>
      </c>
      <c r="B1137" s="718" t="s">
        <v>396</v>
      </c>
      <c r="C1137" s="728" t="s">
        <v>384</v>
      </c>
      <c r="D1137" s="728"/>
      <c r="E1137" s="721">
        <v>157085</v>
      </c>
      <c r="F1137" s="722">
        <v>1</v>
      </c>
      <c r="G1137" s="1025"/>
      <c r="H1137" s="690"/>
      <c r="I1137" s="1030">
        <v>29018600</v>
      </c>
      <c r="J1137" s="690">
        <v>29878900</v>
      </c>
      <c r="K1137" s="1030"/>
      <c r="L1137" s="690"/>
      <c r="M1137" s="1025"/>
      <c r="N1137" s="1030"/>
      <c r="O1137" s="692">
        <f t="shared" si="149"/>
        <v>0</v>
      </c>
      <c r="P1137" s="690"/>
      <c r="Q1137" s="690"/>
      <c r="R1137" s="691">
        <f t="shared" si="150"/>
        <v>0</v>
      </c>
      <c r="S1137" s="692">
        <f t="shared" si="151"/>
        <v>29018600</v>
      </c>
      <c r="T1137" s="693">
        <f t="shared" si="152"/>
        <v>29878900</v>
      </c>
      <c r="U1137" s="1035"/>
      <c r="V1137" s="690"/>
      <c r="W1137" s="1025"/>
      <c r="X1137" s="1030"/>
      <c r="Y1137" s="694">
        <f t="shared" si="153"/>
        <v>0</v>
      </c>
      <c r="Z1137" s="690"/>
      <c r="AA1137" s="690"/>
      <c r="AB1137" s="695">
        <f t="shared" si="154"/>
        <v>0</v>
      </c>
      <c r="AC1137" s="1035"/>
      <c r="AD1137" s="690"/>
      <c r="AE1137" s="1025"/>
      <c r="AF1137" s="1030"/>
      <c r="AG1137" s="690"/>
      <c r="AH1137" s="690"/>
      <c r="AI1137" s="696">
        <f t="shared" si="155"/>
        <v>29018600</v>
      </c>
      <c r="AJ1137" s="697">
        <f t="shared" si="156"/>
        <v>29878900</v>
      </c>
    </row>
    <row r="1138" spans="1:36" s="700" customFormat="1" ht="12.75" customHeight="1">
      <c r="A1138" s="718" t="s">
        <v>210</v>
      </c>
      <c r="B1138" s="718" t="s">
        <v>399</v>
      </c>
      <c r="C1138" s="728" t="s">
        <v>441</v>
      </c>
      <c r="D1138" s="728"/>
      <c r="E1138" s="721">
        <v>157085</v>
      </c>
      <c r="F1138" s="722">
        <v>1</v>
      </c>
      <c r="G1138" s="1025"/>
      <c r="H1138" s="690"/>
      <c r="I1138" s="1030"/>
      <c r="J1138" s="690"/>
      <c r="K1138" s="1030"/>
      <c r="L1138" s="690"/>
      <c r="M1138" s="1025"/>
      <c r="N1138" s="1030"/>
      <c r="O1138" s="692">
        <f t="shared" si="149"/>
        <v>0</v>
      </c>
      <c r="P1138" s="690"/>
      <c r="Q1138" s="690"/>
      <c r="R1138" s="691">
        <f t="shared" si="150"/>
        <v>0</v>
      </c>
      <c r="S1138" s="692">
        <f t="shared" si="151"/>
        <v>0</v>
      </c>
      <c r="T1138" s="693">
        <f t="shared" si="152"/>
        <v>0</v>
      </c>
      <c r="U1138" s="1035"/>
      <c r="V1138" s="690"/>
      <c r="W1138" s="1025"/>
      <c r="X1138" s="1030"/>
      <c r="Y1138" s="694">
        <f t="shared" si="153"/>
        <v>0</v>
      </c>
      <c r="Z1138" s="690"/>
      <c r="AA1138" s="690"/>
      <c r="AB1138" s="695">
        <f t="shared" si="154"/>
        <v>0</v>
      </c>
      <c r="AC1138" s="1035"/>
      <c r="AD1138" s="690"/>
      <c r="AE1138" s="1025"/>
      <c r="AF1138" s="1030"/>
      <c r="AG1138" s="690"/>
      <c r="AH1138" s="690"/>
      <c r="AI1138" s="696">
        <f t="shared" si="155"/>
        <v>0</v>
      </c>
      <c r="AJ1138" s="697">
        <f t="shared" si="156"/>
        <v>0</v>
      </c>
    </row>
    <row r="1139" spans="1:36" s="700" customFormat="1" ht="12.75" customHeight="1">
      <c r="A1139" s="718" t="s">
        <v>210</v>
      </c>
      <c r="B1139" s="718" t="s">
        <v>399</v>
      </c>
      <c r="C1139" s="821" t="s">
        <v>903</v>
      </c>
      <c r="D1139" s="821"/>
      <c r="E1139" s="822">
        <v>157085</v>
      </c>
      <c r="F1139" s="722">
        <v>1</v>
      </c>
      <c r="G1139" s="1025"/>
      <c r="H1139" s="690"/>
      <c r="I1139" s="1030">
        <v>4633700</v>
      </c>
      <c r="J1139" s="690">
        <v>4512000</v>
      </c>
      <c r="K1139" s="1030"/>
      <c r="L1139" s="690"/>
      <c r="M1139" s="1025"/>
      <c r="N1139" s="1030"/>
      <c r="O1139" s="692">
        <f t="shared" si="149"/>
        <v>0</v>
      </c>
      <c r="P1139" s="690"/>
      <c r="Q1139" s="690"/>
      <c r="R1139" s="691">
        <f t="shared" si="150"/>
        <v>0</v>
      </c>
      <c r="S1139" s="692">
        <f t="shared" si="151"/>
        <v>4633700</v>
      </c>
      <c r="T1139" s="693">
        <f t="shared" si="152"/>
        <v>4512000</v>
      </c>
      <c r="U1139" s="1035"/>
      <c r="V1139" s="690"/>
      <c r="W1139" s="1025"/>
      <c r="X1139" s="1030"/>
      <c r="Y1139" s="694">
        <f t="shared" si="153"/>
        <v>0</v>
      </c>
      <c r="Z1139" s="690"/>
      <c r="AA1139" s="690"/>
      <c r="AB1139" s="695">
        <f t="shared" si="154"/>
        <v>0</v>
      </c>
      <c r="AC1139" s="1035"/>
      <c r="AD1139" s="690"/>
      <c r="AE1139" s="1025"/>
      <c r="AF1139" s="1030"/>
      <c r="AG1139" s="690"/>
      <c r="AH1139" s="690"/>
      <c r="AI1139" s="696">
        <f t="shared" si="155"/>
        <v>4633700</v>
      </c>
      <c r="AJ1139" s="697">
        <f t="shared" si="156"/>
        <v>4512000</v>
      </c>
    </row>
    <row r="1140" spans="1:36" s="700" customFormat="1" ht="12.75" customHeight="1">
      <c r="A1140" s="718" t="s">
        <v>210</v>
      </c>
      <c r="B1140" s="718" t="s">
        <v>399</v>
      </c>
      <c r="C1140" s="821" t="s">
        <v>904</v>
      </c>
      <c r="D1140" s="821"/>
      <c r="E1140" s="721">
        <v>157085</v>
      </c>
      <c r="F1140" s="722">
        <v>1</v>
      </c>
      <c r="G1140" s="1025"/>
      <c r="H1140" s="690"/>
      <c r="I1140" s="1030">
        <v>820742</v>
      </c>
      <c r="J1140" s="690">
        <v>822367</v>
      </c>
      <c r="K1140" s="1030"/>
      <c r="L1140" s="690"/>
      <c r="M1140" s="1025"/>
      <c r="N1140" s="1030"/>
      <c r="O1140" s="692">
        <f t="shared" si="149"/>
        <v>0</v>
      </c>
      <c r="P1140" s="690"/>
      <c r="Q1140" s="690"/>
      <c r="R1140" s="691">
        <f t="shared" si="150"/>
        <v>0</v>
      </c>
      <c r="S1140" s="692">
        <f t="shared" si="151"/>
        <v>820742</v>
      </c>
      <c r="T1140" s="693">
        <f t="shared" si="152"/>
        <v>822367</v>
      </c>
      <c r="U1140" s="1035"/>
      <c r="V1140" s="690"/>
      <c r="W1140" s="1025"/>
      <c r="X1140" s="1030"/>
      <c r="Y1140" s="694">
        <f t="shared" si="153"/>
        <v>0</v>
      </c>
      <c r="Z1140" s="690"/>
      <c r="AA1140" s="690"/>
      <c r="AB1140" s="695">
        <f t="shared" si="154"/>
        <v>0</v>
      </c>
      <c r="AC1140" s="1035"/>
      <c r="AD1140" s="690"/>
      <c r="AE1140" s="1025"/>
      <c r="AF1140" s="1030"/>
      <c r="AG1140" s="690"/>
      <c r="AH1140" s="690"/>
      <c r="AI1140" s="696">
        <f t="shared" si="155"/>
        <v>820742</v>
      </c>
      <c r="AJ1140" s="697">
        <f t="shared" si="156"/>
        <v>822367</v>
      </c>
    </row>
    <row r="1141" spans="1:36" s="700" customFormat="1" ht="12.75" customHeight="1">
      <c r="A1141" s="718" t="s">
        <v>210</v>
      </c>
      <c r="B1141" s="718" t="s">
        <v>399</v>
      </c>
      <c r="C1141" s="821" t="s">
        <v>902</v>
      </c>
      <c r="D1141" s="821"/>
      <c r="E1141" s="721">
        <v>157085</v>
      </c>
      <c r="F1141" s="722">
        <v>1</v>
      </c>
      <c r="G1141" s="1025"/>
      <c r="H1141" s="690"/>
      <c r="I1141" s="1030">
        <v>583500</v>
      </c>
      <c r="J1141" s="690">
        <v>554000</v>
      </c>
      <c r="K1141" s="1030"/>
      <c r="L1141" s="690"/>
      <c r="M1141" s="1025"/>
      <c r="N1141" s="1030"/>
      <c r="O1141" s="692">
        <f t="shared" si="149"/>
        <v>0</v>
      </c>
      <c r="P1141" s="690"/>
      <c r="Q1141" s="690"/>
      <c r="R1141" s="691">
        <f t="shared" si="150"/>
        <v>0</v>
      </c>
      <c r="S1141" s="692">
        <f t="shared" si="151"/>
        <v>583500</v>
      </c>
      <c r="T1141" s="693">
        <f t="shared" si="152"/>
        <v>554000</v>
      </c>
      <c r="U1141" s="1035"/>
      <c r="V1141" s="690"/>
      <c r="W1141" s="1025"/>
      <c r="X1141" s="1030"/>
      <c r="Y1141" s="694">
        <f t="shared" si="153"/>
        <v>0</v>
      </c>
      <c r="Z1141" s="690"/>
      <c r="AA1141" s="690"/>
      <c r="AB1141" s="695">
        <f t="shared" si="154"/>
        <v>0</v>
      </c>
      <c r="AC1141" s="1035"/>
      <c r="AD1141" s="690"/>
      <c r="AE1141" s="1025"/>
      <c r="AF1141" s="1030"/>
      <c r="AG1141" s="690"/>
      <c r="AH1141" s="690"/>
      <c r="AI1141" s="696">
        <f t="shared" si="155"/>
        <v>583500</v>
      </c>
      <c r="AJ1141" s="697">
        <f t="shared" si="156"/>
        <v>554000</v>
      </c>
    </row>
    <row r="1142" spans="1:36" s="700" customFormat="1" ht="12.75" customHeight="1">
      <c r="A1142" s="718" t="s">
        <v>210</v>
      </c>
      <c r="B1142" s="718" t="s">
        <v>392</v>
      </c>
      <c r="C1142" s="823" t="s">
        <v>905</v>
      </c>
      <c r="D1142" s="823"/>
      <c r="E1142" s="721">
        <v>157289</v>
      </c>
      <c r="F1142" s="722">
        <v>1</v>
      </c>
      <c r="G1142" s="1025">
        <v>125163900</v>
      </c>
      <c r="H1142" s="690">
        <v>124087400</v>
      </c>
      <c r="I1142" s="1030"/>
      <c r="J1142" s="690"/>
      <c r="K1142" s="1030"/>
      <c r="L1142" s="690"/>
      <c r="M1142" s="1025">
        <v>170194144</v>
      </c>
      <c r="N1142" s="1030"/>
      <c r="O1142" s="692">
        <f t="shared" si="149"/>
        <v>170194144</v>
      </c>
      <c r="P1142" s="690">
        <v>180039973</v>
      </c>
      <c r="Q1142" s="690"/>
      <c r="R1142" s="691">
        <f t="shared" si="150"/>
        <v>180039973</v>
      </c>
      <c r="S1142" s="692">
        <f t="shared" si="151"/>
        <v>295358044</v>
      </c>
      <c r="T1142" s="693">
        <f t="shared" si="152"/>
        <v>304127373</v>
      </c>
      <c r="U1142" s="1035"/>
      <c r="V1142" s="690"/>
      <c r="W1142" s="1025"/>
      <c r="X1142" s="1030"/>
      <c r="Y1142" s="694">
        <f t="shared" si="153"/>
        <v>0</v>
      </c>
      <c r="Z1142" s="690"/>
      <c r="AA1142" s="690"/>
      <c r="AB1142" s="695">
        <f t="shared" si="154"/>
        <v>0</v>
      </c>
      <c r="AC1142" s="1035"/>
      <c r="AD1142" s="690"/>
      <c r="AE1142" s="1025"/>
      <c r="AF1142" s="1030"/>
      <c r="AG1142" s="690"/>
      <c r="AH1142" s="690"/>
      <c r="AI1142" s="696">
        <f t="shared" si="155"/>
        <v>295358044</v>
      </c>
      <c r="AJ1142" s="697">
        <f t="shared" si="156"/>
        <v>304127373</v>
      </c>
    </row>
    <row r="1143" spans="1:36" s="700" customFormat="1" ht="12.75" customHeight="1">
      <c r="A1143" s="718" t="s">
        <v>210</v>
      </c>
      <c r="B1143" s="718" t="s">
        <v>408</v>
      </c>
      <c r="C1143" s="821" t="s">
        <v>713</v>
      </c>
      <c r="D1143" s="821"/>
      <c r="E1143" s="721">
        <v>157289</v>
      </c>
      <c r="F1143" s="722">
        <v>1</v>
      </c>
      <c r="G1143" s="1025"/>
      <c r="H1143" s="690"/>
      <c r="I1143" s="1030"/>
      <c r="J1143" s="690"/>
      <c r="K1143" s="1030"/>
      <c r="L1143" s="690"/>
      <c r="M1143" s="1025"/>
      <c r="N1143" s="1030"/>
      <c r="O1143" s="692">
        <f t="shared" si="149"/>
        <v>0</v>
      </c>
      <c r="P1143" s="690"/>
      <c r="Q1143" s="690"/>
      <c r="R1143" s="691">
        <f t="shared" si="150"/>
        <v>0</v>
      </c>
      <c r="S1143" s="692">
        <f t="shared" si="151"/>
        <v>0</v>
      </c>
      <c r="T1143" s="693">
        <f t="shared" si="152"/>
        <v>0</v>
      </c>
      <c r="U1143" s="1035"/>
      <c r="V1143" s="690"/>
      <c r="W1143" s="1025"/>
      <c r="X1143" s="1030"/>
      <c r="Y1143" s="694">
        <f t="shared" si="153"/>
        <v>0</v>
      </c>
      <c r="Z1143" s="690"/>
      <c r="AA1143" s="690"/>
      <c r="AB1143" s="695">
        <f t="shared" si="154"/>
        <v>0</v>
      </c>
      <c r="AC1143" s="1035">
        <v>36274500</v>
      </c>
      <c r="AD1143" s="690">
        <v>40071600</v>
      </c>
      <c r="AE1143" s="1025">
        <v>29164756</v>
      </c>
      <c r="AF1143" s="1030"/>
      <c r="AG1143" s="690">
        <v>33162927</v>
      </c>
      <c r="AH1143" s="690"/>
      <c r="AI1143" s="696">
        <f t="shared" si="155"/>
        <v>65439256</v>
      </c>
      <c r="AJ1143" s="697">
        <f t="shared" si="156"/>
        <v>73234527</v>
      </c>
    </row>
    <row r="1144" spans="1:36" s="700" customFormat="1" ht="12.75" customHeight="1">
      <c r="A1144" s="718" t="s">
        <v>210</v>
      </c>
      <c r="B1144" s="718" t="s">
        <v>394</v>
      </c>
      <c r="C1144" s="728" t="s">
        <v>793</v>
      </c>
      <c r="D1144" s="728"/>
      <c r="E1144" s="721">
        <v>157289</v>
      </c>
      <c r="F1144" s="722">
        <v>1</v>
      </c>
      <c r="G1144" s="1025"/>
      <c r="H1144" s="690"/>
      <c r="I1144" s="1030"/>
      <c r="J1144" s="690"/>
      <c r="K1144" s="1030"/>
      <c r="L1144" s="690"/>
      <c r="M1144" s="1025"/>
      <c r="N1144" s="1030"/>
      <c r="O1144" s="692">
        <f t="shared" si="149"/>
        <v>0</v>
      </c>
      <c r="P1144" s="690"/>
      <c r="Q1144" s="690"/>
      <c r="R1144" s="691">
        <f t="shared" si="150"/>
        <v>0</v>
      </c>
      <c r="S1144" s="692">
        <f t="shared" si="151"/>
        <v>0</v>
      </c>
      <c r="T1144" s="693">
        <f t="shared" si="152"/>
        <v>0</v>
      </c>
      <c r="U1144" s="1035"/>
      <c r="V1144" s="690"/>
      <c r="W1144" s="1025"/>
      <c r="X1144" s="1030"/>
      <c r="Y1144" s="694">
        <f t="shared" si="153"/>
        <v>0</v>
      </c>
      <c r="Z1144" s="690"/>
      <c r="AA1144" s="690"/>
      <c r="AB1144" s="695">
        <f t="shared" si="154"/>
        <v>0</v>
      </c>
      <c r="AC1144" s="1035"/>
      <c r="AD1144" s="690"/>
      <c r="AE1144" s="1025"/>
      <c r="AF1144" s="1030"/>
      <c r="AG1144" s="690"/>
      <c r="AH1144" s="690"/>
      <c r="AI1144" s="696">
        <f t="shared" si="155"/>
        <v>0</v>
      </c>
      <c r="AJ1144" s="697">
        <f t="shared" si="156"/>
        <v>0</v>
      </c>
    </row>
    <row r="1145" spans="1:36" s="700" customFormat="1" ht="12.75" customHeight="1">
      <c r="A1145" s="718" t="s">
        <v>210</v>
      </c>
      <c r="B1145" s="718" t="s">
        <v>394</v>
      </c>
      <c r="C1145" s="728" t="s">
        <v>906</v>
      </c>
      <c r="D1145" s="728"/>
      <c r="E1145" s="721">
        <v>157289</v>
      </c>
      <c r="F1145" s="722">
        <v>1</v>
      </c>
      <c r="G1145" s="1025"/>
      <c r="H1145" s="690"/>
      <c r="I1145" s="1030">
        <v>824500</v>
      </c>
      <c r="J1145" s="690">
        <v>828000</v>
      </c>
      <c r="K1145" s="1030"/>
      <c r="L1145" s="690"/>
      <c r="M1145" s="1025"/>
      <c r="N1145" s="1030"/>
      <c r="O1145" s="692">
        <f t="shared" si="149"/>
        <v>0</v>
      </c>
      <c r="P1145" s="690"/>
      <c r="Q1145" s="690"/>
      <c r="R1145" s="691">
        <f t="shared" si="150"/>
        <v>0</v>
      </c>
      <c r="S1145" s="692">
        <f t="shared" si="151"/>
        <v>824500</v>
      </c>
      <c r="T1145" s="693">
        <f t="shared" si="152"/>
        <v>828000</v>
      </c>
      <c r="U1145" s="1035"/>
      <c r="V1145" s="690"/>
      <c r="W1145" s="1025"/>
      <c r="X1145" s="1030"/>
      <c r="Y1145" s="694">
        <f t="shared" si="153"/>
        <v>0</v>
      </c>
      <c r="Z1145" s="690"/>
      <c r="AA1145" s="690"/>
      <c r="AB1145" s="695">
        <f t="shared" si="154"/>
        <v>0</v>
      </c>
      <c r="AC1145" s="1035"/>
      <c r="AD1145" s="690"/>
      <c r="AE1145" s="1025"/>
      <c r="AF1145" s="1030"/>
      <c r="AG1145" s="690"/>
      <c r="AH1145" s="690"/>
      <c r="AI1145" s="696">
        <f t="shared" si="155"/>
        <v>824500</v>
      </c>
      <c r="AJ1145" s="697">
        <f t="shared" si="156"/>
        <v>828000</v>
      </c>
    </row>
    <row r="1146" spans="1:36" s="700" customFormat="1" ht="12.75" customHeight="1">
      <c r="A1146" s="718" t="s">
        <v>210</v>
      </c>
      <c r="B1146" s="718" t="s">
        <v>394</v>
      </c>
      <c r="C1146" s="821" t="s">
        <v>907</v>
      </c>
      <c r="D1146" s="821"/>
      <c r="E1146" s="721">
        <v>157289</v>
      </c>
      <c r="F1146" s="722">
        <v>1</v>
      </c>
      <c r="G1146" s="1025"/>
      <c r="H1146" s="690"/>
      <c r="I1146" s="1030">
        <v>284700</v>
      </c>
      <c r="J1146" s="690">
        <v>147000</v>
      </c>
      <c r="K1146" s="1030"/>
      <c r="L1146" s="690"/>
      <c r="M1146" s="1025"/>
      <c r="N1146" s="1030"/>
      <c r="O1146" s="692">
        <f t="shared" si="149"/>
        <v>0</v>
      </c>
      <c r="P1146" s="690"/>
      <c r="Q1146" s="690"/>
      <c r="R1146" s="691">
        <f t="shared" si="150"/>
        <v>0</v>
      </c>
      <c r="S1146" s="692">
        <f t="shared" si="151"/>
        <v>284700</v>
      </c>
      <c r="T1146" s="693">
        <f t="shared" si="152"/>
        <v>147000</v>
      </c>
      <c r="U1146" s="1035"/>
      <c r="V1146" s="690"/>
      <c r="W1146" s="1025"/>
      <c r="X1146" s="1030"/>
      <c r="Y1146" s="694">
        <f t="shared" si="153"/>
        <v>0</v>
      </c>
      <c r="Z1146" s="690"/>
      <c r="AA1146" s="690"/>
      <c r="AB1146" s="695">
        <f t="shared" si="154"/>
        <v>0</v>
      </c>
      <c r="AC1146" s="1035"/>
      <c r="AD1146" s="690"/>
      <c r="AE1146" s="1025"/>
      <c r="AF1146" s="1030"/>
      <c r="AG1146" s="690"/>
      <c r="AH1146" s="690"/>
      <c r="AI1146" s="696">
        <f t="shared" si="155"/>
        <v>284700</v>
      </c>
      <c r="AJ1146" s="697">
        <f t="shared" si="156"/>
        <v>147000</v>
      </c>
    </row>
    <row r="1147" spans="1:36" s="700" customFormat="1" ht="12.75" customHeight="1">
      <c r="A1147" s="718" t="s">
        <v>210</v>
      </c>
      <c r="B1147" s="718" t="s">
        <v>399</v>
      </c>
      <c r="C1147" s="728" t="s">
        <v>441</v>
      </c>
      <c r="D1147" s="728"/>
      <c r="E1147" s="721">
        <v>157289</v>
      </c>
      <c r="F1147" s="722">
        <v>1</v>
      </c>
      <c r="G1147" s="1025"/>
      <c r="H1147" s="690"/>
      <c r="I1147" s="1030"/>
      <c r="J1147" s="690"/>
      <c r="K1147" s="1030"/>
      <c r="L1147" s="690"/>
      <c r="M1147" s="1025"/>
      <c r="N1147" s="1030"/>
      <c r="O1147" s="692">
        <f t="shared" si="149"/>
        <v>0</v>
      </c>
      <c r="P1147" s="690"/>
      <c r="Q1147" s="690"/>
      <c r="R1147" s="691">
        <f t="shared" si="150"/>
        <v>0</v>
      </c>
      <c r="S1147" s="692">
        <f t="shared" si="151"/>
        <v>0</v>
      </c>
      <c r="T1147" s="693">
        <f t="shared" si="152"/>
        <v>0</v>
      </c>
      <c r="U1147" s="1035"/>
      <c r="V1147" s="690"/>
      <c r="W1147" s="1025"/>
      <c r="X1147" s="1030"/>
      <c r="Y1147" s="694">
        <f t="shared" si="153"/>
        <v>0</v>
      </c>
      <c r="Z1147" s="690"/>
      <c r="AA1147" s="690"/>
      <c r="AB1147" s="695">
        <f t="shared" si="154"/>
        <v>0</v>
      </c>
      <c r="AC1147" s="1035"/>
      <c r="AD1147" s="690"/>
      <c r="AE1147" s="1025"/>
      <c r="AF1147" s="1030"/>
      <c r="AG1147" s="690"/>
      <c r="AH1147" s="690"/>
      <c r="AI1147" s="696">
        <f t="shared" si="155"/>
        <v>0</v>
      </c>
      <c r="AJ1147" s="697">
        <f t="shared" si="156"/>
        <v>0</v>
      </c>
    </row>
    <row r="1148" spans="1:36" s="700" customFormat="1" ht="12.75" customHeight="1">
      <c r="A1148" s="718" t="s">
        <v>210</v>
      </c>
      <c r="B1148" s="718" t="s">
        <v>392</v>
      </c>
      <c r="C1148" s="823" t="s">
        <v>908</v>
      </c>
      <c r="D1148" s="823"/>
      <c r="E1148" s="721">
        <v>156620</v>
      </c>
      <c r="F1148" s="722">
        <v>3</v>
      </c>
      <c r="G1148" s="1025">
        <v>68663500</v>
      </c>
      <c r="H1148" s="690">
        <v>70262600</v>
      </c>
      <c r="I1148" s="1030"/>
      <c r="J1148" s="690"/>
      <c r="K1148" s="1030"/>
      <c r="L1148" s="690"/>
      <c r="M1148" s="1025">
        <v>111554300</v>
      </c>
      <c r="N1148" s="1030"/>
      <c r="O1148" s="692">
        <f t="shared" si="149"/>
        <v>111554300</v>
      </c>
      <c r="P1148" s="690">
        <v>116993000</v>
      </c>
      <c r="Q1148" s="690"/>
      <c r="R1148" s="691">
        <f t="shared" si="150"/>
        <v>116993000</v>
      </c>
      <c r="S1148" s="692">
        <f t="shared" si="151"/>
        <v>180217800</v>
      </c>
      <c r="T1148" s="693">
        <f t="shared" si="152"/>
        <v>187255600</v>
      </c>
      <c r="U1148" s="1035"/>
      <c r="V1148" s="690"/>
      <c r="W1148" s="1025"/>
      <c r="X1148" s="1030"/>
      <c r="Y1148" s="694">
        <f t="shared" si="153"/>
        <v>0</v>
      </c>
      <c r="Z1148" s="690"/>
      <c r="AA1148" s="690"/>
      <c r="AB1148" s="695">
        <f t="shared" si="154"/>
        <v>0</v>
      </c>
      <c r="AC1148" s="1035"/>
      <c r="AD1148" s="690"/>
      <c r="AE1148" s="1025"/>
      <c r="AF1148" s="1030"/>
      <c r="AG1148" s="690"/>
      <c r="AH1148" s="690"/>
      <c r="AI1148" s="696">
        <f t="shared" si="155"/>
        <v>180217800</v>
      </c>
      <c r="AJ1148" s="697">
        <f t="shared" si="156"/>
        <v>187255600</v>
      </c>
    </row>
    <row r="1149" spans="1:36" s="700" customFormat="1" ht="12.75" customHeight="1">
      <c r="A1149" s="718" t="s">
        <v>210</v>
      </c>
      <c r="B1149" s="718" t="s">
        <v>392</v>
      </c>
      <c r="C1149" s="823" t="s">
        <v>909</v>
      </c>
      <c r="D1149" s="823"/>
      <c r="E1149" s="721">
        <v>157401</v>
      </c>
      <c r="F1149" s="722">
        <v>3</v>
      </c>
      <c r="G1149" s="1025">
        <v>45916200</v>
      </c>
      <c r="H1149" s="690">
        <v>47058700</v>
      </c>
      <c r="I1149" s="1030"/>
      <c r="J1149" s="690"/>
      <c r="K1149" s="1030"/>
      <c r="L1149" s="690"/>
      <c r="M1149" s="1025">
        <v>82956200</v>
      </c>
      <c r="N1149" s="1030"/>
      <c r="O1149" s="692">
        <f t="shared" si="149"/>
        <v>82956200</v>
      </c>
      <c r="P1149" s="690">
        <v>84866700</v>
      </c>
      <c r="Q1149" s="690"/>
      <c r="R1149" s="691">
        <f t="shared" si="150"/>
        <v>84866700</v>
      </c>
      <c r="S1149" s="692">
        <f t="shared" si="151"/>
        <v>128872400</v>
      </c>
      <c r="T1149" s="693">
        <f t="shared" si="152"/>
        <v>131925400</v>
      </c>
      <c r="U1149" s="1035"/>
      <c r="V1149" s="690"/>
      <c r="W1149" s="1025"/>
      <c r="X1149" s="1030"/>
      <c r="Y1149" s="694">
        <f t="shared" si="153"/>
        <v>0</v>
      </c>
      <c r="Z1149" s="690"/>
      <c r="AA1149" s="690"/>
      <c r="AB1149" s="695">
        <f t="shared" si="154"/>
        <v>0</v>
      </c>
      <c r="AC1149" s="1035"/>
      <c r="AD1149" s="690"/>
      <c r="AE1149" s="1025"/>
      <c r="AF1149" s="1030"/>
      <c r="AG1149" s="690"/>
      <c r="AH1149" s="690"/>
      <c r="AI1149" s="696">
        <f t="shared" si="155"/>
        <v>128872400</v>
      </c>
      <c r="AJ1149" s="697">
        <f t="shared" si="156"/>
        <v>131925400</v>
      </c>
    </row>
    <row r="1150" spans="1:36" s="700" customFormat="1" ht="12.75" customHeight="1">
      <c r="A1150" s="718" t="s">
        <v>210</v>
      </c>
      <c r="B1150" s="718" t="s">
        <v>394</v>
      </c>
      <c r="C1150" s="728" t="s">
        <v>451</v>
      </c>
      <c r="D1150" s="728"/>
      <c r="E1150" s="721">
        <v>157401</v>
      </c>
      <c r="F1150" s="722">
        <v>3</v>
      </c>
      <c r="G1150" s="1025"/>
      <c r="H1150" s="690"/>
      <c r="I1150" s="1030"/>
      <c r="J1150" s="690"/>
      <c r="K1150" s="1030"/>
      <c r="L1150" s="690"/>
      <c r="M1150" s="1025"/>
      <c r="N1150" s="1030"/>
      <c r="O1150" s="692">
        <f t="shared" si="149"/>
        <v>0</v>
      </c>
      <c r="P1150" s="690"/>
      <c r="Q1150" s="690"/>
      <c r="R1150" s="691">
        <f t="shared" si="150"/>
        <v>0</v>
      </c>
      <c r="S1150" s="692">
        <f t="shared" si="151"/>
        <v>0</v>
      </c>
      <c r="T1150" s="693">
        <f t="shared" si="152"/>
        <v>0</v>
      </c>
      <c r="U1150" s="1035"/>
      <c r="V1150" s="690"/>
      <c r="W1150" s="1025"/>
      <c r="X1150" s="1030"/>
      <c r="Y1150" s="694">
        <f t="shared" si="153"/>
        <v>0</v>
      </c>
      <c r="Z1150" s="690"/>
      <c r="AA1150" s="690"/>
      <c r="AB1150" s="695">
        <f t="shared" si="154"/>
        <v>0</v>
      </c>
      <c r="AC1150" s="1035"/>
      <c r="AD1150" s="690"/>
      <c r="AE1150" s="1025"/>
      <c r="AF1150" s="1030"/>
      <c r="AG1150" s="690"/>
      <c r="AH1150" s="690"/>
      <c r="AI1150" s="696">
        <f t="shared" si="155"/>
        <v>0</v>
      </c>
      <c r="AJ1150" s="697">
        <f t="shared" si="156"/>
        <v>0</v>
      </c>
    </row>
    <row r="1151" spans="1:36" s="700" customFormat="1" ht="12.75" customHeight="1">
      <c r="A1151" s="718" t="s">
        <v>210</v>
      </c>
      <c r="B1151" s="718" t="s">
        <v>394</v>
      </c>
      <c r="C1151" s="821" t="s">
        <v>910</v>
      </c>
      <c r="D1151" s="821"/>
      <c r="E1151" s="721">
        <v>157401</v>
      </c>
      <c r="F1151" s="722">
        <v>3</v>
      </c>
      <c r="G1151" s="1025"/>
      <c r="H1151" s="690"/>
      <c r="I1151" s="1030">
        <v>2497600</v>
      </c>
      <c r="J1151" s="690">
        <v>2854000</v>
      </c>
      <c r="K1151" s="1030"/>
      <c r="L1151" s="690"/>
      <c r="M1151" s="1025"/>
      <c r="N1151" s="1030"/>
      <c r="O1151" s="692">
        <f t="shared" si="149"/>
        <v>0</v>
      </c>
      <c r="P1151" s="690"/>
      <c r="Q1151" s="690"/>
      <c r="R1151" s="691">
        <f t="shared" si="150"/>
        <v>0</v>
      </c>
      <c r="S1151" s="692">
        <f t="shared" si="151"/>
        <v>2497600</v>
      </c>
      <c r="T1151" s="693">
        <f t="shared" si="152"/>
        <v>2854000</v>
      </c>
      <c r="U1151" s="1035"/>
      <c r="V1151" s="690"/>
      <c r="W1151" s="1025"/>
      <c r="X1151" s="1030"/>
      <c r="Y1151" s="694">
        <f t="shared" si="153"/>
        <v>0</v>
      </c>
      <c r="Z1151" s="690"/>
      <c r="AA1151" s="690"/>
      <c r="AB1151" s="695">
        <f t="shared" si="154"/>
        <v>0</v>
      </c>
      <c r="AC1151" s="1035"/>
      <c r="AD1151" s="690"/>
      <c r="AE1151" s="1025"/>
      <c r="AF1151" s="1030"/>
      <c r="AG1151" s="690"/>
      <c r="AH1151" s="690"/>
      <c r="AI1151" s="696">
        <f t="shared" si="155"/>
        <v>2497600</v>
      </c>
      <c r="AJ1151" s="697">
        <f t="shared" si="156"/>
        <v>2854000</v>
      </c>
    </row>
    <row r="1152" spans="1:36" s="700" customFormat="1" ht="12.75" customHeight="1">
      <c r="A1152" s="718" t="s">
        <v>210</v>
      </c>
      <c r="B1152" s="718" t="s">
        <v>392</v>
      </c>
      <c r="C1152" s="823" t="s">
        <v>911</v>
      </c>
      <c r="D1152" s="823"/>
      <c r="E1152" s="721">
        <v>157951</v>
      </c>
      <c r="F1152" s="722">
        <v>3</v>
      </c>
      <c r="G1152" s="1025">
        <v>70967600</v>
      </c>
      <c r="H1152" s="690">
        <v>72588200</v>
      </c>
      <c r="I1152" s="1030"/>
      <c r="J1152" s="690"/>
      <c r="K1152" s="1030"/>
      <c r="L1152" s="690"/>
      <c r="M1152" s="1025">
        <v>142338000</v>
      </c>
      <c r="N1152" s="1030"/>
      <c r="O1152" s="692">
        <f t="shared" si="149"/>
        <v>142338000</v>
      </c>
      <c r="P1152" s="690">
        <v>155685000</v>
      </c>
      <c r="Q1152" s="690"/>
      <c r="R1152" s="691">
        <f t="shared" si="150"/>
        <v>155685000</v>
      </c>
      <c r="S1152" s="692">
        <f t="shared" si="151"/>
        <v>213305600</v>
      </c>
      <c r="T1152" s="693">
        <f t="shared" si="152"/>
        <v>228273200</v>
      </c>
      <c r="U1152" s="1035"/>
      <c r="V1152" s="690"/>
      <c r="W1152" s="1025"/>
      <c r="X1152" s="1030"/>
      <c r="Y1152" s="694">
        <f t="shared" si="153"/>
        <v>0</v>
      </c>
      <c r="Z1152" s="690"/>
      <c r="AA1152" s="690"/>
      <c r="AB1152" s="695">
        <f t="shared" si="154"/>
        <v>0</v>
      </c>
      <c r="AC1152" s="1035"/>
      <c r="AD1152" s="690"/>
      <c r="AE1152" s="1025"/>
      <c r="AF1152" s="1030"/>
      <c r="AG1152" s="690"/>
      <c r="AH1152" s="690"/>
      <c r="AI1152" s="696">
        <f t="shared" si="155"/>
        <v>213305600</v>
      </c>
      <c r="AJ1152" s="697">
        <f t="shared" si="156"/>
        <v>228273200</v>
      </c>
    </row>
    <row r="1153" spans="1:36" s="700" customFormat="1" ht="12.75" customHeight="1">
      <c r="A1153" s="718" t="s">
        <v>210</v>
      </c>
      <c r="B1153" s="718" t="s">
        <v>394</v>
      </c>
      <c r="C1153" s="728" t="s">
        <v>451</v>
      </c>
      <c r="D1153" s="728"/>
      <c r="E1153" s="721">
        <v>157951</v>
      </c>
      <c r="F1153" s="722">
        <v>3</v>
      </c>
      <c r="G1153" s="1025"/>
      <c r="H1153" s="690"/>
      <c r="I1153" s="1030"/>
      <c r="J1153" s="690"/>
      <c r="K1153" s="1030"/>
      <c r="L1153" s="690"/>
      <c r="M1153" s="1025"/>
      <c r="N1153" s="1030"/>
      <c r="O1153" s="692">
        <f t="shared" si="149"/>
        <v>0</v>
      </c>
      <c r="P1153" s="690"/>
      <c r="Q1153" s="690"/>
      <c r="R1153" s="691">
        <f t="shared" si="150"/>
        <v>0</v>
      </c>
      <c r="S1153" s="692">
        <f t="shared" si="151"/>
        <v>0</v>
      </c>
      <c r="T1153" s="693">
        <f t="shared" si="152"/>
        <v>0</v>
      </c>
      <c r="U1153" s="1035"/>
      <c r="V1153" s="690"/>
      <c r="W1153" s="1025"/>
      <c r="X1153" s="1030"/>
      <c r="Y1153" s="694">
        <f t="shared" si="153"/>
        <v>0</v>
      </c>
      <c r="Z1153" s="690"/>
      <c r="AA1153" s="690"/>
      <c r="AB1153" s="695">
        <f t="shared" si="154"/>
        <v>0</v>
      </c>
      <c r="AC1153" s="1035"/>
      <c r="AD1153" s="690"/>
      <c r="AE1153" s="1025"/>
      <c r="AF1153" s="1030"/>
      <c r="AG1153" s="690"/>
      <c r="AH1153" s="690"/>
      <c r="AI1153" s="696">
        <f t="shared" si="155"/>
        <v>0</v>
      </c>
      <c r="AJ1153" s="697">
        <f t="shared" si="156"/>
        <v>0</v>
      </c>
    </row>
    <row r="1154" spans="1:36" s="700" customFormat="1" ht="12.75" customHeight="1">
      <c r="A1154" s="718" t="s">
        <v>210</v>
      </c>
      <c r="B1154" s="718" t="s">
        <v>394</v>
      </c>
      <c r="C1154" s="821" t="s">
        <v>912</v>
      </c>
      <c r="D1154" s="821"/>
      <c r="E1154" s="721">
        <v>157951</v>
      </c>
      <c r="F1154" s="722">
        <v>3</v>
      </c>
      <c r="G1154" s="1025"/>
      <c r="H1154" s="690"/>
      <c r="I1154" s="1030">
        <v>2630100</v>
      </c>
      <c r="J1154" s="690">
        <v>2657600</v>
      </c>
      <c r="K1154" s="1030"/>
      <c r="L1154" s="690"/>
      <c r="M1154" s="1025"/>
      <c r="N1154" s="1030"/>
      <c r="O1154" s="692">
        <f t="shared" si="149"/>
        <v>0</v>
      </c>
      <c r="P1154" s="690"/>
      <c r="Q1154" s="690"/>
      <c r="R1154" s="691">
        <f t="shared" si="150"/>
        <v>0</v>
      </c>
      <c r="S1154" s="692">
        <f t="shared" si="151"/>
        <v>2630100</v>
      </c>
      <c r="T1154" s="693">
        <f t="shared" si="152"/>
        <v>2657600</v>
      </c>
      <c r="U1154" s="1035"/>
      <c r="V1154" s="690"/>
      <c r="W1154" s="1025"/>
      <c r="X1154" s="1030"/>
      <c r="Y1154" s="694">
        <f t="shared" si="153"/>
        <v>0</v>
      </c>
      <c r="Z1154" s="690"/>
      <c r="AA1154" s="690"/>
      <c r="AB1154" s="695">
        <f t="shared" si="154"/>
        <v>0</v>
      </c>
      <c r="AC1154" s="1035"/>
      <c r="AD1154" s="690"/>
      <c r="AE1154" s="1025"/>
      <c r="AF1154" s="1030"/>
      <c r="AG1154" s="690"/>
      <c r="AH1154" s="690"/>
      <c r="AI1154" s="696">
        <f t="shared" si="155"/>
        <v>2630100</v>
      </c>
      <c r="AJ1154" s="697">
        <f t="shared" si="156"/>
        <v>2657600</v>
      </c>
    </row>
    <row r="1155" spans="1:36" s="700" customFormat="1" ht="12.75" customHeight="1">
      <c r="A1155" s="718" t="s">
        <v>210</v>
      </c>
      <c r="B1155" s="718" t="s">
        <v>392</v>
      </c>
      <c r="C1155" s="1061" t="s">
        <v>913</v>
      </c>
      <c r="D1155" s="1107" t="s">
        <v>1943</v>
      </c>
      <c r="E1155" s="721">
        <v>157386</v>
      </c>
      <c r="F1155" s="1044">
        <v>3</v>
      </c>
      <c r="G1155" s="1025">
        <v>40453700</v>
      </c>
      <c r="H1155" s="690">
        <v>41445900</v>
      </c>
      <c r="I1155" s="1030"/>
      <c r="J1155" s="690"/>
      <c r="K1155" s="1030"/>
      <c r="L1155" s="690"/>
      <c r="M1155" s="1025">
        <v>55529900</v>
      </c>
      <c r="N1155" s="1030"/>
      <c r="O1155" s="692">
        <f t="shared" si="149"/>
        <v>55529900</v>
      </c>
      <c r="P1155" s="690">
        <v>58792500</v>
      </c>
      <c r="Q1155" s="690"/>
      <c r="R1155" s="691">
        <f t="shared" si="150"/>
        <v>58792500</v>
      </c>
      <c r="S1155" s="692">
        <f t="shared" si="151"/>
        <v>95983600</v>
      </c>
      <c r="T1155" s="693">
        <f t="shared" si="152"/>
        <v>100238400</v>
      </c>
      <c r="U1155" s="1035"/>
      <c r="V1155" s="690"/>
      <c r="W1155" s="1025"/>
      <c r="X1155" s="1030"/>
      <c r="Y1155" s="694">
        <f t="shared" si="153"/>
        <v>0</v>
      </c>
      <c r="Z1155" s="690"/>
      <c r="AA1155" s="690"/>
      <c r="AB1155" s="695">
        <f t="shared" si="154"/>
        <v>0</v>
      </c>
      <c r="AC1155" s="1035"/>
      <c r="AD1155" s="690"/>
      <c r="AE1155" s="1025"/>
      <c r="AF1155" s="1030"/>
      <c r="AG1155" s="690"/>
      <c r="AH1155" s="690"/>
      <c r="AI1155" s="696">
        <f t="shared" si="155"/>
        <v>95983600</v>
      </c>
      <c r="AJ1155" s="697">
        <f t="shared" si="156"/>
        <v>100238400</v>
      </c>
    </row>
    <row r="1156" spans="1:36" s="700" customFormat="1" ht="12.75" customHeight="1">
      <c r="A1156" s="718" t="s">
        <v>210</v>
      </c>
      <c r="B1156" s="718" t="s">
        <v>394</v>
      </c>
      <c r="C1156" s="728" t="s">
        <v>793</v>
      </c>
      <c r="D1156" s="728"/>
      <c r="E1156" s="721">
        <v>157386</v>
      </c>
      <c r="F1156" s="1044">
        <v>3</v>
      </c>
      <c r="G1156" s="1025"/>
      <c r="H1156" s="690"/>
      <c r="I1156" s="1030"/>
      <c r="J1156" s="690"/>
      <c r="K1156" s="1030"/>
      <c r="L1156" s="690"/>
      <c r="M1156" s="1025"/>
      <c r="N1156" s="1030"/>
      <c r="O1156" s="692">
        <f t="shared" si="149"/>
        <v>0</v>
      </c>
      <c r="P1156" s="690"/>
      <c r="Q1156" s="690"/>
      <c r="R1156" s="691">
        <f t="shared" si="150"/>
        <v>0</v>
      </c>
      <c r="S1156" s="692">
        <f t="shared" si="151"/>
        <v>0</v>
      </c>
      <c r="T1156" s="693">
        <f t="shared" si="152"/>
        <v>0</v>
      </c>
      <c r="U1156" s="1035"/>
      <c r="V1156" s="690"/>
      <c r="W1156" s="1025"/>
      <c r="X1156" s="1030"/>
      <c r="Y1156" s="694">
        <f t="shared" si="153"/>
        <v>0</v>
      </c>
      <c r="Z1156" s="690"/>
      <c r="AA1156" s="690"/>
      <c r="AB1156" s="695">
        <f t="shared" si="154"/>
        <v>0</v>
      </c>
      <c r="AC1156" s="1035"/>
      <c r="AD1156" s="690"/>
      <c r="AE1156" s="1025"/>
      <c r="AF1156" s="1030"/>
      <c r="AG1156" s="690"/>
      <c r="AH1156" s="690"/>
      <c r="AI1156" s="696">
        <f t="shared" si="155"/>
        <v>0</v>
      </c>
      <c r="AJ1156" s="697">
        <f t="shared" si="156"/>
        <v>0</v>
      </c>
    </row>
    <row r="1157" spans="1:36" s="700" customFormat="1" ht="12.75" customHeight="1">
      <c r="A1157" s="718" t="s">
        <v>210</v>
      </c>
      <c r="B1157" s="718" t="s">
        <v>394</v>
      </c>
      <c r="C1157" s="821" t="s">
        <v>914</v>
      </c>
      <c r="D1157" s="821"/>
      <c r="E1157" s="721">
        <v>157386</v>
      </c>
      <c r="F1157" s="1044">
        <v>3</v>
      </c>
      <c r="G1157" s="1025"/>
      <c r="H1157" s="690"/>
      <c r="I1157" s="1030">
        <v>982800</v>
      </c>
      <c r="J1157" s="690">
        <v>982800</v>
      </c>
      <c r="K1157" s="1030"/>
      <c r="L1157" s="690"/>
      <c r="M1157" s="1025"/>
      <c r="N1157" s="1030"/>
      <c r="O1157" s="692">
        <f t="shared" si="149"/>
        <v>0</v>
      </c>
      <c r="P1157" s="690"/>
      <c r="Q1157" s="690"/>
      <c r="R1157" s="691">
        <f t="shared" si="150"/>
        <v>0</v>
      </c>
      <c r="S1157" s="692">
        <f t="shared" si="151"/>
        <v>982800</v>
      </c>
      <c r="T1157" s="693">
        <f t="shared" si="152"/>
        <v>982800</v>
      </c>
      <c r="U1157" s="1035"/>
      <c r="V1157" s="690"/>
      <c r="W1157" s="1025"/>
      <c r="X1157" s="1030"/>
      <c r="Y1157" s="694">
        <f t="shared" si="153"/>
        <v>0</v>
      </c>
      <c r="Z1157" s="690"/>
      <c r="AA1157" s="690"/>
      <c r="AB1157" s="695">
        <f t="shared" si="154"/>
        <v>0</v>
      </c>
      <c r="AC1157" s="1035"/>
      <c r="AD1157" s="690"/>
      <c r="AE1157" s="1025"/>
      <c r="AF1157" s="1030"/>
      <c r="AG1157" s="690"/>
      <c r="AH1157" s="690"/>
      <c r="AI1157" s="696">
        <f t="shared" si="155"/>
        <v>982800</v>
      </c>
      <c r="AJ1157" s="697">
        <f t="shared" si="156"/>
        <v>982800</v>
      </c>
    </row>
    <row r="1158" spans="1:36" s="700" customFormat="1" ht="12.75" customHeight="1">
      <c r="A1158" s="718" t="s">
        <v>210</v>
      </c>
      <c r="B1158" s="718" t="s">
        <v>399</v>
      </c>
      <c r="C1158" s="728" t="s">
        <v>441</v>
      </c>
      <c r="D1158" s="728"/>
      <c r="E1158" s="721">
        <v>157386</v>
      </c>
      <c r="F1158" s="1044">
        <v>3</v>
      </c>
      <c r="G1158" s="1025"/>
      <c r="H1158" s="690"/>
      <c r="I1158" s="1030"/>
      <c r="J1158" s="690"/>
      <c r="K1158" s="1030"/>
      <c r="L1158" s="690"/>
      <c r="M1158" s="1025"/>
      <c r="N1158" s="1030"/>
      <c r="O1158" s="692">
        <f t="shared" si="149"/>
        <v>0</v>
      </c>
      <c r="P1158" s="690"/>
      <c r="Q1158" s="690"/>
      <c r="R1158" s="691">
        <f t="shared" si="150"/>
        <v>0</v>
      </c>
      <c r="S1158" s="692">
        <f t="shared" si="151"/>
        <v>0</v>
      </c>
      <c r="T1158" s="693">
        <f t="shared" si="152"/>
        <v>0</v>
      </c>
      <c r="U1158" s="1035"/>
      <c r="V1158" s="690"/>
      <c r="W1158" s="1025"/>
      <c r="X1158" s="1030"/>
      <c r="Y1158" s="694">
        <f t="shared" si="153"/>
        <v>0</v>
      </c>
      <c r="Z1158" s="690"/>
      <c r="AA1158" s="690"/>
      <c r="AB1158" s="695">
        <f t="shared" si="154"/>
        <v>0</v>
      </c>
      <c r="AC1158" s="1035"/>
      <c r="AD1158" s="690"/>
      <c r="AE1158" s="1025"/>
      <c r="AF1158" s="1030"/>
      <c r="AG1158" s="690"/>
      <c r="AH1158" s="690"/>
      <c r="AI1158" s="696">
        <f t="shared" si="155"/>
        <v>0</v>
      </c>
      <c r="AJ1158" s="697">
        <f t="shared" si="156"/>
        <v>0</v>
      </c>
    </row>
    <row r="1159" spans="1:36" s="700" customFormat="1" ht="12.75" customHeight="1">
      <c r="A1159" s="718" t="s">
        <v>210</v>
      </c>
      <c r="B1159" s="718" t="s">
        <v>399</v>
      </c>
      <c r="C1159" s="821" t="s">
        <v>915</v>
      </c>
      <c r="D1159" s="821"/>
      <c r="E1159" s="721">
        <v>157386</v>
      </c>
      <c r="F1159" s="1044">
        <v>3</v>
      </c>
      <c r="G1159" s="1025"/>
      <c r="H1159" s="690"/>
      <c r="I1159" s="1030">
        <v>141000</v>
      </c>
      <c r="J1159" s="690">
        <v>141000</v>
      </c>
      <c r="K1159" s="1030"/>
      <c r="L1159" s="690"/>
      <c r="M1159" s="1025"/>
      <c r="N1159" s="1030"/>
      <c r="O1159" s="692">
        <f t="shared" si="149"/>
        <v>0</v>
      </c>
      <c r="P1159" s="690"/>
      <c r="Q1159" s="690"/>
      <c r="R1159" s="691">
        <f t="shared" si="150"/>
        <v>0</v>
      </c>
      <c r="S1159" s="692">
        <f t="shared" si="151"/>
        <v>141000</v>
      </c>
      <c r="T1159" s="693">
        <f t="shared" si="152"/>
        <v>141000</v>
      </c>
      <c r="U1159" s="1035"/>
      <c r="V1159" s="690"/>
      <c r="W1159" s="1025"/>
      <c r="X1159" s="1030"/>
      <c r="Y1159" s="694">
        <f t="shared" si="153"/>
        <v>0</v>
      </c>
      <c r="Z1159" s="690"/>
      <c r="AA1159" s="690"/>
      <c r="AB1159" s="695">
        <f t="shared" si="154"/>
        <v>0</v>
      </c>
      <c r="AC1159" s="1035"/>
      <c r="AD1159" s="690"/>
      <c r="AE1159" s="1025"/>
      <c r="AF1159" s="1030"/>
      <c r="AG1159" s="690"/>
      <c r="AH1159" s="690"/>
      <c r="AI1159" s="696">
        <f t="shared" si="155"/>
        <v>141000</v>
      </c>
      <c r="AJ1159" s="697">
        <f t="shared" si="156"/>
        <v>141000</v>
      </c>
    </row>
    <row r="1160" spans="1:36" s="700" customFormat="1" ht="12.75" customHeight="1">
      <c r="A1160" s="718" t="s">
        <v>210</v>
      </c>
      <c r="B1160" s="718" t="s">
        <v>392</v>
      </c>
      <c r="C1160" s="823" t="s">
        <v>916</v>
      </c>
      <c r="D1160" s="823"/>
      <c r="E1160" s="721">
        <v>157447</v>
      </c>
      <c r="F1160" s="722">
        <v>4</v>
      </c>
      <c r="G1160" s="1025">
        <v>46162900</v>
      </c>
      <c r="H1160" s="690">
        <v>47023700</v>
      </c>
      <c r="I1160" s="1030"/>
      <c r="J1160" s="690"/>
      <c r="K1160" s="1030"/>
      <c r="L1160" s="690"/>
      <c r="M1160" s="1025">
        <v>112334000</v>
      </c>
      <c r="N1160" s="1030"/>
      <c r="O1160" s="692">
        <f t="shared" si="149"/>
        <v>112334000</v>
      </c>
      <c r="P1160" s="690">
        <v>115000000</v>
      </c>
      <c r="Q1160" s="690"/>
      <c r="R1160" s="691">
        <f t="shared" si="150"/>
        <v>115000000</v>
      </c>
      <c r="S1160" s="692">
        <f t="shared" si="151"/>
        <v>158496900</v>
      </c>
      <c r="T1160" s="693">
        <f t="shared" si="152"/>
        <v>162023700</v>
      </c>
      <c r="U1160" s="1035"/>
      <c r="V1160" s="690"/>
      <c r="W1160" s="1025"/>
      <c r="X1160" s="1030"/>
      <c r="Y1160" s="694">
        <f t="shared" si="153"/>
        <v>0</v>
      </c>
      <c r="Z1160" s="690"/>
      <c r="AA1160" s="690"/>
      <c r="AB1160" s="695">
        <f t="shared" si="154"/>
        <v>0</v>
      </c>
      <c r="AC1160" s="1035"/>
      <c r="AD1160" s="690"/>
      <c r="AE1160" s="1025"/>
      <c r="AF1160" s="1030"/>
      <c r="AG1160" s="690"/>
      <c r="AH1160" s="690"/>
      <c r="AI1160" s="696">
        <f t="shared" si="155"/>
        <v>158496900</v>
      </c>
      <c r="AJ1160" s="697">
        <f t="shared" si="156"/>
        <v>162023700</v>
      </c>
    </row>
    <row r="1161" spans="1:36" s="700" customFormat="1" ht="12.75" customHeight="1">
      <c r="A1161" s="718" t="s">
        <v>210</v>
      </c>
      <c r="B1161" s="718" t="s">
        <v>394</v>
      </c>
      <c r="C1161" s="728" t="s">
        <v>451</v>
      </c>
      <c r="D1161" s="728"/>
      <c r="E1161" s="721">
        <v>157447</v>
      </c>
      <c r="F1161" s="722">
        <v>4</v>
      </c>
      <c r="G1161" s="1025"/>
      <c r="H1161" s="690"/>
      <c r="I1161" s="1030"/>
      <c r="J1161" s="690"/>
      <c r="K1161" s="1030"/>
      <c r="L1161" s="690"/>
      <c r="M1161" s="1025"/>
      <c r="N1161" s="1030"/>
      <c r="O1161" s="692">
        <f t="shared" si="149"/>
        <v>0</v>
      </c>
      <c r="P1161" s="690"/>
      <c r="Q1161" s="690"/>
      <c r="R1161" s="691">
        <f t="shared" si="150"/>
        <v>0</v>
      </c>
      <c r="S1161" s="692">
        <f t="shared" si="151"/>
        <v>0</v>
      </c>
      <c r="T1161" s="693">
        <f t="shared" si="152"/>
        <v>0</v>
      </c>
      <c r="U1161" s="1035"/>
      <c r="V1161" s="690"/>
      <c r="W1161" s="1025"/>
      <c r="X1161" s="1030"/>
      <c r="Y1161" s="694">
        <f t="shared" si="153"/>
        <v>0</v>
      </c>
      <c r="Z1161" s="690"/>
      <c r="AA1161" s="690"/>
      <c r="AB1161" s="695">
        <f t="shared" si="154"/>
        <v>0</v>
      </c>
      <c r="AC1161" s="1035"/>
      <c r="AD1161" s="690"/>
      <c r="AE1161" s="1025"/>
      <c r="AF1161" s="1030"/>
      <c r="AG1161" s="690"/>
      <c r="AH1161" s="690"/>
      <c r="AI1161" s="696">
        <f t="shared" si="155"/>
        <v>0</v>
      </c>
      <c r="AJ1161" s="697">
        <f t="shared" si="156"/>
        <v>0</v>
      </c>
    </row>
    <row r="1162" spans="1:36" s="700" customFormat="1" ht="12.75" customHeight="1">
      <c r="A1162" s="718" t="s">
        <v>210</v>
      </c>
      <c r="B1162" s="718" t="s">
        <v>394</v>
      </c>
      <c r="C1162" s="821" t="s">
        <v>917</v>
      </c>
      <c r="D1162" s="821"/>
      <c r="E1162" s="721">
        <v>157447</v>
      </c>
      <c r="F1162" s="722">
        <v>4</v>
      </c>
      <c r="G1162" s="1025"/>
      <c r="H1162" s="690"/>
      <c r="I1162" s="1030">
        <v>1500000</v>
      </c>
      <c r="J1162" s="690">
        <v>1500000</v>
      </c>
      <c r="K1162" s="1030"/>
      <c r="L1162" s="690"/>
      <c r="M1162" s="1025"/>
      <c r="N1162" s="1030"/>
      <c r="O1162" s="692">
        <f t="shared" ref="O1162:O1225" si="157">SUM(M1162:N1162)</f>
        <v>0</v>
      </c>
      <c r="P1162" s="690"/>
      <c r="Q1162" s="690"/>
      <c r="R1162" s="691">
        <f t="shared" ref="R1162:R1225" si="158">SUM(P1162:Q1162)</f>
        <v>0</v>
      </c>
      <c r="S1162" s="692">
        <f t="shared" ref="S1162:S1225" si="159">SUM(G1162,I1162,K1162,M1162)</f>
        <v>1500000</v>
      </c>
      <c r="T1162" s="693">
        <f t="shared" ref="T1162:T1225" si="160">SUM(H1162,J1162,L1162,P1162)</f>
        <v>1500000</v>
      </c>
      <c r="U1162" s="1035"/>
      <c r="V1162" s="690"/>
      <c r="W1162" s="1025"/>
      <c r="X1162" s="1030"/>
      <c r="Y1162" s="694">
        <f t="shared" ref="Y1162:Y1225" si="161">SUM(W1162:X1162)</f>
        <v>0</v>
      </c>
      <c r="Z1162" s="690"/>
      <c r="AA1162" s="690"/>
      <c r="AB1162" s="695">
        <f t="shared" ref="AB1162:AB1225" si="162">SUM(Z1162:AA1162)</f>
        <v>0</v>
      </c>
      <c r="AC1162" s="1035"/>
      <c r="AD1162" s="690"/>
      <c r="AE1162" s="1025"/>
      <c r="AF1162" s="1030"/>
      <c r="AG1162" s="690"/>
      <c r="AH1162" s="690"/>
      <c r="AI1162" s="696">
        <f t="shared" ref="AI1162:AI1225" si="163">SUM(S1162,U1162,W1162,AC1162,AE1162)</f>
        <v>1500000</v>
      </c>
      <c r="AJ1162" s="697">
        <f t="shared" ref="AJ1162:AJ1225" si="164">SUM(T1162,V1162,Z1162,AD1162,AG1162)</f>
        <v>1500000</v>
      </c>
    </row>
    <row r="1163" spans="1:36" s="700" customFormat="1" ht="12.75" customHeight="1">
      <c r="A1163" s="718" t="s">
        <v>210</v>
      </c>
      <c r="B1163" s="718" t="s">
        <v>392</v>
      </c>
      <c r="C1163" s="1061" t="s">
        <v>918</v>
      </c>
      <c r="D1163" s="1107" t="s">
        <v>1944</v>
      </c>
      <c r="E1163" s="721">
        <v>157058</v>
      </c>
      <c r="F1163" s="1044">
        <v>4</v>
      </c>
      <c r="G1163" s="1025">
        <v>17899700</v>
      </c>
      <c r="H1163" s="690">
        <v>21839747</v>
      </c>
      <c r="I1163" s="1030"/>
      <c r="J1163" s="690"/>
      <c r="K1163" s="1030"/>
      <c r="L1163" s="690"/>
      <c r="M1163" s="1025">
        <v>20396800</v>
      </c>
      <c r="N1163" s="1030"/>
      <c r="O1163" s="692">
        <f t="shared" si="157"/>
        <v>20396800</v>
      </c>
      <c r="P1163" s="690">
        <v>21648572</v>
      </c>
      <c r="Q1163" s="690"/>
      <c r="R1163" s="691">
        <f t="shared" si="158"/>
        <v>21648572</v>
      </c>
      <c r="S1163" s="692">
        <f t="shared" si="159"/>
        <v>38296500</v>
      </c>
      <c r="T1163" s="693">
        <f t="shared" si="160"/>
        <v>43488319</v>
      </c>
      <c r="U1163" s="1035"/>
      <c r="V1163" s="690"/>
      <c r="W1163" s="1025"/>
      <c r="X1163" s="1030"/>
      <c r="Y1163" s="694">
        <f t="shared" si="161"/>
        <v>0</v>
      </c>
      <c r="Z1163" s="690"/>
      <c r="AA1163" s="690"/>
      <c r="AB1163" s="695">
        <f t="shared" si="162"/>
        <v>0</v>
      </c>
      <c r="AC1163" s="1035"/>
      <c r="AD1163" s="690"/>
      <c r="AE1163" s="1025"/>
      <c r="AF1163" s="1030"/>
      <c r="AG1163" s="690"/>
      <c r="AH1163" s="690"/>
      <c r="AI1163" s="696">
        <f t="shared" si="163"/>
        <v>38296500</v>
      </c>
      <c r="AJ1163" s="697">
        <f t="shared" si="164"/>
        <v>43488319</v>
      </c>
    </row>
    <row r="1164" spans="1:36" s="700" customFormat="1" ht="12.75" customHeight="1">
      <c r="A1164" s="718" t="s">
        <v>210</v>
      </c>
      <c r="B1164" s="718" t="s">
        <v>394</v>
      </c>
      <c r="C1164" s="728" t="s">
        <v>793</v>
      </c>
      <c r="D1164" s="728"/>
      <c r="E1164" s="721">
        <v>157058</v>
      </c>
      <c r="F1164" s="1044">
        <v>4</v>
      </c>
      <c r="G1164" s="1025"/>
      <c r="H1164" s="690"/>
      <c r="I1164" s="1030">
        <v>2903700</v>
      </c>
      <c r="J1164" s="690">
        <v>1220176</v>
      </c>
      <c r="K1164" s="1030"/>
      <c r="L1164" s="690"/>
      <c r="M1164" s="1025"/>
      <c r="N1164" s="1030"/>
      <c r="O1164" s="692">
        <f t="shared" si="157"/>
        <v>0</v>
      </c>
      <c r="P1164" s="690"/>
      <c r="Q1164" s="690"/>
      <c r="R1164" s="691">
        <f t="shared" si="158"/>
        <v>0</v>
      </c>
      <c r="S1164" s="692">
        <f t="shared" si="159"/>
        <v>2903700</v>
      </c>
      <c r="T1164" s="693">
        <f t="shared" si="160"/>
        <v>1220176</v>
      </c>
      <c r="U1164" s="1035"/>
      <c r="V1164" s="690"/>
      <c r="W1164" s="1025"/>
      <c r="X1164" s="1030"/>
      <c r="Y1164" s="694">
        <f t="shared" si="161"/>
        <v>0</v>
      </c>
      <c r="Z1164" s="690"/>
      <c r="AA1164" s="690"/>
      <c r="AB1164" s="695">
        <f t="shared" si="162"/>
        <v>0</v>
      </c>
      <c r="AC1164" s="1035"/>
      <c r="AD1164" s="690"/>
      <c r="AE1164" s="1025"/>
      <c r="AF1164" s="1030"/>
      <c r="AG1164" s="690"/>
      <c r="AH1164" s="690"/>
      <c r="AI1164" s="696">
        <f t="shared" si="163"/>
        <v>2903700</v>
      </c>
      <c r="AJ1164" s="697">
        <f t="shared" si="164"/>
        <v>1220176</v>
      </c>
    </row>
    <row r="1165" spans="1:36" s="700" customFormat="1" ht="12.75" customHeight="1">
      <c r="A1165" s="718" t="s">
        <v>210</v>
      </c>
      <c r="B1165" s="718" t="s">
        <v>396</v>
      </c>
      <c r="C1165" s="728" t="s">
        <v>385</v>
      </c>
      <c r="D1165" s="728"/>
      <c r="E1165" s="721">
        <v>157058</v>
      </c>
      <c r="F1165" s="1044">
        <v>4</v>
      </c>
      <c r="G1165" s="1025"/>
      <c r="H1165" s="690"/>
      <c r="I1165" s="1030">
        <v>2927200</v>
      </c>
      <c r="J1165" s="690">
        <v>1348277</v>
      </c>
      <c r="K1165" s="1030"/>
      <c r="L1165" s="690"/>
      <c r="M1165" s="1025"/>
      <c r="N1165" s="1030"/>
      <c r="O1165" s="692">
        <f t="shared" si="157"/>
        <v>0</v>
      </c>
      <c r="P1165" s="690"/>
      <c r="Q1165" s="690"/>
      <c r="R1165" s="691">
        <f t="shared" si="158"/>
        <v>0</v>
      </c>
      <c r="S1165" s="692">
        <f t="shared" si="159"/>
        <v>2927200</v>
      </c>
      <c r="T1165" s="693">
        <f t="shared" si="160"/>
        <v>1348277</v>
      </c>
      <c r="U1165" s="1035"/>
      <c r="V1165" s="690"/>
      <c r="W1165" s="1025"/>
      <c r="X1165" s="1030"/>
      <c r="Y1165" s="694">
        <f t="shared" si="161"/>
        <v>0</v>
      </c>
      <c r="Z1165" s="690"/>
      <c r="AA1165" s="690"/>
      <c r="AB1165" s="695">
        <f t="shared" si="162"/>
        <v>0</v>
      </c>
      <c r="AC1165" s="1035"/>
      <c r="AD1165" s="690"/>
      <c r="AE1165" s="1025"/>
      <c r="AF1165" s="1030"/>
      <c r="AG1165" s="690"/>
      <c r="AH1165" s="690"/>
      <c r="AI1165" s="696">
        <f t="shared" si="163"/>
        <v>2927200</v>
      </c>
      <c r="AJ1165" s="697">
        <f t="shared" si="164"/>
        <v>1348277</v>
      </c>
    </row>
    <row r="1166" spans="1:36" s="700" customFormat="1" ht="12.75" customHeight="1">
      <c r="A1166" s="718" t="s">
        <v>210</v>
      </c>
      <c r="B1166" s="718" t="s">
        <v>392</v>
      </c>
      <c r="C1166" s="825" t="s">
        <v>919</v>
      </c>
      <c r="D1166" s="825"/>
      <c r="E1166" s="826">
        <v>157173</v>
      </c>
      <c r="F1166" s="827">
        <v>8</v>
      </c>
      <c r="G1166" s="1025">
        <v>13904475</v>
      </c>
      <c r="H1166" s="690">
        <v>13438369.432494203</v>
      </c>
      <c r="I1166" s="1030"/>
      <c r="J1166" s="690"/>
      <c r="K1166" s="1030"/>
      <c r="L1166" s="690"/>
      <c r="M1166" s="1025">
        <v>31404100</v>
      </c>
      <c r="N1166" s="1030"/>
      <c r="O1166" s="692">
        <f t="shared" si="157"/>
        <v>31404100</v>
      </c>
      <c r="P1166" s="690">
        <v>35306900</v>
      </c>
      <c r="Q1166" s="690"/>
      <c r="R1166" s="691">
        <f t="shared" si="158"/>
        <v>35306900</v>
      </c>
      <c r="S1166" s="692">
        <f t="shared" si="159"/>
        <v>45308575</v>
      </c>
      <c r="T1166" s="693">
        <f t="shared" si="160"/>
        <v>48745269.432494201</v>
      </c>
      <c r="U1166" s="1035"/>
      <c r="V1166" s="690"/>
      <c r="W1166" s="1025"/>
      <c r="X1166" s="1030"/>
      <c r="Y1166" s="694">
        <f t="shared" si="161"/>
        <v>0</v>
      </c>
      <c r="Z1166" s="690"/>
      <c r="AA1166" s="690"/>
      <c r="AB1166" s="695">
        <f t="shared" si="162"/>
        <v>0</v>
      </c>
      <c r="AC1166" s="1035"/>
      <c r="AD1166" s="690"/>
      <c r="AE1166" s="1025"/>
      <c r="AF1166" s="1030"/>
      <c r="AG1166" s="690"/>
      <c r="AH1166" s="690"/>
      <c r="AI1166" s="696">
        <f t="shared" si="163"/>
        <v>45308575</v>
      </c>
      <c r="AJ1166" s="697">
        <f t="shared" si="164"/>
        <v>48745269.432494201</v>
      </c>
    </row>
    <row r="1167" spans="1:36" s="700" customFormat="1" ht="12.75" customHeight="1">
      <c r="A1167" s="718" t="s">
        <v>210</v>
      </c>
      <c r="B1167" s="718" t="s">
        <v>392</v>
      </c>
      <c r="C1167" s="825" t="s">
        <v>920</v>
      </c>
      <c r="D1167" s="825"/>
      <c r="E1167" s="826">
        <v>156921</v>
      </c>
      <c r="F1167" s="827">
        <v>8</v>
      </c>
      <c r="G1167" s="1025">
        <v>20174007</v>
      </c>
      <c r="H1167" s="690">
        <v>20315746.138016168</v>
      </c>
      <c r="I1167" s="1030"/>
      <c r="J1167" s="690"/>
      <c r="K1167" s="1030"/>
      <c r="L1167" s="690"/>
      <c r="M1167" s="1025">
        <v>30085700</v>
      </c>
      <c r="N1167" s="1030"/>
      <c r="O1167" s="692">
        <f t="shared" si="157"/>
        <v>30085700</v>
      </c>
      <c r="P1167" s="690">
        <v>33273500</v>
      </c>
      <c r="Q1167" s="690"/>
      <c r="R1167" s="691">
        <f t="shared" si="158"/>
        <v>33273500</v>
      </c>
      <c r="S1167" s="692">
        <f t="shared" si="159"/>
        <v>50259707</v>
      </c>
      <c r="T1167" s="693">
        <f t="shared" si="160"/>
        <v>53589246.138016164</v>
      </c>
      <c r="U1167" s="1035"/>
      <c r="V1167" s="690"/>
      <c r="W1167" s="1025"/>
      <c r="X1167" s="1030"/>
      <c r="Y1167" s="694">
        <f t="shared" si="161"/>
        <v>0</v>
      </c>
      <c r="Z1167" s="690"/>
      <c r="AA1167" s="690"/>
      <c r="AB1167" s="695">
        <f t="shared" si="162"/>
        <v>0</v>
      </c>
      <c r="AC1167" s="1035"/>
      <c r="AD1167" s="690"/>
      <c r="AE1167" s="1025"/>
      <c r="AF1167" s="1030"/>
      <c r="AG1167" s="690"/>
      <c r="AH1167" s="690"/>
      <c r="AI1167" s="696">
        <f t="shared" si="163"/>
        <v>50259707</v>
      </c>
      <c r="AJ1167" s="697">
        <f t="shared" si="164"/>
        <v>53589246.138016164</v>
      </c>
    </row>
    <row r="1168" spans="1:36" s="700" customFormat="1" ht="12.75" customHeight="1">
      <c r="A1168" s="718" t="s">
        <v>210</v>
      </c>
      <c r="B1168" s="718" t="s">
        <v>392</v>
      </c>
      <c r="C1168" s="825" t="s">
        <v>921</v>
      </c>
      <c r="D1168" s="825"/>
      <c r="E1168" s="826">
        <v>156231</v>
      </c>
      <c r="F1168" s="827">
        <v>9</v>
      </c>
      <c r="G1168" s="1025">
        <v>10177058</v>
      </c>
      <c r="H1168" s="690">
        <v>10635653.549276112</v>
      </c>
      <c r="I1168" s="1030"/>
      <c r="J1168" s="690"/>
      <c r="K1168" s="1030"/>
      <c r="L1168" s="690"/>
      <c r="M1168" s="1025">
        <v>8840300</v>
      </c>
      <c r="N1168" s="1030"/>
      <c r="O1168" s="692">
        <f t="shared" si="157"/>
        <v>8840300</v>
      </c>
      <c r="P1168" s="690">
        <v>10860100</v>
      </c>
      <c r="Q1168" s="690"/>
      <c r="R1168" s="691">
        <f t="shared" si="158"/>
        <v>10860100</v>
      </c>
      <c r="S1168" s="692">
        <f t="shared" si="159"/>
        <v>19017358</v>
      </c>
      <c r="T1168" s="693">
        <f t="shared" si="160"/>
        <v>21495753.549276114</v>
      </c>
      <c r="U1168" s="1035"/>
      <c r="V1168" s="690"/>
      <c r="W1168" s="1025"/>
      <c r="X1168" s="1030"/>
      <c r="Y1168" s="694">
        <f t="shared" si="161"/>
        <v>0</v>
      </c>
      <c r="Z1168" s="690"/>
      <c r="AA1168" s="690"/>
      <c r="AB1168" s="695">
        <f t="shared" si="162"/>
        <v>0</v>
      </c>
      <c r="AC1168" s="1035"/>
      <c r="AD1168" s="690"/>
      <c r="AE1168" s="1025"/>
      <c r="AF1168" s="1030"/>
      <c r="AG1168" s="690"/>
      <c r="AH1168" s="690"/>
      <c r="AI1168" s="696">
        <f t="shared" si="163"/>
        <v>19017358</v>
      </c>
      <c r="AJ1168" s="697">
        <f t="shared" si="164"/>
        <v>21495753.549276114</v>
      </c>
    </row>
    <row r="1169" spans="1:36" s="700" customFormat="1" ht="12.75" customHeight="1">
      <c r="A1169" s="718" t="s">
        <v>210</v>
      </c>
      <c r="B1169" s="718" t="s">
        <v>392</v>
      </c>
      <c r="C1169" s="825" t="s">
        <v>922</v>
      </c>
      <c r="D1169" s="825"/>
      <c r="E1169" s="828">
        <v>157553</v>
      </c>
      <c r="F1169" s="827">
        <v>9</v>
      </c>
      <c r="G1169" s="1025">
        <v>11252621</v>
      </c>
      <c r="H1169" s="690">
        <v>11906119.482618771</v>
      </c>
      <c r="I1169" s="1030"/>
      <c r="J1169" s="690"/>
      <c r="K1169" s="1030"/>
      <c r="L1169" s="690"/>
      <c r="M1169" s="1025">
        <v>9271900</v>
      </c>
      <c r="N1169" s="1030"/>
      <c r="O1169" s="692">
        <f t="shared" si="157"/>
        <v>9271900</v>
      </c>
      <c r="P1169" s="690">
        <v>12087900</v>
      </c>
      <c r="Q1169" s="690"/>
      <c r="R1169" s="691">
        <f t="shared" si="158"/>
        <v>12087900</v>
      </c>
      <c r="S1169" s="692">
        <f t="shared" si="159"/>
        <v>20524521</v>
      </c>
      <c r="T1169" s="693">
        <f t="shared" si="160"/>
        <v>23994019.482618771</v>
      </c>
      <c r="U1169" s="1035"/>
      <c r="V1169" s="690"/>
      <c r="W1169" s="1025"/>
      <c r="X1169" s="1030"/>
      <c r="Y1169" s="694">
        <f t="shared" si="161"/>
        <v>0</v>
      </c>
      <c r="Z1169" s="690"/>
      <c r="AA1169" s="690"/>
      <c r="AB1169" s="695">
        <f t="shared" si="162"/>
        <v>0</v>
      </c>
      <c r="AC1169" s="1035"/>
      <c r="AD1169" s="690"/>
      <c r="AE1169" s="1025"/>
      <c r="AF1169" s="1030"/>
      <c r="AG1169" s="690"/>
      <c r="AH1169" s="690"/>
      <c r="AI1169" s="696">
        <f t="shared" si="163"/>
        <v>20524521</v>
      </c>
      <c r="AJ1169" s="697">
        <f t="shared" si="164"/>
        <v>23994019.482618771</v>
      </c>
    </row>
    <row r="1170" spans="1:36" s="700" customFormat="1" ht="12.75" customHeight="1">
      <c r="A1170" s="718" t="s">
        <v>210</v>
      </c>
      <c r="B1170" s="718" t="s">
        <v>392</v>
      </c>
      <c r="C1170" s="825" t="s">
        <v>923</v>
      </c>
      <c r="D1170" s="825"/>
      <c r="E1170" s="826">
        <v>156648</v>
      </c>
      <c r="F1170" s="827">
        <v>9</v>
      </c>
      <c r="G1170" s="1025">
        <v>10505033</v>
      </c>
      <c r="H1170" s="690">
        <v>10818434.009030396</v>
      </c>
      <c r="I1170" s="1030"/>
      <c r="J1170" s="690"/>
      <c r="K1170" s="1030"/>
      <c r="L1170" s="690"/>
      <c r="M1170" s="1025">
        <v>12517600</v>
      </c>
      <c r="N1170" s="1030"/>
      <c r="O1170" s="692">
        <f t="shared" si="157"/>
        <v>12517600</v>
      </c>
      <c r="P1170" s="690">
        <v>16662000</v>
      </c>
      <c r="Q1170" s="690"/>
      <c r="R1170" s="691">
        <f t="shared" si="158"/>
        <v>16662000</v>
      </c>
      <c r="S1170" s="692">
        <f t="shared" si="159"/>
        <v>23022633</v>
      </c>
      <c r="T1170" s="693">
        <f t="shared" si="160"/>
        <v>27480434.009030394</v>
      </c>
      <c r="U1170" s="1035"/>
      <c r="V1170" s="690"/>
      <c r="W1170" s="1025"/>
      <c r="X1170" s="1030"/>
      <c r="Y1170" s="694">
        <f t="shared" si="161"/>
        <v>0</v>
      </c>
      <c r="Z1170" s="690"/>
      <c r="AA1170" s="690"/>
      <c r="AB1170" s="695">
        <f t="shared" si="162"/>
        <v>0</v>
      </c>
      <c r="AC1170" s="1035"/>
      <c r="AD1170" s="690"/>
      <c r="AE1170" s="1025"/>
      <c r="AF1170" s="1030"/>
      <c r="AG1170" s="690"/>
      <c r="AH1170" s="690"/>
      <c r="AI1170" s="696">
        <f t="shared" si="163"/>
        <v>23022633</v>
      </c>
      <c r="AJ1170" s="697">
        <f t="shared" si="164"/>
        <v>27480434.009030394</v>
      </c>
    </row>
    <row r="1171" spans="1:36" s="700" customFormat="1" ht="12.75" customHeight="1">
      <c r="A1171" s="718" t="s">
        <v>210</v>
      </c>
      <c r="B1171" s="718" t="s">
        <v>392</v>
      </c>
      <c r="C1171" s="829" t="s">
        <v>924</v>
      </c>
      <c r="D1171" s="829"/>
      <c r="E1171" s="721">
        <v>157304</v>
      </c>
      <c r="F1171" s="722">
        <v>9</v>
      </c>
      <c r="G1171" s="1025">
        <v>9363966</v>
      </c>
      <c r="H1171" s="690">
        <v>9762547.1589191649</v>
      </c>
      <c r="I1171" s="1030"/>
      <c r="J1171" s="690"/>
      <c r="K1171" s="1030"/>
      <c r="L1171" s="690"/>
      <c r="M1171" s="1025">
        <v>7836000</v>
      </c>
      <c r="N1171" s="1030"/>
      <c r="O1171" s="692">
        <f t="shared" si="157"/>
        <v>7836000</v>
      </c>
      <c r="P1171" s="690">
        <v>8680100</v>
      </c>
      <c r="Q1171" s="690"/>
      <c r="R1171" s="691">
        <f t="shared" si="158"/>
        <v>8680100</v>
      </c>
      <c r="S1171" s="692">
        <f t="shared" si="159"/>
        <v>17199966</v>
      </c>
      <c r="T1171" s="693">
        <f t="shared" si="160"/>
        <v>18442647.158919163</v>
      </c>
      <c r="U1171" s="1035"/>
      <c r="V1171" s="690"/>
      <c r="W1171" s="1025"/>
      <c r="X1171" s="1030"/>
      <c r="Y1171" s="694">
        <f t="shared" si="161"/>
        <v>0</v>
      </c>
      <c r="Z1171" s="690"/>
      <c r="AA1171" s="690"/>
      <c r="AB1171" s="695">
        <f t="shared" si="162"/>
        <v>0</v>
      </c>
      <c r="AC1171" s="1035"/>
      <c r="AD1171" s="690"/>
      <c r="AE1171" s="1025"/>
      <c r="AF1171" s="1030"/>
      <c r="AG1171" s="690"/>
      <c r="AH1171" s="690"/>
      <c r="AI1171" s="696">
        <f t="shared" si="163"/>
        <v>17199966</v>
      </c>
      <c r="AJ1171" s="697">
        <f t="shared" si="164"/>
        <v>18442647.158919163</v>
      </c>
    </row>
    <row r="1172" spans="1:36" s="700" customFormat="1" ht="12.75" customHeight="1">
      <c r="A1172" s="718" t="s">
        <v>210</v>
      </c>
      <c r="B1172" s="718" t="s">
        <v>392</v>
      </c>
      <c r="C1172" s="825" t="s">
        <v>925</v>
      </c>
      <c r="D1172" s="825"/>
      <c r="E1172" s="721">
        <v>157331</v>
      </c>
      <c r="F1172" s="722">
        <v>9</v>
      </c>
      <c r="G1172" s="1025">
        <v>8349496</v>
      </c>
      <c r="H1172" s="690">
        <v>8596844.1323810518</v>
      </c>
      <c r="I1172" s="1030"/>
      <c r="J1172" s="690"/>
      <c r="K1172" s="1030"/>
      <c r="L1172" s="690"/>
      <c r="M1172" s="1025">
        <v>8092900</v>
      </c>
      <c r="N1172" s="1030"/>
      <c r="O1172" s="692">
        <f t="shared" si="157"/>
        <v>8092900</v>
      </c>
      <c r="P1172" s="690">
        <v>12709400</v>
      </c>
      <c r="Q1172" s="690"/>
      <c r="R1172" s="691">
        <f t="shared" si="158"/>
        <v>12709400</v>
      </c>
      <c r="S1172" s="692">
        <f t="shared" si="159"/>
        <v>16442396</v>
      </c>
      <c r="T1172" s="693">
        <f t="shared" si="160"/>
        <v>21306244.132381052</v>
      </c>
      <c r="U1172" s="1035"/>
      <c r="V1172" s="690"/>
      <c r="W1172" s="1025"/>
      <c r="X1172" s="1030"/>
      <c r="Y1172" s="694">
        <f t="shared" si="161"/>
        <v>0</v>
      </c>
      <c r="Z1172" s="690"/>
      <c r="AA1172" s="690"/>
      <c r="AB1172" s="695">
        <f t="shared" si="162"/>
        <v>0</v>
      </c>
      <c r="AC1172" s="1035"/>
      <c r="AD1172" s="690"/>
      <c r="AE1172" s="1025"/>
      <c r="AF1172" s="1030"/>
      <c r="AG1172" s="690"/>
      <c r="AH1172" s="690"/>
      <c r="AI1172" s="696">
        <f t="shared" si="163"/>
        <v>16442396</v>
      </c>
      <c r="AJ1172" s="697">
        <f t="shared" si="164"/>
        <v>21306244.132381052</v>
      </c>
    </row>
    <row r="1173" spans="1:36" s="700" customFormat="1" ht="12.75" customHeight="1">
      <c r="A1173" s="718" t="s">
        <v>210</v>
      </c>
      <c r="B1173" s="718" t="s">
        <v>392</v>
      </c>
      <c r="C1173" s="829" t="s">
        <v>926</v>
      </c>
      <c r="D1173" s="829"/>
      <c r="E1173" s="830">
        <v>247940</v>
      </c>
      <c r="F1173" s="831">
        <v>9</v>
      </c>
      <c r="G1173" s="1025">
        <v>7960542</v>
      </c>
      <c r="H1173" s="690">
        <v>8123808.7955388771</v>
      </c>
      <c r="I1173" s="1030"/>
      <c r="J1173" s="690"/>
      <c r="K1173" s="1030"/>
      <c r="L1173" s="690"/>
      <c r="M1173" s="1025">
        <v>9913900</v>
      </c>
      <c r="N1173" s="1030"/>
      <c r="O1173" s="692">
        <f t="shared" si="157"/>
        <v>9913900</v>
      </c>
      <c r="P1173" s="690">
        <v>12696600</v>
      </c>
      <c r="Q1173" s="690"/>
      <c r="R1173" s="691">
        <f t="shared" si="158"/>
        <v>12696600</v>
      </c>
      <c r="S1173" s="692">
        <f t="shared" si="159"/>
        <v>17874442</v>
      </c>
      <c r="T1173" s="693">
        <f t="shared" si="160"/>
        <v>20820408.795538876</v>
      </c>
      <c r="U1173" s="1035"/>
      <c r="V1173" s="690"/>
      <c r="W1173" s="1025"/>
      <c r="X1173" s="1030"/>
      <c r="Y1173" s="694">
        <f t="shared" si="161"/>
        <v>0</v>
      </c>
      <c r="Z1173" s="690"/>
      <c r="AA1173" s="690"/>
      <c r="AB1173" s="695">
        <f t="shared" si="162"/>
        <v>0</v>
      </c>
      <c r="AC1173" s="1035"/>
      <c r="AD1173" s="690"/>
      <c r="AE1173" s="1025"/>
      <c r="AF1173" s="1030"/>
      <c r="AG1173" s="690"/>
      <c r="AH1173" s="690"/>
      <c r="AI1173" s="696">
        <f t="shared" si="163"/>
        <v>17874442</v>
      </c>
      <c r="AJ1173" s="697">
        <f t="shared" si="164"/>
        <v>20820408.795538876</v>
      </c>
    </row>
    <row r="1174" spans="1:36" s="700" customFormat="1" ht="12.75" customHeight="1">
      <c r="A1174" s="718" t="s">
        <v>210</v>
      </c>
      <c r="B1174" s="718" t="s">
        <v>392</v>
      </c>
      <c r="C1174" s="832" t="s">
        <v>927</v>
      </c>
      <c r="D1174" s="832"/>
      <c r="E1174" s="830">
        <v>157711</v>
      </c>
      <c r="F1174" s="831">
        <v>9</v>
      </c>
      <c r="G1174" s="1025">
        <v>13003365</v>
      </c>
      <c r="H1174" s="690">
        <v>13447859.719345909</v>
      </c>
      <c r="I1174" s="1030"/>
      <c r="J1174" s="690"/>
      <c r="K1174" s="1030"/>
      <c r="L1174" s="690"/>
      <c r="M1174" s="1025">
        <v>14307600</v>
      </c>
      <c r="N1174" s="1030"/>
      <c r="O1174" s="692">
        <f t="shared" si="157"/>
        <v>14307600</v>
      </c>
      <c r="P1174" s="690">
        <v>19769400</v>
      </c>
      <c r="Q1174" s="690"/>
      <c r="R1174" s="691">
        <f t="shared" si="158"/>
        <v>19769400</v>
      </c>
      <c r="S1174" s="692">
        <f t="shared" si="159"/>
        <v>27310965</v>
      </c>
      <c r="T1174" s="693">
        <f t="shared" si="160"/>
        <v>33217259.719345909</v>
      </c>
      <c r="U1174" s="1035"/>
      <c r="V1174" s="690"/>
      <c r="W1174" s="1025"/>
      <c r="X1174" s="1030"/>
      <c r="Y1174" s="694">
        <f t="shared" si="161"/>
        <v>0</v>
      </c>
      <c r="Z1174" s="690"/>
      <c r="AA1174" s="690"/>
      <c r="AB1174" s="695">
        <f t="shared" si="162"/>
        <v>0</v>
      </c>
      <c r="AC1174" s="1035"/>
      <c r="AD1174" s="690"/>
      <c r="AE1174" s="1025"/>
      <c r="AF1174" s="1030"/>
      <c r="AG1174" s="690"/>
      <c r="AH1174" s="690"/>
      <c r="AI1174" s="696">
        <f t="shared" si="163"/>
        <v>27310965</v>
      </c>
      <c r="AJ1174" s="697">
        <f t="shared" si="164"/>
        <v>33217259.719345909</v>
      </c>
    </row>
    <row r="1175" spans="1:36" s="700" customFormat="1" ht="12.75" customHeight="1">
      <c r="A1175" s="718" t="s">
        <v>210</v>
      </c>
      <c r="B1175" s="718" t="s">
        <v>392</v>
      </c>
      <c r="C1175" s="824" t="s">
        <v>1945</v>
      </c>
      <c r="D1175" s="1062" t="s">
        <v>1946</v>
      </c>
      <c r="E1175" s="721">
        <v>157739</v>
      </c>
      <c r="F1175" s="722">
        <v>9</v>
      </c>
      <c r="G1175" s="1025">
        <v>11240855</v>
      </c>
      <c r="H1175" s="690">
        <v>8399643.3666313179</v>
      </c>
      <c r="I1175" s="1030"/>
      <c r="J1175" s="690"/>
      <c r="K1175" s="1030"/>
      <c r="L1175" s="690"/>
      <c r="M1175" s="1025">
        <v>7776800</v>
      </c>
      <c r="N1175" s="1030"/>
      <c r="O1175" s="692">
        <f t="shared" si="157"/>
        <v>7776800</v>
      </c>
      <c r="P1175" s="690">
        <v>12675900</v>
      </c>
      <c r="Q1175" s="690"/>
      <c r="R1175" s="691">
        <f t="shared" si="158"/>
        <v>12675900</v>
      </c>
      <c r="S1175" s="692">
        <f t="shared" si="159"/>
        <v>19017655</v>
      </c>
      <c r="T1175" s="693">
        <f t="shared" si="160"/>
        <v>21075543.366631318</v>
      </c>
      <c r="U1175" s="1035"/>
      <c r="V1175" s="690"/>
      <c r="W1175" s="1025"/>
      <c r="X1175" s="1030"/>
      <c r="Y1175" s="694">
        <f t="shared" si="161"/>
        <v>0</v>
      </c>
      <c r="Z1175" s="690"/>
      <c r="AA1175" s="690"/>
      <c r="AB1175" s="695">
        <f t="shared" si="162"/>
        <v>0</v>
      </c>
      <c r="AC1175" s="1035"/>
      <c r="AD1175" s="690"/>
      <c r="AE1175" s="1025"/>
      <c r="AF1175" s="1030"/>
      <c r="AG1175" s="690"/>
      <c r="AH1175" s="690"/>
      <c r="AI1175" s="696">
        <f t="shared" si="163"/>
        <v>19017655</v>
      </c>
      <c r="AJ1175" s="697">
        <f t="shared" si="164"/>
        <v>21075543.366631318</v>
      </c>
    </row>
    <row r="1176" spans="1:36" s="700" customFormat="1" ht="12.75" customHeight="1">
      <c r="A1176" s="718" t="s">
        <v>210</v>
      </c>
      <c r="B1176" s="718" t="s">
        <v>392</v>
      </c>
      <c r="C1176" s="825" t="s">
        <v>928</v>
      </c>
      <c r="D1176" s="825"/>
      <c r="E1176" s="826">
        <v>157483</v>
      </c>
      <c r="F1176" s="827">
        <v>9</v>
      </c>
      <c r="G1176" s="1025">
        <v>11599489</v>
      </c>
      <c r="H1176" s="690">
        <v>12021605.181060959</v>
      </c>
      <c r="I1176" s="1030"/>
      <c r="J1176" s="690"/>
      <c r="K1176" s="1030"/>
      <c r="L1176" s="690"/>
      <c r="M1176" s="1025">
        <v>12550000</v>
      </c>
      <c r="N1176" s="1030"/>
      <c r="O1176" s="692">
        <f t="shared" si="157"/>
        <v>12550000</v>
      </c>
      <c r="P1176" s="690">
        <v>14845400</v>
      </c>
      <c r="Q1176" s="690"/>
      <c r="R1176" s="691">
        <f t="shared" si="158"/>
        <v>14845400</v>
      </c>
      <c r="S1176" s="692">
        <f t="shared" si="159"/>
        <v>24149489</v>
      </c>
      <c r="T1176" s="693">
        <f t="shared" si="160"/>
        <v>26867005.181060959</v>
      </c>
      <c r="U1176" s="1035"/>
      <c r="V1176" s="690"/>
      <c r="W1176" s="1025"/>
      <c r="X1176" s="1030"/>
      <c r="Y1176" s="694">
        <f t="shared" si="161"/>
        <v>0</v>
      </c>
      <c r="Z1176" s="690"/>
      <c r="AA1176" s="690"/>
      <c r="AB1176" s="695">
        <f t="shared" si="162"/>
        <v>0</v>
      </c>
      <c r="AC1176" s="1035"/>
      <c r="AD1176" s="690"/>
      <c r="AE1176" s="1025"/>
      <c r="AF1176" s="1030"/>
      <c r="AG1176" s="690"/>
      <c r="AH1176" s="690"/>
      <c r="AI1176" s="696">
        <f t="shared" si="163"/>
        <v>24149489</v>
      </c>
      <c r="AJ1176" s="697">
        <f t="shared" si="164"/>
        <v>26867005.181060959</v>
      </c>
    </row>
    <row r="1177" spans="1:36" s="700" customFormat="1" ht="12.75" customHeight="1">
      <c r="A1177" s="718" t="s">
        <v>210</v>
      </c>
      <c r="B1177" s="718" t="s">
        <v>392</v>
      </c>
      <c r="C1177" s="824" t="s">
        <v>1947</v>
      </c>
      <c r="D1177" s="1062" t="s">
        <v>1946</v>
      </c>
      <c r="E1177" s="721">
        <v>156790</v>
      </c>
      <c r="F1177" s="722">
        <v>10</v>
      </c>
      <c r="G1177" s="1025">
        <v>13574012</v>
      </c>
      <c r="H1177" s="690">
        <v>14322321.864967385</v>
      </c>
      <c r="I1177" s="1030"/>
      <c r="J1177" s="690"/>
      <c r="K1177" s="1030"/>
      <c r="L1177" s="690"/>
      <c r="M1177" s="1025">
        <v>7177600</v>
      </c>
      <c r="N1177" s="1030"/>
      <c r="O1177" s="692">
        <f t="shared" si="157"/>
        <v>7177600</v>
      </c>
      <c r="P1177" s="690">
        <v>8550100</v>
      </c>
      <c r="Q1177" s="690"/>
      <c r="R1177" s="691">
        <f t="shared" si="158"/>
        <v>8550100</v>
      </c>
      <c r="S1177" s="692">
        <f t="shared" si="159"/>
        <v>20751612</v>
      </c>
      <c r="T1177" s="693">
        <f t="shared" si="160"/>
        <v>22872421.864967383</v>
      </c>
      <c r="U1177" s="1035"/>
      <c r="V1177" s="690"/>
      <c r="W1177" s="1025"/>
      <c r="X1177" s="1030"/>
      <c r="Y1177" s="694">
        <f t="shared" si="161"/>
        <v>0</v>
      </c>
      <c r="Z1177" s="690"/>
      <c r="AA1177" s="690"/>
      <c r="AB1177" s="695">
        <f t="shared" si="162"/>
        <v>0</v>
      </c>
      <c r="AC1177" s="1035"/>
      <c r="AD1177" s="690"/>
      <c r="AE1177" s="1025"/>
      <c r="AF1177" s="1030"/>
      <c r="AG1177" s="690"/>
      <c r="AH1177" s="690"/>
      <c r="AI1177" s="696">
        <f t="shared" si="163"/>
        <v>20751612</v>
      </c>
      <c r="AJ1177" s="697">
        <f t="shared" si="164"/>
        <v>22872421.864967383</v>
      </c>
    </row>
    <row r="1178" spans="1:36" s="700" customFormat="1" ht="12.75" customHeight="1">
      <c r="A1178" s="718" t="s">
        <v>210</v>
      </c>
      <c r="B1178" s="718" t="s">
        <v>392</v>
      </c>
      <c r="C1178" s="823" t="s">
        <v>929</v>
      </c>
      <c r="D1178" s="823"/>
      <c r="E1178" s="721">
        <v>156851</v>
      </c>
      <c r="F1178" s="722">
        <v>10</v>
      </c>
      <c r="G1178" s="1025">
        <v>5740406</v>
      </c>
      <c r="H1178" s="690">
        <v>5834184.6547058746</v>
      </c>
      <c r="I1178" s="1030"/>
      <c r="J1178" s="690"/>
      <c r="K1178" s="1030"/>
      <c r="L1178" s="690"/>
      <c r="M1178" s="1025">
        <v>4063300</v>
      </c>
      <c r="N1178" s="1030"/>
      <c r="O1178" s="692">
        <f t="shared" si="157"/>
        <v>4063300</v>
      </c>
      <c r="P1178" s="690">
        <v>5496200</v>
      </c>
      <c r="Q1178" s="690"/>
      <c r="R1178" s="691">
        <f t="shared" si="158"/>
        <v>5496200</v>
      </c>
      <c r="S1178" s="692">
        <f t="shared" si="159"/>
        <v>9803706</v>
      </c>
      <c r="T1178" s="693">
        <f t="shared" si="160"/>
        <v>11330384.654705875</v>
      </c>
      <c r="U1178" s="1035"/>
      <c r="V1178" s="690"/>
      <c r="W1178" s="1025"/>
      <c r="X1178" s="1030"/>
      <c r="Y1178" s="694">
        <f t="shared" si="161"/>
        <v>0</v>
      </c>
      <c r="Z1178" s="690"/>
      <c r="AA1178" s="690"/>
      <c r="AB1178" s="695">
        <f t="shared" si="162"/>
        <v>0</v>
      </c>
      <c r="AC1178" s="1035"/>
      <c r="AD1178" s="690"/>
      <c r="AE1178" s="1025"/>
      <c r="AF1178" s="1030"/>
      <c r="AG1178" s="690"/>
      <c r="AH1178" s="690"/>
      <c r="AI1178" s="696">
        <f t="shared" si="163"/>
        <v>9803706</v>
      </c>
      <c r="AJ1178" s="697">
        <f t="shared" si="164"/>
        <v>11330384.654705875</v>
      </c>
    </row>
    <row r="1179" spans="1:36" s="700" customFormat="1" ht="12.75" customHeight="1">
      <c r="A1179" s="718" t="s">
        <v>210</v>
      </c>
      <c r="B1179" s="718" t="s">
        <v>392</v>
      </c>
      <c r="C1179" s="824" t="s">
        <v>930</v>
      </c>
      <c r="D1179" s="1062" t="s">
        <v>1938</v>
      </c>
      <c r="E1179" s="721">
        <v>156860</v>
      </c>
      <c r="F1179" s="722">
        <v>10</v>
      </c>
      <c r="G1179" s="1025">
        <v>5699904</v>
      </c>
      <c r="H1179" s="690">
        <v>5809534.5589871574</v>
      </c>
      <c r="I1179" s="1030"/>
      <c r="J1179" s="690"/>
      <c r="K1179" s="1030"/>
      <c r="L1179" s="690"/>
      <c r="M1179" s="1025">
        <v>7596600</v>
      </c>
      <c r="N1179" s="1030"/>
      <c r="O1179" s="692">
        <f t="shared" si="157"/>
        <v>7596600</v>
      </c>
      <c r="P1179" s="690">
        <v>9952500</v>
      </c>
      <c r="Q1179" s="690"/>
      <c r="R1179" s="691">
        <f t="shared" si="158"/>
        <v>9952500</v>
      </c>
      <c r="S1179" s="692">
        <f t="shared" si="159"/>
        <v>13296504</v>
      </c>
      <c r="T1179" s="693">
        <f t="shared" si="160"/>
        <v>15762034.558987157</v>
      </c>
      <c r="U1179" s="1035"/>
      <c r="V1179" s="690"/>
      <c r="W1179" s="1025"/>
      <c r="X1179" s="1030"/>
      <c r="Y1179" s="694">
        <f t="shared" si="161"/>
        <v>0</v>
      </c>
      <c r="Z1179" s="690"/>
      <c r="AA1179" s="690"/>
      <c r="AB1179" s="695">
        <f t="shared" si="162"/>
        <v>0</v>
      </c>
      <c r="AC1179" s="1035"/>
      <c r="AD1179" s="690"/>
      <c r="AE1179" s="1025"/>
      <c r="AF1179" s="1030"/>
      <c r="AG1179" s="690"/>
      <c r="AH1179" s="690"/>
      <c r="AI1179" s="696">
        <f t="shared" si="163"/>
        <v>13296504</v>
      </c>
      <c r="AJ1179" s="697">
        <f t="shared" si="164"/>
        <v>15762034.558987157</v>
      </c>
    </row>
    <row r="1180" spans="1:36" s="700" customFormat="1" ht="12.75" customHeight="1">
      <c r="A1180" s="718" t="s">
        <v>210</v>
      </c>
      <c r="B1180" s="718" t="s">
        <v>392</v>
      </c>
      <c r="C1180" s="823" t="s">
        <v>931</v>
      </c>
      <c r="D1180" s="823"/>
      <c r="E1180" s="721">
        <v>156338</v>
      </c>
      <c r="F1180" s="722">
        <v>12</v>
      </c>
      <c r="G1180" s="1025">
        <v>7634377</v>
      </c>
      <c r="H1180" s="690">
        <v>8098665.6979057863</v>
      </c>
      <c r="I1180" s="1030"/>
      <c r="J1180" s="690"/>
      <c r="K1180" s="1030"/>
      <c r="L1180" s="690"/>
      <c r="M1180" s="1025">
        <v>4885900</v>
      </c>
      <c r="N1180" s="1030"/>
      <c r="O1180" s="692">
        <f t="shared" si="157"/>
        <v>4885900</v>
      </c>
      <c r="P1180" s="690">
        <v>8290000</v>
      </c>
      <c r="Q1180" s="690"/>
      <c r="R1180" s="691">
        <f t="shared" si="158"/>
        <v>8290000</v>
      </c>
      <c r="S1180" s="692">
        <f t="shared" si="159"/>
        <v>12520277</v>
      </c>
      <c r="T1180" s="693">
        <f t="shared" si="160"/>
        <v>16388665.697905786</v>
      </c>
      <c r="U1180" s="1035"/>
      <c r="V1180" s="690"/>
      <c r="W1180" s="1025"/>
      <c r="X1180" s="1030"/>
      <c r="Y1180" s="694">
        <f t="shared" si="161"/>
        <v>0</v>
      </c>
      <c r="Z1180" s="690"/>
      <c r="AA1180" s="690"/>
      <c r="AB1180" s="695">
        <f t="shared" si="162"/>
        <v>0</v>
      </c>
      <c r="AC1180" s="1035"/>
      <c r="AD1180" s="690"/>
      <c r="AE1180" s="1025"/>
      <c r="AF1180" s="1030"/>
      <c r="AG1180" s="690"/>
      <c r="AH1180" s="690"/>
      <c r="AI1180" s="696">
        <f t="shared" si="163"/>
        <v>12520277</v>
      </c>
      <c r="AJ1180" s="697">
        <f t="shared" si="164"/>
        <v>16388665.697905786</v>
      </c>
    </row>
    <row r="1181" spans="1:36" s="700" customFormat="1" ht="12.75" customHeight="1">
      <c r="A1181" s="718" t="s">
        <v>210</v>
      </c>
      <c r="B1181" s="718" t="s">
        <v>392</v>
      </c>
      <c r="C1181" s="833" t="s">
        <v>932</v>
      </c>
      <c r="D1181" s="833"/>
      <c r="E1181" s="826">
        <v>157438</v>
      </c>
      <c r="F1181" s="722">
        <v>12</v>
      </c>
      <c r="G1181" s="1025">
        <v>8164296</v>
      </c>
      <c r="H1181" s="690">
        <v>8500462.2581208684</v>
      </c>
      <c r="I1181" s="1030"/>
      <c r="J1181" s="690"/>
      <c r="K1181" s="1030"/>
      <c r="L1181" s="690"/>
      <c r="M1181" s="1025">
        <v>7299400</v>
      </c>
      <c r="N1181" s="1030"/>
      <c r="O1181" s="692">
        <f t="shared" si="157"/>
        <v>7299400</v>
      </c>
      <c r="P1181" s="690">
        <v>9667600</v>
      </c>
      <c r="Q1181" s="690"/>
      <c r="R1181" s="691">
        <f t="shared" si="158"/>
        <v>9667600</v>
      </c>
      <c r="S1181" s="692">
        <f t="shared" si="159"/>
        <v>15463696</v>
      </c>
      <c r="T1181" s="693">
        <f t="shared" si="160"/>
        <v>18168062.258120868</v>
      </c>
      <c r="U1181" s="1035"/>
      <c r="V1181" s="690"/>
      <c r="W1181" s="1025"/>
      <c r="X1181" s="1030"/>
      <c r="Y1181" s="694">
        <f t="shared" si="161"/>
        <v>0</v>
      </c>
      <c r="Z1181" s="690"/>
      <c r="AA1181" s="690"/>
      <c r="AB1181" s="695">
        <f t="shared" si="162"/>
        <v>0</v>
      </c>
      <c r="AC1181" s="1035"/>
      <c r="AD1181" s="690"/>
      <c r="AE1181" s="1025"/>
      <c r="AF1181" s="1030"/>
      <c r="AG1181" s="690"/>
      <c r="AH1181" s="690"/>
      <c r="AI1181" s="696">
        <f t="shared" si="163"/>
        <v>15463696</v>
      </c>
      <c r="AJ1181" s="697">
        <f t="shared" si="164"/>
        <v>18168062.258120868</v>
      </c>
    </row>
    <row r="1182" spans="1:36" s="700" customFormat="1" ht="12.75" customHeight="1">
      <c r="A1182" s="718" t="s">
        <v>210</v>
      </c>
      <c r="B1182" s="718" t="s">
        <v>402</v>
      </c>
      <c r="C1182" s="834" t="s">
        <v>893</v>
      </c>
      <c r="D1182" s="834"/>
      <c r="E1182" s="721"/>
      <c r="F1182" s="722"/>
      <c r="G1182" s="1025"/>
      <c r="H1182" s="690"/>
      <c r="I1182" s="1030"/>
      <c r="J1182" s="690"/>
      <c r="K1182" s="1030"/>
      <c r="L1182" s="690"/>
      <c r="M1182" s="1025"/>
      <c r="N1182" s="1030"/>
      <c r="O1182" s="692">
        <f t="shared" si="157"/>
        <v>0</v>
      </c>
      <c r="P1182" s="690"/>
      <c r="Q1182" s="690"/>
      <c r="R1182" s="691">
        <f t="shared" si="158"/>
        <v>0</v>
      </c>
      <c r="S1182" s="692">
        <f t="shared" si="159"/>
        <v>0</v>
      </c>
      <c r="T1182" s="693">
        <f t="shared" si="160"/>
        <v>0</v>
      </c>
      <c r="U1182" s="1035"/>
      <c r="V1182" s="690"/>
      <c r="W1182" s="1025"/>
      <c r="X1182" s="1030"/>
      <c r="Y1182" s="694">
        <f t="shared" si="161"/>
        <v>0</v>
      </c>
      <c r="Z1182" s="690"/>
      <c r="AA1182" s="690"/>
      <c r="AB1182" s="695">
        <f t="shared" si="162"/>
        <v>0</v>
      </c>
      <c r="AC1182" s="1035"/>
      <c r="AD1182" s="690"/>
      <c r="AE1182" s="1025"/>
      <c r="AF1182" s="1030"/>
      <c r="AG1182" s="690"/>
      <c r="AH1182" s="690"/>
      <c r="AI1182" s="696">
        <f t="shared" si="163"/>
        <v>0</v>
      </c>
      <c r="AJ1182" s="697">
        <f t="shared" si="164"/>
        <v>0</v>
      </c>
    </row>
    <row r="1183" spans="1:36" s="700" customFormat="1" ht="12.75" customHeight="1">
      <c r="A1183" s="718" t="s">
        <v>210</v>
      </c>
      <c r="B1183" s="718" t="s">
        <v>402</v>
      </c>
      <c r="C1183" s="728" t="s">
        <v>793</v>
      </c>
      <c r="D1183" s="728"/>
      <c r="E1183" s="721"/>
      <c r="F1183" s="722"/>
      <c r="G1183" s="1025"/>
      <c r="H1183" s="690"/>
      <c r="I1183" s="1030"/>
      <c r="J1183" s="690"/>
      <c r="K1183" s="1030"/>
      <c r="L1183" s="690"/>
      <c r="M1183" s="1025"/>
      <c r="N1183" s="1030"/>
      <c r="O1183" s="692">
        <f t="shared" si="157"/>
        <v>0</v>
      </c>
      <c r="P1183" s="690"/>
      <c r="Q1183" s="690"/>
      <c r="R1183" s="691">
        <f t="shared" si="158"/>
        <v>0</v>
      </c>
      <c r="S1183" s="692">
        <f t="shared" si="159"/>
        <v>0</v>
      </c>
      <c r="T1183" s="693">
        <f t="shared" si="160"/>
        <v>0</v>
      </c>
      <c r="U1183" s="1035"/>
      <c r="V1183" s="690"/>
      <c r="W1183" s="1025"/>
      <c r="X1183" s="1030"/>
      <c r="Y1183" s="694">
        <f t="shared" si="161"/>
        <v>0</v>
      </c>
      <c r="Z1183" s="690"/>
      <c r="AA1183" s="690"/>
      <c r="AB1183" s="695">
        <f t="shared" si="162"/>
        <v>0</v>
      </c>
      <c r="AC1183" s="1035"/>
      <c r="AD1183" s="690"/>
      <c r="AE1183" s="1025"/>
      <c r="AF1183" s="1030"/>
      <c r="AG1183" s="690"/>
      <c r="AH1183" s="690"/>
      <c r="AI1183" s="696">
        <f t="shared" si="163"/>
        <v>0</v>
      </c>
      <c r="AJ1183" s="697">
        <f t="shared" si="164"/>
        <v>0</v>
      </c>
    </row>
    <row r="1184" spans="1:36" s="700" customFormat="1" ht="12.75" customHeight="1">
      <c r="A1184" s="718" t="s">
        <v>210</v>
      </c>
      <c r="B1184" s="718" t="s">
        <v>402</v>
      </c>
      <c r="C1184" s="821" t="s">
        <v>933</v>
      </c>
      <c r="D1184" s="821"/>
      <c r="E1184" s="721"/>
      <c r="F1184" s="722"/>
      <c r="G1184" s="1025"/>
      <c r="H1184" s="690"/>
      <c r="I1184" s="1030">
        <v>5348100</v>
      </c>
      <c r="J1184" s="690">
        <v>0</v>
      </c>
      <c r="K1184" s="1030"/>
      <c r="L1184" s="690"/>
      <c r="M1184" s="1025"/>
      <c r="N1184" s="1030"/>
      <c r="O1184" s="692">
        <f t="shared" si="157"/>
        <v>0</v>
      </c>
      <c r="P1184" s="690"/>
      <c r="Q1184" s="690"/>
      <c r="R1184" s="691">
        <f t="shared" si="158"/>
        <v>0</v>
      </c>
      <c r="S1184" s="692">
        <f t="shared" si="159"/>
        <v>5348100</v>
      </c>
      <c r="T1184" s="693">
        <f t="shared" si="160"/>
        <v>0</v>
      </c>
      <c r="U1184" s="1035"/>
      <c r="V1184" s="690"/>
      <c r="W1184" s="1025"/>
      <c r="X1184" s="1030"/>
      <c r="Y1184" s="694">
        <f t="shared" si="161"/>
        <v>0</v>
      </c>
      <c r="Z1184" s="690"/>
      <c r="AA1184" s="690"/>
      <c r="AB1184" s="695">
        <f t="shared" si="162"/>
        <v>0</v>
      </c>
      <c r="AC1184" s="1035"/>
      <c r="AD1184" s="690"/>
      <c r="AE1184" s="1025"/>
      <c r="AF1184" s="1030"/>
      <c r="AG1184" s="690"/>
      <c r="AH1184" s="690"/>
      <c r="AI1184" s="696">
        <f t="shared" si="163"/>
        <v>5348100</v>
      </c>
      <c r="AJ1184" s="697">
        <f t="shared" si="164"/>
        <v>0</v>
      </c>
    </row>
    <row r="1185" spans="1:36" s="700" customFormat="1" ht="12.75" customHeight="1">
      <c r="A1185" s="718" t="s">
        <v>210</v>
      </c>
      <c r="B1185" s="718" t="s">
        <v>402</v>
      </c>
      <c r="C1185" s="821" t="s">
        <v>934</v>
      </c>
      <c r="D1185" s="821"/>
      <c r="E1185" s="721"/>
      <c r="F1185" s="722"/>
      <c r="G1185" s="1025"/>
      <c r="H1185" s="690"/>
      <c r="I1185" s="1030">
        <v>5532500</v>
      </c>
      <c r="J1185" s="690">
        <v>5455000</v>
      </c>
      <c r="K1185" s="1030"/>
      <c r="L1185" s="690"/>
      <c r="M1185" s="1025"/>
      <c r="N1185" s="1030"/>
      <c r="O1185" s="692">
        <f t="shared" si="157"/>
        <v>0</v>
      </c>
      <c r="P1185" s="690"/>
      <c r="Q1185" s="690"/>
      <c r="R1185" s="691">
        <f t="shared" si="158"/>
        <v>0</v>
      </c>
      <c r="S1185" s="692">
        <f t="shared" si="159"/>
        <v>5532500</v>
      </c>
      <c r="T1185" s="693">
        <f t="shared" si="160"/>
        <v>5455000</v>
      </c>
      <c r="U1185" s="1035"/>
      <c r="V1185" s="690"/>
      <c r="W1185" s="1025"/>
      <c r="X1185" s="1030"/>
      <c r="Y1185" s="694">
        <f t="shared" si="161"/>
        <v>0</v>
      </c>
      <c r="Z1185" s="690"/>
      <c r="AA1185" s="690"/>
      <c r="AB1185" s="695">
        <f t="shared" si="162"/>
        <v>0</v>
      </c>
      <c r="AC1185" s="1035"/>
      <c r="AD1185" s="690"/>
      <c r="AE1185" s="1025"/>
      <c r="AF1185" s="1030"/>
      <c r="AG1185" s="690"/>
      <c r="AH1185" s="690"/>
      <c r="AI1185" s="696">
        <f t="shared" si="163"/>
        <v>5532500</v>
      </c>
      <c r="AJ1185" s="697">
        <f t="shared" si="164"/>
        <v>5455000</v>
      </c>
    </row>
    <row r="1186" spans="1:36" s="700" customFormat="1" ht="12.75" customHeight="1">
      <c r="A1186" s="718" t="s">
        <v>210</v>
      </c>
      <c r="B1186" s="718" t="s">
        <v>402</v>
      </c>
      <c r="C1186" s="821" t="s">
        <v>935</v>
      </c>
      <c r="D1186" s="821"/>
      <c r="E1186" s="721"/>
      <c r="F1186" s="722"/>
      <c r="G1186" s="1025"/>
      <c r="H1186" s="690"/>
      <c r="I1186" s="1030">
        <v>2766200</v>
      </c>
      <c r="J1186" s="690">
        <v>2727500</v>
      </c>
      <c r="K1186" s="1030"/>
      <c r="L1186" s="690"/>
      <c r="M1186" s="1025"/>
      <c r="N1186" s="1030"/>
      <c r="O1186" s="692">
        <f t="shared" si="157"/>
        <v>0</v>
      </c>
      <c r="P1186" s="690"/>
      <c r="Q1186" s="690"/>
      <c r="R1186" s="691">
        <f t="shared" si="158"/>
        <v>0</v>
      </c>
      <c r="S1186" s="692">
        <f t="shared" si="159"/>
        <v>2766200</v>
      </c>
      <c r="T1186" s="693">
        <f t="shared" si="160"/>
        <v>2727500</v>
      </c>
      <c r="U1186" s="1035"/>
      <c r="V1186" s="690"/>
      <c r="W1186" s="1025"/>
      <c r="X1186" s="1030"/>
      <c r="Y1186" s="694">
        <f t="shared" si="161"/>
        <v>0</v>
      </c>
      <c r="Z1186" s="690"/>
      <c r="AA1186" s="690"/>
      <c r="AB1186" s="695">
        <f t="shared" si="162"/>
        <v>0</v>
      </c>
      <c r="AC1186" s="1035"/>
      <c r="AD1186" s="690"/>
      <c r="AE1186" s="1025"/>
      <c r="AF1186" s="1030"/>
      <c r="AG1186" s="690"/>
      <c r="AH1186" s="690"/>
      <c r="AI1186" s="696">
        <f t="shared" si="163"/>
        <v>2766200</v>
      </c>
      <c r="AJ1186" s="697">
        <f t="shared" si="164"/>
        <v>2727500</v>
      </c>
    </row>
    <row r="1187" spans="1:36" s="700" customFormat="1" ht="12.75" customHeight="1">
      <c r="A1187" s="718" t="s">
        <v>210</v>
      </c>
      <c r="B1187" s="718" t="s">
        <v>402</v>
      </c>
      <c r="C1187" s="821" t="s">
        <v>936</v>
      </c>
      <c r="D1187" s="821"/>
      <c r="E1187" s="721"/>
      <c r="F1187" s="722"/>
      <c r="G1187" s="1025"/>
      <c r="H1187" s="690"/>
      <c r="I1187" s="1030">
        <v>922100</v>
      </c>
      <c r="J1187" s="690">
        <v>909300</v>
      </c>
      <c r="K1187" s="1030"/>
      <c r="L1187" s="690"/>
      <c r="M1187" s="1025"/>
      <c r="N1187" s="1030"/>
      <c r="O1187" s="692">
        <f t="shared" si="157"/>
        <v>0</v>
      </c>
      <c r="P1187" s="690"/>
      <c r="Q1187" s="690"/>
      <c r="R1187" s="691">
        <f t="shared" si="158"/>
        <v>0</v>
      </c>
      <c r="S1187" s="692">
        <f t="shared" si="159"/>
        <v>922100</v>
      </c>
      <c r="T1187" s="693">
        <f t="shared" si="160"/>
        <v>909300</v>
      </c>
      <c r="U1187" s="1035"/>
      <c r="V1187" s="690"/>
      <c r="W1187" s="1025"/>
      <c r="X1187" s="1030"/>
      <c r="Y1187" s="694">
        <f t="shared" si="161"/>
        <v>0</v>
      </c>
      <c r="Z1187" s="690"/>
      <c r="AA1187" s="690"/>
      <c r="AB1187" s="695">
        <f t="shared" si="162"/>
        <v>0</v>
      </c>
      <c r="AC1187" s="1035"/>
      <c r="AD1187" s="690"/>
      <c r="AE1187" s="1025"/>
      <c r="AF1187" s="1030"/>
      <c r="AG1187" s="690"/>
      <c r="AH1187" s="690"/>
      <c r="AI1187" s="696">
        <f t="shared" si="163"/>
        <v>922100</v>
      </c>
      <c r="AJ1187" s="697">
        <f t="shared" si="164"/>
        <v>909300</v>
      </c>
    </row>
    <row r="1188" spans="1:36" s="700" customFormat="1" ht="12.75" customHeight="1">
      <c r="A1188" s="718" t="s">
        <v>210</v>
      </c>
      <c r="B1188" s="718" t="s">
        <v>402</v>
      </c>
      <c r="C1188" s="821" t="s">
        <v>937</v>
      </c>
      <c r="D1188" s="821"/>
      <c r="E1188" s="721"/>
      <c r="F1188" s="722"/>
      <c r="G1188" s="1025"/>
      <c r="H1188" s="690"/>
      <c r="I1188" s="1030">
        <v>2188900</v>
      </c>
      <c r="J1188" s="690">
        <v>2158300</v>
      </c>
      <c r="K1188" s="1030"/>
      <c r="L1188" s="690"/>
      <c r="M1188" s="1025"/>
      <c r="N1188" s="1030"/>
      <c r="O1188" s="692">
        <f t="shared" si="157"/>
        <v>0</v>
      </c>
      <c r="P1188" s="690"/>
      <c r="Q1188" s="690"/>
      <c r="R1188" s="691">
        <f t="shared" si="158"/>
        <v>0</v>
      </c>
      <c r="S1188" s="692">
        <f t="shared" si="159"/>
        <v>2188900</v>
      </c>
      <c r="T1188" s="693">
        <f t="shared" si="160"/>
        <v>2158300</v>
      </c>
      <c r="U1188" s="1035"/>
      <c r="V1188" s="690"/>
      <c r="W1188" s="1025"/>
      <c r="X1188" s="1030"/>
      <c r="Y1188" s="694">
        <f t="shared" si="161"/>
        <v>0</v>
      </c>
      <c r="Z1188" s="690"/>
      <c r="AA1188" s="690"/>
      <c r="AB1188" s="695">
        <f t="shared" si="162"/>
        <v>0</v>
      </c>
      <c r="AC1188" s="1035"/>
      <c r="AD1188" s="690"/>
      <c r="AE1188" s="1025"/>
      <c r="AF1188" s="1030"/>
      <c r="AG1188" s="690"/>
      <c r="AH1188" s="690"/>
      <c r="AI1188" s="696">
        <f t="shared" si="163"/>
        <v>2188900</v>
      </c>
      <c r="AJ1188" s="697">
        <f t="shared" si="164"/>
        <v>2158300</v>
      </c>
    </row>
    <row r="1189" spans="1:36" s="700" customFormat="1" ht="12.75" customHeight="1">
      <c r="A1189" s="718" t="s">
        <v>210</v>
      </c>
      <c r="B1189" s="718" t="s">
        <v>402</v>
      </c>
      <c r="C1189" s="821" t="s">
        <v>938</v>
      </c>
      <c r="D1189" s="821"/>
      <c r="E1189" s="721"/>
      <c r="F1189" s="722"/>
      <c r="G1189" s="1025"/>
      <c r="H1189" s="690"/>
      <c r="I1189" s="1030">
        <v>2239100</v>
      </c>
      <c r="J1189" s="690">
        <v>2464100</v>
      </c>
      <c r="K1189" s="1030"/>
      <c r="L1189" s="690"/>
      <c r="M1189" s="1025"/>
      <c r="N1189" s="1030"/>
      <c r="O1189" s="692">
        <f t="shared" si="157"/>
        <v>0</v>
      </c>
      <c r="P1189" s="690"/>
      <c r="Q1189" s="690"/>
      <c r="R1189" s="691">
        <f t="shared" si="158"/>
        <v>0</v>
      </c>
      <c r="S1189" s="692">
        <f t="shared" si="159"/>
        <v>2239100</v>
      </c>
      <c r="T1189" s="693">
        <f t="shared" si="160"/>
        <v>2464100</v>
      </c>
      <c r="U1189" s="1035"/>
      <c r="V1189" s="690"/>
      <c r="W1189" s="1025"/>
      <c r="X1189" s="1030"/>
      <c r="Y1189" s="694">
        <f t="shared" si="161"/>
        <v>0</v>
      </c>
      <c r="Z1189" s="690"/>
      <c r="AA1189" s="690"/>
      <c r="AB1189" s="695">
        <f t="shared" si="162"/>
        <v>0</v>
      </c>
      <c r="AC1189" s="1035"/>
      <c r="AD1189" s="690"/>
      <c r="AE1189" s="1025"/>
      <c r="AF1189" s="1030"/>
      <c r="AG1189" s="690"/>
      <c r="AH1189" s="690"/>
      <c r="AI1189" s="696">
        <f t="shared" si="163"/>
        <v>2239100</v>
      </c>
      <c r="AJ1189" s="697">
        <f t="shared" si="164"/>
        <v>2464100</v>
      </c>
    </row>
    <row r="1190" spans="1:36" s="700" customFormat="1" ht="12.75" customHeight="1">
      <c r="A1190" s="718" t="s">
        <v>210</v>
      </c>
      <c r="B1190" s="718" t="s">
        <v>431</v>
      </c>
      <c r="C1190" s="834" t="s">
        <v>939</v>
      </c>
      <c r="D1190" s="834"/>
      <c r="E1190" s="721"/>
      <c r="F1190" s="722"/>
      <c r="G1190" s="1025"/>
      <c r="H1190" s="690"/>
      <c r="I1190" s="1030"/>
      <c r="J1190" s="690"/>
      <c r="K1190" s="1030"/>
      <c r="L1190" s="690"/>
      <c r="M1190" s="1025"/>
      <c r="N1190" s="1030"/>
      <c r="O1190" s="692">
        <f t="shared" si="157"/>
        <v>0</v>
      </c>
      <c r="P1190" s="690"/>
      <c r="Q1190" s="690"/>
      <c r="R1190" s="691">
        <f t="shared" si="158"/>
        <v>0</v>
      </c>
      <c r="S1190" s="692">
        <f t="shared" si="159"/>
        <v>0</v>
      </c>
      <c r="T1190" s="693">
        <f t="shared" si="160"/>
        <v>0</v>
      </c>
      <c r="U1190" s="1035"/>
      <c r="V1190" s="690"/>
      <c r="W1190" s="1025"/>
      <c r="X1190" s="1030"/>
      <c r="Y1190" s="694">
        <f t="shared" si="161"/>
        <v>0</v>
      </c>
      <c r="Z1190" s="690"/>
      <c r="AA1190" s="690"/>
      <c r="AB1190" s="695">
        <f t="shared" si="162"/>
        <v>0</v>
      </c>
      <c r="AC1190" s="1035"/>
      <c r="AD1190" s="690"/>
      <c r="AE1190" s="1025"/>
      <c r="AF1190" s="1030"/>
      <c r="AG1190" s="690"/>
      <c r="AH1190" s="690"/>
      <c r="AI1190" s="696">
        <f t="shared" si="163"/>
        <v>0</v>
      </c>
      <c r="AJ1190" s="697">
        <f t="shared" si="164"/>
        <v>0</v>
      </c>
    </row>
    <row r="1191" spans="1:36" s="700" customFormat="1" ht="12.75" customHeight="1">
      <c r="A1191" s="718" t="s">
        <v>210</v>
      </c>
      <c r="B1191" s="718" t="s">
        <v>431</v>
      </c>
      <c r="C1191" s="821" t="s">
        <v>940</v>
      </c>
      <c r="D1191" s="821"/>
      <c r="E1191" s="721"/>
      <c r="F1191" s="722"/>
      <c r="G1191" s="1025"/>
      <c r="H1191" s="690"/>
      <c r="I1191" s="1030">
        <v>322600</v>
      </c>
      <c r="J1191" s="690">
        <v>305400</v>
      </c>
      <c r="K1191" s="1030"/>
      <c r="L1191" s="690"/>
      <c r="M1191" s="1025"/>
      <c r="N1191" s="1030"/>
      <c r="O1191" s="692">
        <f t="shared" si="157"/>
        <v>0</v>
      </c>
      <c r="P1191" s="690"/>
      <c r="Q1191" s="690"/>
      <c r="R1191" s="691">
        <f t="shared" si="158"/>
        <v>0</v>
      </c>
      <c r="S1191" s="692">
        <f t="shared" si="159"/>
        <v>322600</v>
      </c>
      <c r="T1191" s="693">
        <f t="shared" si="160"/>
        <v>305400</v>
      </c>
      <c r="U1191" s="1035"/>
      <c r="V1191" s="690"/>
      <c r="W1191" s="1025"/>
      <c r="X1191" s="1030"/>
      <c r="Y1191" s="694">
        <f t="shared" si="161"/>
        <v>0</v>
      </c>
      <c r="Z1191" s="690"/>
      <c r="AA1191" s="690"/>
      <c r="AB1191" s="695">
        <f t="shared" si="162"/>
        <v>0</v>
      </c>
      <c r="AC1191" s="1035"/>
      <c r="AD1191" s="690"/>
      <c r="AE1191" s="1025"/>
      <c r="AF1191" s="1030"/>
      <c r="AG1191" s="690"/>
      <c r="AH1191" s="690"/>
      <c r="AI1191" s="696">
        <f t="shared" si="163"/>
        <v>322600</v>
      </c>
      <c r="AJ1191" s="697">
        <f t="shared" si="164"/>
        <v>305400</v>
      </c>
    </row>
    <row r="1192" spans="1:36" s="700" customFormat="1" ht="12.75" customHeight="1">
      <c r="A1192" s="718" t="s">
        <v>210</v>
      </c>
      <c r="B1192" s="718" t="s">
        <v>431</v>
      </c>
      <c r="C1192" s="821" t="s">
        <v>941</v>
      </c>
      <c r="D1192" s="821"/>
      <c r="E1192" s="721"/>
      <c r="F1192" s="722"/>
      <c r="G1192" s="1025"/>
      <c r="H1192" s="690"/>
      <c r="I1192" s="1030">
        <v>225300</v>
      </c>
      <c r="J1192" s="690">
        <v>213300</v>
      </c>
      <c r="K1192" s="1030"/>
      <c r="L1192" s="690"/>
      <c r="M1192" s="1025"/>
      <c r="N1192" s="1030"/>
      <c r="O1192" s="692">
        <f t="shared" si="157"/>
        <v>0</v>
      </c>
      <c r="P1192" s="690"/>
      <c r="Q1192" s="690"/>
      <c r="R1192" s="691">
        <f t="shared" si="158"/>
        <v>0</v>
      </c>
      <c r="S1192" s="692">
        <f t="shared" si="159"/>
        <v>225300</v>
      </c>
      <c r="T1192" s="693">
        <f t="shared" si="160"/>
        <v>213300</v>
      </c>
      <c r="U1192" s="1035"/>
      <c r="V1192" s="690"/>
      <c r="W1192" s="1025"/>
      <c r="X1192" s="1030"/>
      <c r="Y1192" s="694">
        <f t="shared" si="161"/>
        <v>0</v>
      </c>
      <c r="Z1192" s="690"/>
      <c r="AA1192" s="690"/>
      <c r="AB1192" s="695">
        <f t="shared" si="162"/>
        <v>0</v>
      </c>
      <c r="AC1192" s="1035"/>
      <c r="AD1192" s="690"/>
      <c r="AE1192" s="1025"/>
      <c r="AF1192" s="1030"/>
      <c r="AG1192" s="690"/>
      <c r="AH1192" s="690"/>
      <c r="AI1192" s="696">
        <f t="shared" si="163"/>
        <v>225300</v>
      </c>
      <c r="AJ1192" s="697">
        <f t="shared" si="164"/>
        <v>213300</v>
      </c>
    </row>
    <row r="1193" spans="1:36" s="700" customFormat="1" ht="12.75" customHeight="1">
      <c r="A1193" s="718" t="s">
        <v>210</v>
      </c>
      <c r="B1193" s="718" t="s">
        <v>431</v>
      </c>
      <c r="C1193" s="821" t="s">
        <v>942</v>
      </c>
      <c r="D1193" s="821"/>
      <c r="E1193" s="721"/>
      <c r="F1193" s="722"/>
      <c r="G1193" s="1025"/>
      <c r="H1193" s="690"/>
      <c r="I1193" s="1030">
        <v>5680600</v>
      </c>
      <c r="J1193" s="690">
        <v>4633800</v>
      </c>
      <c r="K1193" s="1030"/>
      <c r="L1193" s="690"/>
      <c r="M1193" s="1025"/>
      <c r="N1193" s="1030"/>
      <c r="O1193" s="692">
        <f t="shared" si="157"/>
        <v>0</v>
      </c>
      <c r="P1193" s="690"/>
      <c r="Q1193" s="690"/>
      <c r="R1193" s="691">
        <f t="shared" si="158"/>
        <v>0</v>
      </c>
      <c r="S1193" s="692">
        <f t="shared" si="159"/>
        <v>5680600</v>
      </c>
      <c r="T1193" s="693">
        <f t="shared" si="160"/>
        <v>4633800</v>
      </c>
      <c r="U1193" s="1035"/>
      <c r="V1193" s="690"/>
      <c r="W1193" s="1025"/>
      <c r="X1193" s="1030"/>
      <c r="Y1193" s="694">
        <f t="shared" si="161"/>
        <v>0</v>
      </c>
      <c r="Z1193" s="690"/>
      <c r="AA1193" s="690"/>
      <c r="AB1193" s="695">
        <f t="shared" si="162"/>
        <v>0</v>
      </c>
      <c r="AC1193" s="1035"/>
      <c r="AD1193" s="690"/>
      <c r="AE1193" s="1025"/>
      <c r="AF1193" s="1030"/>
      <c r="AG1193" s="690"/>
      <c r="AH1193" s="690"/>
      <c r="AI1193" s="696">
        <f t="shared" si="163"/>
        <v>5680600</v>
      </c>
      <c r="AJ1193" s="697">
        <f t="shared" si="164"/>
        <v>4633800</v>
      </c>
    </row>
    <row r="1194" spans="1:36" s="700" customFormat="1" ht="12.75" customHeight="1">
      <c r="A1194" s="718" t="s">
        <v>210</v>
      </c>
      <c r="B1194" s="718" t="s">
        <v>431</v>
      </c>
      <c r="C1194" s="821" t="s">
        <v>943</v>
      </c>
      <c r="D1194" s="821"/>
      <c r="E1194" s="721"/>
      <c r="F1194" s="722"/>
      <c r="G1194" s="1025"/>
      <c r="H1194" s="690"/>
      <c r="I1194" s="1030">
        <v>0</v>
      </c>
      <c r="J1194" s="690">
        <v>0</v>
      </c>
      <c r="K1194" s="1030"/>
      <c r="L1194" s="690"/>
      <c r="M1194" s="1025"/>
      <c r="N1194" s="1030"/>
      <c r="O1194" s="692">
        <f t="shared" si="157"/>
        <v>0</v>
      </c>
      <c r="P1194" s="690"/>
      <c r="Q1194" s="690"/>
      <c r="R1194" s="691">
        <f t="shared" si="158"/>
        <v>0</v>
      </c>
      <c r="S1194" s="692">
        <f t="shared" si="159"/>
        <v>0</v>
      </c>
      <c r="T1194" s="693">
        <f t="shared" si="160"/>
        <v>0</v>
      </c>
      <c r="U1194" s="1035"/>
      <c r="V1194" s="690"/>
      <c r="W1194" s="1025"/>
      <c r="X1194" s="1030"/>
      <c r="Y1194" s="694">
        <f t="shared" si="161"/>
        <v>0</v>
      </c>
      <c r="Z1194" s="690"/>
      <c r="AA1194" s="690"/>
      <c r="AB1194" s="695">
        <f t="shared" si="162"/>
        <v>0</v>
      </c>
      <c r="AC1194" s="1035"/>
      <c r="AD1194" s="690"/>
      <c r="AE1194" s="1025"/>
      <c r="AF1194" s="1030"/>
      <c r="AG1194" s="690"/>
      <c r="AH1194" s="690"/>
      <c r="AI1194" s="696">
        <f t="shared" si="163"/>
        <v>0</v>
      </c>
      <c r="AJ1194" s="697">
        <f t="shared" si="164"/>
        <v>0</v>
      </c>
    </row>
    <row r="1195" spans="1:36" s="700" customFormat="1" ht="12.75" customHeight="1">
      <c r="A1195" s="718" t="s">
        <v>210</v>
      </c>
      <c r="B1195" s="718" t="s">
        <v>431</v>
      </c>
      <c r="C1195" s="821" t="s">
        <v>944</v>
      </c>
      <c r="D1195" s="821"/>
      <c r="E1195" s="721"/>
      <c r="F1195" s="722"/>
      <c r="G1195" s="1025"/>
      <c r="H1195" s="690"/>
      <c r="I1195" s="1030">
        <v>2930300</v>
      </c>
      <c r="J1195" s="690">
        <v>2724200</v>
      </c>
      <c r="K1195" s="1030"/>
      <c r="L1195" s="690"/>
      <c r="M1195" s="1025"/>
      <c r="N1195" s="1030"/>
      <c r="O1195" s="692">
        <f t="shared" si="157"/>
        <v>0</v>
      </c>
      <c r="P1195" s="690"/>
      <c r="Q1195" s="690"/>
      <c r="R1195" s="691">
        <f t="shared" si="158"/>
        <v>0</v>
      </c>
      <c r="S1195" s="692">
        <f t="shared" si="159"/>
        <v>2930300</v>
      </c>
      <c r="T1195" s="693">
        <f t="shared" si="160"/>
        <v>2724200</v>
      </c>
      <c r="U1195" s="1035"/>
      <c r="V1195" s="690"/>
      <c r="W1195" s="1025"/>
      <c r="X1195" s="1030"/>
      <c r="Y1195" s="694">
        <f t="shared" si="161"/>
        <v>0</v>
      </c>
      <c r="Z1195" s="690"/>
      <c r="AA1195" s="690"/>
      <c r="AB1195" s="695">
        <f t="shared" si="162"/>
        <v>0</v>
      </c>
      <c r="AC1195" s="1035"/>
      <c r="AD1195" s="690"/>
      <c r="AE1195" s="1025"/>
      <c r="AF1195" s="1030"/>
      <c r="AG1195" s="690"/>
      <c r="AH1195" s="690"/>
      <c r="AI1195" s="696">
        <f t="shared" si="163"/>
        <v>2930300</v>
      </c>
      <c r="AJ1195" s="697">
        <f t="shared" si="164"/>
        <v>2724200</v>
      </c>
    </row>
    <row r="1196" spans="1:36" s="700" customFormat="1" ht="12.75" customHeight="1">
      <c r="A1196" s="718" t="s">
        <v>210</v>
      </c>
      <c r="B1196" s="718" t="s">
        <v>431</v>
      </c>
      <c r="C1196" s="821" t="s">
        <v>945</v>
      </c>
      <c r="D1196" s="821"/>
      <c r="E1196" s="721"/>
      <c r="F1196" s="722"/>
      <c r="G1196" s="1025"/>
      <c r="H1196" s="690"/>
      <c r="I1196" s="1030">
        <v>2485200</v>
      </c>
      <c r="J1196" s="690">
        <v>2126800</v>
      </c>
      <c r="K1196" s="1030"/>
      <c r="L1196" s="690"/>
      <c r="M1196" s="1025"/>
      <c r="N1196" s="1030"/>
      <c r="O1196" s="692">
        <f t="shared" si="157"/>
        <v>0</v>
      </c>
      <c r="P1196" s="690"/>
      <c r="Q1196" s="690"/>
      <c r="R1196" s="691">
        <f t="shared" si="158"/>
        <v>0</v>
      </c>
      <c r="S1196" s="692">
        <f t="shared" si="159"/>
        <v>2485200</v>
      </c>
      <c r="T1196" s="693">
        <f t="shared" si="160"/>
        <v>2126800</v>
      </c>
      <c r="U1196" s="1035"/>
      <c r="V1196" s="690"/>
      <c r="W1196" s="1025"/>
      <c r="X1196" s="1030"/>
      <c r="Y1196" s="694">
        <f t="shared" si="161"/>
        <v>0</v>
      </c>
      <c r="Z1196" s="690"/>
      <c r="AA1196" s="690"/>
      <c r="AB1196" s="695">
        <f t="shared" si="162"/>
        <v>0</v>
      </c>
      <c r="AC1196" s="1035"/>
      <c r="AD1196" s="690"/>
      <c r="AE1196" s="1025"/>
      <c r="AF1196" s="1030"/>
      <c r="AG1196" s="690"/>
      <c r="AH1196" s="690"/>
      <c r="AI1196" s="696">
        <f t="shared" si="163"/>
        <v>2485200</v>
      </c>
      <c r="AJ1196" s="697">
        <f t="shared" si="164"/>
        <v>2126800</v>
      </c>
    </row>
    <row r="1197" spans="1:36" s="700" customFormat="1" ht="12.75" customHeight="1">
      <c r="A1197" s="718" t="s">
        <v>210</v>
      </c>
      <c r="B1197" s="718" t="s">
        <v>431</v>
      </c>
      <c r="C1197" s="821" t="s">
        <v>946</v>
      </c>
      <c r="D1197" s="821"/>
      <c r="E1197" s="721"/>
      <c r="F1197" s="722"/>
      <c r="G1197" s="1025"/>
      <c r="H1197" s="690"/>
      <c r="I1197" s="1030">
        <v>1577800</v>
      </c>
      <c r="J1197" s="690">
        <v>1655000</v>
      </c>
      <c r="K1197" s="1030"/>
      <c r="L1197" s="690"/>
      <c r="M1197" s="1025"/>
      <c r="N1197" s="1030"/>
      <c r="O1197" s="692">
        <f t="shared" si="157"/>
        <v>0</v>
      </c>
      <c r="P1197" s="690"/>
      <c r="Q1197" s="690"/>
      <c r="R1197" s="691">
        <f t="shared" si="158"/>
        <v>0</v>
      </c>
      <c r="S1197" s="692">
        <f t="shared" si="159"/>
        <v>1577800</v>
      </c>
      <c r="T1197" s="693">
        <f t="shared" si="160"/>
        <v>1655000</v>
      </c>
      <c r="U1197" s="1035"/>
      <c r="V1197" s="690"/>
      <c r="W1197" s="1025"/>
      <c r="X1197" s="1030"/>
      <c r="Y1197" s="694">
        <f t="shared" si="161"/>
        <v>0</v>
      </c>
      <c r="Z1197" s="690"/>
      <c r="AA1197" s="690"/>
      <c r="AB1197" s="695">
        <f t="shared" si="162"/>
        <v>0</v>
      </c>
      <c r="AC1197" s="1035"/>
      <c r="AD1197" s="690"/>
      <c r="AE1197" s="1025"/>
      <c r="AF1197" s="1030"/>
      <c r="AG1197" s="690"/>
      <c r="AH1197" s="690"/>
      <c r="AI1197" s="696">
        <f t="shared" si="163"/>
        <v>1577800</v>
      </c>
      <c r="AJ1197" s="697">
        <f t="shared" si="164"/>
        <v>1655000</v>
      </c>
    </row>
    <row r="1198" spans="1:36" s="700" customFormat="1" ht="12.75" customHeight="1">
      <c r="A1198" s="718" t="s">
        <v>210</v>
      </c>
      <c r="B1198" s="718" t="s">
        <v>431</v>
      </c>
      <c r="C1198" s="821" t="s">
        <v>947</v>
      </c>
      <c r="D1198" s="821"/>
      <c r="E1198" s="721"/>
      <c r="F1198" s="722"/>
      <c r="G1198" s="1025"/>
      <c r="H1198" s="690"/>
      <c r="I1198" s="1030">
        <v>22585000</v>
      </c>
      <c r="J1198" s="690">
        <v>22246200</v>
      </c>
      <c r="K1198" s="1030"/>
      <c r="L1198" s="690"/>
      <c r="M1198" s="1025"/>
      <c r="N1198" s="1030"/>
      <c r="O1198" s="692">
        <f t="shared" si="157"/>
        <v>0</v>
      </c>
      <c r="P1198" s="690"/>
      <c r="Q1198" s="690"/>
      <c r="R1198" s="691">
        <f t="shared" si="158"/>
        <v>0</v>
      </c>
      <c r="S1198" s="692">
        <f t="shared" si="159"/>
        <v>22585000</v>
      </c>
      <c r="T1198" s="693">
        <f t="shared" si="160"/>
        <v>22246200</v>
      </c>
      <c r="U1198" s="1035"/>
      <c r="V1198" s="690"/>
      <c r="W1198" s="1025"/>
      <c r="X1198" s="1030"/>
      <c r="Y1198" s="694">
        <f t="shared" si="161"/>
        <v>0</v>
      </c>
      <c r="Z1198" s="690"/>
      <c r="AA1198" s="690"/>
      <c r="AB1198" s="695">
        <f t="shared" si="162"/>
        <v>0</v>
      </c>
      <c r="AC1198" s="1035"/>
      <c r="AD1198" s="690"/>
      <c r="AE1198" s="1025"/>
      <c r="AF1198" s="1030"/>
      <c r="AG1198" s="690"/>
      <c r="AH1198" s="690"/>
      <c r="AI1198" s="696">
        <f t="shared" si="163"/>
        <v>22585000</v>
      </c>
      <c r="AJ1198" s="697">
        <f t="shared" si="164"/>
        <v>22246200</v>
      </c>
    </row>
    <row r="1199" spans="1:36" s="700" customFormat="1" ht="12.75" customHeight="1">
      <c r="A1199" s="718" t="s">
        <v>210</v>
      </c>
      <c r="B1199" s="718" t="s">
        <v>431</v>
      </c>
      <c r="C1199" s="821" t="s">
        <v>948</v>
      </c>
      <c r="D1199" s="821"/>
      <c r="E1199" s="721"/>
      <c r="F1199" s="722"/>
      <c r="G1199" s="1025"/>
      <c r="H1199" s="690"/>
      <c r="I1199" s="1030">
        <v>161000</v>
      </c>
      <c r="J1199" s="690">
        <v>152400</v>
      </c>
      <c r="K1199" s="1030"/>
      <c r="L1199" s="690"/>
      <c r="M1199" s="1025"/>
      <c r="N1199" s="1030"/>
      <c r="O1199" s="692">
        <f t="shared" si="157"/>
        <v>0</v>
      </c>
      <c r="P1199" s="690"/>
      <c r="Q1199" s="690"/>
      <c r="R1199" s="691">
        <f t="shared" si="158"/>
        <v>0</v>
      </c>
      <c r="S1199" s="692">
        <f t="shared" si="159"/>
        <v>161000</v>
      </c>
      <c r="T1199" s="693">
        <f t="shared" si="160"/>
        <v>152400</v>
      </c>
      <c r="U1199" s="1035"/>
      <c r="V1199" s="690"/>
      <c r="W1199" s="1025"/>
      <c r="X1199" s="1030"/>
      <c r="Y1199" s="694">
        <f t="shared" si="161"/>
        <v>0</v>
      </c>
      <c r="Z1199" s="690"/>
      <c r="AA1199" s="690"/>
      <c r="AB1199" s="695">
        <f t="shared" si="162"/>
        <v>0</v>
      </c>
      <c r="AC1199" s="1035"/>
      <c r="AD1199" s="690"/>
      <c r="AE1199" s="1025"/>
      <c r="AF1199" s="1030"/>
      <c r="AG1199" s="690"/>
      <c r="AH1199" s="690"/>
      <c r="AI1199" s="696">
        <f t="shared" si="163"/>
        <v>161000</v>
      </c>
      <c r="AJ1199" s="697">
        <f t="shared" si="164"/>
        <v>152400</v>
      </c>
    </row>
    <row r="1200" spans="1:36" s="700" customFormat="1" ht="12.75" customHeight="1">
      <c r="A1200" s="718" t="s">
        <v>210</v>
      </c>
      <c r="B1200" s="718" t="s">
        <v>431</v>
      </c>
      <c r="C1200" s="821" t="s">
        <v>949</v>
      </c>
      <c r="D1200" s="821"/>
      <c r="E1200" s="721"/>
      <c r="F1200" s="722"/>
      <c r="G1200" s="1025"/>
      <c r="H1200" s="690"/>
      <c r="I1200" s="1030">
        <v>6956900</v>
      </c>
      <c r="J1200" s="690">
        <v>6585400</v>
      </c>
      <c r="K1200" s="1030"/>
      <c r="L1200" s="690"/>
      <c r="M1200" s="1025"/>
      <c r="N1200" s="1030"/>
      <c r="O1200" s="692">
        <f t="shared" si="157"/>
        <v>0</v>
      </c>
      <c r="P1200" s="690"/>
      <c r="Q1200" s="690"/>
      <c r="R1200" s="691">
        <f t="shared" si="158"/>
        <v>0</v>
      </c>
      <c r="S1200" s="692">
        <f t="shared" si="159"/>
        <v>6956900</v>
      </c>
      <c r="T1200" s="693">
        <f t="shared" si="160"/>
        <v>6585400</v>
      </c>
      <c r="U1200" s="1035"/>
      <c r="V1200" s="690"/>
      <c r="W1200" s="1025"/>
      <c r="X1200" s="1030"/>
      <c r="Y1200" s="694">
        <f t="shared" si="161"/>
        <v>0</v>
      </c>
      <c r="Z1200" s="690"/>
      <c r="AA1200" s="690"/>
      <c r="AB1200" s="695">
        <f t="shared" si="162"/>
        <v>0</v>
      </c>
      <c r="AC1200" s="1035"/>
      <c r="AD1200" s="690"/>
      <c r="AE1200" s="1025"/>
      <c r="AF1200" s="1030"/>
      <c r="AG1200" s="690"/>
      <c r="AH1200" s="690"/>
      <c r="AI1200" s="696">
        <f t="shared" si="163"/>
        <v>6956900</v>
      </c>
      <c r="AJ1200" s="697">
        <f t="shared" si="164"/>
        <v>6585400</v>
      </c>
    </row>
    <row r="1201" spans="1:36" s="700" customFormat="1" ht="12.75" customHeight="1">
      <c r="A1201" s="718" t="s">
        <v>210</v>
      </c>
      <c r="B1201" s="718" t="s">
        <v>409</v>
      </c>
      <c r="C1201" s="834" t="s">
        <v>157</v>
      </c>
      <c r="D1201" s="834"/>
      <c r="E1201" s="721"/>
      <c r="F1201" s="722"/>
      <c r="G1201" s="1025"/>
      <c r="H1201" s="690"/>
      <c r="I1201" s="1030"/>
      <c r="J1201" s="690"/>
      <c r="K1201" s="1030"/>
      <c r="L1201" s="690"/>
      <c r="M1201" s="1025"/>
      <c r="N1201" s="1030"/>
      <c r="O1201" s="692">
        <f t="shared" si="157"/>
        <v>0</v>
      </c>
      <c r="P1201" s="690"/>
      <c r="Q1201" s="690"/>
      <c r="R1201" s="691">
        <f t="shared" si="158"/>
        <v>0</v>
      </c>
      <c r="S1201" s="692">
        <f t="shared" si="159"/>
        <v>0</v>
      </c>
      <c r="T1201" s="693">
        <f t="shared" si="160"/>
        <v>0</v>
      </c>
      <c r="U1201" s="1035"/>
      <c r="V1201" s="690"/>
      <c r="W1201" s="1025"/>
      <c r="X1201" s="1030"/>
      <c r="Y1201" s="694">
        <f t="shared" si="161"/>
        <v>0</v>
      </c>
      <c r="Z1201" s="690"/>
      <c r="AA1201" s="690"/>
      <c r="AB1201" s="695">
        <f t="shared" si="162"/>
        <v>0</v>
      </c>
      <c r="AC1201" s="1035"/>
      <c r="AD1201" s="690"/>
      <c r="AE1201" s="1025"/>
      <c r="AF1201" s="1030"/>
      <c r="AG1201" s="690"/>
      <c r="AH1201" s="690"/>
      <c r="AI1201" s="696">
        <f t="shared" si="163"/>
        <v>0</v>
      </c>
      <c r="AJ1201" s="697">
        <f t="shared" si="164"/>
        <v>0</v>
      </c>
    </row>
    <row r="1202" spans="1:36" s="700" customFormat="1" ht="12.75" customHeight="1">
      <c r="A1202" s="718" t="s">
        <v>210</v>
      </c>
      <c r="B1202" s="718" t="s">
        <v>410</v>
      </c>
      <c r="C1202" s="728" t="s">
        <v>200</v>
      </c>
      <c r="D1202" s="728"/>
      <c r="E1202" s="721"/>
      <c r="F1202" s="722"/>
      <c r="G1202" s="1025"/>
      <c r="H1202" s="690"/>
      <c r="I1202" s="1030"/>
      <c r="J1202" s="690"/>
      <c r="K1202" s="1030"/>
      <c r="L1202" s="690"/>
      <c r="M1202" s="1025"/>
      <c r="N1202" s="1030"/>
      <c r="O1202" s="692">
        <f t="shared" si="157"/>
        <v>0</v>
      </c>
      <c r="P1202" s="690"/>
      <c r="Q1202" s="690"/>
      <c r="R1202" s="691">
        <f t="shared" si="158"/>
        <v>0</v>
      </c>
      <c r="S1202" s="692">
        <f t="shared" si="159"/>
        <v>0</v>
      </c>
      <c r="T1202" s="693">
        <f t="shared" si="160"/>
        <v>0</v>
      </c>
      <c r="U1202" s="1035"/>
      <c r="V1202" s="690"/>
      <c r="W1202" s="1025"/>
      <c r="X1202" s="1030"/>
      <c r="Y1202" s="694">
        <f t="shared" si="161"/>
        <v>0</v>
      </c>
      <c r="Z1202" s="690"/>
      <c r="AA1202" s="690"/>
      <c r="AB1202" s="695">
        <f t="shared" si="162"/>
        <v>0</v>
      </c>
      <c r="AC1202" s="1035"/>
      <c r="AD1202" s="690"/>
      <c r="AE1202" s="1025"/>
      <c r="AF1202" s="1030"/>
      <c r="AG1202" s="690"/>
      <c r="AH1202" s="690"/>
      <c r="AI1202" s="696">
        <f t="shared" si="163"/>
        <v>0</v>
      </c>
      <c r="AJ1202" s="697">
        <f t="shared" si="164"/>
        <v>0</v>
      </c>
    </row>
    <row r="1203" spans="1:36" s="700" customFormat="1" ht="12.75" customHeight="1">
      <c r="A1203" s="718" t="s">
        <v>210</v>
      </c>
      <c r="B1203" s="718" t="s">
        <v>410</v>
      </c>
      <c r="C1203" s="821" t="s">
        <v>950</v>
      </c>
      <c r="D1203" s="821"/>
      <c r="E1203" s="721"/>
      <c r="F1203" s="722"/>
      <c r="G1203" s="1025"/>
      <c r="H1203" s="690"/>
      <c r="I1203" s="1030"/>
      <c r="J1203" s="690"/>
      <c r="K1203" s="1030"/>
      <c r="L1203" s="690"/>
      <c r="M1203" s="1025"/>
      <c r="N1203" s="1030"/>
      <c r="O1203" s="692">
        <f t="shared" si="157"/>
        <v>0</v>
      </c>
      <c r="P1203" s="690"/>
      <c r="Q1203" s="690"/>
      <c r="R1203" s="691">
        <f t="shared" si="158"/>
        <v>0</v>
      </c>
      <c r="S1203" s="692">
        <f t="shared" si="159"/>
        <v>0</v>
      </c>
      <c r="T1203" s="693">
        <f t="shared" si="160"/>
        <v>0</v>
      </c>
      <c r="U1203" s="1035">
        <v>6440100</v>
      </c>
      <c r="V1203" s="690">
        <v>5839400</v>
      </c>
      <c r="W1203" s="1025"/>
      <c r="X1203" s="1030"/>
      <c r="Y1203" s="694">
        <f t="shared" si="161"/>
        <v>0</v>
      </c>
      <c r="Z1203" s="690"/>
      <c r="AA1203" s="690"/>
      <c r="AB1203" s="695">
        <f t="shared" si="162"/>
        <v>0</v>
      </c>
      <c r="AC1203" s="1035"/>
      <c r="AD1203" s="690"/>
      <c r="AE1203" s="1025"/>
      <c r="AF1203" s="1030"/>
      <c r="AG1203" s="690"/>
      <c r="AH1203" s="690"/>
      <c r="AI1203" s="696">
        <f t="shared" si="163"/>
        <v>6440100</v>
      </c>
      <c r="AJ1203" s="697">
        <f t="shared" si="164"/>
        <v>5839400</v>
      </c>
    </row>
    <row r="1204" spans="1:36" s="700" customFormat="1" ht="12.75" customHeight="1">
      <c r="A1204" s="718" t="s">
        <v>210</v>
      </c>
      <c r="B1204" s="718" t="s">
        <v>411</v>
      </c>
      <c r="C1204" s="728" t="s">
        <v>199</v>
      </c>
      <c r="D1204" s="728"/>
      <c r="E1204" s="721"/>
      <c r="F1204" s="722"/>
      <c r="G1204" s="1025"/>
      <c r="H1204" s="690"/>
      <c r="I1204" s="1030"/>
      <c r="J1204" s="690"/>
      <c r="K1204" s="1030"/>
      <c r="L1204" s="690"/>
      <c r="M1204" s="1025"/>
      <c r="N1204" s="1030"/>
      <c r="O1204" s="692">
        <f t="shared" si="157"/>
        <v>0</v>
      </c>
      <c r="P1204" s="690"/>
      <c r="Q1204" s="690"/>
      <c r="R1204" s="691">
        <f t="shared" si="158"/>
        <v>0</v>
      </c>
      <c r="S1204" s="692">
        <f t="shared" si="159"/>
        <v>0</v>
      </c>
      <c r="T1204" s="693">
        <f t="shared" si="160"/>
        <v>0</v>
      </c>
      <c r="U1204" s="1035"/>
      <c r="V1204" s="690"/>
      <c r="W1204" s="1025"/>
      <c r="X1204" s="1030"/>
      <c r="Y1204" s="694">
        <f t="shared" si="161"/>
        <v>0</v>
      </c>
      <c r="Z1204" s="690"/>
      <c r="AA1204" s="690"/>
      <c r="AB1204" s="695">
        <f t="shared" si="162"/>
        <v>0</v>
      </c>
      <c r="AC1204" s="1035"/>
      <c r="AD1204" s="690"/>
      <c r="AE1204" s="1025"/>
      <c r="AF1204" s="1030"/>
      <c r="AG1204" s="690"/>
      <c r="AH1204" s="690"/>
      <c r="AI1204" s="696">
        <f t="shared" si="163"/>
        <v>0</v>
      </c>
      <c r="AJ1204" s="697">
        <f t="shared" si="164"/>
        <v>0</v>
      </c>
    </row>
    <row r="1205" spans="1:36" s="700" customFormat="1" ht="12.75" customHeight="1">
      <c r="A1205" s="718" t="s">
        <v>210</v>
      </c>
      <c r="B1205" s="718" t="s">
        <v>411</v>
      </c>
      <c r="C1205" s="821" t="s">
        <v>951</v>
      </c>
      <c r="D1205" s="821"/>
      <c r="E1205" s="721"/>
      <c r="F1205" s="722"/>
      <c r="G1205" s="1025"/>
      <c r="H1205" s="690"/>
      <c r="I1205" s="1030"/>
      <c r="J1205" s="690"/>
      <c r="K1205" s="1030"/>
      <c r="L1205" s="690"/>
      <c r="M1205" s="1025"/>
      <c r="N1205" s="1030"/>
      <c r="O1205" s="692">
        <f t="shared" si="157"/>
        <v>0</v>
      </c>
      <c r="P1205" s="690"/>
      <c r="Q1205" s="690"/>
      <c r="R1205" s="691">
        <f t="shared" si="158"/>
        <v>0</v>
      </c>
      <c r="S1205" s="692">
        <f t="shared" si="159"/>
        <v>0</v>
      </c>
      <c r="T1205" s="693">
        <f t="shared" si="160"/>
        <v>0</v>
      </c>
      <c r="U1205" s="1035">
        <v>13213900</v>
      </c>
      <c r="V1205" s="690">
        <v>15410700</v>
      </c>
      <c r="W1205" s="1025"/>
      <c r="X1205" s="1030"/>
      <c r="Y1205" s="694">
        <f t="shared" si="161"/>
        <v>0</v>
      </c>
      <c r="Z1205" s="690"/>
      <c r="AA1205" s="690"/>
      <c r="AB1205" s="695">
        <f t="shared" si="162"/>
        <v>0</v>
      </c>
      <c r="AC1205" s="1035"/>
      <c r="AD1205" s="690"/>
      <c r="AE1205" s="1025"/>
      <c r="AF1205" s="1030"/>
      <c r="AG1205" s="690"/>
      <c r="AH1205" s="690"/>
      <c r="AI1205" s="696">
        <f t="shared" si="163"/>
        <v>13213900</v>
      </c>
      <c r="AJ1205" s="697">
        <f t="shared" si="164"/>
        <v>15410700</v>
      </c>
    </row>
    <row r="1206" spans="1:36" s="700" customFormat="1" ht="12.75" customHeight="1">
      <c r="A1206" s="718" t="s">
        <v>210</v>
      </c>
      <c r="B1206" s="718" t="s">
        <v>412</v>
      </c>
      <c r="C1206" s="728" t="s">
        <v>198</v>
      </c>
      <c r="D1206" s="728"/>
      <c r="E1206" s="721"/>
      <c r="F1206" s="722"/>
      <c r="G1206" s="1025"/>
      <c r="H1206" s="690"/>
      <c r="I1206" s="1030"/>
      <c r="J1206" s="690"/>
      <c r="K1206" s="1030"/>
      <c r="L1206" s="690"/>
      <c r="M1206" s="1025"/>
      <c r="N1206" s="1030"/>
      <c r="O1206" s="692">
        <f t="shared" si="157"/>
        <v>0</v>
      </c>
      <c r="P1206" s="690"/>
      <c r="Q1206" s="690"/>
      <c r="R1206" s="691">
        <f t="shared" si="158"/>
        <v>0</v>
      </c>
      <c r="S1206" s="692">
        <f t="shared" si="159"/>
        <v>0</v>
      </c>
      <c r="T1206" s="693">
        <f t="shared" si="160"/>
        <v>0</v>
      </c>
      <c r="U1206" s="1035"/>
      <c r="V1206" s="690"/>
      <c r="W1206" s="1025"/>
      <c r="X1206" s="1030"/>
      <c r="Y1206" s="694">
        <f t="shared" si="161"/>
        <v>0</v>
      </c>
      <c r="Z1206" s="690"/>
      <c r="AA1206" s="690"/>
      <c r="AB1206" s="695">
        <f t="shared" si="162"/>
        <v>0</v>
      </c>
      <c r="AC1206" s="1035"/>
      <c r="AD1206" s="690"/>
      <c r="AE1206" s="1025"/>
      <c r="AF1206" s="1030"/>
      <c r="AG1206" s="690"/>
      <c r="AH1206" s="690"/>
      <c r="AI1206" s="696">
        <f t="shared" si="163"/>
        <v>0</v>
      </c>
      <c r="AJ1206" s="697">
        <f t="shared" si="164"/>
        <v>0</v>
      </c>
    </row>
    <row r="1207" spans="1:36" s="700" customFormat="1" ht="12.75" customHeight="1">
      <c r="A1207" s="718" t="s">
        <v>210</v>
      </c>
      <c r="B1207" s="718" t="s">
        <v>412</v>
      </c>
      <c r="C1207" s="821" t="s">
        <v>952</v>
      </c>
      <c r="D1207" s="821"/>
      <c r="E1207" s="721"/>
      <c r="F1207" s="722"/>
      <c r="G1207" s="1025"/>
      <c r="H1207" s="690"/>
      <c r="I1207" s="1030"/>
      <c r="J1207" s="690"/>
      <c r="K1207" s="1030"/>
      <c r="L1207" s="690"/>
      <c r="M1207" s="1025"/>
      <c r="N1207" s="1030"/>
      <c r="O1207" s="692">
        <f t="shared" si="157"/>
        <v>0</v>
      </c>
      <c r="P1207" s="690"/>
      <c r="Q1207" s="690"/>
      <c r="R1207" s="691">
        <f t="shared" si="158"/>
        <v>0</v>
      </c>
      <c r="S1207" s="692">
        <f t="shared" si="159"/>
        <v>0</v>
      </c>
      <c r="T1207" s="693">
        <f t="shared" si="160"/>
        <v>0</v>
      </c>
      <c r="U1207" s="1035">
        <v>193550</v>
      </c>
      <c r="V1207" s="690">
        <v>193550</v>
      </c>
      <c r="W1207" s="1025"/>
      <c r="X1207" s="1030"/>
      <c r="Y1207" s="694">
        <f t="shared" si="161"/>
        <v>0</v>
      </c>
      <c r="Z1207" s="690"/>
      <c r="AA1207" s="690"/>
      <c r="AB1207" s="695">
        <f t="shared" si="162"/>
        <v>0</v>
      </c>
      <c r="AC1207" s="1035"/>
      <c r="AD1207" s="690"/>
      <c r="AE1207" s="1025"/>
      <c r="AF1207" s="1030"/>
      <c r="AG1207" s="690"/>
      <c r="AH1207" s="690"/>
      <c r="AI1207" s="696">
        <f t="shared" si="163"/>
        <v>193550</v>
      </c>
      <c r="AJ1207" s="697">
        <f t="shared" si="164"/>
        <v>193550</v>
      </c>
    </row>
    <row r="1208" spans="1:36" s="700" customFormat="1" ht="12.75" customHeight="1">
      <c r="A1208" s="718" t="s">
        <v>210</v>
      </c>
      <c r="B1208" s="718" t="s">
        <v>431</v>
      </c>
      <c r="C1208" s="821" t="s">
        <v>953</v>
      </c>
      <c r="D1208" s="821"/>
      <c r="E1208" s="721"/>
      <c r="F1208" s="722"/>
      <c r="G1208" s="1025"/>
      <c r="H1208" s="690"/>
      <c r="I1208" s="1030">
        <v>87100</v>
      </c>
      <c r="J1208" s="690">
        <v>82400</v>
      </c>
      <c r="K1208" s="1030"/>
      <c r="L1208" s="690"/>
      <c r="M1208" s="1025"/>
      <c r="N1208" s="1030"/>
      <c r="O1208" s="692">
        <f t="shared" si="157"/>
        <v>0</v>
      </c>
      <c r="P1208" s="690"/>
      <c r="Q1208" s="690"/>
      <c r="R1208" s="691">
        <f t="shared" si="158"/>
        <v>0</v>
      </c>
      <c r="S1208" s="692">
        <f t="shared" si="159"/>
        <v>87100</v>
      </c>
      <c r="T1208" s="693">
        <f t="shared" si="160"/>
        <v>82400</v>
      </c>
      <c r="U1208" s="1035"/>
      <c r="V1208" s="690"/>
      <c r="W1208" s="1025"/>
      <c r="X1208" s="1030"/>
      <c r="Y1208" s="694">
        <f t="shared" si="161"/>
        <v>0</v>
      </c>
      <c r="Z1208" s="690"/>
      <c r="AA1208" s="690"/>
      <c r="AB1208" s="695">
        <f t="shared" si="162"/>
        <v>0</v>
      </c>
      <c r="AC1208" s="1035"/>
      <c r="AD1208" s="690"/>
      <c r="AE1208" s="1025"/>
      <c r="AF1208" s="1030"/>
      <c r="AG1208" s="690"/>
      <c r="AH1208" s="690"/>
      <c r="AI1208" s="696">
        <f t="shared" si="163"/>
        <v>87100</v>
      </c>
      <c r="AJ1208" s="697">
        <f t="shared" si="164"/>
        <v>82400</v>
      </c>
    </row>
    <row r="1209" spans="1:36" s="700" customFormat="1" ht="12.75" customHeight="1">
      <c r="A1209" s="718" t="s">
        <v>210</v>
      </c>
      <c r="B1209" s="718" t="s">
        <v>413</v>
      </c>
      <c r="C1209" s="728" t="s">
        <v>632</v>
      </c>
      <c r="D1209" s="728"/>
      <c r="E1209" s="721"/>
      <c r="F1209" s="722"/>
      <c r="G1209" s="1025"/>
      <c r="H1209" s="690"/>
      <c r="I1209" s="1030"/>
      <c r="J1209" s="690"/>
      <c r="K1209" s="1030"/>
      <c r="L1209" s="690"/>
      <c r="M1209" s="1025"/>
      <c r="N1209" s="1030"/>
      <c r="O1209" s="692">
        <f t="shared" si="157"/>
        <v>0</v>
      </c>
      <c r="P1209" s="690"/>
      <c r="Q1209" s="690"/>
      <c r="R1209" s="691">
        <f t="shared" si="158"/>
        <v>0</v>
      </c>
      <c r="S1209" s="692">
        <f t="shared" si="159"/>
        <v>0</v>
      </c>
      <c r="T1209" s="693">
        <f t="shared" si="160"/>
        <v>0</v>
      </c>
      <c r="U1209" s="1035"/>
      <c r="V1209" s="690"/>
      <c r="W1209" s="1025"/>
      <c r="X1209" s="1030"/>
      <c r="Y1209" s="694">
        <f t="shared" si="161"/>
        <v>0</v>
      </c>
      <c r="Z1209" s="690"/>
      <c r="AA1209" s="690"/>
      <c r="AB1209" s="695">
        <f t="shared" si="162"/>
        <v>0</v>
      </c>
      <c r="AC1209" s="1035"/>
      <c r="AD1209" s="690"/>
      <c r="AE1209" s="1025"/>
      <c r="AF1209" s="1030"/>
      <c r="AG1209" s="690"/>
      <c r="AH1209" s="690"/>
      <c r="AI1209" s="696">
        <f t="shared" si="163"/>
        <v>0</v>
      </c>
      <c r="AJ1209" s="697">
        <f t="shared" si="164"/>
        <v>0</v>
      </c>
    </row>
    <row r="1210" spans="1:36" s="700" customFormat="1" ht="12.75" customHeight="1">
      <c r="A1210" s="718" t="s">
        <v>210</v>
      </c>
      <c r="B1210" s="718" t="s">
        <v>413</v>
      </c>
      <c r="C1210" s="821" t="s">
        <v>954</v>
      </c>
      <c r="D1210" s="821"/>
      <c r="E1210" s="835"/>
      <c r="F1210" s="722"/>
      <c r="G1210" s="1025"/>
      <c r="H1210" s="690"/>
      <c r="I1210" s="1030"/>
      <c r="J1210" s="690"/>
      <c r="K1210" s="1030"/>
      <c r="L1210" s="690"/>
      <c r="M1210" s="1025"/>
      <c r="N1210" s="1030"/>
      <c r="O1210" s="692">
        <f t="shared" si="157"/>
        <v>0</v>
      </c>
      <c r="P1210" s="690"/>
      <c r="Q1210" s="690"/>
      <c r="R1210" s="691">
        <f t="shared" si="158"/>
        <v>0</v>
      </c>
      <c r="S1210" s="692">
        <f t="shared" si="159"/>
        <v>0</v>
      </c>
      <c r="T1210" s="693">
        <f t="shared" si="160"/>
        <v>0</v>
      </c>
      <c r="U1210" s="1035"/>
      <c r="V1210" s="690"/>
      <c r="W1210" s="1025"/>
      <c r="X1210" s="1030"/>
      <c r="Y1210" s="694">
        <f t="shared" si="161"/>
        <v>0</v>
      </c>
      <c r="Z1210" s="690"/>
      <c r="AA1210" s="690"/>
      <c r="AB1210" s="695">
        <f t="shared" si="162"/>
        <v>0</v>
      </c>
      <c r="AC1210" s="1035"/>
      <c r="AD1210" s="690"/>
      <c r="AE1210" s="1025"/>
      <c r="AF1210" s="1030"/>
      <c r="AG1210" s="690"/>
      <c r="AH1210" s="690"/>
      <c r="AI1210" s="696">
        <f t="shared" si="163"/>
        <v>0</v>
      </c>
      <c r="AJ1210" s="697">
        <f t="shared" si="164"/>
        <v>0</v>
      </c>
    </row>
    <row r="1211" spans="1:36" s="700" customFormat="1" ht="12.75" customHeight="1">
      <c r="A1211" s="718" t="s">
        <v>210</v>
      </c>
      <c r="B1211" s="718" t="s">
        <v>414</v>
      </c>
      <c r="C1211" s="834" t="s">
        <v>160</v>
      </c>
      <c r="D1211" s="834"/>
      <c r="E1211" s="721"/>
      <c r="F1211" s="722"/>
      <c r="G1211" s="1025"/>
      <c r="H1211" s="690"/>
      <c r="I1211" s="1030"/>
      <c r="J1211" s="690"/>
      <c r="K1211" s="1030"/>
      <c r="L1211" s="690"/>
      <c r="M1211" s="1025"/>
      <c r="N1211" s="1030"/>
      <c r="O1211" s="692">
        <f t="shared" si="157"/>
        <v>0</v>
      </c>
      <c r="P1211" s="690"/>
      <c r="Q1211" s="690"/>
      <c r="R1211" s="691">
        <f t="shared" si="158"/>
        <v>0</v>
      </c>
      <c r="S1211" s="692">
        <f t="shared" si="159"/>
        <v>0</v>
      </c>
      <c r="T1211" s="693">
        <f t="shared" si="160"/>
        <v>0</v>
      </c>
      <c r="U1211" s="1035"/>
      <c r="V1211" s="690"/>
      <c r="W1211" s="1025"/>
      <c r="X1211" s="1030"/>
      <c r="Y1211" s="694">
        <f t="shared" si="161"/>
        <v>0</v>
      </c>
      <c r="Z1211" s="690"/>
      <c r="AA1211" s="690"/>
      <c r="AB1211" s="695">
        <f t="shared" si="162"/>
        <v>0</v>
      </c>
      <c r="AC1211" s="1035"/>
      <c r="AD1211" s="690"/>
      <c r="AE1211" s="1025"/>
      <c r="AF1211" s="1030"/>
      <c r="AG1211" s="690"/>
      <c r="AH1211" s="690"/>
      <c r="AI1211" s="696">
        <f t="shared" si="163"/>
        <v>0</v>
      </c>
      <c r="AJ1211" s="697">
        <f t="shared" si="164"/>
        <v>0</v>
      </c>
    </row>
    <row r="1212" spans="1:36" s="700" customFormat="1" ht="12.75" customHeight="1">
      <c r="A1212" s="718" t="s">
        <v>210</v>
      </c>
      <c r="B1212" s="718" t="s">
        <v>415</v>
      </c>
      <c r="C1212" s="834" t="s">
        <v>165</v>
      </c>
      <c r="D1212" s="834"/>
      <c r="E1212" s="721"/>
      <c r="F1212" s="722"/>
      <c r="G1212" s="1025"/>
      <c r="H1212" s="690"/>
      <c r="I1212" s="1030"/>
      <c r="J1212" s="690"/>
      <c r="K1212" s="1030"/>
      <c r="L1212" s="690"/>
      <c r="M1212" s="1025"/>
      <c r="N1212" s="1030"/>
      <c r="O1212" s="692">
        <f t="shared" si="157"/>
        <v>0</v>
      </c>
      <c r="P1212" s="690"/>
      <c r="Q1212" s="690"/>
      <c r="R1212" s="691">
        <f t="shared" si="158"/>
        <v>0</v>
      </c>
      <c r="S1212" s="692">
        <f t="shared" si="159"/>
        <v>0</v>
      </c>
      <c r="T1212" s="693">
        <f t="shared" si="160"/>
        <v>0</v>
      </c>
      <c r="U1212" s="1035"/>
      <c r="V1212" s="690"/>
      <c r="W1212" s="1025"/>
      <c r="X1212" s="1030"/>
      <c r="Y1212" s="694">
        <f t="shared" si="161"/>
        <v>0</v>
      </c>
      <c r="Z1212" s="690"/>
      <c r="AA1212" s="690"/>
      <c r="AB1212" s="695">
        <f t="shared" si="162"/>
        <v>0</v>
      </c>
      <c r="AC1212" s="1035"/>
      <c r="AD1212" s="690"/>
      <c r="AE1212" s="1025"/>
      <c r="AF1212" s="1030"/>
      <c r="AG1212" s="690"/>
      <c r="AH1212" s="690"/>
      <c r="AI1212" s="696">
        <f t="shared" si="163"/>
        <v>0</v>
      </c>
      <c r="AJ1212" s="697">
        <f t="shared" si="164"/>
        <v>0</v>
      </c>
    </row>
    <row r="1213" spans="1:36" s="700" customFormat="1" ht="12.75" customHeight="1">
      <c r="A1213" s="718" t="s">
        <v>210</v>
      </c>
      <c r="B1213" s="718" t="s">
        <v>416</v>
      </c>
      <c r="C1213" s="728" t="s">
        <v>166</v>
      </c>
      <c r="D1213" s="728"/>
      <c r="E1213" s="721"/>
      <c r="F1213" s="722"/>
      <c r="G1213" s="1025"/>
      <c r="H1213" s="690"/>
      <c r="I1213" s="1030"/>
      <c r="J1213" s="690"/>
      <c r="K1213" s="1030"/>
      <c r="L1213" s="690"/>
      <c r="M1213" s="1025"/>
      <c r="N1213" s="1030"/>
      <c r="O1213" s="692">
        <f t="shared" si="157"/>
        <v>0</v>
      </c>
      <c r="P1213" s="690"/>
      <c r="Q1213" s="690"/>
      <c r="R1213" s="691">
        <f t="shared" si="158"/>
        <v>0</v>
      </c>
      <c r="S1213" s="692">
        <f t="shared" si="159"/>
        <v>0</v>
      </c>
      <c r="T1213" s="693">
        <f t="shared" si="160"/>
        <v>0</v>
      </c>
      <c r="U1213" s="1035"/>
      <c r="V1213" s="690"/>
      <c r="W1213" s="1025"/>
      <c r="X1213" s="1030"/>
      <c r="Y1213" s="694">
        <f t="shared" si="161"/>
        <v>0</v>
      </c>
      <c r="Z1213" s="690"/>
      <c r="AA1213" s="690"/>
      <c r="AB1213" s="695">
        <f t="shared" si="162"/>
        <v>0</v>
      </c>
      <c r="AC1213" s="1035"/>
      <c r="AD1213" s="690"/>
      <c r="AE1213" s="1025"/>
      <c r="AF1213" s="1030"/>
      <c r="AG1213" s="690"/>
      <c r="AH1213" s="690"/>
      <c r="AI1213" s="696">
        <f t="shared" si="163"/>
        <v>0</v>
      </c>
      <c r="AJ1213" s="697">
        <f t="shared" si="164"/>
        <v>0</v>
      </c>
    </row>
    <row r="1214" spans="1:36" s="700" customFormat="1" ht="12.75" customHeight="1">
      <c r="A1214" s="718" t="s">
        <v>210</v>
      </c>
      <c r="B1214" s="718" t="s">
        <v>416</v>
      </c>
      <c r="C1214" s="821" t="s">
        <v>955</v>
      </c>
      <c r="D1214" s="821"/>
      <c r="E1214" s="721"/>
      <c r="F1214" s="722"/>
      <c r="G1214" s="1025"/>
      <c r="H1214" s="690"/>
      <c r="I1214" s="1030"/>
      <c r="J1214" s="690"/>
      <c r="K1214" s="1030"/>
      <c r="L1214" s="690"/>
      <c r="M1214" s="1025"/>
      <c r="N1214" s="1030"/>
      <c r="O1214" s="692">
        <f t="shared" si="157"/>
        <v>0</v>
      </c>
      <c r="P1214" s="690"/>
      <c r="Q1214" s="690"/>
      <c r="R1214" s="691">
        <f t="shared" si="158"/>
        <v>0</v>
      </c>
      <c r="S1214" s="692">
        <f t="shared" si="159"/>
        <v>0</v>
      </c>
      <c r="T1214" s="693">
        <f t="shared" si="160"/>
        <v>0</v>
      </c>
      <c r="U1214" s="1035">
        <v>290400</v>
      </c>
      <c r="V1214" s="690">
        <v>290400</v>
      </c>
      <c r="W1214" s="1025"/>
      <c r="X1214" s="1030"/>
      <c r="Y1214" s="694">
        <f t="shared" si="161"/>
        <v>0</v>
      </c>
      <c r="Z1214" s="690"/>
      <c r="AA1214" s="690"/>
      <c r="AB1214" s="695">
        <f t="shared" si="162"/>
        <v>0</v>
      </c>
      <c r="AC1214" s="1035"/>
      <c r="AD1214" s="690"/>
      <c r="AE1214" s="1025"/>
      <c r="AF1214" s="1030"/>
      <c r="AG1214" s="690"/>
      <c r="AH1214" s="690"/>
      <c r="AI1214" s="696">
        <f t="shared" si="163"/>
        <v>290400</v>
      </c>
      <c r="AJ1214" s="697">
        <f t="shared" si="164"/>
        <v>290400</v>
      </c>
    </row>
    <row r="1215" spans="1:36" s="700" customFormat="1" ht="12.75" customHeight="1">
      <c r="A1215" s="718" t="s">
        <v>210</v>
      </c>
      <c r="B1215" s="718" t="s">
        <v>416</v>
      </c>
      <c r="C1215" s="821" t="s">
        <v>636</v>
      </c>
      <c r="D1215" s="821"/>
      <c r="E1215" s="721"/>
      <c r="F1215" s="722"/>
      <c r="G1215" s="1025"/>
      <c r="H1215" s="690"/>
      <c r="I1215" s="1030"/>
      <c r="J1215" s="690"/>
      <c r="K1215" s="1030"/>
      <c r="L1215" s="690"/>
      <c r="M1215" s="1025"/>
      <c r="N1215" s="1030"/>
      <c r="O1215" s="692">
        <f t="shared" si="157"/>
        <v>0</v>
      </c>
      <c r="P1215" s="690"/>
      <c r="Q1215" s="690"/>
      <c r="R1215" s="691">
        <f t="shared" si="158"/>
        <v>0</v>
      </c>
      <c r="S1215" s="692">
        <f t="shared" si="159"/>
        <v>0</v>
      </c>
      <c r="T1215" s="693">
        <f t="shared" si="160"/>
        <v>0</v>
      </c>
      <c r="U1215" s="1035">
        <v>222400</v>
      </c>
      <c r="V1215" s="690">
        <v>278000</v>
      </c>
      <c r="W1215" s="1025"/>
      <c r="X1215" s="1030"/>
      <c r="Y1215" s="694">
        <f t="shared" si="161"/>
        <v>0</v>
      </c>
      <c r="Z1215" s="690"/>
      <c r="AA1215" s="690"/>
      <c r="AB1215" s="695">
        <f t="shared" si="162"/>
        <v>0</v>
      </c>
      <c r="AC1215" s="1035"/>
      <c r="AD1215" s="690"/>
      <c r="AE1215" s="1025"/>
      <c r="AF1215" s="1030"/>
      <c r="AG1215" s="690"/>
      <c r="AH1215" s="690"/>
      <c r="AI1215" s="696">
        <f t="shared" si="163"/>
        <v>222400</v>
      </c>
      <c r="AJ1215" s="697">
        <f t="shared" si="164"/>
        <v>278000</v>
      </c>
    </row>
    <row r="1216" spans="1:36" s="700" customFormat="1" ht="12.75" customHeight="1">
      <c r="A1216" s="718" t="s">
        <v>210</v>
      </c>
      <c r="B1216" s="718" t="s">
        <v>417</v>
      </c>
      <c r="C1216" s="728" t="s">
        <v>168</v>
      </c>
      <c r="D1216" s="728"/>
      <c r="E1216" s="721"/>
      <c r="F1216" s="722"/>
      <c r="G1216" s="1025"/>
      <c r="H1216" s="690"/>
      <c r="I1216" s="1030"/>
      <c r="J1216" s="690"/>
      <c r="K1216" s="1030"/>
      <c r="L1216" s="690"/>
      <c r="M1216" s="1025"/>
      <c r="N1216" s="1030"/>
      <c r="O1216" s="692">
        <f t="shared" si="157"/>
        <v>0</v>
      </c>
      <c r="P1216" s="690"/>
      <c r="Q1216" s="690"/>
      <c r="R1216" s="691">
        <f t="shared" si="158"/>
        <v>0</v>
      </c>
      <c r="S1216" s="692">
        <f t="shared" si="159"/>
        <v>0</v>
      </c>
      <c r="T1216" s="693">
        <f t="shared" si="160"/>
        <v>0</v>
      </c>
      <c r="U1216" s="1035"/>
      <c r="V1216" s="690"/>
      <c r="W1216" s="1025"/>
      <c r="X1216" s="1030"/>
      <c r="Y1216" s="694">
        <f t="shared" si="161"/>
        <v>0</v>
      </c>
      <c r="Z1216" s="690"/>
      <c r="AA1216" s="690"/>
      <c r="AB1216" s="695">
        <f t="shared" si="162"/>
        <v>0</v>
      </c>
      <c r="AC1216" s="1035"/>
      <c r="AD1216" s="690"/>
      <c r="AE1216" s="1025"/>
      <c r="AF1216" s="1030"/>
      <c r="AG1216" s="690"/>
      <c r="AH1216" s="690"/>
      <c r="AI1216" s="696">
        <f t="shared" si="163"/>
        <v>0</v>
      </c>
      <c r="AJ1216" s="697">
        <f t="shared" si="164"/>
        <v>0</v>
      </c>
    </row>
    <row r="1217" spans="1:36" s="700" customFormat="1" ht="12.75" customHeight="1">
      <c r="A1217" s="718" t="s">
        <v>210</v>
      </c>
      <c r="B1217" s="718" t="s">
        <v>417</v>
      </c>
      <c r="C1217" s="821" t="s">
        <v>956</v>
      </c>
      <c r="D1217" s="821"/>
      <c r="E1217" s="721"/>
      <c r="F1217" s="722"/>
      <c r="G1217" s="1025"/>
      <c r="H1217" s="690"/>
      <c r="I1217" s="1030"/>
      <c r="J1217" s="690"/>
      <c r="K1217" s="1030"/>
      <c r="L1217" s="690"/>
      <c r="M1217" s="1025"/>
      <c r="N1217" s="1030"/>
      <c r="O1217" s="692">
        <f t="shared" si="157"/>
        <v>0</v>
      </c>
      <c r="P1217" s="690"/>
      <c r="Q1217" s="690"/>
      <c r="R1217" s="691">
        <f t="shared" si="158"/>
        <v>0</v>
      </c>
      <c r="S1217" s="692">
        <f t="shared" si="159"/>
        <v>0</v>
      </c>
      <c r="T1217" s="693">
        <f t="shared" si="160"/>
        <v>0</v>
      </c>
      <c r="U1217" s="1035">
        <v>3436400</v>
      </c>
      <c r="V1217" s="690">
        <v>3557400</v>
      </c>
      <c r="W1217" s="1025"/>
      <c r="X1217" s="1030"/>
      <c r="Y1217" s="694">
        <f t="shared" si="161"/>
        <v>0</v>
      </c>
      <c r="Z1217" s="690"/>
      <c r="AA1217" s="690"/>
      <c r="AB1217" s="695">
        <f t="shared" si="162"/>
        <v>0</v>
      </c>
      <c r="AC1217" s="1035"/>
      <c r="AD1217" s="690"/>
      <c r="AE1217" s="1025"/>
      <c r="AF1217" s="1030"/>
      <c r="AG1217" s="690"/>
      <c r="AH1217" s="690"/>
      <c r="AI1217" s="696">
        <f t="shared" si="163"/>
        <v>3436400</v>
      </c>
      <c r="AJ1217" s="697">
        <f t="shared" si="164"/>
        <v>3557400</v>
      </c>
    </row>
    <row r="1218" spans="1:36" s="700" customFormat="1" ht="12.75" customHeight="1">
      <c r="A1218" s="718" t="s">
        <v>210</v>
      </c>
      <c r="B1218" s="718" t="s">
        <v>417</v>
      </c>
      <c r="C1218" s="821" t="s">
        <v>957</v>
      </c>
      <c r="D1218" s="821"/>
      <c r="E1218" s="721"/>
      <c r="F1218" s="722"/>
      <c r="G1218" s="1025"/>
      <c r="H1218" s="690"/>
      <c r="I1218" s="1030"/>
      <c r="J1218" s="690"/>
      <c r="K1218" s="1030"/>
      <c r="L1218" s="690"/>
      <c r="M1218" s="1025"/>
      <c r="N1218" s="1030"/>
      <c r="O1218" s="692">
        <f t="shared" si="157"/>
        <v>0</v>
      </c>
      <c r="P1218" s="690"/>
      <c r="Q1218" s="690"/>
      <c r="R1218" s="691">
        <f t="shared" si="158"/>
        <v>0</v>
      </c>
      <c r="S1218" s="692">
        <f t="shared" si="159"/>
        <v>0</v>
      </c>
      <c r="T1218" s="693">
        <f t="shared" si="160"/>
        <v>0</v>
      </c>
      <c r="U1218" s="1035">
        <v>166800</v>
      </c>
      <c r="V1218" s="690">
        <v>166800</v>
      </c>
      <c r="W1218" s="1025"/>
      <c r="X1218" s="1030"/>
      <c r="Y1218" s="694">
        <f t="shared" si="161"/>
        <v>0</v>
      </c>
      <c r="Z1218" s="690"/>
      <c r="AA1218" s="690"/>
      <c r="AB1218" s="695">
        <f t="shared" si="162"/>
        <v>0</v>
      </c>
      <c r="AC1218" s="1035"/>
      <c r="AD1218" s="690"/>
      <c r="AE1218" s="1025"/>
      <c r="AF1218" s="1030"/>
      <c r="AG1218" s="690"/>
      <c r="AH1218" s="690"/>
      <c r="AI1218" s="696">
        <f t="shared" si="163"/>
        <v>166800</v>
      </c>
      <c r="AJ1218" s="697">
        <f t="shared" si="164"/>
        <v>166800</v>
      </c>
    </row>
    <row r="1219" spans="1:36" s="700" customFormat="1" ht="12.75" customHeight="1">
      <c r="A1219" s="718" t="s">
        <v>210</v>
      </c>
      <c r="B1219" s="718" t="s">
        <v>418</v>
      </c>
      <c r="C1219" s="728" t="s">
        <v>958</v>
      </c>
      <c r="D1219" s="728"/>
      <c r="E1219" s="721"/>
      <c r="F1219" s="722"/>
      <c r="G1219" s="1025"/>
      <c r="H1219" s="690"/>
      <c r="I1219" s="1030"/>
      <c r="J1219" s="690"/>
      <c r="K1219" s="1030"/>
      <c r="L1219" s="690"/>
      <c r="M1219" s="1025"/>
      <c r="N1219" s="1030"/>
      <c r="O1219" s="692">
        <f t="shared" si="157"/>
        <v>0</v>
      </c>
      <c r="P1219" s="690"/>
      <c r="Q1219" s="690"/>
      <c r="R1219" s="691">
        <f t="shared" si="158"/>
        <v>0</v>
      </c>
      <c r="S1219" s="692">
        <f t="shared" si="159"/>
        <v>0</v>
      </c>
      <c r="T1219" s="693">
        <f t="shared" si="160"/>
        <v>0</v>
      </c>
      <c r="U1219" s="1035">
        <v>170334</v>
      </c>
      <c r="V1219" s="690">
        <v>170400</v>
      </c>
      <c r="W1219" s="1025"/>
      <c r="X1219" s="1030"/>
      <c r="Y1219" s="694">
        <f t="shared" si="161"/>
        <v>0</v>
      </c>
      <c r="Z1219" s="690"/>
      <c r="AA1219" s="690"/>
      <c r="AB1219" s="695">
        <f t="shared" si="162"/>
        <v>0</v>
      </c>
      <c r="AC1219" s="1035"/>
      <c r="AD1219" s="690"/>
      <c r="AE1219" s="1025"/>
      <c r="AF1219" s="1030"/>
      <c r="AG1219" s="690"/>
      <c r="AH1219" s="690"/>
      <c r="AI1219" s="696">
        <f t="shared" si="163"/>
        <v>170334</v>
      </c>
      <c r="AJ1219" s="697">
        <f t="shared" si="164"/>
        <v>170400</v>
      </c>
    </row>
    <row r="1220" spans="1:36" s="700" customFormat="1" ht="12.75" customHeight="1">
      <c r="A1220" s="718" t="s">
        <v>210</v>
      </c>
      <c r="B1220" s="718" t="s">
        <v>419</v>
      </c>
      <c r="C1220" s="834" t="s">
        <v>50</v>
      </c>
      <c r="D1220" s="834"/>
      <c r="E1220" s="721"/>
      <c r="F1220" s="722"/>
      <c r="G1220" s="1025"/>
      <c r="H1220" s="690"/>
      <c r="I1220" s="1030"/>
      <c r="J1220" s="690"/>
      <c r="K1220" s="1030"/>
      <c r="L1220" s="690"/>
      <c r="M1220" s="1025"/>
      <c r="N1220" s="1030"/>
      <c r="O1220" s="692">
        <f t="shared" si="157"/>
        <v>0</v>
      </c>
      <c r="P1220" s="690"/>
      <c r="Q1220" s="690"/>
      <c r="R1220" s="691">
        <f t="shared" si="158"/>
        <v>0</v>
      </c>
      <c r="S1220" s="692">
        <f t="shared" si="159"/>
        <v>0</v>
      </c>
      <c r="T1220" s="693">
        <f t="shared" si="160"/>
        <v>0</v>
      </c>
      <c r="U1220" s="1035"/>
      <c r="V1220" s="690"/>
      <c r="W1220" s="1025"/>
      <c r="X1220" s="1030"/>
      <c r="Y1220" s="694">
        <f t="shared" si="161"/>
        <v>0</v>
      </c>
      <c r="Z1220" s="690"/>
      <c r="AA1220" s="690"/>
      <c r="AB1220" s="695">
        <f t="shared" si="162"/>
        <v>0</v>
      </c>
      <c r="AC1220" s="1035"/>
      <c r="AD1220" s="690"/>
      <c r="AE1220" s="1025"/>
      <c r="AF1220" s="1030"/>
      <c r="AG1220" s="690"/>
      <c r="AH1220" s="690"/>
      <c r="AI1220" s="696">
        <f t="shared" si="163"/>
        <v>0</v>
      </c>
      <c r="AJ1220" s="697">
        <f t="shared" si="164"/>
        <v>0</v>
      </c>
    </row>
    <row r="1221" spans="1:36" s="700" customFormat="1" ht="12.75" customHeight="1">
      <c r="A1221" s="718" t="s">
        <v>210</v>
      </c>
      <c r="B1221" s="718" t="s">
        <v>420</v>
      </c>
      <c r="C1221" s="836" t="s">
        <v>51</v>
      </c>
      <c r="D1221" s="836"/>
      <c r="E1221" s="721"/>
      <c r="F1221" s="722"/>
      <c r="G1221" s="1025"/>
      <c r="H1221" s="690"/>
      <c r="I1221" s="1030"/>
      <c r="J1221" s="690"/>
      <c r="K1221" s="1030"/>
      <c r="L1221" s="690"/>
      <c r="M1221" s="1025"/>
      <c r="N1221" s="1030"/>
      <c r="O1221" s="692">
        <f t="shared" si="157"/>
        <v>0</v>
      </c>
      <c r="P1221" s="690"/>
      <c r="Q1221" s="690"/>
      <c r="R1221" s="691">
        <f t="shared" si="158"/>
        <v>0</v>
      </c>
      <c r="S1221" s="692">
        <f t="shared" si="159"/>
        <v>0</v>
      </c>
      <c r="T1221" s="693">
        <f t="shared" si="160"/>
        <v>0</v>
      </c>
      <c r="U1221" s="1035"/>
      <c r="V1221" s="690"/>
      <c r="W1221" s="1025"/>
      <c r="X1221" s="1030"/>
      <c r="Y1221" s="694">
        <f t="shared" si="161"/>
        <v>0</v>
      </c>
      <c r="Z1221" s="690"/>
      <c r="AA1221" s="690"/>
      <c r="AB1221" s="695">
        <f t="shared" si="162"/>
        <v>0</v>
      </c>
      <c r="AC1221" s="1035"/>
      <c r="AD1221" s="690"/>
      <c r="AE1221" s="1025"/>
      <c r="AF1221" s="1030"/>
      <c r="AG1221" s="690"/>
      <c r="AH1221" s="690"/>
      <c r="AI1221" s="696">
        <f t="shared" si="163"/>
        <v>0</v>
      </c>
      <c r="AJ1221" s="697">
        <f t="shared" si="164"/>
        <v>0</v>
      </c>
    </row>
    <row r="1222" spans="1:36" s="700" customFormat="1" ht="12.75" customHeight="1">
      <c r="A1222" s="718" t="s">
        <v>210</v>
      </c>
      <c r="B1222" s="837" t="s">
        <v>295</v>
      </c>
      <c r="C1222" s="838" t="s">
        <v>959</v>
      </c>
      <c r="D1222" s="838"/>
      <c r="E1222" s="839"/>
      <c r="F1222" s="840"/>
      <c r="G1222" s="1025"/>
      <c r="H1222" s="690"/>
      <c r="I1222" s="1030"/>
      <c r="J1222" s="690"/>
      <c r="K1222" s="1030"/>
      <c r="L1222" s="690"/>
      <c r="M1222" s="1025"/>
      <c r="N1222" s="1030"/>
      <c r="O1222" s="692">
        <f t="shared" si="157"/>
        <v>0</v>
      </c>
      <c r="P1222" s="690"/>
      <c r="Q1222" s="690"/>
      <c r="R1222" s="691">
        <f t="shared" si="158"/>
        <v>0</v>
      </c>
      <c r="S1222" s="692">
        <f t="shared" si="159"/>
        <v>0</v>
      </c>
      <c r="T1222" s="693">
        <f t="shared" si="160"/>
        <v>0</v>
      </c>
      <c r="U1222" s="1035"/>
      <c r="V1222" s="690"/>
      <c r="W1222" s="1025"/>
      <c r="X1222" s="1030"/>
      <c r="Y1222" s="694">
        <f t="shared" si="161"/>
        <v>0</v>
      </c>
      <c r="Z1222" s="690"/>
      <c r="AA1222" s="690"/>
      <c r="AB1222" s="695">
        <f t="shared" si="162"/>
        <v>0</v>
      </c>
      <c r="AC1222" s="1035"/>
      <c r="AD1222" s="690"/>
      <c r="AE1222" s="1025"/>
      <c r="AF1222" s="1030"/>
      <c r="AG1222" s="690"/>
      <c r="AH1222" s="690"/>
      <c r="AI1222" s="696">
        <f t="shared" si="163"/>
        <v>0</v>
      </c>
      <c r="AJ1222" s="697">
        <f t="shared" si="164"/>
        <v>0</v>
      </c>
    </row>
    <row r="1223" spans="1:36" s="700" customFormat="1" ht="12.75" customHeight="1">
      <c r="A1223" s="718" t="s">
        <v>210</v>
      </c>
      <c r="B1223" s="837" t="s">
        <v>295</v>
      </c>
      <c r="C1223" s="732" t="s">
        <v>53</v>
      </c>
      <c r="D1223" s="732"/>
      <c r="E1223" s="839"/>
      <c r="F1223" s="840"/>
      <c r="G1223" s="1025"/>
      <c r="H1223" s="690"/>
      <c r="I1223" s="1030"/>
      <c r="J1223" s="690"/>
      <c r="K1223" s="1030"/>
      <c r="L1223" s="690"/>
      <c r="M1223" s="1025"/>
      <c r="N1223" s="1030"/>
      <c r="O1223" s="692">
        <f t="shared" si="157"/>
        <v>0</v>
      </c>
      <c r="P1223" s="690"/>
      <c r="Q1223" s="690"/>
      <c r="R1223" s="691">
        <f t="shared" si="158"/>
        <v>0</v>
      </c>
      <c r="S1223" s="692">
        <f t="shared" si="159"/>
        <v>0</v>
      </c>
      <c r="T1223" s="693">
        <f t="shared" si="160"/>
        <v>0</v>
      </c>
      <c r="U1223" s="1035"/>
      <c r="V1223" s="690"/>
      <c r="W1223" s="1025"/>
      <c r="X1223" s="1030"/>
      <c r="Y1223" s="694">
        <f t="shared" si="161"/>
        <v>0</v>
      </c>
      <c r="Z1223" s="690"/>
      <c r="AA1223" s="690"/>
      <c r="AB1223" s="695">
        <f t="shared" si="162"/>
        <v>0</v>
      </c>
      <c r="AC1223" s="1035"/>
      <c r="AD1223" s="690"/>
      <c r="AE1223" s="1025"/>
      <c r="AF1223" s="1030"/>
      <c r="AG1223" s="690"/>
      <c r="AH1223" s="690"/>
      <c r="AI1223" s="696">
        <f t="shared" si="163"/>
        <v>0</v>
      </c>
      <c r="AJ1223" s="697">
        <f t="shared" si="164"/>
        <v>0</v>
      </c>
    </row>
    <row r="1224" spans="1:36" s="700" customFormat="1" ht="12.75" customHeight="1">
      <c r="A1224" s="718" t="s">
        <v>210</v>
      </c>
      <c r="B1224" s="837" t="s">
        <v>296</v>
      </c>
      <c r="C1224" s="732" t="s">
        <v>443</v>
      </c>
      <c r="D1224" s="732"/>
      <c r="E1224" s="839"/>
      <c r="F1224" s="840"/>
      <c r="G1224" s="1025"/>
      <c r="H1224" s="690"/>
      <c r="I1224" s="1030"/>
      <c r="J1224" s="690"/>
      <c r="K1224" s="1030"/>
      <c r="L1224" s="690"/>
      <c r="M1224" s="1025"/>
      <c r="N1224" s="1030"/>
      <c r="O1224" s="692">
        <f t="shared" si="157"/>
        <v>0</v>
      </c>
      <c r="P1224" s="690"/>
      <c r="Q1224" s="690"/>
      <c r="R1224" s="691">
        <f t="shared" si="158"/>
        <v>0</v>
      </c>
      <c r="S1224" s="692">
        <f t="shared" si="159"/>
        <v>0</v>
      </c>
      <c r="T1224" s="693">
        <f t="shared" si="160"/>
        <v>0</v>
      </c>
      <c r="U1224" s="1035"/>
      <c r="V1224" s="690"/>
      <c r="W1224" s="1025"/>
      <c r="X1224" s="1030"/>
      <c r="Y1224" s="694">
        <f t="shared" si="161"/>
        <v>0</v>
      </c>
      <c r="Z1224" s="690"/>
      <c r="AA1224" s="690"/>
      <c r="AB1224" s="695">
        <f t="shared" si="162"/>
        <v>0</v>
      </c>
      <c r="AC1224" s="1035"/>
      <c r="AD1224" s="690"/>
      <c r="AE1224" s="1025"/>
      <c r="AF1224" s="1030"/>
      <c r="AG1224" s="690"/>
      <c r="AH1224" s="690"/>
      <c r="AI1224" s="696">
        <f t="shared" si="163"/>
        <v>0</v>
      </c>
      <c r="AJ1224" s="697">
        <f t="shared" si="164"/>
        <v>0</v>
      </c>
    </row>
    <row r="1225" spans="1:36" s="700" customFormat="1" ht="12.75" customHeight="1">
      <c r="A1225" s="718" t="s">
        <v>210</v>
      </c>
      <c r="B1225" s="837" t="s">
        <v>278</v>
      </c>
      <c r="C1225" s="732" t="s">
        <v>377</v>
      </c>
      <c r="D1225" s="732"/>
      <c r="E1225" s="839"/>
      <c r="F1225" s="840"/>
      <c r="G1225" s="1025"/>
      <c r="H1225" s="690"/>
      <c r="I1225" s="1030"/>
      <c r="J1225" s="690"/>
      <c r="K1225" s="1030"/>
      <c r="L1225" s="690"/>
      <c r="M1225" s="1025"/>
      <c r="N1225" s="1030"/>
      <c r="O1225" s="692">
        <f t="shared" si="157"/>
        <v>0</v>
      </c>
      <c r="P1225" s="690"/>
      <c r="Q1225" s="690"/>
      <c r="R1225" s="691">
        <f t="shared" si="158"/>
        <v>0</v>
      </c>
      <c r="S1225" s="692">
        <f t="shared" si="159"/>
        <v>0</v>
      </c>
      <c r="T1225" s="693">
        <f t="shared" si="160"/>
        <v>0</v>
      </c>
      <c r="U1225" s="1035">
        <v>73506633</v>
      </c>
      <c r="V1225" s="690">
        <v>75975729</v>
      </c>
      <c r="W1225" s="1025"/>
      <c r="X1225" s="1030"/>
      <c r="Y1225" s="694">
        <f t="shared" si="161"/>
        <v>0</v>
      </c>
      <c r="Z1225" s="690"/>
      <c r="AA1225" s="690"/>
      <c r="AB1225" s="695">
        <f t="shared" si="162"/>
        <v>0</v>
      </c>
      <c r="AC1225" s="1035"/>
      <c r="AD1225" s="690"/>
      <c r="AE1225" s="1025"/>
      <c r="AF1225" s="1030"/>
      <c r="AG1225" s="690"/>
      <c r="AH1225" s="690"/>
      <c r="AI1225" s="696">
        <f t="shared" si="163"/>
        <v>73506633</v>
      </c>
      <c r="AJ1225" s="697">
        <f t="shared" si="164"/>
        <v>75975729</v>
      </c>
    </row>
    <row r="1226" spans="1:36" s="700" customFormat="1" ht="12.75" customHeight="1">
      <c r="A1226" s="718" t="s">
        <v>210</v>
      </c>
      <c r="B1226" s="837" t="s">
        <v>279</v>
      </c>
      <c r="C1226" s="732" t="s">
        <v>54</v>
      </c>
      <c r="D1226" s="732"/>
      <c r="E1226" s="839"/>
      <c r="F1226" s="840"/>
      <c r="G1226" s="1025"/>
      <c r="H1226" s="690"/>
      <c r="I1226" s="1030"/>
      <c r="J1226" s="690"/>
      <c r="K1226" s="1030"/>
      <c r="L1226" s="690"/>
      <c r="M1226" s="1025"/>
      <c r="N1226" s="1030"/>
      <c r="O1226" s="692">
        <f t="shared" ref="O1226:O1289" si="165">SUM(M1226:N1226)</f>
        <v>0</v>
      </c>
      <c r="P1226" s="690"/>
      <c r="Q1226" s="690"/>
      <c r="R1226" s="691">
        <f t="shared" ref="R1226:R1289" si="166">SUM(P1226:Q1226)</f>
        <v>0</v>
      </c>
      <c r="S1226" s="692">
        <f t="shared" ref="S1226:S1289" si="167">SUM(G1226,I1226,K1226,M1226)</f>
        <v>0</v>
      </c>
      <c r="T1226" s="693">
        <f t="shared" ref="T1226:T1289" si="168">SUM(H1226,J1226,L1226,P1226)</f>
        <v>0</v>
      </c>
      <c r="U1226" s="1035"/>
      <c r="V1226" s="690"/>
      <c r="W1226" s="1025"/>
      <c r="X1226" s="1030"/>
      <c r="Y1226" s="694">
        <f t="shared" ref="Y1226:Y1289" si="169">SUM(W1226:X1226)</f>
        <v>0</v>
      </c>
      <c r="Z1226" s="690"/>
      <c r="AA1226" s="690"/>
      <c r="AB1226" s="695">
        <f t="shared" ref="AB1226:AB1289" si="170">SUM(Z1226:AA1226)</f>
        <v>0</v>
      </c>
      <c r="AC1226" s="1035"/>
      <c r="AD1226" s="690"/>
      <c r="AE1226" s="1025"/>
      <c r="AF1226" s="1030"/>
      <c r="AG1226" s="690"/>
      <c r="AH1226" s="690"/>
      <c r="AI1226" s="696">
        <f t="shared" ref="AI1226:AI1289" si="171">SUM(S1226,U1226,W1226,AC1226,AE1226)</f>
        <v>0</v>
      </c>
      <c r="AJ1226" s="697">
        <f t="shared" ref="AJ1226:AJ1289" si="172">SUM(T1226,V1226,Z1226,AD1226,AG1226)</f>
        <v>0</v>
      </c>
    </row>
    <row r="1227" spans="1:36" s="700" customFormat="1" ht="12.75" customHeight="1">
      <c r="A1227" s="718" t="s">
        <v>210</v>
      </c>
      <c r="B1227" s="837" t="s">
        <v>317</v>
      </c>
      <c r="C1227" s="732" t="s">
        <v>443</v>
      </c>
      <c r="D1227" s="732"/>
      <c r="E1227" s="839"/>
      <c r="F1227" s="840"/>
      <c r="G1227" s="1025"/>
      <c r="H1227" s="690"/>
      <c r="I1227" s="1030"/>
      <c r="J1227" s="690"/>
      <c r="K1227" s="1030"/>
      <c r="L1227" s="690"/>
      <c r="M1227" s="1025"/>
      <c r="N1227" s="1030"/>
      <c r="O1227" s="692">
        <f t="shared" si="165"/>
        <v>0</v>
      </c>
      <c r="P1227" s="690"/>
      <c r="Q1227" s="690"/>
      <c r="R1227" s="691">
        <f t="shared" si="166"/>
        <v>0</v>
      </c>
      <c r="S1227" s="692">
        <f t="shared" si="167"/>
        <v>0</v>
      </c>
      <c r="T1227" s="693">
        <f t="shared" si="168"/>
        <v>0</v>
      </c>
      <c r="U1227" s="1035"/>
      <c r="V1227" s="690"/>
      <c r="W1227" s="1025"/>
      <c r="X1227" s="1030"/>
      <c r="Y1227" s="694">
        <f t="shared" si="169"/>
        <v>0</v>
      </c>
      <c r="Z1227" s="690"/>
      <c r="AA1227" s="690"/>
      <c r="AB1227" s="695">
        <f t="shared" si="170"/>
        <v>0</v>
      </c>
      <c r="AC1227" s="1035"/>
      <c r="AD1227" s="690"/>
      <c r="AE1227" s="1025"/>
      <c r="AF1227" s="1030"/>
      <c r="AG1227" s="690"/>
      <c r="AH1227" s="690"/>
      <c r="AI1227" s="696">
        <f t="shared" si="171"/>
        <v>0</v>
      </c>
      <c r="AJ1227" s="697">
        <f t="shared" si="172"/>
        <v>0</v>
      </c>
    </row>
    <row r="1228" spans="1:36" s="700" customFormat="1" ht="12.75" customHeight="1">
      <c r="A1228" s="718" t="s">
        <v>210</v>
      </c>
      <c r="B1228" s="837" t="s">
        <v>318</v>
      </c>
      <c r="C1228" s="732" t="s">
        <v>377</v>
      </c>
      <c r="D1228" s="732"/>
      <c r="E1228" s="839"/>
      <c r="F1228" s="840"/>
      <c r="G1228" s="1025"/>
      <c r="H1228" s="690"/>
      <c r="I1228" s="1030"/>
      <c r="J1228" s="690"/>
      <c r="K1228" s="1030"/>
      <c r="L1228" s="690"/>
      <c r="M1228" s="1025"/>
      <c r="N1228" s="1030"/>
      <c r="O1228" s="692">
        <f t="shared" si="165"/>
        <v>0</v>
      </c>
      <c r="P1228" s="690"/>
      <c r="Q1228" s="690"/>
      <c r="R1228" s="691">
        <f t="shared" si="166"/>
        <v>0</v>
      </c>
      <c r="S1228" s="692">
        <f t="shared" si="167"/>
        <v>0</v>
      </c>
      <c r="T1228" s="693">
        <f t="shared" si="168"/>
        <v>0</v>
      </c>
      <c r="U1228" s="1035">
        <v>16878045</v>
      </c>
      <c r="V1228" s="690">
        <v>17441194</v>
      </c>
      <c r="W1228" s="1025"/>
      <c r="X1228" s="1030"/>
      <c r="Y1228" s="694">
        <f t="shared" si="169"/>
        <v>0</v>
      </c>
      <c r="Z1228" s="690"/>
      <c r="AA1228" s="690"/>
      <c r="AB1228" s="695">
        <f t="shared" si="170"/>
        <v>0</v>
      </c>
      <c r="AC1228" s="1035"/>
      <c r="AD1228" s="690"/>
      <c r="AE1228" s="1025"/>
      <c r="AF1228" s="1030"/>
      <c r="AG1228" s="690"/>
      <c r="AH1228" s="690"/>
      <c r="AI1228" s="696">
        <f t="shared" si="171"/>
        <v>16878045</v>
      </c>
      <c r="AJ1228" s="697">
        <f t="shared" si="172"/>
        <v>17441194</v>
      </c>
    </row>
    <row r="1229" spans="1:36" s="700" customFormat="1" ht="12.75" customHeight="1">
      <c r="A1229" s="718" t="s">
        <v>210</v>
      </c>
      <c r="B1229" s="718" t="s">
        <v>420</v>
      </c>
      <c r="C1229" s="838" t="s">
        <v>960</v>
      </c>
      <c r="D1229" s="838"/>
      <c r="E1229" s="721"/>
      <c r="F1229" s="722"/>
      <c r="G1229" s="1025"/>
      <c r="H1229" s="690"/>
      <c r="I1229" s="1030"/>
      <c r="J1229" s="690"/>
      <c r="K1229" s="1030"/>
      <c r="L1229" s="690"/>
      <c r="M1229" s="1025"/>
      <c r="N1229" s="1030"/>
      <c r="O1229" s="692">
        <f t="shared" si="165"/>
        <v>0</v>
      </c>
      <c r="P1229" s="690"/>
      <c r="Q1229" s="690"/>
      <c r="R1229" s="691">
        <f t="shared" si="166"/>
        <v>0</v>
      </c>
      <c r="S1229" s="692">
        <f t="shared" si="167"/>
        <v>0</v>
      </c>
      <c r="T1229" s="693">
        <f t="shared" si="168"/>
        <v>0</v>
      </c>
      <c r="U1229" s="1035"/>
      <c r="V1229" s="690"/>
      <c r="W1229" s="1025"/>
      <c r="X1229" s="1030"/>
      <c r="Y1229" s="694">
        <f t="shared" si="169"/>
        <v>0</v>
      </c>
      <c r="Z1229" s="690"/>
      <c r="AA1229" s="690"/>
      <c r="AB1229" s="695">
        <f t="shared" si="170"/>
        <v>0</v>
      </c>
      <c r="AC1229" s="1035"/>
      <c r="AD1229" s="690"/>
      <c r="AE1229" s="1025"/>
      <c r="AF1229" s="1030"/>
      <c r="AG1229" s="690"/>
      <c r="AH1229" s="690"/>
      <c r="AI1229" s="696">
        <f t="shared" si="171"/>
        <v>0</v>
      </c>
      <c r="AJ1229" s="697">
        <f t="shared" si="172"/>
        <v>0</v>
      </c>
    </row>
    <row r="1230" spans="1:36" s="700" customFormat="1" ht="12.75" customHeight="1">
      <c r="A1230" s="718" t="s">
        <v>210</v>
      </c>
      <c r="B1230" s="837" t="s">
        <v>295</v>
      </c>
      <c r="C1230" s="732" t="s">
        <v>53</v>
      </c>
      <c r="D1230" s="732"/>
      <c r="E1230" s="839"/>
      <c r="F1230" s="840"/>
      <c r="G1230" s="1025"/>
      <c r="H1230" s="690"/>
      <c r="I1230" s="1030"/>
      <c r="J1230" s="690"/>
      <c r="K1230" s="1030"/>
      <c r="L1230" s="690"/>
      <c r="M1230" s="1025"/>
      <c r="N1230" s="1030"/>
      <c r="O1230" s="692">
        <f t="shared" si="165"/>
        <v>0</v>
      </c>
      <c r="P1230" s="690"/>
      <c r="Q1230" s="690"/>
      <c r="R1230" s="691">
        <f t="shared" si="166"/>
        <v>0</v>
      </c>
      <c r="S1230" s="692">
        <f t="shared" si="167"/>
        <v>0</v>
      </c>
      <c r="T1230" s="693">
        <f t="shared" si="168"/>
        <v>0</v>
      </c>
      <c r="U1230" s="1035"/>
      <c r="V1230" s="690"/>
      <c r="W1230" s="1025"/>
      <c r="X1230" s="1030"/>
      <c r="Y1230" s="694">
        <f t="shared" si="169"/>
        <v>0</v>
      </c>
      <c r="Z1230" s="690"/>
      <c r="AA1230" s="690"/>
      <c r="AB1230" s="695">
        <f t="shared" si="170"/>
        <v>0</v>
      </c>
      <c r="AC1230" s="1035"/>
      <c r="AD1230" s="690"/>
      <c r="AE1230" s="1025"/>
      <c r="AF1230" s="1030"/>
      <c r="AG1230" s="690"/>
      <c r="AH1230" s="690"/>
      <c r="AI1230" s="696">
        <f t="shared" si="171"/>
        <v>0</v>
      </c>
      <c r="AJ1230" s="697">
        <f t="shared" si="172"/>
        <v>0</v>
      </c>
    </row>
    <row r="1231" spans="1:36" s="700" customFormat="1" ht="12.75" customHeight="1">
      <c r="A1231" s="718" t="s">
        <v>210</v>
      </c>
      <c r="B1231" s="837" t="s">
        <v>296</v>
      </c>
      <c r="C1231" s="732" t="s">
        <v>443</v>
      </c>
      <c r="D1231" s="732"/>
      <c r="E1231" s="839"/>
      <c r="F1231" s="840"/>
      <c r="G1231" s="1025"/>
      <c r="H1231" s="690"/>
      <c r="I1231" s="1030"/>
      <c r="J1231" s="690"/>
      <c r="K1231" s="1030"/>
      <c r="L1231" s="690"/>
      <c r="M1231" s="1025"/>
      <c r="N1231" s="1030"/>
      <c r="O1231" s="692">
        <f t="shared" si="165"/>
        <v>0</v>
      </c>
      <c r="P1231" s="690"/>
      <c r="Q1231" s="690"/>
      <c r="R1231" s="691">
        <f t="shared" si="166"/>
        <v>0</v>
      </c>
      <c r="S1231" s="692">
        <f t="shared" si="167"/>
        <v>0</v>
      </c>
      <c r="T1231" s="693">
        <f t="shared" si="168"/>
        <v>0</v>
      </c>
      <c r="U1231" s="1035">
        <v>46211086</v>
      </c>
      <c r="V1231" s="690">
        <v>46516961</v>
      </c>
      <c r="W1231" s="1025"/>
      <c r="X1231" s="1030"/>
      <c r="Y1231" s="694">
        <f t="shared" si="169"/>
        <v>0</v>
      </c>
      <c r="Z1231" s="690"/>
      <c r="AA1231" s="690"/>
      <c r="AB1231" s="695">
        <f t="shared" si="170"/>
        <v>0</v>
      </c>
      <c r="AC1231" s="1035"/>
      <c r="AD1231" s="690"/>
      <c r="AE1231" s="1025"/>
      <c r="AF1231" s="1030"/>
      <c r="AG1231" s="690"/>
      <c r="AH1231" s="690"/>
      <c r="AI1231" s="696">
        <f t="shared" si="171"/>
        <v>46211086</v>
      </c>
      <c r="AJ1231" s="697">
        <f t="shared" si="172"/>
        <v>46516961</v>
      </c>
    </row>
    <row r="1232" spans="1:36" s="700" customFormat="1" ht="12.75" customHeight="1">
      <c r="A1232" s="718" t="s">
        <v>210</v>
      </c>
      <c r="B1232" s="837" t="s">
        <v>278</v>
      </c>
      <c r="C1232" s="732" t="s">
        <v>377</v>
      </c>
      <c r="D1232" s="732"/>
      <c r="E1232" s="839"/>
      <c r="F1232" s="840"/>
      <c r="G1232" s="1025"/>
      <c r="H1232" s="690"/>
      <c r="I1232" s="1030"/>
      <c r="J1232" s="690"/>
      <c r="K1232" s="1030"/>
      <c r="L1232" s="690"/>
      <c r="M1232" s="1025"/>
      <c r="N1232" s="1030"/>
      <c r="O1232" s="692">
        <f t="shared" si="165"/>
        <v>0</v>
      </c>
      <c r="P1232" s="690"/>
      <c r="Q1232" s="690"/>
      <c r="R1232" s="691">
        <f t="shared" si="166"/>
        <v>0</v>
      </c>
      <c r="S1232" s="692">
        <f t="shared" si="167"/>
        <v>0</v>
      </c>
      <c r="T1232" s="693">
        <f t="shared" si="168"/>
        <v>0</v>
      </c>
      <c r="U1232" s="1035"/>
      <c r="V1232" s="690"/>
      <c r="W1232" s="1025"/>
      <c r="X1232" s="1030"/>
      <c r="Y1232" s="694">
        <f t="shared" si="169"/>
        <v>0</v>
      </c>
      <c r="Z1232" s="690"/>
      <c r="AA1232" s="690"/>
      <c r="AB1232" s="695">
        <f t="shared" si="170"/>
        <v>0</v>
      </c>
      <c r="AC1232" s="1035"/>
      <c r="AD1232" s="690"/>
      <c r="AE1232" s="1025"/>
      <c r="AF1232" s="1030"/>
      <c r="AG1232" s="690"/>
      <c r="AH1232" s="690"/>
      <c r="AI1232" s="696">
        <f t="shared" si="171"/>
        <v>0</v>
      </c>
      <c r="AJ1232" s="697">
        <f t="shared" si="172"/>
        <v>0</v>
      </c>
    </row>
    <row r="1233" spans="1:36" s="700" customFormat="1" ht="12.75" customHeight="1">
      <c r="A1233" s="718" t="s">
        <v>210</v>
      </c>
      <c r="B1233" s="837" t="s">
        <v>279</v>
      </c>
      <c r="C1233" s="732" t="s">
        <v>54</v>
      </c>
      <c r="D1233" s="732"/>
      <c r="E1233" s="839"/>
      <c r="F1233" s="840"/>
      <c r="G1233" s="1025"/>
      <c r="H1233" s="690"/>
      <c r="I1233" s="1030"/>
      <c r="J1233" s="690"/>
      <c r="K1233" s="1030"/>
      <c r="L1233" s="690"/>
      <c r="M1233" s="1025"/>
      <c r="N1233" s="1030"/>
      <c r="O1233" s="692">
        <f t="shared" si="165"/>
        <v>0</v>
      </c>
      <c r="P1233" s="690"/>
      <c r="Q1233" s="690"/>
      <c r="R1233" s="691">
        <f t="shared" si="166"/>
        <v>0</v>
      </c>
      <c r="S1233" s="692">
        <f t="shared" si="167"/>
        <v>0</v>
      </c>
      <c r="T1233" s="693">
        <f t="shared" si="168"/>
        <v>0</v>
      </c>
      <c r="U1233" s="1035"/>
      <c r="V1233" s="690"/>
      <c r="W1233" s="1025"/>
      <c r="X1233" s="1030"/>
      <c r="Y1233" s="694">
        <f t="shared" si="169"/>
        <v>0</v>
      </c>
      <c r="Z1233" s="690"/>
      <c r="AA1233" s="690"/>
      <c r="AB1233" s="695">
        <f t="shared" si="170"/>
        <v>0</v>
      </c>
      <c r="AC1233" s="1035"/>
      <c r="AD1233" s="690"/>
      <c r="AE1233" s="1025"/>
      <c r="AF1233" s="1030"/>
      <c r="AG1233" s="690"/>
      <c r="AH1233" s="690"/>
      <c r="AI1233" s="696">
        <f t="shared" si="171"/>
        <v>0</v>
      </c>
      <c r="AJ1233" s="697">
        <f t="shared" si="172"/>
        <v>0</v>
      </c>
    </row>
    <row r="1234" spans="1:36" s="700" customFormat="1" ht="12.75" customHeight="1">
      <c r="A1234" s="718" t="s">
        <v>210</v>
      </c>
      <c r="B1234" s="837" t="s">
        <v>317</v>
      </c>
      <c r="C1234" s="732" t="s">
        <v>443</v>
      </c>
      <c r="D1234" s="732"/>
      <c r="E1234" s="839"/>
      <c r="F1234" s="840"/>
      <c r="G1234" s="1025"/>
      <c r="H1234" s="690"/>
      <c r="I1234" s="1030"/>
      <c r="J1234" s="690"/>
      <c r="K1234" s="1030"/>
      <c r="L1234" s="690"/>
      <c r="M1234" s="1025"/>
      <c r="N1234" s="1030"/>
      <c r="O1234" s="692">
        <f t="shared" si="165"/>
        <v>0</v>
      </c>
      <c r="P1234" s="690"/>
      <c r="Q1234" s="690"/>
      <c r="R1234" s="691">
        <f t="shared" si="166"/>
        <v>0</v>
      </c>
      <c r="S1234" s="692">
        <f t="shared" si="167"/>
        <v>0</v>
      </c>
      <c r="T1234" s="693">
        <f t="shared" si="168"/>
        <v>0</v>
      </c>
      <c r="U1234" s="1035">
        <v>14913204</v>
      </c>
      <c r="V1234" s="690">
        <v>16772094</v>
      </c>
      <c r="W1234" s="1025"/>
      <c r="X1234" s="1030"/>
      <c r="Y1234" s="694">
        <f t="shared" si="169"/>
        <v>0</v>
      </c>
      <c r="Z1234" s="690"/>
      <c r="AA1234" s="690"/>
      <c r="AB1234" s="695">
        <f t="shared" si="170"/>
        <v>0</v>
      </c>
      <c r="AC1234" s="1035"/>
      <c r="AD1234" s="690"/>
      <c r="AE1234" s="1025"/>
      <c r="AF1234" s="1030"/>
      <c r="AG1234" s="690"/>
      <c r="AH1234" s="690"/>
      <c r="AI1234" s="696">
        <f t="shared" si="171"/>
        <v>14913204</v>
      </c>
      <c r="AJ1234" s="697">
        <f t="shared" si="172"/>
        <v>16772094</v>
      </c>
    </row>
    <row r="1235" spans="1:36" s="700" customFormat="1" ht="12.75" customHeight="1">
      <c r="A1235" s="718" t="s">
        <v>210</v>
      </c>
      <c r="B1235" s="837" t="s">
        <v>318</v>
      </c>
      <c r="C1235" s="732" t="s">
        <v>377</v>
      </c>
      <c r="D1235" s="732"/>
      <c r="E1235" s="839"/>
      <c r="F1235" s="840"/>
      <c r="G1235" s="1025"/>
      <c r="H1235" s="690"/>
      <c r="I1235" s="1030"/>
      <c r="J1235" s="690"/>
      <c r="K1235" s="1030"/>
      <c r="L1235" s="690"/>
      <c r="M1235" s="1025"/>
      <c r="N1235" s="1030"/>
      <c r="O1235" s="692">
        <f t="shared" si="165"/>
        <v>0</v>
      </c>
      <c r="P1235" s="690"/>
      <c r="Q1235" s="690"/>
      <c r="R1235" s="691">
        <f t="shared" si="166"/>
        <v>0</v>
      </c>
      <c r="S1235" s="692">
        <f t="shared" si="167"/>
        <v>0</v>
      </c>
      <c r="T1235" s="693">
        <f t="shared" si="168"/>
        <v>0</v>
      </c>
      <c r="U1235" s="1035"/>
      <c r="V1235" s="690"/>
      <c r="W1235" s="1025"/>
      <c r="X1235" s="1030"/>
      <c r="Y1235" s="694">
        <f t="shared" si="169"/>
        <v>0</v>
      </c>
      <c r="Z1235" s="690"/>
      <c r="AA1235" s="690"/>
      <c r="AB1235" s="695">
        <f t="shared" si="170"/>
        <v>0</v>
      </c>
      <c r="AC1235" s="1035"/>
      <c r="AD1235" s="690"/>
      <c r="AE1235" s="1025"/>
      <c r="AF1235" s="1030"/>
      <c r="AG1235" s="690"/>
      <c r="AH1235" s="690"/>
      <c r="AI1235" s="696">
        <f t="shared" si="171"/>
        <v>0</v>
      </c>
      <c r="AJ1235" s="697">
        <f t="shared" si="172"/>
        <v>0</v>
      </c>
    </row>
    <row r="1236" spans="1:36" s="700" customFormat="1" ht="12.75" customHeight="1">
      <c r="A1236" s="718" t="s">
        <v>210</v>
      </c>
      <c r="B1236" s="837" t="s">
        <v>421</v>
      </c>
      <c r="C1236" s="737" t="s">
        <v>19</v>
      </c>
      <c r="D1236" s="737"/>
      <c r="E1236" s="839"/>
      <c r="F1236" s="840"/>
      <c r="G1236" s="1025"/>
      <c r="H1236" s="690"/>
      <c r="I1236" s="1030"/>
      <c r="J1236" s="690"/>
      <c r="K1236" s="1030"/>
      <c r="L1236" s="690"/>
      <c r="M1236" s="1025"/>
      <c r="N1236" s="1030"/>
      <c r="O1236" s="692">
        <f t="shared" si="165"/>
        <v>0</v>
      </c>
      <c r="P1236" s="690"/>
      <c r="Q1236" s="690"/>
      <c r="R1236" s="691">
        <f t="shared" si="166"/>
        <v>0</v>
      </c>
      <c r="S1236" s="692">
        <f t="shared" si="167"/>
        <v>0</v>
      </c>
      <c r="T1236" s="693">
        <f t="shared" si="168"/>
        <v>0</v>
      </c>
      <c r="U1236" s="1035"/>
      <c r="V1236" s="690"/>
      <c r="W1236" s="1025"/>
      <c r="X1236" s="1030"/>
      <c r="Y1236" s="694">
        <f t="shared" si="169"/>
        <v>0</v>
      </c>
      <c r="Z1236" s="690"/>
      <c r="AA1236" s="690"/>
      <c r="AB1236" s="695">
        <f t="shared" si="170"/>
        <v>0</v>
      </c>
      <c r="AC1236" s="1035"/>
      <c r="AD1236" s="690"/>
      <c r="AE1236" s="1025"/>
      <c r="AF1236" s="1030"/>
      <c r="AG1236" s="690"/>
      <c r="AH1236" s="690"/>
      <c r="AI1236" s="696">
        <f t="shared" si="171"/>
        <v>0</v>
      </c>
      <c r="AJ1236" s="697">
        <f t="shared" si="172"/>
        <v>0</v>
      </c>
    </row>
    <row r="1237" spans="1:36" s="700" customFormat="1" ht="12.75" customHeight="1">
      <c r="A1237" s="718" t="s">
        <v>210</v>
      </c>
      <c r="B1237" s="718" t="s">
        <v>422</v>
      </c>
      <c r="C1237" s="836" t="s">
        <v>439</v>
      </c>
      <c r="D1237" s="836"/>
      <c r="E1237" s="721"/>
      <c r="F1237" s="722"/>
      <c r="G1237" s="1025"/>
      <c r="H1237" s="690"/>
      <c r="I1237" s="1030"/>
      <c r="J1237" s="690"/>
      <c r="K1237" s="1030"/>
      <c r="L1237" s="690"/>
      <c r="M1237" s="1025"/>
      <c r="N1237" s="1030"/>
      <c r="O1237" s="692">
        <f t="shared" si="165"/>
        <v>0</v>
      </c>
      <c r="P1237" s="690"/>
      <c r="Q1237" s="690"/>
      <c r="R1237" s="691">
        <f t="shared" si="166"/>
        <v>0</v>
      </c>
      <c r="S1237" s="692">
        <f t="shared" si="167"/>
        <v>0</v>
      </c>
      <c r="T1237" s="693">
        <f t="shared" si="168"/>
        <v>0</v>
      </c>
      <c r="U1237" s="1035"/>
      <c r="V1237" s="690"/>
      <c r="W1237" s="1025"/>
      <c r="X1237" s="1030"/>
      <c r="Y1237" s="694">
        <f t="shared" si="169"/>
        <v>0</v>
      </c>
      <c r="Z1237" s="690"/>
      <c r="AA1237" s="690"/>
      <c r="AB1237" s="695">
        <f t="shared" si="170"/>
        <v>0</v>
      </c>
      <c r="AC1237" s="1035"/>
      <c r="AD1237" s="690"/>
      <c r="AE1237" s="1025"/>
      <c r="AF1237" s="1030"/>
      <c r="AG1237" s="690"/>
      <c r="AH1237" s="690"/>
      <c r="AI1237" s="696">
        <f t="shared" si="171"/>
        <v>0</v>
      </c>
      <c r="AJ1237" s="697">
        <f t="shared" si="172"/>
        <v>0</v>
      </c>
    </row>
    <row r="1238" spans="1:36" s="700" customFormat="1" ht="12.75" customHeight="1">
      <c r="A1238" s="718" t="s">
        <v>210</v>
      </c>
      <c r="B1238" s="718" t="s">
        <v>422</v>
      </c>
      <c r="C1238" s="838" t="s">
        <v>961</v>
      </c>
      <c r="D1238" s="838"/>
      <c r="E1238" s="839"/>
      <c r="F1238" s="840"/>
      <c r="G1238" s="1025"/>
      <c r="H1238" s="690"/>
      <c r="I1238" s="1030"/>
      <c r="J1238" s="690"/>
      <c r="K1238" s="1030"/>
      <c r="L1238" s="690"/>
      <c r="M1238" s="1025"/>
      <c r="N1238" s="1030"/>
      <c r="O1238" s="692">
        <f t="shared" si="165"/>
        <v>0</v>
      </c>
      <c r="P1238" s="690"/>
      <c r="Q1238" s="690"/>
      <c r="R1238" s="691">
        <f t="shared" si="166"/>
        <v>0</v>
      </c>
      <c r="S1238" s="692">
        <f t="shared" si="167"/>
        <v>0</v>
      </c>
      <c r="T1238" s="693">
        <f t="shared" si="168"/>
        <v>0</v>
      </c>
      <c r="U1238" s="1035"/>
      <c r="V1238" s="690"/>
      <c r="W1238" s="1025"/>
      <c r="X1238" s="1030"/>
      <c r="Y1238" s="694">
        <f t="shared" si="169"/>
        <v>0</v>
      </c>
      <c r="Z1238" s="690"/>
      <c r="AA1238" s="690"/>
      <c r="AB1238" s="695">
        <f t="shared" si="170"/>
        <v>0</v>
      </c>
      <c r="AC1238" s="1035"/>
      <c r="AD1238" s="690"/>
      <c r="AE1238" s="1025"/>
      <c r="AF1238" s="1030"/>
      <c r="AG1238" s="690"/>
      <c r="AH1238" s="690"/>
      <c r="AI1238" s="696">
        <f t="shared" si="171"/>
        <v>0</v>
      </c>
      <c r="AJ1238" s="697">
        <f t="shared" si="172"/>
        <v>0</v>
      </c>
    </row>
    <row r="1239" spans="1:36" s="700" customFormat="1" ht="12.75" customHeight="1">
      <c r="A1239" s="718" t="s">
        <v>210</v>
      </c>
      <c r="B1239" s="718" t="s">
        <v>382</v>
      </c>
      <c r="C1239" s="732" t="s">
        <v>443</v>
      </c>
      <c r="D1239" s="732"/>
      <c r="E1239" s="839"/>
      <c r="F1239" s="840"/>
      <c r="G1239" s="1025"/>
      <c r="H1239" s="690"/>
      <c r="I1239" s="1030"/>
      <c r="J1239" s="690"/>
      <c r="K1239" s="1030"/>
      <c r="L1239" s="690"/>
      <c r="M1239" s="1025"/>
      <c r="N1239" s="1030"/>
      <c r="O1239" s="692">
        <f t="shared" si="165"/>
        <v>0</v>
      </c>
      <c r="P1239" s="690"/>
      <c r="Q1239" s="690"/>
      <c r="R1239" s="691">
        <f t="shared" si="166"/>
        <v>0</v>
      </c>
      <c r="S1239" s="692">
        <f t="shared" si="167"/>
        <v>0</v>
      </c>
      <c r="T1239" s="693">
        <f t="shared" si="168"/>
        <v>0</v>
      </c>
      <c r="U1239" s="1035">
        <v>31938565</v>
      </c>
      <c r="V1239" s="690">
        <v>32395283</v>
      </c>
      <c r="W1239" s="1025"/>
      <c r="X1239" s="1030"/>
      <c r="Y1239" s="694">
        <f t="shared" si="169"/>
        <v>0</v>
      </c>
      <c r="Z1239" s="690"/>
      <c r="AA1239" s="690"/>
      <c r="AB1239" s="695">
        <f t="shared" si="170"/>
        <v>0</v>
      </c>
      <c r="AC1239" s="1035"/>
      <c r="AD1239" s="690"/>
      <c r="AE1239" s="1025"/>
      <c r="AF1239" s="1030"/>
      <c r="AG1239" s="690"/>
      <c r="AH1239" s="690"/>
      <c r="AI1239" s="696">
        <f t="shared" si="171"/>
        <v>31938565</v>
      </c>
      <c r="AJ1239" s="697">
        <f t="shared" si="172"/>
        <v>32395283</v>
      </c>
    </row>
    <row r="1240" spans="1:36" s="700" customFormat="1" ht="12.75" customHeight="1">
      <c r="A1240" s="718" t="s">
        <v>210</v>
      </c>
      <c r="B1240" s="718" t="s">
        <v>383</v>
      </c>
      <c r="C1240" s="732" t="s">
        <v>377</v>
      </c>
      <c r="D1240" s="732"/>
      <c r="E1240" s="839"/>
      <c r="F1240" s="840"/>
      <c r="G1240" s="1025"/>
      <c r="H1240" s="690"/>
      <c r="I1240" s="1030"/>
      <c r="J1240" s="690"/>
      <c r="K1240" s="1030"/>
      <c r="L1240" s="690"/>
      <c r="M1240" s="1025"/>
      <c r="N1240" s="1030"/>
      <c r="O1240" s="692">
        <f t="shared" si="165"/>
        <v>0</v>
      </c>
      <c r="P1240" s="690"/>
      <c r="Q1240" s="690"/>
      <c r="R1240" s="691">
        <f t="shared" si="166"/>
        <v>0</v>
      </c>
      <c r="S1240" s="692">
        <f t="shared" si="167"/>
        <v>0</v>
      </c>
      <c r="T1240" s="693">
        <f t="shared" si="168"/>
        <v>0</v>
      </c>
      <c r="U1240" s="1035"/>
      <c r="V1240" s="690"/>
      <c r="W1240" s="1025"/>
      <c r="X1240" s="1030"/>
      <c r="Y1240" s="694">
        <f t="shared" si="169"/>
        <v>0</v>
      </c>
      <c r="Z1240" s="690"/>
      <c r="AA1240" s="690"/>
      <c r="AB1240" s="695">
        <f t="shared" si="170"/>
        <v>0</v>
      </c>
      <c r="AC1240" s="1035"/>
      <c r="AD1240" s="690"/>
      <c r="AE1240" s="1025"/>
      <c r="AF1240" s="1030"/>
      <c r="AG1240" s="690"/>
      <c r="AH1240" s="690"/>
      <c r="AI1240" s="696">
        <f t="shared" si="171"/>
        <v>0</v>
      </c>
      <c r="AJ1240" s="697">
        <f t="shared" si="172"/>
        <v>0</v>
      </c>
    </row>
    <row r="1241" spans="1:36" s="700" customFormat="1" ht="12.75" customHeight="1">
      <c r="A1241" s="718" t="s">
        <v>210</v>
      </c>
      <c r="B1241" s="718" t="s">
        <v>422</v>
      </c>
      <c r="C1241" s="841" t="s">
        <v>962</v>
      </c>
      <c r="D1241" s="841"/>
      <c r="E1241" s="839"/>
      <c r="F1241" s="840"/>
      <c r="G1241" s="1025"/>
      <c r="H1241" s="690"/>
      <c r="I1241" s="1030"/>
      <c r="J1241" s="690"/>
      <c r="K1241" s="1030"/>
      <c r="L1241" s="690"/>
      <c r="M1241" s="1025"/>
      <c r="N1241" s="1030"/>
      <c r="O1241" s="692">
        <f t="shared" si="165"/>
        <v>0</v>
      </c>
      <c r="P1241" s="690"/>
      <c r="Q1241" s="690"/>
      <c r="R1241" s="691">
        <f t="shared" si="166"/>
        <v>0</v>
      </c>
      <c r="S1241" s="692">
        <f t="shared" si="167"/>
        <v>0</v>
      </c>
      <c r="T1241" s="693">
        <f t="shared" si="168"/>
        <v>0</v>
      </c>
      <c r="U1241" s="1035"/>
      <c r="V1241" s="690"/>
      <c r="W1241" s="1025"/>
      <c r="X1241" s="1030"/>
      <c r="Y1241" s="694">
        <f t="shared" si="169"/>
        <v>0</v>
      </c>
      <c r="Z1241" s="690"/>
      <c r="AA1241" s="690"/>
      <c r="AB1241" s="695">
        <f t="shared" si="170"/>
        <v>0</v>
      </c>
      <c r="AC1241" s="1035"/>
      <c r="AD1241" s="690"/>
      <c r="AE1241" s="1025"/>
      <c r="AF1241" s="1030"/>
      <c r="AG1241" s="690"/>
      <c r="AH1241" s="690"/>
      <c r="AI1241" s="696">
        <f t="shared" si="171"/>
        <v>0</v>
      </c>
      <c r="AJ1241" s="697">
        <f t="shared" si="172"/>
        <v>0</v>
      </c>
    </row>
    <row r="1242" spans="1:36" s="700" customFormat="1" ht="12.75" customHeight="1">
      <c r="A1242" s="718" t="s">
        <v>210</v>
      </c>
      <c r="B1242" s="718" t="s">
        <v>382</v>
      </c>
      <c r="C1242" s="732" t="s">
        <v>443</v>
      </c>
      <c r="D1242" s="732"/>
      <c r="E1242" s="839"/>
      <c r="F1242" s="840"/>
      <c r="G1242" s="1025"/>
      <c r="H1242" s="690"/>
      <c r="I1242" s="1030"/>
      <c r="J1242" s="690"/>
      <c r="K1242" s="1030"/>
      <c r="L1242" s="690"/>
      <c r="M1242" s="1025"/>
      <c r="N1242" s="1030"/>
      <c r="O1242" s="692">
        <f t="shared" si="165"/>
        <v>0</v>
      </c>
      <c r="P1242" s="690"/>
      <c r="Q1242" s="690"/>
      <c r="R1242" s="691">
        <f t="shared" si="166"/>
        <v>0</v>
      </c>
      <c r="S1242" s="692">
        <f t="shared" si="167"/>
        <v>0</v>
      </c>
      <c r="T1242" s="693">
        <f t="shared" si="168"/>
        <v>0</v>
      </c>
      <c r="U1242" s="1035"/>
      <c r="V1242" s="690"/>
      <c r="W1242" s="1025"/>
      <c r="X1242" s="1030"/>
      <c r="Y1242" s="694">
        <f t="shared" si="169"/>
        <v>0</v>
      </c>
      <c r="Z1242" s="690"/>
      <c r="AA1242" s="690"/>
      <c r="AB1242" s="695">
        <f t="shared" si="170"/>
        <v>0</v>
      </c>
      <c r="AC1242" s="1035"/>
      <c r="AD1242" s="690"/>
      <c r="AE1242" s="1025"/>
      <c r="AF1242" s="1030"/>
      <c r="AG1242" s="690"/>
      <c r="AH1242" s="690"/>
      <c r="AI1242" s="696">
        <f t="shared" si="171"/>
        <v>0</v>
      </c>
      <c r="AJ1242" s="697">
        <f t="shared" si="172"/>
        <v>0</v>
      </c>
    </row>
    <row r="1243" spans="1:36" s="700" customFormat="1" ht="12.75" customHeight="1">
      <c r="A1243" s="718" t="s">
        <v>210</v>
      </c>
      <c r="B1243" s="718" t="s">
        <v>383</v>
      </c>
      <c r="C1243" s="732" t="s">
        <v>377</v>
      </c>
      <c r="D1243" s="732"/>
      <c r="E1243" s="839"/>
      <c r="F1243" s="840"/>
      <c r="G1243" s="1025"/>
      <c r="H1243" s="690"/>
      <c r="I1243" s="1030"/>
      <c r="J1243" s="690"/>
      <c r="K1243" s="1030"/>
      <c r="L1243" s="690"/>
      <c r="M1243" s="1025"/>
      <c r="N1243" s="1030"/>
      <c r="O1243" s="692">
        <f t="shared" si="165"/>
        <v>0</v>
      </c>
      <c r="P1243" s="690"/>
      <c r="Q1243" s="690"/>
      <c r="R1243" s="691">
        <f t="shared" si="166"/>
        <v>0</v>
      </c>
      <c r="S1243" s="692">
        <f t="shared" si="167"/>
        <v>0</v>
      </c>
      <c r="T1243" s="693">
        <f t="shared" si="168"/>
        <v>0</v>
      </c>
      <c r="U1243" s="1035">
        <v>949878</v>
      </c>
      <c r="V1243" s="690">
        <v>810705</v>
      </c>
      <c r="W1243" s="1025"/>
      <c r="X1243" s="1030"/>
      <c r="Y1243" s="694">
        <f t="shared" si="169"/>
        <v>0</v>
      </c>
      <c r="Z1243" s="690"/>
      <c r="AA1243" s="690"/>
      <c r="AB1243" s="695">
        <f t="shared" si="170"/>
        <v>0</v>
      </c>
      <c r="AC1243" s="1035"/>
      <c r="AD1243" s="690"/>
      <c r="AE1243" s="1025"/>
      <c r="AF1243" s="1030"/>
      <c r="AG1243" s="690"/>
      <c r="AH1243" s="690"/>
      <c r="AI1243" s="696">
        <f t="shared" si="171"/>
        <v>949878</v>
      </c>
      <c r="AJ1243" s="697">
        <f t="shared" si="172"/>
        <v>810705</v>
      </c>
    </row>
    <row r="1244" spans="1:36" s="700" customFormat="1" ht="12.75" customHeight="1">
      <c r="A1244" s="842" t="s">
        <v>205</v>
      </c>
      <c r="B1244" s="842" t="s">
        <v>392</v>
      </c>
      <c r="C1244" s="843" t="s">
        <v>963</v>
      </c>
      <c r="D1244" s="843"/>
      <c r="E1244" s="844">
        <v>159391</v>
      </c>
      <c r="F1244" s="845">
        <v>1</v>
      </c>
      <c r="G1244" s="1025">
        <v>147753928</v>
      </c>
      <c r="H1244" s="690">
        <f>160194254-17222374-1595632</f>
        <v>141376248</v>
      </c>
      <c r="I1244" s="1030"/>
      <c r="J1244" s="690"/>
      <c r="K1244" s="1030"/>
      <c r="L1244" s="690"/>
      <c r="M1244" s="1025">
        <v>166205704</v>
      </c>
      <c r="N1244" s="1030"/>
      <c r="O1244" s="692">
        <f t="shared" si="165"/>
        <v>166205704</v>
      </c>
      <c r="P1244" s="690">
        <f>199512312-9445248</f>
        <v>190067064</v>
      </c>
      <c r="Q1244" s="690"/>
      <c r="R1244" s="691">
        <f t="shared" si="166"/>
        <v>190067064</v>
      </c>
      <c r="S1244" s="692">
        <f t="shared" si="167"/>
        <v>313959632</v>
      </c>
      <c r="T1244" s="693">
        <f t="shared" si="168"/>
        <v>331443312</v>
      </c>
      <c r="U1244" s="1035"/>
      <c r="V1244" s="690"/>
      <c r="W1244" s="1025"/>
      <c r="X1244" s="1030"/>
      <c r="Y1244" s="694">
        <f t="shared" si="169"/>
        <v>0</v>
      </c>
      <c r="Z1244" s="690"/>
      <c r="AA1244" s="690"/>
      <c r="AB1244" s="695">
        <f t="shared" si="170"/>
        <v>0</v>
      </c>
      <c r="AC1244" s="1035"/>
      <c r="AD1244" s="690"/>
      <c r="AE1244" s="1025"/>
      <c r="AF1244" s="1030"/>
      <c r="AG1244" s="690"/>
      <c r="AH1244" s="690"/>
      <c r="AI1244" s="696">
        <f t="shared" si="171"/>
        <v>313959632</v>
      </c>
      <c r="AJ1244" s="697">
        <f t="shared" si="172"/>
        <v>331443312</v>
      </c>
    </row>
    <row r="1245" spans="1:36" s="700" customFormat="1" ht="12.75" customHeight="1">
      <c r="A1245" s="842" t="s">
        <v>205</v>
      </c>
      <c r="B1245" s="842" t="s">
        <v>407</v>
      </c>
      <c r="C1245" s="846" t="s">
        <v>484</v>
      </c>
      <c r="D1245" s="846"/>
      <c r="E1245" s="844">
        <v>159391</v>
      </c>
      <c r="F1245" s="845">
        <v>1</v>
      </c>
      <c r="G1245" s="1025"/>
      <c r="H1245" s="690"/>
      <c r="I1245" s="1030"/>
      <c r="J1245" s="690"/>
      <c r="K1245" s="1030"/>
      <c r="L1245" s="690"/>
      <c r="M1245" s="1025"/>
      <c r="N1245" s="1030"/>
      <c r="O1245" s="692">
        <f t="shared" si="165"/>
        <v>0</v>
      </c>
      <c r="P1245" s="690"/>
      <c r="Q1245" s="690"/>
      <c r="R1245" s="691">
        <f t="shared" si="166"/>
        <v>0</v>
      </c>
      <c r="S1245" s="692">
        <f t="shared" si="167"/>
        <v>0</v>
      </c>
      <c r="T1245" s="693">
        <f t="shared" si="168"/>
        <v>0</v>
      </c>
      <c r="U1245" s="1035"/>
      <c r="V1245" s="690"/>
      <c r="W1245" s="1025"/>
      <c r="X1245" s="1030"/>
      <c r="Y1245" s="694">
        <f t="shared" si="169"/>
        <v>0</v>
      </c>
      <c r="Z1245" s="690"/>
      <c r="AA1245" s="690"/>
      <c r="AB1245" s="695">
        <f t="shared" si="170"/>
        <v>0</v>
      </c>
      <c r="AC1245" s="1035"/>
      <c r="AD1245" s="690"/>
      <c r="AE1245" s="1025"/>
      <c r="AF1245" s="1030"/>
      <c r="AG1245" s="690"/>
      <c r="AH1245" s="690"/>
      <c r="AI1245" s="696">
        <f t="shared" si="171"/>
        <v>0</v>
      </c>
      <c r="AJ1245" s="697">
        <f t="shared" si="172"/>
        <v>0</v>
      </c>
    </row>
    <row r="1246" spans="1:36" s="700" customFormat="1" ht="12.75" customHeight="1">
      <c r="A1246" s="842" t="s">
        <v>205</v>
      </c>
      <c r="B1246" s="842" t="s">
        <v>407</v>
      </c>
      <c r="C1246" s="847" t="s">
        <v>964</v>
      </c>
      <c r="D1246" s="847"/>
      <c r="E1246" s="844">
        <v>159391</v>
      </c>
      <c r="F1246" s="845">
        <v>1</v>
      </c>
      <c r="G1246" s="1025">
        <v>6925179</v>
      </c>
      <c r="H1246" s="690">
        <v>6238534</v>
      </c>
      <c r="I1246" s="1030"/>
      <c r="J1246" s="690"/>
      <c r="K1246" s="1030"/>
      <c r="L1246" s="690"/>
      <c r="M1246" s="1025">
        <v>10907207</v>
      </c>
      <c r="N1246" s="1030"/>
      <c r="O1246" s="692">
        <f t="shared" si="165"/>
        <v>10907207</v>
      </c>
      <c r="P1246" s="690">
        <v>12998883</v>
      </c>
      <c r="Q1246" s="690"/>
      <c r="R1246" s="691">
        <f t="shared" si="166"/>
        <v>12998883</v>
      </c>
      <c r="S1246" s="692">
        <f t="shared" si="167"/>
        <v>17832386</v>
      </c>
      <c r="T1246" s="693">
        <f t="shared" si="168"/>
        <v>19237417</v>
      </c>
      <c r="U1246" s="1035"/>
      <c r="V1246" s="690"/>
      <c r="W1246" s="1025"/>
      <c r="X1246" s="1030"/>
      <c r="Y1246" s="694">
        <f t="shared" si="169"/>
        <v>0</v>
      </c>
      <c r="Z1246" s="690"/>
      <c r="AA1246" s="690"/>
      <c r="AB1246" s="695">
        <f t="shared" si="170"/>
        <v>0</v>
      </c>
      <c r="AC1246" s="1035"/>
      <c r="AD1246" s="690"/>
      <c r="AE1246" s="1025"/>
      <c r="AF1246" s="1030"/>
      <c r="AG1246" s="690"/>
      <c r="AH1246" s="690"/>
      <c r="AI1246" s="696">
        <f t="shared" si="171"/>
        <v>17832386</v>
      </c>
      <c r="AJ1246" s="697">
        <f t="shared" si="172"/>
        <v>19237417</v>
      </c>
    </row>
    <row r="1247" spans="1:36" s="700" customFormat="1" ht="12.75" customHeight="1">
      <c r="A1247" s="842" t="s">
        <v>205</v>
      </c>
      <c r="B1247" s="842" t="s">
        <v>408</v>
      </c>
      <c r="C1247" s="846" t="s">
        <v>965</v>
      </c>
      <c r="D1247" s="846"/>
      <c r="E1247" s="844">
        <v>159391</v>
      </c>
      <c r="F1247" s="845">
        <v>1</v>
      </c>
      <c r="G1247" s="1025"/>
      <c r="H1247" s="690"/>
      <c r="I1247" s="1030"/>
      <c r="J1247" s="690"/>
      <c r="K1247" s="1030"/>
      <c r="L1247" s="690"/>
      <c r="M1247" s="1025"/>
      <c r="N1247" s="1030"/>
      <c r="O1247" s="692">
        <f t="shared" si="165"/>
        <v>0</v>
      </c>
      <c r="P1247" s="690"/>
      <c r="Q1247" s="690"/>
      <c r="R1247" s="691">
        <f t="shared" si="166"/>
        <v>0</v>
      </c>
      <c r="S1247" s="692">
        <f t="shared" si="167"/>
        <v>0</v>
      </c>
      <c r="T1247" s="693">
        <f t="shared" si="168"/>
        <v>0</v>
      </c>
      <c r="U1247" s="1035"/>
      <c r="V1247" s="690"/>
      <c r="W1247" s="1025"/>
      <c r="X1247" s="1030"/>
      <c r="Y1247" s="694">
        <f t="shared" si="169"/>
        <v>0</v>
      </c>
      <c r="Z1247" s="690"/>
      <c r="AA1247" s="690"/>
      <c r="AB1247" s="695">
        <f t="shared" si="170"/>
        <v>0</v>
      </c>
      <c r="AC1247" s="1035"/>
      <c r="AD1247" s="690"/>
      <c r="AE1247" s="1025"/>
      <c r="AF1247" s="1030"/>
      <c r="AG1247" s="690"/>
      <c r="AH1247" s="690"/>
      <c r="AI1247" s="696">
        <f t="shared" si="171"/>
        <v>0</v>
      </c>
      <c r="AJ1247" s="697">
        <f t="shared" si="172"/>
        <v>0</v>
      </c>
    </row>
    <row r="1248" spans="1:36" s="700" customFormat="1" ht="12.75" customHeight="1">
      <c r="A1248" s="842" t="s">
        <v>205</v>
      </c>
      <c r="B1248" s="842" t="s">
        <v>408</v>
      </c>
      <c r="C1248" s="847" t="s">
        <v>966</v>
      </c>
      <c r="D1248" s="847"/>
      <c r="E1248" s="844">
        <v>159391</v>
      </c>
      <c r="F1248" s="845">
        <v>1</v>
      </c>
      <c r="G1248" s="1025"/>
      <c r="H1248" s="690"/>
      <c r="I1248" s="1030"/>
      <c r="J1248" s="690"/>
      <c r="K1248" s="1030"/>
      <c r="L1248" s="690"/>
      <c r="M1248" s="1025"/>
      <c r="N1248" s="1030"/>
      <c r="O1248" s="692">
        <f t="shared" si="165"/>
        <v>0</v>
      </c>
      <c r="P1248" s="690"/>
      <c r="Q1248" s="690"/>
      <c r="R1248" s="691">
        <f t="shared" si="166"/>
        <v>0</v>
      </c>
      <c r="S1248" s="692">
        <f t="shared" si="167"/>
        <v>0</v>
      </c>
      <c r="T1248" s="693">
        <f t="shared" si="168"/>
        <v>0</v>
      </c>
      <c r="U1248" s="1035"/>
      <c r="V1248" s="690"/>
      <c r="W1248" s="1025"/>
      <c r="X1248" s="1030"/>
      <c r="Y1248" s="694">
        <f t="shared" si="169"/>
        <v>0</v>
      </c>
      <c r="Z1248" s="690"/>
      <c r="AA1248" s="690"/>
      <c r="AB1248" s="695">
        <f t="shared" si="170"/>
        <v>0</v>
      </c>
      <c r="AC1248" s="1035">
        <v>17451721</v>
      </c>
      <c r="AD1248" s="690">
        <f>17222374+1595632</f>
        <v>18818006</v>
      </c>
      <c r="AE1248" s="1025">
        <v>8388912</v>
      </c>
      <c r="AF1248" s="1030"/>
      <c r="AG1248" s="690">
        <v>9445248</v>
      </c>
      <c r="AH1248" s="690"/>
      <c r="AI1248" s="696">
        <f t="shared" si="171"/>
        <v>25840633</v>
      </c>
      <c r="AJ1248" s="697">
        <f t="shared" si="172"/>
        <v>28263254</v>
      </c>
    </row>
    <row r="1249" spans="1:36" s="700" customFormat="1" ht="12.75" customHeight="1">
      <c r="A1249" s="842" t="s">
        <v>205</v>
      </c>
      <c r="B1249" s="842" t="s">
        <v>396</v>
      </c>
      <c r="C1249" s="846" t="s">
        <v>967</v>
      </c>
      <c r="D1249" s="846"/>
      <c r="E1249" s="844">
        <v>159391</v>
      </c>
      <c r="F1249" s="845">
        <v>1</v>
      </c>
      <c r="G1249" s="1025"/>
      <c r="H1249" s="690"/>
      <c r="I1249" s="1030"/>
      <c r="J1249" s="690"/>
      <c r="K1249" s="1030"/>
      <c r="L1249" s="690"/>
      <c r="M1249" s="1025"/>
      <c r="N1249" s="1030"/>
      <c r="O1249" s="692">
        <f t="shared" si="165"/>
        <v>0</v>
      </c>
      <c r="P1249" s="690"/>
      <c r="Q1249" s="690"/>
      <c r="R1249" s="691">
        <f t="shared" si="166"/>
        <v>0</v>
      </c>
      <c r="S1249" s="692">
        <f t="shared" si="167"/>
        <v>0</v>
      </c>
      <c r="T1249" s="693">
        <f t="shared" si="168"/>
        <v>0</v>
      </c>
      <c r="U1249" s="1035"/>
      <c r="V1249" s="690"/>
      <c r="W1249" s="1025"/>
      <c r="X1249" s="1030"/>
      <c r="Y1249" s="694">
        <f t="shared" si="169"/>
        <v>0</v>
      </c>
      <c r="Z1249" s="690"/>
      <c r="AA1249" s="690"/>
      <c r="AB1249" s="695">
        <f t="shared" si="170"/>
        <v>0</v>
      </c>
      <c r="AC1249" s="1035"/>
      <c r="AD1249" s="690"/>
      <c r="AE1249" s="1025"/>
      <c r="AF1249" s="1030"/>
      <c r="AG1249" s="690"/>
      <c r="AH1249" s="690"/>
      <c r="AI1249" s="696">
        <f t="shared" si="171"/>
        <v>0</v>
      </c>
      <c r="AJ1249" s="697">
        <f t="shared" si="172"/>
        <v>0</v>
      </c>
    </row>
    <row r="1250" spans="1:36" s="700" customFormat="1" ht="12.75" customHeight="1">
      <c r="A1250" s="842" t="s">
        <v>205</v>
      </c>
      <c r="B1250" s="842" t="s">
        <v>396</v>
      </c>
      <c r="C1250" s="847" t="s">
        <v>385</v>
      </c>
      <c r="D1250" s="847"/>
      <c r="E1250" s="844">
        <v>159391</v>
      </c>
      <c r="F1250" s="845">
        <v>1</v>
      </c>
      <c r="G1250" s="1025"/>
      <c r="H1250" s="690"/>
      <c r="I1250" s="1030">
        <v>27987377</v>
      </c>
      <c r="J1250" s="690">
        <v>23568516</v>
      </c>
      <c r="K1250" s="1030"/>
      <c r="L1250" s="690"/>
      <c r="M1250" s="1025"/>
      <c r="N1250" s="1030"/>
      <c r="O1250" s="692">
        <f t="shared" si="165"/>
        <v>0</v>
      </c>
      <c r="P1250" s="690"/>
      <c r="Q1250" s="690"/>
      <c r="R1250" s="691">
        <f t="shared" si="166"/>
        <v>0</v>
      </c>
      <c r="S1250" s="692">
        <f t="shared" si="167"/>
        <v>27987377</v>
      </c>
      <c r="T1250" s="693">
        <f t="shared" si="168"/>
        <v>23568516</v>
      </c>
      <c r="U1250" s="1035"/>
      <c r="V1250" s="690"/>
      <c r="W1250" s="1025"/>
      <c r="X1250" s="1030"/>
      <c r="Y1250" s="694">
        <f t="shared" si="169"/>
        <v>0</v>
      </c>
      <c r="Z1250" s="690"/>
      <c r="AA1250" s="690"/>
      <c r="AB1250" s="695">
        <f t="shared" si="170"/>
        <v>0</v>
      </c>
      <c r="AC1250" s="1035"/>
      <c r="AD1250" s="690"/>
      <c r="AE1250" s="1025"/>
      <c r="AF1250" s="1030"/>
      <c r="AG1250" s="690"/>
      <c r="AH1250" s="690"/>
      <c r="AI1250" s="696">
        <f t="shared" si="171"/>
        <v>27987377</v>
      </c>
      <c r="AJ1250" s="697">
        <f t="shared" si="172"/>
        <v>23568516</v>
      </c>
    </row>
    <row r="1251" spans="1:36" s="700" customFormat="1" ht="12.75" customHeight="1">
      <c r="A1251" s="842" t="s">
        <v>205</v>
      </c>
      <c r="B1251" s="842" t="s">
        <v>397</v>
      </c>
      <c r="C1251" s="847" t="s">
        <v>384</v>
      </c>
      <c r="D1251" s="847"/>
      <c r="E1251" s="844">
        <v>159391</v>
      </c>
      <c r="F1251" s="845">
        <v>1</v>
      </c>
      <c r="G1251" s="1025"/>
      <c r="H1251" s="690"/>
      <c r="I1251" s="1030">
        <v>35851855</v>
      </c>
      <c r="J1251" s="690">
        <v>29601654</v>
      </c>
      <c r="K1251" s="1030"/>
      <c r="L1251" s="690"/>
      <c r="M1251" s="1025"/>
      <c r="N1251" s="1030"/>
      <c r="O1251" s="692">
        <f t="shared" si="165"/>
        <v>0</v>
      </c>
      <c r="P1251" s="690"/>
      <c r="Q1251" s="690"/>
      <c r="R1251" s="691">
        <f t="shared" si="166"/>
        <v>0</v>
      </c>
      <c r="S1251" s="692">
        <f t="shared" si="167"/>
        <v>35851855</v>
      </c>
      <c r="T1251" s="693">
        <f t="shared" si="168"/>
        <v>29601654</v>
      </c>
      <c r="U1251" s="1035"/>
      <c r="V1251" s="690"/>
      <c r="W1251" s="1025"/>
      <c r="X1251" s="1030"/>
      <c r="Y1251" s="694">
        <f t="shared" si="169"/>
        <v>0</v>
      </c>
      <c r="Z1251" s="690"/>
      <c r="AA1251" s="690"/>
      <c r="AB1251" s="695">
        <f t="shared" si="170"/>
        <v>0</v>
      </c>
      <c r="AC1251" s="1035"/>
      <c r="AD1251" s="690"/>
      <c r="AE1251" s="1025"/>
      <c r="AF1251" s="1030"/>
      <c r="AG1251" s="690"/>
      <c r="AH1251" s="690"/>
      <c r="AI1251" s="696">
        <f t="shared" si="171"/>
        <v>35851855</v>
      </c>
      <c r="AJ1251" s="697">
        <f t="shared" si="172"/>
        <v>29601654</v>
      </c>
    </row>
    <row r="1252" spans="1:36" s="700" customFormat="1" ht="12.75" customHeight="1">
      <c r="A1252" s="842" t="s">
        <v>205</v>
      </c>
      <c r="B1252" s="842" t="s">
        <v>396</v>
      </c>
      <c r="C1252" s="847" t="s">
        <v>968</v>
      </c>
      <c r="D1252" s="847"/>
      <c r="E1252" s="844">
        <v>159391</v>
      </c>
      <c r="F1252" s="845">
        <v>1</v>
      </c>
      <c r="G1252" s="1025"/>
      <c r="H1252" s="690"/>
      <c r="I1252" s="1030">
        <v>15339865</v>
      </c>
      <c r="J1252" s="690">
        <v>15782396</v>
      </c>
      <c r="K1252" s="1030"/>
      <c r="L1252" s="690"/>
      <c r="M1252" s="1025"/>
      <c r="N1252" s="1030"/>
      <c r="O1252" s="692">
        <f t="shared" si="165"/>
        <v>0</v>
      </c>
      <c r="P1252" s="690"/>
      <c r="Q1252" s="690"/>
      <c r="R1252" s="691">
        <f t="shared" si="166"/>
        <v>0</v>
      </c>
      <c r="S1252" s="692">
        <f t="shared" si="167"/>
        <v>15339865</v>
      </c>
      <c r="T1252" s="693">
        <f t="shared" si="168"/>
        <v>15782396</v>
      </c>
      <c r="U1252" s="1035"/>
      <c r="V1252" s="690"/>
      <c r="W1252" s="1025"/>
      <c r="X1252" s="1030"/>
      <c r="Y1252" s="694">
        <f t="shared" si="169"/>
        <v>0</v>
      </c>
      <c r="Z1252" s="690"/>
      <c r="AA1252" s="690"/>
      <c r="AB1252" s="695">
        <f t="shared" si="170"/>
        <v>0</v>
      </c>
      <c r="AC1252" s="1035"/>
      <c r="AD1252" s="690"/>
      <c r="AE1252" s="1025"/>
      <c r="AF1252" s="1030"/>
      <c r="AG1252" s="690"/>
      <c r="AH1252" s="690"/>
      <c r="AI1252" s="696">
        <f t="shared" si="171"/>
        <v>15339865</v>
      </c>
      <c r="AJ1252" s="697">
        <f t="shared" si="172"/>
        <v>15782396</v>
      </c>
    </row>
    <row r="1253" spans="1:36" s="700" customFormat="1" ht="12.75" customHeight="1">
      <c r="A1253" s="842" t="s">
        <v>205</v>
      </c>
      <c r="B1253" s="842" t="s">
        <v>392</v>
      </c>
      <c r="C1253" s="843" t="s">
        <v>969</v>
      </c>
      <c r="D1253" s="843"/>
      <c r="E1253" s="844">
        <v>160658</v>
      </c>
      <c r="F1253" s="845">
        <v>2</v>
      </c>
      <c r="G1253" s="1025">
        <v>68887384</v>
      </c>
      <c r="H1253" s="690">
        <v>71458633</v>
      </c>
      <c r="I1253" s="1030"/>
      <c r="J1253" s="690"/>
      <c r="K1253" s="1030"/>
      <c r="L1253" s="690"/>
      <c r="M1253" s="1025">
        <v>50790214</v>
      </c>
      <c r="N1253" s="1030"/>
      <c r="O1253" s="692">
        <f t="shared" si="165"/>
        <v>50790214</v>
      </c>
      <c r="P1253" s="690">
        <v>48886901</v>
      </c>
      <c r="Q1253" s="690"/>
      <c r="R1253" s="691">
        <f t="shared" si="166"/>
        <v>48886901</v>
      </c>
      <c r="S1253" s="692">
        <f t="shared" si="167"/>
        <v>119677598</v>
      </c>
      <c r="T1253" s="693">
        <f t="shared" si="168"/>
        <v>120345534</v>
      </c>
      <c r="U1253" s="1035"/>
      <c r="V1253" s="690"/>
      <c r="W1253" s="1025"/>
      <c r="X1253" s="1030"/>
      <c r="Y1253" s="694">
        <f t="shared" si="169"/>
        <v>0</v>
      </c>
      <c r="Z1253" s="690"/>
      <c r="AA1253" s="690"/>
      <c r="AB1253" s="695">
        <f t="shared" si="170"/>
        <v>0</v>
      </c>
      <c r="AC1253" s="1035"/>
      <c r="AD1253" s="690"/>
      <c r="AE1253" s="1025"/>
      <c r="AF1253" s="1030"/>
      <c r="AG1253" s="690"/>
      <c r="AH1253" s="690"/>
      <c r="AI1253" s="696">
        <f t="shared" si="171"/>
        <v>119677598</v>
      </c>
      <c r="AJ1253" s="697">
        <f t="shared" si="172"/>
        <v>120345534</v>
      </c>
    </row>
    <row r="1254" spans="1:36" s="700" customFormat="1" ht="12.75" customHeight="1">
      <c r="A1254" s="842" t="s">
        <v>205</v>
      </c>
      <c r="B1254" s="842" t="s">
        <v>392</v>
      </c>
      <c r="C1254" s="843" t="s">
        <v>970</v>
      </c>
      <c r="D1254" s="843"/>
      <c r="E1254" s="844">
        <v>159939</v>
      </c>
      <c r="F1254" s="845">
        <v>2</v>
      </c>
      <c r="G1254" s="1025">
        <v>48312646</v>
      </c>
      <c r="H1254" s="690">
        <v>48754553</v>
      </c>
      <c r="I1254" s="1030"/>
      <c r="J1254" s="690"/>
      <c r="K1254" s="1030"/>
      <c r="L1254" s="690"/>
      <c r="M1254" s="1025">
        <v>50090183</v>
      </c>
      <c r="N1254" s="1030"/>
      <c r="O1254" s="692">
        <f t="shared" si="165"/>
        <v>50090183</v>
      </c>
      <c r="P1254" s="690">
        <v>56788454</v>
      </c>
      <c r="Q1254" s="690"/>
      <c r="R1254" s="691">
        <f t="shared" si="166"/>
        <v>56788454</v>
      </c>
      <c r="S1254" s="692">
        <f t="shared" si="167"/>
        <v>98402829</v>
      </c>
      <c r="T1254" s="693">
        <f t="shared" si="168"/>
        <v>105543007</v>
      </c>
      <c r="U1254" s="1035"/>
      <c r="V1254" s="690"/>
      <c r="W1254" s="1025"/>
      <c r="X1254" s="1030"/>
      <c r="Y1254" s="694">
        <f t="shared" si="169"/>
        <v>0</v>
      </c>
      <c r="Z1254" s="690"/>
      <c r="AA1254" s="690"/>
      <c r="AB1254" s="695">
        <f t="shared" si="170"/>
        <v>0</v>
      </c>
      <c r="AC1254" s="1035"/>
      <c r="AD1254" s="690"/>
      <c r="AE1254" s="1025"/>
      <c r="AF1254" s="1030"/>
      <c r="AG1254" s="690"/>
      <c r="AH1254" s="690"/>
      <c r="AI1254" s="696">
        <f t="shared" si="171"/>
        <v>98402829</v>
      </c>
      <c r="AJ1254" s="697">
        <f t="shared" si="172"/>
        <v>105543007</v>
      </c>
    </row>
    <row r="1255" spans="1:36" s="700" customFormat="1" ht="12.75" customHeight="1">
      <c r="A1255" s="842" t="s">
        <v>205</v>
      </c>
      <c r="B1255" s="842" t="s">
        <v>392</v>
      </c>
      <c r="C1255" s="848" t="s">
        <v>971</v>
      </c>
      <c r="D1255" s="848"/>
      <c r="E1255" s="849">
        <v>159647</v>
      </c>
      <c r="F1255" s="850">
        <v>2</v>
      </c>
      <c r="G1255" s="1025">
        <v>43495328</v>
      </c>
      <c r="H1255" s="690">
        <v>45431581</v>
      </c>
      <c r="I1255" s="1030"/>
      <c r="J1255" s="690"/>
      <c r="K1255" s="1030"/>
      <c r="L1255" s="690"/>
      <c r="M1255" s="1025">
        <v>34186000</v>
      </c>
      <c r="N1255" s="1030"/>
      <c r="O1255" s="692">
        <f t="shared" si="165"/>
        <v>34186000</v>
      </c>
      <c r="P1255" s="690">
        <v>34174170</v>
      </c>
      <c r="Q1255" s="690"/>
      <c r="R1255" s="691">
        <f t="shared" si="166"/>
        <v>34174170</v>
      </c>
      <c r="S1255" s="692">
        <f t="shared" si="167"/>
        <v>77681328</v>
      </c>
      <c r="T1255" s="693">
        <f t="shared" si="168"/>
        <v>79605751</v>
      </c>
      <c r="U1255" s="1035"/>
      <c r="V1255" s="690"/>
      <c r="W1255" s="1025"/>
      <c r="X1255" s="1030"/>
      <c r="Y1255" s="694">
        <f t="shared" si="169"/>
        <v>0</v>
      </c>
      <c r="Z1255" s="690"/>
      <c r="AA1255" s="690"/>
      <c r="AB1255" s="695">
        <f t="shared" si="170"/>
        <v>0</v>
      </c>
      <c r="AC1255" s="1035"/>
      <c r="AD1255" s="690"/>
      <c r="AE1255" s="1025"/>
      <c r="AF1255" s="1030"/>
      <c r="AG1255" s="690"/>
      <c r="AH1255" s="690"/>
      <c r="AI1255" s="696">
        <f t="shared" si="171"/>
        <v>77681328</v>
      </c>
      <c r="AJ1255" s="697">
        <f t="shared" si="172"/>
        <v>79605751</v>
      </c>
    </row>
    <row r="1256" spans="1:36" s="700" customFormat="1" ht="12.75" customHeight="1">
      <c r="A1256" s="842" t="s">
        <v>205</v>
      </c>
      <c r="B1256" s="842" t="s">
        <v>392</v>
      </c>
      <c r="C1256" s="843" t="s">
        <v>972</v>
      </c>
      <c r="D1256" s="843"/>
      <c r="E1256" s="844">
        <v>160621</v>
      </c>
      <c r="F1256" s="845">
        <v>3</v>
      </c>
      <c r="G1256" s="1025">
        <v>37480339</v>
      </c>
      <c r="H1256" s="690">
        <v>33649853</v>
      </c>
      <c r="I1256" s="1030"/>
      <c r="J1256" s="690"/>
      <c r="K1256" s="1030"/>
      <c r="L1256" s="690"/>
      <c r="M1256" s="1025">
        <v>32638437</v>
      </c>
      <c r="N1256" s="1030"/>
      <c r="O1256" s="692">
        <f t="shared" si="165"/>
        <v>32638437</v>
      </c>
      <c r="P1256" s="690">
        <v>30295010</v>
      </c>
      <c r="Q1256" s="690"/>
      <c r="R1256" s="691">
        <f t="shared" si="166"/>
        <v>30295010</v>
      </c>
      <c r="S1256" s="692">
        <f t="shared" si="167"/>
        <v>70118776</v>
      </c>
      <c r="T1256" s="693">
        <f t="shared" si="168"/>
        <v>63944863</v>
      </c>
      <c r="U1256" s="1035"/>
      <c r="V1256" s="690"/>
      <c r="W1256" s="1025"/>
      <c r="X1256" s="1030"/>
      <c r="Y1256" s="694">
        <f t="shared" si="169"/>
        <v>0</v>
      </c>
      <c r="Z1256" s="690"/>
      <c r="AA1256" s="690"/>
      <c r="AB1256" s="695">
        <f t="shared" si="170"/>
        <v>0</v>
      </c>
      <c r="AC1256" s="1035"/>
      <c r="AD1256" s="690"/>
      <c r="AE1256" s="1025"/>
      <c r="AF1256" s="1030"/>
      <c r="AG1256" s="690"/>
      <c r="AH1256" s="690"/>
      <c r="AI1256" s="696">
        <f t="shared" si="171"/>
        <v>70118776</v>
      </c>
      <c r="AJ1256" s="697">
        <f t="shared" si="172"/>
        <v>63944863</v>
      </c>
    </row>
    <row r="1257" spans="1:36" s="700" customFormat="1" ht="12.75" customHeight="1">
      <c r="A1257" s="842" t="s">
        <v>205</v>
      </c>
      <c r="B1257" s="842" t="s">
        <v>392</v>
      </c>
      <c r="C1257" s="847" t="s">
        <v>973</v>
      </c>
      <c r="D1257" s="847"/>
      <c r="E1257" s="844">
        <v>160621</v>
      </c>
      <c r="F1257" s="845">
        <v>3</v>
      </c>
      <c r="G1257" s="1025">
        <v>5243559</v>
      </c>
      <c r="H1257" s="690">
        <v>5461695</v>
      </c>
      <c r="I1257" s="1030"/>
      <c r="J1257" s="690"/>
      <c r="K1257" s="1030"/>
      <c r="L1257" s="690"/>
      <c r="M1257" s="1025">
        <v>4243919</v>
      </c>
      <c r="N1257" s="1030"/>
      <c r="O1257" s="692">
        <f t="shared" si="165"/>
        <v>4243919</v>
      </c>
      <c r="P1257" s="690">
        <v>5922909</v>
      </c>
      <c r="Q1257" s="690"/>
      <c r="R1257" s="691">
        <f t="shared" si="166"/>
        <v>5922909</v>
      </c>
      <c r="S1257" s="692">
        <f t="shared" si="167"/>
        <v>9487478</v>
      </c>
      <c r="T1257" s="693">
        <f t="shared" si="168"/>
        <v>11384604</v>
      </c>
      <c r="U1257" s="1035"/>
      <c r="V1257" s="690"/>
      <c r="W1257" s="1025"/>
      <c r="X1257" s="1030"/>
      <c r="Y1257" s="694">
        <f t="shared" si="169"/>
        <v>0</v>
      </c>
      <c r="Z1257" s="690"/>
      <c r="AA1257" s="690"/>
      <c r="AB1257" s="695">
        <f t="shared" si="170"/>
        <v>0</v>
      </c>
      <c r="AC1257" s="1035"/>
      <c r="AD1257" s="690"/>
      <c r="AE1257" s="1025"/>
      <c r="AF1257" s="1030"/>
      <c r="AG1257" s="690"/>
      <c r="AH1257" s="690"/>
      <c r="AI1257" s="696">
        <f t="shared" si="171"/>
        <v>9487478</v>
      </c>
      <c r="AJ1257" s="697">
        <f t="shared" si="172"/>
        <v>11384604</v>
      </c>
    </row>
    <row r="1258" spans="1:36" s="700" customFormat="1" ht="12.75" customHeight="1">
      <c r="A1258" s="842" t="s">
        <v>205</v>
      </c>
      <c r="B1258" s="842" t="s">
        <v>396</v>
      </c>
      <c r="C1258" s="846" t="s">
        <v>967</v>
      </c>
      <c r="D1258" s="846"/>
      <c r="E1258" s="844">
        <v>160621</v>
      </c>
      <c r="F1258" s="845">
        <v>3</v>
      </c>
      <c r="G1258" s="1025"/>
      <c r="H1258" s="690"/>
      <c r="I1258" s="1030"/>
      <c r="J1258" s="690"/>
      <c r="K1258" s="1030"/>
      <c r="L1258" s="690"/>
      <c r="M1258" s="1025"/>
      <c r="N1258" s="1030"/>
      <c r="O1258" s="692">
        <f t="shared" si="165"/>
        <v>0</v>
      </c>
      <c r="P1258" s="690"/>
      <c r="Q1258" s="690"/>
      <c r="R1258" s="691">
        <f t="shared" si="166"/>
        <v>0</v>
      </c>
      <c r="S1258" s="692">
        <f t="shared" si="167"/>
        <v>0</v>
      </c>
      <c r="T1258" s="693">
        <f t="shared" si="168"/>
        <v>0</v>
      </c>
      <c r="U1258" s="1035"/>
      <c r="V1258" s="690"/>
      <c r="W1258" s="1025"/>
      <c r="X1258" s="1030"/>
      <c r="Y1258" s="694">
        <f t="shared" si="169"/>
        <v>0</v>
      </c>
      <c r="Z1258" s="690"/>
      <c r="AA1258" s="690"/>
      <c r="AB1258" s="695">
        <f t="shared" si="170"/>
        <v>0</v>
      </c>
      <c r="AC1258" s="1035"/>
      <c r="AD1258" s="690"/>
      <c r="AE1258" s="1025"/>
      <c r="AF1258" s="1030"/>
      <c r="AG1258" s="690"/>
      <c r="AH1258" s="690"/>
      <c r="AI1258" s="696">
        <f t="shared" si="171"/>
        <v>0</v>
      </c>
      <c r="AJ1258" s="697">
        <f t="shared" si="172"/>
        <v>0</v>
      </c>
    </row>
    <row r="1259" spans="1:36" s="700" customFormat="1" ht="12.75" customHeight="1">
      <c r="A1259" s="842" t="s">
        <v>205</v>
      </c>
      <c r="B1259" s="842" t="s">
        <v>396</v>
      </c>
      <c r="C1259" s="847" t="s">
        <v>974</v>
      </c>
      <c r="D1259" s="847"/>
      <c r="E1259" s="844">
        <v>160621</v>
      </c>
      <c r="F1259" s="845">
        <v>3</v>
      </c>
      <c r="G1259" s="1025"/>
      <c r="H1259" s="690"/>
      <c r="I1259" s="1030">
        <v>4582677</v>
      </c>
      <c r="J1259" s="690">
        <v>4054950</v>
      </c>
      <c r="K1259" s="1030"/>
      <c r="L1259" s="690"/>
      <c r="M1259" s="1025"/>
      <c r="N1259" s="1030"/>
      <c r="O1259" s="692">
        <f t="shared" si="165"/>
        <v>0</v>
      </c>
      <c r="P1259" s="690"/>
      <c r="Q1259" s="690"/>
      <c r="R1259" s="691">
        <f t="shared" si="166"/>
        <v>0</v>
      </c>
      <c r="S1259" s="692">
        <f t="shared" si="167"/>
        <v>4582677</v>
      </c>
      <c r="T1259" s="693">
        <f t="shared" si="168"/>
        <v>4054950</v>
      </c>
      <c r="U1259" s="1035"/>
      <c r="V1259" s="690"/>
      <c r="W1259" s="1025"/>
      <c r="X1259" s="1030"/>
      <c r="Y1259" s="694">
        <f t="shared" si="169"/>
        <v>0</v>
      </c>
      <c r="Z1259" s="690"/>
      <c r="AA1259" s="690"/>
      <c r="AB1259" s="695">
        <f t="shared" si="170"/>
        <v>0</v>
      </c>
      <c r="AC1259" s="1035"/>
      <c r="AD1259" s="690"/>
      <c r="AE1259" s="1025"/>
      <c r="AF1259" s="1030"/>
      <c r="AG1259" s="690"/>
      <c r="AH1259" s="690"/>
      <c r="AI1259" s="696">
        <f t="shared" si="171"/>
        <v>4582677</v>
      </c>
      <c r="AJ1259" s="697">
        <f t="shared" si="172"/>
        <v>4054950</v>
      </c>
    </row>
    <row r="1260" spans="1:36" s="700" customFormat="1" ht="12.75" customHeight="1">
      <c r="A1260" s="842" t="s">
        <v>205</v>
      </c>
      <c r="B1260" s="842" t="s">
        <v>392</v>
      </c>
      <c r="C1260" s="843" t="s">
        <v>975</v>
      </c>
      <c r="D1260" s="843"/>
      <c r="E1260" s="844">
        <v>159993</v>
      </c>
      <c r="F1260" s="845">
        <v>3</v>
      </c>
      <c r="G1260" s="1025">
        <v>38195466</v>
      </c>
      <c r="H1260" s="690">
        <v>41000517</v>
      </c>
      <c r="I1260" s="1030"/>
      <c r="J1260" s="690"/>
      <c r="K1260" s="1030"/>
      <c r="L1260" s="690"/>
      <c r="M1260" s="1025">
        <v>30244096</v>
      </c>
      <c r="N1260" s="1030"/>
      <c r="O1260" s="692">
        <f t="shared" si="165"/>
        <v>30244096</v>
      </c>
      <c r="P1260" s="690">
        <v>28879497</v>
      </c>
      <c r="Q1260" s="690"/>
      <c r="R1260" s="691">
        <f t="shared" si="166"/>
        <v>28879497</v>
      </c>
      <c r="S1260" s="692">
        <f t="shared" si="167"/>
        <v>68439562</v>
      </c>
      <c r="T1260" s="693">
        <f t="shared" si="168"/>
        <v>69880014</v>
      </c>
      <c r="U1260" s="1035"/>
      <c r="V1260" s="690"/>
      <c r="W1260" s="1025"/>
      <c r="X1260" s="1030"/>
      <c r="Y1260" s="694">
        <f t="shared" si="169"/>
        <v>0</v>
      </c>
      <c r="Z1260" s="690"/>
      <c r="AA1260" s="690"/>
      <c r="AB1260" s="695">
        <f t="shared" si="170"/>
        <v>0</v>
      </c>
      <c r="AC1260" s="1035"/>
      <c r="AD1260" s="690"/>
      <c r="AE1260" s="1025"/>
      <c r="AF1260" s="1030"/>
      <c r="AG1260" s="690"/>
      <c r="AH1260" s="690"/>
      <c r="AI1260" s="696">
        <f t="shared" si="171"/>
        <v>68439562</v>
      </c>
      <c r="AJ1260" s="697">
        <f t="shared" si="172"/>
        <v>69880014</v>
      </c>
    </row>
    <row r="1261" spans="1:36" s="700" customFormat="1" ht="12.75" customHeight="1">
      <c r="A1261" s="842" t="s">
        <v>205</v>
      </c>
      <c r="B1261" s="842" t="s">
        <v>392</v>
      </c>
      <c r="C1261" s="848" t="s">
        <v>976</v>
      </c>
      <c r="D1261" s="848"/>
      <c r="E1261" s="844">
        <v>160612</v>
      </c>
      <c r="F1261" s="845">
        <v>3</v>
      </c>
      <c r="G1261" s="1025">
        <v>53639198</v>
      </c>
      <c r="H1261" s="690">
        <v>53144739</v>
      </c>
      <c r="I1261" s="1030"/>
      <c r="J1261" s="690"/>
      <c r="K1261" s="1030"/>
      <c r="L1261" s="690"/>
      <c r="M1261" s="1025">
        <v>45158387</v>
      </c>
      <c r="N1261" s="1030"/>
      <c r="O1261" s="692">
        <f t="shared" si="165"/>
        <v>45158387</v>
      </c>
      <c r="P1261" s="690">
        <v>45433000</v>
      </c>
      <c r="Q1261" s="690"/>
      <c r="R1261" s="691">
        <f t="shared" si="166"/>
        <v>45433000</v>
      </c>
      <c r="S1261" s="692">
        <f t="shared" si="167"/>
        <v>98797585</v>
      </c>
      <c r="T1261" s="693">
        <f t="shared" si="168"/>
        <v>98577739</v>
      </c>
      <c r="U1261" s="1035"/>
      <c r="V1261" s="690"/>
      <c r="W1261" s="1025"/>
      <c r="X1261" s="1030"/>
      <c r="Y1261" s="694">
        <f t="shared" si="169"/>
        <v>0</v>
      </c>
      <c r="Z1261" s="690"/>
      <c r="AA1261" s="690"/>
      <c r="AB1261" s="695">
        <f t="shared" si="170"/>
        <v>0</v>
      </c>
      <c r="AC1261" s="1035"/>
      <c r="AD1261" s="690"/>
      <c r="AE1261" s="1025"/>
      <c r="AF1261" s="1030"/>
      <c r="AG1261" s="690"/>
      <c r="AH1261" s="690"/>
      <c r="AI1261" s="696">
        <f t="shared" si="171"/>
        <v>98797585</v>
      </c>
      <c r="AJ1261" s="697">
        <f t="shared" si="172"/>
        <v>98577739</v>
      </c>
    </row>
    <row r="1262" spans="1:36" s="700" customFormat="1" ht="12.75" customHeight="1">
      <c r="A1262" s="842" t="s">
        <v>205</v>
      </c>
      <c r="B1262" s="842" t="s">
        <v>392</v>
      </c>
      <c r="C1262" s="843" t="s">
        <v>977</v>
      </c>
      <c r="D1262" s="843"/>
      <c r="E1262" s="844">
        <v>159009</v>
      </c>
      <c r="F1262" s="845">
        <v>4</v>
      </c>
      <c r="G1262" s="1025">
        <v>20983225</v>
      </c>
      <c r="H1262" s="690">
        <v>21512822</v>
      </c>
      <c r="I1262" s="1030"/>
      <c r="J1262" s="690"/>
      <c r="K1262" s="1030"/>
      <c r="L1262" s="690"/>
      <c r="M1262" s="1025">
        <v>26180769</v>
      </c>
      <c r="N1262" s="1030"/>
      <c r="O1262" s="692">
        <f t="shared" si="165"/>
        <v>26180769</v>
      </c>
      <c r="P1262" s="690">
        <v>24647906</v>
      </c>
      <c r="Q1262" s="690"/>
      <c r="R1262" s="691">
        <f t="shared" si="166"/>
        <v>24647906</v>
      </c>
      <c r="S1262" s="692">
        <f t="shared" si="167"/>
        <v>47163994</v>
      </c>
      <c r="T1262" s="693">
        <f t="shared" si="168"/>
        <v>46160728</v>
      </c>
      <c r="U1262" s="1035"/>
      <c r="V1262" s="690"/>
      <c r="W1262" s="1025"/>
      <c r="X1262" s="1030"/>
      <c r="Y1262" s="694">
        <f t="shared" si="169"/>
        <v>0</v>
      </c>
      <c r="Z1262" s="690"/>
      <c r="AA1262" s="690"/>
      <c r="AB1262" s="695">
        <f t="shared" si="170"/>
        <v>0</v>
      </c>
      <c r="AC1262" s="1035"/>
      <c r="AD1262" s="690"/>
      <c r="AE1262" s="1025"/>
      <c r="AF1262" s="1030"/>
      <c r="AG1262" s="690"/>
      <c r="AH1262" s="690"/>
      <c r="AI1262" s="696">
        <f t="shared" si="171"/>
        <v>47163994</v>
      </c>
      <c r="AJ1262" s="697">
        <f t="shared" si="172"/>
        <v>46160728</v>
      </c>
    </row>
    <row r="1263" spans="1:36" s="700" customFormat="1" ht="12.75" customHeight="1">
      <c r="A1263" s="842" t="s">
        <v>205</v>
      </c>
      <c r="B1263" s="842" t="s">
        <v>392</v>
      </c>
      <c r="C1263" s="843" t="s">
        <v>978</v>
      </c>
      <c r="D1263" s="843"/>
      <c r="E1263" s="844">
        <v>159416</v>
      </c>
      <c r="F1263" s="845">
        <v>4</v>
      </c>
      <c r="G1263" s="1025">
        <v>11854466</v>
      </c>
      <c r="H1263" s="690">
        <v>12566619</v>
      </c>
      <c r="I1263" s="1030"/>
      <c r="J1263" s="690"/>
      <c r="K1263" s="1030"/>
      <c r="L1263" s="690"/>
      <c r="M1263" s="1025">
        <v>13873080</v>
      </c>
      <c r="N1263" s="1030"/>
      <c r="O1263" s="692">
        <f t="shared" si="165"/>
        <v>13873080</v>
      </c>
      <c r="P1263" s="690">
        <v>15396570</v>
      </c>
      <c r="Q1263" s="690"/>
      <c r="R1263" s="691">
        <f t="shared" si="166"/>
        <v>15396570</v>
      </c>
      <c r="S1263" s="692">
        <f t="shared" si="167"/>
        <v>25727546</v>
      </c>
      <c r="T1263" s="693">
        <f t="shared" si="168"/>
        <v>27963189</v>
      </c>
      <c r="U1263" s="1035"/>
      <c r="V1263" s="690"/>
      <c r="W1263" s="1025"/>
      <c r="X1263" s="1030"/>
      <c r="Y1263" s="694">
        <f t="shared" si="169"/>
        <v>0</v>
      </c>
      <c r="Z1263" s="690"/>
      <c r="AA1263" s="690"/>
      <c r="AB1263" s="695">
        <f t="shared" si="170"/>
        <v>0</v>
      </c>
      <c r="AC1263" s="1035"/>
      <c r="AD1263" s="690"/>
      <c r="AE1263" s="1025"/>
      <c r="AF1263" s="1030"/>
      <c r="AG1263" s="690"/>
      <c r="AH1263" s="690"/>
      <c r="AI1263" s="696">
        <f t="shared" si="171"/>
        <v>25727546</v>
      </c>
      <c r="AJ1263" s="697">
        <f t="shared" si="172"/>
        <v>27963189</v>
      </c>
    </row>
    <row r="1264" spans="1:36" s="700" customFormat="1" ht="12.75" customHeight="1">
      <c r="A1264" s="842" t="s">
        <v>205</v>
      </c>
      <c r="B1264" s="842" t="s">
        <v>392</v>
      </c>
      <c r="C1264" s="843" t="s">
        <v>979</v>
      </c>
      <c r="D1264" s="843"/>
      <c r="E1264" s="844">
        <v>159717</v>
      </c>
      <c r="F1264" s="845">
        <v>4</v>
      </c>
      <c r="G1264" s="1025">
        <v>29847626</v>
      </c>
      <c r="H1264" s="690">
        <v>31151238</v>
      </c>
      <c r="I1264" s="1030"/>
      <c r="J1264" s="690"/>
      <c r="K1264" s="1030"/>
      <c r="L1264" s="690"/>
      <c r="M1264" s="1025">
        <v>27121556</v>
      </c>
      <c r="N1264" s="1030"/>
      <c r="O1264" s="692">
        <f t="shared" si="165"/>
        <v>27121556</v>
      </c>
      <c r="P1264" s="690">
        <v>25224971</v>
      </c>
      <c r="Q1264" s="690"/>
      <c r="R1264" s="691">
        <f t="shared" si="166"/>
        <v>25224971</v>
      </c>
      <c r="S1264" s="692">
        <f t="shared" si="167"/>
        <v>56969182</v>
      </c>
      <c r="T1264" s="693">
        <f t="shared" si="168"/>
        <v>56376209</v>
      </c>
      <c r="U1264" s="1035"/>
      <c r="V1264" s="690"/>
      <c r="W1264" s="1025"/>
      <c r="X1264" s="1030"/>
      <c r="Y1264" s="694">
        <f t="shared" si="169"/>
        <v>0</v>
      </c>
      <c r="Z1264" s="690"/>
      <c r="AA1264" s="690"/>
      <c r="AB1264" s="695">
        <f t="shared" si="170"/>
        <v>0</v>
      </c>
      <c r="AC1264" s="1035"/>
      <c r="AD1264" s="690"/>
      <c r="AE1264" s="1025"/>
      <c r="AF1264" s="1030"/>
      <c r="AG1264" s="690"/>
      <c r="AH1264" s="690"/>
      <c r="AI1264" s="696">
        <f t="shared" si="171"/>
        <v>56969182</v>
      </c>
      <c r="AJ1264" s="697">
        <f t="shared" si="172"/>
        <v>56376209</v>
      </c>
    </row>
    <row r="1265" spans="1:36" s="700" customFormat="1" ht="12.75" customHeight="1">
      <c r="A1265" s="842" t="s">
        <v>205</v>
      </c>
      <c r="B1265" s="842" t="s">
        <v>392</v>
      </c>
      <c r="C1265" s="843" t="s">
        <v>980</v>
      </c>
      <c r="D1265" s="843"/>
      <c r="E1265" s="844">
        <v>160038</v>
      </c>
      <c r="F1265" s="845">
        <v>4</v>
      </c>
      <c r="G1265" s="1025">
        <v>33571371</v>
      </c>
      <c r="H1265" s="690">
        <v>33370746</v>
      </c>
      <c r="I1265" s="1030"/>
      <c r="J1265" s="690"/>
      <c r="K1265" s="1030"/>
      <c r="L1265" s="690"/>
      <c r="M1265" s="1025">
        <v>29717270</v>
      </c>
      <c r="N1265" s="1030"/>
      <c r="O1265" s="692">
        <f t="shared" si="165"/>
        <v>29717270</v>
      </c>
      <c r="P1265" s="690">
        <v>29937852</v>
      </c>
      <c r="Q1265" s="690"/>
      <c r="R1265" s="691">
        <f t="shared" si="166"/>
        <v>29937852</v>
      </c>
      <c r="S1265" s="692">
        <f t="shared" si="167"/>
        <v>63288641</v>
      </c>
      <c r="T1265" s="693">
        <f t="shared" si="168"/>
        <v>63308598</v>
      </c>
      <c r="U1265" s="1035"/>
      <c r="V1265" s="690"/>
      <c r="W1265" s="1025"/>
      <c r="X1265" s="1030"/>
      <c r="Y1265" s="694">
        <f t="shared" si="169"/>
        <v>0</v>
      </c>
      <c r="Z1265" s="690"/>
      <c r="AA1265" s="690"/>
      <c r="AB1265" s="695">
        <f t="shared" si="170"/>
        <v>0</v>
      </c>
      <c r="AC1265" s="1035"/>
      <c r="AD1265" s="690"/>
      <c r="AE1265" s="1025"/>
      <c r="AF1265" s="1030"/>
      <c r="AG1265" s="690"/>
      <c r="AH1265" s="690"/>
      <c r="AI1265" s="696">
        <f t="shared" si="171"/>
        <v>63288641</v>
      </c>
      <c r="AJ1265" s="697">
        <f t="shared" si="172"/>
        <v>63308598</v>
      </c>
    </row>
    <row r="1266" spans="1:36" s="700" customFormat="1" ht="12.75" customHeight="1">
      <c r="A1266" s="842" t="s">
        <v>205</v>
      </c>
      <c r="B1266" s="842" t="s">
        <v>392</v>
      </c>
      <c r="C1266" s="848" t="s">
        <v>981</v>
      </c>
      <c r="D1266" s="848"/>
      <c r="E1266" s="844">
        <v>159966</v>
      </c>
      <c r="F1266" s="845">
        <v>4</v>
      </c>
      <c r="G1266" s="1025">
        <v>24368983</v>
      </c>
      <c r="H1266" s="690">
        <v>25219075</v>
      </c>
      <c r="I1266" s="1030"/>
      <c r="J1266" s="690"/>
      <c r="K1266" s="1030"/>
      <c r="L1266" s="690"/>
      <c r="M1266" s="1025">
        <v>22165029</v>
      </c>
      <c r="N1266" s="1030"/>
      <c r="O1266" s="692">
        <f t="shared" si="165"/>
        <v>22165029</v>
      </c>
      <c r="P1266" s="690">
        <v>23349145</v>
      </c>
      <c r="Q1266" s="690"/>
      <c r="R1266" s="691">
        <f t="shared" si="166"/>
        <v>23349145</v>
      </c>
      <c r="S1266" s="692">
        <f t="shared" si="167"/>
        <v>46534012</v>
      </c>
      <c r="T1266" s="693">
        <f t="shared" si="168"/>
        <v>48568220</v>
      </c>
      <c r="U1266" s="1035"/>
      <c r="V1266" s="690"/>
      <c r="W1266" s="1025"/>
      <c r="X1266" s="1030"/>
      <c r="Y1266" s="694">
        <f t="shared" si="169"/>
        <v>0</v>
      </c>
      <c r="Z1266" s="690"/>
      <c r="AA1266" s="690"/>
      <c r="AB1266" s="695">
        <f t="shared" si="170"/>
        <v>0</v>
      </c>
      <c r="AC1266" s="1035"/>
      <c r="AD1266" s="690"/>
      <c r="AE1266" s="1025"/>
      <c r="AF1266" s="1030"/>
      <c r="AG1266" s="690"/>
      <c r="AH1266" s="690"/>
      <c r="AI1266" s="696">
        <f t="shared" si="171"/>
        <v>46534012</v>
      </c>
      <c r="AJ1266" s="697">
        <f t="shared" si="172"/>
        <v>48568220</v>
      </c>
    </row>
    <row r="1267" spans="1:36" s="700" customFormat="1" ht="12.75" customHeight="1">
      <c r="A1267" s="842" t="s">
        <v>205</v>
      </c>
      <c r="B1267" s="842" t="s">
        <v>392</v>
      </c>
      <c r="C1267" s="851" t="s">
        <v>982</v>
      </c>
      <c r="D1267" s="1067" t="s">
        <v>1948</v>
      </c>
      <c r="E1267" s="849">
        <v>160630</v>
      </c>
      <c r="F1267" s="852">
        <v>4</v>
      </c>
      <c r="G1267" s="1025">
        <v>10366136</v>
      </c>
      <c r="H1267" s="690">
        <v>10117763</v>
      </c>
      <c r="I1267" s="1030"/>
      <c r="J1267" s="690"/>
      <c r="K1267" s="1030"/>
      <c r="L1267" s="690"/>
      <c r="M1267" s="1025">
        <v>6638669</v>
      </c>
      <c r="N1267" s="1030"/>
      <c r="O1267" s="692">
        <f t="shared" si="165"/>
        <v>6638669</v>
      </c>
      <c r="P1267" s="690">
        <v>8405529</v>
      </c>
      <c r="Q1267" s="690"/>
      <c r="R1267" s="691">
        <f t="shared" si="166"/>
        <v>8405529</v>
      </c>
      <c r="S1267" s="692">
        <f t="shared" si="167"/>
        <v>17004805</v>
      </c>
      <c r="T1267" s="693">
        <f t="shared" si="168"/>
        <v>18523292</v>
      </c>
      <c r="U1267" s="1035"/>
      <c r="V1267" s="690"/>
      <c r="W1267" s="1025"/>
      <c r="X1267" s="1030"/>
      <c r="Y1267" s="694">
        <f t="shared" si="169"/>
        <v>0</v>
      </c>
      <c r="Z1267" s="690"/>
      <c r="AA1267" s="690"/>
      <c r="AB1267" s="695">
        <f t="shared" si="170"/>
        <v>0</v>
      </c>
      <c r="AC1267" s="1035"/>
      <c r="AD1267" s="690"/>
      <c r="AE1267" s="1025"/>
      <c r="AF1267" s="1030"/>
      <c r="AG1267" s="690"/>
      <c r="AH1267" s="690"/>
      <c r="AI1267" s="696">
        <f t="shared" si="171"/>
        <v>17004805</v>
      </c>
      <c r="AJ1267" s="697">
        <f t="shared" si="172"/>
        <v>18523292</v>
      </c>
    </row>
    <row r="1268" spans="1:36" s="700" customFormat="1" ht="12.75" customHeight="1">
      <c r="A1268" s="842" t="s">
        <v>205</v>
      </c>
      <c r="B1268" s="842" t="s">
        <v>392</v>
      </c>
      <c r="C1268" s="851" t="s">
        <v>983</v>
      </c>
      <c r="D1268" s="1067" t="s">
        <v>1949</v>
      </c>
      <c r="E1268" s="849">
        <v>159382</v>
      </c>
      <c r="F1268" s="850">
        <v>7</v>
      </c>
      <c r="G1268" s="1025">
        <v>8184804</v>
      </c>
      <c r="H1268" s="690">
        <v>8368498</v>
      </c>
      <c r="I1268" s="1030"/>
      <c r="J1268" s="690"/>
      <c r="K1268" s="1030"/>
      <c r="L1268" s="690"/>
      <c r="M1268" s="1025">
        <v>8001183</v>
      </c>
      <c r="N1268" s="1030"/>
      <c r="O1268" s="692">
        <f t="shared" si="165"/>
        <v>8001183</v>
      </c>
      <c r="P1268" s="690">
        <v>8234749</v>
      </c>
      <c r="Q1268" s="690"/>
      <c r="R1268" s="691">
        <f t="shared" si="166"/>
        <v>8234749</v>
      </c>
      <c r="S1268" s="692">
        <f t="shared" si="167"/>
        <v>16185987</v>
      </c>
      <c r="T1268" s="693">
        <f t="shared" si="168"/>
        <v>16603247</v>
      </c>
      <c r="U1268" s="1035"/>
      <c r="V1268" s="690"/>
      <c r="W1268" s="1025"/>
      <c r="X1268" s="1030"/>
      <c r="Y1268" s="694">
        <f t="shared" si="169"/>
        <v>0</v>
      </c>
      <c r="Z1268" s="690"/>
      <c r="AA1268" s="690"/>
      <c r="AB1268" s="695">
        <f t="shared" si="170"/>
        <v>0</v>
      </c>
      <c r="AC1268" s="1035"/>
      <c r="AD1268" s="690"/>
      <c r="AE1268" s="1025"/>
      <c r="AF1268" s="1030"/>
      <c r="AG1268" s="690"/>
      <c r="AH1268" s="690"/>
      <c r="AI1268" s="696">
        <f t="shared" si="171"/>
        <v>16185987</v>
      </c>
      <c r="AJ1268" s="697">
        <f t="shared" si="172"/>
        <v>16603247</v>
      </c>
    </row>
    <row r="1269" spans="1:36" s="700" customFormat="1" ht="12.75" customHeight="1">
      <c r="A1269" s="842" t="s">
        <v>205</v>
      </c>
      <c r="B1269" s="842" t="s">
        <v>392</v>
      </c>
      <c r="C1269" s="853" t="s">
        <v>984</v>
      </c>
      <c r="D1269" s="1066" t="s">
        <v>1951</v>
      </c>
      <c r="E1269" s="844">
        <v>158662</v>
      </c>
      <c r="F1269" s="845">
        <v>8</v>
      </c>
      <c r="G1269" s="1025">
        <v>32087842</v>
      </c>
      <c r="H1269" s="690">
        <v>35039622</v>
      </c>
      <c r="I1269" s="1030"/>
      <c r="J1269" s="690"/>
      <c r="K1269" s="1030"/>
      <c r="L1269" s="690"/>
      <c r="M1269" s="1025">
        <v>32788765</v>
      </c>
      <c r="N1269" s="1030"/>
      <c r="O1269" s="692">
        <f t="shared" si="165"/>
        <v>32788765</v>
      </c>
      <c r="P1269" s="690">
        <v>40019653</v>
      </c>
      <c r="Q1269" s="690"/>
      <c r="R1269" s="691">
        <f t="shared" si="166"/>
        <v>40019653</v>
      </c>
      <c r="S1269" s="692">
        <f t="shared" si="167"/>
        <v>64876607</v>
      </c>
      <c r="T1269" s="693">
        <f t="shared" si="168"/>
        <v>75059275</v>
      </c>
      <c r="U1269" s="1035"/>
      <c r="V1269" s="690"/>
      <c r="W1269" s="1025"/>
      <c r="X1269" s="1030"/>
      <c r="Y1269" s="694">
        <f t="shared" si="169"/>
        <v>0</v>
      </c>
      <c r="Z1269" s="690"/>
      <c r="AA1269" s="690"/>
      <c r="AB1269" s="695">
        <f t="shared" si="170"/>
        <v>0</v>
      </c>
      <c r="AC1269" s="1035"/>
      <c r="AD1269" s="690"/>
      <c r="AE1269" s="1025"/>
      <c r="AF1269" s="1030"/>
      <c r="AG1269" s="690"/>
      <c r="AH1269" s="690"/>
      <c r="AI1269" s="696">
        <f t="shared" si="171"/>
        <v>64876607</v>
      </c>
      <c r="AJ1269" s="697">
        <f t="shared" si="172"/>
        <v>75059275</v>
      </c>
    </row>
    <row r="1270" spans="1:36" s="700" customFormat="1" ht="12.75" customHeight="1">
      <c r="A1270" s="842" t="s">
        <v>205</v>
      </c>
      <c r="B1270" s="842" t="s">
        <v>392</v>
      </c>
      <c r="C1270" s="1063" t="s">
        <v>985</v>
      </c>
      <c r="D1270" s="1064" t="s">
        <v>1950</v>
      </c>
      <c r="E1270" s="844">
        <v>437103</v>
      </c>
      <c r="F1270" s="1065">
        <v>8</v>
      </c>
      <c r="G1270" s="1025">
        <v>14435972</v>
      </c>
      <c r="H1270" s="690">
        <v>13933107</v>
      </c>
      <c r="I1270" s="1030"/>
      <c r="J1270" s="690"/>
      <c r="K1270" s="1030"/>
      <c r="L1270" s="690"/>
      <c r="M1270" s="1025">
        <v>11320849</v>
      </c>
      <c r="N1270" s="1030"/>
      <c r="O1270" s="692">
        <f t="shared" si="165"/>
        <v>11320849</v>
      </c>
      <c r="P1270" s="690">
        <v>12062682</v>
      </c>
      <c r="Q1270" s="690"/>
      <c r="R1270" s="691">
        <f t="shared" si="166"/>
        <v>12062682</v>
      </c>
      <c r="S1270" s="692">
        <f t="shared" si="167"/>
        <v>25756821</v>
      </c>
      <c r="T1270" s="693">
        <f t="shared" si="168"/>
        <v>25995789</v>
      </c>
      <c r="U1270" s="1035"/>
      <c r="V1270" s="690"/>
      <c r="W1270" s="1025"/>
      <c r="X1270" s="1030"/>
      <c r="Y1270" s="694">
        <f t="shared" si="169"/>
        <v>0</v>
      </c>
      <c r="Z1270" s="690"/>
      <c r="AA1270" s="690"/>
      <c r="AB1270" s="695">
        <f t="shared" si="170"/>
        <v>0</v>
      </c>
      <c r="AC1270" s="1035"/>
      <c r="AD1270" s="690"/>
      <c r="AE1270" s="1025"/>
      <c r="AF1270" s="1030"/>
      <c r="AG1270" s="690"/>
      <c r="AH1270" s="690"/>
      <c r="AI1270" s="696">
        <f t="shared" si="171"/>
        <v>25756821</v>
      </c>
      <c r="AJ1270" s="697">
        <f t="shared" si="172"/>
        <v>25995789</v>
      </c>
    </row>
    <row r="1271" spans="1:36" s="700" customFormat="1" ht="12.75" customHeight="1">
      <c r="A1271" s="842" t="s">
        <v>205</v>
      </c>
      <c r="B1271" s="842" t="s">
        <v>392</v>
      </c>
      <c r="C1271" s="851" t="s">
        <v>986</v>
      </c>
      <c r="D1271" s="1067" t="s">
        <v>1900</v>
      </c>
      <c r="E1271" s="844">
        <v>158431</v>
      </c>
      <c r="F1271" s="845">
        <v>9</v>
      </c>
      <c r="G1271" s="1025">
        <v>11078482</v>
      </c>
      <c r="H1271" s="690">
        <v>10754855</v>
      </c>
      <c r="I1271" s="1030"/>
      <c r="J1271" s="690"/>
      <c r="K1271" s="1030"/>
      <c r="L1271" s="690"/>
      <c r="M1271" s="1025">
        <v>8600954</v>
      </c>
      <c r="N1271" s="1030"/>
      <c r="O1271" s="692">
        <f t="shared" si="165"/>
        <v>8600954</v>
      </c>
      <c r="P1271" s="690">
        <v>11774227</v>
      </c>
      <c r="Q1271" s="690"/>
      <c r="R1271" s="691">
        <f t="shared" si="166"/>
        <v>11774227</v>
      </c>
      <c r="S1271" s="692">
        <f t="shared" si="167"/>
        <v>19679436</v>
      </c>
      <c r="T1271" s="693">
        <f t="shared" si="168"/>
        <v>22529082</v>
      </c>
      <c r="U1271" s="1035"/>
      <c r="V1271" s="690"/>
      <c r="W1271" s="1025"/>
      <c r="X1271" s="1030"/>
      <c r="Y1271" s="694">
        <f t="shared" si="169"/>
        <v>0</v>
      </c>
      <c r="Z1271" s="690"/>
      <c r="AA1271" s="690"/>
      <c r="AB1271" s="695">
        <f t="shared" si="170"/>
        <v>0</v>
      </c>
      <c r="AC1271" s="1035"/>
      <c r="AD1271" s="690"/>
      <c r="AE1271" s="1025"/>
      <c r="AF1271" s="1030"/>
      <c r="AG1271" s="690"/>
      <c r="AH1271" s="690"/>
      <c r="AI1271" s="696">
        <f t="shared" si="171"/>
        <v>19679436</v>
      </c>
      <c r="AJ1271" s="697">
        <f t="shared" si="172"/>
        <v>22529082</v>
      </c>
    </row>
    <row r="1272" spans="1:36" s="700" customFormat="1" ht="12.75" customHeight="1">
      <c r="A1272" s="842" t="s">
        <v>205</v>
      </c>
      <c r="B1272" s="842" t="s">
        <v>392</v>
      </c>
      <c r="C1272" s="843" t="s">
        <v>987</v>
      </c>
      <c r="D1272" s="843"/>
      <c r="E1272" s="844">
        <v>159407</v>
      </c>
      <c r="F1272" s="845">
        <v>9</v>
      </c>
      <c r="G1272" s="1025">
        <v>6214380</v>
      </c>
      <c r="H1272" s="690">
        <v>6411450</v>
      </c>
      <c r="I1272" s="1030"/>
      <c r="J1272" s="690"/>
      <c r="K1272" s="1030"/>
      <c r="L1272" s="690"/>
      <c r="M1272" s="1025">
        <v>5369120</v>
      </c>
      <c r="N1272" s="1030"/>
      <c r="O1272" s="692">
        <f t="shared" si="165"/>
        <v>5369120</v>
      </c>
      <c r="P1272" s="690">
        <v>6018383</v>
      </c>
      <c r="Q1272" s="690"/>
      <c r="R1272" s="691">
        <f t="shared" si="166"/>
        <v>6018383</v>
      </c>
      <c r="S1272" s="692">
        <f t="shared" si="167"/>
        <v>11583500</v>
      </c>
      <c r="T1272" s="693">
        <f t="shared" si="168"/>
        <v>12429833</v>
      </c>
      <c r="U1272" s="1035"/>
      <c r="V1272" s="690"/>
      <c r="W1272" s="1025"/>
      <c r="X1272" s="1030"/>
      <c r="Y1272" s="694">
        <f t="shared" si="169"/>
        <v>0</v>
      </c>
      <c r="Z1272" s="690"/>
      <c r="AA1272" s="690"/>
      <c r="AB1272" s="695">
        <f t="shared" si="170"/>
        <v>0</v>
      </c>
      <c r="AC1272" s="1035"/>
      <c r="AD1272" s="690"/>
      <c r="AE1272" s="1025"/>
      <c r="AF1272" s="1030"/>
      <c r="AG1272" s="690"/>
      <c r="AH1272" s="690"/>
      <c r="AI1272" s="696">
        <f t="shared" si="171"/>
        <v>11583500</v>
      </c>
      <c r="AJ1272" s="697">
        <f t="shared" si="172"/>
        <v>12429833</v>
      </c>
    </row>
    <row r="1273" spans="1:36" s="700" customFormat="1" ht="12.75" customHeight="1">
      <c r="A1273" s="842" t="s">
        <v>205</v>
      </c>
      <c r="B1273" s="842" t="s">
        <v>392</v>
      </c>
      <c r="C1273" s="853" t="s">
        <v>988</v>
      </c>
      <c r="D1273" s="1066" t="s">
        <v>1953</v>
      </c>
      <c r="E1273" s="849">
        <v>440624</v>
      </c>
      <c r="F1273" s="845">
        <v>10</v>
      </c>
      <c r="G1273" s="1025">
        <v>3363044</v>
      </c>
      <c r="H1273" s="690">
        <v>4938528</v>
      </c>
      <c r="I1273" s="1030"/>
      <c r="J1273" s="690"/>
      <c r="K1273" s="1030"/>
      <c r="L1273" s="690"/>
      <c r="M1273" s="1025">
        <v>2676686</v>
      </c>
      <c r="N1273" s="1030"/>
      <c r="O1273" s="692">
        <f t="shared" si="165"/>
        <v>2676686</v>
      </c>
      <c r="P1273" s="690">
        <v>4234892</v>
      </c>
      <c r="Q1273" s="690"/>
      <c r="R1273" s="691">
        <f t="shared" si="166"/>
        <v>4234892</v>
      </c>
      <c r="S1273" s="692">
        <f t="shared" si="167"/>
        <v>6039730</v>
      </c>
      <c r="T1273" s="693">
        <f t="shared" si="168"/>
        <v>9173420</v>
      </c>
      <c r="U1273" s="1035"/>
      <c r="V1273" s="690"/>
      <c r="W1273" s="1025"/>
      <c r="X1273" s="1030"/>
      <c r="Y1273" s="694">
        <f t="shared" si="169"/>
        <v>0</v>
      </c>
      <c r="Z1273" s="690"/>
      <c r="AA1273" s="690"/>
      <c r="AB1273" s="695">
        <f t="shared" si="170"/>
        <v>0</v>
      </c>
      <c r="AC1273" s="1035"/>
      <c r="AD1273" s="690"/>
      <c r="AE1273" s="1025"/>
      <c r="AF1273" s="1030"/>
      <c r="AG1273" s="690"/>
      <c r="AH1273" s="690"/>
      <c r="AI1273" s="696">
        <f t="shared" si="171"/>
        <v>6039730</v>
      </c>
      <c r="AJ1273" s="697">
        <f t="shared" si="172"/>
        <v>9173420</v>
      </c>
    </row>
    <row r="1274" spans="1:36" s="700" customFormat="1" ht="12.75" customHeight="1">
      <c r="A1274" s="842" t="s">
        <v>205</v>
      </c>
      <c r="B1274" s="842" t="s">
        <v>392</v>
      </c>
      <c r="C1274" s="843" t="s">
        <v>989</v>
      </c>
      <c r="D1274" s="843"/>
      <c r="E1274" s="844">
        <v>158884</v>
      </c>
      <c r="F1274" s="845">
        <v>10</v>
      </c>
      <c r="G1274" s="1025">
        <v>3879114</v>
      </c>
      <c r="H1274" s="690">
        <v>3949000</v>
      </c>
      <c r="I1274" s="1030"/>
      <c r="J1274" s="690"/>
      <c r="K1274" s="1030"/>
      <c r="L1274" s="690"/>
      <c r="M1274" s="1025">
        <v>3028377</v>
      </c>
      <c r="N1274" s="1030"/>
      <c r="O1274" s="692">
        <f t="shared" si="165"/>
        <v>3028377</v>
      </c>
      <c r="P1274" s="690">
        <v>2643570</v>
      </c>
      <c r="Q1274" s="690"/>
      <c r="R1274" s="691">
        <f t="shared" si="166"/>
        <v>2643570</v>
      </c>
      <c r="S1274" s="692">
        <f t="shared" si="167"/>
        <v>6907491</v>
      </c>
      <c r="T1274" s="693">
        <f t="shared" si="168"/>
        <v>6592570</v>
      </c>
      <c r="U1274" s="1035"/>
      <c r="V1274" s="690"/>
      <c r="W1274" s="1025"/>
      <c r="X1274" s="1030"/>
      <c r="Y1274" s="694">
        <f t="shared" si="169"/>
        <v>0</v>
      </c>
      <c r="Z1274" s="690"/>
      <c r="AA1274" s="690"/>
      <c r="AB1274" s="695">
        <f t="shared" si="170"/>
        <v>0</v>
      </c>
      <c r="AC1274" s="1035"/>
      <c r="AD1274" s="690"/>
      <c r="AE1274" s="1025"/>
      <c r="AF1274" s="1030"/>
      <c r="AG1274" s="690"/>
      <c r="AH1274" s="690"/>
      <c r="AI1274" s="696">
        <f t="shared" si="171"/>
        <v>6907491</v>
      </c>
      <c r="AJ1274" s="697">
        <f t="shared" si="172"/>
        <v>6592570</v>
      </c>
    </row>
    <row r="1275" spans="1:36" s="700" customFormat="1" ht="12.75" customHeight="1">
      <c r="A1275" s="842" t="s">
        <v>205</v>
      </c>
      <c r="B1275" s="842" t="s">
        <v>392</v>
      </c>
      <c r="C1275" s="853" t="s">
        <v>990</v>
      </c>
      <c r="D1275" s="1066" t="s">
        <v>1954</v>
      </c>
      <c r="E1275" s="844">
        <v>436304</v>
      </c>
      <c r="F1275" s="845">
        <v>10</v>
      </c>
      <c r="G1275" s="1025">
        <v>2459339</v>
      </c>
      <c r="H1275" s="690">
        <v>3385143</v>
      </c>
      <c r="I1275" s="1030"/>
      <c r="J1275" s="690"/>
      <c r="K1275" s="1030"/>
      <c r="L1275" s="690"/>
      <c r="M1275" s="1025">
        <v>2086393</v>
      </c>
      <c r="N1275" s="1030"/>
      <c r="O1275" s="692">
        <f t="shared" si="165"/>
        <v>2086393</v>
      </c>
      <c r="P1275" s="690">
        <v>2113807</v>
      </c>
      <c r="Q1275" s="690"/>
      <c r="R1275" s="691">
        <f t="shared" si="166"/>
        <v>2113807</v>
      </c>
      <c r="S1275" s="692">
        <f t="shared" si="167"/>
        <v>4545732</v>
      </c>
      <c r="T1275" s="693">
        <f t="shared" si="168"/>
        <v>5498950</v>
      </c>
      <c r="U1275" s="1035"/>
      <c r="V1275" s="690"/>
      <c r="W1275" s="1025"/>
      <c r="X1275" s="1030"/>
      <c r="Y1275" s="694">
        <f t="shared" si="169"/>
        <v>0</v>
      </c>
      <c r="Z1275" s="690"/>
      <c r="AA1275" s="690"/>
      <c r="AB1275" s="695">
        <f t="shared" si="170"/>
        <v>0</v>
      </c>
      <c r="AC1275" s="1035"/>
      <c r="AD1275" s="690"/>
      <c r="AE1275" s="1025"/>
      <c r="AF1275" s="1030"/>
      <c r="AG1275" s="690"/>
      <c r="AH1275" s="690"/>
      <c r="AI1275" s="696">
        <f t="shared" si="171"/>
        <v>4545732</v>
      </c>
      <c r="AJ1275" s="697">
        <f t="shared" si="172"/>
        <v>5498950</v>
      </c>
    </row>
    <row r="1276" spans="1:36" s="700" customFormat="1" ht="12.75" customHeight="1">
      <c r="A1276" s="842" t="s">
        <v>205</v>
      </c>
      <c r="B1276" s="842" t="s">
        <v>392</v>
      </c>
      <c r="C1276" s="1063" t="s">
        <v>991</v>
      </c>
      <c r="D1276" s="1064" t="s">
        <v>1952</v>
      </c>
      <c r="E1276" s="844">
        <v>434061</v>
      </c>
      <c r="F1276" s="1065">
        <v>9</v>
      </c>
      <c r="G1276" s="1025">
        <v>5807887</v>
      </c>
      <c r="H1276" s="690">
        <v>5959168</v>
      </c>
      <c r="I1276" s="1030"/>
      <c r="J1276" s="690"/>
      <c r="K1276" s="1030"/>
      <c r="L1276" s="690"/>
      <c r="M1276" s="1025">
        <v>5234822</v>
      </c>
      <c r="N1276" s="1030"/>
      <c r="O1276" s="692">
        <f t="shared" si="165"/>
        <v>5234822</v>
      </c>
      <c r="P1276" s="690">
        <v>5890495</v>
      </c>
      <c r="Q1276" s="690"/>
      <c r="R1276" s="691">
        <f t="shared" si="166"/>
        <v>5890495</v>
      </c>
      <c r="S1276" s="692">
        <f t="shared" si="167"/>
        <v>11042709</v>
      </c>
      <c r="T1276" s="693">
        <f t="shared" si="168"/>
        <v>11849663</v>
      </c>
      <c r="U1276" s="1035"/>
      <c r="V1276" s="690"/>
      <c r="W1276" s="1025"/>
      <c r="X1276" s="1030"/>
      <c r="Y1276" s="694">
        <f t="shared" si="169"/>
        <v>0</v>
      </c>
      <c r="Z1276" s="690"/>
      <c r="AA1276" s="690"/>
      <c r="AB1276" s="695">
        <f t="shared" si="170"/>
        <v>0</v>
      </c>
      <c r="AC1276" s="1035"/>
      <c r="AD1276" s="690"/>
      <c r="AE1276" s="1025"/>
      <c r="AF1276" s="1030"/>
      <c r="AG1276" s="690"/>
      <c r="AH1276" s="690"/>
      <c r="AI1276" s="696">
        <f t="shared" si="171"/>
        <v>11042709</v>
      </c>
      <c r="AJ1276" s="697">
        <f t="shared" si="172"/>
        <v>11849663</v>
      </c>
    </row>
    <row r="1277" spans="1:36" s="700" customFormat="1" ht="12.75" customHeight="1">
      <c r="A1277" s="842" t="s">
        <v>205</v>
      </c>
      <c r="B1277" s="842" t="s">
        <v>392</v>
      </c>
      <c r="C1277" s="854" t="s">
        <v>992</v>
      </c>
      <c r="D1277" s="1068" t="s">
        <v>1901</v>
      </c>
      <c r="E1277" s="844">
        <v>160649</v>
      </c>
      <c r="F1277" s="845">
        <v>10</v>
      </c>
      <c r="G1277" s="1025">
        <v>6118772</v>
      </c>
      <c r="H1277" s="690">
        <v>7856896</v>
      </c>
      <c r="I1277" s="1030"/>
      <c r="J1277" s="690"/>
      <c r="K1277" s="1030"/>
      <c r="L1277" s="690"/>
      <c r="M1277" s="1025">
        <v>4951793</v>
      </c>
      <c r="N1277" s="1030"/>
      <c r="O1277" s="692">
        <f t="shared" si="165"/>
        <v>4951793</v>
      </c>
      <c r="P1277" s="690">
        <v>4766411</v>
      </c>
      <c r="Q1277" s="690"/>
      <c r="R1277" s="691">
        <f t="shared" si="166"/>
        <v>4766411</v>
      </c>
      <c r="S1277" s="692">
        <f t="shared" si="167"/>
        <v>11070565</v>
      </c>
      <c r="T1277" s="693">
        <f t="shared" si="168"/>
        <v>12623307</v>
      </c>
      <c r="U1277" s="1035"/>
      <c r="V1277" s="690"/>
      <c r="W1277" s="1025"/>
      <c r="X1277" s="1030"/>
      <c r="Y1277" s="694">
        <f t="shared" si="169"/>
        <v>0</v>
      </c>
      <c r="Z1277" s="690"/>
      <c r="AA1277" s="690"/>
      <c r="AB1277" s="695">
        <f t="shared" si="170"/>
        <v>0</v>
      </c>
      <c r="AC1277" s="1035"/>
      <c r="AD1277" s="690"/>
      <c r="AE1277" s="1025"/>
      <c r="AF1277" s="1030"/>
      <c r="AG1277" s="690"/>
      <c r="AH1277" s="690"/>
      <c r="AI1277" s="696">
        <f t="shared" si="171"/>
        <v>11070565</v>
      </c>
      <c r="AJ1277" s="697">
        <f t="shared" si="172"/>
        <v>12623307</v>
      </c>
    </row>
    <row r="1278" spans="1:36" s="700" customFormat="1" ht="12.75" customHeight="1">
      <c r="A1278" s="842" t="s">
        <v>205</v>
      </c>
      <c r="B1278" s="842" t="s">
        <v>392</v>
      </c>
      <c r="C1278" s="848" t="s">
        <v>993</v>
      </c>
      <c r="D1278" s="848"/>
      <c r="E1278" s="844">
        <v>160579</v>
      </c>
      <c r="F1278" s="845">
        <v>12</v>
      </c>
      <c r="G1278" s="1025">
        <v>5996044</v>
      </c>
      <c r="H1278" s="690">
        <v>6836655</v>
      </c>
      <c r="I1278" s="1030"/>
      <c r="J1278" s="690"/>
      <c r="K1278" s="1030"/>
      <c r="L1278" s="690"/>
      <c r="M1278" s="1025">
        <v>3277031</v>
      </c>
      <c r="N1278" s="1030"/>
      <c r="O1278" s="692">
        <f t="shared" si="165"/>
        <v>3277031</v>
      </c>
      <c r="P1278" s="690">
        <v>2958140</v>
      </c>
      <c r="Q1278" s="690"/>
      <c r="R1278" s="691">
        <f t="shared" si="166"/>
        <v>2958140</v>
      </c>
      <c r="S1278" s="692">
        <f t="shared" si="167"/>
        <v>9273075</v>
      </c>
      <c r="T1278" s="693">
        <f t="shared" si="168"/>
        <v>9794795</v>
      </c>
      <c r="U1278" s="1035"/>
      <c r="V1278" s="690"/>
      <c r="W1278" s="1025"/>
      <c r="X1278" s="1030"/>
      <c r="Y1278" s="694">
        <f t="shared" si="169"/>
        <v>0</v>
      </c>
      <c r="Z1278" s="690"/>
      <c r="AA1278" s="690"/>
      <c r="AB1278" s="695">
        <f t="shared" si="170"/>
        <v>0</v>
      </c>
      <c r="AC1278" s="1035"/>
      <c r="AD1278" s="690"/>
      <c r="AE1278" s="1025"/>
      <c r="AF1278" s="1030"/>
      <c r="AG1278" s="690"/>
      <c r="AH1278" s="690"/>
      <c r="AI1278" s="696">
        <f t="shared" si="171"/>
        <v>9273075</v>
      </c>
      <c r="AJ1278" s="697">
        <f t="shared" si="172"/>
        <v>9794795</v>
      </c>
    </row>
    <row r="1279" spans="1:36" s="700" customFormat="1" ht="12.75" customHeight="1">
      <c r="A1279" s="842" t="s">
        <v>205</v>
      </c>
      <c r="B1279" s="842" t="s">
        <v>392</v>
      </c>
      <c r="C1279" s="851" t="s">
        <v>994</v>
      </c>
      <c r="D1279" s="1067" t="s">
        <v>1955</v>
      </c>
      <c r="E1279" s="844">
        <v>160481</v>
      </c>
      <c r="F1279" s="845">
        <v>13</v>
      </c>
      <c r="G1279" s="1025">
        <v>3567232</v>
      </c>
      <c r="H1279" s="690">
        <v>3573003</v>
      </c>
      <c r="I1279" s="1030"/>
      <c r="J1279" s="690"/>
      <c r="K1279" s="1030"/>
      <c r="L1279" s="690"/>
      <c r="M1279" s="1025">
        <v>2072331</v>
      </c>
      <c r="N1279" s="1030"/>
      <c r="O1279" s="692">
        <f t="shared" si="165"/>
        <v>2072331</v>
      </c>
      <c r="P1279" s="690">
        <v>3100633</v>
      </c>
      <c r="Q1279" s="690"/>
      <c r="R1279" s="691">
        <f t="shared" si="166"/>
        <v>3100633</v>
      </c>
      <c r="S1279" s="692">
        <f t="shared" si="167"/>
        <v>5639563</v>
      </c>
      <c r="T1279" s="693">
        <f t="shared" si="168"/>
        <v>6673636</v>
      </c>
      <c r="U1279" s="1035"/>
      <c r="V1279" s="690"/>
      <c r="W1279" s="1025"/>
      <c r="X1279" s="1030"/>
      <c r="Y1279" s="694">
        <f t="shared" si="169"/>
        <v>0</v>
      </c>
      <c r="Z1279" s="690"/>
      <c r="AA1279" s="690"/>
      <c r="AB1279" s="695">
        <f t="shared" si="170"/>
        <v>0</v>
      </c>
      <c r="AC1279" s="1035"/>
      <c r="AD1279" s="690"/>
      <c r="AE1279" s="1025"/>
      <c r="AF1279" s="1030"/>
      <c r="AG1279" s="690"/>
      <c r="AH1279" s="690"/>
      <c r="AI1279" s="696">
        <f t="shared" si="171"/>
        <v>5639563</v>
      </c>
      <c r="AJ1279" s="697">
        <f t="shared" si="172"/>
        <v>6673636</v>
      </c>
    </row>
    <row r="1280" spans="1:36" s="700" customFormat="1" ht="12.75" customHeight="1">
      <c r="A1280" s="842" t="s">
        <v>205</v>
      </c>
      <c r="B1280" s="842" t="s">
        <v>392</v>
      </c>
      <c r="C1280" s="843" t="s">
        <v>995</v>
      </c>
      <c r="D1280" s="843"/>
      <c r="E1280" s="844">
        <v>160560</v>
      </c>
      <c r="F1280" s="845">
        <v>14</v>
      </c>
      <c r="G1280" s="1025"/>
      <c r="H1280" s="690"/>
      <c r="I1280" s="1030"/>
      <c r="J1280" s="690"/>
      <c r="K1280" s="1030"/>
      <c r="L1280" s="690"/>
      <c r="M1280" s="1025"/>
      <c r="N1280" s="1030"/>
      <c r="O1280" s="692">
        <f t="shared" si="165"/>
        <v>0</v>
      </c>
      <c r="P1280" s="690"/>
      <c r="Q1280" s="690"/>
      <c r="R1280" s="691">
        <f t="shared" si="166"/>
        <v>0</v>
      </c>
      <c r="S1280" s="692">
        <f t="shared" si="167"/>
        <v>0</v>
      </c>
      <c r="T1280" s="693">
        <f t="shared" si="168"/>
        <v>0</v>
      </c>
      <c r="U1280" s="1035"/>
      <c r="V1280" s="690"/>
      <c r="W1280" s="1025"/>
      <c r="X1280" s="1030"/>
      <c r="Y1280" s="694">
        <f t="shared" si="169"/>
        <v>0</v>
      </c>
      <c r="Z1280" s="690"/>
      <c r="AA1280" s="690"/>
      <c r="AB1280" s="695">
        <f t="shared" si="170"/>
        <v>0</v>
      </c>
      <c r="AC1280" s="1035"/>
      <c r="AD1280" s="690"/>
      <c r="AE1280" s="1025"/>
      <c r="AF1280" s="1030"/>
      <c r="AG1280" s="690"/>
      <c r="AH1280" s="690"/>
      <c r="AI1280" s="696">
        <f t="shared" si="171"/>
        <v>0</v>
      </c>
      <c r="AJ1280" s="697">
        <f t="shared" si="172"/>
        <v>0</v>
      </c>
    </row>
    <row r="1281" spans="1:36" s="700" customFormat="1" ht="12.75" customHeight="1">
      <c r="A1281" s="842" t="s">
        <v>205</v>
      </c>
      <c r="B1281" s="842" t="s">
        <v>392</v>
      </c>
      <c r="C1281" s="843" t="s">
        <v>996</v>
      </c>
      <c r="D1281" s="843"/>
      <c r="E1281" s="844">
        <v>158088</v>
      </c>
      <c r="F1281" s="845">
        <v>14</v>
      </c>
      <c r="G1281" s="1025"/>
      <c r="H1281" s="690"/>
      <c r="I1281" s="1030"/>
      <c r="J1281" s="690"/>
      <c r="K1281" s="1030"/>
      <c r="L1281" s="690"/>
      <c r="M1281" s="1025"/>
      <c r="N1281" s="1030"/>
      <c r="O1281" s="692">
        <f t="shared" si="165"/>
        <v>0</v>
      </c>
      <c r="P1281" s="690"/>
      <c r="Q1281" s="690"/>
      <c r="R1281" s="691">
        <f t="shared" si="166"/>
        <v>0</v>
      </c>
      <c r="S1281" s="692">
        <f t="shared" si="167"/>
        <v>0</v>
      </c>
      <c r="T1281" s="693">
        <f t="shared" si="168"/>
        <v>0</v>
      </c>
      <c r="U1281" s="1035"/>
      <c r="V1281" s="690"/>
      <c r="W1281" s="1025"/>
      <c r="X1281" s="1030"/>
      <c r="Y1281" s="694">
        <f t="shared" si="169"/>
        <v>0</v>
      </c>
      <c r="Z1281" s="690"/>
      <c r="AA1281" s="690"/>
      <c r="AB1281" s="695">
        <f t="shared" si="170"/>
        <v>0</v>
      </c>
      <c r="AC1281" s="1035"/>
      <c r="AD1281" s="690"/>
      <c r="AE1281" s="1025"/>
      <c r="AF1281" s="1030"/>
      <c r="AG1281" s="690"/>
      <c r="AH1281" s="690"/>
      <c r="AI1281" s="696">
        <f t="shared" si="171"/>
        <v>0</v>
      </c>
      <c r="AJ1281" s="697">
        <f t="shared" si="172"/>
        <v>0</v>
      </c>
    </row>
    <row r="1282" spans="1:36" s="700" customFormat="1" ht="12.75" customHeight="1">
      <c r="A1282" s="842" t="s">
        <v>205</v>
      </c>
      <c r="B1282" s="842" t="s">
        <v>392</v>
      </c>
      <c r="C1282" s="843" t="s">
        <v>997</v>
      </c>
      <c r="D1282" s="843"/>
      <c r="E1282" s="844">
        <v>158219</v>
      </c>
      <c r="F1282" s="845">
        <v>14</v>
      </c>
      <c r="G1282" s="1025"/>
      <c r="H1282" s="690"/>
      <c r="I1282" s="1030"/>
      <c r="J1282" s="690"/>
      <c r="K1282" s="1030"/>
      <c r="L1282" s="690"/>
      <c r="M1282" s="1025"/>
      <c r="N1282" s="1030"/>
      <c r="O1282" s="692">
        <f t="shared" si="165"/>
        <v>0</v>
      </c>
      <c r="P1282" s="690"/>
      <c r="Q1282" s="690"/>
      <c r="R1282" s="691">
        <f t="shared" si="166"/>
        <v>0</v>
      </c>
      <c r="S1282" s="692">
        <f t="shared" si="167"/>
        <v>0</v>
      </c>
      <c r="T1282" s="693">
        <f t="shared" si="168"/>
        <v>0</v>
      </c>
      <c r="U1282" s="1035"/>
      <c r="V1282" s="690"/>
      <c r="W1282" s="1025"/>
      <c r="X1282" s="1030"/>
      <c r="Y1282" s="694">
        <f t="shared" si="169"/>
        <v>0</v>
      </c>
      <c r="Z1282" s="690"/>
      <c r="AA1282" s="690"/>
      <c r="AB1282" s="695">
        <f t="shared" si="170"/>
        <v>0</v>
      </c>
      <c r="AC1282" s="1035"/>
      <c r="AD1282" s="690"/>
      <c r="AE1282" s="1025"/>
      <c r="AF1282" s="1030"/>
      <c r="AG1282" s="690"/>
      <c r="AH1282" s="690"/>
      <c r="AI1282" s="696">
        <f t="shared" si="171"/>
        <v>0</v>
      </c>
      <c r="AJ1282" s="697">
        <f t="shared" si="172"/>
        <v>0</v>
      </c>
    </row>
    <row r="1283" spans="1:36" s="700" customFormat="1" ht="12.75" customHeight="1">
      <c r="A1283" s="842" t="s">
        <v>205</v>
      </c>
      <c r="B1283" s="842" t="s">
        <v>392</v>
      </c>
      <c r="C1283" s="843" t="s">
        <v>998</v>
      </c>
      <c r="D1283" s="843"/>
      <c r="E1283" s="844">
        <v>158237</v>
      </c>
      <c r="F1283" s="845">
        <v>14</v>
      </c>
      <c r="G1283" s="1025"/>
      <c r="H1283" s="690"/>
      <c r="I1283" s="1030"/>
      <c r="J1283" s="690"/>
      <c r="K1283" s="1030"/>
      <c r="L1283" s="690"/>
      <c r="M1283" s="1025"/>
      <c r="N1283" s="1030"/>
      <c r="O1283" s="692">
        <f t="shared" si="165"/>
        <v>0</v>
      </c>
      <c r="P1283" s="690"/>
      <c r="Q1283" s="690"/>
      <c r="R1283" s="691">
        <f t="shared" si="166"/>
        <v>0</v>
      </c>
      <c r="S1283" s="692">
        <f t="shared" si="167"/>
        <v>0</v>
      </c>
      <c r="T1283" s="693">
        <f t="shared" si="168"/>
        <v>0</v>
      </c>
      <c r="U1283" s="1035"/>
      <c r="V1283" s="690"/>
      <c r="W1283" s="1025"/>
      <c r="X1283" s="1030"/>
      <c r="Y1283" s="694">
        <f t="shared" si="169"/>
        <v>0</v>
      </c>
      <c r="Z1283" s="690"/>
      <c r="AA1283" s="690"/>
      <c r="AB1283" s="695">
        <f t="shared" si="170"/>
        <v>0</v>
      </c>
      <c r="AC1283" s="1035"/>
      <c r="AD1283" s="690"/>
      <c r="AE1283" s="1025"/>
      <c r="AF1283" s="1030"/>
      <c r="AG1283" s="690"/>
      <c r="AH1283" s="690"/>
      <c r="AI1283" s="696">
        <f t="shared" si="171"/>
        <v>0</v>
      </c>
      <c r="AJ1283" s="697">
        <f t="shared" si="172"/>
        <v>0</v>
      </c>
    </row>
    <row r="1284" spans="1:36" s="700" customFormat="1" ht="12.75" customHeight="1">
      <c r="A1284" s="842" t="s">
        <v>205</v>
      </c>
      <c r="B1284" s="842" t="s">
        <v>392</v>
      </c>
      <c r="C1284" s="843" t="s">
        <v>999</v>
      </c>
      <c r="D1284" s="843"/>
      <c r="E1284" s="844">
        <v>158307</v>
      </c>
      <c r="F1284" s="845">
        <v>14</v>
      </c>
      <c r="G1284" s="1025"/>
      <c r="H1284" s="690"/>
      <c r="I1284" s="1030"/>
      <c r="J1284" s="690"/>
      <c r="K1284" s="1030"/>
      <c r="L1284" s="690"/>
      <c r="M1284" s="1025"/>
      <c r="N1284" s="1030"/>
      <c r="O1284" s="692">
        <f t="shared" si="165"/>
        <v>0</v>
      </c>
      <c r="P1284" s="690"/>
      <c r="Q1284" s="690"/>
      <c r="R1284" s="691">
        <f t="shared" si="166"/>
        <v>0</v>
      </c>
      <c r="S1284" s="692">
        <f t="shared" si="167"/>
        <v>0</v>
      </c>
      <c r="T1284" s="693">
        <f t="shared" si="168"/>
        <v>0</v>
      </c>
      <c r="U1284" s="1035"/>
      <c r="V1284" s="690"/>
      <c r="W1284" s="1025"/>
      <c r="X1284" s="1030"/>
      <c r="Y1284" s="694">
        <f t="shared" si="169"/>
        <v>0</v>
      </c>
      <c r="Z1284" s="690"/>
      <c r="AA1284" s="690"/>
      <c r="AB1284" s="695">
        <f t="shared" si="170"/>
        <v>0</v>
      </c>
      <c r="AC1284" s="1035"/>
      <c r="AD1284" s="690"/>
      <c r="AE1284" s="1025"/>
      <c r="AF1284" s="1030"/>
      <c r="AG1284" s="690"/>
      <c r="AH1284" s="690"/>
      <c r="AI1284" s="696">
        <f t="shared" si="171"/>
        <v>0</v>
      </c>
      <c r="AJ1284" s="697">
        <f t="shared" si="172"/>
        <v>0</v>
      </c>
    </row>
    <row r="1285" spans="1:36" s="700" customFormat="1" ht="12.75" customHeight="1">
      <c r="A1285" s="842" t="s">
        <v>205</v>
      </c>
      <c r="B1285" s="842" t="s">
        <v>392</v>
      </c>
      <c r="C1285" s="843" t="s">
        <v>1000</v>
      </c>
      <c r="D1285" s="843"/>
      <c r="E1285" s="844">
        <v>158352</v>
      </c>
      <c r="F1285" s="845">
        <v>14</v>
      </c>
      <c r="G1285" s="1025"/>
      <c r="H1285" s="690"/>
      <c r="I1285" s="1030"/>
      <c r="J1285" s="690"/>
      <c r="K1285" s="1030"/>
      <c r="L1285" s="690"/>
      <c r="M1285" s="1025"/>
      <c r="N1285" s="1030"/>
      <c r="O1285" s="692">
        <f t="shared" si="165"/>
        <v>0</v>
      </c>
      <c r="P1285" s="690"/>
      <c r="Q1285" s="690"/>
      <c r="R1285" s="691">
        <f t="shared" si="166"/>
        <v>0</v>
      </c>
      <c r="S1285" s="692">
        <f t="shared" si="167"/>
        <v>0</v>
      </c>
      <c r="T1285" s="693">
        <f t="shared" si="168"/>
        <v>0</v>
      </c>
      <c r="U1285" s="1035"/>
      <c r="V1285" s="690"/>
      <c r="W1285" s="1025"/>
      <c r="X1285" s="1030"/>
      <c r="Y1285" s="694">
        <f t="shared" si="169"/>
        <v>0</v>
      </c>
      <c r="Z1285" s="690"/>
      <c r="AA1285" s="690"/>
      <c r="AB1285" s="695">
        <f t="shared" si="170"/>
        <v>0</v>
      </c>
      <c r="AC1285" s="1035"/>
      <c r="AD1285" s="690"/>
      <c r="AE1285" s="1025"/>
      <c r="AF1285" s="1030"/>
      <c r="AG1285" s="690"/>
      <c r="AH1285" s="690"/>
      <c r="AI1285" s="696">
        <f t="shared" si="171"/>
        <v>0</v>
      </c>
      <c r="AJ1285" s="697">
        <f t="shared" si="172"/>
        <v>0</v>
      </c>
    </row>
    <row r="1286" spans="1:36" s="700" customFormat="1" ht="12.75" customHeight="1">
      <c r="A1286" s="842" t="s">
        <v>205</v>
      </c>
      <c r="B1286" s="842" t="s">
        <v>392</v>
      </c>
      <c r="C1286" s="843" t="s">
        <v>1001</v>
      </c>
      <c r="D1286" s="843"/>
      <c r="E1286" s="844">
        <v>160816</v>
      </c>
      <c r="F1286" s="845">
        <v>14</v>
      </c>
      <c r="G1286" s="1025"/>
      <c r="H1286" s="690"/>
      <c r="I1286" s="1030"/>
      <c r="J1286" s="690"/>
      <c r="K1286" s="1030"/>
      <c r="L1286" s="690"/>
      <c r="M1286" s="1025"/>
      <c r="N1286" s="1030"/>
      <c r="O1286" s="692">
        <f t="shared" si="165"/>
        <v>0</v>
      </c>
      <c r="P1286" s="690"/>
      <c r="Q1286" s="690"/>
      <c r="R1286" s="691">
        <f t="shared" si="166"/>
        <v>0</v>
      </c>
      <c r="S1286" s="692">
        <f t="shared" si="167"/>
        <v>0</v>
      </c>
      <c r="T1286" s="693">
        <f t="shared" si="168"/>
        <v>0</v>
      </c>
      <c r="U1286" s="1035"/>
      <c r="V1286" s="690"/>
      <c r="W1286" s="1025"/>
      <c r="X1286" s="1030"/>
      <c r="Y1286" s="694">
        <f t="shared" si="169"/>
        <v>0</v>
      </c>
      <c r="Z1286" s="690"/>
      <c r="AA1286" s="690"/>
      <c r="AB1286" s="695">
        <f t="shared" si="170"/>
        <v>0</v>
      </c>
      <c r="AC1286" s="1035"/>
      <c r="AD1286" s="690"/>
      <c r="AE1286" s="1025"/>
      <c r="AF1286" s="1030"/>
      <c r="AG1286" s="690"/>
      <c r="AH1286" s="690"/>
      <c r="AI1286" s="696">
        <f t="shared" si="171"/>
        <v>0</v>
      </c>
      <c r="AJ1286" s="697">
        <f t="shared" si="172"/>
        <v>0</v>
      </c>
    </row>
    <row r="1287" spans="1:36" s="700" customFormat="1" ht="12.75" customHeight="1">
      <c r="A1287" s="842" t="s">
        <v>205</v>
      </c>
      <c r="B1287" s="842" t="s">
        <v>392</v>
      </c>
      <c r="C1287" s="843" t="s">
        <v>1002</v>
      </c>
      <c r="D1287" s="843"/>
      <c r="E1287" s="844">
        <v>158769</v>
      </c>
      <c r="F1287" s="845">
        <v>14</v>
      </c>
      <c r="G1287" s="1025"/>
      <c r="H1287" s="690"/>
      <c r="I1287" s="1030"/>
      <c r="J1287" s="690"/>
      <c r="K1287" s="1030"/>
      <c r="L1287" s="690"/>
      <c r="M1287" s="1025"/>
      <c r="N1287" s="1030"/>
      <c r="O1287" s="692">
        <f t="shared" si="165"/>
        <v>0</v>
      </c>
      <c r="P1287" s="690"/>
      <c r="Q1287" s="690"/>
      <c r="R1287" s="691">
        <f t="shared" si="166"/>
        <v>0</v>
      </c>
      <c r="S1287" s="692">
        <f t="shared" si="167"/>
        <v>0</v>
      </c>
      <c r="T1287" s="693">
        <f t="shared" si="168"/>
        <v>0</v>
      </c>
      <c r="U1287" s="1035"/>
      <c r="V1287" s="690"/>
      <c r="W1287" s="1025"/>
      <c r="X1287" s="1030"/>
      <c r="Y1287" s="694">
        <f t="shared" si="169"/>
        <v>0</v>
      </c>
      <c r="Z1287" s="690"/>
      <c r="AA1287" s="690"/>
      <c r="AB1287" s="695">
        <f t="shared" si="170"/>
        <v>0</v>
      </c>
      <c r="AC1287" s="1035"/>
      <c r="AD1287" s="690"/>
      <c r="AE1287" s="1025"/>
      <c r="AF1287" s="1030"/>
      <c r="AG1287" s="690"/>
      <c r="AH1287" s="690"/>
      <c r="AI1287" s="696">
        <f t="shared" si="171"/>
        <v>0</v>
      </c>
      <c r="AJ1287" s="697">
        <f t="shared" si="172"/>
        <v>0</v>
      </c>
    </row>
    <row r="1288" spans="1:36" s="700" customFormat="1" ht="12.75" customHeight="1">
      <c r="A1288" s="842" t="s">
        <v>205</v>
      </c>
      <c r="B1288" s="842" t="s">
        <v>392</v>
      </c>
      <c r="C1288" s="843" t="s">
        <v>1003</v>
      </c>
      <c r="D1288" s="843"/>
      <c r="E1288" s="844">
        <v>158893</v>
      </c>
      <c r="F1288" s="845">
        <v>14</v>
      </c>
      <c r="G1288" s="1025"/>
      <c r="H1288" s="690"/>
      <c r="I1288" s="1030"/>
      <c r="J1288" s="690"/>
      <c r="K1288" s="1030"/>
      <c r="L1288" s="690"/>
      <c r="M1288" s="1025"/>
      <c r="N1288" s="1030"/>
      <c r="O1288" s="692">
        <f t="shared" si="165"/>
        <v>0</v>
      </c>
      <c r="P1288" s="690"/>
      <c r="Q1288" s="690"/>
      <c r="R1288" s="691">
        <f t="shared" si="166"/>
        <v>0</v>
      </c>
      <c r="S1288" s="692">
        <f t="shared" si="167"/>
        <v>0</v>
      </c>
      <c r="T1288" s="693">
        <f t="shared" si="168"/>
        <v>0</v>
      </c>
      <c r="U1288" s="1035"/>
      <c r="V1288" s="690"/>
      <c r="W1288" s="1025"/>
      <c r="X1288" s="1030"/>
      <c r="Y1288" s="694">
        <f t="shared" si="169"/>
        <v>0</v>
      </c>
      <c r="Z1288" s="690"/>
      <c r="AA1288" s="690"/>
      <c r="AB1288" s="695">
        <f t="shared" si="170"/>
        <v>0</v>
      </c>
      <c r="AC1288" s="1035"/>
      <c r="AD1288" s="690"/>
      <c r="AE1288" s="1025"/>
      <c r="AF1288" s="1030"/>
      <c r="AG1288" s="690"/>
      <c r="AH1288" s="690"/>
      <c r="AI1288" s="696">
        <f t="shared" si="171"/>
        <v>0</v>
      </c>
      <c r="AJ1288" s="697">
        <f t="shared" si="172"/>
        <v>0</v>
      </c>
    </row>
    <row r="1289" spans="1:36" s="700" customFormat="1" ht="12.75" customHeight="1">
      <c r="A1289" s="842" t="s">
        <v>205</v>
      </c>
      <c r="B1289" s="842" t="s">
        <v>392</v>
      </c>
      <c r="C1289" s="843" t="s">
        <v>1004</v>
      </c>
      <c r="D1289" s="843"/>
      <c r="E1289" s="844">
        <v>158936</v>
      </c>
      <c r="F1289" s="845">
        <v>14</v>
      </c>
      <c r="G1289" s="1025"/>
      <c r="H1289" s="690"/>
      <c r="I1289" s="1030"/>
      <c r="J1289" s="690"/>
      <c r="K1289" s="1030"/>
      <c r="L1289" s="690"/>
      <c r="M1289" s="1025"/>
      <c r="N1289" s="1030"/>
      <c r="O1289" s="692">
        <f t="shared" si="165"/>
        <v>0</v>
      </c>
      <c r="P1289" s="690"/>
      <c r="Q1289" s="690"/>
      <c r="R1289" s="691">
        <f t="shared" si="166"/>
        <v>0</v>
      </c>
      <c r="S1289" s="692">
        <f t="shared" si="167"/>
        <v>0</v>
      </c>
      <c r="T1289" s="693">
        <f t="shared" si="168"/>
        <v>0</v>
      </c>
      <c r="U1289" s="1035"/>
      <c r="V1289" s="690"/>
      <c r="W1289" s="1025"/>
      <c r="X1289" s="1030"/>
      <c r="Y1289" s="694">
        <f t="shared" si="169"/>
        <v>0</v>
      </c>
      <c r="Z1289" s="690"/>
      <c r="AA1289" s="690"/>
      <c r="AB1289" s="695">
        <f t="shared" si="170"/>
        <v>0</v>
      </c>
      <c r="AC1289" s="1035"/>
      <c r="AD1289" s="690"/>
      <c r="AE1289" s="1025"/>
      <c r="AF1289" s="1030"/>
      <c r="AG1289" s="690"/>
      <c r="AH1289" s="690"/>
      <c r="AI1289" s="696">
        <f t="shared" si="171"/>
        <v>0</v>
      </c>
      <c r="AJ1289" s="697">
        <f t="shared" si="172"/>
        <v>0</v>
      </c>
    </row>
    <row r="1290" spans="1:36" s="700" customFormat="1" ht="12.75" customHeight="1">
      <c r="A1290" s="842" t="s">
        <v>205</v>
      </c>
      <c r="B1290" s="842" t="s">
        <v>392</v>
      </c>
      <c r="C1290" s="843" t="s">
        <v>1005</v>
      </c>
      <c r="D1290" s="843"/>
      <c r="E1290" s="844">
        <v>158945</v>
      </c>
      <c r="F1290" s="845">
        <v>14</v>
      </c>
      <c r="G1290" s="1025"/>
      <c r="H1290" s="690"/>
      <c r="I1290" s="1030"/>
      <c r="J1290" s="690"/>
      <c r="K1290" s="1030"/>
      <c r="L1290" s="690"/>
      <c r="M1290" s="1025"/>
      <c r="N1290" s="1030"/>
      <c r="O1290" s="692">
        <f t="shared" ref="O1290:O1353" si="173">SUM(M1290:N1290)</f>
        <v>0</v>
      </c>
      <c r="P1290" s="690"/>
      <c r="Q1290" s="690"/>
      <c r="R1290" s="691">
        <f t="shared" ref="R1290:R1353" si="174">SUM(P1290:Q1290)</f>
        <v>0</v>
      </c>
      <c r="S1290" s="692">
        <f t="shared" ref="S1290:S1353" si="175">SUM(G1290,I1290,K1290,M1290)</f>
        <v>0</v>
      </c>
      <c r="T1290" s="693">
        <f t="shared" ref="T1290:T1353" si="176">SUM(H1290,J1290,L1290,P1290)</f>
        <v>0</v>
      </c>
      <c r="U1290" s="1035"/>
      <c r="V1290" s="690"/>
      <c r="W1290" s="1025"/>
      <c r="X1290" s="1030"/>
      <c r="Y1290" s="694">
        <f t="shared" ref="Y1290:Y1353" si="177">SUM(W1290:X1290)</f>
        <v>0</v>
      </c>
      <c r="Z1290" s="690"/>
      <c r="AA1290" s="690"/>
      <c r="AB1290" s="695">
        <f t="shared" ref="AB1290:AB1353" si="178">SUM(Z1290:AA1290)</f>
        <v>0</v>
      </c>
      <c r="AC1290" s="1035"/>
      <c r="AD1290" s="690"/>
      <c r="AE1290" s="1025"/>
      <c r="AF1290" s="1030"/>
      <c r="AG1290" s="690"/>
      <c r="AH1290" s="690"/>
      <c r="AI1290" s="696">
        <f t="shared" ref="AI1290:AI1353" si="179">SUM(S1290,U1290,W1290,AC1290,AE1290)</f>
        <v>0</v>
      </c>
      <c r="AJ1290" s="697">
        <f t="shared" ref="AJ1290:AJ1353" si="180">SUM(T1290,V1290,Z1290,AD1290,AG1290)</f>
        <v>0</v>
      </c>
    </row>
    <row r="1291" spans="1:36" s="700" customFormat="1" ht="12.75" customHeight="1">
      <c r="A1291" s="842" t="s">
        <v>205</v>
      </c>
      <c r="B1291" s="842" t="s">
        <v>392</v>
      </c>
      <c r="C1291" s="843" t="s">
        <v>1006</v>
      </c>
      <c r="D1291" s="843"/>
      <c r="E1291" s="844">
        <v>159018</v>
      </c>
      <c r="F1291" s="845">
        <v>14</v>
      </c>
      <c r="G1291" s="1025"/>
      <c r="H1291" s="690"/>
      <c r="I1291" s="1030"/>
      <c r="J1291" s="690"/>
      <c r="K1291" s="1030"/>
      <c r="L1291" s="690"/>
      <c r="M1291" s="1025"/>
      <c r="N1291" s="1030"/>
      <c r="O1291" s="692">
        <f t="shared" si="173"/>
        <v>0</v>
      </c>
      <c r="P1291" s="690"/>
      <c r="Q1291" s="690"/>
      <c r="R1291" s="691">
        <f t="shared" si="174"/>
        <v>0</v>
      </c>
      <c r="S1291" s="692">
        <f t="shared" si="175"/>
        <v>0</v>
      </c>
      <c r="T1291" s="693">
        <f t="shared" si="176"/>
        <v>0</v>
      </c>
      <c r="U1291" s="1035"/>
      <c r="V1291" s="690"/>
      <c r="W1291" s="1025"/>
      <c r="X1291" s="1030"/>
      <c r="Y1291" s="694">
        <f t="shared" si="177"/>
        <v>0</v>
      </c>
      <c r="Z1291" s="690"/>
      <c r="AA1291" s="690"/>
      <c r="AB1291" s="695">
        <f t="shared" si="178"/>
        <v>0</v>
      </c>
      <c r="AC1291" s="1035"/>
      <c r="AD1291" s="690"/>
      <c r="AE1291" s="1025"/>
      <c r="AF1291" s="1030"/>
      <c r="AG1291" s="690"/>
      <c r="AH1291" s="690"/>
      <c r="AI1291" s="696">
        <f t="shared" si="179"/>
        <v>0</v>
      </c>
      <c r="AJ1291" s="697">
        <f t="shared" si="180"/>
        <v>0</v>
      </c>
    </row>
    <row r="1292" spans="1:36" s="700" customFormat="1" ht="12.75" customHeight="1">
      <c r="A1292" s="842" t="s">
        <v>205</v>
      </c>
      <c r="B1292" s="842" t="s">
        <v>392</v>
      </c>
      <c r="C1292" s="843" t="s">
        <v>1007</v>
      </c>
      <c r="D1292" s="843"/>
      <c r="E1292" s="844">
        <v>159045</v>
      </c>
      <c r="F1292" s="845">
        <v>14</v>
      </c>
      <c r="G1292" s="1025"/>
      <c r="H1292" s="690"/>
      <c r="I1292" s="1030"/>
      <c r="J1292" s="690"/>
      <c r="K1292" s="1030"/>
      <c r="L1292" s="690"/>
      <c r="M1292" s="1025"/>
      <c r="N1292" s="1030"/>
      <c r="O1292" s="692">
        <f t="shared" si="173"/>
        <v>0</v>
      </c>
      <c r="P1292" s="690"/>
      <c r="Q1292" s="690"/>
      <c r="R1292" s="691">
        <f t="shared" si="174"/>
        <v>0</v>
      </c>
      <c r="S1292" s="692">
        <f t="shared" si="175"/>
        <v>0</v>
      </c>
      <c r="T1292" s="693">
        <f t="shared" si="176"/>
        <v>0</v>
      </c>
      <c r="U1292" s="1035"/>
      <c r="V1292" s="690"/>
      <c r="W1292" s="1025"/>
      <c r="X1292" s="1030"/>
      <c r="Y1292" s="694">
        <f t="shared" si="177"/>
        <v>0</v>
      </c>
      <c r="Z1292" s="690"/>
      <c r="AA1292" s="690"/>
      <c r="AB1292" s="695">
        <f t="shared" si="178"/>
        <v>0</v>
      </c>
      <c r="AC1292" s="1035"/>
      <c r="AD1292" s="690"/>
      <c r="AE1292" s="1025"/>
      <c r="AF1292" s="1030"/>
      <c r="AG1292" s="690"/>
      <c r="AH1292" s="690"/>
      <c r="AI1292" s="696">
        <f t="shared" si="179"/>
        <v>0</v>
      </c>
      <c r="AJ1292" s="697">
        <f t="shared" si="180"/>
        <v>0</v>
      </c>
    </row>
    <row r="1293" spans="1:36" s="700" customFormat="1" ht="12.75" customHeight="1">
      <c r="A1293" s="842" t="s">
        <v>205</v>
      </c>
      <c r="B1293" s="842" t="s">
        <v>392</v>
      </c>
      <c r="C1293" s="843" t="s">
        <v>1008</v>
      </c>
      <c r="D1293" s="843"/>
      <c r="E1293" s="844">
        <v>159090</v>
      </c>
      <c r="F1293" s="845">
        <v>14</v>
      </c>
      <c r="G1293" s="1025"/>
      <c r="H1293" s="690"/>
      <c r="I1293" s="1030"/>
      <c r="J1293" s="690"/>
      <c r="K1293" s="1030"/>
      <c r="L1293" s="690"/>
      <c r="M1293" s="1025"/>
      <c r="N1293" s="1030"/>
      <c r="O1293" s="692">
        <f t="shared" si="173"/>
        <v>0</v>
      </c>
      <c r="P1293" s="690"/>
      <c r="Q1293" s="690"/>
      <c r="R1293" s="691">
        <f t="shared" si="174"/>
        <v>0</v>
      </c>
      <c r="S1293" s="692">
        <f t="shared" si="175"/>
        <v>0</v>
      </c>
      <c r="T1293" s="693">
        <f t="shared" si="176"/>
        <v>0</v>
      </c>
      <c r="U1293" s="1035"/>
      <c r="V1293" s="690"/>
      <c r="W1293" s="1025"/>
      <c r="X1293" s="1030"/>
      <c r="Y1293" s="694">
        <f t="shared" si="177"/>
        <v>0</v>
      </c>
      <c r="Z1293" s="690"/>
      <c r="AA1293" s="690"/>
      <c r="AB1293" s="695">
        <f t="shared" si="178"/>
        <v>0</v>
      </c>
      <c r="AC1293" s="1035"/>
      <c r="AD1293" s="690"/>
      <c r="AE1293" s="1025"/>
      <c r="AF1293" s="1030"/>
      <c r="AG1293" s="690"/>
      <c r="AH1293" s="690"/>
      <c r="AI1293" s="696">
        <f t="shared" si="179"/>
        <v>0</v>
      </c>
      <c r="AJ1293" s="697">
        <f t="shared" si="180"/>
        <v>0</v>
      </c>
    </row>
    <row r="1294" spans="1:36" s="700" customFormat="1" ht="12.75" customHeight="1">
      <c r="A1294" s="842" t="s">
        <v>205</v>
      </c>
      <c r="B1294" s="842" t="s">
        <v>392</v>
      </c>
      <c r="C1294" s="843" t="s">
        <v>1009</v>
      </c>
      <c r="D1294" s="843"/>
      <c r="E1294" s="844">
        <v>159258</v>
      </c>
      <c r="F1294" s="845">
        <v>14</v>
      </c>
      <c r="G1294" s="1025"/>
      <c r="H1294" s="690"/>
      <c r="I1294" s="1030"/>
      <c r="J1294" s="690"/>
      <c r="K1294" s="1030"/>
      <c r="L1294" s="690"/>
      <c r="M1294" s="1025"/>
      <c r="N1294" s="1030"/>
      <c r="O1294" s="692">
        <f t="shared" si="173"/>
        <v>0</v>
      </c>
      <c r="P1294" s="690"/>
      <c r="Q1294" s="690"/>
      <c r="R1294" s="691">
        <f t="shared" si="174"/>
        <v>0</v>
      </c>
      <c r="S1294" s="692">
        <f t="shared" si="175"/>
        <v>0</v>
      </c>
      <c r="T1294" s="693">
        <f t="shared" si="176"/>
        <v>0</v>
      </c>
      <c r="U1294" s="1035"/>
      <c r="V1294" s="690"/>
      <c r="W1294" s="1025"/>
      <c r="X1294" s="1030"/>
      <c r="Y1294" s="694">
        <f t="shared" si="177"/>
        <v>0</v>
      </c>
      <c r="Z1294" s="690"/>
      <c r="AA1294" s="690"/>
      <c r="AB1294" s="695">
        <f t="shared" si="178"/>
        <v>0</v>
      </c>
      <c r="AC1294" s="1035"/>
      <c r="AD1294" s="690"/>
      <c r="AE1294" s="1025"/>
      <c r="AF1294" s="1030"/>
      <c r="AG1294" s="690"/>
      <c r="AH1294" s="690"/>
      <c r="AI1294" s="696">
        <f t="shared" si="179"/>
        <v>0</v>
      </c>
      <c r="AJ1294" s="697">
        <f t="shared" si="180"/>
        <v>0</v>
      </c>
    </row>
    <row r="1295" spans="1:36" s="700" customFormat="1" ht="12.75" customHeight="1">
      <c r="A1295" s="842" t="s">
        <v>205</v>
      </c>
      <c r="B1295" s="842" t="s">
        <v>392</v>
      </c>
      <c r="C1295" s="843" t="s">
        <v>1010</v>
      </c>
      <c r="D1295" s="843"/>
      <c r="E1295" s="844">
        <v>160214</v>
      </c>
      <c r="F1295" s="845">
        <v>14</v>
      </c>
      <c r="G1295" s="1025"/>
      <c r="H1295" s="690"/>
      <c r="I1295" s="1030"/>
      <c r="J1295" s="690"/>
      <c r="K1295" s="1030"/>
      <c r="L1295" s="690"/>
      <c r="M1295" s="1025"/>
      <c r="N1295" s="1030"/>
      <c r="O1295" s="692">
        <f t="shared" si="173"/>
        <v>0</v>
      </c>
      <c r="P1295" s="690"/>
      <c r="Q1295" s="690"/>
      <c r="R1295" s="691">
        <f t="shared" si="174"/>
        <v>0</v>
      </c>
      <c r="S1295" s="692">
        <f t="shared" si="175"/>
        <v>0</v>
      </c>
      <c r="T1295" s="693">
        <f t="shared" si="176"/>
        <v>0</v>
      </c>
      <c r="U1295" s="1035"/>
      <c r="V1295" s="690"/>
      <c r="W1295" s="1025"/>
      <c r="X1295" s="1030"/>
      <c r="Y1295" s="694">
        <f t="shared" si="177"/>
        <v>0</v>
      </c>
      <c r="Z1295" s="690"/>
      <c r="AA1295" s="690"/>
      <c r="AB1295" s="695">
        <f t="shared" si="178"/>
        <v>0</v>
      </c>
      <c r="AC1295" s="1035"/>
      <c r="AD1295" s="690"/>
      <c r="AE1295" s="1025"/>
      <c r="AF1295" s="1030"/>
      <c r="AG1295" s="690"/>
      <c r="AH1295" s="690"/>
      <c r="AI1295" s="696">
        <f t="shared" si="179"/>
        <v>0</v>
      </c>
      <c r="AJ1295" s="697">
        <f t="shared" si="180"/>
        <v>0</v>
      </c>
    </row>
    <row r="1296" spans="1:36" s="700" customFormat="1" ht="12.75" customHeight="1">
      <c r="A1296" s="842" t="s">
        <v>205</v>
      </c>
      <c r="B1296" s="842" t="s">
        <v>392</v>
      </c>
      <c r="C1296" s="843" t="s">
        <v>1011</v>
      </c>
      <c r="D1296" s="843"/>
      <c r="E1296" s="844">
        <v>159443</v>
      </c>
      <c r="F1296" s="845">
        <v>14</v>
      </c>
      <c r="G1296" s="1025"/>
      <c r="H1296" s="690"/>
      <c r="I1296" s="1030"/>
      <c r="J1296" s="690"/>
      <c r="K1296" s="1030"/>
      <c r="L1296" s="690"/>
      <c r="M1296" s="1025"/>
      <c r="N1296" s="1030"/>
      <c r="O1296" s="692">
        <f t="shared" si="173"/>
        <v>0</v>
      </c>
      <c r="P1296" s="690"/>
      <c r="Q1296" s="690"/>
      <c r="R1296" s="691">
        <f t="shared" si="174"/>
        <v>0</v>
      </c>
      <c r="S1296" s="692">
        <f t="shared" si="175"/>
        <v>0</v>
      </c>
      <c r="T1296" s="693">
        <f t="shared" si="176"/>
        <v>0</v>
      </c>
      <c r="U1296" s="1035"/>
      <c r="V1296" s="690"/>
      <c r="W1296" s="1025"/>
      <c r="X1296" s="1030"/>
      <c r="Y1296" s="694">
        <f t="shared" si="177"/>
        <v>0</v>
      </c>
      <c r="Z1296" s="690"/>
      <c r="AA1296" s="690"/>
      <c r="AB1296" s="695">
        <f t="shared" si="178"/>
        <v>0</v>
      </c>
      <c r="AC1296" s="1035"/>
      <c r="AD1296" s="690"/>
      <c r="AE1296" s="1025"/>
      <c r="AF1296" s="1030"/>
      <c r="AG1296" s="690"/>
      <c r="AH1296" s="690"/>
      <c r="AI1296" s="696">
        <f t="shared" si="179"/>
        <v>0</v>
      </c>
      <c r="AJ1296" s="697">
        <f t="shared" si="180"/>
        <v>0</v>
      </c>
    </row>
    <row r="1297" spans="1:36" s="700" customFormat="1" ht="12.75" customHeight="1">
      <c r="A1297" s="842" t="s">
        <v>205</v>
      </c>
      <c r="B1297" s="842" t="s">
        <v>392</v>
      </c>
      <c r="C1297" s="843" t="s">
        <v>1012</v>
      </c>
      <c r="D1297" s="843"/>
      <c r="E1297" s="844">
        <v>160719</v>
      </c>
      <c r="F1297" s="845">
        <v>14</v>
      </c>
      <c r="G1297" s="1025"/>
      <c r="H1297" s="690"/>
      <c r="I1297" s="1030"/>
      <c r="J1297" s="690"/>
      <c r="K1297" s="1030"/>
      <c r="L1297" s="690"/>
      <c r="M1297" s="1025"/>
      <c r="N1297" s="1030"/>
      <c r="O1297" s="692">
        <f t="shared" si="173"/>
        <v>0</v>
      </c>
      <c r="P1297" s="690"/>
      <c r="Q1297" s="690"/>
      <c r="R1297" s="691">
        <f t="shared" si="174"/>
        <v>0</v>
      </c>
      <c r="S1297" s="692">
        <f t="shared" si="175"/>
        <v>0</v>
      </c>
      <c r="T1297" s="693">
        <f t="shared" si="176"/>
        <v>0</v>
      </c>
      <c r="U1297" s="1035"/>
      <c r="V1297" s="690"/>
      <c r="W1297" s="1025"/>
      <c r="X1297" s="1030"/>
      <c r="Y1297" s="694">
        <f t="shared" si="177"/>
        <v>0</v>
      </c>
      <c r="Z1297" s="690"/>
      <c r="AA1297" s="690"/>
      <c r="AB1297" s="695">
        <f t="shared" si="178"/>
        <v>0</v>
      </c>
      <c r="AC1297" s="1035"/>
      <c r="AD1297" s="690"/>
      <c r="AE1297" s="1025"/>
      <c r="AF1297" s="1030"/>
      <c r="AG1297" s="690"/>
      <c r="AH1297" s="690"/>
      <c r="AI1297" s="696">
        <f t="shared" si="179"/>
        <v>0</v>
      </c>
      <c r="AJ1297" s="697">
        <f t="shared" si="180"/>
        <v>0</v>
      </c>
    </row>
    <row r="1298" spans="1:36" s="700" customFormat="1" ht="12.75" customHeight="1">
      <c r="A1298" s="842" t="s">
        <v>205</v>
      </c>
      <c r="B1298" s="842" t="s">
        <v>392</v>
      </c>
      <c r="C1298" s="843" t="s">
        <v>1013</v>
      </c>
      <c r="D1298" s="843"/>
      <c r="E1298" s="844">
        <v>160843</v>
      </c>
      <c r="F1298" s="845">
        <v>14</v>
      </c>
      <c r="G1298" s="1025"/>
      <c r="H1298" s="690"/>
      <c r="I1298" s="1030"/>
      <c r="J1298" s="690"/>
      <c r="K1298" s="1030"/>
      <c r="L1298" s="690"/>
      <c r="M1298" s="1025"/>
      <c r="N1298" s="1030"/>
      <c r="O1298" s="692">
        <f t="shared" si="173"/>
        <v>0</v>
      </c>
      <c r="P1298" s="690"/>
      <c r="Q1298" s="690"/>
      <c r="R1298" s="691">
        <f t="shared" si="174"/>
        <v>0</v>
      </c>
      <c r="S1298" s="692">
        <f t="shared" si="175"/>
        <v>0</v>
      </c>
      <c r="T1298" s="693">
        <f t="shared" si="176"/>
        <v>0</v>
      </c>
      <c r="U1298" s="1035"/>
      <c r="V1298" s="690"/>
      <c r="W1298" s="1025"/>
      <c r="X1298" s="1030"/>
      <c r="Y1298" s="694">
        <f t="shared" si="177"/>
        <v>0</v>
      </c>
      <c r="Z1298" s="690"/>
      <c r="AA1298" s="690"/>
      <c r="AB1298" s="695">
        <f t="shared" si="178"/>
        <v>0</v>
      </c>
      <c r="AC1298" s="1035"/>
      <c r="AD1298" s="690"/>
      <c r="AE1298" s="1025"/>
      <c r="AF1298" s="1030"/>
      <c r="AG1298" s="690"/>
      <c r="AH1298" s="690"/>
      <c r="AI1298" s="696">
        <f t="shared" si="179"/>
        <v>0</v>
      </c>
      <c r="AJ1298" s="697">
        <f t="shared" si="180"/>
        <v>0</v>
      </c>
    </row>
    <row r="1299" spans="1:36" s="700" customFormat="1" ht="12.75" customHeight="1">
      <c r="A1299" s="842" t="s">
        <v>205</v>
      </c>
      <c r="B1299" s="842" t="s">
        <v>392</v>
      </c>
      <c r="C1299" s="843" t="s">
        <v>1014</v>
      </c>
      <c r="D1299" s="843"/>
      <c r="E1299" s="844">
        <v>159692</v>
      </c>
      <c r="F1299" s="845">
        <v>14</v>
      </c>
      <c r="G1299" s="1025"/>
      <c r="H1299" s="690"/>
      <c r="I1299" s="1030"/>
      <c r="J1299" s="690"/>
      <c r="K1299" s="1030"/>
      <c r="L1299" s="690"/>
      <c r="M1299" s="1025"/>
      <c r="N1299" s="1030"/>
      <c r="O1299" s="692">
        <f t="shared" si="173"/>
        <v>0</v>
      </c>
      <c r="P1299" s="690"/>
      <c r="Q1299" s="690"/>
      <c r="R1299" s="691">
        <f t="shared" si="174"/>
        <v>0</v>
      </c>
      <c r="S1299" s="692">
        <f t="shared" si="175"/>
        <v>0</v>
      </c>
      <c r="T1299" s="693">
        <f t="shared" si="176"/>
        <v>0</v>
      </c>
      <c r="U1299" s="1035"/>
      <c r="V1299" s="690"/>
      <c r="W1299" s="1025"/>
      <c r="X1299" s="1030"/>
      <c r="Y1299" s="694">
        <f t="shared" si="177"/>
        <v>0</v>
      </c>
      <c r="Z1299" s="690"/>
      <c r="AA1299" s="690"/>
      <c r="AB1299" s="695">
        <f t="shared" si="178"/>
        <v>0</v>
      </c>
      <c r="AC1299" s="1035"/>
      <c r="AD1299" s="690"/>
      <c r="AE1299" s="1025"/>
      <c r="AF1299" s="1030"/>
      <c r="AG1299" s="690"/>
      <c r="AH1299" s="690"/>
      <c r="AI1299" s="696">
        <f t="shared" si="179"/>
        <v>0</v>
      </c>
      <c r="AJ1299" s="697">
        <f t="shared" si="180"/>
        <v>0</v>
      </c>
    </row>
    <row r="1300" spans="1:36" s="700" customFormat="1" ht="12.75" customHeight="1">
      <c r="A1300" s="842" t="s">
        <v>205</v>
      </c>
      <c r="B1300" s="842" t="s">
        <v>392</v>
      </c>
      <c r="C1300" s="843" t="s">
        <v>1015</v>
      </c>
      <c r="D1300" s="843"/>
      <c r="E1300" s="844">
        <v>159249</v>
      </c>
      <c r="F1300" s="845">
        <v>14</v>
      </c>
      <c r="G1300" s="1025"/>
      <c r="H1300" s="690"/>
      <c r="I1300" s="1030"/>
      <c r="J1300" s="690"/>
      <c r="K1300" s="1030"/>
      <c r="L1300" s="690"/>
      <c r="M1300" s="1025"/>
      <c r="N1300" s="1030"/>
      <c r="O1300" s="692">
        <f t="shared" si="173"/>
        <v>0</v>
      </c>
      <c r="P1300" s="690"/>
      <c r="Q1300" s="690"/>
      <c r="R1300" s="691">
        <f t="shared" si="174"/>
        <v>0</v>
      </c>
      <c r="S1300" s="692">
        <f t="shared" si="175"/>
        <v>0</v>
      </c>
      <c r="T1300" s="693">
        <f t="shared" si="176"/>
        <v>0</v>
      </c>
      <c r="U1300" s="1035"/>
      <c r="V1300" s="690"/>
      <c r="W1300" s="1025"/>
      <c r="X1300" s="1030"/>
      <c r="Y1300" s="694">
        <f t="shared" si="177"/>
        <v>0</v>
      </c>
      <c r="Z1300" s="690"/>
      <c r="AA1300" s="690"/>
      <c r="AB1300" s="695">
        <f t="shared" si="178"/>
        <v>0</v>
      </c>
      <c r="AC1300" s="1035"/>
      <c r="AD1300" s="690"/>
      <c r="AE1300" s="1025"/>
      <c r="AF1300" s="1030"/>
      <c r="AG1300" s="690"/>
      <c r="AH1300" s="690"/>
      <c r="AI1300" s="696">
        <f t="shared" si="179"/>
        <v>0</v>
      </c>
      <c r="AJ1300" s="697">
        <f t="shared" si="180"/>
        <v>0</v>
      </c>
    </row>
    <row r="1301" spans="1:36" s="700" customFormat="1" ht="12.75" customHeight="1">
      <c r="A1301" s="842" t="s">
        <v>205</v>
      </c>
      <c r="B1301" s="842" t="s">
        <v>392</v>
      </c>
      <c r="C1301" s="843" t="s">
        <v>1016</v>
      </c>
      <c r="D1301" s="843"/>
      <c r="E1301" s="844">
        <v>159823</v>
      </c>
      <c r="F1301" s="845">
        <v>14</v>
      </c>
      <c r="G1301" s="1025"/>
      <c r="H1301" s="690"/>
      <c r="I1301" s="1030"/>
      <c r="J1301" s="690"/>
      <c r="K1301" s="1030"/>
      <c r="L1301" s="690"/>
      <c r="M1301" s="1025"/>
      <c r="N1301" s="1030"/>
      <c r="O1301" s="692">
        <f t="shared" si="173"/>
        <v>0</v>
      </c>
      <c r="P1301" s="690"/>
      <c r="Q1301" s="690"/>
      <c r="R1301" s="691">
        <f t="shared" si="174"/>
        <v>0</v>
      </c>
      <c r="S1301" s="692">
        <f t="shared" si="175"/>
        <v>0</v>
      </c>
      <c r="T1301" s="693">
        <f t="shared" si="176"/>
        <v>0</v>
      </c>
      <c r="U1301" s="1035"/>
      <c r="V1301" s="690"/>
      <c r="W1301" s="1025"/>
      <c r="X1301" s="1030"/>
      <c r="Y1301" s="694">
        <f t="shared" si="177"/>
        <v>0</v>
      </c>
      <c r="Z1301" s="690"/>
      <c r="AA1301" s="690"/>
      <c r="AB1301" s="695">
        <f t="shared" si="178"/>
        <v>0</v>
      </c>
      <c r="AC1301" s="1035"/>
      <c r="AD1301" s="690"/>
      <c r="AE1301" s="1025"/>
      <c r="AF1301" s="1030"/>
      <c r="AG1301" s="690"/>
      <c r="AH1301" s="690"/>
      <c r="AI1301" s="696">
        <f t="shared" si="179"/>
        <v>0</v>
      </c>
      <c r="AJ1301" s="697">
        <f t="shared" si="180"/>
        <v>0</v>
      </c>
    </row>
    <row r="1302" spans="1:36" s="700" customFormat="1" ht="12.75" customHeight="1">
      <c r="A1302" s="842" t="s">
        <v>205</v>
      </c>
      <c r="B1302" s="842" t="s">
        <v>392</v>
      </c>
      <c r="C1302" s="843" t="s">
        <v>1017</v>
      </c>
      <c r="D1302" s="843"/>
      <c r="E1302" s="844">
        <v>159984</v>
      </c>
      <c r="F1302" s="845">
        <v>14</v>
      </c>
      <c r="G1302" s="1025"/>
      <c r="H1302" s="690"/>
      <c r="I1302" s="1030"/>
      <c r="J1302" s="690"/>
      <c r="K1302" s="1030"/>
      <c r="L1302" s="690"/>
      <c r="M1302" s="1025"/>
      <c r="N1302" s="1030"/>
      <c r="O1302" s="692">
        <f t="shared" si="173"/>
        <v>0</v>
      </c>
      <c r="P1302" s="690"/>
      <c r="Q1302" s="690"/>
      <c r="R1302" s="691">
        <f t="shared" si="174"/>
        <v>0</v>
      </c>
      <c r="S1302" s="692">
        <f t="shared" si="175"/>
        <v>0</v>
      </c>
      <c r="T1302" s="693">
        <f t="shared" si="176"/>
        <v>0</v>
      </c>
      <c r="U1302" s="1035"/>
      <c r="V1302" s="690"/>
      <c r="W1302" s="1025"/>
      <c r="X1302" s="1030"/>
      <c r="Y1302" s="694">
        <f t="shared" si="177"/>
        <v>0</v>
      </c>
      <c r="Z1302" s="690"/>
      <c r="AA1302" s="690"/>
      <c r="AB1302" s="695">
        <f t="shared" si="178"/>
        <v>0</v>
      </c>
      <c r="AC1302" s="1035"/>
      <c r="AD1302" s="690"/>
      <c r="AE1302" s="1025"/>
      <c r="AF1302" s="1030"/>
      <c r="AG1302" s="690"/>
      <c r="AH1302" s="690"/>
      <c r="AI1302" s="696">
        <f t="shared" si="179"/>
        <v>0</v>
      </c>
      <c r="AJ1302" s="697">
        <f t="shared" si="180"/>
        <v>0</v>
      </c>
    </row>
    <row r="1303" spans="1:36" s="700" customFormat="1" ht="12.75" customHeight="1">
      <c r="A1303" s="842" t="s">
        <v>205</v>
      </c>
      <c r="B1303" s="842" t="s">
        <v>392</v>
      </c>
      <c r="C1303" s="843" t="s">
        <v>1018</v>
      </c>
      <c r="D1303" s="843"/>
      <c r="E1303" s="844">
        <v>160001</v>
      </c>
      <c r="F1303" s="845">
        <v>14</v>
      </c>
      <c r="G1303" s="1025"/>
      <c r="H1303" s="690"/>
      <c r="I1303" s="1030"/>
      <c r="J1303" s="690"/>
      <c r="K1303" s="1030"/>
      <c r="L1303" s="690"/>
      <c r="M1303" s="1025"/>
      <c r="N1303" s="1030"/>
      <c r="O1303" s="692">
        <f t="shared" si="173"/>
        <v>0</v>
      </c>
      <c r="P1303" s="690"/>
      <c r="Q1303" s="690"/>
      <c r="R1303" s="691">
        <f t="shared" si="174"/>
        <v>0</v>
      </c>
      <c r="S1303" s="692">
        <f t="shared" si="175"/>
        <v>0</v>
      </c>
      <c r="T1303" s="693">
        <f t="shared" si="176"/>
        <v>0</v>
      </c>
      <c r="U1303" s="1035"/>
      <c r="V1303" s="690"/>
      <c r="W1303" s="1025"/>
      <c r="X1303" s="1030"/>
      <c r="Y1303" s="694">
        <f t="shared" si="177"/>
        <v>0</v>
      </c>
      <c r="Z1303" s="690"/>
      <c r="AA1303" s="690"/>
      <c r="AB1303" s="695">
        <f t="shared" si="178"/>
        <v>0</v>
      </c>
      <c r="AC1303" s="1035"/>
      <c r="AD1303" s="690"/>
      <c r="AE1303" s="1025"/>
      <c r="AF1303" s="1030"/>
      <c r="AG1303" s="690"/>
      <c r="AH1303" s="690"/>
      <c r="AI1303" s="696">
        <f t="shared" si="179"/>
        <v>0</v>
      </c>
      <c r="AJ1303" s="697">
        <f t="shared" si="180"/>
        <v>0</v>
      </c>
    </row>
    <row r="1304" spans="1:36" s="700" customFormat="1" ht="12.75" customHeight="1">
      <c r="A1304" s="842" t="s">
        <v>205</v>
      </c>
      <c r="B1304" s="842" t="s">
        <v>392</v>
      </c>
      <c r="C1304" s="843" t="s">
        <v>1019</v>
      </c>
      <c r="D1304" s="843"/>
      <c r="E1304" s="844">
        <v>160010</v>
      </c>
      <c r="F1304" s="845">
        <v>14</v>
      </c>
      <c r="G1304" s="1025"/>
      <c r="H1304" s="690"/>
      <c r="I1304" s="1030"/>
      <c r="J1304" s="690"/>
      <c r="K1304" s="1030"/>
      <c r="L1304" s="690"/>
      <c r="M1304" s="1025"/>
      <c r="N1304" s="1030"/>
      <c r="O1304" s="692">
        <f t="shared" si="173"/>
        <v>0</v>
      </c>
      <c r="P1304" s="690"/>
      <c r="Q1304" s="690"/>
      <c r="R1304" s="691">
        <f t="shared" si="174"/>
        <v>0</v>
      </c>
      <c r="S1304" s="692">
        <f t="shared" si="175"/>
        <v>0</v>
      </c>
      <c r="T1304" s="693">
        <f t="shared" si="176"/>
        <v>0</v>
      </c>
      <c r="U1304" s="1035"/>
      <c r="V1304" s="690"/>
      <c r="W1304" s="1025"/>
      <c r="X1304" s="1030"/>
      <c r="Y1304" s="694">
        <f t="shared" si="177"/>
        <v>0</v>
      </c>
      <c r="Z1304" s="690"/>
      <c r="AA1304" s="690"/>
      <c r="AB1304" s="695">
        <f t="shared" si="178"/>
        <v>0</v>
      </c>
      <c r="AC1304" s="1035"/>
      <c r="AD1304" s="690"/>
      <c r="AE1304" s="1025"/>
      <c r="AF1304" s="1030"/>
      <c r="AG1304" s="690"/>
      <c r="AH1304" s="690"/>
      <c r="AI1304" s="696">
        <f t="shared" si="179"/>
        <v>0</v>
      </c>
      <c r="AJ1304" s="697">
        <f t="shared" si="180"/>
        <v>0</v>
      </c>
    </row>
    <row r="1305" spans="1:36" s="700" customFormat="1" ht="12.75" customHeight="1">
      <c r="A1305" s="842" t="s">
        <v>205</v>
      </c>
      <c r="B1305" s="842" t="s">
        <v>392</v>
      </c>
      <c r="C1305" s="843" t="s">
        <v>1020</v>
      </c>
      <c r="D1305" s="843"/>
      <c r="E1305" s="844">
        <v>160047</v>
      </c>
      <c r="F1305" s="845">
        <v>14</v>
      </c>
      <c r="G1305" s="1025"/>
      <c r="H1305" s="690"/>
      <c r="I1305" s="1030"/>
      <c r="J1305" s="690"/>
      <c r="K1305" s="1030"/>
      <c r="L1305" s="690"/>
      <c r="M1305" s="1025"/>
      <c r="N1305" s="1030"/>
      <c r="O1305" s="692">
        <f t="shared" si="173"/>
        <v>0</v>
      </c>
      <c r="P1305" s="690"/>
      <c r="Q1305" s="690"/>
      <c r="R1305" s="691">
        <f t="shared" si="174"/>
        <v>0</v>
      </c>
      <c r="S1305" s="692">
        <f t="shared" si="175"/>
        <v>0</v>
      </c>
      <c r="T1305" s="693">
        <f t="shared" si="176"/>
        <v>0</v>
      </c>
      <c r="U1305" s="1035"/>
      <c r="V1305" s="690"/>
      <c r="W1305" s="1025"/>
      <c r="X1305" s="1030"/>
      <c r="Y1305" s="694">
        <f t="shared" si="177"/>
        <v>0</v>
      </c>
      <c r="Z1305" s="690"/>
      <c r="AA1305" s="690"/>
      <c r="AB1305" s="695">
        <f t="shared" si="178"/>
        <v>0</v>
      </c>
      <c r="AC1305" s="1035"/>
      <c r="AD1305" s="690"/>
      <c r="AE1305" s="1025"/>
      <c r="AF1305" s="1030"/>
      <c r="AG1305" s="690"/>
      <c r="AH1305" s="690"/>
      <c r="AI1305" s="696">
        <f t="shared" si="179"/>
        <v>0</v>
      </c>
      <c r="AJ1305" s="697">
        <f t="shared" si="180"/>
        <v>0</v>
      </c>
    </row>
    <row r="1306" spans="1:36" s="700" customFormat="1" ht="12.75" customHeight="1">
      <c r="A1306" s="842" t="s">
        <v>205</v>
      </c>
      <c r="B1306" s="842" t="s">
        <v>392</v>
      </c>
      <c r="C1306" s="843" t="s">
        <v>1021</v>
      </c>
      <c r="D1306" s="843"/>
      <c r="E1306" s="844">
        <v>160311</v>
      </c>
      <c r="F1306" s="845">
        <v>14</v>
      </c>
      <c r="G1306" s="1025"/>
      <c r="H1306" s="690"/>
      <c r="I1306" s="1030"/>
      <c r="J1306" s="690"/>
      <c r="K1306" s="1030"/>
      <c r="L1306" s="690"/>
      <c r="M1306" s="1025"/>
      <c r="N1306" s="1030"/>
      <c r="O1306" s="692">
        <f t="shared" si="173"/>
        <v>0</v>
      </c>
      <c r="P1306" s="690"/>
      <c r="Q1306" s="690"/>
      <c r="R1306" s="691">
        <f t="shared" si="174"/>
        <v>0</v>
      </c>
      <c r="S1306" s="692">
        <f t="shared" si="175"/>
        <v>0</v>
      </c>
      <c r="T1306" s="693">
        <f t="shared" si="176"/>
        <v>0</v>
      </c>
      <c r="U1306" s="1035"/>
      <c r="V1306" s="690"/>
      <c r="W1306" s="1025"/>
      <c r="X1306" s="1030"/>
      <c r="Y1306" s="694">
        <f t="shared" si="177"/>
        <v>0</v>
      </c>
      <c r="Z1306" s="690"/>
      <c r="AA1306" s="690"/>
      <c r="AB1306" s="695">
        <f t="shared" si="178"/>
        <v>0</v>
      </c>
      <c r="AC1306" s="1035"/>
      <c r="AD1306" s="690"/>
      <c r="AE1306" s="1025"/>
      <c r="AF1306" s="1030"/>
      <c r="AG1306" s="690"/>
      <c r="AH1306" s="690"/>
      <c r="AI1306" s="696">
        <f t="shared" si="179"/>
        <v>0</v>
      </c>
      <c r="AJ1306" s="697">
        <f t="shared" si="180"/>
        <v>0</v>
      </c>
    </row>
    <row r="1307" spans="1:36" s="700" customFormat="1" ht="12.75" customHeight="1">
      <c r="A1307" s="842" t="s">
        <v>205</v>
      </c>
      <c r="B1307" s="842" t="s">
        <v>392</v>
      </c>
      <c r="C1307" s="843" t="s">
        <v>1022</v>
      </c>
      <c r="D1307" s="843"/>
      <c r="E1307" s="844">
        <v>160366</v>
      </c>
      <c r="F1307" s="845">
        <v>14</v>
      </c>
      <c r="G1307" s="1025"/>
      <c r="H1307" s="690"/>
      <c r="I1307" s="1030"/>
      <c r="J1307" s="690"/>
      <c r="K1307" s="1030"/>
      <c r="L1307" s="690"/>
      <c r="M1307" s="1025"/>
      <c r="N1307" s="1030"/>
      <c r="O1307" s="692">
        <f t="shared" si="173"/>
        <v>0</v>
      </c>
      <c r="P1307" s="690"/>
      <c r="Q1307" s="690"/>
      <c r="R1307" s="691">
        <f t="shared" si="174"/>
        <v>0</v>
      </c>
      <c r="S1307" s="692">
        <f t="shared" si="175"/>
        <v>0</v>
      </c>
      <c r="T1307" s="693">
        <f t="shared" si="176"/>
        <v>0</v>
      </c>
      <c r="U1307" s="1035"/>
      <c r="V1307" s="690"/>
      <c r="W1307" s="1025"/>
      <c r="X1307" s="1030"/>
      <c r="Y1307" s="694">
        <f t="shared" si="177"/>
        <v>0</v>
      </c>
      <c r="Z1307" s="690"/>
      <c r="AA1307" s="690"/>
      <c r="AB1307" s="695">
        <f t="shared" si="178"/>
        <v>0</v>
      </c>
      <c r="AC1307" s="1035"/>
      <c r="AD1307" s="690"/>
      <c r="AE1307" s="1025"/>
      <c r="AF1307" s="1030"/>
      <c r="AG1307" s="690"/>
      <c r="AH1307" s="690"/>
      <c r="AI1307" s="696">
        <f t="shared" si="179"/>
        <v>0</v>
      </c>
      <c r="AJ1307" s="697">
        <f t="shared" si="180"/>
        <v>0</v>
      </c>
    </row>
    <row r="1308" spans="1:36" s="700" customFormat="1" ht="12.75" customHeight="1">
      <c r="A1308" s="842" t="s">
        <v>205</v>
      </c>
      <c r="B1308" s="842" t="s">
        <v>392</v>
      </c>
      <c r="C1308" s="843" t="s">
        <v>1023</v>
      </c>
      <c r="D1308" s="843"/>
      <c r="E1308" s="844">
        <v>160384</v>
      </c>
      <c r="F1308" s="845">
        <v>14</v>
      </c>
      <c r="G1308" s="1025"/>
      <c r="H1308" s="690"/>
      <c r="I1308" s="1030"/>
      <c r="J1308" s="690"/>
      <c r="K1308" s="1030"/>
      <c r="L1308" s="690"/>
      <c r="M1308" s="1025"/>
      <c r="N1308" s="1030"/>
      <c r="O1308" s="692">
        <f t="shared" si="173"/>
        <v>0</v>
      </c>
      <c r="P1308" s="690"/>
      <c r="Q1308" s="690"/>
      <c r="R1308" s="691">
        <f t="shared" si="174"/>
        <v>0</v>
      </c>
      <c r="S1308" s="692">
        <f t="shared" si="175"/>
        <v>0</v>
      </c>
      <c r="T1308" s="693">
        <f t="shared" si="176"/>
        <v>0</v>
      </c>
      <c r="U1308" s="1035"/>
      <c r="V1308" s="690"/>
      <c r="W1308" s="1025"/>
      <c r="X1308" s="1030"/>
      <c r="Y1308" s="694">
        <f t="shared" si="177"/>
        <v>0</v>
      </c>
      <c r="Z1308" s="690"/>
      <c r="AA1308" s="690"/>
      <c r="AB1308" s="695">
        <f t="shared" si="178"/>
        <v>0</v>
      </c>
      <c r="AC1308" s="1035"/>
      <c r="AD1308" s="690"/>
      <c r="AE1308" s="1025"/>
      <c r="AF1308" s="1030"/>
      <c r="AG1308" s="690"/>
      <c r="AH1308" s="690"/>
      <c r="AI1308" s="696">
        <f t="shared" si="179"/>
        <v>0</v>
      </c>
      <c r="AJ1308" s="697">
        <f t="shared" si="180"/>
        <v>0</v>
      </c>
    </row>
    <row r="1309" spans="1:36" s="700" customFormat="1" ht="12.75" customHeight="1">
      <c r="A1309" s="842" t="s">
        <v>205</v>
      </c>
      <c r="B1309" s="842" t="s">
        <v>392</v>
      </c>
      <c r="C1309" s="843" t="s">
        <v>1024</v>
      </c>
      <c r="D1309" s="843"/>
      <c r="E1309" s="844">
        <v>158583</v>
      </c>
      <c r="F1309" s="845">
        <v>14</v>
      </c>
      <c r="G1309" s="1025"/>
      <c r="H1309" s="690"/>
      <c r="I1309" s="1030"/>
      <c r="J1309" s="690"/>
      <c r="K1309" s="1030"/>
      <c r="L1309" s="690"/>
      <c r="M1309" s="1025"/>
      <c r="N1309" s="1030"/>
      <c r="O1309" s="692">
        <f t="shared" si="173"/>
        <v>0</v>
      </c>
      <c r="P1309" s="690"/>
      <c r="Q1309" s="690"/>
      <c r="R1309" s="691">
        <f t="shared" si="174"/>
        <v>0</v>
      </c>
      <c r="S1309" s="692">
        <f t="shared" si="175"/>
        <v>0</v>
      </c>
      <c r="T1309" s="693">
        <f t="shared" si="176"/>
        <v>0</v>
      </c>
      <c r="U1309" s="1035"/>
      <c r="V1309" s="690"/>
      <c r="W1309" s="1025"/>
      <c r="X1309" s="1030"/>
      <c r="Y1309" s="694">
        <f t="shared" si="177"/>
        <v>0</v>
      </c>
      <c r="Z1309" s="690"/>
      <c r="AA1309" s="690"/>
      <c r="AB1309" s="695">
        <f t="shared" si="178"/>
        <v>0</v>
      </c>
      <c r="AC1309" s="1035"/>
      <c r="AD1309" s="690"/>
      <c r="AE1309" s="1025"/>
      <c r="AF1309" s="1030"/>
      <c r="AG1309" s="690"/>
      <c r="AH1309" s="690"/>
      <c r="AI1309" s="696">
        <f t="shared" si="179"/>
        <v>0</v>
      </c>
      <c r="AJ1309" s="697">
        <f t="shared" si="180"/>
        <v>0</v>
      </c>
    </row>
    <row r="1310" spans="1:36" s="700" customFormat="1" ht="12.75" customHeight="1">
      <c r="A1310" s="842" t="s">
        <v>205</v>
      </c>
      <c r="B1310" s="842" t="s">
        <v>392</v>
      </c>
      <c r="C1310" s="843" t="s">
        <v>1025</v>
      </c>
      <c r="D1310" s="843"/>
      <c r="E1310" s="844">
        <v>160427</v>
      </c>
      <c r="F1310" s="845">
        <v>14</v>
      </c>
      <c r="G1310" s="1025"/>
      <c r="H1310" s="690"/>
      <c r="I1310" s="1030"/>
      <c r="J1310" s="690"/>
      <c r="K1310" s="1030"/>
      <c r="L1310" s="690"/>
      <c r="M1310" s="1025"/>
      <c r="N1310" s="1030"/>
      <c r="O1310" s="692">
        <f t="shared" si="173"/>
        <v>0</v>
      </c>
      <c r="P1310" s="690"/>
      <c r="Q1310" s="690"/>
      <c r="R1310" s="691">
        <f t="shared" si="174"/>
        <v>0</v>
      </c>
      <c r="S1310" s="692">
        <f t="shared" si="175"/>
        <v>0</v>
      </c>
      <c r="T1310" s="693">
        <f t="shared" si="176"/>
        <v>0</v>
      </c>
      <c r="U1310" s="1035"/>
      <c r="V1310" s="690"/>
      <c r="W1310" s="1025"/>
      <c r="X1310" s="1030"/>
      <c r="Y1310" s="694">
        <f t="shared" si="177"/>
        <v>0</v>
      </c>
      <c r="Z1310" s="690"/>
      <c r="AA1310" s="690"/>
      <c r="AB1310" s="695">
        <f t="shared" si="178"/>
        <v>0</v>
      </c>
      <c r="AC1310" s="1035"/>
      <c r="AD1310" s="690"/>
      <c r="AE1310" s="1025"/>
      <c r="AF1310" s="1030"/>
      <c r="AG1310" s="690"/>
      <c r="AH1310" s="690"/>
      <c r="AI1310" s="696">
        <f t="shared" si="179"/>
        <v>0</v>
      </c>
      <c r="AJ1310" s="697">
        <f t="shared" si="180"/>
        <v>0</v>
      </c>
    </row>
    <row r="1311" spans="1:36" s="700" customFormat="1" ht="12.75" customHeight="1">
      <c r="A1311" s="842" t="s">
        <v>205</v>
      </c>
      <c r="B1311" s="842" t="s">
        <v>392</v>
      </c>
      <c r="C1311" s="843" t="s">
        <v>1026</v>
      </c>
      <c r="D1311" s="843"/>
      <c r="E1311" s="844">
        <v>160436</v>
      </c>
      <c r="F1311" s="845">
        <v>14</v>
      </c>
      <c r="G1311" s="1025"/>
      <c r="H1311" s="690"/>
      <c r="I1311" s="1030"/>
      <c r="J1311" s="690"/>
      <c r="K1311" s="1030"/>
      <c r="L1311" s="690"/>
      <c r="M1311" s="1025"/>
      <c r="N1311" s="1030"/>
      <c r="O1311" s="692">
        <f t="shared" si="173"/>
        <v>0</v>
      </c>
      <c r="P1311" s="690"/>
      <c r="Q1311" s="690"/>
      <c r="R1311" s="691">
        <f t="shared" si="174"/>
        <v>0</v>
      </c>
      <c r="S1311" s="692">
        <f t="shared" si="175"/>
        <v>0</v>
      </c>
      <c r="T1311" s="693">
        <f t="shared" si="176"/>
        <v>0</v>
      </c>
      <c r="U1311" s="1035"/>
      <c r="V1311" s="690"/>
      <c r="W1311" s="1025"/>
      <c r="X1311" s="1030"/>
      <c r="Y1311" s="694">
        <f t="shared" si="177"/>
        <v>0</v>
      </c>
      <c r="Z1311" s="690"/>
      <c r="AA1311" s="690"/>
      <c r="AB1311" s="695">
        <f t="shared" si="178"/>
        <v>0</v>
      </c>
      <c r="AC1311" s="1035"/>
      <c r="AD1311" s="690"/>
      <c r="AE1311" s="1025"/>
      <c r="AF1311" s="1030"/>
      <c r="AG1311" s="690"/>
      <c r="AH1311" s="690"/>
      <c r="AI1311" s="696">
        <f t="shared" si="179"/>
        <v>0</v>
      </c>
      <c r="AJ1311" s="697">
        <f t="shared" si="180"/>
        <v>0</v>
      </c>
    </row>
    <row r="1312" spans="1:36" s="700" customFormat="1" ht="12.75" customHeight="1">
      <c r="A1312" s="842" t="s">
        <v>205</v>
      </c>
      <c r="B1312" s="842" t="s">
        <v>392</v>
      </c>
      <c r="C1312" s="843" t="s">
        <v>1027</v>
      </c>
      <c r="D1312" s="843"/>
      <c r="E1312" s="844">
        <v>160454</v>
      </c>
      <c r="F1312" s="845">
        <v>14</v>
      </c>
      <c r="G1312" s="1025"/>
      <c r="H1312" s="690"/>
      <c r="I1312" s="1030"/>
      <c r="J1312" s="690"/>
      <c r="K1312" s="1030"/>
      <c r="L1312" s="690"/>
      <c r="M1312" s="1025"/>
      <c r="N1312" s="1030"/>
      <c r="O1312" s="692">
        <f t="shared" si="173"/>
        <v>0</v>
      </c>
      <c r="P1312" s="690"/>
      <c r="Q1312" s="690"/>
      <c r="R1312" s="691">
        <f t="shared" si="174"/>
        <v>0</v>
      </c>
      <c r="S1312" s="692">
        <f t="shared" si="175"/>
        <v>0</v>
      </c>
      <c r="T1312" s="693">
        <f t="shared" si="176"/>
        <v>0</v>
      </c>
      <c r="U1312" s="1035"/>
      <c r="V1312" s="690"/>
      <c r="W1312" s="1025"/>
      <c r="X1312" s="1030"/>
      <c r="Y1312" s="694">
        <f t="shared" si="177"/>
        <v>0</v>
      </c>
      <c r="Z1312" s="690"/>
      <c r="AA1312" s="690"/>
      <c r="AB1312" s="695">
        <f t="shared" si="178"/>
        <v>0</v>
      </c>
      <c r="AC1312" s="1035"/>
      <c r="AD1312" s="690"/>
      <c r="AE1312" s="1025"/>
      <c r="AF1312" s="1030"/>
      <c r="AG1312" s="690"/>
      <c r="AH1312" s="690"/>
      <c r="AI1312" s="696">
        <f t="shared" si="179"/>
        <v>0</v>
      </c>
      <c r="AJ1312" s="697">
        <f t="shared" si="180"/>
        <v>0</v>
      </c>
    </row>
    <row r="1313" spans="1:36" s="700" customFormat="1" ht="12.75" customHeight="1">
      <c r="A1313" s="842" t="s">
        <v>205</v>
      </c>
      <c r="B1313" s="842" t="s">
        <v>392</v>
      </c>
      <c r="C1313" s="843" t="s">
        <v>1028</v>
      </c>
      <c r="D1313" s="843"/>
      <c r="E1313" s="844">
        <v>160667</v>
      </c>
      <c r="F1313" s="845">
        <v>14</v>
      </c>
      <c r="G1313" s="1025"/>
      <c r="H1313" s="690"/>
      <c r="I1313" s="1030"/>
      <c r="J1313" s="690"/>
      <c r="K1313" s="1030"/>
      <c r="L1313" s="690"/>
      <c r="M1313" s="1025"/>
      <c r="N1313" s="1030"/>
      <c r="O1313" s="692">
        <f t="shared" si="173"/>
        <v>0</v>
      </c>
      <c r="P1313" s="690"/>
      <c r="Q1313" s="690"/>
      <c r="R1313" s="691">
        <f t="shared" si="174"/>
        <v>0</v>
      </c>
      <c r="S1313" s="692">
        <f t="shared" si="175"/>
        <v>0</v>
      </c>
      <c r="T1313" s="693">
        <f t="shared" si="176"/>
        <v>0</v>
      </c>
      <c r="U1313" s="1035"/>
      <c r="V1313" s="690"/>
      <c r="W1313" s="1025"/>
      <c r="X1313" s="1030"/>
      <c r="Y1313" s="694">
        <f t="shared" si="177"/>
        <v>0</v>
      </c>
      <c r="Z1313" s="690"/>
      <c r="AA1313" s="690"/>
      <c r="AB1313" s="695">
        <f t="shared" si="178"/>
        <v>0</v>
      </c>
      <c r="AC1313" s="1035"/>
      <c r="AD1313" s="690"/>
      <c r="AE1313" s="1025"/>
      <c r="AF1313" s="1030"/>
      <c r="AG1313" s="690"/>
      <c r="AH1313" s="690"/>
      <c r="AI1313" s="696">
        <f t="shared" si="179"/>
        <v>0</v>
      </c>
      <c r="AJ1313" s="697">
        <f t="shared" si="180"/>
        <v>0</v>
      </c>
    </row>
    <row r="1314" spans="1:36" s="700" customFormat="1" ht="12.75" customHeight="1">
      <c r="A1314" s="842" t="s">
        <v>205</v>
      </c>
      <c r="B1314" s="842" t="s">
        <v>392</v>
      </c>
      <c r="C1314" s="843" t="s">
        <v>1029</v>
      </c>
      <c r="D1314" s="843"/>
      <c r="E1314" s="844">
        <v>160676</v>
      </c>
      <c r="F1314" s="845">
        <v>14</v>
      </c>
      <c r="G1314" s="1025"/>
      <c r="H1314" s="690"/>
      <c r="I1314" s="1030"/>
      <c r="J1314" s="690"/>
      <c r="K1314" s="1030"/>
      <c r="L1314" s="690"/>
      <c r="M1314" s="1025"/>
      <c r="N1314" s="1030"/>
      <c r="O1314" s="692">
        <f t="shared" si="173"/>
        <v>0</v>
      </c>
      <c r="P1314" s="690"/>
      <c r="Q1314" s="690"/>
      <c r="R1314" s="691">
        <f t="shared" si="174"/>
        <v>0</v>
      </c>
      <c r="S1314" s="692">
        <f t="shared" si="175"/>
        <v>0</v>
      </c>
      <c r="T1314" s="693">
        <f t="shared" si="176"/>
        <v>0</v>
      </c>
      <c r="U1314" s="1035"/>
      <c r="V1314" s="690"/>
      <c r="W1314" s="1025"/>
      <c r="X1314" s="1030"/>
      <c r="Y1314" s="694">
        <f t="shared" si="177"/>
        <v>0</v>
      </c>
      <c r="Z1314" s="690"/>
      <c r="AA1314" s="690"/>
      <c r="AB1314" s="695">
        <f t="shared" si="178"/>
        <v>0</v>
      </c>
      <c r="AC1314" s="1035"/>
      <c r="AD1314" s="690"/>
      <c r="AE1314" s="1025"/>
      <c r="AF1314" s="1030"/>
      <c r="AG1314" s="690"/>
      <c r="AH1314" s="690"/>
      <c r="AI1314" s="696">
        <f t="shared" si="179"/>
        <v>0</v>
      </c>
      <c r="AJ1314" s="697">
        <f t="shared" si="180"/>
        <v>0</v>
      </c>
    </row>
    <row r="1315" spans="1:36" s="700" customFormat="1" ht="12.75" customHeight="1">
      <c r="A1315" s="842" t="s">
        <v>205</v>
      </c>
      <c r="B1315" s="842" t="s">
        <v>392</v>
      </c>
      <c r="C1315" s="843" t="s">
        <v>1030</v>
      </c>
      <c r="D1315" s="843"/>
      <c r="E1315" s="844">
        <v>160685</v>
      </c>
      <c r="F1315" s="845">
        <v>14</v>
      </c>
      <c r="G1315" s="1025"/>
      <c r="H1315" s="690"/>
      <c r="I1315" s="1030"/>
      <c r="J1315" s="690"/>
      <c r="K1315" s="1030"/>
      <c r="L1315" s="690"/>
      <c r="M1315" s="1025"/>
      <c r="N1315" s="1030"/>
      <c r="O1315" s="692">
        <f t="shared" si="173"/>
        <v>0</v>
      </c>
      <c r="P1315" s="690"/>
      <c r="Q1315" s="690"/>
      <c r="R1315" s="691">
        <f t="shared" si="174"/>
        <v>0</v>
      </c>
      <c r="S1315" s="692">
        <f t="shared" si="175"/>
        <v>0</v>
      </c>
      <c r="T1315" s="693">
        <f t="shared" si="176"/>
        <v>0</v>
      </c>
      <c r="U1315" s="1035"/>
      <c r="V1315" s="690"/>
      <c r="W1315" s="1025"/>
      <c r="X1315" s="1030"/>
      <c r="Y1315" s="694">
        <f t="shared" si="177"/>
        <v>0</v>
      </c>
      <c r="Z1315" s="690"/>
      <c r="AA1315" s="690"/>
      <c r="AB1315" s="695">
        <f t="shared" si="178"/>
        <v>0</v>
      </c>
      <c r="AC1315" s="1035"/>
      <c r="AD1315" s="690"/>
      <c r="AE1315" s="1025"/>
      <c r="AF1315" s="1030"/>
      <c r="AG1315" s="690"/>
      <c r="AH1315" s="690"/>
      <c r="AI1315" s="696">
        <f t="shared" si="179"/>
        <v>0</v>
      </c>
      <c r="AJ1315" s="697">
        <f t="shared" si="180"/>
        <v>0</v>
      </c>
    </row>
    <row r="1316" spans="1:36" s="700" customFormat="1" ht="12.75" customHeight="1">
      <c r="A1316" s="842" t="s">
        <v>205</v>
      </c>
      <c r="B1316" s="842" t="s">
        <v>392</v>
      </c>
      <c r="C1316" s="843" t="s">
        <v>1031</v>
      </c>
      <c r="D1316" s="843"/>
      <c r="E1316" s="844">
        <v>160694</v>
      </c>
      <c r="F1316" s="845">
        <v>14</v>
      </c>
      <c r="G1316" s="1025"/>
      <c r="H1316" s="690"/>
      <c r="I1316" s="1030"/>
      <c r="J1316" s="690"/>
      <c r="K1316" s="1030"/>
      <c r="L1316" s="690"/>
      <c r="M1316" s="1025"/>
      <c r="N1316" s="1030"/>
      <c r="O1316" s="692">
        <f t="shared" si="173"/>
        <v>0</v>
      </c>
      <c r="P1316" s="690"/>
      <c r="Q1316" s="690"/>
      <c r="R1316" s="691">
        <f t="shared" si="174"/>
        <v>0</v>
      </c>
      <c r="S1316" s="692">
        <f t="shared" si="175"/>
        <v>0</v>
      </c>
      <c r="T1316" s="693">
        <f t="shared" si="176"/>
        <v>0</v>
      </c>
      <c r="U1316" s="1035"/>
      <c r="V1316" s="690"/>
      <c r="W1316" s="1025"/>
      <c r="X1316" s="1030"/>
      <c r="Y1316" s="694">
        <f t="shared" si="177"/>
        <v>0</v>
      </c>
      <c r="Z1316" s="690"/>
      <c r="AA1316" s="690"/>
      <c r="AB1316" s="695">
        <f t="shared" si="178"/>
        <v>0</v>
      </c>
      <c r="AC1316" s="1035"/>
      <c r="AD1316" s="690"/>
      <c r="AE1316" s="1025"/>
      <c r="AF1316" s="1030"/>
      <c r="AG1316" s="690"/>
      <c r="AH1316" s="690"/>
      <c r="AI1316" s="696">
        <f t="shared" si="179"/>
        <v>0</v>
      </c>
      <c r="AJ1316" s="697">
        <f t="shared" si="180"/>
        <v>0</v>
      </c>
    </row>
    <row r="1317" spans="1:36" s="700" customFormat="1" ht="12.75" customHeight="1">
      <c r="A1317" s="842" t="s">
        <v>205</v>
      </c>
      <c r="B1317" s="842" t="s">
        <v>392</v>
      </c>
      <c r="C1317" s="843" t="s">
        <v>1032</v>
      </c>
      <c r="D1317" s="843"/>
      <c r="E1317" s="844">
        <v>159267</v>
      </c>
      <c r="F1317" s="845">
        <v>14</v>
      </c>
      <c r="G1317" s="1025"/>
      <c r="H1317" s="690"/>
      <c r="I1317" s="1030"/>
      <c r="J1317" s="690"/>
      <c r="K1317" s="1030"/>
      <c r="L1317" s="690"/>
      <c r="M1317" s="1025"/>
      <c r="N1317" s="1030"/>
      <c r="O1317" s="692">
        <f t="shared" si="173"/>
        <v>0</v>
      </c>
      <c r="P1317" s="690"/>
      <c r="Q1317" s="690"/>
      <c r="R1317" s="691">
        <f t="shared" si="174"/>
        <v>0</v>
      </c>
      <c r="S1317" s="692">
        <f t="shared" si="175"/>
        <v>0</v>
      </c>
      <c r="T1317" s="693">
        <f t="shared" si="176"/>
        <v>0</v>
      </c>
      <c r="U1317" s="1035"/>
      <c r="V1317" s="690"/>
      <c r="W1317" s="1025"/>
      <c r="X1317" s="1030"/>
      <c r="Y1317" s="694">
        <f t="shared" si="177"/>
        <v>0</v>
      </c>
      <c r="Z1317" s="690"/>
      <c r="AA1317" s="690"/>
      <c r="AB1317" s="695">
        <f t="shared" si="178"/>
        <v>0</v>
      </c>
      <c r="AC1317" s="1035"/>
      <c r="AD1317" s="690"/>
      <c r="AE1317" s="1025"/>
      <c r="AF1317" s="1030"/>
      <c r="AG1317" s="690"/>
      <c r="AH1317" s="690"/>
      <c r="AI1317" s="696">
        <f t="shared" si="179"/>
        <v>0</v>
      </c>
      <c r="AJ1317" s="697">
        <f t="shared" si="180"/>
        <v>0</v>
      </c>
    </row>
    <row r="1318" spans="1:36" s="700" customFormat="1" ht="12.75" customHeight="1">
      <c r="A1318" s="842" t="s">
        <v>205</v>
      </c>
      <c r="B1318" s="842" t="s">
        <v>392</v>
      </c>
      <c r="C1318" s="843" t="s">
        <v>1033</v>
      </c>
      <c r="D1318" s="843"/>
      <c r="E1318" s="844">
        <v>160870</v>
      </c>
      <c r="F1318" s="845">
        <v>14</v>
      </c>
      <c r="G1318" s="1025"/>
      <c r="H1318" s="690"/>
      <c r="I1318" s="1030"/>
      <c r="J1318" s="690"/>
      <c r="K1318" s="1030"/>
      <c r="L1318" s="690"/>
      <c r="M1318" s="1025"/>
      <c r="N1318" s="1030"/>
      <c r="O1318" s="692">
        <f t="shared" si="173"/>
        <v>0</v>
      </c>
      <c r="P1318" s="690"/>
      <c r="Q1318" s="690"/>
      <c r="R1318" s="691">
        <f t="shared" si="174"/>
        <v>0</v>
      </c>
      <c r="S1318" s="692">
        <f t="shared" si="175"/>
        <v>0</v>
      </c>
      <c r="T1318" s="693">
        <f t="shared" si="176"/>
        <v>0</v>
      </c>
      <c r="U1318" s="1035"/>
      <c r="V1318" s="690"/>
      <c r="W1318" s="1025"/>
      <c r="X1318" s="1030"/>
      <c r="Y1318" s="694">
        <f t="shared" si="177"/>
        <v>0</v>
      </c>
      <c r="Z1318" s="690"/>
      <c r="AA1318" s="690"/>
      <c r="AB1318" s="695">
        <f t="shared" si="178"/>
        <v>0</v>
      </c>
      <c r="AC1318" s="1035"/>
      <c r="AD1318" s="690"/>
      <c r="AE1318" s="1025"/>
      <c r="AF1318" s="1030"/>
      <c r="AG1318" s="690"/>
      <c r="AH1318" s="690"/>
      <c r="AI1318" s="696">
        <f t="shared" si="179"/>
        <v>0</v>
      </c>
      <c r="AJ1318" s="697">
        <f t="shared" si="180"/>
        <v>0</v>
      </c>
    </row>
    <row r="1319" spans="1:36" s="700" customFormat="1" ht="12.75" customHeight="1">
      <c r="A1319" s="842" t="s">
        <v>205</v>
      </c>
      <c r="B1319" s="842" t="s">
        <v>392</v>
      </c>
      <c r="C1319" s="843" t="s">
        <v>1034</v>
      </c>
      <c r="D1319" s="843"/>
      <c r="E1319" s="844">
        <v>160913</v>
      </c>
      <c r="F1319" s="845">
        <v>14</v>
      </c>
      <c r="G1319" s="1025"/>
      <c r="H1319" s="690"/>
      <c r="I1319" s="1030"/>
      <c r="J1319" s="690"/>
      <c r="K1319" s="1030"/>
      <c r="L1319" s="690"/>
      <c r="M1319" s="1025"/>
      <c r="N1319" s="1030"/>
      <c r="O1319" s="692">
        <f t="shared" si="173"/>
        <v>0</v>
      </c>
      <c r="P1319" s="690"/>
      <c r="Q1319" s="690"/>
      <c r="R1319" s="691">
        <f t="shared" si="174"/>
        <v>0</v>
      </c>
      <c r="S1319" s="692">
        <f t="shared" si="175"/>
        <v>0</v>
      </c>
      <c r="T1319" s="693">
        <f t="shared" si="176"/>
        <v>0</v>
      </c>
      <c r="U1319" s="1035"/>
      <c r="V1319" s="690"/>
      <c r="W1319" s="1025"/>
      <c r="X1319" s="1030"/>
      <c r="Y1319" s="694">
        <f t="shared" si="177"/>
        <v>0</v>
      </c>
      <c r="Z1319" s="690"/>
      <c r="AA1319" s="690"/>
      <c r="AB1319" s="695">
        <f t="shared" si="178"/>
        <v>0</v>
      </c>
      <c r="AC1319" s="1035"/>
      <c r="AD1319" s="690"/>
      <c r="AE1319" s="1025"/>
      <c r="AF1319" s="1030"/>
      <c r="AG1319" s="690"/>
      <c r="AH1319" s="690"/>
      <c r="AI1319" s="696">
        <f t="shared" si="179"/>
        <v>0</v>
      </c>
      <c r="AJ1319" s="697">
        <f t="shared" si="180"/>
        <v>0</v>
      </c>
    </row>
    <row r="1320" spans="1:36" s="700" customFormat="1" ht="12.75" customHeight="1">
      <c r="A1320" s="855" t="s">
        <v>205</v>
      </c>
      <c r="B1320" s="855" t="s">
        <v>392</v>
      </c>
      <c r="C1320" s="856" t="s">
        <v>1035</v>
      </c>
      <c r="D1320" s="856"/>
      <c r="E1320" s="857"/>
      <c r="F1320" s="845">
        <v>14</v>
      </c>
      <c r="G1320" s="1025">
        <v>58951919</v>
      </c>
      <c r="H1320" s="818"/>
      <c r="I1320" s="1030"/>
      <c r="J1320" s="690"/>
      <c r="K1320" s="1030"/>
      <c r="L1320" s="690"/>
      <c r="M1320" s="1025">
        <v>13188894</v>
      </c>
      <c r="N1320" s="1030"/>
      <c r="O1320" s="692">
        <f t="shared" si="173"/>
        <v>13188894</v>
      </c>
      <c r="P1320" s="690"/>
      <c r="Q1320" s="690"/>
      <c r="R1320" s="691">
        <f t="shared" si="174"/>
        <v>0</v>
      </c>
      <c r="S1320" s="692">
        <f t="shared" si="175"/>
        <v>72140813</v>
      </c>
      <c r="T1320" s="693">
        <f t="shared" si="176"/>
        <v>0</v>
      </c>
      <c r="U1320" s="1035"/>
      <c r="V1320" s="690"/>
      <c r="W1320" s="1025"/>
      <c r="X1320" s="1030"/>
      <c r="Y1320" s="694">
        <f t="shared" si="177"/>
        <v>0</v>
      </c>
      <c r="Z1320" s="690"/>
      <c r="AA1320" s="690"/>
      <c r="AB1320" s="695">
        <f t="shared" si="178"/>
        <v>0</v>
      </c>
      <c r="AC1320" s="1035"/>
      <c r="AD1320" s="690"/>
      <c r="AE1320" s="1025"/>
      <c r="AF1320" s="1030"/>
      <c r="AG1320" s="690"/>
      <c r="AH1320" s="690"/>
      <c r="AI1320" s="696">
        <f t="shared" si="179"/>
        <v>72140813</v>
      </c>
      <c r="AJ1320" s="697">
        <f t="shared" si="180"/>
        <v>0</v>
      </c>
    </row>
    <row r="1321" spans="1:36" s="700" customFormat="1" ht="12.75" customHeight="1">
      <c r="A1321" s="842" t="s">
        <v>205</v>
      </c>
      <c r="B1321" s="842" t="s">
        <v>392</v>
      </c>
      <c r="C1321" s="1069" t="s">
        <v>1062</v>
      </c>
      <c r="D1321" s="1070" t="s">
        <v>1956</v>
      </c>
      <c r="E1321" s="868"/>
      <c r="F1321" s="852">
        <v>12</v>
      </c>
      <c r="G1321" s="1025"/>
      <c r="H1321" s="818">
        <v>12004619</v>
      </c>
      <c r="I1321" s="1030"/>
      <c r="J1321" s="690"/>
      <c r="K1321" s="1030"/>
      <c r="L1321" s="690"/>
      <c r="M1321" s="1025"/>
      <c r="N1321" s="1030"/>
      <c r="O1321" s="692">
        <f t="shared" si="173"/>
        <v>0</v>
      </c>
      <c r="P1321" s="690">
        <v>2347032</v>
      </c>
      <c r="Q1321" s="690"/>
      <c r="R1321" s="691">
        <f t="shared" si="174"/>
        <v>2347032</v>
      </c>
      <c r="S1321" s="692">
        <f t="shared" si="175"/>
        <v>0</v>
      </c>
      <c r="T1321" s="693">
        <f t="shared" si="176"/>
        <v>14351651</v>
      </c>
      <c r="U1321" s="1035"/>
      <c r="V1321" s="690"/>
      <c r="W1321" s="1025"/>
      <c r="X1321" s="1030"/>
      <c r="Y1321" s="694">
        <f t="shared" si="177"/>
        <v>0</v>
      </c>
      <c r="Z1321" s="690"/>
      <c r="AA1321" s="690"/>
      <c r="AB1321" s="695">
        <f t="shared" si="178"/>
        <v>0</v>
      </c>
      <c r="AC1321" s="1035"/>
      <c r="AD1321" s="690"/>
      <c r="AE1321" s="1025"/>
      <c r="AF1321" s="1030"/>
      <c r="AG1321" s="690"/>
      <c r="AH1321" s="690"/>
      <c r="AI1321" s="696">
        <f t="shared" si="179"/>
        <v>0</v>
      </c>
      <c r="AJ1321" s="697">
        <f t="shared" si="180"/>
        <v>14351651</v>
      </c>
    </row>
    <row r="1322" spans="1:36" s="700" customFormat="1" ht="12.75" customHeight="1">
      <c r="A1322" s="842" t="s">
        <v>205</v>
      </c>
      <c r="B1322" s="842" t="s">
        <v>392</v>
      </c>
      <c r="C1322" s="1069" t="s">
        <v>1063</v>
      </c>
      <c r="D1322" s="1070" t="s">
        <v>1957</v>
      </c>
      <c r="E1322" s="868"/>
      <c r="F1322" s="852">
        <v>12</v>
      </c>
      <c r="G1322" s="1025"/>
      <c r="H1322" s="818">
        <v>7476847</v>
      </c>
      <c r="I1322" s="1030"/>
      <c r="J1322" s="690"/>
      <c r="K1322" s="1030"/>
      <c r="L1322" s="690"/>
      <c r="M1322" s="1025"/>
      <c r="N1322" s="1030"/>
      <c r="O1322" s="692">
        <f t="shared" si="173"/>
        <v>0</v>
      </c>
      <c r="P1322" s="690">
        <v>636849</v>
      </c>
      <c r="Q1322" s="690"/>
      <c r="R1322" s="691">
        <f t="shared" si="174"/>
        <v>636849</v>
      </c>
      <c r="S1322" s="692">
        <f t="shared" si="175"/>
        <v>0</v>
      </c>
      <c r="T1322" s="693">
        <f t="shared" si="176"/>
        <v>8113696</v>
      </c>
      <c r="U1322" s="1035"/>
      <c r="V1322" s="690"/>
      <c r="W1322" s="1025"/>
      <c r="X1322" s="1030"/>
      <c r="Y1322" s="694">
        <f t="shared" si="177"/>
        <v>0</v>
      </c>
      <c r="Z1322" s="690"/>
      <c r="AA1322" s="690"/>
      <c r="AB1322" s="695">
        <f t="shared" si="178"/>
        <v>0</v>
      </c>
      <c r="AC1322" s="1035"/>
      <c r="AD1322" s="690"/>
      <c r="AE1322" s="1025"/>
      <c r="AF1322" s="1030"/>
      <c r="AG1322" s="690"/>
      <c r="AH1322" s="690"/>
      <c r="AI1322" s="696">
        <f t="shared" si="179"/>
        <v>0</v>
      </c>
      <c r="AJ1322" s="697">
        <f t="shared" si="180"/>
        <v>8113696</v>
      </c>
    </row>
    <row r="1323" spans="1:36" s="700" customFormat="1" ht="12.75" customHeight="1">
      <c r="A1323" s="842" t="s">
        <v>205</v>
      </c>
      <c r="B1323" s="842" t="s">
        <v>392</v>
      </c>
      <c r="C1323" s="1069" t="s">
        <v>1064</v>
      </c>
      <c r="D1323" s="1070" t="s">
        <v>1958</v>
      </c>
      <c r="E1323" s="868"/>
      <c r="F1323" s="852">
        <v>12</v>
      </c>
      <c r="G1323" s="1025"/>
      <c r="H1323" s="818">
        <v>7485174</v>
      </c>
      <c r="I1323" s="1030"/>
      <c r="J1323" s="690"/>
      <c r="K1323" s="1030"/>
      <c r="L1323" s="690"/>
      <c r="M1323" s="1025"/>
      <c r="N1323" s="1030"/>
      <c r="O1323" s="692">
        <f t="shared" si="173"/>
        <v>0</v>
      </c>
      <c r="P1323" s="690">
        <v>796557</v>
      </c>
      <c r="Q1323" s="690"/>
      <c r="R1323" s="691">
        <f t="shared" si="174"/>
        <v>796557</v>
      </c>
      <c r="S1323" s="692">
        <f t="shared" si="175"/>
        <v>0</v>
      </c>
      <c r="T1323" s="693">
        <f t="shared" si="176"/>
        <v>8281731</v>
      </c>
      <c r="U1323" s="1035"/>
      <c r="V1323" s="690"/>
      <c r="W1323" s="1025"/>
      <c r="X1323" s="1030"/>
      <c r="Y1323" s="694">
        <f t="shared" si="177"/>
        <v>0</v>
      </c>
      <c r="Z1323" s="690"/>
      <c r="AA1323" s="690"/>
      <c r="AB1323" s="695">
        <f t="shared" si="178"/>
        <v>0</v>
      </c>
      <c r="AC1323" s="1035"/>
      <c r="AD1323" s="690"/>
      <c r="AE1323" s="1025"/>
      <c r="AF1323" s="1030"/>
      <c r="AG1323" s="690"/>
      <c r="AH1323" s="690"/>
      <c r="AI1323" s="696">
        <f t="shared" si="179"/>
        <v>0</v>
      </c>
      <c r="AJ1323" s="697">
        <f t="shared" si="180"/>
        <v>8281731</v>
      </c>
    </row>
    <row r="1324" spans="1:36" s="700" customFormat="1" ht="12.75" customHeight="1">
      <c r="A1324" s="842" t="s">
        <v>205</v>
      </c>
      <c r="B1324" s="842" t="s">
        <v>392</v>
      </c>
      <c r="C1324" s="1069" t="s">
        <v>1065</v>
      </c>
      <c r="D1324" s="1070" t="s">
        <v>1959</v>
      </c>
      <c r="E1324" s="868"/>
      <c r="F1324" s="852">
        <v>12</v>
      </c>
      <c r="G1324" s="1025"/>
      <c r="H1324" s="818">
        <v>5989003</v>
      </c>
      <c r="I1324" s="1030"/>
      <c r="J1324" s="690"/>
      <c r="K1324" s="1030"/>
      <c r="L1324" s="690"/>
      <c r="M1324" s="1025"/>
      <c r="N1324" s="1030"/>
      <c r="O1324" s="692">
        <f t="shared" si="173"/>
        <v>0</v>
      </c>
      <c r="P1324" s="690">
        <v>1158958</v>
      </c>
      <c r="Q1324" s="690"/>
      <c r="R1324" s="691">
        <f t="shared" si="174"/>
        <v>1158958</v>
      </c>
      <c r="S1324" s="692">
        <f t="shared" si="175"/>
        <v>0</v>
      </c>
      <c r="T1324" s="693">
        <f t="shared" si="176"/>
        <v>7147961</v>
      </c>
      <c r="U1324" s="1035"/>
      <c r="V1324" s="690"/>
      <c r="W1324" s="1025"/>
      <c r="X1324" s="1030"/>
      <c r="Y1324" s="694">
        <f t="shared" si="177"/>
        <v>0</v>
      </c>
      <c r="Z1324" s="690"/>
      <c r="AA1324" s="690"/>
      <c r="AB1324" s="695">
        <f t="shared" si="178"/>
        <v>0</v>
      </c>
      <c r="AC1324" s="1035"/>
      <c r="AD1324" s="690"/>
      <c r="AE1324" s="1025"/>
      <c r="AF1324" s="1030"/>
      <c r="AG1324" s="690"/>
      <c r="AH1324" s="690"/>
      <c r="AI1324" s="696">
        <f t="shared" si="179"/>
        <v>0</v>
      </c>
      <c r="AJ1324" s="697">
        <f t="shared" si="180"/>
        <v>7147961</v>
      </c>
    </row>
    <row r="1325" spans="1:36" s="700" customFormat="1" ht="12.75" customHeight="1">
      <c r="A1325" s="842" t="s">
        <v>205</v>
      </c>
      <c r="B1325" s="842" t="s">
        <v>392</v>
      </c>
      <c r="C1325" s="1069" t="s">
        <v>1066</v>
      </c>
      <c r="D1325" s="1070" t="s">
        <v>1960</v>
      </c>
      <c r="E1325" s="868"/>
      <c r="F1325" s="852">
        <v>12</v>
      </c>
      <c r="G1325" s="1025"/>
      <c r="H1325" s="818">
        <v>5617405</v>
      </c>
      <c r="I1325" s="1030"/>
      <c r="J1325" s="690"/>
      <c r="K1325" s="1030"/>
      <c r="L1325" s="690"/>
      <c r="M1325" s="1025"/>
      <c r="N1325" s="1030"/>
      <c r="O1325" s="692">
        <f t="shared" si="173"/>
        <v>0</v>
      </c>
      <c r="P1325" s="690">
        <v>1608401</v>
      </c>
      <c r="Q1325" s="690"/>
      <c r="R1325" s="691">
        <f t="shared" si="174"/>
        <v>1608401</v>
      </c>
      <c r="S1325" s="692">
        <f t="shared" si="175"/>
        <v>0</v>
      </c>
      <c r="T1325" s="693">
        <f t="shared" si="176"/>
        <v>7225806</v>
      </c>
      <c r="U1325" s="1035"/>
      <c r="V1325" s="690"/>
      <c r="W1325" s="1025"/>
      <c r="X1325" s="1030"/>
      <c r="Y1325" s="694">
        <f t="shared" si="177"/>
        <v>0</v>
      </c>
      <c r="Z1325" s="690"/>
      <c r="AA1325" s="690"/>
      <c r="AB1325" s="695">
        <f t="shared" si="178"/>
        <v>0</v>
      </c>
      <c r="AC1325" s="1035"/>
      <c r="AD1325" s="690"/>
      <c r="AE1325" s="1025"/>
      <c r="AF1325" s="1030"/>
      <c r="AG1325" s="690"/>
      <c r="AH1325" s="690"/>
      <c r="AI1325" s="696">
        <f t="shared" si="179"/>
        <v>0</v>
      </c>
      <c r="AJ1325" s="697">
        <f t="shared" si="180"/>
        <v>7225806</v>
      </c>
    </row>
    <row r="1326" spans="1:36" s="700" customFormat="1" ht="12.75" customHeight="1">
      <c r="A1326" s="842" t="s">
        <v>205</v>
      </c>
      <c r="B1326" s="842" t="s">
        <v>392</v>
      </c>
      <c r="C1326" s="1069" t="s">
        <v>1067</v>
      </c>
      <c r="D1326" s="1070" t="s">
        <v>1961</v>
      </c>
      <c r="E1326" s="868"/>
      <c r="F1326" s="852">
        <v>12</v>
      </c>
      <c r="G1326" s="1025"/>
      <c r="H1326" s="818">
        <v>8767833</v>
      </c>
      <c r="I1326" s="1030"/>
      <c r="J1326" s="690"/>
      <c r="K1326" s="1030"/>
      <c r="L1326" s="690"/>
      <c r="M1326" s="1025"/>
      <c r="N1326" s="1030"/>
      <c r="O1326" s="692">
        <f t="shared" si="173"/>
        <v>0</v>
      </c>
      <c r="P1326" s="690">
        <v>1492543</v>
      </c>
      <c r="Q1326" s="690"/>
      <c r="R1326" s="691">
        <f t="shared" si="174"/>
        <v>1492543</v>
      </c>
      <c r="S1326" s="692">
        <f t="shared" si="175"/>
        <v>0</v>
      </c>
      <c r="T1326" s="693">
        <f t="shared" si="176"/>
        <v>10260376</v>
      </c>
      <c r="U1326" s="1035"/>
      <c r="V1326" s="690"/>
      <c r="W1326" s="1025"/>
      <c r="X1326" s="1030"/>
      <c r="Y1326" s="694">
        <f t="shared" si="177"/>
        <v>0</v>
      </c>
      <c r="Z1326" s="690"/>
      <c r="AA1326" s="690"/>
      <c r="AB1326" s="695">
        <f t="shared" si="178"/>
        <v>0</v>
      </c>
      <c r="AC1326" s="1035"/>
      <c r="AD1326" s="690"/>
      <c r="AE1326" s="1025"/>
      <c r="AF1326" s="1030"/>
      <c r="AG1326" s="690"/>
      <c r="AH1326" s="690"/>
      <c r="AI1326" s="696">
        <f t="shared" si="179"/>
        <v>0</v>
      </c>
      <c r="AJ1326" s="697">
        <f t="shared" si="180"/>
        <v>10260376</v>
      </c>
    </row>
    <row r="1327" spans="1:36" s="700" customFormat="1" ht="12.75" customHeight="1">
      <c r="A1327" s="842" t="s">
        <v>205</v>
      </c>
      <c r="B1327" s="842" t="s">
        <v>392</v>
      </c>
      <c r="C1327" s="1069" t="s">
        <v>1068</v>
      </c>
      <c r="D1327" s="1070" t="s">
        <v>1962</v>
      </c>
      <c r="E1327" s="868"/>
      <c r="F1327" s="852">
        <v>12</v>
      </c>
      <c r="G1327" s="1025"/>
      <c r="H1327" s="818">
        <v>5989003</v>
      </c>
      <c r="I1327" s="1030"/>
      <c r="J1327" s="690"/>
      <c r="K1327" s="1030"/>
      <c r="L1327" s="690"/>
      <c r="M1327" s="1025"/>
      <c r="N1327" s="1030"/>
      <c r="O1327" s="692">
        <f t="shared" si="173"/>
        <v>0</v>
      </c>
      <c r="P1327" s="690">
        <v>1767587</v>
      </c>
      <c r="Q1327" s="690"/>
      <c r="R1327" s="691">
        <f t="shared" si="174"/>
        <v>1767587</v>
      </c>
      <c r="S1327" s="692">
        <f t="shared" si="175"/>
        <v>0</v>
      </c>
      <c r="T1327" s="693">
        <f t="shared" si="176"/>
        <v>7756590</v>
      </c>
      <c r="U1327" s="1035"/>
      <c r="V1327" s="690"/>
      <c r="W1327" s="1025"/>
      <c r="X1327" s="1030"/>
      <c r="Y1327" s="694">
        <f t="shared" si="177"/>
        <v>0</v>
      </c>
      <c r="Z1327" s="690"/>
      <c r="AA1327" s="690"/>
      <c r="AB1327" s="695">
        <f t="shared" si="178"/>
        <v>0</v>
      </c>
      <c r="AC1327" s="1035"/>
      <c r="AD1327" s="690"/>
      <c r="AE1327" s="1025"/>
      <c r="AF1327" s="1030"/>
      <c r="AG1327" s="690"/>
      <c r="AH1327" s="690"/>
      <c r="AI1327" s="696">
        <f t="shared" si="179"/>
        <v>0</v>
      </c>
      <c r="AJ1327" s="697">
        <f t="shared" si="180"/>
        <v>7756590</v>
      </c>
    </row>
    <row r="1328" spans="1:36" s="700" customFormat="1" ht="12.75" customHeight="1">
      <c r="A1328" s="842" t="s">
        <v>205</v>
      </c>
      <c r="B1328" s="842" t="s">
        <v>429</v>
      </c>
      <c r="C1328" s="843" t="s">
        <v>1036</v>
      </c>
      <c r="D1328" s="843"/>
      <c r="E1328" s="844">
        <v>159373</v>
      </c>
      <c r="F1328" s="845">
        <v>15</v>
      </c>
      <c r="G1328" s="1025"/>
      <c r="H1328" s="690"/>
      <c r="I1328" s="1030"/>
      <c r="J1328" s="690"/>
      <c r="K1328" s="1030"/>
      <c r="L1328" s="690"/>
      <c r="M1328" s="1025"/>
      <c r="N1328" s="1030"/>
      <c r="O1328" s="692">
        <f t="shared" si="173"/>
        <v>0</v>
      </c>
      <c r="P1328" s="690"/>
      <c r="Q1328" s="690"/>
      <c r="R1328" s="691">
        <f t="shared" si="174"/>
        <v>0</v>
      </c>
      <c r="S1328" s="692">
        <f t="shared" si="175"/>
        <v>0</v>
      </c>
      <c r="T1328" s="693">
        <f t="shared" si="176"/>
        <v>0</v>
      </c>
      <c r="U1328" s="1035"/>
      <c r="V1328" s="690"/>
      <c r="W1328" s="1025"/>
      <c r="X1328" s="1030"/>
      <c r="Y1328" s="694">
        <f t="shared" si="177"/>
        <v>0</v>
      </c>
      <c r="Z1328" s="690"/>
      <c r="AA1328" s="690"/>
      <c r="AB1328" s="695">
        <f t="shared" si="178"/>
        <v>0</v>
      </c>
      <c r="AC1328" s="1035">
        <v>97299480</v>
      </c>
      <c r="AD1328" s="690">
        <v>102944100</v>
      </c>
      <c r="AE1328" s="1025">
        <v>21083135</v>
      </c>
      <c r="AF1328" s="1030"/>
      <c r="AG1328" s="690">
        <v>23647884</v>
      </c>
      <c r="AH1328" s="690"/>
      <c r="AI1328" s="696">
        <f t="shared" si="179"/>
        <v>118382615</v>
      </c>
      <c r="AJ1328" s="697">
        <f t="shared" si="180"/>
        <v>126591984</v>
      </c>
    </row>
    <row r="1329" spans="1:36" s="700" customFormat="1" ht="12.75" customHeight="1">
      <c r="A1329" s="842" t="s">
        <v>205</v>
      </c>
      <c r="B1329" s="842" t="s">
        <v>429</v>
      </c>
      <c r="C1329" s="848" t="s">
        <v>1037</v>
      </c>
      <c r="D1329" s="848"/>
      <c r="E1329" s="849">
        <v>435000</v>
      </c>
      <c r="F1329" s="850">
        <v>15</v>
      </c>
      <c r="G1329" s="1025"/>
      <c r="H1329" s="690"/>
      <c r="I1329" s="1030"/>
      <c r="J1329" s="690"/>
      <c r="K1329" s="1030"/>
      <c r="L1329" s="690"/>
      <c r="M1329" s="1025"/>
      <c r="N1329" s="1030"/>
      <c r="O1329" s="692">
        <f t="shared" si="173"/>
        <v>0</v>
      </c>
      <c r="P1329" s="690"/>
      <c r="Q1329" s="690"/>
      <c r="R1329" s="691">
        <f t="shared" si="174"/>
        <v>0</v>
      </c>
      <c r="S1329" s="692">
        <f t="shared" si="175"/>
        <v>0</v>
      </c>
      <c r="T1329" s="693">
        <f t="shared" si="176"/>
        <v>0</v>
      </c>
      <c r="U1329" s="1035"/>
      <c r="V1329" s="690"/>
      <c r="W1329" s="1025"/>
      <c r="X1329" s="1030"/>
      <c r="Y1329" s="694">
        <f t="shared" si="177"/>
        <v>0</v>
      </c>
      <c r="Z1329" s="690"/>
      <c r="AA1329" s="690"/>
      <c r="AB1329" s="695">
        <f t="shared" si="178"/>
        <v>0</v>
      </c>
      <c r="AC1329" s="1035">
        <v>60366946</v>
      </c>
      <c r="AD1329" s="690">
        <v>59353825</v>
      </c>
      <c r="AE1329" s="1025">
        <v>7797913</v>
      </c>
      <c r="AF1329" s="1030"/>
      <c r="AG1329" s="690">
        <v>8628584</v>
      </c>
      <c r="AH1329" s="690"/>
      <c r="AI1329" s="696">
        <f t="shared" si="179"/>
        <v>68164859</v>
      </c>
      <c r="AJ1329" s="697">
        <f t="shared" si="180"/>
        <v>67982409</v>
      </c>
    </row>
    <row r="1330" spans="1:36" s="700" customFormat="1" ht="12.75" customHeight="1">
      <c r="A1330" s="842" t="s">
        <v>205</v>
      </c>
      <c r="B1330" s="842" t="s">
        <v>401</v>
      </c>
      <c r="C1330" s="856" t="s">
        <v>838</v>
      </c>
      <c r="D1330" s="856"/>
      <c r="E1330" s="844"/>
      <c r="F1330" s="845"/>
      <c r="G1330" s="1025"/>
      <c r="H1330" s="690"/>
      <c r="I1330" s="1030"/>
      <c r="J1330" s="690"/>
      <c r="K1330" s="1030"/>
      <c r="L1330" s="690"/>
      <c r="M1330" s="1025"/>
      <c r="N1330" s="1030"/>
      <c r="O1330" s="692">
        <f t="shared" si="173"/>
        <v>0</v>
      </c>
      <c r="P1330" s="690"/>
      <c r="Q1330" s="690"/>
      <c r="R1330" s="691">
        <f t="shared" si="174"/>
        <v>0</v>
      </c>
      <c r="S1330" s="692">
        <f t="shared" si="175"/>
        <v>0</v>
      </c>
      <c r="T1330" s="693">
        <f t="shared" si="176"/>
        <v>0</v>
      </c>
      <c r="U1330" s="1035"/>
      <c r="V1330" s="690"/>
      <c r="W1330" s="1025"/>
      <c r="X1330" s="1030"/>
      <c r="Y1330" s="694">
        <f t="shared" si="177"/>
        <v>0</v>
      </c>
      <c r="Z1330" s="690"/>
      <c r="AA1330" s="690"/>
      <c r="AB1330" s="695">
        <f t="shared" si="178"/>
        <v>0</v>
      </c>
      <c r="AC1330" s="1035"/>
      <c r="AD1330" s="690"/>
      <c r="AE1330" s="1025"/>
      <c r="AF1330" s="1030"/>
      <c r="AG1330" s="690"/>
      <c r="AH1330" s="690"/>
      <c r="AI1330" s="696">
        <f t="shared" si="179"/>
        <v>0</v>
      </c>
      <c r="AJ1330" s="697">
        <f t="shared" si="180"/>
        <v>0</v>
      </c>
    </row>
    <row r="1331" spans="1:36" s="700" customFormat="1" ht="12.75" customHeight="1">
      <c r="A1331" s="842" t="s">
        <v>205</v>
      </c>
      <c r="B1331" s="842" t="s">
        <v>402</v>
      </c>
      <c r="C1331" s="846" t="s">
        <v>451</v>
      </c>
      <c r="D1331" s="846"/>
      <c r="E1331" s="844"/>
      <c r="F1331" s="845"/>
      <c r="G1331" s="1025"/>
      <c r="H1331" s="690"/>
      <c r="I1331" s="1030"/>
      <c r="J1331" s="690"/>
      <c r="K1331" s="1030"/>
      <c r="L1331" s="690"/>
      <c r="M1331" s="1025"/>
      <c r="N1331" s="1030"/>
      <c r="O1331" s="692">
        <f t="shared" si="173"/>
        <v>0</v>
      </c>
      <c r="P1331" s="690"/>
      <c r="Q1331" s="690"/>
      <c r="R1331" s="691">
        <f t="shared" si="174"/>
        <v>0</v>
      </c>
      <c r="S1331" s="692">
        <f t="shared" si="175"/>
        <v>0</v>
      </c>
      <c r="T1331" s="693">
        <f t="shared" si="176"/>
        <v>0</v>
      </c>
      <c r="U1331" s="1035"/>
      <c r="V1331" s="690"/>
      <c r="W1331" s="1025"/>
      <c r="X1331" s="1030"/>
      <c r="Y1331" s="694">
        <f t="shared" si="177"/>
        <v>0</v>
      </c>
      <c r="Z1331" s="690"/>
      <c r="AA1331" s="690"/>
      <c r="AB1331" s="695">
        <f t="shared" si="178"/>
        <v>0</v>
      </c>
      <c r="AC1331" s="1035"/>
      <c r="AD1331" s="690"/>
      <c r="AE1331" s="1025"/>
      <c r="AF1331" s="1030"/>
      <c r="AG1331" s="690"/>
      <c r="AH1331" s="690"/>
      <c r="AI1331" s="696">
        <f t="shared" si="179"/>
        <v>0</v>
      </c>
      <c r="AJ1331" s="697">
        <f t="shared" si="180"/>
        <v>0</v>
      </c>
    </row>
    <row r="1332" spans="1:36" s="700" customFormat="1" ht="12.75" customHeight="1">
      <c r="A1332" s="842" t="s">
        <v>205</v>
      </c>
      <c r="B1332" s="842" t="s">
        <v>402</v>
      </c>
      <c r="C1332" s="847" t="s">
        <v>1038</v>
      </c>
      <c r="D1332" s="847"/>
      <c r="E1332" s="844"/>
      <c r="F1332" s="845"/>
      <c r="G1332" s="1025"/>
      <c r="H1332" s="690"/>
      <c r="I1332" s="1030">
        <v>822668</v>
      </c>
      <c r="J1332" s="690">
        <v>574431</v>
      </c>
      <c r="K1332" s="1030"/>
      <c r="L1332" s="690"/>
      <c r="M1332" s="1025"/>
      <c r="N1332" s="1030"/>
      <c r="O1332" s="692">
        <f t="shared" si="173"/>
        <v>0</v>
      </c>
      <c r="P1332" s="690"/>
      <c r="Q1332" s="690"/>
      <c r="R1332" s="691">
        <f t="shared" si="174"/>
        <v>0</v>
      </c>
      <c r="S1332" s="692">
        <f t="shared" si="175"/>
        <v>822668</v>
      </c>
      <c r="T1332" s="693">
        <f t="shared" si="176"/>
        <v>574431</v>
      </c>
      <c r="U1332" s="1035"/>
      <c r="V1332" s="690"/>
      <c r="W1332" s="1025"/>
      <c r="X1332" s="1030"/>
      <c r="Y1332" s="694">
        <f t="shared" si="177"/>
        <v>0</v>
      </c>
      <c r="Z1332" s="690"/>
      <c r="AA1332" s="690"/>
      <c r="AB1332" s="695">
        <f t="shared" si="178"/>
        <v>0</v>
      </c>
      <c r="AC1332" s="1035"/>
      <c r="AD1332" s="690"/>
      <c r="AE1332" s="1025"/>
      <c r="AF1332" s="1030"/>
      <c r="AG1332" s="690"/>
      <c r="AH1332" s="690"/>
      <c r="AI1332" s="696">
        <f t="shared" si="179"/>
        <v>822668</v>
      </c>
      <c r="AJ1332" s="697">
        <f t="shared" si="180"/>
        <v>574431</v>
      </c>
    </row>
    <row r="1333" spans="1:36" s="700" customFormat="1" ht="12.75" customHeight="1">
      <c r="A1333" s="842" t="s">
        <v>205</v>
      </c>
      <c r="B1333" s="842" t="s">
        <v>406</v>
      </c>
      <c r="C1333" s="847" t="s">
        <v>1039</v>
      </c>
      <c r="D1333" s="847"/>
      <c r="E1333" s="844"/>
      <c r="F1333" s="845"/>
      <c r="G1333" s="1025"/>
      <c r="H1333" s="690"/>
      <c r="I1333" s="1030"/>
      <c r="J1333" s="690"/>
      <c r="K1333" s="1030"/>
      <c r="L1333" s="690"/>
      <c r="M1333" s="1025"/>
      <c r="N1333" s="1030"/>
      <c r="O1333" s="692">
        <f t="shared" si="173"/>
        <v>0</v>
      </c>
      <c r="P1333" s="690"/>
      <c r="Q1333" s="690"/>
      <c r="R1333" s="691">
        <f t="shared" si="174"/>
        <v>0</v>
      </c>
      <c r="S1333" s="692">
        <f t="shared" si="175"/>
        <v>0</v>
      </c>
      <c r="T1333" s="693">
        <f t="shared" si="176"/>
        <v>0</v>
      </c>
      <c r="U1333" s="1035"/>
      <c r="V1333" s="690"/>
      <c r="W1333" s="1025"/>
      <c r="X1333" s="1030"/>
      <c r="Y1333" s="694">
        <f t="shared" si="177"/>
        <v>0</v>
      </c>
      <c r="Z1333" s="690"/>
      <c r="AA1333" s="690"/>
      <c r="AB1333" s="695">
        <f t="shared" si="178"/>
        <v>0</v>
      </c>
      <c r="AC1333" s="1035"/>
      <c r="AD1333" s="690"/>
      <c r="AE1333" s="1025"/>
      <c r="AF1333" s="1030"/>
      <c r="AG1333" s="690"/>
      <c r="AH1333" s="690"/>
      <c r="AI1333" s="696">
        <f t="shared" si="179"/>
        <v>0</v>
      </c>
      <c r="AJ1333" s="697">
        <f t="shared" si="180"/>
        <v>0</v>
      </c>
    </row>
    <row r="1334" spans="1:36" s="700" customFormat="1" ht="12.75" customHeight="1">
      <c r="A1334" s="842" t="s">
        <v>205</v>
      </c>
      <c r="B1334" s="842" t="s">
        <v>406</v>
      </c>
      <c r="C1334" s="847" t="s">
        <v>1040</v>
      </c>
      <c r="D1334" s="847"/>
      <c r="E1334" s="858"/>
      <c r="F1334" s="845"/>
      <c r="G1334" s="1025"/>
      <c r="H1334" s="690"/>
      <c r="I1334" s="1030">
        <v>2741280</v>
      </c>
      <c r="J1334" s="690"/>
      <c r="K1334" s="1030"/>
      <c r="L1334" s="690"/>
      <c r="M1334" s="1025"/>
      <c r="N1334" s="1030"/>
      <c r="O1334" s="692">
        <f t="shared" si="173"/>
        <v>0</v>
      </c>
      <c r="P1334" s="690"/>
      <c r="Q1334" s="690"/>
      <c r="R1334" s="691">
        <f t="shared" si="174"/>
        <v>0</v>
      </c>
      <c r="S1334" s="692">
        <f t="shared" si="175"/>
        <v>2741280</v>
      </c>
      <c r="T1334" s="693">
        <f t="shared" si="176"/>
        <v>0</v>
      </c>
      <c r="U1334" s="1035"/>
      <c r="V1334" s="690"/>
      <c r="W1334" s="1025"/>
      <c r="X1334" s="1030"/>
      <c r="Y1334" s="694">
        <f t="shared" si="177"/>
        <v>0</v>
      </c>
      <c r="Z1334" s="690"/>
      <c r="AA1334" s="690"/>
      <c r="AB1334" s="695">
        <f t="shared" si="178"/>
        <v>0</v>
      </c>
      <c r="AC1334" s="1035"/>
      <c r="AD1334" s="690"/>
      <c r="AE1334" s="1025"/>
      <c r="AF1334" s="1030"/>
      <c r="AG1334" s="690"/>
      <c r="AH1334" s="690"/>
      <c r="AI1334" s="696">
        <f t="shared" si="179"/>
        <v>2741280</v>
      </c>
      <c r="AJ1334" s="697">
        <f t="shared" si="180"/>
        <v>0</v>
      </c>
    </row>
    <row r="1335" spans="1:36" s="700" customFormat="1" ht="12.75" customHeight="1">
      <c r="A1335" s="842" t="s">
        <v>205</v>
      </c>
      <c r="B1335" s="842" t="s">
        <v>406</v>
      </c>
      <c r="C1335" s="847" t="s">
        <v>1041</v>
      </c>
      <c r="D1335" s="847"/>
      <c r="E1335" s="858"/>
      <c r="F1335" s="845"/>
      <c r="G1335" s="1025"/>
      <c r="H1335" s="690"/>
      <c r="I1335" s="1030">
        <v>13720891</v>
      </c>
      <c r="J1335" s="690">
        <v>12019252</v>
      </c>
      <c r="K1335" s="1030"/>
      <c r="L1335" s="690"/>
      <c r="M1335" s="1025"/>
      <c r="N1335" s="1030"/>
      <c r="O1335" s="692">
        <f t="shared" si="173"/>
        <v>0</v>
      </c>
      <c r="P1335" s="690"/>
      <c r="Q1335" s="690"/>
      <c r="R1335" s="691">
        <f t="shared" si="174"/>
        <v>0</v>
      </c>
      <c r="S1335" s="692">
        <f t="shared" si="175"/>
        <v>13720891</v>
      </c>
      <c r="T1335" s="693">
        <f t="shared" si="176"/>
        <v>12019252</v>
      </c>
      <c r="U1335" s="1035"/>
      <c r="V1335" s="690"/>
      <c r="W1335" s="1025"/>
      <c r="X1335" s="1030"/>
      <c r="Y1335" s="694">
        <f t="shared" si="177"/>
        <v>0</v>
      </c>
      <c r="Z1335" s="690"/>
      <c r="AA1335" s="690"/>
      <c r="AB1335" s="695">
        <f t="shared" si="178"/>
        <v>0</v>
      </c>
      <c r="AC1335" s="1035"/>
      <c r="AD1335" s="690"/>
      <c r="AE1335" s="1025"/>
      <c r="AF1335" s="1030"/>
      <c r="AG1335" s="690"/>
      <c r="AH1335" s="690"/>
      <c r="AI1335" s="696">
        <f t="shared" si="179"/>
        <v>13720891</v>
      </c>
      <c r="AJ1335" s="697">
        <f t="shared" si="180"/>
        <v>12019252</v>
      </c>
    </row>
    <row r="1336" spans="1:36" s="700" customFormat="1" ht="12.75" customHeight="1">
      <c r="A1336" s="842" t="s">
        <v>205</v>
      </c>
      <c r="B1336" s="842" t="s">
        <v>431</v>
      </c>
      <c r="C1336" s="856" t="s">
        <v>939</v>
      </c>
      <c r="D1336" s="856"/>
      <c r="E1336" s="844"/>
      <c r="F1336" s="845"/>
      <c r="G1336" s="1025"/>
      <c r="H1336" s="690"/>
      <c r="I1336" s="1030"/>
      <c r="J1336" s="690"/>
      <c r="K1336" s="1030"/>
      <c r="L1336" s="690"/>
      <c r="M1336" s="1025"/>
      <c r="N1336" s="1030"/>
      <c r="O1336" s="692">
        <f t="shared" si="173"/>
        <v>0</v>
      </c>
      <c r="P1336" s="690"/>
      <c r="Q1336" s="690"/>
      <c r="R1336" s="691">
        <f t="shared" si="174"/>
        <v>0</v>
      </c>
      <c r="S1336" s="692">
        <f t="shared" si="175"/>
        <v>0</v>
      </c>
      <c r="T1336" s="693">
        <f t="shared" si="176"/>
        <v>0</v>
      </c>
      <c r="U1336" s="1035"/>
      <c r="V1336" s="690"/>
      <c r="W1336" s="1025"/>
      <c r="X1336" s="1030"/>
      <c r="Y1336" s="694">
        <f t="shared" si="177"/>
        <v>0</v>
      </c>
      <c r="Z1336" s="690"/>
      <c r="AA1336" s="690"/>
      <c r="AB1336" s="695">
        <f t="shared" si="178"/>
        <v>0</v>
      </c>
      <c r="AC1336" s="1035"/>
      <c r="AD1336" s="690"/>
      <c r="AE1336" s="1025"/>
      <c r="AF1336" s="1030"/>
      <c r="AG1336" s="690"/>
      <c r="AH1336" s="690"/>
      <c r="AI1336" s="696">
        <f t="shared" si="179"/>
        <v>0</v>
      </c>
      <c r="AJ1336" s="697">
        <f t="shared" si="180"/>
        <v>0</v>
      </c>
    </row>
    <row r="1337" spans="1:36" s="700" customFormat="1" ht="12.75" customHeight="1">
      <c r="A1337" s="842" t="s">
        <v>205</v>
      </c>
      <c r="B1337" s="842" t="s">
        <v>431</v>
      </c>
      <c r="C1337" s="847" t="s">
        <v>1042</v>
      </c>
      <c r="D1337" s="847"/>
      <c r="E1337" s="844"/>
      <c r="F1337" s="845"/>
      <c r="G1337" s="1025"/>
      <c r="H1337" s="690"/>
      <c r="I1337" s="1030">
        <v>12951011</v>
      </c>
      <c r="J1337" s="690">
        <v>671349</v>
      </c>
      <c r="K1337" s="1030"/>
      <c r="L1337" s="690"/>
      <c r="M1337" s="1025"/>
      <c r="N1337" s="1030"/>
      <c r="O1337" s="692">
        <f t="shared" si="173"/>
        <v>0</v>
      </c>
      <c r="P1337" s="690"/>
      <c r="Q1337" s="690"/>
      <c r="R1337" s="691">
        <f t="shared" si="174"/>
        <v>0</v>
      </c>
      <c r="S1337" s="692">
        <f t="shared" si="175"/>
        <v>12951011</v>
      </c>
      <c r="T1337" s="693">
        <f t="shared" si="176"/>
        <v>671349</v>
      </c>
      <c r="U1337" s="1035"/>
      <c r="V1337" s="690"/>
      <c r="W1337" s="1025"/>
      <c r="X1337" s="1030"/>
      <c r="Y1337" s="694">
        <f t="shared" si="177"/>
        <v>0</v>
      </c>
      <c r="Z1337" s="690"/>
      <c r="AA1337" s="690"/>
      <c r="AB1337" s="695">
        <f t="shared" si="178"/>
        <v>0</v>
      </c>
      <c r="AC1337" s="1035"/>
      <c r="AD1337" s="690"/>
      <c r="AE1337" s="1025"/>
      <c r="AF1337" s="1030"/>
      <c r="AG1337" s="690"/>
      <c r="AH1337" s="690"/>
      <c r="AI1337" s="696">
        <f t="shared" si="179"/>
        <v>12951011</v>
      </c>
      <c r="AJ1337" s="697">
        <f t="shared" si="180"/>
        <v>671349</v>
      </c>
    </row>
    <row r="1338" spans="1:36" s="700" customFormat="1" ht="12.75" customHeight="1">
      <c r="A1338" s="842" t="s">
        <v>205</v>
      </c>
      <c r="B1338" s="842" t="s">
        <v>431</v>
      </c>
      <c r="C1338" s="847" t="s">
        <v>1043</v>
      </c>
      <c r="D1338" s="847"/>
      <c r="E1338" s="844"/>
      <c r="F1338" s="845"/>
      <c r="G1338" s="1025"/>
      <c r="H1338" s="690"/>
      <c r="I1338" s="1030">
        <v>707496</v>
      </c>
      <c r="J1338" s="690">
        <v>500000</v>
      </c>
      <c r="K1338" s="1030"/>
      <c r="L1338" s="690"/>
      <c r="M1338" s="1025"/>
      <c r="N1338" s="1030"/>
      <c r="O1338" s="692">
        <f t="shared" si="173"/>
        <v>0</v>
      </c>
      <c r="P1338" s="690"/>
      <c r="Q1338" s="690"/>
      <c r="R1338" s="691">
        <f t="shared" si="174"/>
        <v>0</v>
      </c>
      <c r="S1338" s="692">
        <f t="shared" si="175"/>
        <v>707496</v>
      </c>
      <c r="T1338" s="693">
        <f t="shared" si="176"/>
        <v>500000</v>
      </c>
      <c r="U1338" s="1035"/>
      <c r="V1338" s="690"/>
      <c r="W1338" s="1025"/>
      <c r="X1338" s="1030"/>
      <c r="Y1338" s="694">
        <f t="shared" si="177"/>
        <v>0</v>
      </c>
      <c r="Z1338" s="690"/>
      <c r="AA1338" s="690"/>
      <c r="AB1338" s="695">
        <f t="shared" si="178"/>
        <v>0</v>
      </c>
      <c r="AC1338" s="1035"/>
      <c r="AD1338" s="690"/>
      <c r="AE1338" s="1025"/>
      <c r="AF1338" s="1030"/>
      <c r="AG1338" s="690"/>
      <c r="AH1338" s="690"/>
      <c r="AI1338" s="696">
        <f t="shared" si="179"/>
        <v>707496</v>
      </c>
      <c r="AJ1338" s="697">
        <f t="shared" si="180"/>
        <v>500000</v>
      </c>
    </row>
    <row r="1339" spans="1:36" s="700" customFormat="1" ht="12.75" customHeight="1">
      <c r="A1339" s="842" t="s">
        <v>205</v>
      </c>
      <c r="B1339" s="842" t="s">
        <v>431</v>
      </c>
      <c r="C1339" s="847" t="s">
        <v>1044</v>
      </c>
      <c r="D1339" s="847"/>
      <c r="E1339" s="844"/>
      <c r="F1339" s="845"/>
      <c r="G1339" s="1025"/>
      <c r="H1339" s="690"/>
      <c r="I1339" s="1030">
        <v>2737601</v>
      </c>
      <c r="J1339" s="690">
        <v>650000</v>
      </c>
      <c r="K1339" s="1030"/>
      <c r="L1339" s="690"/>
      <c r="M1339" s="1025"/>
      <c r="N1339" s="1030"/>
      <c r="O1339" s="692">
        <f t="shared" si="173"/>
        <v>0</v>
      </c>
      <c r="P1339" s="690"/>
      <c r="Q1339" s="690"/>
      <c r="R1339" s="691">
        <f t="shared" si="174"/>
        <v>0</v>
      </c>
      <c r="S1339" s="692">
        <f t="shared" si="175"/>
        <v>2737601</v>
      </c>
      <c r="T1339" s="693">
        <f t="shared" si="176"/>
        <v>650000</v>
      </c>
      <c r="U1339" s="1035"/>
      <c r="V1339" s="690"/>
      <c r="W1339" s="1025"/>
      <c r="X1339" s="1030"/>
      <c r="Y1339" s="694">
        <f t="shared" si="177"/>
        <v>0</v>
      </c>
      <c r="Z1339" s="690"/>
      <c r="AA1339" s="690"/>
      <c r="AB1339" s="695">
        <f t="shared" si="178"/>
        <v>0</v>
      </c>
      <c r="AC1339" s="1035"/>
      <c r="AD1339" s="690"/>
      <c r="AE1339" s="1025"/>
      <c r="AF1339" s="1030"/>
      <c r="AG1339" s="690"/>
      <c r="AH1339" s="690"/>
      <c r="AI1339" s="696">
        <f t="shared" si="179"/>
        <v>2737601</v>
      </c>
      <c r="AJ1339" s="697">
        <f t="shared" si="180"/>
        <v>650000</v>
      </c>
    </row>
    <row r="1340" spans="1:36" s="700" customFormat="1" ht="12.75" customHeight="1">
      <c r="A1340" s="842" t="s">
        <v>205</v>
      </c>
      <c r="B1340" s="842" t="s">
        <v>431</v>
      </c>
      <c r="C1340" s="847" t="s">
        <v>1045</v>
      </c>
      <c r="D1340" s="847"/>
      <c r="E1340" s="844"/>
      <c r="F1340" s="845"/>
      <c r="G1340" s="1025"/>
      <c r="H1340" s="690"/>
      <c r="I1340" s="1030">
        <v>1990255</v>
      </c>
      <c r="J1340" s="690">
        <v>0</v>
      </c>
      <c r="K1340" s="1030"/>
      <c r="L1340" s="690"/>
      <c r="M1340" s="1025"/>
      <c r="N1340" s="1030"/>
      <c r="O1340" s="692">
        <f t="shared" si="173"/>
        <v>0</v>
      </c>
      <c r="P1340" s="690"/>
      <c r="Q1340" s="690"/>
      <c r="R1340" s="691">
        <f t="shared" si="174"/>
        <v>0</v>
      </c>
      <c r="S1340" s="692">
        <f t="shared" si="175"/>
        <v>1990255</v>
      </c>
      <c r="T1340" s="693">
        <f t="shared" si="176"/>
        <v>0</v>
      </c>
      <c r="U1340" s="1035"/>
      <c r="V1340" s="690"/>
      <c r="W1340" s="1025"/>
      <c r="X1340" s="1030"/>
      <c r="Y1340" s="694">
        <f t="shared" si="177"/>
        <v>0</v>
      </c>
      <c r="Z1340" s="690"/>
      <c r="AA1340" s="690"/>
      <c r="AB1340" s="695">
        <f t="shared" si="178"/>
        <v>0</v>
      </c>
      <c r="AC1340" s="1035"/>
      <c r="AD1340" s="690"/>
      <c r="AE1340" s="1025"/>
      <c r="AF1340" s="1030"/>
      <c r="AG1340" s="690"/>
      <c r="AH1340" s="690"/>
      <c r="AI1340" s="696">
        <f t="shared" si="179"/>
        <v>1990255</v>
      </c>
      <c r="AJ1340" s="697">
        <f t="shared" si="180"/>
        <v>0</v>
      </c>
    </row>
    <row r="1341" spans="1:36" s="700" customFormat="1" ht="12.75" customHeight="1">
      <c r="A1341" s="842" t="s">
        <v>205</v>
      </c>
      <c r="B1341" s="842" t="s">
        <v>431</v>
      </c>
      <c r="C1341" s="847" t="s">
        <v>1046</v>
      </c>
      <c r="D1341" s="847"/>
      <c r="E1341" s="844"/>
      <c r="F1341" s="845"/>
      <c r="G1341" s="1025"/>
      <c r="H1341" s="690"/>
      <c r="I1341" s="1030">
        <v>1100000</v>
      </c>
      <c r="J1341" s="690">
        <v>0</v>
      </c>
      <c r="K1341" s="1030"/>
      <c r="L1341" s="690"/>
      <c r="M1341" s="1025"/>
      <c r="N1341" s="1030"/>
      <c r="O1341" s="692">
        <f t="shared" si="173"/>
        <v>0</v>
      </c>
      <c r="P1341" s="690"/>
      <c r="Q1341" s="690"/>
      <c r="R1341" s="691">
        <f t="shared" si="174"/>
        <v>0</v>
      </c>
      <c r="S1341" s="692">
        <f t="shared" si="175"/>
        <v>1100000</v>
      </c>
      <c r="T1341" s="693">
        <f t="shared" si="176"/>
        <v>0</v>
      </c>
      <c r="U1341" s="1035"/>
      <c r="V1341" s="690"/>
      <c r="W1341" s="1025"/>
      <c r="X1341" s="1030"/>
      <c r="Y1341" s="694">
        <f t="shared" si="177"/>
        <v>0</v>
      </c>
      <c r="Z1341" s="690"/>
      <c r="AA1341" s="690"/>
      <c r="AB1341" s="695">
        <f t="shared" si="178"/>
        <v>0</v>
      </c>
      <c r="AC1341" s="1035"/>
      <c r="AD1341" s="690"/>
      <c r="AE1341" s="1025"/>
      <c r="AF1341" s="1030"/>
      <c r="AG1341" s="690"/>
      <c r="AH1341" s="690"/>
      <c r="AI1341" s="696">
        <f t="shared" si="179"/>
        <v>1100000</v>
      </c>
      <c r="AJ1341" s="697">
        <f t="shared" si="180"/>
        <v>0</v>
      </c>
    </row>
    <row r="1342" spans="1:36" s="700" customFormat="1" ht="12.75" customHeight="1">
      <c r="A1342" s="842" t="s">
        <v>205</v>
      </c>
      <c r="B1342" s="842" t="s">
        <v>431</v>
      </c>
      <c r="C1342" s="847" t="s">
        <v>1047</v>
      </c>
      <c r="D1342" s="847"/>
      <c r="E1342" s="844"/>
      <c r="F1342" s="845"/>
      <c r="G1342" s="1025"/>
      <c r="H1342" s="690"/>
      <c r="I1342" s="1030">
        <v>5880000</v>
      </c>
      <c r="J1342" s="690">
        <v>5880000</v>
      </c>
      <c r="K1342" s="1030"/>
      <c r="L1342" s="690"/>
      <c r="M1342" s="1025"/>
      <c r="N1342" s="1030"/>
      <c r="O1342" s="692">
        <f t="shared" si="173"/>
        <v>0</v>
      </c>
      <c r="P1342" s="690"/>
      <c r="Q1342" s="690"/>
      <c r="R1342" s="691">
        <f t="shared" si="174"/>
        <v>0</v>
      </c>
      <c r="S1342" s="692">
        <f t="shared" si="175"/>
        <v>5880000</v>
      </c>
      <c r="T1342" s="693">
        <f t="shared" si="176"/>
        <v>5880000</v>
      </c>
      <c r="U1342" s="1035"/>
      <c r="V1342" s="690"/>
      <c r="W1342" s="1025"/>
      <c r="X1342" s="1030"/>
      <c r="Y1342" s="694">
        <f t="shared" si="177"/>
        <v>0</v>
      </c>
      <c r="Z1342" s="690"/>
      <c r="AA1342" s="690"/>
      <c r="AB1342" s="695">
        <f t="shared" si="178"/>
        <v>0</v>
      </c>
      <c r="AC1342" s="1035"/>
      <c r="AD1342" s="690"/>
      <c r="AE1342" s="1025"/>
      <c r="AF1342" s="1030"/>
      <c r="AG1342" s="690"/>
      <c r="AH1342" s="690"/>
      <c r="AI1342" s="696">
        <f t="shared" si="179"/>
        <v>5880000</v>
      </c>
      <c r="AJ1342" s="697">
        <f t="shared" si="180"/>
        <v>5880000</v>
      </c>
    </row>
    <row r="1343" spans="1:36" s="700" customFormat="1" ht="12.75" customHeight="1">
      <c r="A1343" s="842" t="s">
        <v>205</v>
      </c>
      <c r="B1343" s="842" t="s">
        <v>431</v>
      </c>
      <c r="C1343" s="847" t="s">
        <v>1048</v>
      </c>
      <c r="D1343" s="847"/>
      <c r="E1343" s="844"/>
      <c r="F1343" s="845"/>
      <c r="G1343" s="1025"/>
      <c r="H1343" s="690"/>
      <c r="I1343" s="1030">
        <v>1000000</v>
      </c>
      <c r="J1343" s="690">
        <v>1000000</v>
      </c>
      <c r="K1343" s="1030"/>
      <c r="L1343" s="690"/>
      <c r="M1343" s="1025"/>
      <c r="N1343" s="1030"/>
      <c r="O1343" s="692">
        <f t="shared" si="173"/>
        <v>0</v>
      </c>
      <c r="P1343" s="690"/>
      <c r="Q1343" s="690"/>
      <c r="R1343" s="691">
        <f t="shared" si="174"/>
        <v>0</v>
      </c>
      <c r="S1343" s="692">
        <f t="shared" si="175"/>
        <v>1000000</v>
      </c>
      <c r="T1343" s="693">
        <f t="shared" si="176"/>
        <v>1000000</v>
      </c>
      <c r="U1343" s="1035"/>
      <c r="V1343" s="690"/>
      <c r="W1343" s="1025"/>
      <c r="X1343" s="1030"/>
      <c r="Y1343" s="694">
        <f t="shared" si="177"/>
        <v>0</v>
      </c>
      <c r="Z1343" s="690"/>
      <c r="AA1343" s="690"/>
      <c r="AB1343" s="695">
        <f t="shared" si="178"/>
        <v>0</v>
      </c>
      <c r="AC1343" s="1035"/>
      <c r="AD1343" s="690"/>
      <c r="AE1343" s="1025"/>
      <c r="AF1343" s="1030"/>
      <c r="AG1343" s="690"/>
      <c r="AH1343" s="690"/>
      <c r="AI1343" s="696">
        <f t="shared" si="179"/>
        <v>1000000</v>
      </c>
      <c r="AJ1343" s="697">
        <f t="shared" si="180"/>
        <v>1000000</v>
      </c>
    </row>
    <row r="1344" spans="1:36" s="700" customFormat="1" ht="12.75" customHeight="1">
      <c r="A1344" s="842" t="s">
        <v>205</v>
      </c>
      <c r="B1344" s="842" t="s">
        <v>431</v>
      </c>
      <c r="C1344" s="847" t="s">
        <v>1049</v>
      </c>
      <c r="D1344" s="847"/>
      <c r="E1344" s="844"/>
      <c r="F1344" s="845"/>
      <c r="G1344" s="1025"/>
      <c r="H1344" s="690"/>
      <c r="I1344" s="1030">
        <v>212600</v>
      </c>
      <c r="J1344" s="690">
        <v>0</v>
      </c>
      <c r="K1344" s="1030"/>
      <c r="L1344" s="690"/>
      <c r="M1344" s="1025"/>
      <c r="N1344" s="1030"/>
      <c r="O1344" s="692">
        <f t="shared" si="173"/>
        <v>0</v>
      </c>
      <c r="P1344" s="690"/>
      <c r="Q1344" s="690"/>
      <c r="R1344" s="691">
        <f t="shared" si="174"/>
        <v>0</v>
      </c>
      <c r="S1344" s="692">
        <f t="shared" si="175"/>
        <v>212600</v>
      </c>
      <c r="T1344" s="693">
        <f t="shared" si="176"/>
        <v>0</v>
      </c>
      <c r="U1344" s="1035"/>
      <c r="V1344" s="690"/>
      <c r="W1344" s="1025"/>
      <c r="X1344" s="1030"/>
      <c r="Y1344" s="694">
        <f t="shared" si="177"/>
        <v>0</v>
      </c>
      <c r="Z1344" s="690"/>
      <c r="AA1344" s="690"/>
      <c r="AB1344" s="695">
        <f t="shared" si="178"/>
        <v>0</v>
      </c>
      <c r="AC1344" s="1035"/>
      <c r="AD1344" s="690"/>
      <c r="AE1344" s="1025"/>
      <c r="AF1344" s="1030"/>
      <c r="AG1344" s="690"/>
      <c r="AH1344" s="690"/>
      <c r="AI1344" s="696">
        <f t="shared" si="179"/>
        <v>212600</v>
      </c>
      <c r="AJ1344" s="697">
        <f t="shared" si="180"/>
        <v>0</v>
      </c>
    </row>
    <row r="1345" spans="1:36" s="700" customFormat="1" ht="12.75" customHeight="1">
      <c r="A1345" s="842" t="s">
        <v>205</v>
      </c>
      <c r="B1345" s="842" t="s">
        <v>431</v>
      </c>
      <c r="C1345" s="847" t="s">
        <v>1050</v>
      </c>
      <c r="D1345" s="847"/>
      <c r="E1345" s="844"/>
      <c r="F1345" s="845"/>
      <c r="G1345" s="1025"/>
      <c r="H1345" s="690"/>
      <c r="I1345" s="1030">
        <v>5152400</v>
      </c>
      <c r="J1345" s="690">
        <v>4582881</v>
      </c>
      <c r="K1345" s="1030"/>
      <c r="L1345" s="690"/>
      <c r="M1345" s="1025"/>
      <c r="N1345" s="1030"/>
      <c r="O1345" s="692">
        <f t="shared" si="173"/>
        <v>0</v>
      </c>
      <c r="P1345" s="690"/>
      <c r="Q1345" s="690"/>
      <c r="R1345" s="691">
        <f t="shared" si="174"/>
        <v>0</v>
      </c>
      <c r="S1345" s="692">
        <f t="shared" si="175"/>
        <v>5152400</v>
      </c>
      <c r="T1345" s="693">
        <f t="shared" si="176"/>
        <v>4582881</v>
      </c>
      <c r="U1345" s="1035"/>
      <c r="V1345" s="690"/>
      <c r="W1345" s="1025"/>
      <c r="X1345" s="1030"/>
      <c r="Y1345" s="694">
        <f t="shared" si="177"/>
        <v>0</v>
      </c>
      <c r="Z1345" s="690"/>
      <c r="AA1345" s="690"/>
      <c r="AB1345" s="695">
        <f t="shared" si="178"/>
        <v>0</v>
      </c>
      <c r="AC1345" s="1035"/>
      <c r="AD1345" s="690"/>
      <c r="AE1345" s="1025"/>
      <c r="AF1345" s="1030"/>
      <c r="AG1345" s="690"/>
      <c r="AH1345" s="690"/>
      <c r="AI1345" s="696">
        <f t="shared" si="179"/>
        <v>5152400</v>
      </c>
      <c r="AJ1345" s="697">
        <f t="shared" si="180"/>
        <v>4582881</v>
      </c>
    </row>
    <row r="1346" spans="1:36" s="700" customFormat="1" ht="12.75" customHeight="1">
      <c r="A1346" s="842" t="s">
        <v>205</v>
      </c>
      <c r="B1346" s="842" t="s">
        <v>431</v>
      </c>
      <c r="C1346" s="847" t="s">
        <v>1051</v>
      </c>
      <c r="D1346" s="847"/>
      <c r="E1346" s="844"/>
      <c r="F1346" s="845"/>
      <c r="G1346" s="1025"/>
      <c r="H1346" s="690"/>
      <c r="I1346" s="1030">
        <v>3687135</v>
      </c>
      <c r="J1346" s="690">
        <v>272060</v>
      </c>
      <c r="K1346" s="1030"/>
      <c r="L1346" s="690"/>
      <c r="M1346" s="1025"/>
      <c r="N1346" s="1030"/>
      <c r="O1346" s="692">
        <f t="shared" si="173"/>
        <v>0</v>
      </c>
      <c r="P1346" s="690"/>
      <c r="Q1346" s="690"/>
      <c r="R1346" s="691">
        <f t="shared" si="174"/>
        <v>0</v>
      </c>
      <c r="S1346" s="692">
        <f t="shared" si="175"/>
        <v>3687135</v>
      </c>
      <c r="T1346" s="693">
        <f t="shared" si="176"/>
        <v>272060</v>
      </c>
      <c r="U1346" s="1035"/>
      <c r="V1346" s="690"/>
      <c r="W1346" s="1025"/>
      <c r="X1346" s="1030"/>
      <c r="Y1346" s="694">
        <f t="shared" si="177"/>
        <v>0</v>
      </c>
      <c r="Z1346" s="690"/>
      <c r="AA1346" s="690"/>
      <c r="AB1346" s="695">
        <f t="shared" si="178"/>
        <v>0</v>
      </c>
      <c r="AC1346" s="1035"/>
      <c r="AD1346" s="690"/>
      <c r="AE1346" s="1025"/>
      <c r="AF1346" s="1030"/>
      <c r="AG1346" s="690"/>
      <c r="AH1346" s="690"/>
      <c r="AI1346" s="696">
        <f t="shared" si="179"/>
        <v>3687135</v>
      </c>
      <c r="AJ1346" s="697">
        <f t="shared" si="180"/>
        <v>272060</v>
      </c>
    </row>
    <row r="1347" spans="1:36" s="700" customFormat="1" ht="12.75" customHeight="1">
      <c r="A1347" s="842" t="s">
        <v>205</v>
      </c>
      <c r="B1347" s="842" t="s">
        <v>431</v>
      </c>
      <c r="C1347" s="847" t="s">
        <v>1052</v>
      </c>
      <c r="D1347" s="847"/>
      <c r="E1347" s="844"/>
      <c r="F1347" s="845"/>
      <c r="G1347" s="1025"/>
      <c r="H1347" s="690"/>
      <c r="I1347" s="1030">
        <v>474000</v>
      </c>
      <c r="J1347" s="690">
        <v>350000</v>
      </c>
      <c r="K1347" s="1030"/>
      <c r="L1347" s="690"/>
      <c r="M1347" s="1025"/>
      <c r="N1347" s="1030"/>
      <c r="O1347" s="692">
        <f t="shared" si="173"/>
        <v>0</v>
      </c>
      <c r="P1347" s="690"/>
      <c r="Q1347" s="690"/>
      <c r="R1347" s="691">
        <f t="shared" si="174"/>
        <v>0</v>
      </c>
      <c r="S1347" s="692">
        <f t="shared" si="175"/>
        <v>474000</v>
      </c>
      <c r="T1347" s="693">
        <f t="shared" si="176"/>
        <v>350000</v>
      </c>
      <c r="U1347" s="1035"/>
      <c r="V1347" s="690"/>
      <c r="W1347" s="1025"/>
      <c r="X1347" s="1030"/>
      <c r="Y1347" s="694">
        <f t="shared" si="177"/>
        <v>0</v>
      </c>
      <c r="Z1347" s="690"/>
      <c r="AA1347" s="690"/>
      <c r="AB1347" s="695">
        <f t="shared" si="178"/>
        <v>0</v>
      </c>
      <c r="AC1347" s="1035"/>
      <c r="AD1347" s="690"/>
      <c r="AE1347" s="1025"/>
      <c r="AF1347" s="1030"/>
      <c r="AG1347" s="690"/>
      <c r="AH1347" s="690"/>
      <c r="AI1347" s="696">
        <f t="shared" si="179"/>
        <v>474000</v>
      </c>
      <c r="AJ1347" s="697">
        <f t="shared" si="180"/>
        <v>350000</v>
      </c>
    </row>
    <row r="1348" spans="1:36" s="700" customFormat="1" ht="12.75" customHeight="1">
      <c r="A1348" s="842" t="s">
        <v>205</v>
      </c>
      <c r="B1348" s="842" t="s">
        <v>409</v>
      </c>
      <c r="C1348" s="856" t="s">
        <v>157</v>
      </c>
      <c r="D1348" s="856"/>
      <c r="E1348" s="844"/>
      <c r="F1348" s="845"/>
      <c r="G1348" s="1025"/>
      <c r="H1348" s="690"/>
      <c r="I1348" s="1030"/>
      <c r="J1348" s="690"/>
      <c r="K1348" s="1030"/>
      <c r="L1348" s="690"/>
      <c r="M1348" s="1025"/>
      <c r="N1348" s="1030"/>
      <c r="O1348" s="692">
        <f t="shared" si="173"/>
        <v>0</v>
      </c>
      <c r="P1348" s="690"/>
      <c r="Q1348" s="690"/>
      <c r="R1348" s="691">
        <f t="shared" si="174"/>
        <v>0</v>
      </c>
      <c r="S1348" s="692">
        <f t="shared" si="175"/>
        <v>0</v>
      </c>
      <c r="T1348" s="693">
        <f t="shared" si="176"/>
        <v>0</v>
      </c>
      <c r="U1348" s="1035"/>
      <c r="V1348" s="690"/>
      <c r="W1348" s="1025"/>
      <c r="X1348" s="1030"/>
      <c r="Y1348" s="694">
        <f t="shared" si="177"/>
        <v>0</v>
      </c>
      <c r="Z1348" s="690"/>
      <c r="AA1348" s="690"/>
      <c r="AB1348" s="695">
        <f t="shared" si="178"/>
        <v>0</v>
      </c>
      <c r="AC1348" s="1035"/>
      <c r="AD1348" s="690"/>
      <c r="AE1348" s="1025"/>
      <c r="AF1348" s="1030"/>
      <c r="AG1348" s="690"/>
      <c r="AH1348" s="690"/>
      <c r="AI1348" s="696">
        <f t="shared" si="179"/>
        <v>0</v>
      </c>
      <c r="AJ1348" s="697">
        <f t="shared" si="180"/>
        <v>0</v>
      </c>
    </row>
    <row r="1349" spans="1:36" s="700" customFormat="1" ht="12.75" customHeight="1">
      <c r="A1349" s="842" t="s">
        <v>205</v>
      </c>
      <c r="B1349" s="842" t="s">
        <v>410</v>
      </c>
      <c r="C1349" s="846" t="s">
        <v>200</v>
      </c>
      <c r="D1349" s="846"/>
      <c r="E1349" s="844"/>
      <c r="F1349" s="845"/>
      <c r="G1349" s="1025"/>
      <c r="H1349" s="690"/>
      <c r="I1349" s="1030"/>
      <c r="J1349" s="690"/>
      <c r="K1349" s="1030"/>
      <c r="L1349" s="690"/>
      <c r="M1349" s="1025"/>
      <c r="N1349" s="1030"/>
      <c r="O1349" s="692">
        <f t="shared" si="173"/>
        <v>0</v>
      </c>
      <c r="P1349" s="690"/>
      <c r="Q1349" s="690"/>
      <c r="R1349" s="691">
        <f t="shared" si="174"/>
        <v>0</v>
      </c>
      <c r="S1349" s="692">
        <f t="shared" si="175"/>
        <v>0</v>
      </c>
      <c r="T1349" s="693">
        <f t="shared" si="176"/>
        <v>0</v>
      </c>
      <c r="U1349" s="1035"/>
      <c r="V1349" s="690"/>
      <c r="W1349" s="1025"/>
      <c r="X1349" s="1030"/>
      <c r="Y1349" s="694">
        <f t="shared" si="177"/>
        <v>0</v>
      </c>
      <c r="Z1349" s="690"/>
      <c r="AA1349" s="690"/>
      <c r="AB1349" s="695">
        <f t="shared" si="178"/>
        <v>0</v>
      </c>
      <c r="AC1349" s="1035"/>
      <c r="AD1349" s="690"/>
      <c r="AE1349" s="1025"/>
      <c r="AF1349" s="1030"/>
      <c r="AG1349" s="690"/>
      <c r="AH1349" s="690"/>
      <c r="AI1349" s="696">
        <f t="shared" si="179"/>
        <v>0</v>
      </c>
      <c r="AJ1349" s="697">
        <f t="shared" si="180"/>
        <v>0</v>
      </c>
    </row>
    <row r="1350" spans="1:36" s="700" customFormat="1" ht="12.75" customHeight="1">
      <c r="A1350" s="842" t="s">
        <v>205</v>
      </c>
      <c r="B1350" s="842" t="s">
        <v>410</v>
      </c>
      <c r="C1350" s="847" t="s">
        <v>1053</v>
      </c>
      <c r="D1350" s="847"/>
      <c r="E1350" s="844"/>
      <c r="F1350" s="845"/>
      <c r="G1350" s="1025"/>
      <c r="H1350" s="690"/>
      <c r="I1350" s="1030"/>
      <c r="J1350" s="690"/>
      <c r="K1350" s="1030"/>
      <c r="L1350" s="690"/>
      <c r="M1350" s="1025"/>
      <c r="N1350" s="1030"/>
      <c r="O1350" s="692">
        <f t="shared" si="173"/>
        <v>0</v>
      </c>
      <c r="P1350" s="690"/>
      <c r="Q1350" s="690"/>
      <c r="R1350" s="691">
        <f t="shared" si="174"/>
        <v>0</v>
      </c>
      <c r="S1350" s="692">
        <f t="shared" si="175"/>
        <v>0</v>
      </c>
      <c r="T1350" s="693">
        <f t="shared" si="176"/>
        <v>0</v>
      </c>
      <c r="U1350" s="1035">
        <v>5737767</v>
      </c>
      <c r="V1350" s="690">
        <v>5551568</v>
      </c>
      <c r="W1350" s="1025"/>
      <c r="X1350" s="1030"/>
      <c r="Y1350" s="694">
        <f t="shared" si="177"/>
        <v>0</v>
      </c>
      <c r="Z1350" s="690"/>
      <c r="AA1350" s="690"/>
      <c r="AB1350" s="695">
        <f t="shared" si="178"/>
        <v>0</v>
      </c>
      <c r="AC1350" s="1035"/>
      <c r="AD1350" s="690"/>
      <c r="AE1350" s="1025"/>
      <c r="AF1350" s="1030"/>
      <c r="AG1350" s="690"/>
      <c r="AH1350" s="690"/>
      <c r="AI1350" s="696">
        <f t="shared" si="179"/>
        <v>5737767</v>
      </c>
      <c r="AJ1350" s="697">
        <f t="shared" si="180"/>
        <v>5551568</v>
      </c>
    </row>
    <row r="1351" spans="1:36" s="700" customFormat="1" ht="12.75" customHeight="1">
      <c r="A1351" s="842" t="s">
        <v>205</v>
      </c>
      <c r="B1351" s="842" t="s">
        <v>410</v>
      </c>
      <c r="C1351" s="847" t="s">
        <v>1054</v>
      </c>
      <c r="D1351" s="847"/>
      <c r="E1351" s="844"/>
      <c r="F1351" s="845"/>
      <c r="G1351" s="1025"/>
      <c r="H1351" s="690"/>
      <c r="I1351" s="1030"/>
      <c r="J1351" s="690"/>
      <c r="K1351" s="1030"/>
      <c r="L1351" s="690"/>
      <c r="M1351" s="1025"/>
      <c r="N1351" s="1030"/>
      <c r="O1351" s="692">
        <f t="shared" si="173"/>
        <v>0</v>
      </c>
      <c r="P1351" s="690"/>
      <c r="Q1351" s="690"/>
      <c r="R1351" s="691">
        <f t="shared" si="174"/>
        <v>0</v>
      </c>
      <c r="S1351" s="692">
        <f t="shared" si="175"/>
        <v>0</v>
      </c>
      <c r="T1351" s="693">
        <f t="shared" si="176"/>
        <v>0</v>
      </c>
      <c r="U1351" s="1035">
        <v>2702082</v>
      </c>
      <c r="V1351" s="690">
        <v>2223162</v>
      </c>
      <c r="W1351" s="1025"/>
      <c r="X1351" s="1030"/>
      <c r="Y1351" s="694">
        <f t="shared" si="177"/>
        <v>0</v>
      </c>
      <c r="Z1351" s="690"/>
      <c r="AA1351" s="690"/>
      <c r="AB1351" s="695">
        <f t="shared" si="178"/>
        <v>0</v>
      </c>
      <c r="AC1351" s="1035"/>
      <c r="AD1351" s="690"/>
      <c r="AE1351" s="1025"/>
      <c r="AF1351" s="1030"/>
      <c r="AG1351" s="690"/>
      <c r="AH1351" s="690"/>
      <c r="AI1351" s="696">
        <f t="shared" si="179"/>
        <v>2702082</v>
      </c>
      <c r="AJ1351" s="697">
        <f t="shared" si="180"/>
        <v>2223162</v>
      </c>
    </row>
    <row r="1352" spans="1:36" s="700" customFormat="1" ht="12.75" customHeight="1">
      <c r="A1352" s="842" t="s">
        <v>205</v>
      </c>
      <c r="B1352" s="842" t="s">
        <v>410</v>
      </c>
      <c r="C1352" s="847" t="s">
        <v>1055</v>
      </c>
      <c r="D1352" s="847"/>
      <c r="E1352" s="844"/>
      <c r="F1352" s="845"/>
      <c r="G1352" s="1025"/>
      <c r="H1352" s="690"/>
      <c r="I1352" s="1030"/>
      <c r="J1352" s="690"/>
      <c r="K1352" s="1030"/>
      <c r="L1352" s="690"/>
      <c r="M1352" s="1025"/>
      <c r="N1352" s="1030"/>
      <c r="O1352" s="692">
        <f t="shared" si="173"/>
        <v>0</v>
      </c>
      <c r="P1352" s="690"/>
      <c r="Q1352" s="690"/>
      <c r="R1352" s="691">
        <f t="shared" si="174"/>
        <v>0</v>
      </c>
      <c r="S1352" s="692">
        <f t="shared" si="175"/>
        <v>0</v>
      </c>
      <c r="T1352" s="693">
        <f t="shared" si="176"/>
        <v>0</v>
      </c>
      <c r="U1352" s="1035">
        <v>9660773</v>
      </c>
      <c r="V1352" s="690">
        <v>5285620</v>
      </c>
      <c r="W1352" s="1025"/>
      <c r="X1352" s="1030"/>
      <c r="Y1352" s="694">
        <f t="shared" si="177"/>
        <v>0</v>
      </c>
      <c r="Z1352" s="690"/>
      <c r="AA1352" s="690"/>
      <c r="AB1352" s="695">
        <f t="shared" si="178"/>
        <v>0</v>
      </c>
      <c r="AC1352" s="1035"/>
      <c r="AD1352" s="690"/>
      <c r="AE1352" s="1025"/>
      <c r="AF1352" s="1030"/>
      <c r="AG1352" s="690"/>
      <c r="AH1352" s="690"/>
      <c r="AI1352" s="696">
        <f t="shared" si="179"/>
        <v>9660773</v>
      </c>
      <c r="AJ1352" s="697">
        <f t="shared" si="180"/>
        <v>5285620</v>
      </c>
    </row>
    <row r="1353" spans="1:36" s="700" customFormat="1" ht="12.75" customHeight="1">
      <c r="A1353" s="842" t="s">
        <v>205</v>
      </c>
      <c r="B1353" s="842" t="s">
        <v>410</v>
      </c>
      <c r="C1353" s="847" t="s">
        <v>1056</v>
      </c>
      <c r="D1353" s="847"/>
      <c r="E1353" s="844"/>
      <c r="F1353" s="845"/>
      <c r="G1353" s="1025"/>
      <c r="H1353" s="690"/>
      <c r="I1353" s="1030"/>
      <c r="J1353" s="690"/>
      <c r="K1353" s="1030"/>
      <c r="L1353" s="690"/>
      <c r="M1353" s="1025"/>
      <c r="N1353" s="1030"/>
      <c r="O1353" s="692">
        <f t="shared" si="173"/>
        <v>0</v>
      </c>
      <c r="P1353" s="690"/>
      <c r="Q1353" s="690"/>
      <c r="R1353" s="691">
        <f t="shared" si="174"/>
        <v>0</v>
      </c>
      <c r="S1353" s="692">
        <f t="shared" si="175"/>
        <v>0</v>
      </c>
      <c r="T1353" s="693">
        <f t="shared" si="176"/>
        <v>0</v>
      </c>
      <c r="U1353" s="1035">
        <v>2268169</v>
      </c>
      <c r="V1353" s="690">
        <v>1171509</v>
      </c>
      <c r="W1353" s="1025"/>
      <c r="X1353" s="1030"/>
      <c r="Y1353" s="694">
        <f t="shared" si="177"/>
        <v>0</v>
      </c>
      <c r="Z1353" s="690"/>
      <c r="AA1353" s="690"/>
      <c r="AB1353" s="695">
        <f t="shared" si="178"/>
        <v>0</v>
      </c>
      <c r="AC1353" s="1035"/>
      <c r="AD1353" s="690"/>
      <c r="AE1353" s="1025"/>
      <c r="AF1353" s="1030"/>
      <c r="AG1353" s="690"/>
      <c r="AH1353" s="690"/>
      <c r="AI1353" s="696">
        <f t="shared" si="179"/>
        <v>2268169</v>
      </c>
      <c r="AJ1353" s="697">
        <f t="shared" si="180"/>
        <v>1171509</v>
      </c>
    </row>
    <row r="1354" spans="1:36" s="700" customFormat="1" ht="12.75" customHeight="1">
      <c r="A1354" s="842" t="s">
        <v>205</v>
      </c>
      <c r="B1354" s="842" t="s">
        <v>411</v>
      </c>
      <c r="C1354" s="846" t="s">
        <v>199</v>
      </c>
      <c r="D1354" s="846"/>
      <c r="E1354" s="844"/>
      <c r="F1354" s="845"/>
      <c r="G1354" s="1025"/>
      <c r="H1354" s="690"/>
      <c r="I1354" s="1030"/>
      <c r="J1354" s="690"/>
      <c r="K1354" s="1030"/>
      <c r="L1354" s="690"/>
      <c r="M1354" s="1025"/>
      <c r="N1354" s="1030"/>
      <c r="O1354" s="692">
        <f t="shared" ref="O1354:O1417" si="181">SUM(M1354:N1354)</f>
        <v>0</v>
      </c>
      <c r="P1354" s="690"/>
      <c r="Q1354" s="690"/>
      <c r="R1354" s="691">
        <f t="shared" ref="R1354:R1417" si="182">SUM(P1354:Q1354)</f>
        <v>0</v>
      </c>
      <c r="S1354" s="692">
        <f t="shared" ref="S1354:S1417" si="183">SUM(G1354,I1354,K1354,M1354)</f>
        <v>0</v>
      </c>
      <c r="T1354" s="693">
        <f t="shared" ref="T1354:T1417" si="184">SUM(H1354,J1354,L1354,P1354)</f>
        <v>0</v>
      </c>
      <c r="U1354" s="1035"/>
      <c r="V1354" s="690"/>
      <c r="W1354" s="1025"/>
      <c r="X1354" s="1030"/>
      <c r="Y1354" s="694">
        <f t="shared" ref="Y1354:Y1417" si="185">SUM(W1354:X1354)</f>
        <v>0</v>
      </c>
      <c r="Z1354" s="690"/>
      <c r="AA1354" s="690"/>
      <c r="AB1354" s="695">
        <f t="shared" ref="AB1354:AB1417" si="186">SUM(Z1354:AA1354)</f>
        <v>0</v>
      </c>
      <c r="AC1354" s="1035"/>
      <c r="AD1354" s="690"/>
      <c r="AE1354" s="1025"/>
      <c r="AF1354" s="1030"/>
      <c r="AG1354" s="690"/>
      <c r="AH1354" s="690"/>
      <c r="AI1354" s="696">
        <f t="shared" ref="AI1354:AI1417" si="187">SUM(S1354,U1354,W1354,AC1354,AE1354)</f>
        <v>0</v>
      </c>
      <c r="AJ1354" s="697">
        <f t="shared" ref="AJ1354:AJ1417" si="188">SUM(T1354,V1354,Z1354,AD1354,AG1354)</f>
        <v>0</v>
      </c>
    </row>
    <row r="1355" spans="1:36" s="700" customFormat="1" ht="12.75" customHeight="1">
      <c r="A1355" s="842" t="s">
        <v>205</v>
      </c>
      <c r="B1355" s="842" t="s">
        <v>411</v>
      </c>
      <c r="C1355" s="847" t="s">
        <v>1057</v>
      </c>
      <c r="D1355" s="847"/>
      <c r="E1355" s="844"/>
      <c r="F1355" s="845"/>
      <c r="G1355" s="1025"/>
      <c r="H1355" s="690"/>
      <c r="I1355" s="1030"/>
      <c r="J1355" s="690"/>
      <c r="K1355" s="1030"/>
      <c r="L1355" s="690"/>
      <c r="M1355" s="1025"/>
      <c r="N1355" s="1030"/>
      <c r="O1355" s="692">
        <f t="shared" si="181"/>
        <v>0</v>
      </c>
      <c r="P1355" s="690"/>
      <c r="Q1355" s="690"/>
      <c r="R1355" s="691">
        <f t="shared" si="182"/>
        <v>0</v>
      </c>
      <c r="S1355" s="692">
        <f t="shared" si="183"/>
        <v>0</v>
      </c>
      <c r="T1355" s="693">
        <f t="shared" si="184"/>
        <v>0</v>
      </c>
      <c r="U1355" s="1035">
        <v>14168361</v>
      </c>
      <c r="V1355" s="690">
        <v>16231829</v>
      </c>
      <c r="W1355" s="1025"/>
      <c r="X1355" s="1030"/>
      <c r="Y1355" s="694">
        <f t="shared" si="185"/>
        <v>0</v>
      </c>
      <c r="Z1355" s="690"/>
      <c r="AA1355" s="690"/>
      <c r="AB1355" s="695">
        <f t="shared" si="186"/>
        <v>0</v>
      </c>
      <c r="AC1355" s="1035"/>
      <c r="AD1355" s="690"/>
      <c r="AE1355" s="1025"/>
      <c r="AF1355" s="1030"/>
      <c r="AG1355" s="690"/>
      <c r="AH1355" s="690"/>
      <c r="AI1355" s="696">
        <f t="shared" si="187"/>
        <v>14168361</v>
      </c>
      <c r="AJ1355" s="697">
        <f t="shared" si="188"/>
        <v>16231829</v>
      </c>
    </row>
    <row r="1356" spans="1:36" s="700" customFormat="1" ht="12.75" customHeight="1">
      <c r="A1356" s="842" t="s">
        <v>205</v>
      </c>
      <c r="B1356" s="842" t="s">
        <v>412</v>
      </c>
      <c r="C1356" s="846" t="s">
        <v>198</v>
      </c>
      <c r="D1356" s="846"/>
      <c r="E1356" s="844"/>
      <c r="F1356" s="845"/>
      <c r="G1356" s="1025"/>
      <c r="H1356" s="690"/>
      <c r="I1356" s="1030"/>
      <c r="J1356" s="690"/>
      <c r="K1356" s="1030"/>
      <c r="L1356" s="690"/>
      <c r="M1356" s="1025"/>
      <c r="N1356" s="1030"/>
      <c r="O1356" s="692">
        <f t="shared" si="181"/>
        <v>0</v>
      </c>
      <c r="P1356" s="690"/>
      <c r="Q1356" s="690"/>
      <c r="R1356" s="691">
        <f t="shared" si="182"/>
        <v>0</v>
      </c>
      <c r="S1356" s="692">
        <f t="shared" si="183"/>
        <v>0</v>
      </c>
      <c r="T1356" s="693">
        <f t="shared" si="184"/>
        <v>0</v>
      </c>
      <c r="U1356" s="1035"/>
      <c r="V1356" s="690"/>
      <c r="W1356" s="1025"/>
      <c r="X1356" s="1030"/>
      <c r="Y1356" s="694">
        <f t="shared" si="185"/>
        <v>0</v>
      </c>
      <c r="Z1356" s="690"/>
      <c r="AA1356" s="690"/>
      <c r="AB1356" s="695">
        <f t="shared" si="186"/>
        <v>0</v>
      </c>
      <c r="AC1356" s="1035"/>
      <c r="AD1356" s="690"/>
      <c r="AE1356" s="1025"/>
      <c r="AF1356" s="1030"/>
      <c r="AG1356" s="690"/>
      <c r="AH1356" s="690"/>
      <c r="AI1356" s="696">
        <f t="shared" si="187"/>
        <v>0</v>
      </c>
      <c r="AJ1356" s="697">
        <f t="shared" si="188"/>
        <v>0</v>
      </c>
    </row>
    <row r="1357" spans="1:36" s="700" customFormat="1" ht="12.75" customHeight="1">
      <c r="A1357" s="842" t="s">
        <v>205</v>
      </c>
      <c r="B1357" s="842" t="s">
        <v>412</v>
      </c>
      <c r="C1357" s="847" t="s">
        <v>684</v>
      </c>
      <c r="D1357" s="847"/>
      <c r="E1357" s="844"/>
      <c r="F1357" s="845"/>
      <c r="G1357" s="1025"/>
      <c r="H1357" s="690"/>
      <c r="I1357" s="1030"/>
      <c r="J1357" s="690"/>
      <c r="K1357" s="1030"/>
      <c r="L1357" s="690"/>
      <c r="M1357" s="1025"/>
      <c r="N1357" s="1030"/>
      <c r="O1357" s="692">
        <f t="shared" si="181"/>
        <v>0</v>
      </c>
      <c r="P1357" s="690"/>
      <c r="Q1357" s="690"/>
      <c r="R1357" s="691">
        <f t="shared" si="182"/>
        <v>0</v>
      </c>
      <c r="S1357" s="692">
        <f t="shared" si="183"/>
        <v>0</v>
      </c>
      <c r="T1357" s="693">
        <f t="shared" si="184"/>
        <v>0</v>
      </c>
      <c r="U1357" s="1035"/>
      <c r="V1357" s="690"/>
      <c r="W1357" s="1025"/>
      <c r="X1357" s="1030"/>
      <c r="Y1357" s="694">
        <f t="shared" si="185"/>
        <v>0</v>
      </c>
      <c r="Z1357" s="690"/>
      <c r="AA1357" s="690"/>
      <c r="AB1357" s="695">
        <f t="shared" si="186"/>
        <v>0</v>
      </c>
      <c r="AC1357" s="1035"/>
      <c r="AD1357" s="690"/>
      <c r="AE1357" s="1025"/>
      <c r="AF1357" s="1030"/>
      <c r="AG1357" s="690"/>
      <c r="AH1357" s="690"/>
      <c r="AI1357" s="696">
        <f t="shared" si="187"/>
        <v>0</v>
      </c>
      <c r="AJ1357" s="697">
        <f t="shared" si="188"/>
        <v>0</v>
      </c>
    </row>
    <row r="1358" spans="1:36" s="700" customFormat="1" ht="12.75" customHeight="1">
      <c r="A1358" s="842" t="s">
        <v>205</v>
      </c>
      <c r="B1358" s="842" t="s">
        <v>413</v>
      </c>
      <c r="C1358" s="859" t="s">
        <v>632</v>
      </c>
      <c r="D1358" s="859"/>
      <c r="E1358" s="844"/>
      <c r="F1358" s="845"/>
      <c r="G1358" s="1025"/>
      <c r="H1358" s="690"/>
      <c r="I1358" s="1030"/>
      <c r="J1358" s="690"/>
      <c r="K1358" s="1030"/>
      <c r="L1358" s="690"/>
      <c r="M1358" s="1025"/>
      <c r="N1358" s="1030"/>
      <c r="O1358" s="692">
        <f t="shared" si="181"/>
        <v>0</v>
      </c>
      <c r="P1358" s="690"/>
      <c r="Q1358" s="690"/>
      <c r="R1358" s="691">
        <f t="shared" si="182"/>
        <v>0</v>
      </c>
      <c r="S1358" s="692">
        <f t="shared" si="183"/>
        <v>0</v>
      </c>
      <c r="T1358" s="693">
        <f t="shared" si="184"/>
        <v>0</v>
      </c>
      <c r="U1358" s="1035"/>
      <c r="V1358" s="690"/>
      <c r="W1358" s="1025"/>
      <c r="X1358" s="1030"/>
      <c r="Y1358" s="694">
        <f t="shared" si="185"/>
        <v>0</v>
      </c>
      <c r="Z1358" s="690"/>
      <c r="AA1358" s="690"/>
      <c r="AB1358" s="695">
        <f t="shared" si="186"/>
        <v>0</v>
      </c>
      <c r="AC1358" s="1035"/>
      <c r="AD1358" s="690"/>
      <c r="AE1358" s="1025"/>
      <c r="AF1358" s="1030"/>
      <c r="AG1358" s="690"/>
      <c r="AH1358" s="690"/>
      <c r="AI1358" s="696">
        <f t="shared" si="187"/>
        <v>0</v>
      </c>
      <c r="AJ1358" s="697">
        <f t="shared" si="188"/>
        <v>0</v>
      </c>
    </row>
    <row r="1359" spans="1:36" s="700" customFormat="1" ht="12.75" customHeight="1">
      <c r="A1359" s="842" t="s">
        <v>205</v>
      </c>
      <c r="B1359" s="842" t="s">
        <v>413</v>
      </c>
      <c r="C1359" s="860" t="s">
        <v>1058</v>
      </c>
      <c r="D1359" s="860"/>
      <c r="E1359" s="844"/>
      <c r="F1359" s="845"/>
      <c r="G1359" s="1025"/>
      <c r="H1359" s="690"/>
      <c r="I1359" s="1030"/>
      <c r="J1359" s="690"/>
      <c r="K1359" s="1030"/>
      <c r="L1359" s="690"/>
      <c r="M1359" s="1025"/>
      <c r="N1359" s="1030"/>
      <c r="O1359" s="692">
        <f t="shared" si="181"/>
        <v>0</v>
      </c>
      <c r="P1359" s="690"/>
      <c r="Q1359" s="690"/>
      <c r="R1359" s="691">
        <f t="shared" si="182"/>
        <v>0</v>
      </c>
      <c r="S1359" s="692">
        <f t="shared" si="183"/>
        <v>0</v>
      </c>
      <c r="T1359" s="693">
        <f t="shared" si="184"/>
        <v>0</v>
      </c>
      <c r="U1359" s="1035">
        <v>3896869</v>
      </c>
      <c r="V1359" s="690">
        <v>3799179</v>
      </c>
      <c r="W1359" s="1025"/>
      <c r="X1359" s="1030"/>
      <c r="Y1359" s="694">
        <f t="shared" si="185"/>
        <v>0</v>
      </c>
      <c r="Z1359" s="690"/>
      <c r="AA1359" s="690"/>
      <c r="AB1359" s="695">
        <f t="shared" si="186"/>
        <v>0</v>
      </c>
      <c r="AC1359" s="1035"/>
      <c r="AD1359" s="690"/>
      <c r="AE1359" s="1025"/>
      <c r="AF1359" s="1030"/>
      <c r="AG1359" s="690"/>
      <c r="AH1359" s="690"/>
      <c r="AI1359" s="696">
        <f t="shared" si="187"/>
        <v>3896869</v>
      </c>
      <c r="AJ1359" s="697">
        <f t="shared" si="188"/>
        <v>3799179</v>
      </c>
    </row>
    <row r="1360" spans="1:36" s="700" customFormat="1" ht="12.75" customHeight="1">
      <c r="A1360" s="842" t="s">
        <v>205</v>
      </c>
      <c r="B1360" s="842" t="s">
        <v>414</v>
      </c>
      <c r="C1360" s="856" t="s">
        <v>1059</v>
      </c>
      <c r="D1360" s="856"/>
      <c r="E1360" s="844"/>
      <c r="F1360" s="845"/>
      <c r="G1360" s="1025"/>
      <c r="H1360" s="690"/>
      <c r="I1360" s="1030"/>
      <c r="J1360" s="690"/>
      <c r="K1360" s="1030"/>
      <c r="L1360" s="690"/>
      <c r="M1360" s="1025"/>
      <c r="N1360" s="1030"/>
      <c r="O1360" s="692">
        <f t="shared" si="181"/>
        <v>0</v>
      </c>
      <c r="P1360" s="690"/>
      <c r="Q1360" s="690"/>
      <c r="R1360" s="691">
        <f t="shared" si="182"/>
        <v>0</v>
      </c>
      <c r="S1360" s="692">
        <f t="shared" si="183"/>
        <v>0</v>
      </c>
      <c r="T1360" s="693">
        <f t="shared" si="184"/>
        <v>0</v>
      </c>
      <c r="U1360" s="1035">
        <v>1000000</v>
      </c>
      <c r="V1360" s="690">
        <v>0</v>
      </c>
      <c r="W1360" s="1025"/>
      <c r="X1360" s="1030"/>
      <c r="Y1360" s="694">
        <f t="shared" si="185"/>
        <v>0</v>
      </c>
      <c r="Z1360" s="690"/>
      <c r="AA1360" s="690"/>
      <c r="AB1360" s="695">
        <f t="shared" si="186"/>
        <v>0</v>
      </c>
      <c r="AC1360" s="1035"/>
      <c r="AD1360" s="690"/>
      <c r="AE1360" s="1025"/>
      <c r="AF1360" s="1030"/>
      <c r="AG1360" s="690"/>
      <c r="AH1360" s="690"/>
      <c r="AI1360" s="696">
        <f t="shared" si="187"/>
        <v>1000000</v>
      </c>
      <c r="AJ1360" s="697">
        <f t="shared" si="188"/>
        <v>0</v>
      </c>
    </row>
    <row r="1361" spans="1:36" s="700" customFormat="1" ht="12.75" customHeight="1">
      <c r="A1361" s="842" t="s">
        <v>205</v>
      </c>
      <c r="B1361" s="842" t="s">
        <v>415</v>
      </c>
      <c r="C1361" s="856" t="s">
        <v>165</v>
      </c>
      <c r="D1361" s="856"/>
      <c r="E1361" s="844"/>
      <c r="F1361" s="845"/>
      <c r="G1361" s="1025"/>
      <c r="H1361" s="690"/>
      <c r="I1361" s="1030"/>
      <c r="J1361" s="690"/>
      <c r="K1361" s="1030"/>
      <c r="L1361" s="690"/>
      <c r="M1361" s="1025"/>
      <c r="N1361" s="1030"/>
      <c r="O1361" s="692">
        <f t="shared" si="181"/>
        <v>0</v>
      </c>
      <c r="P1361" s="690"/>
      <c r="Q1361" s="690"/>
      <c r="R1361" s="691">
        <f t="shared" si="182"/>
        <v>0</v>
      </c>
      <c r="S1361" s="692">
        <f t="shared" si="183"/>
        <v>0</v>
      </c>
      <c r="T1361" s="693">
        <f t="shared" si="184"/>
        <v>0</v>
      </c>
      <c r="U1361" s="1035"/>
      <c r="V1361" s="690"/>
      <c r="W1361" s="1025"/>
      <c r="X1361" s="1030"/>
      <c r="Y1361" s="694">
        <f t="shared" si="185"/>
        <v>0</v>
      </c>
      <c r="Z1361" s="690"/>
      <c r="AA1361" s="690"/>
      <c r="AB1361" s="695">
        <f t="shared" si="186"/>
        <v>0</v>
      </c>
      <c r="AC1361" s="1035"/>
      <c r="AD1361" s="690"/>
      <c r="AE1361" s="1025"/>
      <c r="AF1361" s="1030"/>
      <c r="AG1361" s="690"/>
      <c r="AH1361" s="690"/>
      <c r="AI1361" s="696">
        <f t="shared" si="187"/>
        <v>0</v>
      </c>
      <c r="AJ1361" s="697">
        <f t="shared" si="188"/>
        <v>0</v>
      </c>
    </row>
    <row r="1362" spans="1:36" s="700" customFormat="1" ht="12.75" customHeight="1">
      <c r="A1362" s="842" t="s">
        <v>205</v>
      </c>
      <c r="B1362" s="842" t="s">
        <v>416</v>
      </c>
      <c r="C1362" s="846" t="s">
        <v>166</v>
      </c>
      <c r="D1362" s="846"/>
      <c r="E1362" s="844"/>
      <c r="F1362" s="845"/>
      <c r="G1362" s="1025"/>
      <c r="H1362" s="690"/>
      <c r="I1362" s="1030"/>
      <c r="J1362" s="690"/>
      <c r="K1362" s="1030"/>
      <c r="L1362" s="690"/>
      <c r="M1362" s="1025"/>
      <c r="N1362" s="1030"/>
      <c r="O1362" s="692">
        <f t="shared" si="181"/>
        <v>0</v>
      </c>
      <c r="P1362" s="690"/>
      <c r="Q1362" s="690"/>
      <c r="R1362" s="691">
        <f t="shared" si="182"/>
        <v>0</v>
      </c>
      <c r="S1362" s="692">
        <f t="shared" si="183"/>
        <v>0</v>
      </c>
      <c r="T1362" s="693">
        <f t="shared" si="184"/>
        <v>0</v>
      </c>
      <c r="U1362" s="1035"/>
      <c r="V1362" s="690"/>
      <c r="W1362" s="1025"/>
      <c r="X1362" s="1030"/>
      <c r="Y1362" s="694">
        <f t="shared" si="185"/>
        <v>0</v>
      </c>
      <c r="Z1362" s="690"/>
      <c r="AA1362" s="690"/>
      <c r="AB1362" s="695">
        <f t="shared" si="186"/>
        <v>0</v>
      </c>
      <c r="AC1362" s="1035"/>
      <c r="AD1362" s="690"/>
      <c r="AE1362" s="1025"/>
      <c r="AF1362" s="1030"/>
      <c r="AG1362" s="690"/>
      <c r="AH1362" s="690"/>
      <c r="AI1362" s="696">
        <f t="shared" si="187"/>
        <v>0</v>
      </c>
      <c r="AJ1362" s="697">
        <f t="shared" si="188"/>
        <v>0</v>
      </c>
    </row>
    <row r="1363" spans="1:36" s="700" customFormat="1" ht="12.75" customHeight="1">
      <c r="A1363" s="842" t="s">
        <v>205</v>
      </c>
      <c r="B1363" s="842" t="s">
        <v>417</v>
      </c>
      <c r="C1363" s="846" t="s">
        <v>168</v>
      </c>
      <c r="D1363" s="846"/>
      <c r="E1363" s="844"/>
      <c r="F1363" s="845"/>
      <c r="G1363" s="1025"/>
      <c r="H1363" s="690"/>
      <c r="I1363" s="1030"/>
      <c r="J1363" s="690"/>
      <c r="K1363" s="1030"/>
      <c r="L1363" s="690"/>
      <c r="M1363" s="1025"/>
      <c r="N1363" s="1030"/>
      <c r="O1363" s="692">
        <f t="shared" si="181"/>
        <v>0</v>
      </c>
      <c r="P1363" s="690"/>
      <c r="Q1363" s="690"/>
      <c r="R1363" s="691">
        <f t="shared" si="182"/>
        <v>0</v>
      </c>
      <c r="S1363" s="692">
        <f t="shared" si="183"/>
        <v>0</v>
      </c>
      <c r="T1363" s="693">
        <f t="shared" si="184"/>
        <v>0</v>
      </c>
      <c r="U1363" s="1035">
        <v>1033550</v>
      </c>
      <c r="V1363" s="690">
        <v>530903</v>
      </c>
      <c r="W1363" s="1025"/>
      <c r="X1363" s="1030"/>
      <c r="Y1363" s="694">
        <f t="shared" si="185"/>
        <v>0</v>
      </c>
      <c r="Z1363" s="690"/>
      <c r="AA1363" s="690"/>
      <c r="AB1363" s="695">
        <f t="shared" si="186"/>
        <v>0</v>
      </c>
      <c r="AC1363" s="1035"/>
      <c r="AD1363" s="690"/>
      <c r="AE1363" s="1025"/>
      <c r="AF1363" s="1030"/>
      <c r="AG1363" s="690"/>
      <c r="AH1363" s="690"/>
      <c r="AI1363" s="696">
        <f t="shared" si="187"/>
        <v>1033550</v>
      </c>
      <c r="AJ1363" s="697">
        <f t="shared" si="188"/>
        <v>530903</v>
      </c>
    </row>
    <row r="1364" spans="1:36" s="700" customFormat="1" ht="12.75" customHeight="1">
      <c r="A1364" s="842" t="s">
        <v>205</v>
      </c>
      <c r="B1364" s="842" t="s">
        <v>418</v>
      </c>
      <c r="C1364" s="846" t="s">
        <v>197</v>
      </c>
      <c r="D1364" s="846"/>
      <c r="E1364" s="844"/>
      <c r="F1364" s="845"/>
      <c r="G1364" s="1025"/>
      <c r="H1364" s="690"/>
      <c r="I1364" s="1030"/>
      <c r="J1364" s="690"/>
      <c r="K1364" s="1030"/>
      <c r="L1364" s="690"/>
      <c r="M1364" s="1025"/>
      <c r="N1364" s="1030"/>
      <c r="O1364" s="692">
        <f t="shared" si="181"/>
        <v>0</v>
      </c>
      <c r="P1364" s="690"/>
      <c r="Q1364" s="690"/>
      <c r="R1364" s="691">
        <f t="shared" si="182"/>
        <v>0</v>
      </c>
      <c r="S1364" s="692">
        <f t="shared" si="183"/>
        <v>0</v>
      </c>
      <c r="T1364" s="693">
        <f t="shared" si="184"/>
        <v>0</v>
      </c>
      <c r="U1364" s="1035"/>
      <c r="V1364" s="690"/>
      <c r="W1364" s="1025"/>
      <c r="X1364" s="1030"/>
      <c r="Y1364" s="694">
        <f t="shared" si="185"/>
        <v>0</v>
      </c>
      <c r="Z1364" s="690"/>
      <c r="AA1364" s="690"/>
      <c r="AB1364" s="695">
        <f t="shared" si="186"/>
        <v>0</v>
      </c>
      <c r="AC1364" s="1035"/>
      <c r="AD1364" s="690"/>
      <c r="AE1364" s="1025"/>
      <c r="AF1364" s="1030"/>
      <c r="AG1364" s="690"/>
      <c r="AH1364" s="690"/>
      <c r="AI1364" s="696">
        <f t="shared" si="187"/>
        <v>0</v>
      </c>
      <c r="AJ1364" s="697">
        <f t="shared" si="188"/>
        <v>0</v>
      </c>
    </row>
    <row r="1365" spans="1:36" s="700" customFormat="1" ht="12.75" customHeight="1">
      <c r="A1365" s="842" t="s">
        <v>205</v>
      </c>
      <c r="B1365" s="842" t="s">
        <v>419</v>
      </c>
      <c r="C1365" s="856" t="s">
        <v>50</v>
      </c>
      <c r="D1365" s="856"/>
      <c r="E1365" s="844"/>
      <c r="F1365" s="845"/>
      <c r="G1365" s="1025"/>
      <c r="H1365" s="690"/>
      <c r="I1365" s="1030"/>
      <c r="J1365" s="690"/>
      <c r="K1365" s="1030"/>
      <c r="L1365" s="690"/>
      <c r="M1365" s="1025"/>
      <c r="N1365" s="1030"/>
      <c r="O1365" s="692">
        <f t="shared" si="181"/>
        <v>0</v>
      </c>
      <c r="P1365" s="690"/>
      <c r="Q1365" s="690"/>
      <c r="R1365" s="691">
        <f t="shared" si="182"/>
        <v>0</v>
      </c>
      <c r="S1365" s="692">
        <f t="shared" si="183"/>
        <v>0</v>
      </c>
      <c r="T1365" s="693">
        <f t="shared" si="184"/>
        <v>0</v>
      </c>
      <c r="U1365" s="1035"/>
      <c r="V1365" s="690"/>
      <c r="W1365" s="1025"/>
      <c r="X1365" s="1030"/>
      <c r="Y1365" s="694">
        <f t="shared" si="185"/>
        <v>0</v>
      </c>
      <c r="Z1365" s="690"/>
      <c r="AA1365" s="690"/>
      <c r="AB1365" s="695">
        <f t="shared" si="186"/>
        <v>0</v>
      </c>
      <c r="AC1365" s="1035"/>
      <c r="AD1365" s="690"/>
      <c r="AE1365" s="1025"/>
      <c r="AF1365" s="1030"/>
      <c r="AG1365" s="690"/>
      <c r="AH1365" s="690"/>
      <c r="AI1365" s="696">
        <f t="shared" si="187"/>
        <v>0</v>
      </c>
      <c r="AJ1365" s="697">
        <f t="shared" si="188"/>
        <v>0</v>
      </c>
    </row>
    <row r="1366" spans="1:36" s="700" customFormat="1" ht="12.75" customHeight="1">
      <c r="A1366" s="842" t="s">
        <v>205</v>
      </c>
      <c r="B1366" s="842" t="s">
        <v>420</v>
      </c>
      <c r="C1366" s="861" t="s">
        <v>51</v>
      </c>
      <c r="D1366" s="861"/>
      <c r="E1366" s="844"/>
      <c r="F1366" s="845"/>
      <c r="G1366" s="1025"/>
      <c r="H1366" s="690"/>
      <c r="I1366" s="1030"/>
      <c r="J1366" s="690"/>
      <c r="K1366" s="1030"/>
      <c r="L1366" s="690"/>
      <c r="M1366" s="1025"/>
      <c r="N1366" s="1030"/>
      <c r="O1366" s="692">
        <f t="shared" si="181"/>
        <v>0</v>
      </c>
      <c r="P1366" s="690"/>
      <c r="Q1366" s="690"/>
      <c r="R1366" s="691">
        <f t="shared" si="182"/>
        <v>0</v>
      </c>
      <c r="S1366" s="692">
        <f t="shared" si="183"/>
        <v>0</v>
      </c>
      <c r="T1366" s="693">
        <f t="shared" si="184"/>
        <v>0</v>
      </c>
      <c r="U1366" s="1035"/>
      <c r="V1366" s="690"/>
      <c r="W1366" s="1025"/>
      <c r="X1366" s="1030"/>
      <c r="Y1366" s="694">
        <f t="shared" si="185"/>
        <v>0</v>
      </c>
      <c r="Z1366" s="690"/>
      <c r="AA1366" s="690"/>
      <c r="AB1366" s="695">
        <f t="shared" si="186"/>
        <v>0</v>
      </c>
      <c r="AC1366" s="1035"/>
      <c r="AD1366" s="690"/>
      <c r="AE1366" s="1025"/>
      <c r="AF1366" s="1030"/>
      <c r="AG1366" s="690"/>
      <c r="AH1366" s="690"/>
      <c r="AI1366" s="696">
        <f t="shared" si="187"/>
        <v>0</v>
      </c>
      <c r="AJ1366" s="697">
        <f t="shared" si="188"/>
        <v>0</v>
      </c>
    </row>
    <row r="1367" spans="1:36" s="700" customFormat="1" ht="12.75" customHeight="1">
      <c r="A1367" s="842" t="s">
        <v>205</v>
      </c>
      <c r="B1367" s="842" t="s">
        <v>420</v>
      </c>
      <c r="C1367" s="862" t="s">
        <v>1060</v>
      </c>
      <c r="D1367" s="862"/>
      <c r="E1367" s="844"/>
      <c r="F1367" s="845"/>
      <c r="G1367" s="1025"/>
      <c r="H1367" s="690"/>
      <c r="I1367" s="1030"/>
      <c r="J1367" s="690"/>
      <c r="K1367" s="1030"/>
      <c r="L1367" s="690"/>
      <c r="M1367" s="1025"/>
      <c r="N1367" s="1030"/>
      <c r="O1367" s="692">
        <f t="shared" si="181"/>
        <v>0</v>
      </c>
      <c r="P1367" s="690"/>
      <c r="Q1367" s="690"/>
      <c r="R1367" s="691">
        <f t="shared" si="182"/>
        <v>0</v>
      </c>
      <c r="S1367" s="692">
        <f t="shared" si="183"/>
        <v>0</v>
      </c>
      <c r="T1367" s="693">
        <f t="shared" si="184"/>
        <v>0</v>
      </c>
      <c r="U1367" s="1035"/>
      <c r="V1367" s="690"/>
      <c r="W1367" s="1025"/>
      <c r="X1367" s="1030"/>
      <c r="Y1367" s="694">
        <f t="shared" si="185"/>
        <v>0</v>
      </c>
      <c r="Z1367" s="690"/>
      <c r="AA1367" s="690"/>
      <c r="AB1367" s="695">
        <f t="shared" si="186"/>
        <v>0</v>
      </c>
      <c r="AC1367" s="1035"/>
      <c r="AD1367" s="690"/>
      <c r="AE1367" s="1025"/>
      <c r="AF1367" s="1030"/>
      <c r="AG1367" s="690"/>
      <c r="AH1367" s="690"/>
      <c r="AI1367" s="696">
        <f t="shared" si="187"/>
        <v>0</v>
      </c>
      <c r="AJ1367" s="697">
        <f t="shared" si="188"/>
        <v>0</v>
      </c>
    </row>
    <row r="1368" spans="1:36" s="700" customFormat="1" ht="12.75" customHeight="1">
      <c r="A1368" s="842" t="s">
        <v>205</v>
      </c>
      <c r="B1368" s="863" t="s">
        <v>295</v>
      </c>
      <c r="C1368" s="864" t="s">
        <v>53</v>
      </c>
      <c r="D1368" s="864"/>
      <c r="E1368" s="844"/>
      <c r="F1368" s="845"/>
      <c r="G1368" s="1025"/>
      <c r="H1368" s="690"/>
      <c r="I1368" s="1030"/>
      <c r="J1368" s="690"/>
      <c r="K1368" s="1030"/>
      <c r="L1368" s="690"/>
      <c r="M1368" s="1025"/>
      <c r="N1368" s="1030"/>
      <c r="O1368" s="692">
        <f t="shared" si="181"/>
        <v>0</v>
      </c>
      <c r="P1368" s="690"/>
      <c r="Q1368" s="690"/>
      <c r="R1368" s="691">
        <f t="shared" si="182"/>
        <v>0</v>
      </c>
      <c r="S1368" s="692">
        <f t="shared" si="183"/>
        <v>0</v>
      </c>
      <c r="T1368" s="693">
        <f t="shared" si="184"/>
        <v>0</v>
      </c>
      <c r="U1368" s="1035"/>
      <c r="V1368" s="690"/>
      <c r="W1368" s="1025"/>
      <c r="X1368" s="1030"/>
      <c r="Y1368" s="694">
        <f t="shared" si="185"/>
        <v>0</v>
      </c>
      <c r="Z1368" s="690"/>
      <c r="AA1368" s="690"/>
      <c r="AB1368" s="695">
        <f t="shared" si="186"/>
        <v>0</v>
      </c>
      <c r="AC1368" s="1035"/>
      <c r="AD1368" s="690"/>
      <c r="AE1368" s="1025"/>
      <c r="AF1368" s="1030"/>
      <c r="AG1368" s="690"/>
      <c r="AH1368" s="690"/>
      <c r="AI1368" s="696">
        <f t="shared" si="187"/>
        <v>0</v>
      </c>
      <c r="AJ1368" s="697">
        <f t="shared" si="188"/>
        <v>0</v>
      </c>
    </row>
    <row r="1369" spans="1:36" s="700" customFormat="1" ht="12.75" customHeight="1">
      <c r="A1369" s="842" t="s">
        <v>205</v>
      </c>
      <c r="B1369" s="863" t="s">
        <v>296</v>
      </c>
      <c r="C1369" s="864" t="s">
        <v>443</v>
      </c>
      <c r="D1369" s="864"/>
      <c r="E1369" s="844"/>
      <c r="F1369" s="845"/>
      <c r="G1369" s="1025"/>
      <c r="H1369" s="690"/>
      <c r="I1369" s="1030"/>
      <c r="J1369" s="690"/>
      <c r="K1369" s="1030"/>
      <c r="L1369" s="690"/>
      <c r="M1369" s="1025"/>
      <c r="N1369" s="1030"/>
      <c r="O1369" s="692">
        <f t="shared" si="181"/>
        <v>0</v>
      </c>
      <c r="P1369" s="690"/>
      <c r="Q1369" s="690"/>
      <c r="R1369" s="691">
        <f t="shared" si="182"/>
        <v>0</v>
      </c>
      <c r="S1369" s="692">
        <f t="shared" si="183"/>
        <v>0</v>
      </c>
      <c r="T1369" s="693">
        <f t="shared" si="184"/>
        <v>0</v>
      </c>
      <c r="U1369" s="1035">
        <v>19479148</v>
      </c>
      <c r="V1369" s="818">
        <v>23843765</v>
      </c>
      <c r="W1369" s="1025"/>
      <c r="X1369" s="1030"/>
      <c r="Y1369" s="694">
        <f t="shared" si="185"/>
        <v>0</v>
      </c>
      <c r="Z1369" s="690"/>
      <c r="AA1369" s="690"/>
      <c r="AB1369" s="695">
        <f t="shared" si="186"/>
        <v>0</v>
      </c>
      <c r="AC1369" s="1035"/>
      <c r="AD1369" s="690"/>
      <c r="AE1369" s="1025"/>
      <c r="AF1369" s="1030"/>
      <c r="AG1369" s="690"/>
      <c r="AH1369" s="690"/>
      <c r="AI1369" s="696">
        <f t="shared" si="187"/>
        <v>19479148</v>
      </c>
      <c r="AJ1369" s="697">
        <f t="shared" si="188"/>
        <v>23843765</v>
      </c>
    </row>
    <row r="1370" spans="1:36" s="700" customFormat="1" ht="12.75" customHeight="1">
      <c r="A1370" s="842" t="s">
        <v>205</v>
      </c>
      <c r="B1370" s="863" t="s">
        <v>278</v>
      </c>
      <c r="C1370" s="864" t="s">
        <v>377</v>
      </c>
      <c r="D1370" s="864"/>
      <c r="E1370" s="844"/>
      <c r="F1370" s="845"/>
      <c r="G1370" s="1025"/>
      <c r="H1370" s="690"/>
      <c r="I1370" s="1030"/>
      <c r="J1370" s="690"/>
      <c r="K1370" s="1030"/>
      <c r="L1370" s="690"/>
      <c r="M1370" s="1025"/>
      <c r="N1370" s="1030"/>
      <c r="O1370" s="692">
        <f t="shared" si="181"/>
        <v>0</v>
      </c>
      <c r="P1370" s="690"/>
      <c r="Q1370" s="690"/>
      <c r="R1370" s="691">
        <f t="shared" si="182"/>
        <v>0</v>
      </c>
      <c r="S1370" s="692">
        <f t="shared" si="183"/>
        <v>0</v>
      </c>
      <c r="T1370" s="693">
        <f t="shared" si="184"/>
        <v>0</v>
      </c>
      <c r="U1370" s="1035">
        <v>119164022</v>
      </c>
      <c r="V1370" s="818">
        <v>133605798</v>
      </c>
      <c r="W1370" s="1025"/>
      <c r="X1370" s="1030"/>
      <c r="Y1370" s="694">
        <f t="shared" si="185"/>
        <v>0</v>
      </c>
      <c r="Z1370" s="690"/>
      <c r="AA1370" s="690"/>
      <c r="AB1370" s="695">
        <f t="shared" si="186"/>
        <v>0</v>
      </c>
      <c r="AC1370" s="1035"/>
      <c r="AD1370" s="690"/>
      <c r="AE1370" s="1025"/>
      <c r="AF1370" s="1030"/>
      <c r="AG1370" s="690"/>
      <c r="AH1370" s="690"/>
      <c r="AI1370" s="696">
        <f t="shared" si="187"/>
        <v>119164022</v>
      </c>
      <c r="AJ1370" s="697">
        <f t="shared" si="188"/>
        <v>133605798</v>
      </c>
    </row>
    <row r="1371" spans="1:36" s="700" customFormat="1" ht="12.75" customHeight="1">
      <c r="A1371" s="842" t="s">
        <v>205</v>
      </c>
      <c r="B1371" s="863" t="s">
        <v>279</v>
      </c>
      <c r="C1371" s="864" t="s">
        <v>54</v>
      </c>
      <c r="D1371" s="864"/>
      <c r="E1371" s="844"/>
      <c r="F1371" s="845"/>
      <c r="G1371" s="1025"/>
      <c r="H1371" s="690"/>
      <c r="I1371" s="1030"/>
      <c r="J1371" s="690"/>
      <c r="K1371" s="1030"/>
      <c r="L1371" s="690"/>
      <c r="M1371" s="1025"/>
      <c r="N1371" s="1030"/>
      <c r="O1371" s="692">
        <f t="shared" si="181"/>
        <v>0</v>
      </c>
      <c r="P1371" s="690"/>
      <c r="Q1371" s="690"/>
      <c r="R1371" s="691">
        <f t="shared" si="182"/>
        <v>0</v>
      </c>
      <c r="S1371" s="692">
        <f t="shared" si="183"/>
        <v>0</v>
      </c>
      <c r="T1371" s="693">
        <f t="shared" si="184"/>
        <v>0</v>
      </c>
      <c r="U1371" s="1035"/>
      <c r="V1371" s="690"/>
      <c r="W1371" s="1025"/>
      <c r="X1371" s="1030"/>
      <c r="Y1371" s="694">
        <f t="shared" si="185"/>
        <v>0</v>
      </c>
      <c r="Z1371" s="690"/>
      <c r="AA1371" s="690"/>
      <c r="AB1371" s="695">
        <f t="shared" si="186"/>
        <v>0</v>
      </c>
      <c r="AC1371" s="1035"/>
      <c r="AD1371" s="690"/>
      <c r="AE1371" s="1025"/>
      <c r="AF1371" s="1030"/>
      <c r="AG1371" s="690"/>
      <c r="AH1371" s="690"/>
      <c r="AI1371" s="696">
        <f t="shared" si="187"/>
        <v>0</v>
      </c>
      <c r="AJ1371" s="697">
        <f t="shared" si="188"/>
        <v>0</v>
      </c>
    </row>
    <row r="1372" spans="1:36" s="700" customFormat="1" ht="12.75" customHeight="1">
      <c r="A1372" s="842" t="s">
        <v>205</v>
      </c>
      <c r="B1372" s="863" t="s">
        <v>317</v>
      </c>
      <c r="C1372" s="864" t="s">
        <v>443</v>
      </c>
      <c r="D1372" s="864"/>
      <c r="E1372" s="844"/>
      <c r="F1372" s="845"/>
      <c r="G1372" s="1025"/>
      <c r="H1372" s="690"/>
      <c r="I1372" s="1030"/>
      <c r="J1372" s="690"/>
      <c r="K1372" s="1030"/>
      <c r="L1372" s="690"/>
      <c r="M1372" s="1025"/>
      <c r="N1372" s="1030"/>
      <c r="O1372" s="692">
        <f t="shared" si="181"/>
        <v>0</v>
      </c>
      <c r="P1372" s="690"/>
      <c r="Q1372" s="690"/>
      <c r="R1372" s="691">
        <f t="shared" si="182"/>
        <v>0</v>
      </c>
      <c r="S1372" s="692">
        <f t="shared" si="183"/>
        <v>0</v>
      </c>
      <c r="T1372" s="693">
        <f t="shared" si="184"/>
        <v>0</v>
      </c>
      <c r="U1372" s="1035">
        <v>2428101</v>
      </c>
      <c r="V1372" s="818">
        <v>2304740</v>
      </c>
      <c r="W1372" s="1025"/>
      <c r="X1372" s="1030"/>
      <c r="Y1372" s="694">
        <f t="shared" si="185"/>
        <v>0</v>
      </c>
      <c r="Z1372" s="690"/>
      <c r="AA1372" s="690"/>
      <c r="AB1372" s="695">
        <f t="shared" si="186"/>
        <v>0</v>
      </c>
      <c r="AC1372" s="1035"/>
      <c r="AD1372" s="690"/>
      <c r="AE1372" s="1025"/>
      <c r="AF1372" s="1030"/>
      <c r="AG1372" s="690"/>
      <c r="AH1372" s="690"/>
      <c r="AI1372" s="696">
        <f t="shared" si="187"/>
        <v>2428101</v>
      </c>
      <c r="AJ1372" s="697">
        <f t="shared" si="188"/>
        <v>2304740</v>
      </c>
    </row>
    <row r="1373" spans="1:36" s="700" customFormat="1" ht="12.75" customHeight="1">
      <c r="A1373" s="842" t="s">
        <v>205</v>
      </c>
      <c r="B1373" s="863" t="s">
        <v>318</v>
      </c>
      <c r="C1373" s="864" t="s">
        <v>377</v>
      </c>
      <c r="D1373" s="864"/>
      <c r="E1373" s="844"/>
      <c r="F1373" s="845"/>
      <c r="G1373" s="1025"/>
      <c r="H1373" s="690"/>
      <c r="I1373" s="1030"/>
      <c r="J1373" s="690"/>
      <c r="K1373" s="1030"/>
      <c r="L1373" s="690"/>
      <c r="M1373" s="1025"/>
      <c r="N1373" s="1030"/>
      <c r="O1373" s="692">
        <f t="shared" si="181"/>
        <v>0</v>
      </c>
      <c r="P1373" s="690"/>
      <c r="Q1373" s="690"/>
      <c r="R1373" s="691">
        <f t="shared" si="182"/>
        <v>0</v>
      </c>
      <c r="S1373" s="692">
        <f t="shared" si="183"/>
        <v>0</v>
      </c>
      <c r="T1373" s="693">
        <f t="shared" si="184"/>
        <v>0</v>
      </c>
      <c r="U1373" s="1035">
        <v>10589811</v>
      </c>
      <c r="V1373" s="690">
        <v>11522079</v>
      </c>
      <c r="W1373" s="1025"/>
      <c r="X1373" s="1030"/>
      <c r="Y1373" s="694">
        <f t="shared" si="185"/>
        <v>0</v>
      </c>
      <c r="Z1373" s="690"/>
      <c r="AA1373" s="690"/>
      <c r="AB1373" s="695">
        <f t="shared" si="186"/>
        <v>0</v>
      </c>
      <c r="AC1373" s="1035"/>
      <c r="AD1373" s="690"/>
      <c r="AE1373" s="1025"/>
      <c r="AF1373" s="1030"/>
      <c r="AG1373" s="690"/>
      <c r="AH1373" s="690"/>
      <c r="AI1373" s="696">
        <f t="shared" si="187"/>
        <v>10589811</v>
      </c>
      <c r="AJ1373" s="697">
        <f t="shared" si="188"/>
        <v>11522079</v>
      </c>
    </row>
    <row r="1374" spans="1:36" s="700" customFormat="1" ht="12.75" customHeight="1">
      <c r="A1374" s="842" t="s">
        <v>205</v>
      </c>
      <c r="B1374" s="863" t="s">
        <v>421</v>
      </c>
      <c r="C1374" s="865" t="s">
        <v>19</v>
      </c>
      <c r="D1374" s="865"/>
      <c r="E1374" s="844"/>
      <c r="F1374" s="845"/>
      <c r="G1374" s="1025"/>
      <c r="H1374" s="690"/>
      <c r="I1374" s="1030"/>
      <c r="J1374" s="690"/>
      <c r="K1374" s="1030"/>
      <c r="L1374" s="690"/>
      <c r="M1374" s="1025"/>
      <c r="N1374" s="1030"/>
      <c r="O1374" s="692">
        <f t="shared" si="181"/>
        <v>0</v>
      </c>
      <c r="P1374" s="690"/>
      <c r="Q1374" s="690"/>
      <c r="R1374" s="691">
        <f t="shared" si="182"/>
        <v>0</v>
      </c>
      <c r="S1374" s="692">
        <f t="shared" si="183"/>
        <v>0</v>
      </c>
      <c r="T1374" s="693">
        <f t="shared" si="184"/>
        <v>0</v>
      </c>
      <c r="U1374" s="1035"/>
      <c r="V1374" s="690"/>
      <c r="W1374" s="1025"/>
      <c r="X1374" s="1030"/>
      <c r="Y1374" s="694">
        <f t="shared" si="185"/>
        <v>0</v>
      </c>
      <c r="Z1374" s="690"/>
      <c r="AA1374" s="690"/>
      <c r="AB1374" s="695">
        <f t="shared" si="186"/>
        <v>0</v>
      </c>
      <c r="AC1374" s="1035"/>
      <c r="AD1374" s="690"/>
      <c r="AE1374" s="1025"/>
      <c r="AF1374" s="1030"/>
      <c r="AG1374" s="690"/>
      <c r="AH1374" s="690"/>
      <c r="AI1374" s="696">
        <f t="shared" si="187"/>
        <v>0</v>
      </c>
      <c r="AJ1374" s="697">
        <f t="shared" si="188"/>
        <v>0</v>
      </c>
    </row>
    <row r="1375" spans="1:36" s="700" customFormat="1" ht="12.75" customHeight="1">
      <c r="A1375" s="842" t="s">
        <v>205</v>
      </c>
      <c r="B1375" s="863" t="s">
        <v>421</v>
      </c>
      <c r="C1375" s="862" t="s">
        <v>1061</v>
      </c>
      <c r="D1375" s="862"/>
      <c r="E1375" s="844"/>
      <c r="F1375" s="845"/>
      <c r="G1375" s="1025"/>
      <c r="H1375" s="690"/>
      <c r="I1375" s="1030"/>
      <c r="J1375" s="690"/>
      <c r="K1375" s="1030"/>
      <c r="L1375" s="690"/>
      <c r="M1375" s="1025"/>
      <c r="N1375" s="1030"/>
      <c r="O1375" s="692">
        <f t="shared" si="181"/>
        <v>0</v>
      </c>
      <c r="P1375" s="690"/>
      <c r="Q1375" s="690"/>
      <c r="R1375" s="691">
        <f t="shared" si="182"/>
        <v>0</v>
      </c>
      <c r="S1375" s="692">
        <f t="shared" si="183"/>
        <v>0</v>
      </c>
      <c r="T1375" s="693">
        <f t="shared" si="184"/>
        <v>0</v>
      </c>
      <c r="U1375" s="1035"/>
      <c r="V1375" s="690"/>
      <c r="W1375" s="1025"/>
      <c r="X1375" s="1030"/>
      <c r="Y1375" s="694">
        <f t="shared" si="185"/>
        <v>0</v>
      </c>
      <c r="Z1375" s="690"/>
      <c r="AA1375" s="690"/>
      <c r="AB1375" s="695">
        <f t="shared" si="186"/>
        <v>0</v>
      </c>
      <c r="AC1375" s="1035"/>
      <c r="AD1375" s="690"/>
      <c r="AE1375" s="1025"/>
      <c r="AF1375" s="1030"/>
      <c r="AG1375" s="690"/>
      <c r="AH1375" s="690"/>
      <c r="AI1375" s="696">
        <f t="shared" si="187"/>
        <v>0</v>
      </c>
      <c r="AJ1375" s="697">
        <f t="shared" si="188"/>
        <v>0</v>
      </c>
    </row>
    <row r="1376" spans="1:36" s="700" customFormat="1" ht="12.75" customHeight="1">
      <c r="A1376" s="842" t="s">
        <v>205</v>
      </c>
      <c r="B1376" s="863" t="s">
        <v>380</v>
      </c>
      <c r="C1376" s="864" t="s">
        <v>443</v>
      </c>
      <c r="D1376" s="864"/>
      <c r="E1376" s="844"/>
      <c r="F1376" s="845"/>
      <c r="G1376" s="1025"/>
      <c r="H1376" s="690"/>
      <c r="I1376" s="1030"/>
      <c r="J1376" s="690"/>
      <c r="K1376" s="1030"/>
      <c r="L1376" s="690"/>
      <c r="M1376" s="1025"/>
      <c r="N1376" s="1030"/>
      <c r="O1376" s="692">
        <f t="shared" si="181"/>
        <v>0</v>
      </c>
      <c r="P1376" s="690"/>
      <c r="Q1376" s="690"/>
      <c r="R1376" s="691">
        <f t="shared" si="182"/>
        <v>0</v>
      </c>
      <c r="S1376" s="692">
        <f t="shared" si="183"/>
        <v>0</v>
      </c>
      <c r="T1376" s="693">
        <f t="shared" si="184"/>
        <v>0</v>
      </c>
      <c r="U1376" s="1035"/>
      <c r="V1376" s="690"/>
      <c r="W1376" s="1025"/>
      <c r="X1376" s="1030"/>
      <c r="Y1376" s="694">
        <f t="shared" si="185"/>
        <v>0</v>
      </c>
      <c r="Z1376" s="690"/>
      <c r="AA1376" s="690"/>
      <c r="AB1376" s="695">
        <f t="shared" si="186"/>
        <v>0</v>
      </c>
      <c r="AC1376" s="1035"/>
      <c r="AD1376" s="690"/>
      <c r="AE1376" s="1025"/>
      <c r="AF1376" s="1030"/>
      <c r="AG1376" s="690"/>
      <c r="AH1376" s="690"/>
      <c r="AI1376" s="696">
        <f t="shared" si="187"/>
        <v>0</v>
      </c>
      <c r="AJ1376" s="697">
        <f t="shared" si="188"/>
        <v>0</v>
      </c>
    </row>
    <row r="1377" spans="1:36" s="700" customFormat="1" ht="12.75" customHeight="1">
      <c r="A1377" s="842" t="s">
        <v>205</v>
      </c>
      <c r="B1377" s="863" t="s">
        <v>381</v>
      </c>
      <c r="C1377" s="864" t="s">
        <v>377</v>
      </c>
      <c r="D1377" s="864"/>
      <c r="E1377" s="844"/>
      <c r="F1377" s="845"/>
      <c r="G1377" s="1025"/>
      <c r="H1377" s="690"/>
      <c r="I1377" s="1030"/>
      <c r="J1377" s="690"/>
      <c r="K1377" s="1030"/>
      <c r="L1377" s="690"/>
      <c r="M1377" s="1025"/>
      <c r="N1377" s="1030"/>
      <c r="O1377" s="692">
        <f t="shared" si="181"/>
        <v>0</v>
      </c>
      <c r="P1377" s="690"/>
      <c r="Q1377" s="690"/>
      <c r="R1377" s="691">
        <f t="shared" si="182"/>
        <v>0</v>
      </c>
      <c r="S1377" s="692">
        <f t="shared" si="183"/>
        <v>0</v>
      </c>
      <c r="T1377" s="693">
        <f t="shared" si="184"/>
        <v>0</v>
      </c>
      <c r="U1377" s="1035">
        <v>5578800</v>
      </c>
      <c r="V1377" s="690">
        <v>5999100</v>
      </c>
      <c r="W1377" s="1025"/>
      <c r="X1377" s="1030"/>
      <c r="Y1377" s="694">
        <f t="shared" si="185"/>
        <v>0</v>
      </c>
      <c r="Z1377" s="690"/>
      <c r="AA1377" s="690"/>
      <c r="AB1377" s="695">
        <f t="shared" si="186"/>
        <v>0</v>
      </c>
      <c r="AC1377" s="1035"/>
      <c r="AD1377" s="690"/>
      <c r="AE1377" s="1025"/>
      <c r="AF1377" s="1030"/>
      <c r="AG1377" s="690"/>
      <c r="AH1377" s="690"/>
      <c r="AI1377" s="696">
        <f t="shared" si="187"/>
        <v>5578800</v>
      </c>
      <c r="AJ1377" s="697">
        <f t="shared" si="188"/>
        <v>5999100</v>
      </c>
    </row>
    <row r="1378" spans="1:36" s="700" customFormat="1" ht="12.75" customHeight="1">
      <c r="A1378" s="842" t="s">
        <v>205</v>
      </c>
      <c r="B1378" s="866" t="s">
        <v>422</v>
      </c>
      <c r="C1378" s="867" t="s">
        <v>150</v>
      </c>
      <c r="D1378" s="867"/>
      <c r="E1378" s="868"/>
      <c r="F1378" s="869"/>
      <c r="G1378" s="1025"/>
      <c r="H1378" s="690"/>
      <c r="I1378" s="1030"/>
      <c r="J1378" s="690"/>
      <c r="K1378" s="1030"/>
      <c r="L1378" s="690"/>
      <c r="M1378" s="1025"/>
      <c r="N1378" s="1030"/>
      <c r="O1378" s="692">
        <f t="shared" si="181"/>
        <v>0</v>
      </c>
      <c r="P1378" s="690"/>
      <c r="Q1378" s="690"/>
      <c r="R1378" s="691">
        <f t="shared" si="182"/>
        <v>0</v>
      </c>
      <c r="S1378" s="692">
        <f t="shared" si="183"/>
        <v>0</v>
      </c>
      <c r="T1378" s="693">
        <f t="shared" si="184"/>
        <v>0</v>
      </c>
      <c r="U1378" s="1035"/>
      <c r="V1378" s="690"/>
      <c r="W1378" s="1025"/>
      <c r="X1378" s="1030"/>
      <c r="Y1378" s="694">
        <f t="shared" si="185"/>
        <v>0</v>
      </c>
      <c r="Z1378" s="690"/>
      <c r="AA1378" s="690"/>
      <c r="AB1378" s="695">
        <f t="shared" si="186"/>
        <v>0</v>
      </c>
      <c r="AC1378" s="1035"/>
      <c r="AD1378" s="690"/>
      <c r="AE1378" s="1025"/>
      <c r="AF1378" s="1030"/>
      <c r="AG1378" s="690"/>
      <c r="AH1378" s="690"/>
      <c r="AI1378" s="696">
        <f t="shared" si="187"/>
        <v>0</v>
      </c>
      <c r="AJ1378" s="697">
        <f t="shared" si="188"/>
        <v>0</v>
      </c>
    </row>
    <row r="1379" spans="1:36" s="700" customFormat="1" ht="12.75" customHeight="1">
      <c r="A1379" s="842" t="s">
        <v>205</v>
      </c>
      <c r="B1379" s="863" t="s">
        <v>382</v>
      </c>
      <c r="C1379" s="864" t="s">
        <v>443</v>
      </c>
      <c r="D1379" s="864"/>
      <c r="E1379" s="868"/>
      <c r="F1379" s="869"/>
      <c r="G1379" s="1025"/>
      <c r="H1379" s="690"/>
      <c r="I1379" s="1030"/>
      <c r="J1379" s="690"/>
      <c r="K1379" s="1030"/>
      <c r="L1379" s="690"/>
      <c r="M1379" s="1025"/>
      <c r="N1379" s="1030"/>
      <c r="O1379" s="692">
        <f t="shared" si="181"/>
        <v>0</v>
      </c>
      <c r="P1379" s="690"/>
      <c r="Q1379" s="690"/>
      <c r="R1379" s="691">
        <f t="shared" si="182"/>
        <v>0</v>
      </c>
      <c r="S1379" s="692">
        <f t="shared" si="183"/>
        <v>0</v>
      </c>
      <c r="T1379" s="693">
        <f t="shared" si="184"/>
        <v>0</v>
      </c>
      <c r="U1379" s="1035">
        <v>2100</v>
      </c>
      <c r="V1379" s="690">
        <v>600</v>
      </c>
      <c r="W1379" s="1025"/>
      <c r="X1379" s="1030"/>
      <c r="Y1379" s="694">
        <f t="shared" si="185"/>
        <v>0</v>
      </c>
      <c r="Z1379" s="690"/>
      <c r="AA1379" s="690"/>
      <c r="AB1379" s="695">
        <f t="shared" si="186"/>
        <v>0</v>
      </c>
      <c r="AC1379" s="1035"/>
      <c r="AD1379" s="690"/>
      <c r="AE1379" s="1025"/>
      <c r="AF1379" s="1030"/>
      <c r="AG1379" s="690"/>
      <c r="AH1379" s="690"/>
      <c r="AI1379" s="696">
        <f t="shared" si="187"/>
        <v>2100</v>
      </c>
      <c r="AJ1379" s="697">
        <f t="shared" si="188"/>
        <v>600</v>
      </c>
    </row>
    <row r="1380" spans="1:36" s="700" customFormat="1" ht="12.75" customHeight="1">
      <c r="A1380" s="842" t="s">
        <v>205</v>
      </c>
      <c r="B1380" s="863" t="s">
        <v>383</v>
      </c>
      <c r="C1380" s="864" t="s">
        <v>377</v>
      </c>
      <c r="D1380" s="864"/>
      <c r="E1380" s="868"/>
      <c r="F1380" s="869"/>
      <c r="G1380" s="1025"/>
      <c r="H1380" s="690"/>
      <c r="I1380" s="1030"/>
      <c r="J1380" s="690"/>
      <c r="K1380" s="1030"/>
      <c r="L1380" s="690"/>
      <c r="M1380" s="1025"/>
      <c r="N1380" s="1030"/>
      <c r="O1380" s="692">
        <f t="shared" si="181"/>
        <v>0</v>
      </c>
      <c r="P1380" s="690"/>
      <c r="Q1380" s="690"/>
      <c r="R1380" s="691">
        <f t="shared" si="182"/>
        <v>0</v>
      </c>
      <c r="S1380" s="692">
        <f t="shared" si="183"/>
        <v>0</v>
      </c>
      <c r="T1380" s="693">
        <f t="shared" si="184"/>
        <v>0</v>
      </c>
      <c r="U1380" s="1035"/>
      <c r="V1380" s="690"/>
      <c r="W1380" s="1025"/>
      <c r="X1380" s="1030"/>
      <c r="Y1380" s="694">
        <f t="shared" si="185"/>
        <v>0</v>
      </c>
      <c r="Z1380" s="690"/>
      <c r="AA1380" s="690"/>
      <c r="AB1380" s="695">
        <f t="shared" si="186"/>
        <v>0</v>
      </c>
      <c r="AC1380" s="1035"/>
      <c r="AD1380" s="690"/>
      <c r="AE1380" s="1025"/>
      <c r="AF1380" s="1030"/>
      <c r="AG1380" s="690"/>
      <c r="AH1380" s="690"/>
      <c r="AI1380" s="696">
        <f t="shared" si="187"/>
        <v>0</v>
      </c>
      <c r="AJ1380" s="697">
        <f t="shared" si="188"/>
        <v>0</v>
      </c>
    </row>
    <row r="1381" spans="1:36" s="700" customFormat="1" ht="12.75" customHeight="1">
      <c r="A1381" s="870" t="s">
        <v>211</v>
      </c>
      <c r="B1381" s="870" t="s">
        <v>392</v>
      </c>
      <c r="C1381" s="871" t="s">
        <v>1069</v>
      </c>
      <c r="D1381" s="871"/>
      <c r="E1381" s="872">
        <v>163286</v>
      </c>
      <c r="F1381" s="873">
        <v>1</v>
      </c>
      <c r="G1381" s="1029">
        <v>380317317</v>
      </c>
      <c r="H1381" s="874">
        <v>367696216</v>
      </c>
      <c r="I1381" s="1030"/>
      <c r="J1381" s="690"/>
      <c r="K1381" s="1030"/>
      <c r="L1381" s="690"/>
      <c r="M1381" s="1025">
        <v>418864892</v>
      </c>
      <c r="N1381" s="1030"/>
      <c r="O1381" s="692">
        <f t="shared" si="181"/>
        <v>418864892</v>
      </c>
      <c r="P1381" s="690">
        <v>417706873</v>
      </c>
      <c r="Q1381" s="690"/>
      <c r="R1381" s="691">
        <f t="shared" si="182"/>
        <v>417706873</v>
      </c>
      <c r="S1381" s="692">
        <f t="shared" si="183"/>
        <v>799182209</v>
      </c>
      <c r="T1381" s="693">
        <f t="shared" si="184"/>
        <v>785403089</v>
      </c>
      <c r="U1381" s="1035"/>
      <c r="V1381" s="690"/>
      <c r="W1381" s="1025"/>
      <c r="X1381" s="1030"/>
      <c r="Y1381" s="694">
        <f t="shared" si="185"/>
        <v>0</v>
      </c>
      <c r="Z1381" s="690"/>
      <c r="AA1381" s="690"/>
      <c r="AB1381" s="695">
        <f t="shared" si="186"/>
        <v>0</v>
      </c>
      <c r="AC1381" s="1035"/>
      <c r="AD1381" s="690"/>
      <c r="AE1381" s="1025"/>
      <c r="AF1381" s="1030"/>
      <c r="AG1381" s="690"/>
      <c r="AH1381" s="690"/>
      <c r="AI1381" s="696">
        <f t="shared" si="187"/>
        <v>799182209</v>
      </c>
      <c r="AJ1381" s="697">
        <f t="shared" si="188"/>
        <v>785403089</v>
      </c>
    </row>
    <row r="1382" spans="1:36" s="700" customFormat="1" ht="12.75" customHeight="1">
      <c r="A1382" s="870" t="s">
        <v>211</v>
      </c>
      <c r="B1382" s="870" t="s">
        <v>395</v>
      </c>
      <c r="C1382" s="875" t="s">
        <v>1070</v>
      </c>
      <c r="D1382" s="875"/>
      <c r="E1382" s="872">
        <v>163286</v>
      </c>
      <c r="F1382" s="873">
        <v>1</v>
      </c>
      <c r="G1382" s="1025" t="s">
        <v>1071</v>
      </c>
      <c r="H1382" s="690"/>
      <c r="I1382" s="1030"/>
      <c r="J1382" s="690"/>
      <c r="K1382" s="1030"/>
      <c r="L1382" s="690"/>
      <c r="M1382" s="1025"/>
      <c r="N1382" s="1030"/>
      <c r="O1382" s="692">
        <f t="shared" si="181"/>
        <v>0</v>
      </c>
      <c r="P1382" s="690"/>
      <c r="Q1382" s="690"/>
      <c r="R1382" s="691">
        <f t="shared" si="182"/>
        <v>0</v>
      </c>
      <c r="S1382" s="692">
        <f t="shared" si="183"/>
        <v>0</v>
      </c>
      <c r="T1382" s="693">
        <f t="shared" si="184"/>
        <v>0</v>
      </c>
      <c r="U1382" s="1035"/>
      <c r="V1382" s="690"/>
      <c r="W1382" s="1025"/>
      <c r="X1382" s="1030"/>
      <c r="Y1382" s="694">
        <f t="shared" si="185"/>
        <v>0</v>
      </c>
      <c r="Z1382" s="690"/>
      <c r="AA1382" s="690"/>
      <c r="AB1382" s="695">
        <f t="shared" si="186"/>
        <v>0</v>
      </c>
      <c r="AC1382" s="1035"/>
      <c r="AD1382" s="690"/>
      <c r="AE1382" s="1025"/>
      <c r="AF1382" s="1030"/>
      <c r="AG1382" s="690"/>
      <c r="AH1382" s="690"/>
      <c r="AI1382" s="696">
        <f t="shared" si="187"/>
        <v>0</v>
      </c>
      <c r="AJ1382" s="697">
        <f t="shared" si="188"/>
        <v>0</v>
      </c>
    </row>
    <row r="1383" spans="1:36" s="700" customFormat="1" ht="12.75" customHeight="1">
      <c r="A1383" s="870" t="s">
        <v>211</v>
      </c>
      <c r="B1383" s="870" t="s">
        <v>396</v>
      </c>
      <c r="C1383" s="875" t="s">
        <v>385</v>
      </c>
      <c r="D1383" s="875"/>
      <c r="E1383" s="872">
        <v>163286</v>
      </c>
      <c r="F1383" s="873">
        <v>1</v>
      </c>
      <c r="G1383" s="1025"/>
      <c r="H1383" s="690"/>
      <c r="I1383" s="1030">
        <v>17379537</v>
      </c>
      <c r="J1383" s="690">
        <v>19181748</v>
      </c>
      <c r="K1383" s="1030"/>
      <c r="L1383" s="690"/>
      <c r="M1383" s="1025"/>
      <c r="N1383" s="1030"/>
      <c r="O1383" s="692">
        <f t="shared" si="181"/>
        <v>0</v>
      </c>
      <c r="P1383" s="690"/>
      <c r="Q1383" s="690"/>
      <c r="R1383" s="691">
        <f t="shared" si="182"/>
        <v>0</v>
      </c>
      <c r="S1383" s="692">
        <f t="shared" si="183"/>
        <v>17379537</v>
      </c>
      <c r="T1383" s="693">
        <f t="shared" si="184"/>
        <v>19181748</v>
      </c>
      <c r="U1383" s="1035"/>
      <c r="V1383" s="690"/>
      <c r="W1383" s="1025"/>
      <c r="X1383" s="1030"/>
      <c r="Y1383" s="694">
        <f t="shared" si="185"/>
        <v>0</v>
      </c>
      <c r="Z1383" s="690"/>
      <c r="AA1383" s="690"/>
      <c r="AB1383" s="695">
        <f t="shared" si="186"/>
        <v>0</v>
      </c>
      <c r="AC1383" s="1035"/>
      <c r="AD1383" s="690"/>
      <c r="AE1383" s="1025"/>
      <c r="AF1383" s="1030"/>
      <c r="AG1383" s="690"/>
      <c r="AH1383" s="690"/>
      <c r="AI1383" s="696">
        <f t="shared" si="187"/>
        <v>17379537</v>
      </c>
      <c r="AJ1383" s="697">
        <f t="shared" si="188"/>
        <v>19181748</v>
      </c>
    </row>
    <row r="1384" spans="1:36" s="700" customFormat="1" ht="12.75" customHeight="1">
      <c r="A1384" s="870" t="s">
        <v>211</v>
      </c>
      <c r="B1384" s="870" t="s">
        <v>397</v>
      </c>
      <c r="C1384" s="875" t="s">
        <v>384</v>
      </c>
      <c r="D1384" s="875"/>
      <c r="E1384" s="872">
        <v>163286</v>
      </c>
      <c r="F1384" s="873">
        <v>1</v>
      </c>
      <c r="G1384" s="1025"/>
      <c r="H1384" s="690"/>
      <c r="I1384" s="1030">
        <v>15834373</v>
      </c>
      <c r="J1384" s="690">
        <v>16988676</v>
      </c>
      <c r="K1384" s="1030"/>
      <c r="L1384" s="690"/>
      <c r="M1384" s="1025"/>
      <c r="N1384" s="1030"/>
      <c r="O1384" s="692">
        <f t="shared" si="181"/>
        <v>0</v>
      </c>
      <c r="P1384" s="690"/>
      <c r="Q1384" s="690"/>
      <c r="R1384" s="691">
        <f t="shared" si="182"/>
        <v>0</v>
      </c>
      <c r="S1384" s="692">
        <f t="shared" si="183"/>
        <v>15834373</v>
      </c>
      <c r="T1384" s="693">
        <f t="shared" si="184"/>
        <v>16988676</v>
      </c>
      <c r="U1384" s="1035"/>
      <c r="V1384" s="690"/>
      <c r="W1384" s="1025"/>
      <c r="X1384" s="1030"/>
      <c r="Y1384" s="694">
        <f t="shared" si="185"/>
        <v>0</v>
      </c>
      <c r="Z1384" s="690"/>
      <c r="AA1384" s="690"/>
      <c r="AB1384" s="695">
        <f t="shared" si="186"/>
        <v>0</v>
      </c>
      <c r="AC1384" s="1035"/>
      <c r="AD1384" s="690"/>
      <c r="AE1384" s="1025"/>
      <c r="AF1384" s="1030"/>
      <c r="AG1384" s="690"/>
      <c r="AH1384" s="690"/>
      <c r="AI1384" s="696">
        <f t="shared" si="187"/>
        <v>15834373</v>
      </c>
      <c r="AJ1384" s="697">
        <f t="shared" si="188"/>
        <v>16988676</v>
      </c>
    </row>
    <row r="1385" spans="1:36" s="700" customFormat="1" ht="12.75" customHeight="1">
      <c r="A1385" s="870" t="s">
        <v>211</v>
      </c>
      <c r="B1385" s="870" t="s">
        <v>399</v>
      </c>
      <c r="C1385" s="875" t="s">
        <v>441</v>
      </c>
      <c r="D1385" s="875"/>
      <c r="E1385" s="872">
        <v>163286</v>
      </c>
      <c r="F1385" s="873">
        <v>1</v>
      </c>
      <c r="G1385" s="1025"/>
      <c r="H1385" s="690"/>
      <c r="I1385" s="1030"/>
      <c r="J1385" s="690"/>
      <c r="K1385" s="1030"/>
      <c r="L1385" s="690"/>
      <c r="M1385" s="1025"/>
      <c r="N1385" s="1030"/>
      <c r="O1385" s="692">
        <f t="shared" si="181"/>
        <v>0</v>
      </c>
      <c r="P1385" s="690"/>
      <c r="Q1385" s="690"/>
      <c r="R1385" s="691">
        <f t="shared" si="182"/>
        <v>0</v>
      </c>
      <c r="S1385" s="692">
        <f t="shared" si="183"/>
        <v>0</v>
      </c>
      <c r="T1385" s="693">
        <f t="shared" si="184"/>
        <v>0</v>
      </c>
      <c r="U1385" s="1035"/>
      <c r="V1385" s="690"/>
      <c r="W1385" s="1025"/>
      <c r="X1385" s="1030"/>
      <c r="Y1385" s="694">
        <f t="shared" si="185"/>
        <v>0</v>
      </c>
      <c r="Z1385" s="690"/>
      <c r="AA1385" s="690"/>
      <c r="AB1385" s="695">
        <f t="shared" si="186"/>
        <v>0</v>
      </c>
      <c r="AC1385" s="1035"/>
      <c r="AD1385" s="690"/>
      <c r="AE1385" s="1025"/>
      <c r="AF1385" s="1030"/>
      <c r="AG1385" s="690"/>
      <c r="AH1385" s="690"/>
      <c r="AI1385" s="696">
        <f t="shared" si="187"/>
        <v>0</v>
      </c>
      <c r="AJ1385" s="697">
        <f t="shared" si="188"/>
        <v>0</v>
      </c>
    </row>
    <row r="1386" spans="1:36" s="700" customFormat="1" ht="12.75" customHeight="1">
      <c r="A1386" s="870" t="s">
        <v>211</v>
      </c>
      <c r="B1386" s="870" t="s">
        <v>399</v>
      </c>
      <c r="C1386" s="876" t="s">
        <v>1072</v>
      </c>
      <c r="D1386" s="876"/>
      <c r="E1386" s="872">
        <v>163286</v>
      </c>
      <c r="F1386" s="873">
        <v>1</v>
      </c>
      <c r="G1386" s="1025"/>
      <c r="H1386" s="690"/>
      <c r="I1386" s="1030">
        <v>17876232</v>
      </c>
      <c r="J1386" s="690">
        <v>17924773</v>
      </c>
      <c r="K1386" s="1030"/>
      <c r="L1386" s="690"/>
      <c r="M1386" s="1025"/>
      <c r="N1386" s="1030"/>
      <c r="O1386" s="692">
        <f t="shared" si="181"/>
        <v>0</v>
      </c>
      <c r="P1386" s="690"/>
      <c r="Q1386" s="690"/>
      <c r="R1386" s="691">
        <f t="shared" si="182"/>
        <v>0</v>
      </c>
      <c r="S1386" s="692">
        <f t="shared" si="183"/>
        <v>17876232</v>
      </c>
      <c r="T1386" s="693">
        <f t="shared" si="184"/>
        <v>17924773</v>
      </c>
      <c r="U1386" s="1035"/>
      <c r="V1386" s="690"/>
      <c r="W1386" s="1025"/>
      <c r="X1386" s="1030"/>
      <c r="Y1386" s="694">
        <f t="shared" si="185"/>
        <v>0</v>
      </c>
      <c r="Z1386" s="690"/>
      <c r="AA1386" s="690"/>
      <c r="AB1386" s="695">
        <f t="shared" si="186"/>
        <v>0</v>
      </c>
      <c r="AC1386" s="1035"/>
      <c r="AD1386" s="690"/>
      <c r="AE1386" s="1025"/>
      <c r="AF1386" s="1030"/>
      <c r="AG1386" s="690"/>
      <c r="AH1386" s="690"/>
      <c r="AI1386" s="696">
        <f t="shared" si="187"/>
        <v>17876232</v>
      </c>
      <c r="AJ1386" s="697">
        <f t="shared" si="188"/>
        <v>17924773</v>
      </c>
    </row>
    <row r="1387" spans="1:36" s="700" customFormat="1" ht="12.75" customHeight="1">
      <c r="A1387" s="870" t="s">
        <v>211</v>
      </c>
      <c r="B1387" s="870" t="s">
        <v>399</v>
      </c>
      <c r="C1387" s="876" t="s">
        <v>1073</v>
      </c>
      <c r="D1387" s="876"/>
      <c r="E1387" s="872">
        <v>163286</v>
      </c>
      <c r="F1387" s="873">
        <v>1</v>
      </c>
      <c r="G1387" s="1025"/>
      <c r="H1387" s="690"/>
      <c r="I1387" s="1030">
        <v>20543438</v>
      </c>
      <c r="J1387" s="690"/>
      <c r="K1387" s="1030"/>
      <c r="L1387" s="690"/>
      <c r="M1387" s="1025"/>
      <c r="N1387" s="1030"/>
      <c r="O1387" s="692">
        <f t="shared" si="181"/>
        <v>0</v>
      </c>
      <c r="P1387" s="690"/>
      <c r="Q1387" s="690"/>
      <c r="R1387" s="691">
        <f t="shared" si="182"/>
        <v>0</v>
      </c>
      <c r="S1387" s="692">
        <f t="shared" si="183"/>
        <v>20543438</v>
      </c>
      <c r="T1387" s="693">
        <f t="shared" si="184"/>
        <v>0</v>
      </c>
      <c r="U1387" s="1035"/>
      <c r="V1387" s="690"/>
      <c r="W1387" s="1025"/>
      <c r="X1387" s="1030"/>
      <c r="Y1387" s="694">
        <f t="shared" si="185"/>
        <v>0</v>
      </c>
      <c r="Z1387" s="690"/>
      <c r="AA1387" s="690"/>
      <c r="AB1387" s="695">
        <f t="shared" si="186"/>
        <v>0</v>
      </c>
      <c r="AC1387" s="1035"/>
      <c r="AD1387" s="690"/>
      <c r="AE1387" s="1025"/>
      <c r="AF1387" s="1030"/>
      <c r="AG1387" s="690"/>
      <c r="AH1387" s="690"/>
      <c r="AI1387" s="696">
        <f t="shared" si="187"/>
        <v>20543438</v>
      </c>
      <c r="AJ1387" s="697">
        <f t="shared" si="188"/>
        <v>0</v>
      </c>
    </row>
    <row r="1388" spans="1:36" s="700" customFormat="1" ht="12.75" customHeight="1">
      <c r="A1388" s="870" t="s">
        <v>211</v>
      </c>
      <c r="B1388" s="870" t="s">
        <v>392</v>
      </c>
      <c r="C1388" s="871" t="s">
        <v>1074</v>
      </c>
      <c r="D1388" s="871"/>
      <c r="E1388" s="872">
        <v>163268</v>
      </c>
      <c r="F1388" s="873">
        <v>2</v>
      </c>
      <c r="G1388" s="1025">
        <v>88737822</v>
      </c>
      <c r="H1388" s="690">
        <v>89306609</v>
      </c>
      <c r="I1388" s="1030"/>
      <c r="J1388" s="690"/>
      <c r="K1388" s="1030"/>
      <c r="L1388" s="690"/>
      <c r="M1388" s="1025">
        <v>94330396</v>
      </c>
      <c r="N1388" s="1030"/>
      <c r="O1388" s="692">
        <f t="shared" si="181"/>
        <v>94330396</v>
      </c>
      <c r="P1388" s="690">
        <v>93990242</v>
      </c>
      <c r="Q1388" s="690"/>
      <c r="R1388" s="691">
        <f t="shared" si="182"/>
        <v>93990242</v>
      </c>
      <c r="S1388" s="692">
        <f t="shared" si="183"/>
        <v>183068218</v>
      </c>
      <c r="T1388" s="693">
        <f t="shared" si="184"/>
        <v>183296851</v>
      </c>
      <c r="U1388" s="1035"/>
      <c r="V1388" s="690"/>
      <c r="W1388" s="1025"/>
      <c r="X1388" s="1030"/>
      <c r="Y1388" s="694">
        <f t="shared" si="185"/>
        <v>0</v>
      </c>
      <c r="Z1388" s="690"/>
      <c r="AA1388" s="690"/>
      <c r="AB1388" s="695">
        <f t="shared" si="186"/>
        <v>0</v>
      </c>
      <c r="AC1388" s="1035"/>
      <c r="AD1388" s="690"/>
      <c r="AE1388" s="1025"/>
      <c r="AF1388" s="1030"/>
      <c r="AG1388" s="690"/>
      <c r="AH1388" s="690"/>
      <c r="AI1388" s="696">
        <f t="shared" si="187"/>
        <v>183068218</v>
      </c>
      <c r="AJ1388" s="697">
        <f t="shared" si="188"/>
        <v>183296851</v>
      </c>
    </row>
    <row r="1389" spans="1:36" s="700" customFormat="1" ht="12.75" customHeight="1">
      <c r="A1389" s="870" t="s">
        <v>211</v>
      </c>
      <c r="B1389" s="870" t="s">
        <v>392</v>
      </c>
      <c r="C1389" s="877" t="s">
        <v>1075</v>
      </c>
      <c r="D1389" s="1074" t="s">
        <v>1963</v>
      </c>
      <c r="E1389" s="872">
        <v>163453</v>
      </c>
      <c r="F1389" s="873">
        <v>3</v>
      </c>
      <c r="G1389" s="1025">
        <v>71224997</v>
      </c>
      <c r="H1389" s="690">
        <v>72946259</v>
      </c>
      <c r="I1389" s="1030"/>
      <c r="J1389" s="690"/>
      <c r="K1389" s="1030"/>
      <c r="L1389" s="690"/>
      <c r="M1389" s="1025">
        <v>48064395</v>
      </c>
      <c r="N1389" s="1030"/>
      <c r="O1389" s="692">
        <f t="shared" si="181"/>
        <v>48064395</v>
      </c>
      <c r="P1389" s="690">
        <v>50028652</v>
      </c>
      <c r="Q1389" s="690"/>
      <c r="R1389" s="691">
        <f t="shared" si="182"/>
        <v>50028652</v>
      </c>
      <c r="S1389" s="692">
        <f t="shared" si="183"/>
        <v>119289392</v>
      </c>
      <c r="T1389" s="693">
        <f t="shared" si="184"/>
        <v>122974911</v>
      </c>
      <c r="U1389" s="1035"/>
      <c r="V1389" s="690"/>
      <c r="W1389" s="1025"/>
      <c r="X1389" s="1030"/>
      <c r="Y1389" s="694">
        <f t="shared" si="185"/>
        <v>0</v>
      </c>
      <c r="Z1389" s="690"/>
      <c r="AA1389" s="690"/>
      <c r="AB1389" s="695">
        <f t="shared" si="186"/>
        <v>0</v>
      </c>
      <c r="AC1389" s="1035"/>
      <c r="AD1389" s="690"/>
      <c r="AE1389" s="1025"/>
      <c r="AF1389" s="1030"/>
      <c r="AG1389" s="690"/>
      <c r="AH1389" s="690"/>
      <c r="AI1389" s="696">
        <f t="shared" si="187"/>
        <v>119289392</v>
      </c>
      <c r="AJ1389" s="697">
        <f t="shared" si="188"/>
        <v>122974911</v>
      </c>
    </row>
    <row r="1390" spans="1:36" s="700" customFormat="1" ht="12.75" customHeight="1">
      <c r="A1390" s="870" t="s">
        <v>211</v>
      </c>
      <c r="B1390" s="870" t="s">
        <v>392</v>
      </c>
      <c r="C1390" s="871" t="s">
        <v>1076</v>
      </c>
      <c r="D1390" s="871"/>
      <c r="E1390" s="872">
        <v>164076</v>
      </c>
      <c r="F1390" s="873">
        <v>3</v>
      </c>
      <c r="G1390" s="1025">
        <v>88928616</v>
      </c>
      <c r="H1390" s="690">
        <v>89569941</v>
      </c>
      <c r="I1390" s="1030"/>
      <c r="J1390" s="690"/>
      <c r="K1390" s="1030"/>
      <c r="L1390" s="690"/>
      <c r="M1390" s="1025">
        <v>147993953</v>
      </c>
      <c r="N1390" s="1030"/>
      <c r="O1390" s="692">
        <f t="shared" si="181"/>
        <v>147993953</v>
      </c>
      <c r="P1390" s="690">
        <v>155733707</v>
      </c>
      <c r="Q1390" s="690"/>
      <c r="R1390" s="691">
        <f t="shared" si="182"/>
        <v>155733707</v>
      </c>
      <c r="S1390" s="692">
        <f t="shared" si="183"/>
        <v>236922569</v>
      </c>
      <c r="T1390" s="693">
        <f t="shared" si="184"/>
        <v>245303648</v>
      </c>
      <c r="U1390" s="1035"/>
      <c r="V1390" s="690"/>
      <c r="W1390" s="1025"/>
      <c r="X1390" s="1030"/>
      <c r="Y1390" s="694">
        <f t="shared" si="185"/>
        <v>0</v>
      </c>
      <c r="Z1390" s="690"/>
      <c r="AA1390" s="690"/>
      <c r="AB1390" s="695">
        <f t="shared" si="186"/>
        <v>0</v>
      </c>
      <c r="AC1390" s="1035"/>
      <c r="AD1390" s="690"/>
      <c r="AE1390" s="1025"/>
      <c r="AF1390" s="1030"/>
      <c r="AG1390" s="690"/>
      <c r="AH1390" s="690"/>
      <c r="AI1390" s="696">
        <f t="shared" si="187"/>
        <v>236922569</v>
      </c>
      <c r="AJ1390" s="697">
        <f t="shared" si="188"/>
        <v>245303648</v>
      </c>
    </row>
    <row r="1391" spans="1:36" s="700" customFormat="1" ht="12.75" customHeight="1">
      <c r="A1391" s="870" t="s">
        <v>211</v>
      </c>
      <c r="B1391" s="870" t="s">
        <v>392</v>
      </c>
      <c r="C1391" s="871" t="s">
        <v>1077</v>
      </c>
      <c r="D1391" s="871"/>
      <c r="E1391" s="872">
        <v>162007</v>
      </c>
      <c r="F1391" s="873">
        <v>4</v>
      </c>
      <c r="G1391" s="1025">
        <v>35349241</v>
      </c>
      <c r="H1391" s="690">
        <v>34921359</v>
      </c>
      <c r="I1391" s="1030"/>
      <c r="J1391" s="690"/>
      <c r="K1391" s="1030"/>
      <c r="L1391" s="690"/>
      <c r="M1391" s="1025">
        <v>32956142</v>
      </c>
      <c r="N1391" s="1030"/>
      <c r="O1391" s="692">
        <f t="shared" si="181"/>
        <v>32956142</v>
      </c>
      <c r="P1391" s="690">
        <v>32332735</v>
      </c>
      <c r="Q1391" s="690"/>
      <c r="R1391" s="691">
        <f t="shared" si="182"/>
        <v>32332735</v>
      </c>
      <c r="S1391" s="692">
        <f t="shared" si="183"/>
        <v>68305383</v>
      </c>
      <c r="T1391" s="693">
        <f t="shared" si="184"/>
        <v>67254094</v>
      </c>
      <c r="U1391" s="1035"/>
      <c r="V1391" s="690"/>
      <c r="W1391" s="1025"/>
      <c r="X1391" s="1030"/>
      <c r="Y1391" s="694">
        <f t="shared" si="185"/>
        <v>0</v>
      </c>
      <c r="Z1391" s="690"/>
      <c r="AA1391" s="690"/>
      <c r="AB1391" s="695">
        <f t="shared" si="186"/>
        <v>0</v>
      </c>
      <c r="AC1391" s="1035"/>
      <c r="AD1391" s="690"/>
      <c r="AE1391" s="1025"/>
      <c r="AF1391" s="1030"/>
      <c r="AG1391" s="690"/>
      <c r="AH1391" s="690"/>
      <c r="AI1391" s="696">
        <f t="shared" si="187"/>
        <v>68305383</v>
      </c>
      <c r="AJ1391" s="697">
        <f t="shared" si="188"/>
        <v>67254094</v>
      </c>
    </row>
    <row r="1392" spans="1:36" s="700" customFormat="1" ht="12.75" customHeight="1">
      <c r="A1392" s="870" t="s">
        <v>211</v>
      </c>
      <c r="B1392" s="870" t="s">
        <v>392</v>
      </c>
      <c r="C1392" s="877" t="s">
        <v>1078</v>
      </c>
      <c r="D1392" s="1074" t="s">
        <v>1907</v>
      </c>
      <c r="E1392" s="872">
        <v>162283</v>
      </c>
      <c r="F1392" s="873">
        <v>4</v>
      </c>
      <c r="G1392" s="1025">
        <v>37899470</v>
      </c>
      <c r="H1392" s="690">
        <v>37774962</v>
      </c>
      <c r="I1392" s="1030"/>
      <c r="J1392" s="690"/>
      <c r="K1392" s="1030"/>
      <c r="L1392" s="690"/>
      <c r="M1392" s="1025">
        <v>16490326</v>
      </c>
      <c r="N1392" s="1030"/>
      <c r="O1392" s="692">
        <f t="shared" si="181"/>
        <v>16490326</v>
      </c>
      <c r="P1392" s="690">
        <v>16882136</v>
      </c>
      <c r="Q1392" s="690"/>
      <c r="R1392" s="691">
        <f t="shared" si="182"/>
        <v>16882136</v>
      </c>
      <c r="S1392" s="692">
        <f t="shared" si="183"/>
        <v>54389796</v>
      </c>
      <c r="T1392" s="693">
        <f t="shared" si="184"/>
        <v>54657098</v>
      </c>
      <c r="U1392" s="1035"/>
      <c r="V1392" s="690"/>
      <c r="W1392" s="1025"/>
      <c r="X1392" s="1030"/>
      <c r="Y1392" s="694">
        <f t="shared" si="185"/>
        <v>0</v>
      </c>
      <c r="Z1392" s="690"/>
      <c r="AA1392" s="690"/>
      <c r="AB1392" s="695">
        <f t="shared" si="186"/>
        <v>0</v>
      </c>
      <c r="AC1392" s="1035"/>
      <c r="AD1392" s="690"/>
      <c r="AE1392" s="1025"/>
      <c r="AF1392" s="1030"/>
      <c r="AG1392" s="690"/>
      <c r="AH1392" s="690"/>
      <c r="AI1392" s="696">
        <f t="shared" si="187"/>
        <v>54389796</v>
      </c>
      <c r="AJ1392" s="697">
        <f t="shared" si="188"/>
        <v>54657098</v>
      </c>
    </row>
    <row r="1393" spans="1:36" s="700" customFormat="1" ht="12.75" customHeight="1">
      <c r="A1393" s="870" t="s">
        <v>211</v>
      </c>
      <c r="B1393" s="870" t="s">
        <v>392</v>
      </c>
      <c r="C1393" s="871" t="s">
        <v>1079</v>
      </c>
      <c r="D1393" s="871"/>
      <c r="E1393" s="872">
        <v>162584</v>
      </c>
      <c r="F1393" s="873">
        <v>4</v>
      </c>
      <c r="G1393" s="1025">
        <v>32711204</v>
      </c>
      <c r="H1393" s="690">
        <v>32851678</v>
      </c>
      <c r="I1393" s="1030"/>
      <c r="J1393" s="690"/>
      <c r="K1393" s="1030"/>
      <c r="L1393" s="690"/>
      <c r="M1393" s="1025">
        <v>31584885</v>
      </c>
      <c r="N1393" s="1030"/>
      <c r="O1393" s="692">
        <f t="shared" si="181"/>
        <v>31584885</v>
      </c>
      <c r="P1393" s="690">
        <v>31895034</v>
      </c>
      <c r="Q1393" s="690"/>
      <c r="R1393" s="691">
        <f t="shared" si="182"/>
        <v>31895034</v>
      </c>
      <c r="S1393" s="692">
        <f t="shared" si="183"/>
        <v>64296089</v>
      </c>
      <c r="T1393" s="693">
        <f t="shared" si="184"/>
        <v>64746712</v>
      </c>
      <c r="U1393" s="1035"/>
      <c r="V1393" s="690"/>
      <c r="W1393" s="1025"/>
      <c r="X1393" s="1030"/>
      <c r="Y1393" s="694">
        <f t="shared" si="185"/>
        <v>0</v>
      </c>
      <c r="Z1393" s="690"/>
      <c r="AA1393" s="690"/>
      <c r="AB1393" s="695">
        <f t="shared" si="186"/>
        <v>0</v>
      </c>
      <c r="AC1393" s="1035"/>
      <c r="AD1393" s="690"/>
      <c r="AE1393" s="1025"/>
      <c r="AF1393" s="1030"/>
      <c r="AG1393" s="690"/>
      <c r="AH1393" s="690"/>
      <c r="AI1393" s="696">
        <f t="shared" si="187"/>
        <v>64296089</v>
      </c>
      <c r="AJ1393" s="697">
        <f t="shared" si="188"/>
        <v>64746712</v>
      </c>
    </row>
    <row r="1394" spans="1:36" s="700" customFormat="1" ht="12.75" customHeight="1">
      <c r="A1394" s="870" t="s">
        <v>211</v>
      </c>
      <c r="B1394" s="870" t="s">
        <v>392</v>
      </c>
      <c r="C1394" s="871" t="s">
        <v>1080</v>
      </c>
      <c r="D1394" s="871"/>
      <c r="E1394" s="872">
        <v>163851</v>
      </c>
      <c r="F1394" s="873">
        <v>4</v>
      </c>
      <c r="G1394" s="1025">
        <v>38662497</v>
      </c>
      <c r="H1394" s="690">
        <v>39049439</v>
      </c>
      <c r="I1394" s="1030"/>
      <c r="J1394" s="690"/>
      <c r="K1394" s="1030"/>
      <c r="L1394" s="690"/>
      <c r="M1394" s="1025">
        <v>51401626</v>
      </c>
      <c r="N1394" s="1030"/>
      <c r="O1394" s="692">
        <f t="shared" si="181"/>
        <v>51401626</v>
      </c>
      <c r="P1394" s="690">
        <v>51707334</v>
      </c>
      <c r="Q1394" s="690"/>
      <c r="R1394" s="691">
        <f t="shared" si="182"/>
        <v>51707334</v>
      </c>
      <c r="S1394" s="692">
        <f t="shared" si="183"/>
        <v>90064123</v>
      </c>
      <c r="T1394" s="693">
        <f t="shared" si="184"/>
        <v>90756773</v>
      </c>
      <c r="U1394" s="1035"/>
      <c r="V1394" s="690"/>
      <c r="W1394" s="1025"/>
      <c r="X1394" s="1030"/>
      <c r="Y1394" s="694">
        <f t="shared" si="185"/>
        <v>0</v>
      </c>
      <c r="Z1394" s="690"/>
      <c r="AA1394" s="690"/>
      <c r="AB1394" s="695">
        <f t="shared" si="186"/>
        <v>0</v>
      </c>
      <c r="AC1394" s="1035"/>
      <c r="AD1394" s="690"/>
      <c r="AE1394" s="1025"/>
      <c r="AF1394" s="1030"/>
      <c r="AG1394" s="690"/>
      <c r="AH1394" s="690"/>
      <c r="AI1394" s="696">
        <f t="shared" si="187"/>
        <v>90064123</v>
      </c>
      <c r="AJ1394" s="697">
        <f t="shared" si="188"/>
        <v>90756773</v>
      </c>
    </row>
    <row r="1395" spans="1:36" s="700" customFormat="1" ht="12.75" customHeight="1">
      <c r="A1395" s="870" t="s">
        <v>211</v>
      </c>
      <c r="B1395" s="870" t="s">
        <v>392</v>
      </c>
      <c r="C1395" s="871" t="s">
        <v>1081</v>
      </c>
      <c r="D1395" s="871"/>
      <c r="E1395" s="872">
        <v>161873</v>
      </c>
      <c r="F1395" s="873">
        <v>4</v>
      </c>
      <c r="G1395" s="1025">
        <v>30460505</v>
      </c>
      <c r="H1395" s="690">
        <v>30123847</v>
      </c>
      <c r="I1395" s="1030"/>
      <c r="J1395" s="690"/>
      <c r="K1395" s="1030"/>
      <c r="L1395" s="690"/>
      <c r="M1395" s="1025">
        <v>58685635</v>
      </c>
      <c r="N1395" s="1030"/>
      <c r="O1395" s="692">
        <f t="shared" si="181"/>
        <v>58685635</v>
      </c>
      <c r="P1395" s="690">
        <v>61682386</v>
      </c>
      <c r="Q1395" s="690"/>
      <c r="R1395" s="691">
        <f t="shared" si="182"/>
        <v>61682386</v>
      </c>
      <c r="S1395" s="692">
        <f t="shared" si="183"/>
        <v>89146140</v>
      </c>
      <c r="T1395" s="693">
        <f t="shared" si="184"/>
        <v>91806233</v>
      </c>
      <c r="U1395" s="1035"/>
      <c r="V1395" s="690"/>
      <c r="W1395" s="1025"/>
      <c r="X1395" s="1030"/>
      <c r="Y1395" s="694">
        <f t="shared" si="185"/>
        <v>0</v>
      </c>
      <c r="Z1395" s="690"/>
      <c r="AA1395" s="690"/>
      <c r="AB1395" s="695">
        <f t="shared" si="186"/>
        <v>0</v>
      </c>
      <c r="AC1395" s="1035"/>
      <c r="AD1395" s="690"/>
      <c r="AE1395" s="1025"/>
      <c r="AF1395" s="1030"/>
      <c r="AG1395" s="690"/>
      <c r="AH1395" s="690"/>
      <c r="AI1395" s="696">
        <f t="shared" si="187"/>
        <v>89146140</v>
      </c>
      <c r="AJ1395" s="697">
        <f t="shared" si="188"/>
        <v>91806233</v>
      </c>
    </row>
    <row r="1396" spans="1:36" s="700" customFormat="1" ht="12.75" customHeight="1">
      <c r="A1396" s="870" t="s">
        <v>211</v>
      </c>
      <c r="B1396" s="870" t="s">
        <v>392</v>
      </c>
      <c r="C1396" s="871" t="s">
        <v>1082</v>
      </c>
      <c r="D1396" s="871"/>
      <c r="E1396" s="872">
        <v>163338</v>
      </c>
      <c r="F1396" s="873">
        <v>4</v>
      </c>
      <c r="G1396" s="1025">
        <v>32928572</v>
      </c>
      <c r="H1396" s="690">
        <v>31867298</v>
      </c>
      <c r="I1396" s="1030"/>
      <c r="J1396" s="690"/>
      <c r="K1396" s="1030"/>
      <c r="L1396" s="690"/>
      <c r="M1396" s="1025">
        <v>22780513</v>
      </c>
      <c r="N1396" s="1030"/>
      <c r="O1396" s="692">
        <f t="shared" si="181"/>
        <v>22780513</v>
      </c>
      <c r="P1396" s="690">
        <v>26582492</v>
      </c>
      <c r="Q1396" s="690"/>
      <c r="R1396" s="691">
        <f t="shared" si="182"/>
        <v>26582492</v>
      </c>
      <c r="S1396" s="692">
        <f t="shared" si="183"/>
        <v>55709085</v>
      </c>
      <c r="T1396" s="693">
        <f t="shared" si="184"/>
        <v>58449790</v>
      </c>
      <c r="U1396" s="1035"/>
      <c r="V1396" s="690"/>
      <c r="W1396" s="1025"/>
      <c r="X1396" s="1030"/>
      <c r="Y1396" s="694">
        <f t="shared" si="185"/>
        <v>0</v>
      </c>
      <c r="Z1396" s="690"/>
      <c r="AA1396" s="690"/>
      <c r="AB1396" s="695">
        <f t="shared" si="186"/>
        <v>0</v>
      </c>
      <c r="AC1396" s="1035"/>
      <c r="AD1396" s="690"/>
      <c r="AE1396" s="1025"/>
      <c r="AF1396" s="1030"/>
      <c r="AG1396" s="690"/>
      <c r="AH1396" s="690"/>
      <c r="AI1396" s="696">
        <f t="shared" si="187"/>
        <v>55709085</v>
      </c>
      <c r="AJ1396" s="697">
        <f t="shared" si="188"/>
        <v>58449790</v>
      </c>
    </row>
    <row r="1397" spans="1:36" s="700" customFormat="1" ht="12.75" customHeight="1">
      <c r="A1397" s="870" t="s">
        <v>211</v>
      </c>
      <c r="B1397" s="870" t="s">
        <v>392</v>
      </c>
      <c r="C1397" s="877" t="s">
        <v>1083</v>
      </c>
      <c r="D1397" s="1074" t="s">
        <v>1907</v>
      </c>
      <c r="E1397" s="872">
        <v>163912</v>
      </c>
      <c r="F1397" s="873">
        <v>6</v>
      </c>
      <c r="G1397" s="1025">
        <v>17214772</v>
      </c>
      <c r="H1397" s="690">
        <v>17517752</v>
      </c>
      <c r="I1397" s="1030"/>
      <c r="J1397" s="690"/>
      <c r="K1397" s="1030"/>
      <c r="L1397" s="690"/>
      <c r="M1397" s="1025">
        <v>28550901</v>
      </c>
      <c r="N1397" s="1030"/>
      <c r="O1397" s="692">
        <f t="shared" si="181"/>
        <v>28550901</v>
      </c>
      <c r="P1397" s="690">
        <v>28669244</v>
      </c>
      <c r="Q1397" s="690"/>
      <c r="R1397" s="691">
        <f t="shared" si="182"/>
        <v>28669244</v>
      </c>
      <c r="S1397" s="692">
        <f t="shared" si="183"/>
        <v>45765673</v>
      </c>
      <c r="T1397" s="693">
        <f t="shared" si="184"/>
        <v>46186996</v>
      </c>
      <c r="U1397" s="1035"/>
      <c r="V1397" s="690"/>
      <c r="W1397" s="1025"/>
      <c r="X1397" s="1030"/>
      <c r="Y1397" s="694">
        <f t="shared" si="185"/>
        <v>0</v>
      </c>
      <c r="Z1397" s="690"/>
      <c r="AA1397" s="690"/>
      <c r="AB1397" s="695">
        <f t="shared" si="186"/>
        <v>0</v>
      </c>
      <c r="AC1397" s="1035"/>
      <c r="AD1397" s="690"/>
      <c r="AE1397" s="1025"/>
      <c r="AF1397" s="1030"/>
      <c r="AG1397" s="690"/>
      <c r="AH1397" s="690"/>
      <c r="AI1397" s="696">
        <f t="shared" si="187"/>
        <v>45765673</v>
      </c>
      <c r="AJ1397" s="697">
        <f t="shared" si="188"/>
        <v>46186996</v>
      </c>
    </row>
    <row r="1398" spans="1:36" s="700" customFormat="1" ht="12.75" customHeight="1">
      <c r="A1398" s="870" t="s">
        <v>211</v>
      </c>
      <c r="B1398" s="870" t="s">
        <v>392</v>
      </c>
      <c r="C1398" s="871" t="s">
        <v>1084</v>
      </c>
      <c r="D1398" s="871"/>
      <c r="E1398" s="872">
        <v>161767</v>
      </c>
      <c r="F1398" s="873">
        <v>8</v>
      </c>
      <c r="G1398" s="1025">
        <v>27503700</v>
      </c>
      <c r="H1398" s="690">
        <v>26648864</v>
      </c>
      <c r="I1398" s="1030"/>
      <c r="J1398" s="690"/>
      <c r="K1398" s="1030">
        <v>33822700</v>
      </c>
      <c r="L1398" s="690">
        <v>33822700</v>
      </c>
      <c r="M1398" s="1025">
        <v>37616375</v>
      </c>
      <c r="N1398" s="1030"/>
      <c r="O1398" s="692">
        <f t="shared" si="181"/>
        <v>37616375</v>
      </c>
      <c r="P1398" s="690">
        <v>39689900</v>
      </c>
      <c r="Q1398" s="690"/>
      <c r="R1398" s="691">
        <f t="shared" si="182"/>
        <v>39689900</v>
      </c>
      <c r="S1398" s="692">
        <f t="shared" si="183"/>
        <v>98942775</v>
      </c>
      <c r="T1398" s="693">
        <f t="shared" si="184"/>
        <v>100161464</v>
      </c>
      <c r="U1398" s="1035"/>
      <c r="V1398" s="690"/>
      <c r="W1398" s="1025"/>
      <c r="X1398" s="1030"/>
      <c r="Y1398" s="694">
        <f t="shared" si="185"/>
        <v>0</v>
      </c>
      <c r="Z1398" s="690"/>
      <c r="AA1398" s="690"/>
      <c r="AB1398" s="695">
        <f t="shared" si="186"/>
        <v>0</v>
      </c>
      <c r="AC1398" s="1035"/>
      <c r="AD1398" s="690"/>
      <c r="AE1398" s="1025"/>
      <c r="AF1398" s="1030"/>
      <c r="AG1398" s="690"/>
      <c r="AH1398" s="690"/>
      <c r="AI1398" s="696">
        <f t="shared" si="187"/>
        <v>98942775</v>
      </c>
      <c r="AJ1398" s="697">
        <f t="shared" si="188"/>
        <v>100161464</v>
      </c>
    </row>
    <row r="1399" spans="1:36" s="700" customFormat="1" ht="12.75" customHeight="1">
      <c r="A1399" s="870" t="s">
        <v>211</v>
      </c>
      <c r="B1399" s="870" t="s">
        <v>392</v>
      </c>
      <c r="C1399" s="871" t="s">
        <v>1085</v>
      </c>
      <c r="D1399" s="871"/>
      <c r="E1399" s="872">
        <v>434672</v>
      </c>
      <c r="F1399" s="873">
        <v>8</v>
      </c>
      <c r="G1399" s="1025">
        <v>34524096</v>
      </c>
      <c r="H1399" s="690">
        <v>33670348</v>
      </c>
      <c r="I1399" s="1030"/>
      <c r="J1399" s="690"/>
      <c r="K1399" s="1030">
        <v>36855145</v>
      </c>
      <c r="L1399" s="690">
        <v>38462795</v>
      </c>
      <c r="M1399" s="1025">
        <v>65337456</v>
      </c>
      <c r="N1399" s="1030"/>
      <c r="O1399" s="692">
        <f t="shared" si="181"/>
        <v>65337456</v>
      </c>
      <c r="P1399" s="690">
        <v>70897222</v>
      </c>
      <c r="Q1399" s="690"/>
      <c r="R1399" s="691">
        <f t="shared" si="182"/>
        <v>70897222</v>
      </c>
      <c r="S1399" s="692">
        <f t="shared" si="183"/>
        <v>136716697</v>
      </c>
      <c r="T1399" s="693">
        <f t="shared" si="184"/>
        <v>143030365</v>
      </c>
      <c r="U1399" s="1035"/>
      <c r="V1399" s="690"/>
      <c r="W1399" s="1025"/>
      <c r="X1399" s="1030"/>
      <c r="Y1399" s="694">
        <f t="shared" si="185"/>
        <v>0</v>
      </c>
      <c r="Z1399" s="690"/>
      <c r="AA1399" s="690"/>
      <c r="AB1399" s="695">
        <f t="shared" si="186"/>
        <v>0</v>
      </c>
      <c r="AC1399" s="1035"/>
      <c r="AD1399" s="690"/>
      <c r="AE1399" s="1025"/>
      <c r="AF1399" s="1030"/>
      <c r="AG1399" s="690"/>
      <c r="AH1399" s="690"/>
      <c r="AI1399" s="696">
        <f t="shared" si="187"/>
        <v>136716697</v>
      </c>
      <c r="AJ1399" s="697">
        <f t="shared" si="188"/>
        <v>143030365</v>
      </c>
    </row>
    <row r="1400" spans="1:36" s="700" customFormat="1" ht="12.75" customHeight="1">
      <c r="A1400" s="870" t="s">
        <v>211</v>
      </c>
      <c r="B1400" s="870" t="s">
        <v>392</v>
      </c>
      <c r="C1400" s="871" t="s">
        <v>1086</v>
      </c>
      <c r="D1400" s="871"/>
      <c r="E1400" s="872">
        <v>163426</v>
      </c>
      <c r="F1400" s="873">
        <v>8</v>
      </c>
      <c r="G1400" s="1025">
        <v>36665429</v>
      </c>
      <c r="H1400" s="690">
        <v>34982472</v>
      </c>
      <c r="I1400" s="1030"/>
      <c r="J1400" s="690"/>
      <c r="K1400" s="1030">
        <v>107999261</v>
      </c>
      <c r="L1400" s="690">
        <v>99589930</v>
      </c>
      <c r="M1400" s="1025">
        <v>83616598</v>
      </c>
      <c r="N1400" s="1030"/>
      <c r="O1400" s="692">
        <f t="shared" si="181"/>
        <v>83616598</v>
      </c>
      <c r="P1400" s="690">
        <v>86323592</v>
      </c>
      <c r="Q1400" s="690"/>
      <c r="R1400" s="691">
        <f t="shared" si="182"/>
        <v>86323592</v>
      </c>
      <c r="S1400" s="692">
        <f t="shared" si="183"/>
        <v>228281288</v>
      </c>
      <c r="T1400" s="693">
        <f t="shared" si="184"/>
        <v>220895994</v>
      </c>
      <c r="U1400" s="1035"/>
      <c r="V1400" s="690"/>
      <c r="W1400" s="1025"/>
      <c r="X1400" s="1030"/>
      <c r="Y1400" s="694">
        <f t="shared" si="185"/>
        <v>0</v>
      </c>
      <c r="Z1400" s="690"/>
      <c r="AA1400" s="690"/>
      <c r="AB1400" s="695">
        <f t="shared" si="186"/>
        <v>0</v>
      </c>
      <c r="AC1400" s="1035"/>
      <c r="AD1400" s="690"/>
      <c r="AE1400" s="1025"/>
      <c r="AF1400" s="1030"/>
      <c r="AG1400" s="690"/>
      <c r="AH1400" s="690"/>
      <c r="AI1400" s="696">
        <f t="shared" si="187"/>
        <v>228281288</v>
      </c>
      <c r="AJ1400" s="697">
        <f t="shared" si="188"/>
        <v>220895994</v>
      </c>
    </row>
    <row r="1401" spans="1:36" s="700" customFormat="1" ht="12.75" customHeight="1">
      <c r="A1401" s="870" t="s">
        <v>211</v>
      </c>
      <c r="B1401" s="870" t="s">
        <v>392</v>
      </c>
      <c r="C1401" s="871" t="s">
        <v>1087</v>
      </c>
      <c r="D1401" s="871"/>
      <c r="E1401" s="872">
        <v>163657</v>
      </c>
      <c r="F1401" s="873">
        <v>8</v>
      </c>
      <c r="G1401" s="1025">
        <v>22798413</v>
      </c>
      <c r="H1401" s="690">
        <v>21484279</v>
      </c>
      <c r="I1401" s="1030"/>
      <c r="J1401" s="690"/>
      <c r="K1401" s="1030">
        <v>30484600</v>
      </c>
      <c r="L1401" s="690">
        <v>30245200</v>
      </c>
      <c r="M1401" s="1025">
        <v>40392726</v>
      </c>
      <c r="N1401" s="1030"/>
      <c r="O1401" s="692">
        <f t="shared" si="181"/>
        <v>40392726</v>
      </c>
      <c r="P1401" s="690">
        <v>38496000</v>
      </c>
      <c r="Q1401" s="690"/>
      <c r="R1401" s="691">
        <f t="shared" si="182"/>
        <v>38496000</v>
      </c>
      <c r="S1401" s="692">
        <f t="shared" si="183"/>
        <v>93675739</v>
      </c>
      <c r="T1401" s="693">
        <f t="shared" si="184"/>
        <v>90225479</v>
      </c>
      <c r="U1401" s="1035"/>
      <c r="V1401" s="690"/>
      <c r="W1401" s="1025"/>
      <c r="X1401" s="1030"/>
      <c r="Y1401" s="694">
        <f t="shared" si="185"/>
        <v>0</v>
      </c>
      <c r="Z1401" s="690"/>
      <c r="AA1401" s="690"/>
      <c r="AB1401" s="695">
        <f t="shared" si="186"/>
        <v>0</v>
      </c>
      <c r="AC1401" s="1035"/>
      <c r="AD1401" s="690"/>
      <c r="AE1401" s="1025"/>
      <c r="AF1401" s="1030"/>
      <c r="AG1401" s="690"/>
      <c r="AH1401" s="690"/>
      <c r="AI1401" s="696">
        <f t="shared" si="187"/>
        <v>93675739</v>
      </c>
      <c r="AJ1401" s="697">
        <f t="shared" si="188"/>
        <v>90225479</v>
      </c>
    </row>
    <row r="1402" spans="1:36" s="700" customFormat="1" ht="12.75" customHeight="1">
      <c r="A1402" s="870" t="s">
        <v>211</v>
      </c>
      <c r="B1402" s="870" t="s">
        <v>392</v>
      </c>
      <c r="C1402" s="871" t="s">
        <v>1088</v>
      </c>
      <c r="D1402" s="871"/>
      <c r="E1402" s="872">
        <v>161688</v>
      </c>
      <c r="F1402" s="873">
        <v>9</v>
      </c>
      <c r="G1402" s="1025">
        <v>4734907</v>
      </c>
      <c r="H1402" s="690">
        <v>4702063</v>
      </c>
      <c r="I1402" s="1030"/>
      <c r="J1402" s="690"/>
      <c r="K1402" s="1030">
        <v>7425000</v>
      </c>
      <c r="L1402" s="690">
        <v>7425000</v>
      </c>
      <c r="M1402" s="1025">
        <v>16030527</v>
      </c>
      <c r="N1402" s="1030"/>
      <c r="O1402" s="692">
        <f t="shared" si="181"/>
        <v>16030527</v>
      </c>
      <c r="P1402" s="690">
        <v>15998851</v>
      </c>
      <c r="Q1402" s="690"/>
      <c r="R1402" s="691">
        <f t="shared" si="182"/>
        <v>15998851</v>
      </c>
      <c r="S1402" s="692">
        <f t="shared" si="183"/>
        <v>28190434</v>
      </c>
      <c r="T1402" s="693">
        <f t="shared" si="184"/>
        <v>28125914</v>
      </c>
      <c r="U1402" s="1035"/>
      <c r="V1402" s="690"/>
      <c r="W1402" s="1025"/>
      <c r="X1402" s="1030"/>
      <c r="Y1402" s="694">
        <f t="shared" si="185"/>
        <v>0</v>
      </c>
      <c r="Z1402" s="690"/>
      <c r="AA1402" s="690"/>
      <c r="AB1402" s="695">
        <f t="shared" si="186"/>
        <v>0</v>
      </c>
      <c r="AC1402" s="1035"/>
      <c r="AD1402" s="690"/>
      <c r="AE1402" s="1025"/>
      <c r="AF1402" s="1030"/>
      <c r="AG1402" s="690"/>
      <c r="AH1402" s="690"/>
      <c r="AI1402" s="696">
        <f t="shared" si="187"/>
        <v>28190434</v>
      </c>
      <c r="AJ1402" s="697">
        <f t="shared" si="188"/>
        <v>28125914</v>
      </c>
    </row>
    <row r="1403" spans="1:36" s="700" customFormat="1" ht="12.75" customHeight="1">
      <c r="A1403" s="870" t="s">
        <v>211</v>
      </c>
      <c r="B1403" s="870" t="s">
        <v>392</v>
      </c>
      <c r="C1403" s="871" t="s">
        <v>1089</v>
      </c>
      <c r="D1403" s="871"/>
      <c r="E1403" s="872">
        <v>161864</v>
      </c>
      <c r="F1403" s="873">
        <v>9</v>
      </c>
      <c r="G1403" s="1025">
        <v>40202531</v>
      </c>
      <c r="H1403" s="690">
        <v>40902095</v>
      </c>
      <c r="I1403" s="1030"/>
      <c r="J1403" s="690"/>
      <c r="K1403" s="1030">
        <v>890919</v>
      </c>
      <c r="L1403" s="690">
        <v>125000</v>
      </c>
      <c r="M1403" s="1025">
        <v>18071716</v>
      </c>
      <c r="N1403" s="1030"/>
      <c r="O1403" s="692">
        <f t="shared" si="181"/>
        <v>18071716</v>
      </c>
      <c r="P1403" s="690">
        <v>19173419</v>
      </c>
      <c r="Q1403" s="690"/>
      <c r="R1403" s="691">
        <f t="shared" si="182"/>
        <v>19173419</v>
      </c>
      <c r="S1403" s="692">
        <f t="shared" si="183"/>
        <v>59165166</v>
      </c>
      <c r="T1403" s="693">
        <f t="shared" si="184"/>
        <v>60200514</v>
      </c>
      <c r="U1403" s="1035"/>
      <c r="V1403" s="690"/>
      <c r="W1403" s="1025"/>
      <c r="X1403" s="1030"/>
      <c r="Y1403" s="694">
        <f t="shared" si="185"/>
        <v>0</v>
      </c>
      <c r="Z1403" s="690"/>
      <c r="AA1403" s="690"/>
      <c r="AB1403" s="695">
        <f t="shared" si="186"/>
        <v>0</v>
      </c>
      <c r="AC1403" s="1035"/>
      <c r="AD1403" s="690"/>
      <c r="AE1403" s="1025"/>
      <c r="AF1403" s="1030"/>
      <c r="AG1403" s="690"/>
      <c r="AH1403" s="690"/>
      <c r="AI1403" s="696">
        <f t="shared" si="187"/>
        <v>59165166</v>
      </c>
      <c r="AJ1403" s="697">
        <f t="shared" si="188"/>
        <v>60200514</v>
      </c>
    </row>
    <row r="1404" spans="1:36" s="700" customFormat="1" ht="12.75" customHeight="1">
      <c r="A1404" s="870" t="s">
        <v>211</v>
      </c>
      <c r="B1404" s="870" t="s">
        <v>392</v>
      </c>
      <c r="C1404" s="877" t="s">
        <v>1090</v>
      </c>
      <c r="D1404" s="1074" t="s">
        <v>1909</v>
      </c>
      <c r="E1404" s="872">
        <v>162122</v>
      </c>
      <c r="F1404" s="873">
        <v>9</v>
      </c>
      <c r="G1404" s="1025">
        <v>10581180</v>
      </c>
      <c r="H1404" s="690">
        <v>10581183</v>
      </c>
      <c r="I1404" s="1030"/>
      <c r="J1404" s="690"/>
      <c r="K1404" s="1030">
        <v>14965275</v>
      </c>
      <c r="L1404" s="690">
        <v>15740796</v>
      </c>
      <c r="M1404" s="1025">
        <v>23116069</v>
      </c>
      <c r="N1404" s="1030"/>
      <c r="O1404" s="692">
        <f t="shared" si="181"/>
        <v>23116069</v>
      </c>
      <c r="P1404" s="690">
        <v>26556888</v>
      </c>
      <c r="Q1404" s="690"/>
      <c r="R1404" s="691">
        <f t="shared" si="182"/>
        <v>26556888</v>
      </c>
      <c r="S1404" s="692">
        <f t="shared" si="183"/>
        <v>48662524</v>
      </c>
      <c r="T1404" s="693">
        <f t="shared" si="184"/>
        <v>52878867</v>
      </c>
      <c r="U1404" s="1035"/>
      <c r="V1404" s="690"/>
      <c r="W1404" s="1025"/>
      <c r="X1404" s="1030"/>
      <c r="Y1404" s="694">
        <f t="shared" si="185"/>
        <v>0</v>
      </c>
      <c r="Z1404" s="690"/>
      <c r="AA1404" s="690"/>
      <c r="AB1404" s="695">
        <f t="shared" si="186"/>
        <v>0</v>
      </c>
      <c r="AC1404" s="1035"/>
      <c r="AD1404" s="690"/>
      <c r="AE1404" s="1025"/>
      <c r="AF1404" s="1030"/>
      <c r="AG1404" s="690"/>
      <c r="AH1404" s="690"/>
      <c r="AI1404" s="696">
        <f t="shared" si="187"/>
        <v>48662524</v>
      </c>
      <c r="AJ1404" s="697">
        <f t="shared" si="188"/>
        <v>52878867</v>
      </c>
    </row>
    <row r="1405" spans="1:36" s="700" customFormat="1" ht="12.75" customHeight="1">
      <c r="A1405" s="870" t="s">
        <v>211</v>
      </c>
      <c r="B1405" s="870" t="s">
        <v>392</v>
      </c>
      <c r="C1405" s="871" t="s">
        <v>1091</v>
      </c>
      <c r="D1405" s="871"/>
      <c r="E1405" s="872">
        <v>162557</v>
      </c>
      <c r="F1405" s="873">
        <v>9</v>
      </c>
      <c r="G1405" s="1025">
        <v>7902886</v>
      </c>
      <c r="H1405" s="690">
        <v>7892917</v>
      </c>
      <c r="I1405" s="1030"/>
      <c r="J1405" s="690"/>
      <c r="K1405" s="1030">
        <v>14579999</v>
      </c>
      <c r="L1405" s="690">
        <v>13568387</v>
      </c>
      <c r="M1405" s="1025">
        <v>16005348</v>
      </c>
      <c r="N1405" s="1030"/>
      <c r="O1405" s="692">
        <f t="shared" si="181"/>
        <v>16005348</v>
      </c>
      <c r="P1405" s="690">
        <v>17374886</v>
      </c>
      <c r="Q1405" s="690"/>
      <c r="R1405" s="691">
        <f t="shared" si="182"/>
        <v>17374886</v>
      </c>
      <c r="S1405" s="692">
        <f t="shared" si="183"/>
        <v>38488233</v>
      </c>
      <c r="T1405" s="693">
        <f t="shared" si="184"/>
        <v>38836190</v>
      </c>
      <c r="U1405" s="1035"/>
      <c r="V1405" s="690"/>
      <c r="W1405" s="1025"/>
      <c r="X1405" s="1030"/>
      <c r="Y1405" s="694">
        <f t="shared" si="185"/>
        <v>0</v>
      </c>
      <c r="Z1405" s="690"/>
      <c r="AA1405" s="690"/>
      <c r="AB1405" s="695">
        <f t="shared" si="186"/>
        <v>0</v>
      </c>
      <c r="AC1405" s="1035"/>
      <c r="AD1405" s="690"/>
      <c r="AE1405" s="1025"/>
      <c r="AF1405" s="1030"/>
      <c r="AG1405" s="690"/>
      <c r="AH1405" s="690"/>
      <c r="AI1405" s="696">
        <f t="shared" si="187"/>
        <v>38488233</v>
      </c>
      <c r="AJ1405" s="697">
        <f t="shared" si="188"/>
        <v>38836190</v>
      </c>
    </row>
    <row r="1406" spans="1:36" s="700" customFormat="1" ht="12.75" customHeight="1">
      <c r="A1406" s="870" t="s">
        <v>211</v>
      </c>
      <c r="B1406" s="870" t="s">
        <v>392</v>
      </c>
      <c r="C1406" s="871" t="s">
        <v>1092</v>
      </c>
      <c r="D1406" s="871"/>
      <c r="E1406" s="872">
        <v>162690</v>
      </c>
      <c r="F1406" s="873">
        <v>9</v>
      </c>
      <c r="G1406" s="1025">
        <v>6852269</v>
      </c>
      <c r="H1406" s="690">
        <v>6812015</v>
      </c>
      <c r="I1406" s="1030"/>
      <c r="J1406" s="690"/>
      <c r="K1406" s="1030">
        <v>9045010</v>
      </c>
      <c r="L1406" s="690">
        <v>9045010</v>
      </c>
      <c r="M1406" s="1025">
        <v>13722401</v>
      </c>
      <c r="N1406" s="1030"/>
      <c r="O1406" s="692">
        <f t="shared" si="181"/>
        <v>13722401</v>
      </c>
      <c r="P1406" s="690">
        <v>15565526</v>
      </c>
      <c r="Q1406" s="690"/>
      <c r="R1406" s="691">
        <f t="shared" si="182"/>
        <v>15565526</v>
      </c>
      <c r="S1406" s="692">
        <f t="shared" si="183"/>
        <v>29619680</v>
      </c>
      <c r="T1406" s="693">
        <f t="shared" si="184"/>
        <v>31422551</v>
      </c>
      <c r="U1406" s="1035"/>
      <c r="V1406" s="690"/>
      <c r="W1406" s="1025"/>
      <c r="X1406" s="1030"/>
      <c r="Y1406" s="694">
        <f t="shared" si="185"/>
        <v>0</v>
      </c>
      <c r="Z1406" s="690"/>
      <c r="AA1406" s="690"/>
      <c r="AB1406" s="695">
        <f t="shared" si="186"/>
        <v>0</v>
      </c>
      <c r="AC1406" s="1035"/>
      <c r="AD1406" s="690"/>
      <c r="AE1406" s="1025"/>
      <c r="AF1406" s="1030"/>
      <c r="AG1406" s="690"/>
      <c r="AH1406" s="690"/>
      <c r="AI1406" s="696">
        <f t="shared" si="187"/>
        <v>29619680</v>
      </c>
      <c r="AJ1406" s="697">
        <f t="shared" si="188"/>
        <v>31422551</v>
      </c>
    </row>
    <row r="1407" spans="1:36" s="700" customFormat="1" ht="12.75" customHeight="1">
      <c r="A1407" s="870" t="s">
        <v>211</v>
      </c>
      <c r="B1407" s="870" t="s">
        <v>392</v>
      </c>
      <c r="C1407" s="871" t="s">
        <v>1093</v>
      </c>
      <c r="D1407" s="871"/>
      <c r="E1407" s="872">
        <v>162706</v>
      </c>
      <c r="F1407" s="873">
        <v>9</v>
      </c>
      <c r="G1407" s="1025">
        <v>10039487</v>
      </c>
      <c r="H1407" s="690">
        <v>9719168</v>
      </c>
      <c r="I1407" s="1030"/>
      <c r="J1407" s="690"/>
      <c r="K1407" s="1030">
        <v>15939806</v>
      </c>
      <c r="L1407" s="690">
        <v>14961612</v>
      </c>
      <c r="M1407" s="1025">
        <v>15463161</v>
      </c>
      <c r="N1407" s="1030"/>
      <c r="O1407" s="692">
        <f t="shared" si="181"/>
        <v>15463161</v>
      </c>
      <c r="P1407" s="690">
        <v>15843367</v>
      </c>
      <c r="Q1407" s="690"/>
      <c r="R1407" s="691">
        <f t="shared" si="182"/>
        <v>15843367</v>
      </c>
      <c r="S1407" s="692">
        <f t="shared" si="183"/>
        <v>41442454</v>
      </c>
      <c r="T1407" s="693">
        <f t="shared" si="184"/>
        <v>40524147</v>
      </c>
      <c r="U1407" s="1035"/>
      <c r="V1407" s="690"/>
      <c r="W1407" s="1025"/>
      <c r="X1407" s="1030"/>
      <c r="Y1407" s="694">
        <f t="shared" si="185"/>
        <v>0</v>
      </c>
      <c r="Z1407" s="690"/>
      <c r="AA1407" s="690"/>
      <c r="AB1407" s="695">
        <f t="shared" si="186"/>
        <v>0</v>
      </c>
      <c r="AC1407" s="1035"/>
      <c r="AD1407" s="690"/>
      <c r="AE1407" s="1025"/>
      <c r="AF1407" s="1030"/>
      <c r="AG1407" s="690"/>
      <c r="AH1407" s="690"/>
      <c r="AI1407" s="696">
        <f t="shared" si="187"/>
        <v>41442454</v>
      </c>
      <c r="AJ1407" s="697">
        <f t="shared" si="188"/>
        <v>40524147</v>
      </c>
    </row>
    <row r="1408" spans="1:36" s="700" customFormat="1" ht="12.75" customHeight="1">
      <c r="A1408" s="870" t="s">
        <v>211</v>
      </c>
      <c r="B1408" s="870" t="s">
        <v>392</v>
      </c>
      <c r="C1408" s="877" t="s">
        <v>1094</v>
      </c>
      <c r="D1408" s="1074" t="s">
        <v>1909</v>
      </c>
      <c r="E1408" s="872">
        <v>162779</v>
      </c>
      <c r="F1408" s="873">
        <v>9</v>
      </c>
      <c r="G1408" s="1025">
        <v>12410298</v>
      </c>
      <c r="H1408" s="690">
        <v>12290083</v>
      </c>
      <c r="I1408" s="1030"/>
      <c r="J1408" s="690"/>
      <c r="K1408" s="1030">
        <v>25195470</v>
      </c>
      <c r="L1408" s="690">
        <v>25195470</v>
      </c>
      <c r="M1408" s="1025">
        <v>30961268</v>
      </c>
      <c r="N1408" s="1030"/>
      <c r="O1408" s="692">
        <f t="shared" si="181"/>
        <v>30961268</v>
      </c>
      <c r="P1408" s="690">
        <v>33853509</v>
      </c>
      <c r="Q1408" s="690"/>
      <c r="R1408" s="691">
        <f t="shared" si="182"/>
        <v>33853509</v>
      </c>
      <c r="S1408" s="692">
        <f t="shared" si="183"/>
        <v>68567036</v>
      </c>
      <c r="T1408" s="693">
        <f t="shared" si="184"/>
        <v>71339062</v>
      </c>
      <c r="U1408" s="1035"/>
      <c r="V1408" s="690"/>
      <c r="W1408" s="1025"/>
      <c r="X1408" s="1030"/>
      <c r="Y1408" s="694">
        <f t="shared" si="185"/>
        <v>0</v>
      </c>
      <c r="Z1408" s="690"/>
      <c r="AA1408" s="690"/>
      <c r="AB1408" s="695">
        <f t="shared" si="186"/>
        <v>0</v>
      </c>
      <c r="AC1408" s="1035"/>
      <c r="AD1408" s="690"/>
      <c r="AE1408" s="1025"/>
      <c r="AF1408" s="1030"/>
      <c r="AG1408" s="690"/>
      <c r="AH1408" s="690"/>
      <c r="AI1408" s="696">
        <f t="shared" si="187"/>
        <v>68567036</v>
      </c>
      <c r="AJ1408" s="697">
        <f t="shared" si="188"/>
        <v>71339062</v>
      </c>
    </row>
    <row r="1409" spans="1:36" s="700" customFormat="1" ht="12.75" customHeight="1">
      <c r="A1409" s="870" t="s">
        <v>211</v>
      </c>
      <c r="B1409" s="870" t="s">
        <v>392</v>
      </c>
      <c r="C1409" s="1071" t="s">
        <v>1095</v>
      </c>
      <c r="D1409" s="1072" t="s">
        <v>1964</v>
      </c>
      <c r="E1409" s="872">
        <v>405872</v>
      </c>
      <c r="F1409" s="1073">
        <v>9</v>
      </c>
      <c r="G1409" s="1025">
        <v>6896127</v>
      </c>
      <c r="H1409" s="690">
        <v>6697291</v>
      </c>
      <c r="I1409" s="1030"/>
      <c r="J1409" s="690"/>
      <c r="K1409" s="1030">
        <v>8473274</v>
      </c>
      <c r="L1409" s="690">
        <v>8533260</v>
      </c>
      <c r="M1409" s="1025">
        <v>11022712</v>
      </c>
      <c r="N1409" s="1030"/>
      <c r="O1409" s="692">
        <f t="shared" si="181"/>
        <v>11022712</v>
      </c>
      <c r="P1409" s="690">
        <v>11409497</v>
      </c>
      <c r="Q1409" s="690"/>
      <c r="R1409" s="691">
        <f t="shared" si="182"/>
        <v>11409497</v>
      </c>
      <c r="S1409" s="692">
        <f t="shared" si="183"/>
        <v>26392113</v>
      </c>
      <c r="T1409" s="693">
        <f t="shared" si="184"/>
        <v>26640048</v>
      </c>
      <c r="U1409" s="1035"/>
      <c r="V1409" s="690"/>
      <c r="W1409" s="1025"/>
      <c r="X1409" s="1030"/>
      <c r="Y1409" s="694">
        <f t="shared" si="185"/>
        <v>0</v>
      </c>
      <c r="Z1409" s="690"/>
      <c r="AA1409" s="690"/>
      <c r="AB1409" s="695">
        <f t="shared" si="186"/>
        <v>0</v>
      </c>
      <c r="AC1409" s="1035"/>
      <c r="AD1409" s="690"/>
      <c r="AE1409" s="1025"/>
      <c r="AF1409" s="1030"/>
      <c r="AG1409" s="690"/>
      <c r="AH1409" s="690"/>
      <c r="AI1409" s="696">
        <f t="shared" si="187"/>
        <v>26392113</v>
      </c>
      <c r="AJ1409" s="697">
        <f t="shared" si="188"/>
        <v>26640048</v>
      </c>
    </row>
    <row r="1410" spans="1:36" s="700" customFormat="1" ht="12.75" customHeight="1">
      <c r="A1410" s="870" t="s">
        <v>211</v>
      </c>
      <c r="B1410" s="870" t="s">
        <v>392</v>
      </c>
      <c r="C1410" s="871" t="s">
        <v>1096</v>
      </c>
      <c r="D1410" s="871"/>
      <c r="E1410" s="872">
        <v>162104</v>
      </c>
      <c r="F1410" s="873">
        <v>10</v>
      </c>
      <c r="G1410" s="1025">
        <v>4534234</v>
      </c>
      <c r="H1410" s="690">
        <v>4554005</v>
      </c>
      <c r="I1410" s="1030"/>
      <c r="J1410" s="690"/>
      <c r="K1410" s="1030">
        <v>8124924</v>
      </c>
      <c r="L1410" s="690">
        <v>8125027</v>
      </c>
      <c r="M1410" s="1025">
        <v>7497084</v>
      </c>
      <c r="N1410" s="1030"/>
      <c r="O1410" s="692">
        <f t="shared" si="181"/>
        <v>7497084</v>
      </c>
      <c r="P1410" s="690">
        <v>7584668</v>
      </c>
      <c r="Q1410" s="690"/>
      <c r="R1410" s="691">
        <f t="shared" si="182"/>
        <v>7584668</v>
      </c>
      <c r="S1410" s="692">
        <f t="shared" si="183"/>
        <v>20156242</v>
      </c>
      <c r="T1410" s="693">
        <f t="shared" si="184"/>
        <v>20263700</v>
      </c>
      <c r="U1410" s="1035"/>
      <c r="V1410" s="690"/>
      <c r="W1410" s="1025"/>
      <c r="X1410" s="1030"/>
      <c r="Y1410" s="694">
        <f t="shared" si="185"/>
        <v>0</v>
      </c>
      <c r="Z1410" s="690"/>
      <c r="AA1410" s="690"/>
      <c r="AB1410" s="695">
        <f t="shared" si="186"/>
        <v>0</v>
      </c>
      <c r="AC1410" s="1035"/>
      <c r="AD1410" s="690"/>
      <c r="AE1410" s="1025"/>
      <c r="AF1410" s="1030"/>
      <c r="AG1410" s="690"/>
      <c r="AH1410" s="690"/>
      <c r="AI1410" s="696">
        <f t="shared" si="187"/>
        <v>20156242</v>
      </c>
      <c r="AJ1410" s="697">
        <f t="shared" si="188"/>
        <v>20263700</v>
      </c>
    </row>
    <row r="1411" spans="1:36" s="700" customFormat="1" ht="12.75" customHeight="1">
      <c r="A1411" s="870" t="s">
        <v>211</v>
      </c>
      <c r="B1411" s="870" t="s">
        <v>392</v>
      </c>
      <c r="C1411" s="871" t="s">
        <v>1097</v>
      </c>
      <c r="D1411" s="871"/>
      <c r="E1411" s="872">
        <v>162168</v>
      </c>
      <c r="F1411" s="873">
        <v>10</v>
      </c>
      <c r="G1411" s="1025">
        <v>5450061</v>
      </c>
      <c r="H1411" s="690">
        <v>5564701</v>
      </c>
      <c r="I1411" s="1030"/>
      <c r="J1411" s="690"/>
      <c r="K1411" s="1030">
        <v>5885590</v>
      </c>
      <c r="L1411" s="690">
        <v>5885590</v>
      </c>
      <c r="M1411" s="1025">
        <v>7158303</v>
      </c>
      <c r="N1411" s="1030"/>
      <c r="O1411" s="692">
        <f t="shared" si="181"/>
        <v>7158303</v>
      </c>
      <c r="P1411" s="690">
        <v>7106794</v>
      </c>
      <c r="Q1411" s="690"/>
      <c r="R1411" s="691">
        <f t="shared" si="182"/>
        <v>7106794</v>
      </c>
      <c r="S1411" s="692">
        <f t="shared" si="183"/>
        <v>18493954</v>
      </c>
      <c r="T1411" s="693">
        <f t="shared" si="184"/>
        <v>18557085</v>
      </c>
      <c r="U1411" s="1035"/>
      <c r="V1411" s="690"/>
      <c r="W1411" s="1025"/>
      <c r="X1411" s="1030"/>
      <c r="Y1411" s="694">
        <f t="shared" si="185"/>
        <v>0</v>
      </c>
      <c r="Z1411" s="690"/>
      <c r="AA1411" s="690"/>
      <c r="AB1411" s="695">
        <f t="shared" si="186"/>
        <v>0</v>
      </c>
      <c r="AC1411" s="1035"/>
      <c r="AD1411" s="690"/>
      <c r="AE1411" s="1025"/>
      <c r="AF1411" s="1030"/>
      <c r="AG1411" s="690"/>
      <c r="AH1411" s="690"/>
      <c r="AI1411" s="696">
        <f t="shared" si="187"/>
        <v>18493954</v>
      </c>
      <c r="AJ1411" s="697">
        <f t="shared" si="188"/>
        <v>18557085</v>
      </c>
    </row>
    <row r="1412" spans="1:36" s="700" customFormat="1" ht="12.75" customHeight="1">
      <c r="A1412" s="870" t="s">
        <v>211</v>
      </c>
      <c r="B1412" s="870" t="s">
        <v>392</v>
      </c>
      <c r="C1412" s="871" t="s">
        <v>1098</v>
      </c>
      <c r="D1412" s="871"/>
      <c r="E1412" s="872">
        <v>162609</v>
      </c>
      <c r="F1412" s="873">
        <v>10</v>
      </c>
      <c r="G1412" s="1025">
        <v>2312184</v>
      </c>
      <c r="H1412" s="690">
        <v>2217155</v>
      </c>
      <c r="I1412" s="1030"/>
      <c r="J1412" s="690"/>
      <c r="K1412" s="1030">
        <v>4273000</v>
      </c>
      <c r="L1412" s="690">
        <v>4318000</v>
      </c>
      <c r="M1412" s="1025">
        <v>3608315</v>
      </c>
      <c r="N1412" s="1030"/>
      <c r="O1412" s="692">
        <f t="shared" si="181"/>
        <v>3608315</v>
      </c>
      <c r="P1412" s="690">
        <v>3394244</v>
      </c>
      <c r="Q1412" s="690"/>
      <c r="R1412" s="691">
        <f t="shared" si="182"/>
        <v>3394244</v>
      </c>
      <c r="S1412" s="692">
        <f t="shared" si="183"/>
        <v>10193499</v>
      </c>
      <c r="T1412" s="693">
        <f t="shared" si="184"/>
        <v>9929399</v>
      </c>
      <c r="U1412" s="1035"/>
      <c r="V1412" s="690"/>
      <c r="W1412" s="1025"/>
      <c r="X1412" s="1030"/>
      <c r="Y1412" s="694">
        <f t="shared" si="185"/>
        <v>0</v>
      </c>
      <c r="Z1412" s="690"/>
      <c r="AA1412" s="690"/>
      <c r="AB1412" s="695">
        <f t="shared" si="186"/>
        <v>0</v>
      </c>
      <c r="AC1412" s="1035"/>
      <c r="AD1412" s="690"/>
      <c r="AE1412" s="1025"/>
      <c r="AF1412" s="1030"/>
      <c r="AG1412" s="690"/>
      <c r="AH1412" s="690"/>
      <c r="AI1412" s="696">
        <f t="shared" si="187"/>
        <v>10193499</v>
      </c>
      <c r="AJ1412" s="697">
        <f t="shared" si="188"/>
        <v>9929399</v>
      </c>
    </row>
    <row r="1413" spans="1:36" s="700" customFormat="1" ht="12.75" customHeight="1">
      <c r="A1413" s="870" t="s">
        <v>211</v>
      </c>
      <c r="B1413" s="870" t="s">
        <v>392</v>
      </c>
      <c r="C1413" s="1071" t="s">
        <v>1099</v>
      </c>
      <c r="D1413" s="1072" t="s">
        <v>1964</v>
      </c>
      <c r="E1413" s="872">
        <v>164313</v>
      </c>
      <c r="F1413" s="1073">
        <v>9</v>
      </c>
      <c r="G1413" s="1025">
        <v>6597178</v>
      </c>
      <c r="H1413" s="690">
        <v>6590877</v>
      </c>
      <c r="I1413" s="1030"/>
      <c r="J1413" s="690"/>
      <c r="K1413" s="1030">
        <v>5298980</v>
      </c>
      <c r="L1413" s="690">
        <v>4441762</v>
      </c>
      <c r="M1413" s="1025">
        <v>9943985</v>
      </c>
      <c r="N1413" s="1030"/>
      <c r="O1413" s="692">
        <f t="shared" si="181"/>
        <v>9943985</v>
      </c>
      <c r="P1413" s="690">
        <v>11060653</v>
      </c>
      <c r="Q1413" s="690"/>
      <c r="R1413" s="691">
        <f t="shared" si="182"/>
        <v>11060653</v>
      </c>
      <c r="S1413" s="692">
        <f t="shared" si="183"/>
        <v>21840143</v>
      </c>
      <c r="T1413" s="693">
        <f t="shared" si="184"/>
        <v>22093292</v>
      </c>
      <c r="U1413" s="1035"/>
      <c r="V1413" s="690"/>
      <c r="W1413" s="1025"/>
      <c r="X1413" s="1030"/>
      <c r="Y1413" s="694">
        <f t="shared" si="185"/>
        <v>0</v>
      </c>
      <c r="Z1413" s="690"/>
      <c r="AA1413" s="690"/>
      <c r="AB1413" s="695">
        <f t="shared" si="186"/>
        <v>0</v>
      </c>
      <c r="AC1413" s="1035"/>
      <c r="AD1413" s="690"/>
      <c r="AE1413" s="1025"/>
      <c r="AF1413" s="1030"/>
      <c r="AG1413" s="690"/>
      <c r="AH1413" s="690"/>
      <c r="AI1413" s="696">
        <f t="shared" si="187"/>
        <v>21840143</v>
      </c>
      <c r="AJ1413" s="697">
        <f t="shared" si="188"/>
        <v>22093292</v>
      </c>
    </row>
    <row r="1414" spans="1:36" s="700" customFormat="1" ht="12.75" customHeight="1">
      <c r="A1414" s="870" t="s">
        <v>211</v>
      </c>
      <c r="B1414" s="870" t="s">
        <v>430</v>
      </c>
      <c r="C1414" s="871" t="s">
        <v>1100</v>
      </c>
      <c r="D1414" s="871"/>
      <c r="E1414" s="872">
        <v>163204</v>
      </c>
      <c r="F1414" s="873">
        <v>15</v>
      </c>
      <c r="G1414" s="1025"/>
      <c r="H1414" s="690"/>
      <c r="I1414" s="1030"/>
      <c r="J1414" s="690"/>
      <c r="K1414" s="1030"/>
      <c r="L1414" s="690"/>
      <c r="M1414" s="1025"/>
      <c r="N1414" s="1030"/>
      <c r="O1414" s="692">
        <f t="shared" si="181"/>
        <v>0</v>
      </c>
      <c r="P1414" s="690"/>
      <c r="Q1414" s="690"/>
      <c r="R1414" s="691">
        <f t="shared" si="182"/>
        <v>0</v>
      </c>
      <c r="S1414" s="692">
        <f t="shared" si="183"/>
        <v>0</v>
      </c>
      <c r="T1414" s="693">
        <f t="shared" si="184"/>
        <v>0</v>
      </c>
      <c r="U1414" s="1035">
        <v>29804848</v>
      </c>
      <c r="V1414" s="690">
        <v>31429876</v>
      </c>
      <c r="W1414" s="1025">
        <v>267347042</v>
      </c>
      <c r="X1414" s="1030"/>
      <c r="Y1414" s="694">
        <f t="shared" si="185"/>
        <v>267347042</v>
      </c>
      <c r="Z1414" s="690">
        <v>238241134</v>
      </c>
      <c r="AA1414" s="690"/>
      <c r="AB1414" s="695">
        <f t="shared" si="186"/>
        <v>238241134</v>
      </c>
      <c r="AC1414" s="1035"/>
      <c r="AD1414" s="690"/>
      <c r="AE1414" s="1025"/>
      <c r="AF1414" s="1030"/>
      <c r="AG1414" s="690"/>
      <c r="AH1414" s="690"/>
      <c r="AI1414" s="696">
        <f t="shared" si="187"/>
        <v>297151890</v>
      </c>
      <c r="AJ1414" s="697">
        <f t="shared" si="188"/>
        <v>269671010</v>
      </c>
    </row>
    <row r="1415" spans="1:36" s="700" customFormat="1" ht="12.75" customHeight="1">
      <c r="A1415" s="870" t="s">
        <v>211</v>
      </c>
      <c r="B1415" s="870" t="s">
        <v>429</v>
      </c>
      <c r="C1415" s="871" t="s">
        <v>1101</v>
      </c>
      <c r="D1415" s="871"/>
      <c r="E1415" s="872">
        <v>163259</v>
      </c>
      <c r="F1415" s="873">
        <v>15</v>
      </c>
      <c r="G1415" s="1025"/>
      <c r="H1415" s="690"/>
      <c r="I1415" s="1030"/>
      <c r="J1415" s="690"/>
      <c r="K1415" s="1030"/>
      <c r="L1415" s="690"/>
      <c r="M1415" s="1025"/>
      <c r="N1415" s="1030"/>
      <c r="O1415" s="692">
        <f t="shared" si="181"/>
        <v>0</v>
      </c>
      <c r="P1415" s="690"/>
      <c r="Q1415" s="690"/>
      <c r="R1415" s="691">
        <f t="shared" si="182"/>
        <v>0</v>
      </c>
      <c r="S1415" s="692">
        <f t="shared" si="183"/>
        <v>0</v>
      </c>
      <c r="T1415" s="693">
        <f t="shared" si="184"/>
        <v>0</v>
      </c>
      <c r="U1415" s="1035"/>
      <c r="V1415" s="690"/>
      <c r="W1415" s="1025"/>
      <c r="X1415" s="1030"/>
      <c r="Y1415" s="694">
        <f t="shared" si="185"/>
        <v>0</v>
      </c>
      <c r="Z1415" s="690"/>
      <c r="AA1415" s="690"/>
      <c r="AB1415" s="695">
        <f t="shared" si="186"/>
        <v>0</v>
      </c>
      <c r="AC1415" s="1035">
        <v>180473559</v>
      </c>
      <c r="AD1415" s="690">
        <v>178589273</v>
      </c>
      <c r="AE1415" s="1025">
        <v>101793051</v>
      </c>
      <c r="AF1415" s="1030"/>
      <c r="AG1415" s="690">
        <v>104033790</v>
      </c>
      <c r="AH1415" s="690"/>
      <c r="AI1415" s="696">
        <f t="shared" si="187"/>
        <v>282266610</v>
      </c>
      <c r="AJ1415" s="697">
        <f t="shared" si="188"/>
        <v>282623063</v>
      </c>
    </row>
    <row r="1416" spans="1:36" s="700" customFormat="1" ht="12.75" customHeight="1">
      <c r="A1416" s="870" t="s">
        <v>211</v>
      </c>
      <c r="B1416" s="870" t="s">
        <v>431</v>
      </c>
      <c r="C1416" s="878" t="s">
        <v>939</v>
      </c>
      <c r="D1416" s="878"/>
      <c r="E1416" s="872"/>
      <c r="F1416" s="873"/>
      <c r="G1416" s="1025"/>
      <c r="H1416" s="690"/>
      <c r="I1416" s="1030"/>
      <c r="J1416" s="690"/>
      <c r="K1416" s="1030"/>
      <c r="L1416" s="690"/>
      <c r="M1416" s="1025"/>
      <c r="N1416" s="1030"/>
      <c r="O1416" s="692">
        <f t="shared" si="181"/>
        <v>0</v>
      </c>
      <c r="P1416" s="690"/>
      <c r="Q1416" s="690"/>
      <c r="R1416" s="691">
        <f t="shared" si="182"/>
        <v>0</v>
      </c>
      <c r="S1416" s="692">
        <f t="shared" si="183"/>
        <v>0</v>
      </c>
      <c r="T1416" s="693">
        <f t="shared" si="184"/>
        <v>0</v>
      </c>
      <c r="U1416" s="1035"/>
      <c r="V1416" s="690"/>
      <c r="W1416" s="1025"/>
      <c r="X1416" s="1030"/>
      <c r="Y1416" s="694">
        <f t="shared" si="185"/>
        <v>0</v>
      </c>
      <c r="Z1416" s="690"/>
      <c r="AA1416" s="690"/>
      <c r="AB1416" s="695">
        <f t="shared" si="186"/>
        <v>0</v>
      </c>
      <c r="AC1416" s="1035"/>
      <c r="AD1416" s="690"/>
      <c r="AE1416" s="1025"/>
      <c r="AF1416" s="1030"/>
      <c r="AG1416" s="690"/>
      <c r="AH1416" s="690"/>
      <c r="AI1416" s="696">
        <f t="shared" si="187"/>
        <v>0</v>
      </c>
      <c r="AJ1416" s="697">
        <f t="shared" si="188"/>
        <v>0</v>
      </c>
    </row>
    <row r="1417" spans="1:36" s="700" customFormat="1" ht="12.75" customHeight="1">
      <c r="A1417" s="870" t="s">
        <v>211</v>
      </c>
      <c r="B1417" s="870" t="s">
        <v>431</v>
      </c>
      <c r="C1417" s="876" t="s">
        <v>1102</v>
      </c>
      <c r="D1417" s="876"/>
      <c r="E1417" s="872"/>
      <c r="F1417" s="873"/>
      <c r="G1417" s="1025"/>
      <c r="H1417" s="690"/>
      <c r="I1417" s="1030"/>
      <c r="J1417" s="690"/>
      <c r="K1417" s="1030"/>
      <c r="L1417" s="690"/>
      <c r="M1417" s="1025"/>
      <c r="N1417" s="1030"/>
      <c r="O1417" s="692">
        <f t="shared" si="181"/>
        <v>0</v>
      </c>
      <c r="P1417" s="690"/>
      <c r="Q1417" s="690"/>
      <c r="R1417" s="691">
        <f t="shared" si="182"/>
        <v>0</v>
      </c>
      <c r="S1417" s="692">
        <f t="shared" si="183"/>
        <v>0</v>
      </c>
      <c r="T1417" s="693">
        <f t="shared" si="184"/>
        <v>0</v>
      </c>
      <c r="U1417" s="1035"/>
      <c r="V1417" s="690"/>
      <c r="W1417" s="1025"/>
      <c r="X1417" s="1030"/>
      <c r="Y1417" s="694">
        <f t="shared" si="185"/>
        <v>0</v>
      </c>
      <c r="Z1417" s="690"/>
      <c r="AA1417" s="690"/>
      <c r="AB1417" s="695">
        <f t="shared" si="186"/>
        <v>0</v>
      </c>
      <c r="AC1417" s="1035"/>
      <c r="AD1417" s="690"/>
      <c r="AE1417" s="1025"/>
      <c r="AF1417" s="1030"/>
      <c r="AG1417" s="690"/>
      <c r="AH1417" s="690"/>
      <c r="AI1417" s="696">
        <f t="shared" si="187"/>
        <v>0</v>
      </c>
      <c r="AJ1417" s="697">
        <f t="shared" si="188"/>
        <v>0</v>
      </c>
    </row>
    <row r="1418" spans="1:36" s="700" customFormat="1" ht="12.75" customHeight="1">
      <c r="A1418" s="870" t="s">
        <v>211</v>
      </c>
      <c r="B1418" s="870" t="s">
        <v>431</v>
      </c>
      <c r="C1418" s="876" t="s">
        <v>1103</v>
      </c>
      <c r="D1418" s="876"/>
      <c r="E1418" s="872"/>
      <c r="F1418" s="873"/>
      <c r="G1418" s="1025"/>
      <c r="H1418" s="690"/>
      <c r="I1418" s="1030"/>
      <c r="J1418" s="690"/>
      <c r="K1418" s="1030"/>
      <c r="L1418" s="690"/>
      <c r="M1418" s="1025"/>
      <c r="N1418" s="1030"/>
      <c r="O1418" s="692">
        <f t="shared" ref="O1418:O1481" si="189">SUM(M1418:N1418)</f>
        <v>0</v>
      </c>
      <c r="P1418" s="690"/>
      <c r="Q1418" s="690"/>
      <c r="R1418" s="691">
        <f t="shared" ref="R1418:R1481" si="190">SUM(P1418:Q1418)</f>
        <v>0</v>
      </c>
      <c r="S1418" s="692">
        <f t="shared" ref="S1418:S1481" si="191">SUM(G1418,I1418,K1418,M1418)</f>
        <v>0</v>
      </c>
      <c r="T1418" s="693">
        <f t="shared" ref="T1418:T1481" si="192">SUM(H1418,J1418,L1418,P1418)</f>
        <v>0</v>
      </c>
      <c r="U1418" s="1035"/>
      <c r="V1418" s="690"/>
      <c r="W1418" s="1025"/>
      <c r="X1418" s="1030"/>
      <c r="Y1418" s="694">
        <f t="shared" ref="Y1418:Y1481" si="193">SUM(W1418:X1418)</f>
        <v>0</v>
      </c>
      <c r="Z1418" s="690"/>
      <c r="AA1418" s="690"/>
      <c r="AB1418" s="695">
        <f t="shared" ref="AB1418:AB1481" si="194">SUM(Z1418:AA1418)</f>
        <v>0</v>
      </c>
      <c r="AC1418" s="1035"/>
      <c r="AD1418" s="690"/>
      <c r="AE1418" s="1025"/>
      <c r="AF1418" s="1030"/>
      <c r="AG1418" s="690"/>
      <c r="AH1418" s="690"/>
      <c r="AI1418" s="696">
        <f t="shared" ref="AI1418:AI1481" si="195">SUM(S1418,U1418,W1418,AC1418,AE1418)</f>
        <v>0</v>
      </c>
      <c r="AJ1418" s="697">
        <f t="shared" ref="AJ1418:AJ1481" si="196">SUM(T1418,V1418,Z1418,AD1418,AG1418)</f>
        <v>0</v>
      </c>
    </row>
    <row r="1419" spans="1:36" s="700" customFormat="1" ht="12.75" customHeight="1">
      <c r="A1419" s="870" t="s">
        <v>211</v>
      </c>
      <c r="B1419" s="870" t="s">
        <v>409</v>
      </c>
      <c r="C1419" s="878" t="s">
        <v>157</v>
      </c>
      <c r="D1419" s="878"/>
      <c r="E1419" s="872"/>
      <c r="F1419" s="873"/>
      <c r="G1419" s="1025"/>
      <c r="H1419" s="690"/>
      <c r="I1419" s="1030"/>
      <c r="J1419" s="690"/>
      <c r="K1419" s="1030"/>
      <c r="L1419" s="690"/>
      <c r="M1419" s="1025"/>
      <c r="N1419" s="1030"/>
      <c r="O1419" s="692">
        <f t="shared" si="189"/>
        <v>0</v>
      </c>
      <c r="P1419" s="690"/>
      <c r="Q1419" s="690"/>
      <c r="R1419" s="691">
        <f t="shared" si="190"/>
        <v>0</v>
      </c>
      <c r="S1419" s="692">
        <f t="shared" si="191"/>
        <v>0</v>
      </c>
      <c r="T1419" s="693">
        <f t="shared" si="192"/>
        <v>0</v>
      </c>
      <c r="U1419" s="1035"/>
      <c r="V1419" s="690"/>
      <c r="W1419" s="1025"/>
      <c r="X1419" s="1030"/>
      <c r="Y1419" s="694">
        <f t="shared" si="193"/>
        <v>0</v>
      </c>
      <c r="Z1419" s="690"/>
      <c r="AA1419" s="690"/>
      <c r="AB1419" s="695">
        <f t="shared" si="194"/>
        <v>0</v>
      </c>
      <c r="AC1419" s="1035"/>
      <c r="AD1419" s="690"/>
      <c r="AE1419" s="1025"/>
      <c r="AF1419" s="1030"/>
      <c r="AG1419" s="690"/>
      <c r="AH1419" s="690"/>
      <c r="AI1419" s="696">
        <f t="shared" si="195"/>
        <v>0</v>
      </c>
      <c r="AJ1419" s="697">
        <f t="shared" si="196"/>
        <v>0</v>
      </c>
    </row>
    <row r="1420" spans="1:36" s="700" customFormat="1" ht="12.75" customHeight="1">
      <c r="A1420" s="870" t="s">
        <v>211</v>
      </c>
      <c r="B1420" s="870" t="s">
        <v>410</v>
      </c>
      <c r="C1420" s="875" t="s">
        <v>200</v>
      </c>
      <c r="D1420" s="875"/>
      <c r="E1420" s="872"/>
      <c r="F1420" s="873"/>
      <c r="G1420" s="1025"/>
      <c r="H1420" s="690"/>
      <c r="I1420" s="1030"/>
      <c r="J1420" s="690"/>
      <c r="K1420" s="1030"/>
      <c r="L1420" s="690"/>
      <c r="M1420" s="1025"/>
      <c r="N1420" s="1030"/>
      <c r="O1420" s="692">
        <f t="shared" si="189"/>
        <v>0</v>
      </c>
      <c r="P1420" s="690"/>
      <c r="Q1420" s="690"/>
      <c r="R1420" s="691">
        <f t="shared" si="190"/>
        <v>0</v>
      </c>
      <c r="S1420" s="692">
        <f t="shared" si="191"/>
        <v>0</v>
      </c>
      <c r="T1420" s="693">
        <f t="shared" si="192"/>
        <v>0</v>
      </c>
      <c r="U1420" s="1035"/>
      <c r="V1420" s="690"/>
      <c r="W1420" s="1025"/>
      <c r="X1420" s="1030"/>
      <c r="Y1420" s="694">
        <f t="shared" si="193"/>
        <v>0</v>
      </c>
      <c r="Z1420" s="690"/>
      <c r="AA1420" s="690"/>
      <c r="AB1420" s="695">
        <f t="shared" si="194"/>
        <v>0</v>
      </c>
      <c r="AC1420" s="1035"/>
      <c r="AD1420" s="690"/>
      <c r="AE1420" s="1025"/>
      <c r="AF1420" s="1030"/>
      <c r="AG1420" s="690"/>
      <c r="AH1420" s="690"/>
      <c r="AI1420" s="696">
        <f t="shared" si="195"/>
        <v>0</v>
      </c>
      <c r="AJ1420" s="697">
        <f t="shared" si="196"/>
        <v>0</v>
      </c>
    </row>
    <row r="1421" spans="1:36" s="700" customFormat="1" ht="12.75" customHeight="1">
      <c r="A1421" s="870" t="s">
        <v>211</v>
      </c>
      <c r="B1421" s="870" t="s">
        <v>410</v>
      </c>
      <c r="C1421" s="876" t="s">
        <v>1104</v>
      </c>
      <c r="D1421" s="876"/>
      <c r="E1421" s="872"/>
      <c r="F1421" s="873"/>
      <c r="G1421" s="1025"/>
      <c r="H1421" s="690"/>
      <c r="I1421" s="1030"/>
      <c r="J1421" s="690"/>
      <c r="K1421" s="1030"/>
      <c r="L1421" s="690"/>
      <c r="M1421" s="1025"/>
      <c r="N1421" s="1030"/>
      <c r="O1421" s="692">
        <f t="shared" si="189"/>
        <v>0</v>
      </c>
      <c r="P1421" s="690"/>
      <c r="Q1421" s="690"/>
      <c r="R1421" s="691">
        <f t="shared" si="190"/>
        <v>0</v>
      </c>
      <c r="S1421" s="692">
        <f t="shared" si="191"/>
        <v>0</v>
      </c>
      <c r="T1421" s="693">
        <f t="shared" si="192"/>
        <v>0</v>
      </c>
      <c r="U1421" s="1035">
        <v>9798634</v>
      </c>
      <c r="V1421" s="690">
        <v>9090943</v>
      </c>
      <c r="W1421" s="1025"/>
      <c r="X1421" s="1030"/>
      <c r="Y1421" s="694">
        <f t="shared" si="193"/>
        <v>0</v>
      </c>
      <c r="Z1421" s="690"/>
      <c r="AA1421" s="690"/>
      <c r="AB1421" s="695">
        <f t="shared" si="194"/>
        <v>0</v>
      </c>
      <c r="AC1421" s="1035"/>
      <c r="AD1421" s="690"/>
      <c r="AE1421" s="1025"/>
      <c r="AF1421" s="1030"/>
      <c r="AG1421" s="690"/>
      <c r="AH1421" s="690"/>
      <c r="AI1421" s="696">
        <f t="shared" si="195"/>
        <v>9798634</v>
      </c>
      <c r="AJ1421" s="697">
        <f t="shared" si="196"/>
        <v>9090943</v>
      </c>
    </row>
    <row r="1422" spans="1:36" s="700" customFormat="1" ht="12.75" customHeight="1">
      <c r="A1422" s="870" t="s">
        <v>211</v>
      </c>
      <c r="B1422" s="870" t="s">
        <v>410</v>
      </c>
      <c r="C1422" s="876" t="s">
        <v>1105</v>
      </c>
      <c r="D1422" s="876"/>
      <c r="E1422" s="872"/>
      <c r="F1422" s="873"/>
      <c r="G1422" s="1025"/>
      <c r="H1422" s="690"/>
      <c r="I1422" s="1030"/>
      <c r="J1422" s="690"/>
      <c r="K1422" s="1030"/>
      <c r="L1422" s="690"/>
      <c r="M1422" s="1025"/>
      <c r="N1422" s="1030"/>
      <c r="O1422" s="692">
        <f t="shared" si="189"/>
        <v>0</v>
      </c>
      <c r="P1422" s="690"/>
      <c r="Q1422" s="690"/>
      <c r="R1422" s="691">
        <f t="shared" si="190"/>
        <v>0</v>
      </c>
      <c r="S1422" s="692">
        <f t="shared" si="191"/>
        <v>0</v>
      </c>
      <c r="T1422" s="693">
        <f t="shared" si="192"/>
        <v>0</v>
      </c>
      <c r="U1422" s="1035">
        <v>5558809</v>
      </c>
      <c r="V1422" s="690">
        <v>4875109</v>
      </c>
      <c r="W1422" s="1025"/>
      <c r="X1422" s="1030"/>
      <c r="Y1422" s="694">
        <f t="shared" si="193"/>
        <v>0</v>
      </c>
      <c r="Z1422" s="690"/>
      <c r="AA1422" s="690"/>
      <c r="AB1422" s="695">
        <f t="shared" si="194"/>
        <v>0</v>
      </c>
      <c r="AC1422" s="1035"/>
      <c r="AD1422" s="690"/>
      <c r="AE1422" s="1025"/>
      <c r="AF1422" s="1030"/>
      <c r="AG1422" s="690"/>
      <c r="AH1422" s="690"/>
      <c r="AI1422" s="696">
        <f t="shared" si="195"/>
        <v>5558809</v>
      </c>
      <c r="AJ1422" s="697">
        <f t="shared" si="196"/>
        <v>4875109</v>
      </c>
    </row>
    <row r="1423" spans="1:36" s="700" customFormat="1" ht="12.75" customHeight="1">
      <c r="A1423" s="870" t="s">
        <v>211</v>
      </c>
      <c r="B1423" s="870" t="s">
        <v>412</v>
      </c>
      <c r="C1423" s="875" t="s">
        <v>198</v>
      </c>
      <c r="D1423" s="875"/>
      <c r="E1423" s="872"/>
      <c r="F1423" s="873"/>
      <c r="G1423" s="1025"/>
      <c r="H1423" s="690"/>
      <c r="I1423" s="1030"/>
      <c r="J1423" s="690"/>
      <c r="K1423" s="1030"/>
      <c r="L1423" s="690"/>
      <c r="M1423" s="1025"/>
      <c r="N1423" s="1030"/>
      <c r="O1423" s="692">
        <f t="shared" si="189"/>
        <v>0</v>
      </c>
      <c r="P1423" s="690"/>
      <c r="Q1423" s="690"/>
      <c r="R1423" s="691">
        <f t="shared" si="190"/>
        <v>0</v>
      </c>
      <c r="S1423" s="692">
        <f t="shared" si="191"/>
        <v>0</v>
      </c>
      <c r="T1423" s="693">
        <f t="shared" si="192"/>
        <v>0</v>
      </c>
      <c r="U1423" s="1035"/>
      <c r="V1423" s="690"/>
      <c r="W1423" s="1025"/>
      <c r="X1423" s="1030"/>
      <c r="Y1423" s="694">
        <f t="shared" si="193"/>
        <v>0</v>
      </c>
      <c r="Z1423" s="690"/>
      <c r="AA1423" s="690"/>
      <c r="AB1423" s="695">
        <f t="shared" si="194"/>
        <v>0</v>
      </c>
      <c r="AC1423" s="1035"/>
      <c r="AD1423" s="690"/>
      <c r="AE1423" s="1025"/>
      <c r="AF1423" s="1030"/>
      <c r="AG1423" s="690"/>
      <c r="AH1423" s="690"/>
      <c r="AI1423" s="696">
        <f t="shared" si="195"/>
        <v>0</v>
      </c>
      <c r="AJ1423" s="697">
        <f t="shared" si="196"/>
        <v>0</v>
      </c>
    </row>
    <row r="1424" spans="1:36" s="700" customFormat="1" ht="12.75" customHeight="1">
      <c r="A1424" s="870" t="s">
        <v>211</v>
      </c>
      <c r="B1424" s="870" t="s">
        <v>412</v>
      </c>
      <c r="C1424" s="876" t="s">
        <v>684</v>
      </c>
      <c r="D1424" s="876"/>
      <c r="E1424" s="872"/>
      <c r="F1424" s="873"/>
      <c r="G1424" s="1025"/>
      <c r="H1424" s="690"/>
      <c r="I1424" s="1030"/>
      <c r="J1424" s="690"/>
      <c r="K1424" s="1030"/>
      <c r="L1424" s="690"/>
      <c r="M1424" s="1025"/>
      <c r="N1424" s="1030"/>
      <c r="O1424" s="692">
        <f t="shared" si="189"/>
        <v>0</v>
      </c>
      <c r="P1424" s="690"/>
      <c r="Q1424" s="690"/>
      <c r="R1424" s="691">
        <f t="shared" si="190"/>
        <v>0</v>
      </c>
      <c r="S1424" s="692">
        <f t="shared" si="191"/>
        <v>0</v>
      </c>
      <c r="T1424" s="693">
        <f t="shared" si="192"/>
        <v>0</v>
      </c>
      <c r="U1424" s="1035">
        <v>195500</v>
      </c>
      <c r="V1424" s="690">
        <v>195500</v>
      </c>
      <c r="W1424" s="1025"/>
      <c r="X1424" s="1030"/>
      <c r="Y1424" s="694">
        <f t="shared" si="193"/>
        <v>0</v>
      </c>
      <c r="Z1424" s="690"/>
      <c r="AA1424" s="690"/>
      <c r="AB1424" s="695">
        <f t="shared" si="194"/>
        <v>0</v>
      </c>
      <c r="AC1424" s="1035"/>
      <c r="AD1424" s="690"/>
      <c r="AE1424" s="1025"/>
      <c r="AF1424" s="1030"/>
      <c r="AG1424" s="690"/>
      <c r="AH1424" s="690"/>
      <c r="AI1424" s="696">
        <f t="shared" si="195"/>
        <v>195500</v>
      </c>
      <c r="AJ1424" s="697">
        <f t="shared" si="196"/>
        <v>195500</v>
      </c>
    </row>
    <row r="1425" spans="1:36" s="700" customFormat="1" ht="12.75" customHeight="1">
      <c r="A1425" s="870" t="s">
        <v>211</v>
      </c>
      <c r="B1425" s="870" t="s">
        <v>413</v>
      </c>
      <c r="C1425" s="875" t="s">
        <v>632</v>
      </c>
      <c r="D1425" s="875"/>
      <c r="E1425" s="872"/>
      <c r="F1425" s="873"/>
      <c r="G1425" s="1025"/>
      <c r="H1425" s="690"/>
      <c r="I1425" s="1030"/>
      <c r="J1425" s="690"/>
      <c r="K1425" s="1030"/>
      <c r="L1425" s="690"/>
      <c r="M1425" s="1025"/>
      <c r="N1425" s="1030"/>
      <c r="O1425" s="692">
        <f t="shared" si="189"/>
        <v>0</v>
      </c>
      <c r="P1425" s="690"/>
      <c r="Q1425" s="690"/>
      <c r="R1425" s="691">
        <f t="shared" si="190"/>
        <v>0</v>
      </c>
      <c r="S1425" s="692">
        <f t="shared" si="191"/>
        <v>0</v>
      </c>
      <c r="T1425" s="693">
        <f t="shared" si="192"/>
        <v>0</v>
      </c>
      <c r="U1425" s="1035">
        <v>964504</v>
      </c>
      <c r="V1425" s="690"/>
      <c r="W1425" s="1025"/>
      <c r="X1425" s="1030"/>
      <c r="Y1425" s="694">
        <f t="shared" si="193"/>
        <v>0</v>
      </c>
      <c r="Z1425" s="690"/>
      <c r="AA1425" s="690"/>
      <c r="AB1425" s="695">
        <f t="shared" si="194"/>
        <v>0</v>
      </c>
      <c r="AC1425" s="1035"/>
      <c r="AD1425" s="690"/>
      <c r="AE1425" s="1025"/>
      <c r="AF1425" s="1030"/>
      <c r="AG1425" s="690"/>
      <c r="AH1425" s="690"/>
      <c r="AI1425" s="696">
        <f t="shared" si="195"/>
        <v>964504</v>
      </c>
      <c r="AJ1425" s="697">
        <f t="shared" si="196"/>
        <v>0</v>
      </c>
    </row>
    <row r="1426" spans="1:36" s="700" customFormat="1" ht="12.75" customHeight="1">
      <c r="A1426" s="870" t="s">
        <v>211</v>
      </c>
      <c r="B1426" s="870" t="s">
        <v>414</v>
      </c>
      <c r="C1426" s="878" t="s">
        <v>160</v>
      </c>
      <c r="D1426" s="878"/>
      <c r="E1426" s="872"/>
      <c r="F1426" s="873"/>
      <c r="G1426" s="1025"/>
      <c r="H1426" s="690"/>
      <c r="I1426" s="1030"/>
      <c r="J1426" s="690"/>
      <c r="K1426" s="1030"/>
      <c r="L1426" s="690"/>
      <c r="M1426" s="1025"/>
      <c r="N1426" s="1030"/>
      <c r="O1426" s="692">
        <f t="shared" si="189"/>
        <v>0</v>
      </c>
      <c r="P1426" s="690"/>
      <c r="Q1426" s="690"/>
      <c r="R1426" s="691">
        <f t="shared" si="190"/>
        <v>0</v>
      </c>
      <c r="S1426" s="692">
        <f t="shared" si="191"/>
        <v>0</v>
      </c>
      <c r="T1426" s="693">
        <f t="shared" si="192"/>
        <v>0</v>
      </c>
      <c r="U1426" s="1035">
        <v>38445958</v>
      </c>
      <c r="V1426" s="690">
        <v>38445958</v>
      </c>
      <c r="W1426" s="1025"/>
      <c r="X1426" s="1030"/>
      <c r="Y1426" s="694">
        <f t="shared" si="193"/>
        <v>0</v>
      </c>
      <c r="Z1426" s="690"/>
      <c r="AA1426" s="690"/>
      <c r="AB1426" s="695">
        <f t="shared" si="194"/>
        <v>0</v>
      </c>
      <c r="AC1426" s="1035"/>
      <c r="AD1426" s="690"/>
      <c r="AE1426" s="1025"/>
      <c r="AF1426" s="1030"/>
      <c r="AG1426" s="690"/>
      <c r="AH1426" s="690"/>
      <c r="AI1426" s="696">
        <f t="shared" si="195"/>
        <v>38445958</v>
      </c>
      <c r="AJ1426" s="697">
        <f t="shared" si="196"/>
        <v>38445958</v>
      </c>
    </row>
    <row r="1427" spans="1:36" s="700" customFormat="1" ht="12.75" customHeight="1">
      <c r="A1427" s="870" t="s">
        <v>211</v>
      </c>
      <c r="B1427" s="870" t="s">
        <v>415</v>
      </c>
      <c r="C1427" s="878" t="s">
        <v>165</v>
      </c>
      <c r="D1427" s="878"/>
      <c r="E1427" s="872"/>
      <c r="F1427" s="873"/>
      <c r="G1427" s="1025"/>
      <c r="H1427" s="690"/>
      <c r="I1427" s="1030"/>
      <c r="J1427" s="690"/>
      <c r="K1427" s="1030"/>
      <c r="L1427" s="690"/>
      <c r="M1427" s="1025"/>
      <c r="N1427" s="1030"/>
      <c r="O1427" s="692">
        <f t="shared" si="189"/>
        <v>0</v>
      </c>
      <c r="P1427" s="690"/>
      <c r="Q1427" s="690"/>
      <c r="R1427" s="691">
        <f t="shared" si="190"/>
        <v>0</v>
      </c>
      <c r="S1427" s="692">
        <f t="shared" si="191"/>
        <v>0</v>
      </c>
      <c r="T1427" s="693">
        <f t="shared" si="192"/>
        <v>0</v>
      </c>
      <c r="U1427" s="1035"/>
      <c r="V1427" s="690"/>
      <c r="W1427" s="1025"/>
      <c r="X1427" s="1030"/>
      <c r="Y1427" s="694">
        <f t="shared" si="193"/>
        <v>0</v>
      </c>
      <c r="Z1427" s="690"/>
      <c r="AA1427" s="690"/>
      <c r="AB1427" s="695">
        <f t="shared" si="194"/>
        <v>0</v>
      </c>
      <c r="AC1427" s="1035"/>
      <c r="AD1427" s="690"/>
      <c r="AE1427" s="1025"/>
      <c r="AF1427" s="1030"/>
      <c r="AG1427" s="690"/>
      <c r="AH1427" s="690"/>
      <c r="AI1427" s="696">
        <f t="shared" si="195"/>
        <v>0</v>
      </c>
      <c r="AJ1427" s="697">
        <f t="shared" si="196"/>
        <v>0</v>
      </c>
    </row>
    <row r="1428" spans="1:36" s="700" customFormat="1" ht="12.75" customHeight="1">
      <c r="A1428" s="870" t="s">
        <v>211</v>
      </c>
      <c r="B1428" s="870" t="s">
        <v>416</v>
      </c>
      <c r="C1428" s="875" t="s">
        <v>166</v>
      </c>
      <c r="D1428" s="875"/>
      <c r="E1428" s="872"/>
      <c r="F1428" s="873"/>
      <c r="G1428" s="1025"/>
      <c r="H1428" s="690"/>
      <c r="I1428" s="1030"/>
      <c r="J1428" s="690"/>
      <c r="K1428" s="1030"/>
      <c r="L1428" s="690"/>
      <c r="M1428" s="1025"/>
      <c r="N1428" s="1030"/>
      <c r="O1428" s="692">
        <f t="shared" si="189"/>
        <v>0</v>
      </c>
      <c r="P1428" s="690"/>
      <c r="Q1428" s="690"/>
      <c r="R1428" s="691">
        <f t="shared" si="190"/>
        <v>0</v>
      </c>
      <c r="S1428" s="692">
        <f t="shared" si="191"/>
        <v>0</v>
      </c>
      <c r="T1428" s="693">
        <f t="shared" si="192"/>
        <v>0</v>
      </c>
      <c r="U1428" s="1035"/>
      <c r="V1428" s="690"/>
      <c r="W1428" s="1025"/>
      <c r="X1428" s="1030"/>
      <c r="Y1428" s="694">
        <f t="shared" si="193"/>
        <v>0</v>
      </c>
      <c r="Z1428" s="690"/>
      <c r="AA1428" s="690"/>
      <c r="AB1428" s="695">
        <f t="shared" si="194"/>
        <v>0</v>
      </c>
      <c r="AC1428" s="1035"/>
      <c r="AD1428" s="690"/>
      <c r="AE1428" s="1025"/>
      <c r="AF1428" s="1030"/>
      <c r="AG1428" s="690"/>
      <c r="AH1428" s="690"/>
      <c r="AI1428" s="696">
        <f t="shared" si="195"/>
        <v>0</v>
      </c>
      <c r="AJ1428" s="697">
        <f t="shared" si="196"/>
        <v>0</v>
      </c>
    </row>
    <row r="1429" spans="1:36" s="700" customFormat="1" ht="12.75" customHeight="1">
      <c r="A1429" s="870" t="s">
        <v>211</v>
      </c>
      <c r="B1429" s="870" t="s">
        <v>417</v>
      </c>
      <c r="C1429" s="875" t="s">
        <v>168</v>
      </c>
      <c r="D1429" s="875"/>
      <c r="E1429" s="872"/>
      <c r="F1429" s="873"/>
      <c r="G1429" s="1025"/>
      <c r="H1429" s="690"/>
      <c r="I1429" s="1030"/>
      <c r="J1429" s="690"/>
      <c r="K1429" s="1030"/>
      <c r="L1429" s="690"/>
      <c r="M1429" s="1025"/>
      <c r="N1429" s="1030"/>
      <c r="O1429" s="692">
        <f t="shared" si="189"/>
        <v>0</v>
      </c>
      <c r="P1429" s="690"/>
      <c r="Q1429" s="690"/>
      <c r="R1429" s="691">
        <f t="shared" si="190"/>
        <v>0</v>
      </c>
      <c r="S1429" s="692">
        <f t="shared" si="191"/>
        <v>0</v>
      </c>
      <c r="T1429" s="693">
        <f t="shared" si="192"/>
        <v>0</v>
      </c>
      <c r="U1429" s="1035"/>
      <c r="V1429" s="690"/>
      <c r="W1429" s="1025"/>
      <c r="X1429" s="1030"/>
      <c r="Y1429" s="694">
        <f t="shared" si="193"/>
        <v>0</v>
      </c>
      <c r="Z1429" s="690"/>
      <c r="AA1429" s="690"/>
      <c r="AB1429" s="695">
        <f t="shared" si="194"/>
        <v>0</v>
      </c>
      <c r="AC1429" s="1035"/>
      <c r="AD1429" s="690"/>
      <c r="AE1429" s="1025"/>
      <c r="AF1429" s="1030"/>
      <c r="AG1429" s="690"/>
      <c r="AH1429" s="690"/>
      <c r="AI1429" s="696">
        <f t="shared" si="195"/>
        <v>0</v>
      </c>
      <c r="AJ1429" s="697">
        <f t="shared" si="196"/>
        <v>0</v>
      </c>
    </row>
    <row r="1430" spans="1:36" s="700" customFormat="1" ht="12.75" customHeight="1">
      <c r="A1430" s="870" t="s">
        <v>211</v>
      </c>
      <c r="B1430" s="870" t="s">
        <v>418</v>
      </c>
      <c r="C1430" s="875" t="s">
        <v>197</v>
      </c>
      <c r="D1430" s="875"/>
      <c r="E1430" s="872"/>
      <c r="F1430" s="873"/>
      <c r="G1430" s="1025"/>
      <c r="H1430" s="690"/>
      <c r="I1430" s="1030"/>
      <c r="J1430" s="690"/>
      <c r="K1430" s="1030"/>
      <c r="L1430" s="690"/>
      <c r="M1430" s="1025"/>
      <c r="N1430" s="1030"/>
      <c r="O1430" s="692">
        <f t="shared" si="189"/>
        <v>0</v>
      </c>
      <c r="P1430" s="690"/>
      <c r="Q1430" s="690"/>
      <c r="R1430" s="691">
        <f t="shared" si="190"/>
        <v>0</v>
      </c>
      <c r="S1430" s="692">
        <f t="shared" si="191"/>
        <v>0</v>
      </c>
      <c r="T1430" s="693">
        <f t="shared" si="192"/>
        <v>0</v>
      </c>
      <c r="U1430" s="1035"/>
      <c r="V1430" s="690"/>
      <c r="W1430" s="1025"/>
      <c r="X1430" s="1030"/>
      <c r="Y1430" s="694">
        <f t="shared" si="193"/>
        <v>0</v>
      </c>
      <c r="Z1430" s="690"/>
      <c r="AA1430" s="690"/>
      <c r="AB1430" s="695">
        <f t="shared" si="194"/>
        <v>0</v>
      </c>
      <c r="AC1430" s="1035"/>
      <c r="AD1430" s="690"/>
      <c r="AE1430" s="1025"/>
      <c r="AF1430" s="1030"/>
      <c r="AG1430" s="690"/>
      <c r="AH1430" s="690"/>
      <c r="AI1430" s="696">
        <f t="shared" si="195"/>
        <v>0</v>
      </c>
      <c r="AJ1430" s="697">
        <f t="shared" si="196"/>
        <v>0</v>
      </c>
    </row>
    <row r="1431" spans="1:36" s="700" customFormat="1" ht="12.75" customHeight="1">
      <c r="A1431" s="870" t="s">
        <v>211</v>
      </c>
      <c r="B1431" s="870" t="s">
        <v>419</v>
      </c>
      <c r="C1431" s="878" t="s">
        <v>50</v>
      </c>
      <c r="D1431" s="878"/>
      <c r="E1431" s="872"/>
      <c r="F1431" s="873"/>
      <c r="G1431" s="1025"/>
      <c r="H1431" s="690"/>
      <c r="I1431" s="1030"/>
      <c r="J1431" s="690"/>
      <c r="K1431" s="1030"/>
      <c r="L1431" s="690"/>
      <c r="M1431" s="1025"/>
      <c r="N1431" s="1030"/>
      <c r="O1431" s="692">
        <f t="shared" si="189"/>
        <v>0</v>
      </c>
      <c r="P1431" s="690"/>
      <c r="Q1431" s="690"/>
      <c r="R1431" s="691">
        <f t="shared" si="190"/>
        <v>0</v>
      </c>
      <c r="S1431" s="692">
        <f t="shared" si="191"/>
        <v>0</v>
      </c>
      <c r="T1431" s="693">
        <f t="shared" si="192"/>
        <v>0</v>
      </c>
      <c r="U1431" s="1035"/>
      <c r="V1431" s="690"/>
      <c r="W1431" s="1025"/>
      <c r="X1431" s="1030"/>
      <c r="Y1431" s="694">
        <f t="shared" si="193"/>
        <v>0</v>
      </c>
      <c r="Z1431" s="690"/>
      <c r="AA1431" s="690"/>
      <c r="AB1431" s="695">
        <f t="shared" si="194"/>
        <v>0</v>
      </c>
      <c r="AC1431" s="1035"/>
      <c r="AD1431" s="690"/>
      <c r="AE1431" s="1025"/>
      <c r="AF1431" s="1030"/>
      <c r="AG1431" s="690"/>
      <c r="AH1431" s="690"/>
      <c r="AI1431" s="696">
        <f t="shared" si="195"/>
        <v>0</v>
      </c>
      <c r="AJ1431" s="697">
        <f t="shared" si="196"/>
        <v>0</v>
      </c>
    </row>
    <row r="1432" spans="1:36" s="700" customFormat="1" ht="12.75" customHeight="1">
      <c r="A1432" s="870" t="s">
        <v>211</v>
      </c>
      <c r="B1432" s="870" t="s">
        <v>420</v>
      </c>
      <c r="C1432" s="879" t="s">
        <v>51</v>
      </c>
      <c r="D1432" s="879"/>
      <c r="E1432" s="872"/>
      <c r="F1432" s="873"/>
      <c r="G1432" s="1025"/>
      <c r="H1432" s="690"/>
      <c r="I1432" s="1030"/>
      <c r="J1432" s="690"/>
      <c r="K1432" s="1030"/>
      <c r="L1432" s="690"/>
      <c r="M1432" s="1025"/>
      <c r="N1432" s="1030"/>
      <c r="O1432" s="692">
        <f t="shared" si="189"/>
        <v>0</v>
      </c>
      <c r="P1432" s="690"/>
      <c r="Q1432" s="690"/>
      <c r="R1432" s="691">
        <f t="shared" si="190"/>
        <v>0</v>
      </c>
      <c r="S1432" s="692">
        <f t="shared" si="191"/>
        <v>0</v>
      </c>
      <c r="T1432" s="693">
        <f t="shared" si="192"/>
        <v>0</v>
      </c>
      <c r="U1432" s="1035"/>
      <c r="V1432" s="690"/>
      <c r="W1432" s="1025"/>
      <c r="X1432" s="1030"/>
      <c r="Y1432" s="694">
        <f t="shared" si="193"/>
        <v>0</v>
      </c>
      <c r="Z1432" s="690"/>
      <c r="AA1432" s="690"/>
      <c r="AB1432" s="695">
        <f t="shared" si="194"/>
        <v>0</v>
      </c>
      <c r="AC1432" s="1035"/>
      <c r="AD1432" s="690"/>
      <c r="AE1432" s="1025"/>
      <c r="AF1432" s="1030"/>
      <c r="AG1432" s="690"/>
      <c r="AH1432" s="690"/>
      <c r="AI1432" s="696">
        <f t="shared" si="195"/>
        <v>0</v>
      </c>
      <c r="AJ1432" s="697">
        <f t="shared" si="196"/>
        <v>0</v>
      </c>
    </row>
    <row r="1433" spans="1:36" s="700" customFormat="1" ht="12.75" customHeight="1">
      <c r="A1433" s="870" t="s">
        <v>211</v>
      </c>
      <c r="B1433" s="870" t="s">
        <v>420</v>
      </c>
      <c r="C1433" s="880" t="s">
        <v>1106</v>
      </c>
      <c r="D1433" s="880"/>
      <c r="E1433" s="872"/>
      <c r="F1433" s="873"/>
      <c r="G1433" s="1025"/>
      <c r="H1433" s="690"/>
      <c r="I1433" s="1030"/>
      <c r="J1433" s="690"/>
      <c r="K1433" s="1030"/>
      <c r="L1433" s="690"/>
      <c r="M1433" s="1025"/>
      <c r="N1433" s="1030"/>
      <c r="O1433" s="692">
        <f t="shared" si="189"/>
        <v>0</v>
      </c>
      <c r="P1433" s="690"/>
      <c r="Q1433" s="690"/>
      <c r="R1433" s="691">
        <f t="shared" si="190"/>
        <v>0</v>
      </c>
      <c r="S1433" s="692">
        <f t="shared" si="191"/>
        <v>0</v>
      </c>
      <c r="T1433" s="693">
        <f t="shared" si="192"/>
        <v>0</v>
      </c>
      <c r="U1433" s="1035"/>
      <c r="V1433" s="690"/>
      <c r="W1433" s="1025"/>
      <c r="X1433" s="1030"/>
      <c r="Y1433" s="694">
        <f t="shared" si="193"/>
        <v>0</v>
      </c>
      <c r="Z1433" s="690"/>
      <c r="AA1433" s="690"/>
      <c r="AB1433" s="695">
        <f t="shared" si="194"/>
        <v>0</v>
      </c>
      <c r="AC1433" s="1035"/>
      <c r="AD1433" s="690"/>
      <c r="AE1433" s="1025"/>
      <c r="AF1433" s="1030"/>
      <c r="AG1433" s="690"/>
      <c r="AH1433" s="690"/>
      <c r="AI1433" s="696">
        <f t="shared" si="195"/>
        <v>0</v>
      </c>
      <c r="AJ1433" s="697">
        <f t="shared" si="196"/>
        <v>0</v>
      </c>
    </row>
    <row r="1434" spans="1:36" s="700" customFormat="1" ht="12.75" customHeight="1">
      <c r="A1434" s="870" t="s">
        <v>211</v>
      </c>
      <c r="B1434" s="870" t="s">
        <v>442</v>
      </c>
      <c r="C1434" s="746" t="s">
        <v>443</v>
      </c>
      <c r="D1434" s="746"/>
      <c r="E1434" s="872"/>
      <c r="F1434" s="873"/>
      <c r="G1434" s="1025"/>
      <c r="H1434" s="690"/>
      <c r="I1434" s="1030"/>
      <c r="J1434" s="690"/>
      <c r="K1434" s="1030"/>
      <c r="L1434" s="690"/>
      <c r="M1434" s="1025"/>
      <c r="N1434" s="1030"/>
      <c r="O1434" s="692">
        <f t="shared" si="189"/>
        <v>0</v>
      </c>
      <c r="P1434" s="690"/>
      <c r="Q1434" s="690"/>
      <c r="R1434" s="691">
        <f t="shared" si="190"/>
        <v>0</v>
      </c>
      <c r="S1434" s="692">
        <f t="shared" si="191"/>
        <v>0</v>
      </c>
      <c r="T1434" s="693">
        <f t="shared" si="192"/>
        <v>0</v>
      </c>
      <c r="U1434" s="1035"/>
      <c r="V1434" s="690"/>
      <c r="W1434" s="1025"/>
      <c r="X1434" s="1030"/>
      <c r="Y1434" s="694">
        <f t="shared" si="193"/>
        <v>0</v>
      </c>
      <c r="Z1434" s="690"/>
      <c r="AA1434" s="690"/>
      <c r="AB1434" s="695">
        <f t="shared" si="194"/>
        <v>0</v>
      </c>
      <c r="AC1434" s="1035"/>
      <c r="AD1434" s="690"/>
      <c r="AE1434" s="1025"/>
      <c r="AF1434" s="1030"/>
      <c r="AG1434" s="690"/>
      <c r="AH1434" s="690"/>
      <c r="AI1434" s="696">
        <f t="shared" si="195"/>
        <v>0</v>
      </c>
      <c r="AJ1434" s="697">
        <f t="shared" si="196"/>
        <v>0</v>
      </c>
    </row>
    <row r="1435" spans="1:36" s="700" customFormat="1" ht="12.75" customHeight="1">
      <c r="A1435" s="870" t="s">
        <v>211</v>
      </c>
      <c r="B1435" s="870" t="s">
        <v>379</v>
      </c>
      <c r="C1435" s="746" t="s">
        <v>377</v>
      </c>
      <c r="D1435" s="746"/>
      <c r="E1435" s="872"/>
      <c r="F1435" s="873"/>
      <c r="G1435" s="1025"/>
      <c r="H1435" s="690"/>
      <c r="I1435" s="1030"/>
      <c r="J1435" s="690"/>
      <c r="K1435" s="1030"/>
      <c r="L1435" s="690"/>
      <c r="M1435" s="1025"/>
      <c r="N1435" s="1030"/>
      <c r="O1435" s="692">
        <f t="shared" si="189"/>
        <v>0</v>
      </c>
      <c r="P1435" s="690"/>
      <c r="Q1435" s="690"/>
      <c r="R1435" s="691">
        <f t="shared" si="190"/>
        <v>0</v>
      </c>
      <c r="S1435" s="692">
        <f t="shared" si="191"/>
        <v>0</v>
      </c>
      <c r="T1435" s="693">
        <f t="shared" si="192"/>
        <v>0</v>
      </c>
      <c r="U1435" s="1035"/>
      <c r="V1435" s="690"/>
      <c r="W1435" s="1025"/>
      <c r="X1435" s="1030"/>
      <c r="Y1435" s="694">
        <f t="shared" si="193"/>
        <v>0</v>
      </c>
      <c r="Z1435" s="690"/>
      <c r="AA1435" s="690"/>
      <c r="AB1435" s="695">
        <f t="shared" si="194"/>
        <v>0</v>
      </c>
      <c r="AC1435" s="1035"/>
      <c r="AD1435" s="690"/>
      <c r="AE1435" s="1025"/>
      <c r="AF1435" s="1030"/>
      <c r="AG1435" s="690"/>
      <c r="AH1435" s="690"/>
      <c r="AI1435" s="696">
        <f t="shared" si="195"/>
        <v>0</v>
      </c>
      <c r="AJ1435" s="697">
        <f t="shared" si="196"/>
        <v>0</v>
      </c>
    </row>
    <row r="1436" spans="1:36" s="700" customFormat="1" ht="12.75" customHeight="1">
      <c r="A1436" s="870" t="s">
        <v>211</v>
      </c>
      <c r="B1436" s="739" t="s">
        <v>295</v>
      </c>
      <c r="C1436" s="746" t="s">
        <v>53</v>
      </c>
      <c r="D1436" s="746"/>
      <c r="E1436" s="872"/>
      <c r="F1436" s="873"/>
      <c r="G1436" s="1025"/>
      <c r="H1436" s="690"/>
      <c r="I1436" s="1030"/>
      <c r="J1436" s="690"/>
      <c r="K1436" s="1030"/>
      <c r="L1436" s="690"/>
      <c r="M1436" s="1025"/>
      <c r="N1436" s="1030"/>
      <c r="O1436" s="692">
        <f t="shared" si="189"/>
        <v>0</v>
      </c>
      <c r="P1436" s="690"/>
      <c r="Q1436" s="690"/>
      <c r="R1436" s="691">
        <f t="shared" si="190"/>
        <v>0</v>
      </c>
      <c r="S1436" s="692">
        <f t="shared" si="191"/>
        <v>0</v>
      </c>
      <c r="T1436" s="693">
        <f t="shared" si="192"/>
        <v>0</v>
      </c>
      <c r="U1436" s="1035"/>
      <c r="V1436" s="690"/>
      <c r="W1436" s="1025"/>
      <c r="X1436" s="1030"/>
      <c r="Y1436" s="694">
        <f t="shared" si="193"/>
        <v>0</v>
      </c>
      <c r="Z1436" s="690"/>
      <c r="AA1436" s="690"/>
      <c r="AB1436" s="695">
        <f t="shared" si="194"/>
        <v>0</v>
      </c>
      <c r="AC1436" s="1035"/>
      <c r="AD1436" s="690"/>
      <c r="AE1436" s="1025"/>
      <c r="AF1436" s="1030"/>
      <c r="AG1436" s="690"/>
      <c r="AH1436" s="690"/>
      <c r="AI1436" s="696">
        <f t="shared" si="195"/>
        <v>0</v>
      </c>
      <c r="AJ1436" s="697">
        <f t="shared" si="196"/>
        <v>0</v>
      </c>
    </row>
    <row r="1437" spans="1:36" s="700" customFormat="1" ht="12.75" customHeight="1">
      <c r="A1437" s="870" t="s">
        <v>211</v>
      </c>
      <c r="B1437" s="739" t="s">
        <v>296</v>
      </c>
      <c r="C1437" s="746" t="s">
        <v>443</v>
      </c>
      <c r="D1437" s="746"/>
      <c r="E1437" s="872"/>
      <c r="F1437" s="873"/>
      <c r="G1437" s="1025"/>
      <c r="H1437" s="690"/>
      <c r="I1437" s="1030"/>
      <c r="J1437" s="690"/>
      <c r="K1437" s="1030"/>
      <c r="L1437" s="690"/>
      <c r="M1437" s="1025"/>
      <c r="N1437" s="1030"/>
      <c r="O1437" s="692">
        <f t="shared" si="189"/>
        <v>0</v>
      </c>
      <c r="P1437" s="690"/>
      <c r="Q1437" s="690"/>
      <c r="R1437" s="691">
        <f t="shared" si="190"/>
        <v>0</v>
      </c>
      <c r="S1437" s="692">
        <f t="shared" si="191"/>
        <v>0</v>
      </c>
      <c r="T1437" s="693">
        <f t="shared" si="192"/>
        <v>0</v>
      </c>
      <c r="U1437" s="1035">
        <v>3193700</v>
      </c>
      <c r="V1437" s="690">
        <v>1444514</v>
      </c>
      <c r="W1437" s="1025"/>
      <c r="X1437" s="1030"/>
      <c r="Y1437" s="694">
        <f t="shared" si="193"/>
        <v>0</v>
      </c>
      <c r="Z1437" s="690"/>
      <c r="AA1437" s="690"/>
      <c r="AB1437" s="695">
        <f t="shared" si="194"/>
        <v>0</v>
      </c>
      <c r="AC1437" s="1035"/>
      <c r="AD1437" s="690"/>
      <c r="AE1437" s="1025"/>
      <c r="AF1437" s="1030"/>
      <c r="AG1437" s="690"/>
      <c r="AH1437" s="690"/>
      <c r="AI1437" s="696">
        <f t="shared" si="195"/>
        <v>3193700</v>
      </c>
      <c r="AJ1437" s="697">
        <f t="shared" si="196"/>
        <v>1444514</v>
      </c>
    </row>
    <row r="1438" spans="1:36" s="700" customFormat="1" ht="12.75" customHeight="1">
      <c r="A1438" s="870" t="s">
        <v>211</v>
      </c>
      <c r="B1438" s="870" t="s">
        <v>379</v>
      </c>
      <c r="C1438" s="746" t="s">
        <v>377</v>
      </c>
      <c r="D1438" s="746"/>
      <c r="E1438" s="872"/>
      <c r="F1438" s="873"/>
      <c r="G1438" s="1025"/>
      <c r="H1438" s="690"/>
      <c r="I1438" s="1030"/>
      <c r="J1438" s="690"/>
      <c r="K1438" s="1030"/>
      <c r="L1438" s="690"/>
      <c r="M1438" s="1025"/>
      <c r="N1438" s="1030"/>
      <c r="O1438" s="692">
        <f t="shared" si="189"/>
        <v>0</v>
      </c>
      <c r="P1438" s="690"/>
      <c r="Q1438" s="690"/>
      <c r="R1438" s="691">
        <f t="shared" si="190"/>
        <v>0</v>
      </c>
      <c r="S1438" s="692">
        <f t="shared" si="191"/>
        <v>0</v>
      </c>
      <c r="T1438" s="693">
        <f t="shared" si="192"/>
        <v>0</v>
      </c>
      <c r="U1438" s="1035"/>
      <c r="V1438" s="690"/>
      <c r="W1438" s="1025"/>
      <c r="X1438" s="1030"/>
      <c r="Y1438" s="694">
        <f t="shared" si="193"/>
        <v>0</v>
      </c>
      <c r="Z1438" s="690"/>
      <c r="AA1438" s="690"/>
      <c r="AB1438" s="695">
        <f t="shared" si="194"/>
        <v>0</v>
      </c>
      <c r="AC1438" s="1035"/>
      <c r="AD1438" s="690"/>
      <c r="AE1438" s="1025"/>
      <c r="AF1438" s="1030"/>
      <c r="AG1438" s="690"/>
      <c r="AH1438" s="690"/>
      <c r="AI1438" s="696">
        <f t="shared" si="195"/>
        <v>0</v>
      </c>
      <c r="AJ1438" s="697">
        <f t="shared" si="196"/>
        <v>0</v>
      </c>
    </row>
    <row r="1439" spans="1:36" s="700" customFormat="1" ht="12.75" customHeight="1">
      <c r="A1439" s="870" t="s">
        <v>211</v>
      </c>
      <c r="B1439" s="739" t="s">
        <v>279</v>
      </c>
      <c r="C1439" s="746" t="s">
        <v>54</v>
      </c>
      <c r="D1439" s="746"/>
      <c r="E1439" s="872"/>
      <c r="F1439" s="873"/>
      <c r="G1439" s="1025"/>
      <c r="H1439" s="690"/>
      <c r="I1439" s="1030"/>
      <c r="J1439" s="690"/>
      <c r="K1439" s="1030"/>
      <c r="L1439" s="690"/>
      <c r="M1439" s="1025"/>
      <c r="N1439" s="1030"/>
      <c r="O1439" s="692">
        <f t="shared" si="189"/>
        <v>0</v>
      </c>
      <c r="P1439" s="690"/>
      <c r="Q1439" s="690"/>
      <c r="R1439" s="691">
        <f t="shared" si="190"/>
        <v>0</v>
      </c>
      <c r="S1439" s="692">
        <f t="shared" si="191"/>
        <v>0</v>
      </c>
      <c r="T1439" s="693">
        <f t="shared" si="192"/>
        <v>0</v>
      </c>
      <c r="U1439" s="1035"/>
      <c r="V1439" s="690"/>
      <c r="W1439" s="1025"/>
      <c r="X1439" s="1030"/>
      <c r="Y1439" s="694">
        <f t="shared" si="193"/>
        <v>0</v>
      </c>
      <c r="Z1439" s="690"/>
      <c r="AA1439" s="690"/>
      <c r="AB1439" s="695">
        <f t="shared" si="194"/>
        <v>0</v>
      </c>
      <c r="AC1439" s="1035"/>
      <c r="AD1439" s="690"/>
      <c r="AE1439" s="1025"/>
      <c r="AF1439" s="1030"/>
      <c r="AG1439" s="690"/>
      <c r="AH1439" s="690"/>
      <c r="AI1439" s="696">
        <f t="shared" si="195"/>
        <v>0</v>
      </c>
      <c r="AJ1439" s="697">
        <f t="shared" si="196"/>
        <v>0</v>
      </c>
    </row>
    <row r="1440" spans="1:36" s="700" customFormat="1" ht="12.75" customHeight="1">
      <c r="A1440" s="870" t="s">
        <v>211</v>
      </c>
      <c r="B1440" s="739" t="s">
        <v>317</v>
      </c>
      <c r="C1440" s="746" t="s">
        <v>443</v>
      </c>
      <c r="D1440" s="746"/>
      <c r="E1440" s="872"/>
      <c r="F1440" s="873"/>
      <c r="G1440" s="1025"/>
      <c r="H1440" s="690"/>
      <c r="I1440" s="1030"/>
      <c r="J1440" s="690"/>
      <c r="K1440" s="1030"/>
      <c r="L1440" s="690"/>
      <c r="M1440" s="1025"/>
      <c r="N1440" s="1030"/>
      <c r="O1440" s="692">
        <f t="shared" si="189"/>
        <v>0</v>
      </c>
      <c r="P1440" s="690"/>
      <c r="Q1440" s="690"/>
      <c r="R1440" s="691">
        <f t="shared" si="190"/>
        <v>0</v>
      </c>
      <c r="S1440" s="692">
        <f t="shared" si="191"/>
        <v>0</v>
      </c>
      <c r="T1440" s="693">
        <f t="shared" si="192"/>
        <v>0</v>
      </c>
      <c r="U1440" s="1035">
        <v>438300</v>
      </c>
      <c r="V1440" s="690">
        <v>132650</v>
      </c>
      <c r="W1440" s="1025"/>
      <c r="X1440" s="1030"/>
      <c r="Y1440" s="694">
        <f t="shared" si="193"/>
        <v>0</v>
      </c>
      <c r="Z1440" s="690"/>
      <c r="AA1440" s="690"/>
      <c r="AB1440" s="695">
        <f t="shared" si="194"/>
        <v>0</v>
      </c>
      <c r="AC1440" s="1035"/>
      <c r="AD1440" s="690"/>
      <c r="AE1440" s="1025"/>
      <c r="AF1440" s="1030"/>
      <c r="AG1440" s="690"/>
      <c r="AH1440" s="690"/>
      <c r="AI1440" s="696">
        <f t="shared" si="195"/>
        <v>438300</v>
      </c>
      <c r="AJ1440" s="697">
        <f t="shared" si="196"/>
        <v>132650</v>
      </c>
    </row>
    <row r="1441" spans="1:36" s="700" customFormat="1" ht="12.75" customHeight="1">
      <c r="A1441" s="870" t="s">
        <v>211</v>
      </c>
      <c r="B1441" s="870" t="s">
        <v>379</v>
      </c>
      <c r="C1441" s="746" t="s">
        <v>377</v>
      </c>
      <c r="D1441" s="746"/>
      <c r="E1441" s="872"/>
      <c r="F1441" s="873"/>
      <c r="G1441" s="1025"/>
      <c r="H1441" s="690"/>
      <c r="I1441" s="1030"/>
      <c r="J1441" s="690"/>
      <c r="K1441" s="1030"/>
      <c r="L1441" s="690"/>
      <c r="M1441" s="1025"/>
      <c r="N1441" s="1030"/>
      <c r="O1441" s="692">
        <f t="shared" si="189"/>
        <v>0</v>
      </c>
      <c r="P1441" s="690"/>
      <c r="Q1441" s="690"/>
      <c r="R1441" s="691">
        <f t="shared" si="190"/>
        <v>0</v>
      </c>
      <c r="S1441" s="692">
        <f t="shared" si="191"/>
        <v>0</v>
      </c>
      <c r="T1441" s="693">
        <f t="shared" si="192"/>
        <v>0</v>
      </c>
      <c r="U1441" s="1035"/>
      <c r="V1441" s="690"/>
      <c r="W1441" s="1025"/>
      <c r="X1441" s="1030"/>
      <c r="Y1441" s="694">
        <f t="shared" si="193"/>
        <v>0</v>
      </c>
      <c r="Z1441" s="690"/>
      <c r="AA1441" s="690"/>
      <c r="AB1441" s="695">
        <f t="shared" si="194"/>
        <v>0</v>
      </c>
      <c r="AC1441" s="1035"/>
      <c r="AD1441" s="690"/>
      <c r="AE1441" s="1025"/>
      <c r="AF1441" s="1030"/>
      <c r="AG1441" s="690"/>
      <c r="AH1441" s="690"/>
      <c r="AI1441" s="696">
        <f t="shared" si="195"/>
        <v>0</v>
      </c>
      <c r="AJ1441" s="697">
        <f t="shared" si="196"/>
        <v>0</v>
      </c>
    </row>
    <row r="1442" spans="1:36" s="700" customFormat="1" ht="12.75" customHeight="1">
      <c r="A1442" s="870" t="s">
        <v>211</v>
      </c>
      <c r="B1442" s="870" t="s">
        <v>420</v>
      </c>
      <c r="C1442" s="880" t="s">
        <v>1107</v>
      </c>
      <c r="D1442" s="880"/>
      <c r="E1442" s="872"/>
      <c r="F1442" s="873"/>
      <c r="G1442" s="1025"/>
      <c r="H1442" s="690"/>
      <c r="I1442" s="1030"/>
      <c r="J1442" s="690"/>
      <c r="K1442" s="1030"/>
      <c r="L1442" s="690"/>
      <c r="M1442" s="1025"/>
      <c r="N1442" s="1030"/>
      <c r="O1442" s="692">
        <f t="shared" si="189"/>
        <v>0</v>
      </c>
      <c r="P1442" s="690"/>
      <c r="Q1442" s="690"/>
      <c r="R1442" s="691">
        <f t="shared" si="190"/>
        <v>0</v>
      </c>
      <c r="S1442" s="692">
        <f t="shared" si="191"/>
        <v>0</v>
      </c>
      <c r="T1442" s="693">
        <f t="shared" si="192"/>
        <v>0</v>
      </c>
      <c r="U1442" s="1035"/>
      <c r="V1442" s="690"/>
      <c r="W1442" s="1025"/>
      <c r="X1442" s="1030"/>
      <c r="Y1442" s="694">
        <f t="shared" si="193"/>
        <v>0</v>
      </c>
      <c r="Z1442" s="690"/>
      <c r="AA1442" s="690"/>
      <c r="AB1442" s="695">
        <f t="shared" si="194"/>
        <v>0</v>
      </c>
      <c r="AC1442" s="1035"/>
      <c r="AD1442" s="690"/>
      <c r="AE1442" s="1025"/>
      <c r="AF1442" s="1030"/>
      <c r="AG1442" s="690"/>
      <c r="AH1442" s="690"/>
      <c r="AI1442" s="696">
        <f t="shared" si="195"/>
        <v>0</v>
      </c>
      <c r="AJ1442" s="697">
        <f t="shared" si="196"/>
        <v>0</v>
      </c>
    </row>
    <row r="1443" spans="1:36" s="700" customFormat="1" ht="12.75" customHeight="1">
      <c r="A1443" s="870" t="s">
        <v>211</v>
      </c>
      <c r="B1443" s="739" t="s">
        <v>295</v>
      </c>
      <c r="C1443" s="746" t="s">
        <v>53</v>
      </c>
      <c r="D1443" s="746"/>
      <c r="E1443" s="872"/>
      <c r="F1443" s="873"/>
      <c r="G1443" s="1025"/>
      <c r="H1443" s="690"/>
      <c r="I1443" s="1030"/>
      <c r="J1443" s="690"/>
      <c r="K1443" s="1030"/>
      <c r="L1443" s="690"/>
      <c r="M1443" s="1025"/>
      <c r="N1443" s="1030"/>
      <c r="O1443" s="692">
        <f t="shared" si="189"/>
        <v>0</v>
      </c>
      <c r="P1443" s="690"/>
      <c r="Q1443" s="690"/>
      <c r="R1443" s="691">
        <f t="shared" si="190"/>
        <v>0</v>
      </c>
      <c r="S1443" s="692">
        <f t="shared" si="191"/>
        <v>0</v>
      </c>
      <c r="T1443" s="693">
        <f t="shared" si="192"/>
        <v>0</v>
      </c>
      <c r="U1443" s="1035"/>
      <c r="V1443" s="690"/>
      <c r="W1443" s="1025"/>
      <c r="X1443" s="1030"/>
      <c r="Y1443" s="694">
        <f t="shared" si="193"/>
        <v>0</v>
      </c>
      <c r="Z1443" s="690"/>
      <c r="AA1443" s="690"/>
      <c r="AB1443" s="695">
        <f t="shared" si="194"/>
        <v>0</v>
      </c>
      <c r="AC1443" s="1035"/>
      <c r="AD1443" s="690"/>
      <c r="AE1443" s="1025"/>
      <c r="AF1443" s="1030"/>
      <c r="AG1443" s="690"/>
      <c r="AH1443" s="690"/>
      <c r="AI1443" s="696">
        <f t="shared" si="195"/>
        <v>0</v>
      </c>
      <c r="AJ1443" s="697">
        <f t="shared" si="196"/>
        <v>0</v>
      </c>
    </row>
    <row r="1444" spans="1:36" s="700" customFormat="1" ht="12.75" customHeight="1">
      <c r="A1444" s="870" t="s">
        <v>211</v>
      </c>
      <c r="B1444" s="739" t="s">
        <v>296</v>
      </c>
      <c r="C1444" s="746" t="s">
        <v>443</v>
      </c>
      <c r="D1444" s="746"/>
      <c r="E1444" s="872"/>
      <c r="F1444" s="873"/>
      <c r="G1444" s="1025"/>
      <c r="H1444" s="690"/>
      <c r="I1444" s="1030"/>
      <c r="J1444" s="690"/>
      <c r="K1444" s="1030"/>
      <c r="L1444" s="690"/>
      <c r="M1444" s="1025"/>
      <c r="N1444" s="1030"/>
      <c r="O1444" s="692">
        <f t="shared" si="189"/>
        <v>0</v>
      </c>
      <c r="P1444" s="690"/>
      <c r="Q1444" s="690"/>
      <c r="R1444" s="691">
        <f t="shared" si="190"/>
        <v>0</v>
      </c>
      <c r="S1444" s="692">
        <f t="shared" si="191"/>
        <v>0</v>
      </c>
      <c r="T1444" s="693">
        <f t="shared" si="192"/>
        <v>0</v>
      </c>
      <c r="U1444" s="1035">
        <v>3925146</v>
      </c>
      <c r="V1444" s="690"/>
      <c r="W1444" s="1025"/>
      <c r="X1444" s="1030"/>
      <c r="Y1444" s="694">
        <f t="shared" si="193"/>
        <v>0</v>
      </c>
      <c r="Z1444" s="690"/>
      <c r="AA1444" s="690"/>
      <c r="AB1444" s="695">
        <f t="shared" si="194"/>
        <v>0</v>
      </c>
      <c r="AC1444" s="1035"/>
      <c r="AD1444" s="690"/>
      <c r="AE1444" s="1025"/>
      <c r="AF1444" s="1030"/>
      <c r="AG1444" s="690"/>
      <c r="AH1444" s="690"/>
      <c r="AI1444" s="696">
        <f t="shared" si="195"/>
        <v>3925146</v>
      </c>
      <c r="AJ1444" s="697">
        <f t="shared" si="196"/>
        <v>0</v>
      </c>
    </row>
    <row r="1445" spans="1:36" s="700" customFormat="1" ht="12.75" customHeight="1">
      <c r="A1445" s="870" t="s">
        <v>211</v>
      </c>
      <c r="B1445" s="870" t="s">
        <v>379</v>
      </c>
      <c r="C1445" s="746" t="s">
        <v>377</v>
      </c>
      <c r="D1445" s="746"/>
      <c r="E1445" s="872"/>
      <c r="F1445" s="873"/>
      <c r="G1445" s="1025"/>
      <c r="H1445" s="690"/>
      <c r="I1445" s="1030"/>
      <c r="J1445" s="690"/>
      <c r="K1445" s="1030"/>
      <c r="L1445" s="690"/>
      <c r="M1445" s="1025"/>
      <c r="N1445" s="1030"/>
      <c r="O1445" s="692">
        <f t="shared" si="189"/>
        <v>0</v>
      </c>
      <c r="P1445" s="690"/>
      <c r="Q1445" s="690"/>
      <c r="R1445" s="691">
        <f t="shared" si="190"/>
        <v>0</v>
      </c>
      <c r="S1445" s="692">
        <f t="shared" si="191"/>
        <v>0</v>
      </c>
      <c r="T1445" s="693">
        <f t="shared" si="192"/>
        <v>0</v>
      </c>
      <c r="U1445" s="1035"/>
      <c r="V1445" s="690"/>
      <c r="W1445" s="1025"/>
      <c r="X1445" s="1030"/>
      <c r="Y1445" s="694">
        <f t="shared" si="193"/>
        <v>0</v>
      </c>
      <c r="Z1445" s="690"/>
      <c r="AA1445" s="690"/>
      <c r="AB1445" s="695">
        <f t="shared" si="194"/>
        <v>0</v>
      </c>
      <c r="AC1445" s="1035"/>
      <c r="AD1445" s="690"/>
      <c r="AE1445" s="1025"/>
      <c r="AF1445" s="1030"/>
      <c r="AG1445" s="690"/>
      <c r="AH1445" s="690"/>
      <c r="AI1445" s="696">
        <f t="shared" si="195"/>
        <v>0</v>
      </c>
      <c r="AJ1445" s="697">
        <f t="shared" si="196"/>
        <v>0</v>
      </c>
    </row>
    <row r="1446" spans="1:36" s="700" customFormat="1" ht="12.75" customHeight="1">
      <c r="A1446" s="870" t="s">
        <v>211</v>
      </c>
      <c r="B1446" s="739" t="s">
        <v>279</v>
      </c>
      <c r="C1446" s="746" t="s">
        <v>54</v>
      </c>
      <c r="D1446" s="746"/>
      <c r="E1446" s="872"/>
      <c r="F1446" s="873"/>
      <c r="G1446" s="1025"/>
      <c r="H1446" s="690"/>
      <c r="I1446" s="1030"/>
      <c r="J1446" s="690"/>
      <c r="K1446" s="1030"/>
      <c r="L1446" s="690"/>
      <c r="M1446" s="1025"/>
      <c r="N1446" s="1030"/>
      <c r="O1446" s="692">
        <f t="shared" si="189"/>
        <v>0</v>
      </c>
      <c r="P1446" s="690"/>
      <c r="Q1446" s="690"/>
      <c r="R1446" s="691">
        <f t="shared" si="190"/>
        <v>0</v>
      </c>
      <c r="S1446" s="692">
        <f t="shared" si="191"/>
        <v>0</v>
      </c>
      <c r="T1446" s="693">
        <f t="shared" si="192"/>
        <v>0</v>
      </c>
      <c r="U1446" s="1035"/>
      <c r="V1446" s="690"/>
      <c r="W1446" s="1025"/>
      <c r="X1446" s="1030"/>
      <c r="Y1446" s="694">
        <f t="shared" si="193"/>
        <v>0</v>
      </c>
      <c r="Z1446" s="690"/>
      <c r="AA1446" s="690"/>
      <c r="AB1446" s="695">
        <f t="shared" si="194"/>
        <v>0</v>
      </c>
      <c r="AC1446" s="1035"/>
      <c r="AD1446" s="690"/>
      <c r="AE1446" s="1025"/>
      <c r="AF1446" s="1030"/>
      <c r="AG1446" s="690"/>
      <c r="AH1446" s="690"/>
      <c r="AI1446" s="696">
        <f t="shared" si="195"/>
        <v>0</v>
      </c>
      <c r="AJ1446" s="697">
        <f t="shared" si="196"/>
        <v>0</v>
      </c>
    </row>
    <row r="1447" spans="1:36" s="700" customFormat="1" ht="12.75" customHeight="1">
      <c r="A1447" s="870" t="s">
        <v>211</v>
      </c>
      <c r="B1447" s="739" t="s">
        <v>317</v>
      </c>
      <c r="C1447" s="746" t="s">
        <v>443</v>
      </c>
      <c r="D1447" s="746"/>
      <c r="E1447" s="872"/>
      <c r="F1447" s="873"/>
      <c r="G1447" s="1025"/>
      <c r="H1447" s="690"/>
      <c r="I1447" s="1030"/>
      <c r="J1447" s="690"/>
      <c r="K1447" s="1030"/>
      <c r="L1447" s="690"/>
      <c r="M1447" s="1025"/>
      <c r="N1447" s="1030"/>
      <c r="O1447" s="692">
        <f t="shared" si="189"/>
        <v>0</v>
      </c>
      <c r="P1447" s="690"/>
      <c r="Q1447" s="690"/>
      <c r="R1447" s="691">
        <f t="shared" si="190"/>
        <v>0</v>
      </c>
      <c r="S1447" s="692">
        <f t="shared" si="191"/>
        <v>0</v>
      </c>
      <c r="T1447" s="693">
        <f t="shared" si="192"/>
        <v>0</v>
      </c>
      <c r="U1447" s="1035">
        <v>183652</v>
      </c>
      <c r="V1447" s="690"/>
      <c r="W1447" s="1025"/>
      <c r="X1447" s="1030"/>
      <c r="Y1447" s="694">
        <f t="shared" si="193"/>
        <v>0</v>
      </c>
      <c r="Z1447" s="690"/>
      <c r="AA1447" s="690"/>
      <c r="AB1447" s="695">
        <f t="shared" si="194"/>
        <v>0</v>
      </c>
      <c r="AC1447" s="1035"/>
      <c r="AD1447" s="690"/>
      <c r="AE1447" s="1025"/>
      <c r="AF1447" s="1030"/>
      <c r="AG1447" s="690"/>
      <c r="AH1447" s="690"/>
      <c r="AI1447" s="696">
        <f t="shared" si="195"/>
        <v>183652</v>
      </c>
      <c r="AJ1447" s="697">
        <f t="shared" si="196"/>
        <v>0</v>
      </c>
    </row>
    <row r="1448" spans="1:36" s="700" customFormat="1" ht="12.75" customHeight="1">
      <c r="A1448" s="870" t="s">
        <v>211</v>
      </c>
      <c r="B1448" s="870" t="s">
        <v>379</v>
      </c>
      <c r="C1448" s="746" t="s">
        <v>377</v>
      </c>
      <c r="D1448" s="746"/>
      <c r="E1448" s="872"/>
      <c r="F1448" s="873"/>
      <c r="G1448" s="1025"/>
      <c r="H1448" s="690"/>
      <c r="I1448" s="1030"/>
      <c r="J1448" s="690"/>
      <c r="K1448" s="1030"/>
      <c r="L1448" s="690"/>
      <c r="M1448" s="1025"/>
      <c r="N1448" s="1030"/>
      <c r="O1448" s="692">
        <f t="shared" si="189"/>
        <v>0</v>
      </c>
      <c r="P1448" s="690"/>
      <c r="Q1448" s="690"/>
      <c r="R1448" s="691">
        <f t="shared" si="190"/>
        <v>0</v>
      </c>
      <c r="S1448" s="692">
        <f t="shared" si="191"/>
        <v>0</v>
      </c>
      <c r="T1448" s="693">
        <f t="shared" si="192"/>
        <v>0</v>
      </c>
      <c r="U1448" s="1035"/>
      <c r="V1448" s="690"/>
      <c r="W1448" s="1025"/>
      <c r="X1448" s="1030"/>
      <c r="Y1448" s="694">
        <f t="shared" si="193"/>
        <v>0</v>
      </c>
      <c r="Z1448" s="690"/>
      <c r="AA1448" s="690"/>
      <c r="AB1448" s="695">
        <f t="shared" si="194"/>
        <v>0</v>
      </c>
      <c r="AC1448" s="1035"/>
      <c r="AD1448" s="690"/>
      <c r="AE1448" s="1025"/>
      <c r="AF1448" s="1030"/>
      <c r="AG1448" s="690"/>
      <c r="AH1448" s="690"/>
      <c r="AI1448" s="696">
        <f t="shared" si="195"/>
        <v>0</v>
      </c>
      <c r="AJ1448" s="697">
        <f t="shared" si="196"/>
        <v>0</v>
      </c>
    </row>
    <row r="1449" spans="1:36" s="700" customFormat="1" ht="12.75" customHeight="1">
      <c r="A1449" s="870" t="s">
        <v>211</v>
      </c>
      <c r="B1449" s="870" t="s">
        <v>420</v>
      </c>
      <c r="C1449" s="880" t="s">
        <v>1108</v>
      </c>
      <c r="D1449" s="880"/>
      <c r="E1449" s="872"/>
      <c r="F1449" s="873"/>
      <c r="G1449" s="1025"/>
      <c r="H1449" s="690"/>
      <c r="I1449" s="1030"/>
      <c r="J1449" s="690"/>
      <c r="K1449" s="1030"/>
      <c r="L1449" s="690"/>
      <c r="M1449" s="1025"/>
      <c r="N1449" s="1030"/>
      <c r="O1449" s="692">
        <f t="shared" si="189"/>
        <v>0</v>
      </c>
      <c r="P1449" s="690"/>
      <c r="Q1449" s="690"/>
      <c r="R1449" s="691">
        <f t="shared" si="190"/>
        <v>0</v>
      </c>
      <c r="S1449" s="692">
        <f t="shared" si="191"/>
        <v>0</v>
      </c>
      <c r="T1449" s="693">
        <f t="shared" si="192"/>
        <v>0</v>
      </c>
      <c r="U1449" s="1035"/>
      <c r="V1449" s="690"/>
      <c r="W1449" s="1025"/>
      <c r="X1449" s="1030"/>
      <c r="Y1449" s="694">
        <f t="shared" si="193"/>
        <v>0</v>
      </c>
      <c r="Z1449" s="690"/>
      <c r="AA1449" s="690"/>
      <c r="AB1449" s="695">
        <f t="shared" si="194"/>
        <v>0</v>
      </c>
      <c r="AC1449" s="1035"/>
      <c r="AD1449" s="690"/>
      <c r="AE1449" s="1025"/>
      <c r="AF1449" s="1030"/>
      <c r="AG1449" s="690"/>
      <c r="AH1449" s="690"/>
      <c r="AI1449" s="696">
        <f t="shared" si="195"/>
        <v>0</v>
      </c>
      <c r="AJ1449" s="697">
        <f t="shared" si="196"/>
        <v>0</v>
      </c>
    </row>
    <row r="1450" spans="1:36" s="700" customFormat="1" ht="12.75" customHeight="1">
      <c r="A1450" s="870" t="s">
        <v>211</v>
      </c>
      <c r="B1450" s="739" t="s">
        <v>295</v>
      </c>
      <c r="C1450" s="746" t="s">
        <v>53</v>
      </c>
      <c r="D1450" s="746"/>
      <c r="E1450" s="872"/>
      <c r="F1450" s="873"/>
      <c r="G1450" s="1025"/>
      <c r="H1450" s="690"/>
      <c r="I1450" s="1030"/>
      <c r="J1450" s="690"/>
      <c r="K1450" s="1030"/>
      <c r="L1450" s="690"/>
      <c r="M1450" s="1025"/>
      <c r="N1450" s="1030"/>
      <c r="O1450" s="692">
        <f t="shared" si="189"/>
        <v>0</v>
      </c>
      <c r="P1450" s="690"/>
      <c r="Q1450" s="690"/>
      <c r="R1450" s="691">
        <f t="shared" si="190"/>
        <v>0</v>
      </c>
      <c r="S1450" s="692">
        <f t="shared" si="191"/>
        <v>0</v>
      </c>
      <c r="T1450" s="693">
        <f t="shared" si="192"/>
        <v>0</v>
      </c>
      <c r="U1450" s="1035"/>
      <c r="V1450" s="690"/>
      <c r="W1450" s="1025"/>
      <c r="X1450" s="1030"/>
      <c r="Y1450" s="694">
        <f t="shared" si="193"/>
        <v>0</v>
      </c>
      <c r="Z1450" s="690"/>
      <c r="AA1450" s="690"/>
      <c r="AB1450" s="695">
        <f t="shared" si="194"/>
        <v>0</v>
      </c>
      <c r="AC1450" s="1035"/>
      <c r="AD1450" s="690"/>
      <c r="AE1450" s="1025"/>
      <c r="AF1450" s="1030"/>
      <c r="AG1450" s="690"/>
      <c r="AH1450" s="690"/>
      <c r="AI1450" s="696">
        <f t="shared" si="195"/>
        <v>0</v>
      </c>
      <c r="AJ1450" s="697">
        <f t="shared" si="196"/>
        <v>0</v>
      </c>
    </row>
    <row r="1451" spans="1:36" s="700" customFormat="1" ht="12.75" customHeight="1">
      <c r="A1451" s="870" t="s">
        <v>211</v>
      </c>
      <c r="B1451" s="739" t="s">
        <v>296</v>
      </c>
      <c r="C1451" s="746" t="s">
        <v>443</v>
      </c>
      <c r="D1451" s="746"/>
      <c r="E1451" s="872"/>
      <c r="F1451" s="873"/>
      <c r="G1451" s="1025"/>
      <c r="H1451" s="690"/>
      <c r="I1451" s="1030"/>
      <c r="J1451" s="690"/>
      <c r="K1451" s="1030"/>
      <c r="L1451" s="690"/>
      <c r="M1451" s="1025"/>
      <c r="N1451" s="1030"/>
      <c r="O1451" s="692">
        <f t="shared" si="189"/>
        <v>0</v>
      </c>
      <c r="P1451" s="690"/>
      <c r="Q1451" s="690"/>
      <c r="R1451" s="691">
        <f t="shared" si="190"/>
        <v>0</v>
      </c>
      <c r="S1451" s="692">
        <f t="shared" si="191"/>
        <v>0</v>
      </c>
      <c r="T1451" s="693">
        <f t="shared" si="192"/>
        <v>0</v>
      </c>
      <c r="U1451" s="1035">
        <v>0</v>
      </c>
      <c r="V1451" s="690">
        <v>0</v>
      </c>
      <c r="W1451" s="1025"/>
      <c r="X1451" s="1030"/>
      <c r="Y1451" s="694">
        <f t="shared" si="193"/>
        <v>0</v>
      </c>
      <c r="Z1451" s="690"/>
      <c r="AA1451" s="690"/>
      <c r="AB1451" s="695">
        <f t="shared" si="194"/>
        <v>0</v>
      </c>
      <c r="AC1451" s="1035"/>
      <c r="AD1451" s="690"/>
      <c r="AE1451" s="1025"/>
      <c r="AF1451" s="1030"/>
      <c r="AG1451" s="690"/>
      <c r="AH1451" s="690"/>
      <c r="AI1451" s="696">
        <f t="shared" si="195"/>
        <v>0</v>
      </c>
      <c r="AJ1451" s="697">
        <f t="shared" si="196"/>
        <v>0</v>
      </c>
    </row>
    <row r="1452" spans="1:36" s="700" customFormat="1" ht="12.75" customHeight="1">
      <c r="A1452" s="870" t="s">
        <v>211</v>
      </c>
      <c r="B1452" s="870" t="s">
        <v>379</v>
      </c>
      <c r="C1452" s="746" t="s">
        <v>377</v>
      </c>
      <c r="D1452" s="746"/>
      <c r="E1452" s="872"/>
      <c r="F1452" s="873"/>
      <c r="G1452" s="1025"/>
      <c r="H1452" s="690"/>
      <c r="I1452" s="1030"/>
      <c r="J1452" s="690"/>
      <c r="K1452" s="1030"/>
      <c r="L1452" s="690"/>
      <c r="M1452" s="1025"/>
      <c r="N1452" s="1030"/>
      <c r="O1452" s="692">
        <f t="shared" si="189"/>
        <v>0</v>
      </c>
      <c r="P1452" s="690"/>
      <c r="Q1452" s="690"/>
      <c r="R1452" s="691">
        <f t="shared" si="190"/>
        <v>0</v>
      </c>
      <c r="S1452" s="692">
        <f t="shared" si="191"/>
        <v>0</v>
      </c>
      <c r="T1452" s="693">
        <f t="shared" si="192"/>
        <v>0</v>
      </c>
      <c r="U1452" s="1035"/>
      <c r="V1452" s="690"/>
      <c r="W1452" s="1025"/>
      <c r="X1452" s="1030"/>
      <c r="Y1452" s="694">
        <f t="shared" si="193"/>
        <v>0</v>
      </c>
      <c r="Z1452" s="690"/>
      <c r="AA1452" s="690"/>
      <c r="AB1452" s="695">
        <f t="shared" si="194"/>
        <v>0</v>
      </c>
      <c r="AC1452" s="1035"/>
      <c r="AD1452" s="690"/>
      <c r="AE1452" s="1025"/>
      <c r="AF1452" s="1030"/>
      <c r="AG1452" s="690"/>
      <c r="AH1452" s="690"/>
      <c r="AI1452" s="696">
        <f t="shared" si="195"/>
        <v>0</v>
      </c>
      <c r="AJ1452" s="697">
        <f t="shared" si="196"/>
        <v>0</v>
      </c>
    </row>
    <row r="1453" spans="1:36" s="700" customFormat="1" ht="12.75" customHeight="1">
      <c r="A1453" s="870" t="s">
        <v>211</v>
      </c>
      <c r="B1453" s="739" t="s">
        <v>279</v>
      </c>
      <c r="C1453" s="746" t="s">
        <v>54</v>
      </c>
      <c r="D1453" s="746"/>
      <c r="E1453" s="872"/>
      <c r="F1453" s="873"/>
      <c r="G1453" s="1025"/>
      <c r="H1453" s="690"/>
      <c r="I1453" s="1030"/>
      <c r="J1453" s="690"/>
      <c r="K1453" s="1030"/>
      <c r="L1453" s="690"/>
      <c r="M1453" s="1025"/>
      <c r="N1453" s="1030"/>
      <c r="O1453" s="692">
        <f t="shared" si="189"/>
        <v>0</v>
      </c>
      <c r="P1453" s="690"/>
      <c r="Q1453" s="690"/>
      <c r="R1453" s="691">
        <f t="shared" si="190"/>
        <v>0</v>
      </c>
      <c r="S1453" s="692">
        <f t="shared" si="191"/>
        <v>0</v>
      </c>
      <c r="T1453" s="693">
        <f t="shared" si="192"/>
        <v>0</v>
      </c>
      <c r="U1453" s="1035"/>
      <c r="V1453" s="690"/>
      <c r="W1453" s="1025"/>
      <c r="X1453" s="1030"/>
      <c r="Y1453" s="694">
        <f t="shared" si="193"/>
        <v>0</v>
      </c>
      <c r="Z1453" s="690"/>
      <c r="AA1453" s="690"/>
      <c r="AB1453" s="695">
        <f t="shared" si="194"/>
        <v>0</v>
      </c>
      <c r="AC1453" s="1035"/>
      <c r="AD1453" s="690"/>
      <c r="AE1453" s="1025"/>
      <c r="AF1453" s="1030"/>
      <c r="AG1453" s="690"/>
      <c r="AH1453" s="690"/>
      <c r="AI1453" s="696">
        <f t="shared" si="195"/>
        <v>0</v>
      </c>
      <c r="AJ1453" s="697">
        <f t="shared" si="196"/>
        <v>0</v>
      </c>
    </row>
    <row r="1454" spans="1:36" s="700" customFormat="1" ht="12.75" customHeight="1">
      <c r="A1454" s="870" t="s">
        <v>211</v>
      </c>
      <c r="B1454" s="739" t="s">
        <v>317</v>
      </c>
      <c r="C1454" s="746" t="s">
        <v>443</v>
      </c>
      <c r="D1454" s="746"/>
      <c r="E1454" s="872"/>
      <c r="F1454" s="873"/>
      <c r="G1454" s="1025"/>
      <c r="H1454" s="690"/>
      <c r="I1454" s="1030"/>
      <c r="J1454" s="690"/>
      <c r="K1454" s="1030"/>
      <c r="L1454" s="690"/>
      <c r="M1454" s="1025"/>
      <c r="N1454" s="1030"/>
      <c r="O1454" s="692">
        <f t="shared" si="189"/>
        <v>0</v>
      </c>
      <c r="P1454" s="690"/>
      <c r="Q1454" s="690"/>
      <c r="R1454" s="691">
        <f t="shared" si="190"/>
        <v>0</v>
      </c>
      <c r="S1454" s="692">
        <f t="shared" si="191"/>
        <v>0</v>
      </c>
      <c r="T1454" s="693">
        <f t="shared" si="192"/>
        <v>0</v>
      </c>
      <c r="U1454" s="1035"/>
      <c r="V1454" s="690">
        <v>0</v>
      </c>
      <c r="W1454" s="1025"/>
      <c r="X1454" s="1030"/>
      <c r="Y1454" s="694">
        <f t="shared" si="193"/>
        <v>0</v>
      </c>
      <c r="Z1454" s="690"/>
      <c r="AA1454" s="690"/>
      <c r="AB1454" s="695">
        <f t="shared" si="194"/>
        <v>0</v>
      </c>
      <c r="AC1454" s="1035"/>
      <c r="AD1454" s="690"/>
      <c r="AE1454" s="1025"/>
      <c r="AF1454" s="1030"/>
      <c r="AG1454" s="690"/>
      <c r="AH1454" s="690"/>
      <c r="AI1454" s="696">
        <f t="shared" si="195"/>
        <v>0</v>
      </c>
      <c r="AJ1454" s="697">
        <f t="shared" si="196"/>
        <v>0</v>
      </c>
    </row>
    <row r="1455" spans="1:36" s="700" customFormat="1" ht="12.75" customHeight="1">
      <c r="A1455" s="870" t="s">
        <v>211</v>
      </c>
      <c r="B1455" s="870" t="s">
        <v>379</v>
      </c>
      <c r="C1455" s="746" t="s">
        <v>377</v>
      </c>
      <c r="D1455" s="746"/>
      <c r="E1455" s="872"/>
      <c r="F1455" s="873"/>
      <c r="G1455" s="1025"/>
      <c r="H1455" s="690"/>
      <c r="I1455" s="1030"/>
      <c r="J1455" s="690"/>
      <c r="K1455" s="1030"/>
      <c r="L1455" s="690"/>
      <c r="M1455" s="1025"/>
      <c r="N1455" s="1030"/>
      <c r="O1455" s="692">
        <f t="shared" si="189"/>
        <v>0</v>
      </c>
      <c r="P1455" s="690"/>
      <c r="Q1455" s="690"/>
      <c r="R1455" s="691">
        <f t="shared" si="190"/>
        <v>0</v>
      </c>
      <c r="S1455" s="692">
        <f t="shared" si="191"/>
        <v>0</v>
      </c>
      <c r="T1455" s="693">
        <f t="shared" si="192"/>
        <v>0</v>
      </c>
      <c r="U1455" s="1035"/>
      <c r="V1455" s="690"/>
      <c r="W1455" s="1025"/>
      <c r="X1455" s="1030"/>
      <c r="Y1455" s="694">
        <f t="shared" si="193"/>
        <v>0</v>
      </c>
      <c r="Z1455" s="690"/>
      <c r="AA1455" s="690"/>
      <c r="AB1455" s="695">
        <f t="shared" si="194"/>
        <v>0</v>
      </c>
      <c r="AC1455" s="1035"/>
      <c r="AD1455" s="690"/>
      <c r="AE1455" s="1025"/>
      <c r="AF1455" s="1030"/>
      <c r="AG1455" s="690"/>
      <c r="AH1455" s="690"/>
      <c r="AI1455" s="696">
        <f t="shared" si="195"/>
        <v>0</v>
      </c>
      <c r="AJ1455" s="697">
        <f t="shared" si="196"/>
        <v>0</v>
      </c>
    </row>
    <row r="1456" spans="1:36" s="700" customFormat="1" ht="12.75" customHeight="1">
      <c r="A1456" s="870" t="s">
        <v>211</v>
      </c>
      <c r="B1456" s="870" t="s">
        <v>420</v>
      </c>
      <c r="C1456" s="880" t="s">
        <v>1109</v>
      </c>
      <c r="D1456" s="880"/>
      <c r="E1456" s="872"/>
      <c r="F1456" s="873"/>
      <c r="G1456" s="1025"/>
      <c r="H1456" s="690"/>
      <c r="I1456" s="1030"/>
      <c r="J1456" s="690"/>
      <c r="K1456" s="1030"/>
      <c r="L1456" s="690"/>
      <c r="M1456" s="1025"/>
      <c r="N1456" s="1030"/>
      <c r="O1456" s="692">
        <f t="shared" si="189"/>
        <v>0</v>
      </c>
      <c r="P1456" s="690"/>
      <c r="Q1456" s="690"/>
      <c r="R1456" s="691">
        <f t="shared" si="190"/>
        <v>0</v>
      </c>
      <c r="S1456" s="692">
        <f t="shared" si="191"/>
        <v>0</v>
      </c>
      <c r="T1456" s="693">
        <f t="shared" si="192"/>
        <v>0</v>
      </c>
      <c r="U1456" s="1035"/>
      <c r="V1456" s="690"/>
      <c r="W1456" s="1025"/>
      <c r="X1456" s="1030"/>
      <c r="Y1456" s="694">
        <f t="shared" si="193"/>
        <v>0</v>
      </c>
      <c r="Z1456" s="690"/>
      <c r="AA1456" s="690"/>
      <c r="AB1456" s="695">
        <f t="shared" si="194"/>
        <v>0</v>
      </c>
      <c r="AC1456" s="1035"/>
      <c r="AD1456" s="690"/>
      <c r="AE1456" s="1025"/>
      <c r="AF1456" s="1030"/>
      <c r="AG1456" s="690"/>
      <c r="AH1456" s="690"/>
      <c r="AI1456" s="696">
        <f t="shared" si="195"/>
        <v>0</v>
      </c>
      <c r="AJ1456" s="697">
        <f t="shared" si="196"/>
        <v>0</v>
      </c>
    </row>
    <row r="1457" spans="1:36" s="700" customFormat="1" ht="12.75" customHeight="1">
      <c r="A1457" s="870" t="s">
        <v>211</v>
      </c>
      <c r="B1457" s="739" t="s">
        <v>295</v>
      </c>
      <c r="C1457" s="746" t="s">
        <v>53</v>
      </c>
      <c r="D1457" s="746"/>
      <c r="E1457" s="872"/>
      <c r="F1457" s="873"/>
      <c r="G1457" s="1025"/>
      <c r="H1457" s="690"/>
      <c r="I1457" s="1030"/>
      <c r="J1457" s="690"/>
      <c r="K1457" s="1030"/>
      <c r="L1457" s="690"/>
      <c r="M1457" s="1025"/>
      <c r="N1457" s="1030"/>
      <c r="O1457" s="692">
        <f t="shared" si="189"/>
        <v>0</v>
      </c>
      <c r="P1457" s="690"/>
      <c r="Q1457" s="690"/>
      <c r="R1457" s="691">
        <f t="shared" si="190"/>
        <v>0</v>
      </c>
      <c r="S1457" s="692">
        <f t="shared" si="191"/>
        <v>0</v>
      </c>
      <c r="T1457" s="693">
        <f t="shared" si="192"/>
        <v>0</v>
      </c>
      <c r="U1457" s="1035"/>
      <c r="V1457" s="690"/>
      <c r="W1457" s="1025"/>
      <c r="X1457" s="1030"/>
      <c r="Y1457" s="694">
        <f t="shared" si="193"/>
        <v>0</v>
      </c>
      <c r="Z1457" s="690"/>
      <c r="AA1457" s="690"/>
      <c r="AB1457" s="695">
        <f t="shared" si="194"/>
        <v>0</v>
      </c>
      <c r="AC1457" s="1035"/>
      <c r="AD1457" s="690"/>
      <c r="AE1457" s="1025"/>
      <c r="AF1457" s="1030"/>
      <c r="AG1457" s="690"/>
      <c r="AH1457" s="690"/>
      <c r="AI1457" s="696">
        <f t="shared" si="195"/>
        <v>0</v>
      </c>
      <c r="AJ1457" s="697">
        <f t="shared" si="196"/>
        <v>0</v>
      </c>
    </row>
    <row r="1458" spans="1:36" s="700" customFormat="1" ht="12.75" customHeight="1">
      <c r="A1458" s="870" t="s">
        <v>211</v>
      </c>
      <c r="B1458" s="739" t="s">
        <v>296</v>
      </c>
      <c r="C1458" s="746" t="s">
        <v>443</v>
      </c>
      <c r="D1458" s="746"/>
      <c r="E1458" s="872"/>
      <c r="F1458" s="873"/>
      <c r="G1458" s="1025"/>
      <c r="H1458" s="690"/>
      <c r="I1458" s="1030"/>
      <c r="J1458" s="690"/>
      <c r="K1458" s="1030"/>
      <c r="L1458" s="690"/>
      <c r="M1458" s="1025"/>
      <c r="N1458" s="1030"/>
      <c r="O1458" s="692">
        <f t="shared" si="189"/>
        <v>0</v>
      </c>
      <c r="P1458" s="690"/>
      <c r="Q1458" s="690"/>
      <c r="R1458" s="691">
        <f t="shared" si="190"/>
        <v>0</v>
      </c>
      <c r="S1458" s="692">
        <f t="shared" si="191"/>
        <v>0</v>
      </c>
      <c r="T1458" s="693">
        <f t="shared" si="192"/>
        <v>0</v>
      </c>
      <c r="U1458" s="1035">
        <v>1311945</v>
      </c>
      <c r="V1458" s="690"/>
      <c r="W1458" s="1025"/>
      <c r="X1458" s="1030"/>
      <c r="Y1458" s="694">
        <f t="shared" si="193"/>
        <v>0</v>
      </c>
      <c r="Z1458" s="690"/>
      <c r="AA1458" s="690"/>
      <c r="AB1458" s="695">
        <f t="shared" si="194"/>
        <v>0</v>
      </c>
      <c r="AC1458" s="1035"/>
      <c r="AD1458" s="690"/>
      <c r="AE1458" s="1025"/>
      <c r="AF1458" s="1030"/>
      <c r="AG1458" s="690"/>
      <c r="AH1458" s="690"/>
      <c r="AI1458" s="696">
        <f t="shared" si="195"/>
        <v>1311945</v>
      </c>
      <c r="AJ1458" s="697">
        <f t="shared" si="196"/>
        <v>0</v>
      </c>
    </row>
    <row r="1459" spans="1:36" s="700" customFormat="1" ht="12.75" customHeight="1">
      <c r="A1459" s="870" t="s">
        <v>211</v>
      </c>
      <c r="B1459" s="870" t="s">
        <v>379</v>
      </c>
      <c r="C1459" s="746" t="s">
        <v>377</v>
      </c>
      <c r="D1459" s="746"/>
      <c r="E1459" s="872"/>
      <c r="F1459" s="873"/>
      <c r="G1459" s="1025"/>
      <c r="H1459" s="690"/>
      <c r="I1459" s="1030"/>
      <c r="J1459" s="690"/>
      <c r="K1459" s="1030"/>
      <c r="L1459" s="690"/>
      <c r="M1459" s="1025"/>
      <c r="N1459" s="1030"/>
      <c r="O1459" s="692">
        <f t="shared" si="189"/>
        <v>0</v>
      </c>
      <c r="P1459" s="690"/>
      <c r="Q1459" s="690"/>
      <c r="R1459" s="691">
        <f t="shared" si="190"/>
        <v>0</v>
      </c>
      <c r="S1459" s="692">
        <f t="shared" si="191"/>
        <v>0</v>
      </c>
      <c r="T1459" s="693">
        <f t="shared" si="192"/>
        <v>0</v>
      </c>
      <c r="U1459" s="1035"/>
      <c r="V1459" s="690"/>
      <c r="W1459" s="1025"/>
      <c r="X1459" s="1030"/>
      <c r="Y1459" s="694">
        <f t="shared" si="193"/>
        <v>0</v>
      </c>
      <c r="Z1459" s="690"/>
      <c r="AA1459" s="690"/>
      <c r="AB1459" s="695">
        <f t="shared" si="194"/>
        <v>0</v>
      </c>
      <c r="AC1459" s="1035"/>
      <c r="AD1459" s="690"/>
      <c r="AE1459" s="1025"/>
      <c r="AF1459" s="1030"/>
      <c r="AG1459" s="690"/>
      <c r="AH1459" s="690"/>
      <c r="AI1459" s="696">
        <f t="shared" si="195"/>
        <v>0</v>
      </c>
      <c r="AJ1459" s="697">
        <f t="shared" si="196"/>
        <v>0</v>
      </c>
    </row>
    <row r="1460" spans="1:36" s="700" customFormat="1" ht="12.75" customHeight="1">
      <c r="A1460" s="870" t="s">
        <v>211</v>
      </c>
      <c r="B1460" s="739" t="s">
        <v>279</v>
      </c>
      <c r="C1460" s="746" t="s">
        <v>54</v>
      </c>
      <c r="D1460" s="746"/>
      <c r="E1460" s="872"/>
      <c r="F1460" s="873"/>
      <c r="G1460" s="1025"/>
      <c r="H1460" s="690"/>
      <c r="I1460" s="1030"/>
      <c r="J1460" s="690"/>
      <c r="K1460" s="1030"/>
      <c r="L1460" s="690"/>
      <c r="M1460" s="1025"/>
      <c r="N1460" s="1030"/>
      <c r="O1460" s="692">
        <f t="shared" si="189"/>
        <v>0</v>
      </c>
      <c r="P1460" s="690"/>
      <c r="Q1460" s="690"/>
      <c r="R1460" s="691">
        <f t="shared" si="190"/>
        <v>0</v>
      </c>
      <c r="S1460" s="692">
        <f t="shared" si="191"/>
        <v>0</v>
      </c>
      <c r="T1460" s="693">
        <f t="shared" si="192"/>
        <v>0</v>
      </c>
      <c r="U1460" s="1035"/>
      <c r="V1460" s="690"/>
      <c r="W1460" s="1025"/>
      <c r="X1460" s="1030"/>
      <c r="Y1460" s="694">
        <f t="shared" si="193"/>
        <v>0</v>
      </c>
      <c r="Z1460" s="690"/>
      <c r="AA1460" s="690"/>
      <c r="AB1460" s="695">
        <f t="shared" si="194"/>
        <v>0</v>
      </c>
      <c r="AC1460" s="1035"/>
      <c r="AD1460" s="690"/>
      <c r="AE1460" s="1025"/>
      <c r="AF1460" s="1030"/>
      <c r="AG1460" s="690"/>
      <c r="AH1460" s="690"/>
      <c r="AI1460" s="696">
        <f t="shared" si="195"/>
        <v>0</v>
      </c>
      <c r="AJ1460" s="697">
        <f t="shared" si="196"/>
        <v>0</v>
      </c>
    </row>
    <row r="1461" spans="1:36" s="700" customFormat="1" ht="12.75" customHeight="1">
      <c r="A1461" s="870" t="s">
        <v>211</v>
      </c>
      <c r="B1461" s="739" t="s">
        <v>317</v>
      </c>
      <c r="C1461" s="746" t="s">
        <v>443</v>
      </c>
      <c r="D1461" s="746"/>
      <c r="E1461" s="872"/>
      <c r="F1461" s="873"/>
      <c r="G1461" s="1025"/>
      <c r="H1461" s="690"/>
      <c r="I1461" s="1030"/>
      <c r="J1461" s="690"/>
      <c r="K1461" s="1030"/>
      <c r="L1461" s="690"/>
      <c r="M1461" s="1025"/>
      <c r="N1461" s="1030"/>
      <c r="O1461" s="692">
        <f t="shared" si="189"/>
        <v>0</v>
      </c>
      <c r="P1461" s="690"/>
      <c r="Q1461" s="690"/>
      <c r="R1461" s="691">
        <f t="shared" si="190"/>
        <v>0</v>
      </c>
      <c r="S1461" s="692">
        <f t="shared" si="191"/>
        <v>0</v>
      </c>
      <c r="T1461" s="693">
        <f t="shared" si="192"/>
        <v>0</v>
      </c>
      <c r="U1461" s="1035">
        <v>98846</v>
      </c>
      <c r="V1461" s="690"/>
      <c r="W1461" s="1025"/>
      <c r="X1461" s="1030"/>
      <c r="Y1461" s="694">
        <f t="shared" si="193"/>
        <v>0</v>
      </c>
      <c r="Z1461" s="690"/>
      <c r="AA1461" s="690"/>
      <c r="AB1461" s="695">
        <f t="shared" si="194"/>
        <v>0</v>
      </c>
      <c r="AC1461" s="1035"/>
      <c r="AD1461" s="690"/>
      <c r="AE1461" s="1025"/>
      <c r="AF1461" s="1030"/>
      <c r="AG1461" s="690"/>
      <c r="AH1461" s="690"/>
      <c r="AI1461" s="696">
        <f t="shared" si="195"/>
        <v>98846</v>
      </c>
      <c r="AJ1461" s="697">
        <f t="shared" si="196"/>
        <v>0</v>
      </c>
    </row>
    <row r="1462" spans="1:36" s="700" customFormat="1" ht="12.75" customHeight="1">
      <c r="A1462" s="870" t="s">
        <v>211</v>
      </c>
      <c r="B1462" s="870" t="s">
        <v>379</v>
      </c>
      <c r="C1462" s="746" t="s">
        <v>377</v>
      </c>
      <c r="D1462" s="746"/>
      <c r="E1462" s="872"/>
      <c r="F1462" s="873"/>
      <c r="G1462" s="1025"/>
      <c r="H1462" s="690"/>
      <c r="I1462" s="1030"/>
      <c r="J1462" s="690"/>
      <c r="K1462" s="1030"/>
      <c r="L1462" s="690"/>
      <c r="M1462" s="1025"/>
      <c r="N1462" s="1030"/>
      <c r="O1462" s="692">
        <f t="shared" si="189"/>
        <v>0</v>
      </c>
      <c r="P1462" s="690"/>
      <c r="Q1462" s="690"/>
      <c r="R1462" s="691">
        <f t="shared" si="190"/>
        <v>0</v>
      </c>
      <c r="S1462" s="692">
        <f t="shared" si="191"/>
        <v>0</v>
      </c>
      <c r="T1462" s="693">
        <f t="shared" si="192"/>
        <v>0</v>
      </c>
      <c r="U1462" s="1035"/>
      <c r="V1462" s="690"/>
      <c r="W1462" s="1025"/>
      <c r="X1462" s="1030"/>
      <c r="Y1462" s="694">
        <f t="shared" si="193"/>
        <v>0</v>
      </c>
      <c r="Z1462" s="690"/>
      <c r="AA1462" s="690"/>
      <c r="AB1462" s="695">
        <f t="shared" si="194"/>
        <v>0</v>
      </c>
      <c r="AC1462" s="1035"/>
      <c r="AD1462" s="690"/>
      <c r="AE1462" s="1025"/>
      <c r="AF1462" s="1030"/>
      <c r="AG1462" s="690"/>
      <c r="AH1462" s="690"/>
      <c r="AI1462" s="696">
        <f t="shared" si="195"/>
        <v>0</v>
      </c>
      <c r="AJ1462" s="697">
        <f t="shared" si="196"/>
        <v>0</v>
      </c>
    </row>
    <row r="1463" spans="1:36" s="700" customFormat="1" ht="12.75" customHeight="1">
      <c r="A1463" s="870" t="s">
        <v>211</v>
      </c>
      <c r="B1463" s="870" t="s">
        <v>420</v>
      </c>
      <c r="C1463" s="880" t="s">
        <v>1110</v>
      </c>
      <c r="D1463" s="880"/>
      <c r="E1463" s="872"/>
      <c r="F1463" s="873"/>
      <c r="G1463" s="1025"/>
      <c r="H1463" s="690"/>
      <c r="I1463" s="1030"/>
      <c r="J1463" s="690"/>
      <c r="K1463" s="1030"/>
      <c r="L1463" s="690"/>
      <c r="M1463" s="1025"/>
      <c r="N1463" s="1030"/>
      <c r="O1463" s="692">
        <f t="shared" si="189"/>
        <v>0</v>
      </c>
      <c r="P1463" s="690"/>
      <c r="Q1463" s="690"/>
      <c r="R1463" s="691">
        <f t="shared" si="190"/>
        <v>0</v>
      </c>
      <c r="S1463" s="692">
        <f t="shared" si="191"/>
        <v>0</v>
      </c>
      <c r="T1463" s="693">
        <f t="shared" si="192"/>
        <v>0</v>
      </c>
      <c r="U1463" s="1035"/>
      <c r="V1463" s="690"/>
      <c r="W1463" s="1025"/>
      <c r="X1463" s="1030"/>
      <c r="Y1463" s="694">
        <f t="shared" si="193"/>
        <v>0</v>
      </c>
      <c r="Z1463" s="690"/>
      <c r="AA1463" s="690"/>
      <c r="AB1463" s="695">
        <f t="shared" si="194"/>
        <v>0</v>
      </c>
      <c r="AC1463" s="1035"/>
      <c r="AD1463" s="690"/>
      <c r="AE1463" s="1025"/>
      <c r="AF1463" s="1030"/>
      <c r="AG1463" s="690"/>
      <c r="AH1463" s="690"/>
      <c r="AI1463" s="696">
        <f t="shared" si="195"/>
        <v>0</v>
      </c>
      <c r="AJ1463" s="697">
        <f t="shared" si="196"/>
        <v>0</v>
      </c>
    </row>
    <row r="1464" spans="1:36" s="700" customFormat="1" ht="12.75" customHeight="1">
      <c r="A1464" s="870" t="s">
        <v>211</v>
      </c>
      <c r="B1464" s="739" t="s">
        <v>295</v>
      </c>
      <c r="C1464" s="746" t="s">
        <v>53</v>
      </c>
      <c r="D1464" s="746"/>
      <c r="E1464" s="872"/>
      <c r="F1464" s="873"/>
      <c r="G1464" s="1025"/>
      <c r="H1464" s="690"/>
      <c r="I1464" s="1030"/>
      <c r="J1464" s="690"/>
      <c r="K1464" s="1030"/>
      <c r="L1464" s="690"/>
      <c r="M1464" s="1025"/>
      <c r="N1464" s="1030"/>
      <c r="O1464" s="692">
        <f t="shared" si="189"/>
        <v>0</v>
      </c>
      <c r="P1464" s="690"/>
      <c r="Q1464" s="690"/>
      <c r="R1464" s="691">
        <f t="shared" si="190"/>
        <v>0</v>
      </c>
      <c r="S1464" s="692">
        <f t="shared" si="191"/>
        <v>0</v>
      </c>
      <c r="T1464" s="693">
        <f t="shared" si="192"/>
        <v>0</v>
      </c>
      <c r="U1464" s="1035"/>
      <c r="V1464" s="690"/>
      <c r="W1464" s="1025"/>
      <c r="X1464" s="1030"/>
      <c r="Y1464" s="694">
        <f t="shared" si="193"/>
        <v>0</v>
      </c>
      <c r="Z1464" s="690"/>
      <c r="AA1464" s="690"/>
      <c r="AB1464" s="695">
        <f t="shared" si="194"/>
        <v>0</v>
      </c>
      <c r="AC1464" s="1035"/>
      <c r="AD1464" s="690"/>
      <c r="AE1464" s="1025"/>
      <c r="AF1464" s="1030"/>
      <c r="AG1464" s="690"/>
      <c r="AH1464" s="690"/>
      <c r="AI1464" s="696">
        <f t="shared" si="195"/>
        <v>0</v>
      </c>
      <c r="AJ1464" s="697">
        <f t="shared" si="196"/>
        <v>0</v>
      </c>
    </row>
    <row r="1465" spans="1:36" s="700" customFormat="1" ht="12.75" customHeight="1">
      <c r="A1465" s="870" t="s">
        <v>211</v>
      </c>
      <c r="B1465" s="739" t="s">
        <v>296</v>
      </c>
      <c r="C1465" s="746" t="s">
        <v>443</v>
      </c>
      <c r="D1465" s="746"/>
      <c r="E1465" s="872"/>
      <c r="F1465" s="873"/>
      <c r="G1465" s="1025"/>
      <c r="H1465" s="690"/>
      <c r="I1465" s="1030"/>
      <c r="J1465" s="690"/>
      <c r="K1465" s="1030"/>
      <c r="L1465" s="690"/>
      <c r="M1465" s="1025"/>
      <c r="N1465" s="1030"/>
      <c r="O1465" s="692">
        <f t="shared" si="189"/>
        <v>0</v>
      </c>
      <c r="P1465" s="690"/>
      <c r="Q1465" s="690"/>
      <c r="R1465" s="691">
        <f t="shared" si="190"/>
        <v>0</v>
      </c>
      <c r="S1465" s="692">
        <f t="shared" si="191"/>
        <v>0</v>
      </c>
      <c r="T1465" s="693">
        <f t="shared" si="192"/>
        <v>0</v>
      </c>
      <c r="U1465" s="1035">
        <v>58090814</v>
      </c>
      <c r="V1465" s="690">
        <v>54398982</v>
      </c>
      <c r="W1465" s="1025"/>
      <c r="X1465" s="1030"/>
      <c r="Y1465" s="694">
        <f t="shared" si="193"/>
        <v>0</v>
      </c>
      <c r="Z1465" s="690"/>
      <c r="AA1465" s="690"/>
      <c r="AB1465" s="695">
        <f t="shared" si="194"/>
        <v>0</v>
      </c>
      <c r="AC1465" s="1035"/>
      <c r="AD1465" s="690"/>
      <c r="AE1465" s="1025"/>
      <c r="AF1465" s="1030"/>
      <c r="AG1465" s="690"/>
      <c r="AH1465" s="690"/>
      <c r="AI1465" s="696">
        <f t="shared" si="195"/>
        <v>58090814</v>
      </c>
      <c r="AJ1465" s="697">
        <f t="shared" si="196"/>
        <v>54398982</v>
      </c>
    </row>
    <row r="1466" spans="1:36" s="700" customFormat="1" ht="12.75" customHeight="1">
      <c r="A1466" s="870" t="s">
        <v>211</v>
      </c>
      <c r="B1466" s="870" t="s">
        <v>379</v>
      </c>
      <c r="C1466" s="746" t="s">
        <v>377</v>
      </c>
      <c r="D1466" s="746"/>
      <c r="E1466" s="872"/>
      <c r="F1466" s="873"/>
      <c r="G1466" s="1025"/>
      <c r="H1466" s="690"/>
      <c r="I1466" s="1030"/>
      <c r="J1466" s="690"/>
      <c r="K1466" s="1030"/>
      <c r="L1466" s="690"/>
      <c r="M1466" s="1025"/>
      <c r="N1466" s="1030"/>
      <c r="O1466" s="692">
        <f t="shared" si="189"/>
        <v>0</v>
      </c>
      <c r="P1466" s="690"/>
      <c r="Q1466" s="690"/>
      <c r="R1466" s="691">
        <f t="shared" si="190"/>
        <v>0</v>
      </c>
      <c r="S1466" s="692">
        <f t="shared" si="191"/>
        <v>0</v>
      </c>
      <c r="T1466" s="693">
        <f t="shared" si="192"/>
        <v>0</v>
      </c>
      <c r="U1466" s="1035"/>
      <c r="V1466" s="690"/>
      <c r="W1466" s="1025"/>
      <c r="X1466" s="1030"/>
      <c r="Y1466" s="694">
        <f t="shared" si="193"/>
        <v>0</v>
      </c>
      <c r="Z1466" s="690"/>
      <c r="AA1466" s="690"/>
      <c r="AB1466" s="695">
        <f t="shared" si="194"/>
        <v>0</v>
      </c>
      <c r="AC1466" s="1035"/>
      <c r="AD1466" s="690"/>
      <c r="AE1466" s="1025"/>
      <c r="AF1466" s="1030"/>
      <c r="AG1466" s="690"/>
      <c r="AH1466" s="690"/>
      <c r="AI1466" s="696">
        <f t="shared" si="195"/>
        <v>0</v>
      </c>
      <c r="AJ1466" s="697">
        <f t="shared" si="196"/>
        <v>0</v>
      </c>
    </row>
    <row r="1467" spans="1:36" s="700" customFormat="1" ht="12.75" customHeight="1">
      <c r="A1467" s="870" t="s">
        <v>211</v>
      </c>
      <c r="B1467" s="739" t="s">
        <v>279</v>
      </c>
      <c r="C1467" s="746" t="s">
        <v>54</v>
      </c>
      <c r="D1467" s="746"/>
      <c r="E1467" s="872"/>
      <c r="F1467" s="873"/>
      <c r="G1467" s="1025"/>
      <c r="H1467" s="690"/>
      <c r="I1467" s="1030"/>
      <c r="J1467" s="690"/>
      <c r="K1467" s="1030"/>
      <c r="L1467" s="690"/>
      <c r="M1467" s="1025"/>
      <c r="N1467" s="1030"/>
      <c r="O1467" s="692">
        <f t="shared" si="189"/>
        <v>0</v>
      </c>
      <c r="P1467" s="690"/>
      <c r="Q1467" s="690"/>
      <c r="R1467" s="691">
        <f t="shared" si="190"/>
        <v>0</v>
      </c>
      <c r="S1467" s="692">
        <f t="shared" si="191"/>
        <v>0</v>
      </c>
      <c r="T1467" s="693">
        <f t="shared" si="192"/>
        <v>0</v>
      </c>
      <c r="U1467" s="1035"/>
      <c r="V1467" s="690"/>
      <c r="W1467" s="1025"/>
      <c r="X1467" s="1030"/>
      <c r="Y1467" s="694">
        <f t="shared" si="193"/>
        <v>0</v>
      </c>
      <c r="Z1467" s="690"/>
      <c r="AA1467" s="690"/>
      <c r="AB1467" s="695">
        <f t="shared" si="194"/>
        <v>0</v>
      </c>
      <c r="AC1467" s="1035"/>
      <c r="AD1467" s="690"/>
      <c r="AE1467" s="1025"/>
      <c r="AF1467" s="1030"/>
      <c r="AG1467" s="690"/>
      <c r="AH1467" s="690"/>
      <c r="AI1467" s="696">
        <f t="shared" si="195"/>
        <v>0</v>
      </c>
      <c r="AJ1467" s="697">
        <f t="shared" si="196"/>
        <v>0</v>
      </c>
    </row>
    <row r="1468" spans="1:36" s="700" customFormat="1" ht="12.75" customHeight="1">
      <c r="A1468" s="870" t="s">
        <v>211</v>
      </c>
      <c r="B1468" s="739" t="s">
        <v>317</v>
      </c>
      <c r="C1468" s="746" t="s">
        <v>443</v>
      </c>
      <c r="D1468" s="746"/>
      <c r="E1468" s="872"/>
      <c r="F1468" s="873"/>
      <c r="G1468" s="1025"/>
      <c r="H1468" s="690"/>
      <c r="I1468" s="1030"/>
      <c r="J1468" s="690"/>
      <c r="K1468" s="1030"/>
      <c r="L1468" s="690"/>
      <c r="M1468" s="1025"/>
      <c r="N1468" s="1030"/>
      <c r="O1468" s="692">
        <f t="shared" si="189"/>
        <v>0</v>
      </c>
      <c r="P1468" s="690"/>
      <c r="Q1468" s="690"/>
      <c r="R1468" s="691">
        <f t="shared" si="190"/>
        <v>0</v>
      </c>
      <c r="S1468" s="692">
        <f t="shared" si="191"/>
        <v>0</v>
      </c>
      <c r="T1468" s="693">
        <f t="shared" si="192"/>
        <v>0</v>
      </c>
      <c r="U1468" s="1035">
        <v>14248382</v>
      </c>
      <c r="V1468" s="690">
        <v>13139600</v>
      </c>
      <c r="W1468" s="1025"/>
      <c r="X1468" s="1030"/>
      <c r="Y1468" s="694">
        <f t="shared" si="193"/>
        <v>0</v>
      </c>
      <c r="Z1468" s="690"/>
      <c r="AA1468" s="690"/>
      <c r="AB1468" s="695">
        <f t="shared" si="194"/>
        <v>0</v>
      </c>
      <c r="AC1468" s="1035"/>
      <c r="AD1468" s="690"/>
      <c r="AE1468" s="1025"/>
      <c r="AF1468" s="1030"/>
      <c r="AG1468" s="690"/>
      <c r="AH1468" s="690"/>
      <c r="AI1468" s="696">
        <f t="shared" si="195"/>
        <v>14248382</v>
      </c>
      <c r="AJ1468" s="697">
        <f t="shared" si="196"/>
        <v>13139600</v>
      </c>
    </row>
    <row r="1469" spans="1:36" s="700" customFormat="1" ht="12.75" customHeight="1">
      <c r="A1469" s="870" t="s">
        <v>211</v>
      </c>
      <c r="B1469" s="870" t="s">
        <v>379</v>
      </c>
      <c r="C1469" s="746" t="s">
        <v>377</v>
      </c>
      <c r="D1469" s="746"/>
      <c r="E1469" s="872"/>
      <c r="F1469" s="873"/>
      <c r="G1469" s="1025"/>
      <c r="H1469" s="690"/>
      <c r="I1469" s="1030"/>
      <c r="J1469" s="690"/>
      <c r="K1469" s="1030"/>
      <c r="L1469" s="690"/>
      <c r="M1469" s="1025"/>
      <c r="N1469" s="1030"/>
      <c r="O1469" s="692">
        <f t="shared" si="189"/>
        <v>0</v>
      </c>
      <c r="P1469" s="690"/>
      <c r="Q1469" s="690"/>
      <c r="R1469" s="691">
        <f t="shared" si="190"/>
        <v>0</v>
      </c>
      <c r="S1469" s="692">
        <f t="shared" si="191"/>
        <v>0</v>
      </c>
      <c r="T1469" s="693">
        <f t="shared" si="192"/>
        <v>0</v>
      </c>
      <c r="U1469" s="1035"/>
      <c r="V1469" s="690"/>
      <c r="W1469" s="1025"/>
      <c r="X1469" s="1030"/>
      <c r="Y1469" s="694">
        <f t="shared" si="193"/>
        <v>0</v>
      </c>
      <c r="Z1469" s="690"/>
      <c r="AA1469" s="690"/>
      <c r="AB1469" s="695">
        <f t="shared" si="194"/>
        <v>0</v>
      </c>
      <c r="AC1469" s="1035"/>
      <c r="AD1469" s="690"/>
      <c r="AE1469" s="1025"/>
      <c r="AF1469" s="1030"/>
      <c r="AG1469" s="690"/>
      <c r="AH1469" s="690"/>
      <c r="AI1469" s="696">
        <f t="shared" si="195"/>
        <v>0</v>
      </c>
      <c r="AJ1469" s="697">
        <f t="shared" si="196"/>
        <v>0</v>
      </c>
    </row>
    <row r="1470" spans="1:36" s="700" customFormat="1" ht="12.75" customHeight="1">
      <c r="A1470" s="870" t="s">
        <v>211</v>
      </c>
      <c r="B1470" s="870" t="s">
        <v>420</v>
      </c>
      <c r="C1470" s="881" t="s">
        <v>1111</v>
      </c>
      <c r="D1470" s="881"/>
      <c r="E1470" s="872"/>
      <c r="F1470" s="873"/>
      <c r="G1470" s="1025"/>
      <c r="H1470" s="690"/>
      <c r="I1470" s="1030"/>
      <c r="J1470" s="690"/>
      <c r="K1470" s="1030"/>
      <c r="L1470" s="690"/>
      <c r="M1470" s="1025"/>
      <c r="N1470" s="1030"/>
      <c r="O1470" s="692">
        <f t="shared" si="189"/>
        <v>0</v>
      </c>
      <c r="P1470" s="690"/>
      <c r="Q1470" s="690"/>
      <c r="R1470" s="691">
        <f t="shared" si="190"/>
        <v>0</v>
      </c>
      <c r="S1470" s="692">
        <f t="shared" si="191"/>
        <v>0</v>
      </c>
      <c r="T1470" s="693">
        <f t="shared" si="192"/>
        <v>0</v>
      </c>
      <c r="U1470" s="1035"/>
      <c r="V1470" s="690"/>
      <c r="W1470" s="1025"/>
      <c r="X1470" s="1030"/>
      <c r="Y1470" s="694">
        <f t="shared" si="193"/>
        <v>0</v>
      </c>
      <c r="Z1470" s="690"/>
      <c r="AA1470" s="690"/>
      <c r="AB1470" s="695">
        <f t="shared" si="194"/>
        <v>0</v>
      </c>
      <c r="AC1470" s="1035"/>
      <c r="AD1470" s="690"/>
      <c r="AE1470" s="1025"/>
      <c r="AF1470" s="1030"/>
      <c r="AG1470" s="690"/>
      <c r="AH1470" s="690"/>
      <c r="AI1470" s="696">
        <f t="shared" si="195"/>
        <v>0</v>
      </c>
      <c r="AJ1470" s="697">
        <f t="shared" si="196"/>
        <v>0</v>
      </c>
    </row>
    <row r="1471" spans="1:36" s="700" customFormat="1" ht="12.75" customHeight="1">
      <c r="A1471" s="870" t="s">
        <v>211</v>
      </c>
      <c r="B1471" s="870" t="s">
        <v>442</v>
      </c>
      <c r="C1471" s="746" t="s">
        <v>443</v>
      </c>
      <c r="D1471" s="746"/>
      <c r="E1471" s="872"/>
      <c r="F1471" s="873"/>
      <c r="G1471" s="1025"/>
      <c r="H1471" s="690"/>
      <c r="I1471" s="1030"/>
      <c r="J1471" s="690"/>
      <c r="K1471" s="1030"/>
      <c r="L1471" s="690"/>
      <c r="M1471" s="1025"/>
      <c r="N1471" s="1030"/>
      <c r="O1471" s="692">
        <f t="shared" si="189"/>
        <v>0</v>
      </c>
      <c r="P1471" s="690"/>
      <c r="Q1471" s="690"/>
      <c r="R1471" s="691">
        <f t="shared" si="190"/>
        <v>0</v>
      </c>
      <c r="S1471" s="692">
        <f t="shared" si="191"/>
        <v>0</v>
      </c>
      <c r="T1471" s="693">
        <f t="shared" si="192"/>
        <v>0</v>
      </c>
      <c r="U1471" s="1035"/>
      <c r="V1471" s="690"/>
      <c r="W1471" s="1025"/>
      <c r="X1471" s="1030"/>
      <c r="Y1471" s="694">
        <f t="shared" si="193"/>
        <v>0</v>
      </c>
      <c r="Z1471" s="690"/>
      <c r="AA1471" s="690"/>
      <c r="AB1471" s="695">
        <f t="shared" si="194"/>
        <v>0</v>
      </c>
      <c r="AC1471" s="1035"/>
      <c r="AD1471" s="690"/>
      <c r="AE1471" s="1025"/>
      <c r="AF1471" s="1030"/>
      <c r="AG1471" s="690"/>
      <c r="AH1471" s="690"/>
      <c r="AI1471" s="696">
        <f t="shared" si="195"/>
        <v>0</v>
      </c>
      <c r="AJ1471" s="697">
        <f t="shared" si="196"/>
        <v>0</v>
      </c>
    </row>
    <row r="1472" spans="1:36" s="700" customFormat="1" ht="12.75" customHeight="1">
      <c r="A1472" s="870" t="s">
        <v>211</v>
      </c>
      <c r="B1472" s="870" t="s">
        <v>379</v>
      </c>
      <c r="C1472" s="746" t="s">
        <v>377</v>
      </c>
      <c r="D1472" s="746"/>
      <c r="E1472" s="872"/>
      <c r="F1472" s="873"/>
      <c r="G1472" s="1025"/>
      <c r="H1472" s="690"/>
      <c r="I1472" s="1030"/>
      <c r="J1472" s="690"/>
      <c r="K1472" s="1030"/>
      <c r="L1472" s="690"/>
      <c r="M1472" s="1025"/>
      <c r="N1472" s="1030"/>
      <c r="O1472" s="692">
        <f t="shared" si="189"/>
        <v>0</v>
      </c>
      <c r="P1472" s="690"/>
      <c r="Q1472" s="690"/>
      <c r="R1472" s="691">
        <f t="shared" si="190"/>
        <v>0</v>
      </c>
      <c r="S1472" s="692">
        <f t="shared" si="191"/>
        <v>0</v>
      </c>
      <c r="T1472" s="693">
        <f t="shared" si="192"/>
        <v>0</v>
      </c>
      <c r="U1472" s="1035"/>
      <c r="V1472" s="690"/>
      <c r="W1472" s="1025"/>
      <c r="X1472" s="1030"/>
      <c r="Y1472" s="694">
        <f t="shared" si="193"/>
        <v>0</v>
      </c>
      <c r="Z1472" s="690"/>
      <c r="AA1472" s="690"/>
      <c r="AB1472" s="695">
        <f t="shared" si="194"/>
        <v>0</v>
      </c>
      <c r="AC1472" s="1035"/>
      <c r="AD1472" s="690"/>
      <c r="AE1472" s="1025"/>
      <c r="AF1472" s="1030"/>
      <c r="AG1472" s="690"/>
      <c r="AH1472" s="690"/>
      <c r="AI1472" s="696">
        <f t="shared" si="195"/>
        <v>0</v>
      </c>
      <c r="AJ1472" s="697">
        <f t="shared" si="196"/>
        <v>0</v>
      </c>
    </row>
    <row r="1473" spans="1:36" s="700" customFormat="1" ht="12.75" customHeight="1">
      <c r="A1473" s="870" t="s">
        <v>211</v>
      </c>
      <c r="B1473" s="739" t="s">
        <v>295</v>
      </c>
      <c r="C1473" s="746" t="s">
        <v>53</v>
      </c>
      <c r="D1473" s="746"/>
      <c r="E1473" s="872"/>
      <c r="F1473" s="873"/>
      <c r="G1473" s="1025"/>
      <c r="H1473" s="690"/>
      <c r="I1473" s="1030"/>
      <c r="J1473" s="690"/>
      <c r="K1473" s="1030"/>
      <c r="L1473" s="690"/>
      <c r="M1473" s="1025"/>
      <c r="N1473" s="1030"/>
      <c r="O1473" s="692">
        <f t="shared" si="189"/>
        <v>0</v>
      </c>
      <c r="P1473" s="690"/>
      <c r="Q1473" s="690"/>
      <c r="R1473" s="691">
        <f t="shared" si="190"/>
        <v>0</v>
      </c>
      <c r="S1473" s="692">
        <f t="shared" si="191"/>
        <v>0</v>
      </c>
      <c r="T1473" s="693">
        <f t="shared" si="192"/>
        <v>0</v>
      </c>
      <c r="U1473" s="1035"/>
      <c r="V1473" s="690"/>
      <c r="W1473" s="1025"/>
      <c r="X1473" s="1030"/>
      <c r="Y1473" s="694">
        <f t="shared" si="193"/>
        <v>0</v>
      </c>
      <c r="Z1473" s="690"/>
      <c r="AA1473" s="690"/>
      <c r="AB1473" s="695">
        <f t="shared" si="194"/>
        <v>0</v>
      </c>
      <c r="AC1473" s="1035"/>
      <c r="AD1473" s="690"/>
      <c r="AE1473" s="1025"/>
      <c r="AF1473" s="1030"/>
      <c r="AG1473" s="690"/>
      <c r="AH1473" s="690"/>
      <c r="AI1473" s="696">
        <f t="shared" si="195"/>
        <v>0</v>
      </c>
      <c r="AJ1473" s="697">
        <f t="shared" si="196"/>
        <v>0</v>
      </c>
    </row>
    <row r="1474" spans="1:36" s="700" customFormat="1" ht="12.75" customHeight="1">
      <c r="A1474" s="870" t="s">
        <v>211</v>
      </c>
      <c r="B1474" s="739" t="s">
        <v>296</v>
      </c>
      <c r="C1474" s="746" t="s">
        <v>443</v>
      </c>
      <c r="D1474" s="746"/>
      <c r="E1474" s="872"/>
      <c r="F1474" s="873"/>
      <c r="G1474" s="1025"/>
      <c r="H1474" s="690"/>
      <c r="I1474" s="1030"/>
      <c r="J1474" s="690"/>
      <c r="K1474" s="1030"/>
      <c r="L1474" s="690"/>
      <c r="M1474" s="1025"/>
      <c r="N1474" s="1030"/>
      <c r="O1474" s="692">
        <f t="shared" si="189"/>
        <v>0</v>
      </c>
      <c r="P1474" s="690"/>
      <c r="Q1474" s="690"/>
      <c r="R1474" s="691">
        <f t="shared" si="190"/>
        <v>0</v>
      </c>
      <c r="S1474" s="692">
        <f t="shared" si="191"/>
        <v>0</v>
      </c>
      <c r="T1474" s="693">
        <f t="shared" si="192"/>
        <v>0</v>
      </c>
      <c r="U1474" s="1035">
        <v>5239950</v>
      </c>
      <c r="V1474" s="690">
        <v>5466425</v>
      </c>
      <c r="W1474" s="1025"/>
      <c r="X1474" s="1030"/>
      <c r="Y1474" s="694">
        <f t="shared" si="193"/>
        <v>0</v>
      </c>
      <c r="Z1474" s="690"/>
      <c r="AA1474" s="690"/>
      <c r="AB1474" s="695">
        <f t="shared" si="194"/>
        <v>0</v>
      </c>
      <c r="AC1474" s="1035"/>
      <c r="AD1474" s="690"/>
      <c r="AE1474" s="1025"/>
      <c r="AF1474" s="1030"/>
      <c r="AG1474" s="690"/>
      <c r="AH1474" s="690"/>
      <c r="AI1474" s="696">
        <f t="shared" si="195"/>
        <v>5239950</v>
      </c>
      <c r="AJ1474" s="697">
        <f t="shared" si="196"/>
        <v>5466425</v>
      </c>
    </row>
    <row r="1475" spans="1:36" s="700" customFormat="1" ht="12.75" customHeight="1">
      <c r="A1475" s="870" t="s">
        <v>211</v>
      </c>
      <c r="B1475" s="870" t="s">
        <v>379</v>
      </c>
      <c r="C1475" s="746" t="s">
        <v>377</v>
      </c>
      <c r="D1475" s="746"/>
      <c r="E1475" s="872"/>
      <c r="F1475" s="873"/>
      <c r="G1475" s="1025"/>
      <c r="H1475" s="690"/>
      <c r="I1475" s="1030"/>
      <c r="J1475" s="690"/>
      <c r="K1475" s="1030"/>
      <c r="L1475" s="690"/>
      <c r="M1475" s="1025"/>
      <c r="N1475" s="1030"/>
      <c r="O1475" s="692">
        <f t="shared" si="189"/>
        <v>0</v>
      </c>
      <c r="P1475" s="690"/>
      <c r="Q1475" s="690"/>
      <c r="R1475" s="691">
        <f t="shared" si="190"/>
        <v>0</v>
      </c>
      <c r="S1475" s="692">
        <f t="shared" si="191"/>
        <v>0</v>
      </c>
      <c r="T1475" s="693">
        <f t="shared" si="192"/>
        <v>0</v>
      </c>
      <c r="U1475" s="1035"/>
      <c r="V1475" s="690"/>
      <c r="W1475" s="1025"/>
      <c r="X1475" s="1030"/>
      <c r="Y1475" s="694">
        <f t="shared" si="193"/>
        <v>0</v>
      </c>
      <c r="Z1475" s="690"/>
      <c r="AA1475" s="690"/>
      <c r="AB1475" s="695">
        <f t="shared" si="194"/>
        <v>0</v>
      </c>
      <c r="AC1475" s="1035"/>
      <c r="AD1475" s="690"/>
      <c r="AE1475" s="1025"/>
      <c r="AF1475" s="1030"/>
      <c r="AG1475" s="690"/>
      <c r="AH1475" s="690"/>
      <c r="AI1475" s="696">
        <f t="shared" si="195"/>
        <v>0</v>
      </c>
      <c r="AJ1475" s="697">
        <f t="shared" si="196"/>
        <v>0</v>
      </c>
    </row>
    <row r="1476" spans="1:36" s="700" customFormat="1" ht="12.75" customHeight="1">
      <c r="A1476" s="870" t="s">
        <v>211</v>
      </c>
      <c r="B1476" s="739" t="s">
        <v>279</v>
      </c>
      <c r="C1476" s="746" t="s">
        <v>54</v>
      </c>
      <c r="D1476" s="746"/>
      <c r="E1476" s="872"/>
      <c r="F1476" s="873"/>
      <c r="G1476" s="1025"/>
      <c r="H1476" s="690"/>
      <c r="I1476" s="1030"/>
      <c r="J1476" s="690"/>
      <c r="K1476" s="1030"/>
      <c r="L1476" s="690"/>
      <c r="M1476" s="1025"/>
      <c r="N1476" s="1030"/>
      <c r="O1476" s="692">
        <f t="shared" si="189"/>
        <v>0</v>
      </c>
      <c r="P1476" s="690"/>
      <c r="Q1476" s="690"/>
      <c r="R1476" s="691">
        <f t="shared" si="190"/>
        <v>0</v>
      </c>
      <c r="S1476" s="692">
        <f t="shared" si="191"/>
        <v>0</v>
      </c>
      <c r="T1476" s="693">
        <f t="shared" si="192"/>
        <v>0</v>
      </c>
      <c r="U1476" s="1035"/>
      <c r="V1476" s="690"/>
      <c r="W1476" s="1025"/>
      <c r="X1476" s="1030"/>
      <c r="Y1476" s="694">
        <f t="shared" si="193"/>
        <v>0</v>
      </c>
      <c r="Z1476" s="690"/>
      <c r="AA1476" s="690"/>
      <c r="AB1476" s="695">
        <f t="shared" si="194"/>
        <v>0</v>
      </c>
      <c r="AC1476" s="1035"/>
      <c r="AD1476" s="690"/>
      <c r="AE1476" s="1025"/>
      <c r="AF1476" s="1030"/>
      <c r="AG1476" s="690"/>
      <c r="AH1476" s="690"/>
      <c r="AI1476" s="696">
        <f t="shared" si="195"/>
        <v>0</v>
      </c>
      <c r="AJ1476" s="697">
        <f t="shared" si="196"/>
        <v>0</v>
      </c>
    </row>
    <row r="1477" spans="1:36" s="700" customFormat="1" ht="12.75" customHeight="1">
      <c r="A1477" s="870" t="s">
        <v>211</v>
      </c>
      <c r="B1477" s="739" t="s">
        <v>317</v>
      </c>
      <c r="C1477" s="746" t="s">
        <v>443</v>
      </c>
      <c r="D1477" s="746"/>
      <c r="E1477" s="872"/>
      <c r="F1477" s="873"/>
      <c r="G1477" s="1025"/>
      <c r="H1477" s="690"/>
      <c r="I1477" s="1030"/>
      <c r="J1477" s="690"/>
      <c r="K1477" s="1030"/>
      <c r="L1477" s="690"/>
      <c r="M1477" s="1025"/>
      <c r="N1477" s="1030"/>
      <c r="O1477" s="692">
        <f t="shared" si="189"/>
        <v>0</v>
      </c>
      <c r="P1477" s="690"/>
      <c r="Q1477" s="690"/>
      <c r="R1477" s="691">
        <f t="shared" si="190"/>
        <v>0</v>
      </c>
      <c r="S1477" s="692">
        <f t="shared" si="191"/>
        <v>0</v>
      </c>
      <c r="T1477" s="693">
        <f t="shared" si="192"/>
        <v>0</v>
      </c>
      <c r="U1477" s="1035">
        <v>1016850</v>
      </c>
      <c r="V1477" s="690">
        <v>1103150</v>
      </c>
      <c r="W1477" s="1025"/>
      <c r="X1477" s="1030"/>
      <c r="Y1477" s="694">
        <f t="shared" si="193"/>
        <v>0</v>
      </c>
      <c r="Z1477" s="690"/>
      <c r="AA1477" s="690"/>
      <c r="AB1477" s="695">
        <f t="shared" si="194"/>
        <v>0</v>
      </c>
      <c r="AC1477" s="1035"/>
      <c r="AD1477" s="690"/>
      <c r="AE1477" s="1025"/>
      <c r="AF1477" s="1030"/>
      <c r="AG1477" s="690"/>
      <c r="AH1477" s="690"/>
      <c r="AI1477" s="696">
        <f t="shared" si="195"/>
        <v>1016850</v>
      </c>
      <c r="AJ1477" s="697">
        <f t="shared" si="196"/>
        <v>1103150</v>
      </c>
    </row>
    <row r="1478" spans="1:36" s="700" customFormat="1" ht="12.75" customHeight="1">
      <c r="A1478" s="870" t="s">
        <v>211</v>
      </c>
      <c r="B1478" s="870" t="s">
        <v>379</v>
      </c>
      <c r="C1478" s="746" t="s">
        <v>377</v>
      </c>
      <c r="D1478" s="746"/>
      <c r="E1478" s="872"/>
      <c r="F1478" s="873"/>
      <c r="G1478" s="1025"/>
      <c r="H1478" s="690"/>
      <c r="I1478" s="1030"/>
      <c r="J1478" s="690"/>
      <c r="K1478" s="1030"/>
      <c r="L1478" s="690"/>
      <c r="M1478" s="1025"/>
      <c r="N1478" s="1030"/>
      <c r="O1478" s="692">
        <f t="shared" si="189"/>
        <v>0</v>
      </c>
      <c r="P1478" s="690"/>
      <c r="Q1478" s="690"/>
      <c r="R1478" s="691">
        <f t="shared" si="190"/>
        <v>0</v>
      </c>
      <c r="S1478" s="692">
        <f t="shared" si="191"/>
        <v>0</v>
      </c>
      <c r="T1478" s="693">
        <f t="shared" si="192"/>
        <v>0</v>
      </c>
      <c r="U1478" s="1035"/>
      <c r="V1478" s="690"/>
      <c r="W1478" s="1025"/>
      <c r="X1478" s="1030"/>
      <c r="Y1478" s="694">
        <f t="shared" si="193"/>
        <v>0</v>
      </c>
      <c r="Z1478" s="690"/>
      <c r="AA1478" s="690"/>
      <c r="AB1478" s="695">
        <f t="shared" si="194"/>
        <v>0</v>
      </c>
      <c r="AC1478" s="1035"/>
      <c r="AD1478" s="690"/>
      <c r="AE1478" s="1025"/>
      <c r="AF1478" s="1030"/>
      <c r="AG1478" s="690"/>
      <c r="AH1478" s="690"/>
      <c r="AI1478" s="696">
        <f t="shared" si="195"/>
        <v>0</v>
      </c>
      <c r="AJ1478" s="697">
        <f t="shared" si="196"/>
        <v>0</v>
      </c>
    </row>
    <row r="1479" spans="1:36" s="700" customFormat="1" ht="12.75" customHeight="1">
      <c r="A1479" s="870" t="s">
        <v>211</v>
      </c>
      <c r="B1479" s="882" t="s">
        <v>420</v>
      </c>
      <c r="C1479" s="881" t="s">
        <v>1112</v>
      </c>
      <c r="D1479" s="881"/>
      <c r="E1479" s="872"/>
      <c r="F1479" s="873"/>
      <c r="G1479" s="1025"/>
      <c r="H1479" s="690"/>
      <c r="I1479" s="1030"/>
      <c r="J1479" s="690"/>
      <c r="K1479" s="1030"/>
      <c r="L1479" s="690"/>
      <c r="M1479" s="1025"/>
      <c r="N1479" s="1030"/>
      <c r="O1479" s="692">
        <f t="shared" si="189"/>
        <v>0</v>
      </c>
      <c r="P1479" s="690"/>
      <c r="Q1479" s="690"/>
      <c r="R1479" s="691">
        <f t="shared" si="190"/>
        <v>0</v>
      </c>
      <c r="S1479" s="692">
        <f t="shared" si="191"/>
        <v>0</v>
      </c>
      <c r="T1479" s="693">
        <f t="shared" si="192"/>
        <v>0</v>
      </c>
      <c r="U1479" s="1035"/>
      <c r="V1479" s="690"/>
      <c r="W1479" s="1025"/>
      <c r="X1479" s="1030"/>
      <c r="Y1479" s="694">
        <f t="shared" si="193"/>
        <v>0</v>
      </c>
      <c r="Z1479" s="690"/>
      <c r="AA1479" s="690"/>
      <c r="AB1479" s="695">
        <f t="shared" si="194"/>
        <v>0</v>
      </c>
      <c r="AC1479" s="1035"/>
      <c r="AD1479" s="690"/>
      <c r="AE1479" s="1025"/>
      <c r="AF1479" s="1030"/>
      <c r="AG1479" s="690"/>
      <c r="AH1479" s="690"/>
      <c r="AI1479" s="696">
        <f t="shared" si="195"/>
        <v>0</v>
      </c>
      <c r="AJ1479" s="697">
        <f t="shared" si="196"/>
        <v>0</v>
      </c>
    </row>
    <row r="1480" spans="1:36" s="700" customFormat="1" ht="12.75" customHeight="1">
      <c r="A1480" s="870" t="s">
        <v>211</v>
      </c>
      <c r="B1480" s="870" t="s">
        <v>295</v>
      </c>
      <c r="C1480" s="876" t="s">
        <v>53</v>
      </c>
      <c r="D1480" s="876"/>
      <c r="E1480" s="872"/>
      <c r="F1480" s="873"/>
      <c r="G1480" s="1025"/>
      <c r="H1480" s="690"/>
      <c r="I1480" s="1030"/>
      <c r="J1480" s="690"/>
      <c r="K1480" s="1030"/>
      <c r="L1480" s="690"/>
      <c r="M1480" s="1025"/>
      <c r="N1480" s="1030"/>
      <c r="O1480" s="692">
        <f t="shared" si="189"/>
        <v>0</v>
      </c>
      <c r="P1480" s="690"/>
      <c r="Q1480" s="690"/>
      <c r="R1480" s="691">
        <f t="shared" si="190"/>
        <v>0</v>
      </c>
      <c r="S1480" s="692">
        <f t="shared" si="191"/>
        <v>0</v>
      </c>
      <c r="T1480" s="693">
        <f t="shared" si="192"/>
        <v>0</v>
      </c>
      <c r="U1480" s="1035"/>
      <c r="V1480" s="690"/>
      <c r="W1480" s="1025"/>
      <c r="X1480" s="1030"/>
      <c r="Y1480" s="694">
        <f t="shared" si="193"/>
        <v>0</v>
      </c>
      <c r="Z1480" s="690"/>
      <c r="AA1480" s="690"/>
      <c r="AB1480" s="695">
        <f t="shared" si="194"/>
        <v>0</v>
      </c>
      <c r="AC1480" s="1035"/>
      <c r="AD1480" s="690"/>
      <c r="AE1480" s="1025"/>
      <c r="AF1480" s="1030"/>
      <c r="AG1480" s="690"/>
      <c r="AH1480" s="690"/>
      <c r="AI1480" s="696">
        <f t="shared" si="195"/>
        <v>0</v>
      </c>
      <c r="AJ1480" s="697">
        <f t="shared" si="196"/>
        <v>0</v>
      </c>
    </row>
    <row r="1481" spans="1:36" s="700" customFormat="1" ht="12.75" customHeight="1">
      <c r="A1481" s="870" t="s">
        <v>211</v>
      </c>
      <c r="B1481" s="870" t="s">
        <v>296</v>
      </c>
      <c r="C1481" s="876" t="s">
        <v>443</v>
      </c>
      <c r="D1481" s="876"/>
      <c r="E1481" s="872"/>
      <c r="F1481" s="873"/>
      <c r="G1481" s="1025"/>
      <c r="H1481" s="690"/>
      <c r="I1481" s="1030"/>
      <c r="J1481" s="690"/>
      <c r="K1481" s="1030"/>
      <c r="L1481" s="690"/>
      <c r="M1481" s="1025"/>
      <c r="N1481" s="1030"/>
      <c r="O1481" s="692">
        <f t="shared" si="189"/>
        <v>0</v>
      </c>
      <c r="P1481" s="690"/>
      <c r="Q1481" s="690"/>
      <c r="R1481" s="691">
        <f t="shared" si="190"/>
        <v>0</v>
      </c>
      <c r="S1481" s="692">
        <f t="shared" si="191"/>
        <v>0</v>
      </c>
      <c r="T1481" s="693">
        <f t="shared" si="192"/>
        <v>0</v>
      </c>
      <c r="U1481" s="1035"/>
      <c r="V1481" s="690"/>
      <c r="W1481" s="1025"/>
      <c r="X1481" s="1030"/>
      <c r="Y1481" s="694">
        <f t="shared" si="193"/>
        <v>0</v>
      </c>
      <c r="Z1481" s="690"/>
      <c r="AA1481" s="690"/>
      <c r="AB1481" s="695">
        <f t="shared" si="194"/>
        <v>0</v>
      </c>
      <c r="AC1481" s="1035"/>
      <c r="AD1481" s="690"/>
      <c r="AE1481" s="1025"/>
      <c r="AF1481" s="1030"/>
      <c r="AG1481" s="690"/>
      <c r="AH1481" s="690"/>
      <c r="AI1481" s="696">
        <f t="shared" si="195"/>
        <v>0</v>
      </c>
      <c r="AJ1481" s="697">
        <f t="shared" si="196"/>
        <v>0</v>
      </c>
    </row>
    <row r="1482" spans="1:36" s="700" customFormat="1" ht="12.75" customHeight="1">
      <c r="A1482" s="870" t="s">
        <v>211</v>
      </c>
      <c r="B1482" s="870" t="s">
        <v>278</v>
      </c>
      <c r="C1482" s="876" t="s">
        <v>1113</v>
      </c>
      <c r="D1482" s="876"/>
      <c r="E1482" s="872"/>
      <c r="F1482" s="873"/>
      <c r="G1482" s="1025"/>
      <c r="H1482" s="690"/>
      <c r="I1482" s="1030"/>
      <c r="J1482" s="690"/>
      <c r="K1482" s="1030"/>
      <c r="L1482" s="690"/>
      <c r="M1482" s="1025"/>
      <c r="N1482" s="1030"/>
      <c r="O1482" s="692">
        <f t="shared" ref="O1482:O1545" si="197">SUM(M1482:N1482)</f>
        <v>0</v>
      </c>
      <c r="P1482" s="690"/>
      <c r="Q1482" s="690"/>
      <c r="R1482" s="691">
        <f t="shared" ref="R1482:R1545" si="198">SUM(P1482:Q1482)</f>
        <v>0</v>
      </c>
      <c r="S1482" s="692">
        <f t="shared" ref="S1482:S1545" si="199">SUM(G1482,I1482,K1482,M1482)</f>
        <v>0</v>
      </c>
      <c r="T1482" s="693">
        <f t="shared" ref="T1482:T1545" si="200">SUM(H1482,J1482,L1482,P1482)</f>
        <v>0</v>
      </c>
      <c r="U1482" s="1035">
        <v>622948</v>
      </c>
      <c r="V1482" s="690">
        <v>444432</v>
      </c>
      <c r="W1482" s="1025"/>
      <c r="X1482" s="1030"/>
      <c r="Y1482" s="694">
        <f t="shared" ref="Y1482:Y1545" si="201">SUM(W1482:X1482)</f>
        <v>0</v>
      </c>
      <c r="Z1482" s="690"/>
      <c r="AA1482" s="690"/>
      <c r="AB1482" s="695">
        <f t="shared" ref="AB1482:AB1545" si="202">SUM(Z1482:AA1482)</f>
        <v>0</v>
      </c>
      <c r="AC1482" s="1035"/>
      <c r="AD1482" s="690"/>
      <c r="AE1482" s="1025"/>
      <c r="AF1482" s="1030"/>
      <c r="AG1482" s="690"/>
      <c r="AH1482" s="690"/>
      <c r="AI1482" s="696">
        <f t="shared" ref="AI1482:AI1545" si="203">SUM(S1482,U1482,W1482,AC1482,AE1482)</f>
        <v>622948</v>
      </c>
      <c r="AJ1482" s="697">
        <f t="shared" ref="AJ1482:AJ1545" si="204">SUM(T1482,V1482,Z1482,AD1482,AG1482)</f>
        <v>444432</v>
      </c>
    </row>
    <row r="1483" spans="1:36" s="700" customFormat="1" ht="12.75" customHeight="1">
      <c r="A1483" s="870" t="s">
        <v>211</v>
      </c>
      <c r="B1483" s="739" t="s">
        <v>279</v>
      </c>
      <c r="C1483" s="746" t="s">
        <v>54</v>
      </c>
      <c r="D1483" s="746"/>
      <c r="E1483" s="872"/>
      <c r="F1483" s="873"/>
      <c r="G1483" s="1025"/>
      <c r="H1483" s="690"/>
      <c r="I1483" s="1030"/>
      <c r="J1483" s="690"/>
      <c r="K1483" s="1030"/>
      <c r="L1483" s="690"/>
      <c r="M1483" s="1025"/>
      <c r="N1483" s="1030"/>
      <c r="O1483" s="692">
        <f t="shared" si="197"/>
        <v>0</v>
      </c>
      <c r="P1483" s="690"/>
      <c r="Q1483" s="690"/>
      <c r="R1483" s="691">
        <f t="shared" si="198"/>
        <v>0</v>
      </c>
      <c r="S1483" s="692">
        <f t="shared" si="199"/>
        <v>0</v>
      </c>
      <c r="T1483" s="693">
        <f t="shared" si="200"/>
        <v>0</v>
      </c>
      <c r="U1483" s="1035"/>
      <c r="V1483" s="690"/>
      <c r="W1483" s="1025"/>
      <c r="X1483" s="1030"/>
      <c r="Y1483" s="694">
        <f t="shared" si="201"/>
        <v>0</v>
      </c>
      <c r="Z1483" s="690"/>
      <c r="AA1483" s="690"/>
      <c r="AB1483" s="695">
        <f t="shared" si="202"/>
        <v>0</v>
      </c>
      <c r="AC1483" s="1035"/>
      <c r="AD1483" s="690"/>
      <c r="AE1483" s="1025"/>
      <c r="AF1483" s="1030"/>
      <c r="AG1483" s="690"/>
      <c r="AH1483" s="690"/>
      <c r="AI1483" s="696">
        <f t="shared" si="203"/>
        <v>0</v>
      </c>
      <c r="AJ1483" s="697">
        <f t="shared" si="204"/>
        <v>0</v>
      </c>
    </row>
    <row r="1484" spans="1:36" s="700" customFormat="1" ht="12.75" customHeight="1">
      <c r="A1484" s="870" t="s">
        <v>211</v>
      </c>
      <c r="B1484" s="739" t="s">
        <v>317</v>
      </c>
      <c r="C1484" s="746" t="s">
        <v>443</v>
      </c>
      <c r="D1484" s="746"/>
      <c r="E1484" s="872"/>
      <c r="F1484" s="873"/>
      <c r="G1484" s="1025"/>
      <c r="H1484" s="690"/>
      <c r="I1484" s="1030"/>
      <c r="J1484" s="690"/>
      <c r="K1484" s="1030"/>
      <c r="L1484" s="690"/>
      <c r="M1484" s="1025"/>
      <c r="N1484" s="1030"/>
      <c r="O1484" s="692">
        <f t="shared" si="197"/>
        <v>0</v>
      </c>
      <c r="P1484" s="690"/>
      <c r="Q1484" s="690"/>
      <c r="R1484" s="691">
        <f t="shared" si="198"/>
        <v>0</v>
      </c>
      <c r="S1484" s="692">
        <f t="shared" si="199"/>
        <v>0</v>
      </c>
      <c r="T1484" s="693">
        <f t="shared" si="200"/>
        <v>0</v>
      </c>
      <c r="U1484" s="1035"/>
      <c r="V1484" s="690"/>
      <c r="W1484" s="1025"/>
      <c r="X1484" s="1030"/>
      <c r="Y1484" s="694">
        <f t="shared" si="201"/>
        <v>0</v>
      </c>
      <c r="Z1484" s="690"/>
      <c r="AA1484" s="690"/>
      <c r="AB1484" s="695">
        <f t="shared" si="202"/>
        <v>0</v>
      </c>
      <c r="AC1484" s="1035"/>
      <c r="AD1484" s="690"/>
      <c r="AE1484" s="1025"/>
      <c r="AF1484" s="1030"/>
      <c r="AG1484" s="690"/>
      <c r="AH1484" s="690"/>
      <c r="AI1484" s="696">
        <f t="shared" si="203"/>
        <v>0</v>
      </c>
      <c r="AJ1484" s="697">
        <f t="shared" si="204"/>
        <v>0</v>
      </c>
    </row>
    <row r="1485" spans="1:36" s="700" customFormat="1" ht="12.75" customHeight="1">
      <c r="A1485" s="870" t="s">
        <v>211</v>
      </c>
      <c r="B1485" s="870" t="s">
        <v>318</v>
      </c>
      <c r="C1485" s="876" t="s">
        <v>1113</v>
      </c>
      <c r="D1485" s="876"/>
      <c r="E1485" s="872"/>
      <c r="F1485" s="873"/>
      <c r="G1485" s="1025"/>
      <c r="H1485" s="690"/>
      <c r="I1485" s="1030"/>
      <c r="J1485" s="690"/>
      <c r="K1485" s="1030"/>
      <c r="L1485" s="690"/>
      <c r="M1485" s="1025"/>
      <c r="N1485" s="1030"/>
      <c r="O1485" s="692">
        <f t="shared" si="197"/>
        <v>0</v>
      </c>
      <c r="P1485" s="690"/>
      <c r="Q1485" s="690"/>
      <c r="R1485" s="691">
        <f t="shared" si="198"/>
        <v>0</v>
      </c>
      <c r="S1485" s="692">
        <f t="shared" si="199"/>
        <v>0</v>
      </c>
      <c r="T1485" s="693">
        <f t="shared" si="200"/>
        <v>0</v>
      </c>
      <c r="U1485" s="1035">
        <v>140545</v>
      </c>
      <c r="V1485" s="690">
        <v>102722</v>
      </c>
      <c r="W1485" s="1025"/>
      <c r="X1485" s="1030"/>
      <c r="Y1485" s="694">
        <f t="shared" si="201"/>
        <v>0</v>
      </c>
      <c r="Z1485" s="690"/>
      <c r="AA1485" s="690"/>
      <c r="AB1485" s="695">
        <f t="shared" si="202"/>
        <v>0</v>
      </c>
      <c r="AC1485" s="1035"/>
      <c r="AD1485" s="690"/>
      <c r="AE1485" s="1025"/>
      <c r="AF1485" s="1030"/>
      <c r="AG1485" s="690"/>
      <c r="AH1485" s="690"/>
      <c r="AI1485" s="696">
        <f t="shared" si="203"/>
        <v>140545</v>
      </c>
      <c r="AJ1485" s="697">
        <f t="shared" si="204"/>
        <v>102722</v>
      </c>
    </row>
    <row r="1486" spans="1:36" s="700" customFormat="1" ht="12.75" customHeight="1">
      <c r="A1486" s="870" t="s">
        <v>211</v>
      </c>
      <c r="B1486" s="882" t="s">
        <v>420</v>
      </c>
      <c r="C1486" s="881" t="s">
        <v>1114</v>
      </c>
      <c r="D1486" s="881"/>
      <c r="E1486" s="872"/>
      <c r="F1486" s="873"/>
      <c r="G1486" s="1025"/>
      <c r="H1486" s="690"/>
      <c r="I1486" s="1030"/>
      <c r="J1486" s="690"/>
      <c r="K1486" s="1030"/>
      <c r="L1486" s="690"/>
      <c r="M1486" s="1025"/>
      <c r="N1486" s="1030"/>
      <c r="O1486" s="692">
        <f t="shared" si="197"/>
        <v>0</v>
      </c>
      <c r="P1486" s="690"/>
      <c r="Q1486" s="690"/>
      <c r="R1486" s="691">
        <f t="shared" si="198"/>
        <v>0</v>
      </c>
      <c r="S1486" s="692">
        <f t="shared" si="199"/>
        <v>0</v>
      </c>
      <c r="T1486" s="693">
        <f t="shared" si="200"/>
        <v>0</v>
      </c>
      <c r="U1486" s="1035"/>
      <c r="V1486" s="690"/>
      <c r="W1486" s="1025"/>
      <c r="X1486" s="1030"/>
      <c r="Y1486" s="694">
        <f t="shared" si="201"/>
        <v>0</v>
      </c>
      <c r="Z1486" s="690"/>
      <c r="AA1486" s="690"/>
      <c r="AB1486" s="695">
        <f t="shared" si="202"/>
        <v>0</v>
      </c>
      <c r="AC1486" s="1035"/>
      <c r="AD1486" s="690"/>
      <c r="AE1486" s="1025"/>
      <c r="AF1486" s="1030"/>
      <c r="AG1486" s="690"/>
      <c r="AH1486" s="690"/>
      <c r="AI1486" s="696">
        <f t="shared" si="203"/>
        <v>0</v>
      </c>
      <c r="AJ1486" s="697">
        <f t="shared" si="204"/>
        <v>0</v>
      </c>
    </row>
    <row r="1487" spans="1:36" s="700" customFormat="1" ht="12.75" customHeight="1">
      <c r="A1487" s="870" t="s">
        <v>211</v>
      </c>
      <c r="B1487" s="870" t="s">
        <v>442</v>
      </c>
      <c r="C1487" s="746" t="s">
        <v>443</v>
      </c>
      <c r="D1487" s="746"/>
      <c r="E1487" s="872"/>
      <c r="F1487" s="873"/>
      <c r="G1487" s="1025"/>
      <c r="H1487" s="690"/>
      <c r="I1487" s="1030"/>
      <c r="J1487" s="690"/>
      <c r="K1487" s="1030"/>
      <c r="L1487" s="690"/>
      <c r="M1487" s="1025"/>
      <c r="N1487" s="1030"/>
      <c r="O1487" s="692">
        <f t="shared" si="197"/>
        <v>0</v>
      </c>
      <c r="P1487" s="690"/>
      <c r="Q1487" s="690"/>
      <c r="R1487" s="691">
        <f t="shared" si="198"/>
        <v>0</v>
      </c>
      <c r="S1487" s="692">
        <f t="shared" si="199"/>
        <v>0</v>
      </c>
      <c r="T1487" s="693">
        <f t="shared" si="200"/>
        <v>0</v>
      </c>
      <c r="U1487" s="1035"/>
      <c r="V1487" s="690"/>
      <c r="W1487" s="1025"/>
      <c r="X1487" s="1030"/>
      <c r="Y1487" s="694">
        <f t="shared" si="201"/>
        <v>0</v>
      </c>
      <c r="Z1487" s="690"/>
      <c r="AA1487" s="690"/>
      <c r="AB1487" s="695">
        <f t="shared" si="202"/>
        <v>0</v>
      </c>
      <c r="AC1487" s="1035"/>
      <c r="AD1487" s="690"/>
      <c r="AE1487" s="1025"/>
      <c r="AF1487" s="1030"/>
      <c r="AG1487" s="690"/>
      <c r="AH1487" s="690"/>
      <c r="AI1487" s="696">
        <f t="shared" si="203"/>
        <v>0</v>
      </c>
      <c r="AJ1487" s="697">
        <f t="shared" si="204"/>
        <v>0</v>
      </c>
    </row>
    <row r="1488" spans="1:36" s="700" customFormat="1" ht="12.75" customHeight="1">
      <c r="A1488" s="870" t="s">
        <v>211</v>
      </c>
      <c r="B1488" s="870" t="s">
        <v>379</v>
      </c>
      <c r="C1488" s="746" t="s">
        <v>377</v>
      </c>
      <c r="D1488" s="746"/>
      <c r="E1488" s="872"/>
      <c r="F1488" s="873"/>
      <c r="G1488" s="1025"/>
      <c r="H1488" s="690"/>
      <c r="I1488" s="1030"/>
      <c r="J1488" s="690"/>
      <c r="K1488" s="1030"/>
      <c r="L1488" s="690"/>
      <c r="M1488" s="1025"/>
      <c r="N1488" s="1030"/>
      <c r="O1488" s="692">
        <f t="shared" si="197"/>
        <v>0</v>
      </c>
      <c r="P1488" s="690"/>
      <c r="Q1488" s="690"/>
      <c r="R1488" s="691">
        <f t="shared" si="198"/>
        <v>0</v>
      </c>
      <c r="S1488" s="692">
        <f t="shared" si="199"/>
        <v>0</v>
      </c>
      <c r="T1488" s="693">
        <f t="shared" si="200"/>
        <v>0</v>
      </c>
      <c r="U1488" s="1035"/>
      <c r="V1488" s="690"/>
      <c r="W1488" s="1025"/>
      <c r="X1488" s="1030"/>
      <c r="Y1488" s="694">
        <f t="shared" si="201"/>
        <v>0</v>
      </c>
      <c r="Z1488" s="690"/>
      <c r="AA1488" s="690"/>
      <c r="AB1488" s="695">
        <f t="shared" si="202"/>
        <v>0</v>
      </c>
      <c r="AC1488" s="1035"/>
      <c r="AD1488" s="690"/>
      <c r="AE1488" s="1025"/>
      <c r="AF1488" s="1030"/>
      <c r="AG1488" s="690"/>
      <c r="AH1488" s="690"/>
      <c r="AI1488" s="696">
        <f t="shared" si="203"/>
        <v>0</v>
      </c>
      <c r="AJ1488" s="697">
        <f t="shared" si="204"/>
        <v>0</v>
      </c>
    </row>
    <row r="1489" spans="1:36" s="700" customFormat="1" ht="12.75" customHeight="1">
      <c r="A1489" s="870" t="s">
        <v>211</v>
      </c>
      <c r="B1489" s="870" t="s">
        <v>295</v>
      </c>
      <c r="C1489" s="876" t="s">
        <v>53</v>
      </c>
      <c r="D1489" s="876"/>
      <c r="E1489" s="872"/>
      <c r="F1489" s="873"/>
      <c r="G1489" s="1025"/>
      <c r="H1489" s="690"/>
      <c r="I1489" s="1030"/>
      <c r="J1489" s="690"/>
      <c r="K1489" s="1030"/>
      <c r="L1489" s="690"/>
      <c r="M1489" s="1025"/>
      <c r="N1489" s="1030"/>
      <c r="O1489" s="692">
        <f t="shared" si="197"/>
        <v>0</v>
      </c>
      <c r="P1489" s="690"/>
      <c r="Q1489" s="690"/>
      <c r="R1489" s="691">
        <f t="shared" si="198"/>
        <v>0</v>
      </c>
      <c r="S1489" s="692">
        <f t="shared" si="199"/>
        <v>0</v>
      </c>
      <c r="T1489" s="693">
        <f t="shared" si="200"/>
        <v>0</v>
      </c>
      <c r="U1489" s="1035"/>
      <c r="V1489" s="690"/>
      <c r="W1489" s="1025"/>
      <c r="X1489" s="1030"/>
      <c r="Y1489" s="694">
        <f t="shared" si="201"/>
        <v>0</v>
      </c>
      <c r="Z1489" s="690"/>
      <c r="AA1489" s="690"/>
      <c r="AB1489" s="695">
        <f t="shared" si="202"/>
        <v>0</v>
      </c>
      <c r="AC1489" s="1035"/>
      <c r="AD1489" s="690"/>
      <c r="AE1489" s="1025"/>
      <c r="AF1489" s="1030"/>
      <c r="AG1489" s="690"/>
      <c r="AH1489" s="690"/>
      <c r="AI1489" s="696">
        <f t="shared" si="203"/>
        <v>0</v>
      </c>
      <c r="AJ1489" s="697">
        <f t="shared" si="204"/>
        <v>0</v>
      </c>
    </row>
    <row r="1490" spans="1:36" s="700" customFormat="1" ht="12.75" customHeight="1">
      <c r="A1490" s="870" t="s">
        <v>211</v>
      </c>
      <c r="B1490" s="870" t="s">
        <v>296</v>
      </c>
      <c r="C1490" s="876" t="s">
        <v>443</v>
      </c>
      <c r="D1490" s="876"/>
      <c r="E1490" s="872"/>
      <c r="F1490" s="873"/>
      <c r="G1490" s="1025"/>
      <c r="H1490" s="690"/>
      <c r="I1490" s="1030"/>
      <c r="J1490" s="690"/>
      <c r="K1490" s="1030"/>
      <c r="L1490" s="690"/>
      <c r="M1490" s="1025"/>
      <c r="N1490" s="1030"/>
      <c r="O1490" s="692">
        <f t="shared" si="197"/>
        <v>0</v>
      </c>
      <c r="P1490" s="690"/>
      <c r="Q1490" s="690"/>
      <c r="R1490" s="691">
        <f t="shared" si="198"/>
        <v>0</v>
      </c>
      <c r="S1490" s="692">
        <f t="shared" si="199"/>
        <v>0</v>
      </c>
      <c r="T1490" s="693">
        <f t="shared" si="200"/>
        <v>0</v>
      </c>
      <c r="U1490" s="1035"/>
      <c r="V1490" s="690"/>
      <c r="W1490" s="1025"/>
      <c r="X1490" s="1030"/>
      <c r="Y1490" s="694">
        <f t="shared" si="201"/>
        <v>0</v>
      </c>
      <c r="Z1490" s="690"/>
      <c r="AA1490" s="690"/>
      <c r="AB1490" s="695">
        <f t="shared" si="202"/>
        <v>0</v>
      </c>
      <c r="AC1490" s="1035"/>
      <c r="AD1490" s="690"/>
      <c r="AE1490" s="1025"/>
      <c r="AF1490" s="1030"/>
      <c r="AG1490" s="690"/>
      <c r="AH1490" s="690"/>
      <c r="AI1490" s="696">
        <f t="shared" si="203"/>
        <v>0</v>
      </c>
      <c r="AJ1490" s="697">
        <f t="shared" si="204"/>
        <v>0</v>
      </c>
    </row>
    <row r="1491" spans="1:36" s="700" customFormat="1" ht="12.75" customHeight="1">
      <c r="A1491" s="870" t="s">
        <v>211</v>
      </c>
      <c r="B1491" s="870" t="s">
        <v>278</v>
      </c>
      <c r="C1491" s="876" t="s">
        <v>1113</v>
      </c>
      <c r="D1491" s="876"/>
      <c r="E1491" s="872"/>
      <c r="F1491" s="873"/>
      <c r="G1491" s="1025"/>
      <c r="H1491" s="690"/>
      <c r="I1491" s="1030"/>
      <c r="J1491" s="690"/>
      <c r="K1491" s="1030"/>
      <c r="L1491" s="690"/>
      <c r="M1491" s="1025"/>
      <c r="N1491" s="1030"/>
      <c r="O1491" s="692">
        <f t="shared" si="197"/>
        <v>0</v>
      </c>
      <c r="P1491" s="690"/>
      <c r="Q1491" s="690"/>
      <c r="R1491" s="691">
        <f t="shared" si="198"/>
        <v>0</v>
      </c>
      <c r="S1491" s="692">
        <f t="shared" si="199"/>
        <v>0</v>
      </c>
      <c r="T1491" s="693">
        <f t="shared" si="200"/>
        <v>0</v>
      </c>
      <c r="U1491" s="1035">
        <v>4562901</v>
      </c>
      <c r="V1491" s="690">
        <v>3828221</v>
      </c>
      <c r="W1491" s="1025"/>
      <c r="X1491" s="1030"/>
      <c r="Y1491" s="694">
        <f t="shared" si="201"/>
        <v>0</v>
      </c>
      <c r="Z1491" s="690"/>
      <c r="AA1491" s="690"/>
      <c r="AB1491" s="695">
        <f t="shared" si="202"/>
        <v>0</v>
      </c>
      <c r="AC1491" s="1035"/>
      <c r="AD1491" s="690"/>
      <c r="AE1491" s="1025"/>
      <c r="AF1491" s="1030"/>
      <c r="AG1491" s="690"/>
      <c r="AH1491" s="690"/>
      <c r="AI1491" s="696">
        <f t="shared" si="203"/>
        <v>4562901</v>
      </c>
      <c r="AJ1491" s="697">
        <f t="shared" si="204"/>
        <v>3828221</v>
      </c>
    </row>
    <row r="1492" spans="1:36" s="700" customFormat="1" ht="12.75" customHeight="1">
      <c r="A1492" s="870" t="s">
        <v>211</v>
      </c>
      <c r="B1492" s="739" t="s">
        <v>279</v>
      </c>
      <c r="C1492" s="746" t="s">
        <v>54</v>
      </c>
      <c r="D1492" s="746"/>
      <c r="E1492" s="872"/>
      <c r="F1492" s="873"/>
      <c r="G1492" s="1025"/>
      <c r="H1492" s="690"/>
      <c r="I1492" s="1030"/>
      <c r="J1492" s="690"/>
      <c r="K1492" s="1030"/>
      <c r="L1492" s="690"/>
      <c r="M1492" s="1025"/>
      <c r="N1492" s="1030"/>
      <c r="O1492" s="692">
        <f t="shared" si="197"/>
        <v>0</v>
      </c>
      <c r="P1492" s="690"/>
      <c r="Q1492" s="690"/>
      <c r="R1492" s="691">
        <f t="shared" si="198"/>
        <v>0</v>
      </c>
      <c r="S1492" s="692">
        <f t="shared" si="199"/>
        <v>0</v>
      </c>
      <c r="T1492" s="693">
        <f t="shared" si="200"/>
        <v>0</v>
      </c>
      <c r="U1492" s="1035"/>
      <c r="V1492" s="690"/>
      <c r="W1492" s="1025"/>
      <c r="X1492" s="1030"/>
      <c r="Y1492" s="694">
        <f t="shared" si="201"/>
        <v>0</v>
      </c>
      <c r="Z1492" s="690"/>
      <c r="AA1492" s="690"/>
      <c r="AB1492" s="695">
        <f t="shared" si="202"/>
        <v>0</v>
      </c>
      <c r="AC1492" s="1035"/>
      <c r="AD1492" s="690"/>
      <c r="AE1492" s="1025"/>
      <c r="AF1492" s="1030"/>
      <c r="AG1492" s="690"/>
      <c r="AH1492" s="690"/>
      <c r="AI1492" s="696">
        <f t="shared" si="203"/>
        <v>0</v>
      </c>
      <c r="AJ1492" s="697">
        <f t="shared" si="204"/>
        <v>0</v>
      </c>
    </row>
    <row r="1493" spans="1:36" s="700" customFormat="1" ht="12.75" customHeight="1">
      <c r="A1493" s="870" t="s">
        <v>211</v>
      </c>
      <c r="B1493" s="739" t="s">
        <v>317</v>
      </c>
      <c r="C1493" s="746" t="s">
        <v>443</v>
      </c>
      <c r="D1493" s="746"/>
      <c r="E1493" s="872"/>
      <c r="F1493" s="873"/>
      <c r="G1493" s="1025"/>
      <c r="H1493" s="690"/>
      <c r="I1493" s="1030"/>
      <c r="J1493" s="690"/>
      <c r="K1493" s="1030"/>
      <c r="L1493" s="690"/>
      <c r="M1493" s="1025"/>
      <c r="N1493" s="1030"/>
      <c r="O1493" s="692">
        <f t="shared" si="197"/>
        <v>0</v>
      </c>
      <c r="P1493" s="690"/>
      <c r="Q1493" s="690"/>
      <c r="R1493" s="691">
        <f t="shared" si="198"/>
        <v>0</v>
      </c>
      <c r="S1493" s="692">
        <f t="shared" si="199"/>
        <v>0</v>
      </c>
      <c r="T1493" s="693">
        <f t="shared" si="200"/>
        <v>0</v>
      </c>
      <c r="U1493" s="1035"/>
      <c r="V1493" s="690"/>
      <c r="W1493" s="1025"/>
      <c r="X1493" s="1030"/>
      <c r="Y1493" s="694">
        <f t="shared" si="201"/>
        <v>0</v>
      </c>
      <c r="Z1493" s="690"/>
      <c r="AA1493" s="690"/>
      <c r="AB1493" s="695">
        <f t="shared" si="202"/>
        <v>0</v>
      </c>
      <c r="AC1493" s="1035"/>
      <c r="AD1493" s="690"/>
      <c r="AE1493" s="1025"/>
      <c r="AF1493" s="1030"/>
      <c r="AG1493" s="690"/>
      <c r="AH1493" s="690"/>
      <c r="AI1493" s="696">
        <f t="shared" si="203"/>
        <v>0</v>
      </c>
      <c r="AJ1493" s="697">
        <f t="shared" si="204"/>
        <v>0</v>
      </c>
    </row>
    <row r="1494" spans="1:36" s="700" customFormat="1" ht="12.75" customHeight="1">
      <c r="A1494" s="870" t="s">
        <v>211</v>
      </c>
      <c r="B1494" s="870" t="s">
        <v>318</v>
      </c>
      <c r="C1494" s="876" t="s">
        <v>1113</v>
      </c>
      <c r="D1494" s="876"/>
      <c r="E1494" s="872"/>
      <c r="F1494" s="873"/>
      <c r="G1494" s="1025"/>
      <c r="H1494" s="690"/>
      <c r="I1494" s="1030"/>
      <c r="J1494" s="690"/>
      <c r="K1494" s="1030"/>
      <c r="L1494" s="690"/>
      <c r="M1494" s="1025"/>
      <c r="N1494" s="1030"/>
      <c r="O1494" s="692">
        <f t="shared" si="197"/>
        <v>0</v>
      </c>
      <c r="P1494" s="690"/>
      <c r="Q1494" s="690"/>
      <c r="R1494" s="691">
        <f t="shared" si="198"/>
        <v>0</v>
      </c>
      <c r="S1494" s="692">
        <f t="shared" si="199"/>
        <v>0</v>
      </c>
      <c r="T1494" s="693">
        <f t="shared" si="200"/>
        <v>0</v>
      </c>
      <c r="U1494" s="1035">
        <v>3472960</v>
      </c>
      <c r="V1494" s="690">
        <v>732814</v>
      </c>
      <c r="W1494" s="1025"/>
      <c r="X1494" s="1030"/>
      <c r="Y1494" s="694">
        <f t="shared" si="201"/>
        <v>0</v>
      </c>
      <c r="Z1494" s="690"/>
      <c r="AA1494" s="690"/>
      <c r="AB1494" s="695">
        <f t="shared" si="202"/>
        <v>0</v>
      </c>
      <c r="AC1494" s="1035"/>
      <c r="AD1494" s="690"/>
      <c r="AE1494" s="1025"/>
      <c r="AF1494" s="1030"/>
      <c r="AG1494" s="690"/>
      <c r="AH1494" s="690"/>
      <c r="AI1494" s="696">
        <f t="shared" si="203"/>
        <v>3472960</v>
      </c>
      <c r="AJ1494" s="697">
        <f t="shared" si="204"/>
        <v>732814</v>
      </c>
    </row>
    <row r="1495" spans="1:36" s="700" customFormat="1" ht="12.75" customHeight="1">
      <c r="A1495" s="870" t="s">
        <v>211</v>
      </c>
      <c r="B1495" s="882" t="s">
        <v>420</v>
      </c>
      <c r="C1495" s="881" t="s">
        <v>1115</v>
      </c>
      <c r="D1495" s="881"/>
      <c r="E1495" s="872"/>
      <c r="F1495" s="873"/>
      <c r="G1495" s="1025"/>
      <c r="H1495" s="690"/>
      <c r="I1495" s="1030"/>
      <c r="J1495" s="690"/>
      <c r="K1495" s="1030"/>
      <c r="L1495" s="690"/>
      <c r="M1495" s="1025"/>
      <c r="N1495" s="1030"/>
      <c r="O1495" s="692">
        <f t="shared" si="197"/>
        <v>0</v>
      </c>
      <c r="P1495" s="690"/>
      <c r="Q1495" s="690"/>
      <c r="R1495" s="691">
        <f t="shared" si="198"/>
        <v>0</v>
      </c>
      <c r="S1495" s="692">
        <f t="shared" si="199"/>
        <v>0</v>
      </c>
      <c r="T1495" s="693">
        <f t="shared" si="200"/>
        <v>0</v>
      </c>
      <c r="U1495" s="1035"/>
      <c r="V1495" s="690"/>
      <c r="W1495" s="1025"/>
      <c r="X1495" s="1030"/>
      <c r="Y1495" s="694">
        <f t="shared" si="201"/>
        <v>0</v>
      </c>
      <c r="Z1495" s="690"/>
      <c r="AA1495" s="690"/>
      <c r="AB1495" s="695">
        <f t="shared" si="202"/>
        <v>0</v>
      </c>
      <c r="AC1495" s="1035"/>
      <c r="AD1495" s="690"/>
      <c r="AE1495" s="1025"/>
      <c r="AF1495" s="1030"/>
      <c r="AG1495" s="690"/>
      <c r="AH1495" s="690"/>
      <c r="AI1495" s="696">
        <f t="shared" si="203"/>
        <v>0</v>
      </c>
      <c r="AJ1495" s="697">
        <f t="shared" si="204"/>
        <v>0</v>
      </c>
    </row>
    <row r="1496" spans="1:36" s="700" customFormat="1" ht="12.75" customHeight="1">
      <c r="A1496" s="870" t="s">
        <v>211</v>
      </c>
      <c r="B1496" s="870" t="s">
        <v>295</v>
      </c>
      <c r="C1496" s="876" t="s">
        <v>53</v>
      </c>
      <c r="D1496" s="876"/>
      <c r="E1496" s="872"/>
      <c r="F1496" s="873"/>
      <c r="G1496" s="1025"/>
      <c r="H1496" s="690"/>
      <c r="I1496" s="1030"/>
      <c r="J1496" s="690"/>
      <c r="K1496" s="1030"/>
      <c r="L1496" s="690"/>
      <c r="M1496" s="1025"/>
      <c r="N1496" s="1030"/>
      <c r="O1496" s="692">
        <f t="shared" si="197"/>
        <v>0</v>
      </c>
      <c r="P1496" s="690"/>
      <c r="Q1496" s="690"/>
      <c r="R1496" s="691">
        <f t="shared" si="198"/>
        <v>0</v>
      </c>
      <c r="S1496" s="692">
        <f t="shared" si="199"/>
        <v>0</v>
      </c>
      <c r="T1496" s="693">
        <f t="shared" si="200"/>
        <v>0</v>
      </c>
      <c r="U1496" s="1035"/>
      <c r="V1496" s="690"/>
      <c r="W1496" s="1025"/>
      <c r="X1496" s="1030"/>
      <c r="Y1496" s="694">
        <f t="shared" si="201"/>
        <v>0</v>
      </c>
      <c r="Z1496" s="690"/>
      <c r="AA1496" s="690"/>
      <c r="AB1496" s="695">
        <f t="shared" si="202"/>
        <v>0</v>
      </c>
      <c r="AC1496" s="1035"/>
      <c r="AD1496" s="690"/>
      <c r="AE1496" s="1025"/>
      <c r="AF1496" s="1030"/>
      <c r="AG1496" s="690"/>
      <c r="AH1496" s="690"/>
      <c r="AI1496" s="696">
        <f t="shared" si="203"/>
        <v>0</v>
      </c>
      <c r="AJ1496" s="697">
        <f t="shared" si="204"/>
        <v>0</v>
      </c>
    </row>
    <row r="1497" spans="1:36" s="700" customFormat="1" ht="12.75" customHeight="1">
      <c r="A1497" s="870" t="s">
        <v>211</v>
      </c>
      <c r="B1497" s="870" t="s">
        <v>296</v>
      </c>
      <c r="C1497" s="876" t="s">
        <v>443</v>
      </c>
      <c r="D1497" s="876"/>
      <c r="E1497" s="872"/>
      <c r="F1497" s="873"/>
      <c r="G1497" s="1025"/>
      <c r="H1497" s="690"/>
      <c r="I1497" s="1030"/>
      <c r="J1497" s="690"/>
      <c r="K1497" s="1030"/>
      <c r="L1497" s="690"/>
      <c r="M1497" s="1025"/>
      <c r="N1497" s="1030"/>
      <c r="O1497" s="692">
        <f t="shared" si="197"/>
        <v>0</v>
      </c>
      <c r="P1497" s="690"/>
      <c r="Q1497" s="690"/>
      <c r="R1497" s="691">
        <f t="shared" si="198"/>
        <v>0</v>
      </c>
      <c r="S1497" s="692">
        <f t="shared" si="199"/>
        <v>0</v>
      </c>
      <c r="T1497" s="693">
        <f t="shared" si="200"/>
        <v>0</v>
      </c>
      <c r="U1497" s="1035"/>
      <c r="V1497" s="690"/>
      <c r="W1497" s="1025"/>
      <c r="X1497" s="1030"/>
      <c r="Y1497" s="694">
        <f t="shared" si="201"/>
        <v>0</v>
      </c>
      <c r="Z1497" s="690"/>
      <c r="AA1497" s="690"/>
      <c r="AB1497" s="695">
        <f t="shared" si="202"/>
        <v>0</v>
      </c>
      <c r="AC1497" s="1035"/>
      <c r="AD1497" s="690"/>
      <c r="AE1497" s="1025"/>
      <c r="AF1497" s="1030"/>
      <c r="AG1497" s="690"/>
      <c r="AH1497" s="690"/>
      <c r="AI1497" s="696">
        <f t="shared" si="203"/>
        <v>0</v>
      </c>
      <c r="AJ1497" s="697">
        <f t="shared" si="204"/>
        <v>0</v>
      </c>
    </row>
    <row r="1498" spans="1:36" s="700" customFormat="1" ht="12.75" customHeight="1">
      <c r="A1498" s="870" t="s">
        <v>211</v>
      </c>
      <c r="B1498" s="870" t="s">
        <v>278</v>
      </c>
      <c r="C1498" s="876" t="s">
        <v>1113</v>
      </c>
      <c r="D1498" s="876"/>
      <c r="E1498" s="872"/>
      <c r="F1498" s="873"/>
      <c r="G1498" s="1025"/>
      <c r="H1498" s="690"/>
      <c r="I1498" s="1030"/>
      <c r="J1498" s="690"/>
      <c r="K1498" s="1030"/>
      <c r="L1498" s="690"/>
      <c r="M1498" s="1025"/>
      <c r="N1498" s="1030"/>
      <c r="O1498" s="692">
        <f t="shared" si="197"/>
        <v>0</v>
      </c>
      <c r="P1498" s="690"/>
      <c r="Q1498" s="690"/>
      <c r="R1498" s="691">
        <f t="shared" si="198"/>
        <v>0</v>
      </c>
      <c r="S1498" s="692">
        <f t="shared" si="199"/>
        <v>0</v>
      </c>
      <c r="T1498" s="693">
        <f t="shared" si="200"/>
        <v>0</v>
      </c>
      <c r="U1498" s="1035">
        <v>297979</v>
      </c>
      <c r="V1498" s="690">
        <v>340979</v>
      </c>
      <c r="W1498" s="1025"/>
      <c r="X1498" s="1030"/>
      <c r="Y1498" s="694">
        <f t="shared" si="201"/>
        <v>0</v>
      </c>
      <c r="Z1498" s="690"/>
      <c r="AA1498" s="690"/>
      <c r="AB1498" s="695">
        <f t="shared" si="202"/>
        <v>0</v>
      </c>
      <c r="AC1498" s="1035"/>
      <c r="AD1498" s="690"/>
      <c r="AE1498" s="1025"/>
      <c r="AF1498" s="1030"/>
      <c r="AG1498" s="690"/>
      <c r="AH1498" s="690"/>
      <c r="AI1498" s="696">
        <f t="shared" si="203"/>
        <v>297979</v>
      </c>
      <c r="AJ1498" s="697">
        <f t="shared" si="204"/>
        <v>340979</v>
      </c>
    </row>
    <row r="1499" spans="1:36" s="700" customFormat="1" ht="12.75" customHeight="1">
      <c r="A1499" s="870" t="s">
        <v>211</v>
      </c>
      <c r="B1499" s="739" t="s">
        <v>279</v>
      </c>
      <c r="C1499" s="746" t="s">
        <v>54</v>
      </c>
      <c r="D1499" s="746"/>
      <c r="E1499" s="872"/>
      <c r="F1499" s="873"/>
      <c r="G1499" s="1025"/>
      <c r="H1499" s="690"/>
      <c r="I1499" s="1030"/>
      <c r="J1499" s="690"/>
      <c r="K1499" s="1030"/>
      <c r="L1499" s="690"/>
      <c r="M1499" s="1025"/>
      <c r="N1499" s="1030"/>
      <c r="O1499" s="692">
        <f t="shared" si="197"/>
        <v>0</v>
      </c>
      <c r="P1499" s="690"/>
      <c r="Q1499" s="690"/>
      <c r="R1499" s="691">
        <f t="shared" si="198"/>
        <v>0</v>
      </c>
      <c r="S1499" s="692">
        <f t="shared" si="199"/>
        <v>0</v>
      </c>
      <c r="T1499" s="693">
        <f t="shared" si="200"/>
        <v>0</v>
      </c>
      <c r="U1499" s="1035"/>
      <c r="V1499" s="690"/>
      <c r="W1499" s="1025"/>
      <c r="X1499" s="1030"/>
      <c r="Y1499" s="694">
        <f t="shared" si="201"/>
        <v>0</v>
      </c>
      <c r="Z1499" s="690"/>
      <c r="AA1499" s="690"/>
      <c r="AB1499" s="695">
        <f t="shared" si="202"/>
        <v>0</v>
      </c>
      <c r="AC1499" s="1035"/>
      <c r="AD1499" s="690"/>
      <c r="AE1499" s="1025"/>
      <c r="AF1499" s="1030"/>
      <c r="AG1499" s="690"/>
      <c r="AH1499" s="690"/>
      <c r="AI1499" s="696">
        <f t="shared" si="203"/>
        <v>0</v>
      </c>
      <c r="AJ1499" s="697">
        <f t="shared" si="204"/>
        <v>0</v>
      </c>
    </row>
    <row r="1500" spans="1:36" s="700" customFormat="1" ht="12.75" customHeight="1">
      <c r="A1500" s="870" t="s">
        <v>211</v>
      </c>
      <c r="B1500" s="739" t="s">
        <v>317</v>
      </c>
      <c r="C1500" s="746" t="s">
        <v>443</v>
      </c>
      <c r="D1500" s="746"/>
      <c r="E1500" s="872"/>
      <c r="F1500" s="873"/>
      <c r="G1500" s="1025"/>
      <c r="H1500" s="690"/>
      <c r="I1500" s="1030"/>
      <c r="J1500" s="690"/>
      <c r="K1500" s="1030"/>
      <c r="L1500" s="690"/>
      <c r="M1500" s="1025"/>
      <c r="N1500" s="1030"/>
      <c r="O1500" s="692">
        <f t="shared" si="197"/>
        <v>0</v>
      </c>
      <c r="P1500" s="690"/>
      <c r="Q1500" s="690"/>
      <c r="R1500" s="691">
        <f t="shared" si="198"/>
        <v>0</v>
      </c>
      <c r="S1500" s="692">
        <f t="shared" si="199"/>
        <v>0</v>
      </c>
      <c r="T1500" s="693">
        <f t="shared" si="200"/>
        <v>0</v>
      </c>
      <c r="U1500" s="1035"/>
      <c r="V1500" s="690"/>
      <c r="W1500" s="1025"/>
      <c r="X1500" s="1030"/>
      <c r="Y1500" s="694">
        <f t="shared" si="201"/>
        <v>0</v>
      </c>
      <c r="Z1500" s="690"/>
      <c r="AA1500" s="690"/>
      <c r="AB1500" s="695">
        <f t="shared" si="202"/>
        <v>0</v>
      </c>
      <c r="AC1500" s="1035"/>
      <c r="AD1500" s="690"/>
      <c r="AE1500" s="1025"/>
      <c r="AF1500" s="1030"/>
      <c r="AG1500" s="690"/>
      <c r="AH1500" s="690"/>
      <c r="AI1500" s="696">
        <f t="shared" si="203"/>
        <v>0</v>
      </c>
      <c r="AJ1500" s="697">
        <f t="shared" si="204"/>
        <v>0</v>
      </c>
    </row>
    <row r="1501" spans="1:36" s="700" customFormat="1" ht="12.75" customHeight="1">
      <c r="A1501" s="870" t="s">
        <v>211</v>
      </c>
      <c r="B1501" s="870" t="s">
        <v>318</v>
      </c>
      <c r="C1501" s="876" t="s">
        <v>1113</v>
      </c>
      <c r="D1501" s="876"/>
      <c r="E1501" s="872"/>
      <c r="F1501" s="873"/>
      <c r="G1501" s="1025"/>
      <c r="H1501" s="690"/>
      <c r="I1501" s="1030"/>
      <c r="J1501" s="690"/>
      <c r="K1501" s="1030"/>
      <c r="L1501" s="690"/>
      <c r="M1501" s="1025"/>
      <c r="N1501" s="1030"/>
      <c r="O1501" s="692">
        <f t="shared" si="197"/>
        <v>0</v>
      </c>
      <c r="P1501" s="690"/>
      <c r="Q1501" s="690"/>
      <c r="R1501" s="691">
        <f t="shared" si="198"/>
        <v>0</v>
      </c>
      <c r="S1501" s="692">
        <f t="shared" si="199"/>
        <v>0</v>
      </c>
      <c r="T1501" s="693">
        <f t="shared" si="200"/>
        <v>0</v>
      </c>
      <c r="U1501" s="1035"/>
      <c r="V1501" s="690"/>
      <c r="W1501" s="1025"/>
      <c r="X1501" s="1030"/>
      <c r="Y1501" s="694">
        <f t="shared" si="201"/>
        <v>0</v>
      </c>
      <c r="Z1501" s="690"/>
      <c r="AA1501" s="690"/>
      <c r="AB1501" s="695">
        <f t="shared" si="202"/>
        <v>0</v>
      </c>
      <c r="AC1501" s="1035"/>
      <c r="AD1501" s="690"/>
      <c r="AE1501" s="1025"/>
      <c r="AF1501" s="1030"/>
      <c r="AG1501" s="690"/>
      <c r="AH1501" s="690"/>
      <c r="AI1501" s="696">
        <f t="shared" si="203"/>
        <v>0</v>
      </c>
      <c r="AJ1501" s="697">
        <f t="shared" si="204"/>
        <v>0</v>
      </c>
    </row>
    <row r="1502" spans="1:36" s="700" customFormat="1" ht="12.75" customHeight="1">
      <c r="A1502" s="870" t="s">
        <v>211</v>
      </c>
      <c r="B1502" s="882" t="s">
        <v>420</v>
      </c>
      <c r="C1502" s="881" t="s">
        <v>1116</v>
      </c>
      <c r="D1502" s="881"/>
      <c r="E1502" s="872"/>
      <c r="F1502" s="873"/>
      <c r="G1502" s="1025"/>
      <c r="H1502" s="690"/>
      <c r="I1502" s="1030"/>
      <c r="J1502" s="690"/>
      <c r="K1502" s="1030"/>
      <c r="L1502" s="690"/>
      <c r="M1502" s="1025"/>
      <c r="N1502" s="1030"/>
      <c r="O1502" s="692">
        <f t="shared" si="197"/>
        <v>0</v>
      </c>
      <c r="P1502" s="690"/>
      <c r="Q1502" s="690"/>
      <c r="R1502" s="691">
        <f t="shared" si="198"/>
        <v>0</v>
      </c>
      <c r="S1502" s="692">
        <f t="shared" si="199"/>
        <v>0</v>
      </c>
      <c r="T1502" s="693">
        <f t="shared" si="200"/>
        <v>0</v>
      </c>
      <c r="U1502" s="1035"/>
      <c r="V1502" s="690"/>
      <c r="W1502" s="1025"/>
      <c r="X1502" s="1030"/>
      <c r="Y1502" s="694">
        <f t="shared" si="201"/>
        <v>0</v>
      </c>
      <c r="Z1502" s="690"/>
      <c r="AA1502" s="690"/>
      <c r="AB1502" s="695">
        <f t="shared" si="202"/>
        <v>0</v>
      </c>
      <c r="AC1502" s="1035"/>
      <c r="AD1502" s="690"/>
      <c r="AE1502" s="1025"/>
      <c r="AF1502" s="1030"/>
      <c r="AG1502" s="690"/>
      <c r="AH1502" s="690"/>
      <c r="AI1502" s="696">
        <f t="shared" si="203"/>
        <v>0</v>
      </c>
      <c r="AJ1502" s="697">
        <f t="shared" si="204"/>
        <v>0</v>
      </c>
    </row>
    <row r="1503" spans="1:36" s="700" customFormat="1" ht="12.75" customHeight="1">
      <c r="A1503" s="870" t="s">
        <v>211</v>
      </c>
      <c r="B1503" s="870" t="s">
        <v>295</v>
      </c>
      <c r="C1503" s="876" t="s">
        <v>53</v>
      </c>
      <c r="D1503" s="876"/>
      <c r="E1503" s="872"/>
      <c r="F1503" s="873"/>
      <c r="G1503" s="1025"/>
      <c r="H1503" s="690"/>
      <c r="I1503" s="1030"/>
      <c r="J1503" s="690"/>
      <c r="K1503" s="1030"/>
      <c r="L1503" s="690"/>
      <c r="M1503" s="1025"/>
      <c r="N1503" s="1030"/>
      <c r="O1503" s="692">
        <f t="shared" si="197"/>
        <v>0</v>
      </c>
      <c r="P1503" s="690"/>
      <c r="Q1503" s="690"/>
      <c r="R1503" s="691">
        <f t="shared" si="198"/>
        <v>0</v>
      </c>
      <c r="S1503" s="692">
        <f t="shared" si="199"/>
        <v>0</v>
      </c>
      <c r="T1503" s="693">
        <f t="shared" si="200"/>
        <v>0</v>
      </c>
      <c r="U1503" s="1035"/>
      <c r="V1503" s="690"/>
      <c r="W1503" s="1025"/>
      <c r="X1503" s="1030"/>
      <c r="Y1503" s="694">
        <f t="shared" si="201"/>
        <v>0</v>
      </c>
      <c r="Z1503" s="690"/>
      <c r="AA1503" s="690"/>
      <c r="AB1503" s="695">
        <f t="shared" si="202"/>
        <v>0</v>
      </c>
      <c r="AC1503" s="1035"/>
      <c r="AD1503" s="690"/>
      <c r="AE1503" s="1025"/>
      <c r="AF1503" s="1030"/>
      <c r="AG1503" s="690"/>
      <c r="AH1503" s="690"/>
      <c r="AI1503" s="696">
        <f t="shared" si="203"/>
        <v>0</v>
      </c>
      <c r="AJ1503" s="697">
        <f t="shared" si="204"/>
        <v>0</v>
      </c>
    </row>
    <row r="1504" spans="1:36" s="700" customFormat="1" ht="12.75" customHeight="1">
      <c r="A1504" s="870" t="s">
        <v>211</v>
      </c>
      <c r="B1504" s="870" t="s">
        <v>296</v>
      </c>
      <c r="C1504" s="876" t="s">
        <v>443</v>
      </c>
      <c r="D1504" s="876"/>
      <c r="E1504" s="872"/>
      <c r="F1504" s="873"/>
      <c r="G1504" s="1025"/>
      <c r="H1504" s="690"/>
      <c r="I1504" s="1030"/>
      <c r="J1504" s="690"/>
      <c r="K1504" s="1030"/>
      <c r="L1504" s="690"/>
      <c r="M1504" s="1025"/>
      <c r="N1504" s="1030"/>
      <c r="O1504" s="692">
        <f t="shared" si="197"/>
        <v>0</v>
      </c>
      <c r="P1504" s="690"/>
      <c r="Q1504" s="690"/>
      <c r="R1504" s="691">
        <f t="shared" si="198"/>
        <v>0</v>
      </c>
      <c r="S1504" s="692">
        <f t="shared" si="199"/>
        <v>0</v>
      </c>
      <c r="T1504" s="693">
        <f t="shared" si="200"/>
        <v>0</v>
      </c>
      <c r="U1504" s="1035"/>
      <c r="V1504" s="690"/>
      <c r="W1504" s="1025"/>
      <c r="X1504" s="1030"/>
      <c r="Y1504" s="694">
        <f t="shared" si="201"/>
        <v>0</v>
      </c>
      <c r="Z1504" s="690"/>
      <c r="AA1504" s="690"/>
      <c r="AB1504" s="695">
        <f t="shared" si="202"/>
        <v>0</v>
      </c>
      <c r="AC1504" s="1035"/>
      <c r="AD1504" s="690"/>
      <c r="AE1504" s="1025"/>
      <c r="AF1504" s="1030"/>
      <c r="AG1504" s="690"/>
      <c r="AH1504" s="690"/>
      <c r="AI1504" s="696">
        <f t="shared" si="203"/>
        <v>0</v>
      </c>
      <c r="AJ1504" s="697">
        <f t="shared" si="204"/>
        <v>0</v>
      </c>
    </row>
    <row r="1505" spans="1:36" s="700" customFormat="1" ht="12.75" customHeight="1">
      <c r="A1505" s="870" t="s">
        <v>211</v>
      </c>
      <c r="B1505" s="870" t="s">
        <v>278</v>
      </c>
      <c r="C1505" s="876" t="s">
        <v>1113</v>
      </c>
      <c r="D1505" s="876"/>
      <c r="E1505" s="872"/>
      <c r="F1505" s="873"/>
      <c r="G1505" s="1025"/>
      <c r="H1505" s="690"/>
      <c r="I1505" s="1030"/>
      <c r="J1505" s="690"/>
      <c r="K1505" s="1030"/>
      <c r="L1505" s="690"/>
      <c r="M1505" s="1025"/>
      <c r="N1505" s="1030"/>
      <c r="O1505" s="692">
        <f t="shared" si="197"/>
        <v>0</v>
      </c>
      <c r="P1505" s="690"/>
      <c r="Q1505" s="690"/>
      <c r="R1505" s="691">
        <f t="shared" si="198"/>
        <v>0</v>
      </c>
      <c r="S1505" s="692">
        <f t="shared" si="199"/>
        <v>0</v>
      </c>
      <c r="T1505" s="693">
        <f t="shared" si="200"/>
        <v>0</v>
      </c>
      <c r="U1505" s="1035">
        <v>2836500</v>
      </c>
      <c r="V1505" s="690">
        <v>2598000</v>
      </c>
      <c r="W1505" s="1025"/>
      <c r="X1505" s="1030"/>
      <c r="Y1505" s="694">
        <f t="shared" si="201"/>
        <v>0</v>
      </c>
      <c r="Z1505" s="690"/>
      <c r="AA1505" s="690"/>
      <c r="AB1505" s="695">
        <f t="shared" si="202"/>
        <v>0</v>
      </c>
      <c r="AC1505" s="1035"/>
      <c r="AD1505" s="690"/>
      <c r="AE1505" s="1025"/>
      <c r="AF1505" s="1030"/>
      <c r="AG1505" s="690"/>
      <c r="AH1505" s="690"/>
      <c r="AI1505" s="696">
        <f t="shared" si="203"/>
        <v>2836500</v>
      </c>
      <c r="AJ1505" s="697">
        <f t="shared" si="204"/>
        <v>2598000</v>
      </c>
    </row>
    <row r="1506" spans="1:36" s="700" customFormat="1" ht="12.75" customHeight="1">
      <c r="A1506" s="870" t="s">
        <v>211</v>
      </c>
      <c r="B1506" s="739" t="s">
        <v>279</v>
      </c>
      <c r="C1506" s="746" t="s">
        <v>54</v>
      </c>
      <c r="D1506" s="746"/>
      <c r="E1506" s="872"/>
      <c r="F1506" s="873"/>
      <c r="G1506" s="1025"/>
      <c r="H1506" s="690"/>
      <c r="I1506" s="1030"/>
      <c r="J1506" s="690"/>
      <c r="K1506" s="1030"/>
      <c r="L1506" s="690"/>
      <c r="M1506" s="1025"/>
      <c r="N1506" s="1030"/>
      <c r="O1506" s="692">
        <f t="shared" si="197"/>
        <v>0</v>
      </c>
      <c r="P1506" s="690"/>
      <c r="Q1506" s="690"/>
      <c r="R1506" s="691">
        <f t="shared" si="198"/>
        <v>0</v>
      </c>
      <c r="S1506" s="692">
        <f t="shared" si="199"/>
        <v>0</v>
      </c>
      <c r="T1506" s="693">
        <f t="shared" si="200"/>
        <v>0</v>
      </c>
      <c r="U1506" s="1035"/>
      <c r="V1506" s="690"/>
      <c r="W1506" s="1025"/>
      <c r="X1506" s="1030"/>
      <c r="Y1506" s="694">
        <f t="shared" si="201"/>
        <v>0</v>
      </c>
      <c r="Z1506" s="690"/>
      <c r="AA1506" s="690"/>
      <c r="AB1506" s="695">
        <f t="shared" si="202"/>
        <v>0</v>
      </c>
      <c r="AC1506" s="1035"/>
      <c r="AD1506" s="690"/>
      <c r="AE1506" s="1025"/>
      <c r="AF1506" s="1030"/>
      <c r="AG1506" s="690"/>
      <c r="AH1506" s="690"/>
      <c r="AI1506" s="696">
        <f t="shared" si="203"/>
        <v>0</v>
      </c>
      <c r="AJ1506" s="697">
        <f t="shared" si="204"/>
        <v>0</v>
      </c>
    </row>
    <row r="1507" spans="1:36" s="700" customFormat="1" ht="12.75" customHeight="1">
      <c r="A1507" s="870" t="s">
        <v>211</v>
      </c>
      <c r="B1507" s="739" t="s">
        <v>317</v>
      </c>
      <c r="C1507" s="746" t="s">
        <v>443</v>
      </c>
      <c r="D1507" s="746"/>
      <c r="E1507" s="872"/>
      <c r="F1507" s="873"/>
      <c r="G1507" s="1025"/>
      <c r="H1507" s="690"/>
      <c r="I1507" s="1030"/>
      <c r="J1507" s="690"/>
      <c r="K1507" s="1030"/>
      <c r="L1507" s="690"/>
      <c r="M1507" s="1025"/>
      <c r="N1507" s="1030"/>
      <c r="O1507" s="692">
        <f t="shared" si="197"/>
        <v>0</v>
      </c>
      <c r="P1507" s="690"/>
      <c r="Q1507" s="690"/>
      <c r="R1507" s="691">
        <f t="shared" si="198"/>
        <v>0</v>
      </c>
      <c r="S1507" s="692">
        <f t="shared" si="199"/>
        <v>0</v>
      </c>
      <c r="T1507" s="693">
        <f t="shared" si="200"/>
        <v>0</v>
      </c>
      <c r="U1507" s="1035"/>
      <c r="V1507" s="690"/>
      <c r="W1507" s="1025"/>
      <c r="X1507" s="1030"/>
      <c r="Y1507" s="694">
        <f t="shared" si="201"/>
        <v>0</v>
      </c>
      <c r="Z1507" s="690"/>
      <c r="AA1507" s="690"/>
      <c r="AB1507" s="695">
        <f t="shared" si="202"/>
        <v>0</v>
      </c>
      <c r="AC1507" s="1035"/>
      <c r="AD1507" s="690"/>
      <c r="AE1507" s="1025"/>
      <c r="AF1507" s="1030"/>
      <c r="AG1507" s="690"/>
      <c r="AH1507" s="690"/>
      <c r="AI1507" s="696">
        <f t="shared" si="203"/>
        <v>0</v>
      </c>
      <c r="AJ1507" s="697">
        <f t="shared" si="204"/>
        <v>0</v>
      </c>
    </row>
    <row r="1508" spans="1:36" s="700" customFormat="1" ht="12.75" customHeight="1">
      <c r="A1508" s="870" t="s">
        <v>211</v>
      </c>
      <c r="B1508" s="870" t="s">
        <v>318</v>
      </c>
      <c r="C1508" s="876" t="s">
        <v>1113</v>
      </c>
      <c r="D1508" s="876"/>
      <c r="E1508" s="872"/>
      <c r="F1508" s="873"/>
      <c r="G1508" s="1025"/>
      <c r="H1508" s="690"/>
      <c r="I1508" s="1030"/>
      <c r="J1508" s="690"/>
      <c r="K1508" s="1030"/>
      <c r="L1508" s="690"/>
      <c r="M1508" s="1025"/>
      <c r="N1508" s="1030"/>
      <c r="O1508" s="692">
        <f t="shared" si="197"/>
        <v>0</v>
      </c>
      <c r="P1508" s="690"/>
      <c r="Q1508" s="690"/>
      <c r="R1508" s="691">
        <f t="shared" si="198"/>
        <v>0</v>
      </c>
      <c r="S1508" s="692">
        <f t="shared" si="199"/>
        <v>0</v>
      </c>
      <c r="T1508" s="693">
        <f t="shared" si="200"/>
        <v>0</v>
      </c>
      <c r="U1508" s="1035">
        <v>714000</v>
      </c>
      <c r="V1508" s="690">
        <v>669000</v>
      </c>
      <c r="W1508" s="1025"/>
      <c r="X1508" s="1030"/>
      <c r="Y1508" s="694">
        <f t="shared" si="201"/>
        <v>0</v>
      </c>
      <c r="Z1508" s="690"/>
      <c r="AA1508" s="690"/>
      <c r="AB1508" s="695">
        <f t="shared" si="202"/>
        <v>0</v>
      </c>
      <c r="AC1508" s="1035"/>
      <c r="AD1508" s="690"/>
      <c r="AE1508" s="1025"/>
      <c r="AF1508" s="1030"/>
      <c r="AG1508" s="690"/>
      <c r="AH1508" s="690"/>
      <c r="AI1508" s="696">
        <f t="shared" si="203"/>
        <v>714000</v>
      </c>
      <c r="AJ1508" s="697">
        <f t="shared" si="204"/>
        <v>669000</v>
      </c>
    </row>
    <row r="1509" spans="1:36" s="700" customFormat="1" ht="12.75" customHeight="1">
      <c r="A1509" s="870" t="s">
        <v>211</v>
      </c>
      <c r="B1509" s="882" t="s">
        <v>420</v>
      </c>
      <c r="C1509" s="881" t="s">
        <v>1117</v>
      </c>
      <c r="D1509" s="881"/>
      <c r="E1509" s="872"/>
      <c r="F1509" s="873"/>
      <c r="G1509" s="1025"/>
      <c r="H1509" s="690"/>
      <c r="I1509" s="1030"/>
      <c r="J1509" s="690"/>
      <c r="K1509" s="1030"/>
      <c r="L1509" s="690"/>
      <c r="M1509" s="1025"/>
      <c r="N1509" s="1030"/>
      <c r="O1509" s="692">
        <f t="shared" si="197"/>
        <v>0</v>
      </c>
      <c r="P1509" s="690"/>
      <c r="Q1509" s="690"/>
      <c r="R1509" s="691">
        <f t="shared" si="198"/>
        <v>0</v>
      </c>
      <c r="S1509" s="692">
        <f t="shared" si="199"/>
        <v>0</v>
      </c>
      <c r="T1509" s="693">
        <f t="shared" si="200"/>
        <v>0</v>
      </c>
      <c r="U1509" s="1035"/>
      <c r="V1509" s="690"/>
      <c r="W1509" s="1025"/>
      <c r="X1509" s="1030"/>
      <c r="Y1509" s="694">
        <f t="shared" si="201"/>
        <v>0</v>
      </c>
      <c r="Z1509" s="690"/>
      <c r="AA1509" s="690"/>
      <c r="AB1509" s="695">
        <f t="shared" si="202"/>
        <v>0</v>
      </c>
      <c r="AC1509" s="1035"/>
      <c r="AD1509" s="690"/>
      <c r="AE1509" s="1025"/>
      <c r="AF1509" s="1030"/>
      <c r="AG1509" s="690"/>
      <c r="AH1509" s="690"/>
      <c r="AI1509" s="696">
        <f t="shared" si="203"/>
        <v>0</v>
      </c>
      <c r="AJ1509" s="697">
        <f t="shared" si="204"/>
        <v>0</v>
      </c>
    </row>
    <row r="1510" spans="1:36" s="700" customFormat="1" ht="12.75" customHeight="1">
      <c r="A1510" s="870" t="s">
        <v>211</v>
      </c>
      <c r="B1510" s="870" t="s">
        <v>295</v>
      </c>
      <c r="C1510" s="876" t="s">
        <v>53</v>
      </c>
      <c r="D1510" s="876"/>
      <c r="E1510" s="872"/>
      <c r="F1510" s="873"/>
      <c r="G1510" s="1025"/>
      <c r="H1510" s="690"/>
      <c r="I1510" s="1030"/>
      <c r="J1510" s="690"/>
      <c r="K1510" s="1030"/>
      <c r="L1510" s="690"/>
      <c r="M1510" s="1025"/>
      <c r="N1510" s="1030"/>
      <c r="O1510" s="692">
        <f t="shared" si="197"/>
        <v>0</v>
      </c>
      <c r="P1510" s="690"/>
      <c r="Q1510" s="690"/>
      <c r="R1510" s="691">
        <f t="shared" si="198"/>
        <v>0</v>
      </c>
      <c r="S1510" s="692">
        <f t="shared" si="199"/>
        <v>0</v>
      </c>
      <c r="T1510" s="693">
        <f t="shared" si="200"/>
        <v>0</v>
      </c>
      <c r="U1510" s="1035"/>
      <c r="V1510" s="690"/>
      <c r="W1510" s="1025"/>
      <c r="X1510" s="1030"/>
      <c r="Y1510" s="694">
        <f t="shared" si="201"/>
        <v>0</v>
      </c>
      <c r="Z1510" s="690"/>
      <c r="AA1510" s="690"/>
      <c r="AB1510" s="695">
        <f t="shared" si="202"/>
        <v>0</v>
      </c>
      <c r="AC1510" s="1035"/>
      <c r="AD1510" s="690"/>
      <c r="AE1510" s="1025"/>
      <c r="AF1510" s="1030"/>
      <c r="AG1510" s="690"/>
      <c r="AH1510" s="690"/>
      <c r="AI1510" s="696">
        <f t="shared" si="203"/>
        <v>0</v>
      </c>
      <c r="AJ1510" s="697">
        <f t="shared" si="204"/>
        <v>0</v>
      </c>
    </row>
    <row r="1511" spans="1:36" s="700" customFormat="1" ht="12.75" customHeight="1">
      <c r="A1511" s="870" t="s">
        <v>211</v>
      </c>
      <c r="B1511" s="870" t="s">
        <v>296</v>
      </c>
      <c r="C1511" s="876" t="s">
        <v>443</v>
      </c>
      <c r="D1511" s="876"/>
      <c r="E1511" s="872"/>
      <c r="F1511" s="873"/>
      <c r="G1511" s="1025"/>
      <c r="H1511" s="690"/>
      <c r="I1511" s="1030"/>
      <c r="J1511" s="690"/>
      <c r="K1511" s="1030"/>
      <c r="L1511" s="690"/>
      <c r="M1511" s="1025"/>
      <c r="N1511" s="1030"/>
      <c r="O1511" s="692">
        <f t="shared" si="197"/>
        <v>0</v>
      </c>
      <c r="P1511" s="690"/>
      <c r="Q1511" s="690"/>
      <c r="R1511" s="691">
        <f t="shared" si="198"/>
        <v>0</v>
      </c>
      <c r="S1511" s="692">
        <f t="shared" si="199"/>
        <v>0</v>
      </c>
      <c r="T1511" s="693">
        <f t="shared" si="200"/>
        <v>0</v>
      </c>
      <c r="U1511" s="1035">
        <v>0</v>
      </c>
      <c r="V1511" s="690">
        <v>0</v>
      </c>
      <c r="W1511" s="1025"/>
      <c r="X1511" s="1030"/>
      <c r="Y1511" s="694">
        <f t="shared" si="201"/>
        <v>0</v>
      </c>
      <c r="Z1511" s="690"/>
      <c r="AA1511" s="690"/>
      <c r="AB1511" s="695">
        <f t="shared" si="202"/>
        <v>0</v>
      </c>
      <c r="AC1511" s="1035"/>
      <c r="AD1511" s="690"/>
      <c r="AE1511" s="1025"/>
      <c r="AF1511" s="1030"/>
      <c r="AG1511" s="690"/>
      <c r="AH1511" s="690"/>
      <c r="AI1511" s="696">
        <f t="shared" si="203"/>
        <v>0</v>
      </c>
      <c r="AJ1511" s="697">
        <f t="shared" si="204"/>
        <v>0</v>
      </c>
    </row>
    <row r="1512" spans="1:36" s="700" customFormat="1" ht="12.75" customHeight="1">
      <c r="A1512" s="870" t="s">
        <v>211</v>
      </c>
      <c r="B1512" s="870" t="s">
        <v>278</v>
      </c>
      <c r="C1512" s="876" t="s">
        <v>1113</v>
      </c>
      <c r="D1512" s="876"/>
      <c r="E1512" s="872"/>
      <c r="F1512" s="873"/>
      <c r="G1512" s="1025"/>
      <c r="H1512" s="690"/>
      <c r="I1512" s="1030"/>
      <c r="J1512" s="690"/>
      <c r="K1512" s="1030"/>
      <c r="L1512" s="690"/>
      <c r="M1512" s="1025"/>
      <c r="N1512" s="1030"/>
      <c r="O1512" s="692">
        <f t="shared" si="197"/>
        <v>0</v>
      </c>
      <c r="P1512" s="690"/>
      <c r="Q1512" s="690"/>
      <c r="R1512" s="691">
        <f t="shared" si="198"/>
        <v>0</v>
      </c>
      <c r="S1512" s="692">
        <f t="shared" si="199"/>
        <v>0</v>
      </c>
      <c r="T1512" s="693">
        <f t="shared" si="200"/>
        <v>0</v>
      </c>
      <c r="U1512" s="1035"/>
      <c r="V1512" s="690"/>
      <c r="W1512" s="1025"/>
      <c r="X1512" s="1030"/>
      <c r="Y1512" s="694">
        <f t="shared" si="201"/>
        <v>0</v>
      </c>
      <c r="Z1512" s="690"/>
      <c r="AA1512" s="690"/>
      <c r="AB1512" s="695">
        <f t="shared" si="202"/>
        <v>0</v>
      </c>
      <c r="AC1512" s="1035"/>
      <c r="AD1512" s="690"/>
      <c r="AE1512" s="1025"/>
      <c r="AF1512" s="1030"/>
      <c r="AG1512" s="690"/>
      <c r="AH1512" s="690"/>
      <c r="AI1512" s="696">
        <f t="shared" si="203"/>
        <v>0</v>
      </c>
      <c r="AJ1512" s="697">
        <f t="shared" si="204"/>
        <v>0</v>
      </c>
    </row>
    <row r="1513" spans="1:36" s="700" customFormat="1" ht="12.75" customHeight="1">
      <c r="A1513" s="870" t="s">
        <v>211</v>
      </c>
      <c r="B1513" s="739" t="s">
        <v>279</v>
      </c>
      <c r="C1513" s="746" t="s">
        <v>54</v>
      </c>
      <c r="D1513" s="746"/>
      <c r="E1513" s="872"/>
      <c r="F1513" s="873"/>
      <c r="G1513" s="1025"/>
      <c r="H1513" s="690"/>
      <c r="I1513" s="1030"/>
      <c r="J1513" s="690"/>
      <c r="K1513" s="1030"/>
      <c r="L1513" s="690"/>
      <c r="M1513" s="1025"/>
      <c r="N1513" s="1030"/>
      <c r="O1513" s="692">
        <f t="shared" si="197"/>
        <v>0</v>
      </c>
      <c r="P1513" s="690"/>
      <c r="Q1513" s="690"/>
      <c r="R1513" s="691">
        <f t="shared" si="198"/>
        <v>0</v>
      </c>
      <c r="S1513" s="692">
        <f t="shared" si="199"/>
        <v>0</v>
      </c>
      <c r="T1513" s="693">
        <f t="shared" si="200"/>
        <v>0</v>
      </c>
      <c r="U1513" s="1035"/>
      <c r="V1513" s="690"/>
      <c r="W1513" s="1025"/>
      <c r="X1513" s="1030"/>
      <c r="Y1513" s="694">
        <f t="shared" si="201"/>
        <v>0</v>
      </c>
      <c r="Z1513" s="690"/>
      <c r="AA1513" s="690"/>
      <c r="AB1513" s="695">
        <f t="shared" si="202"/>
        <v>0</v>
      </c>
      <c r="AC1513" s="1035"/>
      <c r="AD1513" s="690"/>
      <c r="AE1513" s="1025"/>
      <c r="AF1513" s="1030"/>
      <c r="AG1513" s="690"/>
      <c r="AH1513" s="690"/>
      <c r="AI1513" s="696">
        <f t="shared" si="203"/>
        <v>0</v>
      </c>
      <c r="AJ1513" s="697">
        <f t="shared" si="204"/>
        <v>0</v>
      </c>
    </row>
    <row r="1514" spans="1:36" s="700" customFormat="1" ht="12.75" customHeight="1">
      <c r="A1514" s="870" t="s">
        <v>211</v>
      </c>
      <c r="B1514" s="739" t="s">
        <v>317</v>
      </c>
      <c r="C1514" s="746" t="s">
        <v>443</v>
      </c>
      <c r="D1514" s="746"/>
      <c r="E1514" s="872"/>
      <c r="F1514" s="873"/>
      <c r="G1514" s="1025"/>
      <c r="H1514" s="690"/>
      <c r="I1514" s="1030"/>
      <c r="J1514" s="690"/>
      <c r="K1514" s="1030"/>
      <c r="L1514" s="690"/>
      <c r="M1514" s="1025"/>
      <c r="N1514" s="1030"/>
      <c r="O1514" s="692">
        <f t="shared" si="197"/>
        <v>0</v>
      </c>
      <c r="P1514" s="690"/>
      <c r="Q1514" s="690"/>
      <c r="R1514" s="691">
        <f t="shared" si="198"/>
        <v>0</v>
      </c>
      <c r="S1514" s="692">
        <f t="shared" si="199"/>
        <v>0</v>
      </c>
      <c r="T1514" s="693">
        <f t="shared" si="200"/>
        <v>0</v>
      </c>
      <c r="U1514" s="1035">
        <v>0</v>
      </c>
      <c r="V1514" s="690">
        <v>147500</v>
      </c>
      <c r="W1514" s="1025"/>
      <c r="X1514" s="1030"/>
      <c r="Y1514" s="694">
        <f t="shared" si="201"/>
        <v>0</v>
      </c>
      <c r="Z1514" s="690"/>
      <c r="AA1514" s="690"/>
      <c r="AB1514" s="695">
        <f t="shared" si="202"/>
        <v>0</v>
      </c>
      <c r="AC1514" s="1035"/>
      <c r="AD1514" s="690"/>
      <c r="AE1514" s="1025"/>
      <c r="AF1514" s="1030"/>
      <c r="AG1514" s="690"/>
      <c r="AH1514" s="690"/>
      <c r="AI1514" s="696">
        <f t="shared" si="203"/>
        <v>0</v>
      </c>
      <c r="AJ1514" s="697">
        <f t="shared" si="204"/>
        <v>147500</v>
      </c>
    </row>
    <row r="1515" spans="1:36" s="700" customFormat="1" ht="12.75" customHeight="1">
      <c r="A1515" s="870" t="s">
        <v>211</v>
      </c>
      <c r="B1515" s="870" t="s">
        <v>318</v>
      </c>
      <c r="C1515" s="876" t="s">
        <v>1113</v>
      </c>
      <c r="D1515" s="876"/>
      <c r="E1515" s="872"/>
      <c r="F1515" s="873"/>
      <c r="G1515" s="1025"/>
      <c r="H1515" s="690"/>
      <c r="I1515" s="1030"/>
      <c r="J1515" s="690"/>
      <c r="K1515" s="1030"/>
      <c r="L1515" s="690"/>
      <c r="M1515" s="1025"/>
      <c r="N1515" s="1030"/>
      <c r="O1515" s="692">
        <f t="shared" si="197"/>
        <v>0</v>
      </c>
      <c r="P1515" s="690"/>
      <c r="Q1515" s="690"/>
      <c r="R1515" s="691">
        <f t="shared" si="198"/>
        <v>0</v>
      </c>
      <c r="S1515" s="692">
        <f t="shared" si="199"/>
        <v>0</v>
      </c>
      <c r="T1515" s="693">
        <f t="shared" si="200"/>
        <v>0</v>
      </c>
      <c r="U1515" s="1035"/>
      <c r="V1515" s="690"/>
      <c r="W1515" s="1025"/>
      <c r="X1515" s="1030"/>
      <c r="Y1515" s="694">
        <f t="shared" si="201"/>
        <v>0</v>
      </c>
      <c r="Z1515" s="690"/>
      <c r="AA1515" s="690"/>
      <c r="AB1515" s="695">
        <f t="shared" si="202"/>
        <v>0</v>
      </c>
      <c r="AC1515" s="1035"/>
      <c r="AD1515" s="690"/>
      <c r="AE1515" s="1025"/>
      <c r="AF1515" s="1030"/>
      <c r="AG1515" s="690"/>
      <c r="AH1515" s="690"/>
      <c r="AI1515" s="696">
        <f t="shared" si="203"/>
        <v>0</v>
      </c>
      <c r="AJ1515" s="697">
        <f t="shared" si="204"/>
        <v>0</v>
      </c>
    </row>
    <row r="1516" spans="1:36" s="700" customFormat="1" ht="12.75" customHeight="1">
      <c r="A1516" s="870" t="s">
        <v>211</v>
      </c>
      <c r="B1516" s="882" t="s">
        <v>420</v>
      </c>
      <c r="C1516" s="881" t="s">
        <v>1118</v>
      </c>
      <c r="D1516" s="881"/>
      <c r="E1516" s="872"/>
      <c r="F1516" s="873"/>
      <c r="G1516" s="1025"/>
      <c r="H1516" s="690"/>
      <c r="I1516" s="1030"/>
      <c r="J1516" s="690"/>
      <c r="K1516" s="1030"/>
      <c r="L1516" s="690"/>
      <c r="M1516" s="1025"/>
      <c r="N1516" s="1030"/>
      <c r="O1516" s="692">
        <f t="shared" si="197"/>
        <v>0</v>
      </c>
      <c r="P1516" s="690"/>
      <c r="Q1516" s="690"/>
      <c r="R1516" s="691">
        <f t="shared" si="198"/>
        <v>0</v>
      </c>
      <c r="S1516" s="692">
        <f t="shared" si="199"/>
        <v>0</v>
      </c>
      <c r="T1516" s="693">
        <f t="shared" si="200"/>
        <v>0</v>
      </c>
      <c r="U1516" s="1035"/>
      <c r="V1516" s="690"/>
      <c r="W1516" s="1025"/>
      <c r="X1516" s="1030"/>
      <c r="Y1516" s="694">
        <f t="shared" si="201"/>
        <v>0</v>
      </c>
      <c r="Z1516" s="690"/>
      <c r="AA1516" s="690"/>
      <c r="AB1516" s="695">
        <f t="shared" si="202"/>
        <v>0</v>
      </c>
      <c r="AC1516" s="1035"/>
      <c r="AD1516" s="690"/>
      <c r="AE1516" s="1025"/>
      <c r="AF1516" s="1030"/>
      <c r="AG1516" s="690"/>
      <c r="AH1516" s="690"/>
      <c r="AI1516" s="696">
        <f t="shared" si="203"/>
        <v>0</v>
      </c>
      <c r="AJ1516" s="697">
        <f t="shared" si="204"/>
        <v>0</v>
      </c>
    </row>
    <row r="1517" spans="1:36" s="700" customFormat="1" ht="12.75" customHeight="1">
      <c r="A1517" s="870" t="s">
        <v>211</v>
      </c>
      <c r="B1517" s="870" t="s">
        <v>295</v>
      </c>
      <c r="C1517" s="876" t="s">
        <v>53</v>
      </c>
      <c r="D1517" s="876"/>
      <c r="E1517" s="872"/>
      <c r="F1517" s="873"/>
      <c r="G1517" s="1025"/>
      <c r="H1517" s="690"/>
      <c r="I1517" s="1030"/>
      <c r="J1517" s="690"/>
      <c r="K1517" s="1030"/>
      <c r="L1517" s="690"/>
      <c r="M1517" s="1025"/>
      <c r="N1517" s="1030"/>
      <c r="O1517" s="692">
        <f t="shared" si="197"/>
        <v>0</v>
      </c>
      <c r="P1517" s="690"/>
      <c r="Q1517" s="690"/>
      <c r="R1517" s="691">
        <f t="shared" si="198"/>
        <v>0</v>
      </c>
      <c r="S1517" s="692">
        <f t="shared" si="199"/>
        <v>0</v>
      </c>
      <c r="T1517" s="693">
        <f t="shared" si="200"/>
        <v>0</v>
      </c>
      <c r="U1517" s="1035"/>
      <c r="V1517" s="690"/>
      <c r="W1517" s="1025"/>
      <c r="X1517" s="1030"/>
      <c r="Y1517" s="694">
        <f t="shared" si="201"/>
        <v>0</v>
      </c>
      <c r="Z1517" s="690"/>
      <c r="AA1517" s="690"/>
      <c r="AB1517" s="695">
        <f t="shared" si="202"/>
        <v>0</v>
      </c>
      <c r="AC1517" s="1035"/>
      <c r="AD1517" s="690"/>
      <c r="AE1517" s="1025"/>
      <c r="AF1517" s="1030"/>
      <c r="AG1517" s="690"/>
      <c r="AH1517" s="690"/>
      <c r="AI1517" s="696">
        <f t="shared" si="203"/>
        <v>0</v>
      </c>
      <c r="AJ1517" s="697">
        <f t="shared" si="204"/>
        <v>0</v>
      </c>
    </row>
    <row r="1518" spans="1:36" s="700" customFormat="1" ht="12.75" customHeight="1">
      <c r="A1518" s="870" t="s">
        <v>211</v>
      </c>
      <c r="B1518" s="870" t="s">
        <v>296</v>
      </c>
      <c r="C1518" s="876" t="s">
        <v>443</v>
      </c>
      <c r="D1518" s="876"/>
      <c r="E1518" s="872"/>
      <c r="F1518" s="873"/>
      <c r="G1518" s="1025"/>
      <c r="H1518" s="690"/>
      <c r="I1518" s="1030"/>
      <c r="J1518" s="690"/>
      <c r="K1518" s="1030"/>
      <c r="L1518" s="690"/>
      <c r="M1518" s="1025"/>
      <c r="N1518" s="1030"/>
      <c r="O1518" s="692">
        <f t="shared" si="197"/>
        <v>0</v>
      </c>
      <c r="P1518" s="690"/>
      <c r="Q1518" s="690"/>
      <c r="R1518" s="691">
        <f t="shared" si="198"/>
        <v>0</v>
      </c>
      <c r="S1518" s="692">
        <f t="shared" si="199"/>
        <v>0</v>
      </c>
      <c r="T1518" s="693">
        <f t="shared" si="200"/>
        <v>0</v>
      </c>
      <c r="U1518" s="1035"/>
      <c r="V1518" s="690"/>
      <c r="W1518" s="1025"/>
      <c r="X1518" s="1030"/>
      <c r="Y1518" s="694">
        <f t="shared" si="201"/>
        <v>0</v>
      </c>
      <c r="Z1518" s="690"/>
      <c r="AA1518" s="690"/>
      <c r="AB1518" s="695">
        <f t="shared" si="202"/>
        <v>0</v>
      </c>
      <c r="AC1518" s="1035"/>
      <c r="AD1518" s="690"/>
      <c r="AE1518" s="1025"/>
      <c r="AF1518" s="1030"/>
      <c r="AG1518" s="690"/>
      <c r="AH1518" s="690"/>
      <c r="AI1518" s="696">
        <f t="shared" si="203"/>
        <v>0</v>
      </c>
      <c r="AJ1518" s="697">
        <f t="shared" si="204"/>
        <v>0</v>
      </c>
    </row>
    <row r="1519" spans="1:36" s="700" customFormat="1" ht="12.75" customHeight="1">
      <c r="A1519" s="870" t="s">
        <v>211</v>
      </c>
      <c r="B1519" s="870" t="s">
        <v>278</v>
      </c>
      <c r="C1519" s="876" t="s">
        <v>1113</v>
      </c>
      <c r="D1519" s="876"/>
      <c r="E1519" s="872"/>
      <c r="F1519" s="873"/>
      <c r="G1519" s="1025"/>
      <c r="H1519" s="690"/>
      <c r="I1519" s="1030"/>
      <c r="J1519" s="690"/>
      <c r="K1519" s="1030"/>
      <c r="L1519" s="690"/>
      <c r="M1519" s="1025"/>
      <c r="N1519" s="1030"/>
      <c r="O1519" s="692">
        <f t="shared" si="197"/>
        <v>0</v>
      </c>
      <c r="P1519" s="690"/>
      <c r="Q1519" s="690"/>
      <c r="R1519" s="691">
        <f t="shared" si="198"/>
        <v>0</v>
      </c>
      <c r="S1519" s="692">
        <f t="shared" si="199"/>
        <v>0</v>
      </c>
      <c r="T1519" s="693">
        <f t="shared" si="200"/>
        <v>0</v>
      </c>
      <c r="U1519" s="1035"/>
      <c r="V1519" s="690"/>
      <c r="W1519" s="1025"/>
      <c r="X1519" s="1030"/>
      <c r="Y1519" s="694">
        <f t="shared" si="201"/>
        <v>0</v>
      </c>
      <c r="Z1519" s="690"/>
      <c r="AA1519" s="690"/>
      <c r="AB1519" s="695">
        <f t="shared" si="202"/>
        <v>0</v>
      </c>
      <c r="AC1519" s="1035"/>
      <c r="AD1519" s="690"/>
      <c r="AE1519" s="1025"/>
      <c r="AF1519" s="1030"/>
      <c r="AG1519" s="690"/>
      <c r="AH1519" s="690"/>
      <c r="AI1519" s="696">
        <f t="shared" si="203"/>
        <v>0</v>
      </c>
      <c r="AJ1519" s="697">
        <f t="shared" si="204"/>
        <v>0</v>
      </c>
    </row>
    <row r="1520" spans="1:36" s="700" customFormat="1" ht="12.75" customHeight="1">
      <c r="A1520" s="870" t="s">
        <v>211</v>
      </c>
      <c r="B1520" s="739" t="s">
        <v>279</v>
      </c>
      <c r="C1520" s="746" t="s">
        <v>54</v>
      </c>
      <c r="D1520" s="746"/>
      <c r="E1520" s="872"/>
      <c r="F1520" s="873"/>
      <c r="G1520" s="1025"/>
      <c r="H1520" s="690"/>
      <c r="I1520" s="1030"/>
      <c r="J1520" s="690"/>
      <c r="K1520" s="1030"/>
      <c r="L1520" s="690"/>
      <c r="M1520" s="1025"/>
      <c r="N1520" s="1030"/>
      <c r="O1520" s="692">
        <f t="shared" si="197"/>
        <v>0</v>
      </c>
      <c r="P1520" s="690"/>
      <c r="Q1520" s="690"/>
      <c r="R1520" s="691">
        <f t="shared" si="198"/>
        <v>0</v>
      </c>
      <c r="S1520" s="692">
        <f t="shared" si="199"/>
        <v>0</v>
      </c>
      <c r="T1520" s="693">
        <f t="shared" si="200"/>
        <v>0</v>
      </c>
      <c r="U1520" s="1035"/>
      <c r="V1520" s="690"/>
      <c r="W1520" s="1025"/>
      <c r="X1520" s="1030"/>
      <c r="Y1520" s="694">
        <f t="shared" si="201"/>
        <v>0</v>
      </c>
      <c r="Z1520" s="690"/>
      <c r="AA1520" s="690"/>
      <c r="AB1520" s="695">
        <f t="shared" si="202"/>
        <v>0</v>
      </c>
      <c r="AC1520" s="1035"/>
      <c r="AD1520" s="690"/>
      <c r="AE1520" s="1025"/>
      <c r="AF1520" s="1030"/>
      <c r="AG1520" s="690"/>
      <c r="AH1520" s="690"/>
      <c r="AI1520" s="696">
        <f t="shared" si="203"/>
        <v>0</v>
      </c>
      <c r="AJ1520" s="697">
        <f t="shared" si="204"/>
        <v>0</v>
      </c>
    </row>
    <row r="1521" spans="1:36" s="700" customFormat="1" ht="12.75" customHeight="1">
      <c r="A1521" s="870" t="s">
        <v>211</v>
      </c>
      <c r="B1521" s="739" t="s">
        <v>317</v>
      </c>
      <c r="C1521" s="746" t="s">
        <v>443</v>
      </c>
      <c r="D1521" s="746"/>
      <c r="E1521" s="872"/>
      <c r="F1521" s="873"/>
      <c r="G1521" s="1025"/>
      <c r="H1521" s="690"/>
      <c r="I1521" s="1030"/>
      <c r="J1521" s="690"/>
      <c r="K1521" s="1030"/>
      <c r="L1521" s="690"/>
      <c r="M1521" s="1025"/>
      <c r="N1521" s="1030"/>
      <c r="O1521" s="692">
        <f t="shared" si="197"/>
        <v>0</v>
      </c>
      <c r="P1521" s="690"/>
      <c r="Q1521" s="690"/>
      <c r="R1521" s="691">
        <f t="shared" si="198"/>
        <v>0</v>
      </c>
      <c r="S1521" s="692">
        <f t="shared" si="199"/>
        <v>0</v>
      </c>
      <c r="T1521" s="693">
        <f t="shared" si="200"/>
        <v>0</v>
      </c>
      <c r="U1521" s="1035"/>
      <c r="V1521" s="690"/>
      <c r="W1521" s="1025"/>
      <c r="X1521" s="1030"/>
      <c r="Y1521" s="694">
        <f t="shared" si="201"/>
        <v>0</v>
      </c>
      <c r="Z1521" s="690"/>
      <c r="AA1521" s="690"/>
      <c r="AB1521" s="695">
        <f t="shared" si="202"/>
        <v>0</v>
      </c>
      <c r="AC1521" s="1035"/>
      <c r="AD1521" s="690"/>
      <c r="AE1521" s="1025"/>
      <c r="AF1521" s="1030"/>
      <c r="AG1521" s="690"/>
      <c r="AH1521" s="690"/>
      <c r="AI1521" s="696">
        <f t="shared" si="203"/>
        <v>0</v>
      </c>
      <c r="AJ1521" s="697">
        <f t="shared" si="204"/>
        <v>0</v>
      </c>
    </row>
    <row r="1522" spans="1:36" s="700" customFormat="1" ht="12.75" customHeight="1">
      <c r="A1522" s="870" t="s">
        <v>211</v>
      </c>
      <c r="B1522" s="870" t="s">
        <v>318</v>
      </c>
      <c r="C1522" s="876" t="s">
        <v>1113</v>
      </c>
      <c r="D1522" s="876"/>
      <c r="E1522" s="872"/>
      <c r="F1522" s="873"/>
      <c r="G1522" s="1025"/>
      <c r="H1522" s="690"/>
      <c r="I1522" s="1030"/>
      <c r="J1522" s="690"/>
      <c r="K1522" s="1030"/>
      <c r="L1522" s="690"/>
      <c r="M1522" s="1025"/>
      <c r="N1522" s="1030"/>
      <c r="O1522" s="692">
        <f t="shared" si="197"/>
        <v>0</v>
      </c>
      <c r="P1522" s="690"/>
      <c r="Q1522" s="690"/>
      <c r="R1522" s="691">
        <f t="shared" si="198"/>
        <v>0</v>
      </c>
      <c r="S1522" s="692">
        <f t="shared" si="199"/>
        <v>0</v>
      </c>
      <c r="T1522" s="693">
        <f t="shared" si="200"/>
        <v>0</v>
      </c>
      <c r="U1522" s="1035"/>
      <c r="V1522" s="690"/>
      <c r="W1522" s="1025"/>
      <c r="X1522" s="1030"/>
      <c r="Y1522" s="694">
        <f t="shared" si="201"/>
        <v>0</v>
      </c>
      <c r="Z1522" s="690"/>
      <c r="AA1522" s="690"/>
      <c r="AB1522" s="695">
        <f t="shared" si="202"/>
        <v>0</v>
      </c>
      <c r="AC1522" s="1035"/>
      <c r="AD1522" s="690"/>
      <c r="AE1522" s="1025"/>
      <c r="AF1522" s="1030"/>
      <c r="AG1522" s="690"/>
      <c r="AH1522" s="690"/>
      <c r="AI1522" s="696">
        <f t="shared" si="203"/>
        <v>0</v>
      </c>
      <c r="AJ1522" s="697">
        <f t="shared" si="204"/>
        <v>0</v>
      </c>
    </row>
    <row r="1523" spans="1:36" s="700" customFormat="1" ht="12.75" customHeight="1">
      <c r="A1523" s="870" t="s">
        <v>211</v>
      </c>
      <c r="B1523" s="882" t="s">
        <v>420</v>
      </c>
      <c r="C1523" s="881" t="s">
        <v>1119</v>
      </c>
      <c r="D1523" s="881"/>
      <c r="E1523" s="872"/>
      <c r="F1523" s="873"/>
      <c r="G1523" s="1025"/>
      <c r="H1523" s="690"/>
      <c r="I1523" s="1030"/>
      <c r="J1523" s="690"/>
      <c r="K1523" s="1030"/>
      <c r="L1523" s="690"/>
      <c r="M1523" s="1025"/>
      <c r="N1523" s="1030"/>
      <c r="O1523" s="692">
        <f t="shared" si="197"/>
        <v>0</v>
      </c>
      <c r="P1523" s="690"/>
      <c r="Q1523" s="690"/>
      <c r="R1523" s="691">
        <f t="shared" si="198"/>
        <v>0</v>
      </c>
      <c r="S1523" s="692">
        <f t="shared" si="199"/>
        <v>0</v>
      </c>
      <c r="T1523" s="693">
        <f t="shared" si="200"/>
        <v>0</v>
      </c>
      <c r="U1523" s="1035"/>
      <c r="V1523" s="690"/>
      <c r="W1523" s="1025"/>
      <c r="X1523" s="1030"/>
      <c r="Y1523" s="694">
        <f t="shared" si="201"/>
        <v>0</v>
      </c>
      <c r="Z1523" s="690"/>
      <c r="AA1523" s="690"/>
      <c r="AB1523" s="695">
        <f t="shared" si="202"/>
        <v>0</v>
      </c>
      <c r="AC1523" s="1035"/>
      <c r="AD1523" s="690"/>
      <c r="AE1523" s="1025"/>
      <c r="AF1523" s="1030"/>
      <c r="AG1523" s="690"/>
      <c r="AH1523" s="690"/>
      <c r="AI1523" s="696">
        <f t="shared" si="203"/>
        <v>0</v>
      </c>
      <c r="AJ1523" s="697">
        <f t="shared" si="204"/>
        <v>0</v>
      </c>
    </row>
    <row r="1524" spans="1:36" s="700" customFormat="1" ht="12.75" customHeight="1">
      <c r="A1524" s="870" t="s">
        <v>211</v>
      </c>
      <c r="B1524" s="870" t="s">
        <v>295</v>
      </c>
      <c r="C1524" s="876" t="s">
        <v>53</v>
      </c>
      <c r="D1524" s="876"/>
      <c r="E1524" s="872"/>
      <c r="F1524" s="873"/>
      <c r="G1524" s="1025"/>
      <c r="H1524" s="690"/>
      <c r="I1524" s="1030"/>
      <c r="J1524" s="690"/>
      <c r="K1524" s="1030"/>
      <c r="L1524" s="690"/>
      <c r="M1524" s="1025"/>
      <c r="N1524" s="1030"/>
      <c r="O1524" s="692">
        <f t="shared" si="197"/>
        <v>0</v>
      </c>
      <c r="P1524" s="690"/>
      <c r="Q1524" s="690"/>
      <c r="R1524" s="691">
        <f t="shared" si="198"/>
        <v>0</v>
      </c>
      <c r="S1524" s="692">
        <f t="shared" si="199"/>
        <v>0</v>
      </c>
      <c r="T1524" s="693">
        <f t="shared" si="200"/>
        <v>0</v>
      </c>
      <c r="U1524" s="1035"/>
      <c r="V1524" s="690"/>
      <c r="W1524" s="1025"/>
      <c r="X1524" s="1030"/>
      <c r="Y1524" s="694">
        <f t="shared" si="201"/>
        <v>0</v>
      </c>
      <c r="Z1524" s="690"/>
      <c r="AA1524" s="690"/>
      <c r="AB1524" s="695">
        <f t="shared" si="202"/>
        <v>0</v>
      </c>
      <c r="AC1524" s="1035"/>
      <c r="AD1524" s="690"/>
      <c r="AE1524" s="1025"/>
      <c r="AF1524" s="1030"/>
      <c r="AG1524" s="690"/>
      <c r="AH1524" s="690"/>
      <c r="AI1524" s="696">
        <f t="shared" si="203"/>
        <v>0</v>
      </c>
      <c r="AJ1524" s="697">
        <f t="shared" si="204"/>
        <v>0</v>
      </c>
    </row>
    <row r="1525" spans="1:36" s="700" customFormat="1" ht="12.75" customHeight="1">
      <c r="A1525" s="870" t="s">
        <v>211</v>
      </c>
      <c r="B1525" s="870" t="s">
        <v>296</v>
      </c>
      <c r="C1525" s="876" t="s">
        <v>443</v>
      </c>
      <c r="D1525" s="876"/>
      <c r="E1525" s="872"/>
      <c r="F1525" s="873"/>
      <c r="G1525" s="1025"/>
      <c r="H1525" s="690"/>
      <c r="I1525" s="1030"/>
      <c r="J1525" s="690"/>
      <c r="K1525" s="1030"/>
      <c r="L1525" s="690"/>
      <c r="M1525" s="1025"/>
      <c r="N1525" s="1030"/>
      <c r="O1525" s="692">
        <f t="shared" si="197"/>
        <v>0</v>
      </c>
      <c r="P1525" s="690"/>
      <c r="Q1525" s="690"/>
      <c r="R1525" s="691">
        <f t="shared" si="198"/>
        <v>0</v>
      </c>
      <c r="S1525" s="692">
        <f t="shared" si="199"/>
        <v>0</v>
      </c>
      <c r="T1525" s="693">
        <f t="shared" si="200"/>
        <v>0</v>
      </c>
      <c r="U1525" s="1035"/>
      <c r="V1525" s="690"/>
      <c r="W1525" s="1025"/>
      <c r="X1525" s="1030"/>
      <c r="Y1525" s="694">
        <f t="shared" si="201"/>
        <v>0</v>
      </c>
      <c r="Z1525" s="690"/>
      <c r="AA1525" s="690"/>
      <c r="AB1525" s="695">
        <f t="shared" si="202"/>
        <v>0</v>
      </c>
      <c r="AC1525" s="1035"/>
      <c r="AD1525" s="690"/>
      <c r="AE1525" s="1025"/>
      <c r="AF1525" s="1030"/>
      <c r="AG1525" s="690"/>
      <c r="AH1525" s="690"/>
      <c r="AI1525" s="696">
        <f t="shared" si="203"/>
        <v>0</v>
      </c>
      <c r="AJ1525" s="697">
        <f t="shared" si="204"/>
        <v>0</v>
      </c>
    </row>
    <row r="1526" spans="1:36" s="700" customFormat="1" ht="12.75" customHeight="1">
      <c r="A1526" s="870" t="s">
        <v>211</v>
      </c>
      <c r="B1526" s="870" t="s">
        <v>278</v>
      </c>
      <c r="C1526" s="876" t="s">
        <v>1113</v>
      </c>
      <c r="D1526" s="876"/>
      <c r="E1526" s="872"/>
      <c r="F1526" s="873"/>
      <c r="G1526" s="1025"/>
      <c r="H1526" s="690"/>
      <c r="I1526" s="1030"/>
      <c r="J1526" s="690"/>
      <c r="K1526" s="1030"/>
      <c r="L1526" s="690"/>
      <c r="M1526" s="1025"/>
      <c r="N1526" s="1030"/>
      <c r="O1526" s="692">
        <f t="shared" si="197"/>
        <v>0</v>
      </c>
      <c r="P1526" s="690"/>
      <c r="Q1526" s="690"/>
      <c r="R1526" s="691">
        <f t="shared" si="198"/>
        <v>0</v>
      </c>
      <c r="S1526" s="692">
        <f t="shared" si="199"/>
        <v>0</v>
      </c>
      <c r="T1526" s="693">
        <f t="shared" si="200"/>
        <v>0</v>
      </c>
      <c r="U1526" s="1035">
        <v>7500</v>
      </c>
      <c r="V1526" s="690">
        <v>0</v>
      </c>
      <c r="W1526" s="1025"/>
      <c r="X1526" s="1030"/>
      <c r="Y1526" s="694">
        <f t="shared" si="201"/>
        <v>0</v>
      </c>
      <c r="Z1526" s="690"/>
      <c r="AA1526" s="690"/>
      <c r="AB1526" s="695">
        <f t="shared" si="202"/>
        <v>0</v>
      </c>
      <c r="AC1526" s="1035"/>
      <c r="AD1526" s="690"/>
      <c r="AE1526" s="1025"/>
      <c r="AF1526" s="1030"/>
      <c r="AG1526" s="690"/>
      <c r="AH1526" s="690"/>
      <c r="AI1526" s="696">
        <f t="shared" si="203"/>
        <v>7500</v>
      </c>
      <c r="AJ1526" s="697">
        <f t="shared" si="204"/>
        <v>0</v>
      </c>
    </row>
    <row r="1527" spans="1:36" s="700" customFormat="1" ht="12.75" customHeight="1">
      <c r="A1527" s="870" t="s">
        <v>211</v>
      </c>
      <c r="B1527" s="739" t="s">
        <v>279</v>
      </c>
      <c r="C1527" s="746" t="s">
        <v>54</v>
      </c>
      <c r="D1527" s="746"/>
      <c r="E1527" s="872"/>
      <c r="F1527" s="873"/>
      <c r="G1527" s="1025"/>
      <c r="H1527" s="690"/>
      <c r="I1527" s="1030"/>
      <c r="J1527" s="690"/>
      <c r="K1527" s="1030"/>
      <c r="L1527" s="690"/>
      <c r="M1527" s="1025"/>
      <c r="N1527" s="1030"/>
      <c r="O1527" s="692">
        <f t="shared" si="197"/>
        <v>0</v>
      </c>
      <c r="P1527" s="690"/>
      <c r="Q1527" s="690"/>
      <c r="R1527" s="691">
        <f t="shared" si="198"/>
        <v>0</v>
      </c>
      <c r="S1527" s="692">
        <f t="shared" si="199"/>
        <v>0</v>
      </c>
      <c r="T1527" s="693">
        <f t="shared" si="200"/>
        <v>0</v>
      </c>
      <c r="U1527" s="1035"/>
      <c r="V1527" s="690"/>
      <c r="W1527" s="1025"/>
      <c r="X1527" s="1030"/>
      <c r="Y1527" s="694">
        <f t="shared" si="201"/>
        <v>0</v>
      </c>
      <c r="Z1527" s="690"/>
      <c r="AA1527" s="690"/>
      <c r="AB1527" s="695">
        <f t="shared" si="202"/>
        <v>0</v>
      </c>
      <c r="AC1527" s="1035"/>
      <c r="AD1527" s="690"/>
      <c r="AE1527" s="1025"/>
      <c r="AF1527" s="1030"/>
      <c r="AG1527" s="690"/>
      <c r="AH1527" s="690"/>
      <c r="AI1527" s="696">
        <f t="shared" si="203"/>
        <v>0</v>
      </c>
      <c r="AJ1527" s="697">
        <f t="shared" si="204"/>
        <v>0</v>
      </c>
    </row>
    <row r="1528" spans="1:36" s="700" customFormat="1" ht="12.75" customHeight="1">
      <c r="A1528" s="870" t="s">
        <v>211</v>
      </c>
      <c r="B1528" s="739" t="s">
        <v>317</v>
      </c>
      <c r="C1528" s="746" t="s">
        <v>443</v>
      </c>
      <c r="D1528" s="746"/>
      <c r="E1528" s="872"/>
      <c r="F1528" s="873"/>
      <c r="G1528" s="1025"/>
      <c r="H1528" s="690"/>
      <c r="I1528" s="1030"/>
      <c r="J1528" s="690"/>
      <c r="K1528" s="1030"/>
      <c r="L1528" s="690"/>
      <c r="M1528" s="1025"/>
      <c r="N1528" s="1030"/>
      <c r="O1528" s="692">
        <f t="shared" si="197"/>
        <v>0</v>
      </c>
      <c r="P1528" s="690"/>
      <c r="Q1528" s="690"/>
      <c r="R1528" s="691">
        <f t="shared" si="198"/>
        <v>0</v>
      </c>
      <c r="S1528" s="692">
        <f t="shared" si="199"/>
        <v>0</v>
      </c>
      <c r="T1528" s="693">
        <f t="shared" si="200"/>
        <v>0</v>
      </c>
      <c r="U1528" s="1035"/>
      <c r="V1528" s="690"/>
      <c r="W1528" s="1025"/>
      <c r="X1528" s="1030"/>
      <c r="Y1528" s="694">
        <f t="shared" si="201"/>
        <v>0</v>
      </c>
      <c r="Z1528" s="690"/>
      <c r="AA1528" s="690"/>
      <c r="AB1528" s="695">
        <f t="shared" si="202"/>
        <v>0</v>
      </c>
      <c r="AC1528" s="1035"/>
      <c r="AD1528" s="690"/>
      <c r="AE1528" s="1025"/>
      <c r="AF1528" s="1030"/>
      <c r="AG1528" s="690"/>
      <c r="AH1528" s="690"/>
      <c r="AI1528" s="696">
        <f t="shared" si="203"/>
        <v>0</v>
      </c>
      <c r="AJ1528" s="697">
        <f t="shared" si="204"/>
        <v>0</v>
      </c>
    </row>
    <row r="1529" spans="1:36" s="700" customFormat="1" ht="12.75" customHeight="1">
      <c r="A1529" s="870" t="s">
        <v>211</v>
      </c>
      <c r="B1529" s="870" t="s">
        <v>318</v>
      </c>
      <c r="C1529" s="876" t="s">
        <v>1113</v>
      </c>
      <c r="D1529" s="876"/>
      <c r="E1529" s="872"/>
      <c r="F1529" s="873"/>
      <c r="G1529" s="1025"/>
      <c r="H1529" s="690"/>
      <c r="I1529" s="1030"/>
      <c r="J1529" s="690"/>
      <c r="K1529" s="1030"/>
      <c r="L1529" s="690"/>
      <c r="M1529" s="1025"/>
      <c r="N1529" s="1030"/>
      <c r="O1529" s="692">
        <f t="shared" si="197"/>
        <v>0</v>
      </c>
      <c r="P1529" s="690"/>
      <c r="Q1529" s="690"/>
      <c r="R1529" s="691">
        <f t="shared" si="198"/>
        <v>0</v>
      </c>
      <c r="S1529" s="692">
        <f t="shared" si="199"/>
        <v>0</v>
      </c>
      <c r="T1529" s="693">
        <f t="shared" si="200"/>
        <v>0</v>
      </c>
      <c r="U1529" s="1035"/>
      <c r="V1529" s="690"/>
      <c r="W1529" s="1025"/>
      <c r="X1529" s="1030"/>
      <c r="Y1529" s="694">
        <f t="shared" si="201"/>
        <v>0</v>
      </c>
      <c r="Z1529" s="690"/>
      <c r="AA1529" s="690"/>
      <c r="AB1529" s="695">
        <f t="shared" si="202"/>
        <v>0</v>
      </c>
      <c r="AC1529" s="1035"/>
      <c r="AD1529" s="690"/>
      <c r="AE1529" s="1025"/>
      <c r="AF1529" s="1030"/>
      <c r="AG1529" s="690"/>
      <c r="AH1529" s="690"/>
      <c r="AI1529" s="696">
        <f t="shared" si="203"/>
        <v>0</v>
      </c>
      <c r="AJ1529" s="697">
        <f t="shared" si="204"/>
        <v>0</v>
      </c>
    </row>
    <row r="1530" spans="1:36" s="700" customFormat="1" ht="12.75" customHeight="1">
      <c r="A1530" s="870" t="s">
        <v>211</v>
      </c>
      <c r="B1530" s="882" t="s">
        <v>420</v>
      </c>
      <c r="C1530" s="881" t="s">
        <v>1120</v>
      </c>
      <c r="D1530" s="881"/>
      <c r="E1530" s="872"/>
      <c r="F1530" s="873"/>
      <c r="G1530" s="1025"/>
      <c r="H1530" s="690"/>
      <c r="I1530" s="1030"/>
      <c r="J1530" s="690"/>
      <c r="K1530" s="1030"/>
      <c r="L1530" s="690"/>
      <c r="M1530" s="1025"/>
      <c r="N1530" s="1030"/>
      <c r="O1530" s="692">
        <f t="shared" si="197"/>
        <v>0</v>
      </c>
      <c r="P1530" s="690"/>
      <c r="Q1530" s="690"/>
      <c r="R1530" s="691">
        <f t="shared" si="198"/>
        <v>0</v>
      </c>
      <c r="S1530" s="692">
        <f t="shared" si="199"/>
        <v>0</v>
      </c>
      <c r="T1530" s="693">
        <f t="shared" si="200"/>
        <v>0</v>
      </c>
      <c r="U1530" s="1035"/>
      <c r="V1530" s="690"/>
      <c r="W1530" s="1025"/>
      <c r="X1530" s="1030"/>
      <c r="Y1530" s="694">
        <f t="shared" si="201"/>
        <v>0</v>
      </c>
      <c r="Z1530" s="690"/>
      <c r="AA1530" s="690"/>
      <c r="AB1530" s="695">
        <f t="shared" si="202"/>
        <v>0</v>
      </c>
      <c r="AC1530" s="1035"/>
      <c r="AD1530" s="690"/>
      <c r="AE1530" s="1025"/>
      <c r="AF1530" s="1030"/>
      <c r="AG1530" s="690"/>
      <c r="AH1530" s="690"/>
      <c r="AI1530" s="696">
        <f t="shared" si="203"/>
        <v>0</v>
      </c>
      <c r="AJ1530" s="697">
        <f t="shared" si="204"/>
        <v>0</v>
      </c>
    </row>
    <row r="1531" spans="1:36" s="700" customFormat="1" ht="12.75" customHeight="1">
      <c r="A1531" s="870" t="s">
        <v>211</v>
      </c>
      <c r="B1531" s="870" t="s">
        <v>295</v>
      </c>
      <c r="C1531" s="876" t="s">
        <v>53</v>
      </c>
      <c r="D1531" s="876"/>
      <c r="E1531" s="872"/>
      <c r="F1531" s="873"/>
      <c r="G1531" s="1025"/>
      <c r="H1531" s="690"/>
      <c r="I1531" s="1030"/>
      <c r="J1531" s="690"/>
      <c r="K1531" s="1030"/>
      <c r="L1531" s="690"/>
      <c r="M1531" s="1025"/>
      <c r="N1531" s="1030"/>
      <c r="O1531" s="692">
        <f t="shared" si="197"/>
        <v>0</v>
      </c>
      <c r="P1531" s="690"/>
      <c r="Q1531" s="690"/>
      <c r="R1531" s="691">
        <f t="shared" si="198"/>
        <v>0</v>
      </c>
      <c r="S1531" s="692">
        <f t="shared" si="199"/>
        <v>0</v>
      </c>
      <c r="T1531" s="693">
        <f t="shared" si="200"/>
        <v>0</v>
      </c>
      <c r="U1531" s="1035"/>
      <c r="V1531" s="690"/>
      <c r="W1531" s="1025"/>
      <c r="X1531" s="1030"/>
      <c r="Y1531" s="694">
        <f t="shared" si="201"/>
        <v>0</v>
      </c>
      <c r="Z1531" s="690"/>
      <c r="AA1531" s="690"/>
      <c r="AB1531" s="695">
        <f t="shared" si="202"/>
        <v>0</v>
      </c>
      <c r="AC1531" s="1035"/>
      <c r="AD1531" s="690"/>
      <c r="AE1531" s="1025"/>
      <c r="AF1531" s="1030"/>
      <c r="AG1531" s="690"/>
      <c r="AH1531" s="690"/>
      <c r="AI1531" s="696">
        <f t="shared" si="203"/>
        <v>0</v>
      </c>
      <c r="AJ1531" s="697">
        <f t="shared" si="204"/>
        <v>0</v>
      </c>
    </row>
    <row r="1532" spans="1:36" s="700" customFormat="1" ht="12.75" customHeight="1">
      <c r="A1532" s="870" t="s">
        <v>211</v>
      </c>
      <c r="B1532" s="870" t="s">
        <v>296</v>
      </c>
      <c r="C1532" s="876" t="s">
        <v>443</v>
      </c>
      <c r="D1532" s="876"/>
      <c r="E1532" s="872"/>
      <c r="F1532" s="873"/>
      <c r="G1532" s="1025"/>
      <c r="H1532" s="690"/>
      <c r="I1532" s="1030"/>
      <c r="J1532" s="690"/>
      <c r="K1532" s="1030"/>
      <c r="L1532" s="690"/>
      <c r="M1532" s="1025"/>
      <c r="N1532" s="1030"/>
      <c r="O1532" s="692">
        <f t="shared" si="197"/>
        <v>0</v>
      </c>
      <c r="P1532" s="690"/>
      <c r="Q1532" s="690"/>
      <c r="R1532" s="691">
        <f t="shared" si="198"/>
        <v>0</v>
      </c>
      <c r="S1532" s="692">
        <f t="shared" si="199"/>
        <v>0</v>
      </c>
      <c r="T1532" s="693">
        <f t="shared" si="200"/>
        <v>0</v>
      </c>
      <c r="U1532" s="1035"/>
      <c r="V1532" s="690"/>
      <c r="W1532" s="1025"/>
      <c r="X1532" s="1030"/>
      <c r="Y1532" s="694">
        <f t="shared" si="201"/>
        <v>0</v>
      </c>
      <c r="Z1532" s="690"/>
      <c r="AA1532" s="690"/>
      <c r="AB1532" s="695">
        <f t="shared" si="202"/>
        <v>0</v>
      </c>
      <c r="AC1532" s="1035"/>
      <c r="AD1532" s="690"/>
      <c r="AE1532" s="1025"/>
      <c r="AF1532" s="1030"/>
      <c r="AG1532" s="690"/>
      <c r="AH1532" s="690"/>
      <c r="AI1532" s="696">
        <f t="shared" si="203"/>
        <v>0</v>
      </c>
      <c r="AJ1532" s="697">
        <f t="shared" si="204"/>
        <v>0</v>
      </c>
    </row>
    <row r="1533" spans="1:36" s="700" customFormat="1" ht="12.75" customHeight="1">
      <c r="A1533" s="870" t="s">
        <v>211</v>
      </c>
      <c r="B1533" s="870" t="s">
        <v>278</v>
      </c>
      <c r="C1533" s="876" t="s">
        <v>1113</v>
      </c>
      <c r="D1533" s="876"/>
      <c r="E1533" s="872"/>
      <c r="F1533" s="873"/>
      <c r="G1533" s="1025"/>
      <c r="H1533" s="690"/>
      <c r="I1533" s="1030"/>
      <c r="J1533" s="690"/>
      <c r="K1533" s="1030"/>
      <c r="L1533" s="690"/>
      <c r="M1533" s="1025"/>
      <c r="N1533" s="1030"/>
      <c r="O1533" s="692">
        <f t="shared" si="197"/>
        <v>0</v>
      </c>
      <c r="P1533" s="690"/>
      <c r="Q1533" s="690"/>
      <c r="R1533" s="691">
        <f t="shared" si="198"/>
        <v>0</v>
      </c>
      <c r="S1533" s="692">
        <f t="shared" si="199"/>
        <v>0</v>
      </c>
      <c r="T1533" s="693">
        <f t="shared" si="200"/>
        <v>0</v>
      </c>
      <c r="U1533" s="1035">
        <v>23235</v>
      </c>
      <c r="V1533" s="690">
        <v>0</v>
      </c>
      <c r="W1533" s="1025"/>
      <c r="X1533" s="1030"/>
      <c r="Y1533" s="694">
        <f t="shared" si="201"/>
        <v>0</v>
      </c>
      <c r="Z1533" s="690"/>
      <c r="AA1533" s="690"/>
      <c r="AB1533" s="695">
        <f t="shared" si="202"/>
        <v>0</v>
      </c>
      <c r="AC1533" s="1035"/>
      <c r="AD1533" s="690"/>
      <c r="AE1533" s="1025"/>
      <c r="AF1533" s="1030"/>
      <c r="AG1533" s="690"/>
      <c r="AH1533" s="690"/>
      <c r="AI1533" s="696">
        <f t="shared" si="203"/>
        <v>23235</v>
      </c>
      <c r="AJ1533" s="697">
        <f t="shared" si="204"/>
        <v>0</v>
      </c>
    </row>
    <row r="1534" spans="1:36" s="700" customFormat="1" ht="12.75" customHeight="1">
      <c r="A1534" s="870" t="s">
        <v>211</v>
      </c>
      <c r="B1534" s="739" t="s">
        <v>279</v>
      </c>
      <c r="C1534" s="746" t="s">
        <v>54</v>
      </c>
      <c r="D1534" s="746"/>
      <c r="E1534" s="872"/>
      <c r="F1534" s="873"/>
      <c r="G1534" s="1025"/>
      <c r="H1534" s="690"/>
      <c r="I1534" s="1030"/>
      <c r="J1534" s="690"/>
      <c r="K1534" s="1030"/>
      <c r="L1534" s="690"/>
      <c r="M1534" s="1025"/>
      <c r="N1534" s="1030"/>
      <c r="O1534" s="692">
        <f t="shared" si="197"/>
        <v>0</v>
      </c>
      <c r="P1534" s="690"/>
      <c r="Q1534" s="690"/>
      <c r="R1534" s="691">
        <f t="shared" si="198"/>
        <v>0</v>
      </c>
      <c r="S1534" s="692">
        <f t="shared" si="199"/>
        <v>0</v>
      </c>
      <c r="T1534" s="693">
        <f t="shared" si="200"/>
        <v>0</v>
      </c>
      <c r="U1534" s="1035"/>
      <c r="V1534" s="690"/>
      <c r="W1534" s="1025"/>
      <c r="X1534" s="1030"/>
      <c r="Y1534" s="694">
        <f t="shared" si="201"/>
        <v>0</v>
      </c>
      <c r="Z1534" s="690"/>
      <c r="AA1534" s="690"/>
      <c r="AB1534" s="695">
        <f t="shared" si="202"/>
        <v>0</v>
      </c>
      <c r="AC1534" s="1035"/>
      <c r="AD1534" s="690"/>
      <c r="AE1534" s="1025"/>
      <c r="AF1534" s="1030"/>
      <c r="AG1534" s="690"/>
      <c r="AH1534" s="690"/>
      <c r="AI1534" s="696">
        <f t="shared" si="203"/>
        <v>0</v>
      </c>
      <c r="AJ1534" s="697">
        <f t="shared" si="204"/>
        <v>0</v>
      </c>
    </row>
    <row r="1535" spans="1:36" s="700" customFormat="1" ht="12.75" customHeight="1">
      <c r="A1535" s="870" t="s">
        <v>211</v>
      </c>
      <c r="B1535" s="739" t="s">
        <v>317</v>
      </c>
      <c r="C1535" s="746" t="s">
        <v>443</v>
      </c>
      <c r="D1535" s="746"/>
      <c r="E1535" s="872"/>
      <c r="F1535" s="873"/>
      <c r="G1535" s="1025"/>
      <c r="H1535" s="690"/>
      <c r="I1535" s="1030"/>
      <c r="J1535" s="690"/>
      <c r="K1535" s="1030"/>
      <c r="L1535" s="690"/>
      <c r="M1535" s="1025"/>
      <c r="N1535" s="1030"/>
      <c r="O1535" s="692">
        <f t="shared" si="197"/>
        <v>0</v>
      </c>
      <c r="P1535" s="690"/>
      <c r="Q1535" s="690"/>
      <c r="R1535" s="691">
        <f t="shared" si="198"/>
        <v>0</v>
      </c>
      <c r="S1535" s="692">
        <f t="shared" si="199"/>
        <v>0</v>
      </c>
      <c r="T1535" s="693">
        <f t="shared" si="200"/>
        <v>0</v>
      </c>
      <c r="U1535" s="1035"/>
      <c r="V1535" s="690"/>
      <c r="W1535" s="1025"/>
      <c r="X1535" s="1030"/>
      <c r="Y1535" s="694">
        <f t="shared" si="201"/>
        <v>0</v>
      </c>
      <c r="Z1535" s="690"/>
      <c r="AA1535" s="690"/>
      <c r="AB1535" s="695">
        <f t="shared" si="202"/>
        <v>0</v>
      </c>
      <c r="AC1535" s="1035"/>
      <c r="AD1535" s="690"/>
      <c r="AE1535" s="1025"/>
      <c r="AF1535" s="1030"/>
      <c r="AG1535" s="690"/>
      <c r="AH1535" s="690"/>
      <c r="AI1535" s="696">
        <f t="shared" si="203"/>
        <v>0</v>
      </c>
      <c r="AJ1535" s="697">
        <f t="shared" si="204"/>
        <v>0</v>
      </c>
    </row>
    <row r="1536" spans="1:36" s="700" customFormat="1" ht="12.75" customHeight="1">
      <c r="A1536" s="870" t="s">
        <v>211</v>
      </c>
      <c r="B1536" s="870" t="s">
        <v>318</v>
      </c>
      <c r="C1536" s="876" t="s">
        <v>1113</v>
      </c>
      <c r="D1536" s="876"/>
      <c r="E1536" s="872"/>
      <c r="F1536" s="873"/>
      <c r="G1536" s="1025"/>
      <c r="H1536" s="690"/>
      <c r="I1536" s="1030"/>
      <c r="J1536" s="690"/>
      <c r="K1536" s="1030"/>
      <c r="L1536" s="690"/>
      <c r="M1536" s="1025"/>
      <c r="N1536" s="1030"/>
      <c r="O1536" s="692">
        <f t="shared" si="197"/>
        <v>0</v>
      </c>
      <c r="P1536" s="690"/>
      <c r="Q1536" s="690"/>
      <c r="R1536" s="691">
        <f t="shared" si="198"/>
        <v>0</v>
      </c>
      <c r="S1536" s="692">
        <f t="shared" si="199"/>
        <v>0</v>
      </c>
      <c r="T1536" s="693">
        <f t="shared" si="200"/>
        <v>0</v>
      </c>
      <c r="U1536" s="1035">
        <v>27000</v>
      </c>
      <c r="V1536" s="690">
        <v>0</v>
      </c>
      <c r="W1536" s="1025"/>
      <c r="X1536" s="1030"/>
      <c r="Y1536" s="694">
        <f t="shared" si="201"/>
        <v>0</v>
      </c>
      <c r="Z1536" s="690"/>
      <c r="AA1536" s="690"/>
      <c r="AB1536" s="695">
        <f t="shared" si="202"/>
        <v>0</v>
      </c>
      <c r="AC1536" s="1035"/>
      <c r="AD1536" s="690"/>
      <c r="AE1536" s="1025"/>
      <c r="AF1536" s="1030"/>
      <c r="AG1536" s="690"/>
      <c r="AH1536" s="690"/>
      <c r="AI1536" s="696">
        <f t="shared" si="203"/>
        <v>27000</v>
      </c>
      <c r="AJ1536" s="697">
        <f t="shared" si="204"/>
        <v>0</v>
      </c>
    </row>
    <row r="1537" spans="1:36" s="700" customFormat="1" ht="12.75" customHeight="1">
      <c r="A1537" s="870" t="s">
        <v>211</v>
      </c>
      <c r="B1537" s="882" t="s">
        <v>420</v>
      </c>
      <c r="C1537" s="881" t="s">
        <v>1121</v>
      </c>
      <c r="D1537" s="881"/>
      <c r="E1537" s="872"/>
      <c r="F1537" s="873"/>
      <c r="G1537" s="1025"/>
      <c r="H1537" s="690"/>
      <c r="I1537" s="1030"/>
      <c r="J1537" s="690"/>
      <c r="K1537" s="1030"/>
      <c r="L1537" s="690"/>
      <c r="M1537" s="1025"/>
      <c r="N1537" s="1030"/>
      <c r="O1537" s="692">
        <f t="shared" si="197"/>
        <v>0</v>
      </c>
      <c r="P1537" s="690"/>
      <c r="Q1537" s="690"/>
      <c r="R1537" s="691">
        <f t="shared" si="198"/>
        <v>0</v>
      </c>
      <c r="S1537" s="692">
        <f t="shared" si="199"/>
        <v>0</v>
      </c>
      <c r="T1537" s="693">
        <f t="shared" si="200"/>
        <v>0</v>
      </c>
      <c r="U1537" s="1035"/>
      <c r="V1537" s="690"/>
      <c r="W1537" s="1025"/>
      <c r="X1537" s="1030"/>
      <c r="Y1537" s="694">
        <f t="shared" si="201"/>
        <v>0</v>
      </c>
      <c r="Z1537" s="690"/>
      <c r="AA1537" s="690"/>
      <c r="AB1537" s="695">
        <f t="shared" si="202"/>
        <v>0</v>
      </c>
      <c r="AC1537" s="1035"/>
      <c r="AD1537" s="690"/>
      <c r="AE1537" s="1025"/>
      <c r="AF1537" s="1030"/>
      <c r="AG1537" s="690"/>
      <c r="AH1537" s="690"/>
      <c r="AI1537" s="696">
        <f t="shared" si="203"/>
        <v>0</v>
      </c>
      <c r="AJ1537" s="697">
        <f t="shared" si="204"/>
        <v>0</v>
      </c>
    </row>
    <row r="1538" spans="1:36" s="700" customFormat="1" ht="12.75" customHeight="1">
      <c r="A1538" s="870" t="s">
        <v>211</v>
      </c>
      <c r="B1538" s="870" t="s">
        <v>295</v>
      </c>
      <c r="C1538" s="876" t="s">
        <v>53</v>
      </c>
      <c r="D1538" s="876"/>
      <c r="E1538" s="872"/>
      <c r="F1538" s="873"/>
      <c r="G1538" s="1025"/>
      <c r="H1538" s="690"/>
      <c r="I1538" s="1030"/>
      <c r="J1538" s="690"/>
      <c r="K1538" s="1030"/>
      <c r="L1538" s="690"/>
      <c r="M1538" s="1025"/>
      <c r="N1538" s="1030"/>
      <c r="O1538" s="692">
        <f t="shared" si="197"/>
        <v>0</v>
      </c>
      <c r="P1538" s="690"/>
      <c r="Q1538" s="690"/>
      <c r="R1538" s="691">
        <f t="shared" si="198"/>
        <v>0</v>
      </c>
      <c r="S1538" s="692">
        <f t="shared" si="199"/>
        <v>0</v>
      </c>
      <c r="T1538" s="693">
        <f t="shared" si="200"/>
        <v>0</v>
      </c>
      <c r="U1538" s="1035"/>
      <c r="V1538" s="690"/>
      <c r="W1538" s="1025"/>
      <c r="X1538" s="1030"/>
      <c r="Y1538" s="694">
        <f t="shared" si="201"/>
        <v>0</v>
      </c>
      <c r="Z1538" s="690"/>
      <c r="AA1538" s="690"/>
      <c r="AB1538" s="695">
        <f t="shared" si="202"/>
        <v>0</v>
      </c>
      <c r="AC1538" s="1035"/>
      <c r="AD1538" s="690"/>
      <c r="AE1538" s="1025"/>
      <c r="AF1538" s="1030"/>
      <c r="AG1538" s="690"/>
      <c r="AH1538" s="690"/>
      <c r="AI1538" s="696">
        <f t="shared" si="203"/>
        <v>0</v>
      </c>
      <c r="AJ1538" s="697">
        <f t="shared" si="204"/>
        <v>0</v>
      </c>
    </row>
    <row r="1539" spans="1:36" s="700" customFormat="1" ht="12.75" customHeight="1">
      <c r="A1539" s="870" t="s">
        <v>211</v>
      </c>
      <c r="B1539" s="870" t="s">
        <v>296</v>
      </c>
      <c r="C1539" s="876" t="s">
        <v>443</v>
      </c>
      <c r="D1539" s="876"/>
      <c r="E1539" s="872"/>
      <c r="F1539" s="873"/>
      <c r="G1539" s="1025"/>
      <c r="H1539" s="690"/>
      <c r="I1539" s="1030"/>
      <c r="J1539" s="690"/>
      <c r="K1539" s="1030"/>
      <c r="L1539" s="690"/>
      <c r="M1539" s="1025"/>
      <c r="N1539" s="1030"/>
      <c r="O1539" s="692">
        <f t="shared" si="197"/>
        <v>0</v>
      </c>
      <c r="P1539" s="690"/>
      <c r="Q1539" s="690"/>
      <c r="R1539" s="691">
        <f t="shared" si="198"/>
        <v>0</v>
      </c>
      <c r="S1539" s="692">
        <f t="shared" si="199"/>
        <v>0</v>
      </c>
      <c r="T1539" s="693">
        <f t="shared" si="200"/>
        <v>0</v>
      </c>
      <c r="U1539" s="1035"/>
      <c r="V1539" s="690"/>
      <c r="W1539" s="1025"/>
      <c r="X1539" s="1030"/>
      <c r="Y1539" s="694">
        <f t="shared" si="201"/>
        <v>0</v>
      </c>
      <c r="Z1539" s="690"/>
      <c r="AA1539" s="690"/>
      <c r="AB1539" s="695">
        <f t="shared" si="202"/>
        <v>0</v>
      </c>
      <c r="AC1539" s="1035"/>
      <c r="AD1539" s="690"/>
      <c r="AE1539" s="1025"/>
      <c r="AF1539" s="1030"/>
      <c r="AG1539" s="690"/>
      <c r="AH1539" s="690"/>
      <c r="AI1539" s="696">
        <f t="shared" si="203"/>
        <v>0</v>
      </c>
      <c r="AJ1539" s="697">
        <f t="shared" si="204"/>
        <v>0</v>
      </c>
    </row>
    <row r="1540" spans="1:36" s="700" customFormat="1" ht="12.75" customHeight="1">
      <c r="A1540" s="870" t="s">
        <v>211</v>
      </c>
      <c r="B1540" s="870" t="s">
        <v>278</v>
      </c>
      <c r="C1540" s="876" t="s">
        <v>1113</v>
      </c>
      <c r="D1540" s="876"/>
      <c r="E1540" s="872"/>
      <c r="F1540" s="873"/>
      <c r="G1540" s="1025"/>
      <c r="H1540" s="690"/>
      <c r="I1540" s="1030"/>
      <c r="J1540" s="690"/>
      <c r="K1540" s="1030"/>
      <c r="L1540" s="690"/>
      <c r="M1540" s="1025"/>
      <c r="N1540" s="1030"/>
      <c r="O1540" s="692">
        <f t="shared" si="197"/>
        <v>0</v>
      </c>
      <c r="P1540" s="690"/>
      <c r="Q1540" s="690"/>
      <c r="R1540" s="691">
        <f t="shared" si="198"/>
        <v>0</v>
      </c>
      <c r="S1540" s="692">
        <f t="shared" si="199"/>
        <v>0</v>
      </c>
      <c r="T1540" s="693">
        <f t="shared" si="200"/>
        <v>0</v>
      </c>
      <c r="U1540" s="1035">
        <v>61000</v>
      </c>
      <c r="V1540" s="690">
        <v>0</v>
      </c>
      <c r="W1540" s="1025"/>
      <c r="X1540" s="1030"/>
      <c r="Y1540" s="694">
        <f t="shared" si="201"/>
        <v>0</v>
      </c>
      <c r="Z1540" s="690"/>
      <c r="AA1540" s="690"/>
      <c r="AB1540" s="695">
        <f t="shared" si="202"/>
        <v>0</v>
      </c>
      <c r="AC1540" s="1035"/>
      <c r="AD1540" s="690"/>
      <c r="AE1540" s="1025"/>
      <c r="AF1540" s="1030"/>
      <c r="AG1540" s="690"/>
      <c r="AH1540" s="690"/>
      <c r="AI1540" s="696">
        <f t="shared" si="203"/>
        <v>61000</v>
      </c>
      <c r="AJ1540" s="697">
        <f t="shared" si="204"/>
        <v>0</v>
      </c>
    </row>
    <row r="1541" spans="1:36" s="700" customFormat="1" ht="12.75" customHeight="1">
      <c r="A1541" s="870" t="s">
        <v>211</v>
      </c>
      <c r="B1541" s="739" t="s">
        <v>279</v>
      </c>
      <c r="C1541" s="746" t="s">
        <v>54</v>
      </c>
      <c r="D1541" s="746"/>
      <c r="E1541" s="872"/>
      <c r="F1541" s="873"/>
      <c r="G1541" s="1025"/>
      <c r="H1541" s="690"/>
      <c r="I1541" s="1030"/>
      <c r="J1541" s="690"/>
      <c r="K1541" s="1030"/>
      <c r="L1541" s="690"/>
      <c r="M1541" s="1025"/>
      <c r="N1541" s="1030"/>
      <c r="O1541" s="692">
        <f t="shared" si="197"/>
        <v>0</v>
      </c>
      <c r="P1541" s="690"/>
      <c r="Q1541" s="690"/>
      <c r="R1541" s="691">
        <f t="shared" si="198"/>
        <v>0</v>
      </c>
      <c r="S1541" s="692">
        <f t="shared" si="199"/>
        <v>0</v>
      </c>
      <c r="T1541" s="693">
        <f t="shared" si="200"/>
        <v>0</v>
      </c>
      <c r="U1541" s="1035"/>
      <c r="V1541" s="690"/>
      <c r="W1541" s="1025"/>
      <c r="X1541" s="1030"/>
      <c r="Y1541" s="694">
        <f t="shared" si="201"/>
        <v>0</v>
      </c>
      <c r="Z1541" s="690"/>
      <c r="AA1541" s="690"/>
      <c r="AB1541" s="695">
        <f t="shared" si="202"/>
        <v>0</v>
      </c>
      <c r="AC1541" s="1035"/>
      <c r="AD1541" s="690"/>
      <c r="AE1541" s="1025"/>
      <c r="AF1541" s="1030"/>
      <c r="AG1541" s="690"/>
      <c r="AH1541" s="690"/>
      <c r="AI1541" s="696">
        <f t="shared" si="203"/>
        <v>0</v>
      </c>
      <c r="AJ1541" s="697">
        <f t="shared" si="204"/>
        <v>0</v>
      </c>
    </row>
    <row r="1542" spans="1:36" s="700" customFormat="1" ht="12.75" customHeight="1">
      <c r="A1542" s="870" t="s">
        <v>211</v>
      </c>
      <c r="B1542" s="739" t="s">
        <v>317</v>
      </c>
      <c r="C1542" s="746" t="s">
        <v>443</v>
      </c>
      <c r="D1542" s="746"/>
      <c r="E1542" s="872"/>
      <c r="F1542" s="873"/>
      <c r="G1542" s="1025"/>
      <c r="H1542" s="690"/>
      <c r="I1542" s="1030"/>
      <c r="J1542" s="690"/>
      <c r="K1542" s="1030"/>
      <c r="L1542" s="690"/>
      <c r="M1542" s="1025"/>
      <c r="N1542" s="1030"/>
      <c r="O1542" s="692">
        <f t="shared" si="197"/>
        <v>0</v>
      </c>
      <c r="P1542" s="690"/>
      <c r="Q1542" s="690"/>
      <c r="R1542" s="691">
        <f t="shared" si="198"/>
        <v>0</v>
      </c>
      <c r="S1542" s="692">
        <f t="shared" si="199"/>
        <v>0</v>
      </c>
      <c r="T1542" s="693">
        <f t="shared" si="200"/>
        <v>0</v>
      </c>
      <c r="U1542" s="1035"/>
      <c r="V1542" s="690"/>
      <c r="W1542" s="1025"/>
      <c r="X1542" s="1030"/>
      <c r="Y1542" s="694">
        <f t="shared" si="201"/>
        <v>0</v>
      </c>
      <c r="Z1542" s="690"/>
      <c r="AA1542" s="690"/>
      <c r="AB1542" s="695">
        <f t="shared" si="202"/>
        <v>0</v>
      </c>
      <c r="AC1542" s="1035"/>
      <c r="AD1542" s="690"/>
      <c r="AE1542" s="1025"/>
      <c r="AF1542" s="1030"/>
      <c r="AG1542" s="690"/>
      <c r="AH1542" s="690"/>
      <c r="AI1542" s="696">
        <f t="shared" si="203"/>
        <v>0</v>
      </c>
      <c r="AJ1542" s="697">
        <f t="shared" si="204"/>
        <v>0</v>
      </c>
    </row>
    <row r="1543" spans="1:36" s="700" customFormat="1" ht="12.75" customHeight="1">
      <c r="A1543" s="870" t="s">
        <v>211</v>
      </c>
      <c r="B1543" s="870" t="s">
        <v>318</v>
      </c>
      <c r="C1543" s="876" t="s">
        <v>1113</v>
      </c>
      <c r="D1543" s="876"/>
      <c r="E1543" s="872"/>
      <c r="F1543" s="873"/>
      <c r="G1543" s="1025"/>
      <c r="H1543" s="690"/>
      <c r="I1543" s="1030"/>
      <c r="J1543" s="690"/>
      <c r="K1543" s="1030"/>
      <c r="L1543" s="690"/>
      <c r="M1543" s="1025"/>
      <c r="N1543" s="1030"/>
      <c r="O1543" s="692">
        <f t="shared" si="197"/>
        <v>0</v>
      </c>
      <c r="P1543" s="690"/>
      <c r="Q1543" s="690"/>
      <c r="R1543" s="691">
        <f t="shared" si="198"/>
        <v>0</v>
      </c>
      <c r="S1543" s="692">
        <f t="shared" si="199"/>
        <v>0</v>
      </c>
      <c r="T1543" s="693">
        <f t="shared" si="200"/>
        <v>0</v>
      </c>
      <c r="U1543" s="1035"/>
      <c r="V1543" s="690">
        <v>0</v>
      </c>
      <c r="W1543" s="1025"/>
      <c r="X1543" s="1030"/>
      <c r="Y1543" s="694">
        <f t="shared" si="201"/>
        <v>0</v>
      </c>
      <c r="Z1543" s="690"/>
      <c r="AA1543" s="690"/>
      <c r="AB1543" s="695">
        <f t="shared" si="202"/>
        <v>0</v>
      </c>
      <c r="AC1543" s="1035"/>
      <c r="AD1543" s="690"/>
      <c r="AE1543" s="1025"/>
      <c r="AF1543" s="1030"/>
      <c r="AG1543" s="690"/>
      <c r="AH1543" s="690"/>
      <c r="AI1543" s="696">
        <f t="shared" si="203"/>
        <v>0</v>
      </c>
      <c r="AJ1543" s="697">
        <f t="shared" si="204"/>
        <v>0</v>
      </c>
    </row>
    <row r="1544" spans="1:36" s="700" customFormat="1" ht="12.75" customHeight="1">
      <c r="A1544" s="870" t="s">
        <v>211</v>
      </c>
      <c r="B1544" s="882" t="s">
        <v>420</v>
      </c>
      <c r="C1544" s="881" t="s">
        <v>1122</v>
      </c>
      <c r="D1544" s="881"/>
      <c r="E1544" s="872"/>
      <c r="F1544" s="873"/>
      <c r="G1544" s="1025"/>
      <c r="H1544" s="690"/>
      <c r="I1544" s="1030"/>
      <c r="J1544" s="690"/>
      <c r="K1544" s="1030"/>
      <c r="L1544" s="690"/>
      <c r="M1544" s="1025"/>
      <c r="N1544" s="1030"/>
      <c r="O1544" s="692">
        <f t="shared" si="197"/>
        <v>0</v>
      </c>
      <c r="P1544" s="690"/>
      <c r="Q1544" s="690"/>
      <c r="R1544" s="691">
        <f t="shared" si="198"/>
        <v>0</v>
      </c>
      <c r="S1544" s="692">
        <f t="shared" si="199"/>
        <v>0</v>
      </c>
      <c r="T1544" s="693">
        <f t="shared" si="200"/>
        <v>0</v>
      </c>
      <c r="U1544" s="1035"/>
      <c r="V1544" s="690"/>
      <c r="W1544" s="1025"/>
      <c r="X1544" s="1030"/>
      <c r="Y1544" s="694">
        <f t="shared" si="201"/>
        <v>0</v>
      </c>
      <c r="Z1544" s="690"/>
      <c r="AA1544" s="690"/>
      <c r="AB1544" s="695">
        <f t="shared" si="202"/>
        <v>0</v>
      </c>
      <c r="AC1544" s="1035"/>
      <c r="AD1544" s="690"/>
      <c r="AE1544" s="1025"/>
      <c r="AF1544" s="1030"/>
      <c r="AG1544" s="690"/>
      <c r="AH1544" s="690"/>
      <c r="AI1544" s="696">
        <f t="shared" si="203"/>
        <v>0</v>
      </c>
      <c r="AJ1544" s="697">
        <f t="shared" si="204"/>
        <v>0</v>
      </c>
    </row>
    <row r="1545" spans="1:36" s="700" customFormat="1" ht="12.75" customHeight="1">
      <c r="A1545" s="870" t="s">
        <v>211</v>
      </c>
      <c r="B1545" s="870" t="s">
        <v>295</v>
      </c>
      <c r="C1545" s="876" t="s">
        <v>53</v>
      </c>
      <c r="D1545" s="876"/>
      <c r="E1545" s="872"/>
      <c r="F1545" s="873"/>
      <c r="G1545" s="1025"/>
      <c r="H1545" s="690"/>
      <c r="I1545" s="1030"/>
      <c r="J1545" s="690"/>
      <c r="K1545" s="1030"/>
      <c r="L1545" s="690"/>
      <c r="M1545" s="1025"/>
      <c r="N1545" s="1030"/>
      <c r="O1545" s="692">
        <f t="shared" si="197"/>
        <v>0</v>
      </c>
      <c r="P1545" s="690"/>
      <c r="Q1545" s="690"/>
      <c r="R1545" s="691">
        <f t="shared" si="198"/>
        <v>0</v>
      </c>
      <c r="S1545" s="692">
        <f t="shared" si="199"/>
        <v>0</v>
      </c>
      <c r="T1545" s="693">
        <f t="shared" si="200"/>
        <v>0</v>
      </c>
      <c r="U1545" s="1035"/>
      <c r="V1545" s="690"/>
      <c r="W1545" s="1025"/>
      <c r="X1545" s="1030"/>
      <c r="Y1545" s="694">
        <f t="shared" si="201"/>
        <v>0</v>
      </c>
      <c r="Z1545" s="690"/>
      <c r="AA1545" s="690"/>
      <c r="AB1545" s="695">
        <f t="shared" si="202"/>
        <v>0</v>
      </c>
      <c r="AC1545" s="1035"/>
      <c r="AD1545" s="690"/>
      <c r="AE1545" s="1025"/>
      <c r="AF1545" s="1030"/>
      <c r="AG1545" s="690"/>
      <c r="AH1545" s="690"/>
      <c r="AI1545" s="696">
        <f t="shared" si="203"/>
        <v>0</v>
      </c>
      <c r="AJ1545" s="697">
        <f t="shared" si="204"/>
        <v>0</v>
      </c>
    </row>
    <row r="1546" spans="1:36" s="700" customFormat="1" ht="12.75" customHeight="1">
      <c r="A1546" s="870" t="s">
        <v>211</v>
      </c>
      <c r="B1546" s="870" t="s">
        <v>296</v>
      </c>
      <c r="C1546" s="876" t="s">
        <v>443</v>
      </c>
      <c r="D1546" s="876"/>
      <c r="E1546" s="872"/>
      <c r="F1546" s="873"/>
      <c r="G1546" s="1025"/>
      <c r="H1546" s="690"/>
      <c r="I1546" s="1030"/>
      <c r="J1546" s="690"/>
      <c r="K1546" s="1030"/>
      <c r="L1546" s="690"/>
      <c r="M1546" s="1025"/>
      <c r="N1546" s="1030"/>
      <c r="O1546" s="692">
        <f t="shared" ref="O1546:O1609" si="205">SUM(M1546:N1546)</f>
        <v>0</v>
      </c>
      <c r="P1546" s="690"/>
      <c r="Q1546" s="690"/>
      <c r="R1546" s="691">
        <f t="shared" ref="R1546:R1609" si="206">SUM(P1546:Q1546)</f>
        <v>0</v>
      </c>
      <c r="S1546" s="692">
        <f t="shared" ref="S1546:S1609" si="207">SUM(G1546,I1546,K1546,M1546)</f>
        <v>0</v>
      </c>
      <c r="T1546" s="693">
        <f t="shared" ref="T1546:T1609" si="208">SUM(H1546,J1546,L1546,P1546)</f>
        <v>0</v>
      </c>
      <c r="U1546" s="1035"/>
      <c r="V1546" s="690"/>
      <c r="W1546" s="1025"/>
      <c r="X1546" s="1030"/>
      <c r="Y1546" s="694">
        <f t="shared" ref="Y1546:Y1609" si="209">SUM(W1546:X1546)</f>
        <v>0</v>
      </c>
      <c r="Z1546" s="690"/>
      <c r="AA1546" s="690"/>
      <c r="AB1546" s="695">
        <f t="shared" ref="AB1546:AB1609" si="210">SUM(Z1546:AA1546)</f>
        <v>0</v>
      </c>
      <c r="AC1546" s="1035"/>
      <c r="AD1546" s="690"/>
      <c r="AE1546" s="1025"/>
      <c r="AF1546" s="1030"/>
      <c r="AG1546" s="690"/>
      <c r="AH1546" s="690"/>
      <c r="AI1546" s="696">
        <f t="shared" ref="AI1546:AI1609" si="211">SUM(S1546,U1546,W1546,AC1546,AE1546)</f>
        <v>0</v>
      </c>
      <c r="AJ1546" s="697">
        <f t="shared" ref="AJ1546:AJ1609" si="212">SUM(T1546,V1546,Z1546,AD1546,AG1546)</f>
        <v>0</v>
      </c>
    </row>
    <row r="1547" spans="1:36" s="700" customFormat="1" ht="12.75" customHeight="1">
      <c r="A1547" s="870" t="s">
        <v>211</v>
      </c>
      <c r="B1547" s="870" t="s">
        <v>278</v>
      </c>
      <c r="C1547" s="876" t="s">
        <v>1113</v>
      </c>
      <c r="D1547" s="876"/>
      <c r="E1547" s="872"/>
      <c r="F1547" s="873"/>
      <c r="G1547" s="1025"/>
      <c r="H1547" s="690"/>
      <c r="I1547" s="1030"/>
      <c r="J1547" s="690"/>
      <c r="K1547" s="1030"/>
      <c r="L1547" s="690"/>
      <c r="M1547" s="1025"/>
      <c r="N1547" s="1030"/>
      <c r="O1547" s="692">
        <f t="shared" si="205"/>
        <v>0</v>
      </c>
      <c r="P1547" s="690"/>
      <c r="Q1547" s="690"/>
      <c r="R1547" s="691">
        <f t="shared" si="206"/>
        <v>0</v>
      </c>
      <c r="S1547" s="692">
        <f t="shared" si="207"/>
        <v>0</v>
      </c>
      <c r="T1547" s="693">
        <f t="shared" si="208"/>
        <v>0</v>
      </c>
      <c r="U1547" s="1035">
        <v>2000</v>
      </c>
      <c r="V1547" s="690">
        <v>2000</v>
      </c>
      <c r="W1547" s="1025"/>
      <c r="X1547" s="1030"/>
      <c r="Y1547" s="694">
        <f t="shared" si="209"/>
        <v>0</v>
      </c>
      <c r="Z1547" s="690"/>
      <c r="AA1547" s="690"/>
      <c r="AB1547" s="695">
        <f t="shared" si="210"/>
        <v>0</v>
      </c>
      <c r="AC1547" s="1035"/>
      <c r="AD1547" s="690"/>
      <c r="AE1547" s="1025"/>
      <c r="AF1547" s="1030"/>
      <c r="AG1547" s="690"/>
      <c r="AH1547" s="690"/>
      <c r="AI1547" s="696">
        <f t="shared" si="211"/>
        <v>2000</v>
      </c>
      <c r="AJ1547" s="697">
        <f t="shared" si="212"/>
        <v>2000</v>
      </c>
    </row>
    <row r="1548" spans="1:36" s="700" customFormat="1" ht="12.75" customHeight="1">
      <c r="A1548" s="870" t="s">
        <v>211</v>
      </c>
      <c r="B1548" s="739" t="s">
        <v>279</v>
      </c>
      <c r="C1548" s="746" t="s">
        <v>54</v>
      </c>
      <c r="D1548" s="746"/>
      <c r="E1548" s="872"/>
      <c r="F1548" s="873"/>
      <c r="G1548" s="1025"/>
      <c r="H1548" s="690"/>
      <c r="I1548" s="1030"/>
      <c r="J1548" s="690"/>
      <c r="K1548" s="1030"/>
      <c r="L1548" s="690"/>
      <c r="M1548" s="1025"/>
      <c r="N1548" s="1030"/>
      <c r="O1548" s="692">
        <f t="shared" si="205"/>
        <v>0</v>
      </c>
      <c r="P1548" s="690"/>
      <c r="Q1548" s="690"/>
      <c r="R1548" s="691">
        <f t="shared" si="206"/>
        <v>0</v>
      </c>
      <c r="S1548" s="692">
        <f t="shared" si="207"/>
        <v>0</v>
      </c>
      <c r="T1548" s="693">
        <f t="shared" si="208"/>
        <v>0</v>
      </c>
      <c r="U1548" s="1035"/>
      <c r="V1548" s="690"/>
      <c r="W1548" s="1025"/>
      <c r="X1548" s="1030"/>
      <c r="Y1548" s="694">
        <f t="shared" si="209"/>
        <v>0</v>
      </c>
      <c r="Z1548" s="690"/>
      <c r="AA1548" s="690"/>
      <c r="AB1548" s="695">
        <f t="shared" si="210"/>
        <v>0</v>
      </c>
      <c r="AC1548" s="1035"/>
      <c r="AD1548" s="690"/>
      <c r="AE1548" s="1025"/>
      <c r="AF1548" s="1030"/>
      <c r="AG1548" s="690"/>
      <c r="AH1548" s="690"/>
      <c r="AI1548" s="696">
        <f t="shared" si="211"/>
        <v>0</v>
      </c>
      <c r="AJ1548" s="697">
        <f t="shared" si="212"/>
        <v>0</v>
      </c>
    </row>
    <row r="1549" spans="1:36" s="700" customFormat="1" ht="12.75" customHeight="1">
      <c r="A1549" s="870" t="s">
        <v>211</v>
      </c>
      <c r="B1549" s="739" t="s">
        <v>317</v>
      </c>
      <c r="C1549" s="746" t="s">
        <v>443</v>
      </c>
      <c r="D1549" s="746"/>
      <c r="E1549" s="872"/>
      <c r="F1549" s="873"/>
      <c r="G1549" s="1025"/>
      <c r="H1549" s="690"/>
      <c r="I1549" s="1030"/>
      <c r="J1549" s="690"/>
      <c r="K1549" s="1030"/>
      <c r="L1549" s="690"/>
      <c r="M1549" s="1025"/>
      <c r="N1549" s="1030"/>
      <c r="O1549" s="692">
        <f t="shared" si="205"/>
        <v>0</v>
      </c>
      <c r="P1549" s="690"/>
      <c r="Q1549" s="690"/>
      <c r="R1549" s="691">
        <f t="shared" si="206"/>
        <v>0</v>
      </c>
      <c r="S1549" s="692">
        <f t="shared" si="207"/>
        <v>0</v>
      </c>
      <c r="T1549" s="693">
        <f t="shared" si="208"/>
        <v>0</v>
      </c>
      <c r="U1549" s="1035"/>
      <c r="V1549" s="690"/>
      <c r="W1549" s="1025"/>
      <c r="X1549" s="1030"/>
      <c r="Y1549" s="694">
        <f t="shared" si="209"/>
        <v>0</v>
      </c>
      <c r="Z1549" s="690"/>
      <c r="AA1549" s="690"/>
      <c r="AB1549" s="695">
        <f t="shared" si="210"/>
        <v>0</v>
      </c>
      <c r="AC1549" s="1035"/>
      <c r="AD1549" s="690"/>
      <c r="AE1549" s="1025"/>
      <c r="AF1549" s="1030"/>
      <c r="AG1549" s="690"/>
      <c r="AH1549" s="690"/>
      <c r="AI1549" s="696">
        <f t="shared" si="211"/>
        <v>0</v>
      </c>
      <c r="AJ1549" s="697">
        <f t="shared" si="212"/>
        <v>0</v>
      </c>
    </row>
    <row r="1550" spans="1:36" s="700" customFormat="1" ht="12.75" customHeight="1">
      <c r="A1550" s="870" t="s">
        <v>211</v>
      </c>
      <c r="B1550" s="870" t="s">
        <v>318</v>
      </c>
      <c r="C1550" s="876" t="s">
        <v>1113</v>
      </c>
      <c r="D1550" s="876"/>
      <c r="E1550" s="872"/>
      <c r="F1550" s="873"/>
      <c r="G1550" s="1025"/>
      <c r="H1550" s="690"/>
      <c r="I1550" s="1030"/>
      <c r="J1550" s="690"/>
      <c r="K1550" s="1030"/>
      <c r="L1550" s="690"/>
      <c r="M1550" s="1025"/>
      <c r="N1550" s="1030"/>
      <c r="O1550" s="692">
        <f t="shared" si="205"/>
        <v>0</v>
      </c>
      <c r="P1550" s="690"/>
      <c r="Q1550" s="690"/>
      <c r="R1550" s="691">
        <f t="shared" si="206"/>
        <v>0</v>
      </c>
      <c r="S1550" s="692">
        <f t="shared" si="207"/>
        <v>0</v>
      </c>
      <c r="T1550" s="693">
        <f t="shared" si="208"/>
        <v>0</v>
      </c>
      <c r="U1550" s="1035"/>
      <c r="V1550" s="690"/>
      <c r="W1550" s="1025"/>
      <c r="X1550" s="1030"/>
      <c r="Y1550" s="694">
        <f t="shared" si="209"/>
        <v>0</v>
      </c>
      <c r="Z1550" s="690"/>
      <c r="AA1550" s="690"/>
      <c r="AB1550" s="695">
        <f t="shared" si="210"/>
        <v>0</v>
      </c>
      <c r="AC1550" s="1035"/>
      <c r="AD1550" s="690"/>
      <c r="AE1550" s="1025"/>
      <c r="AF1550" s="1030"/>
      <c r="AG1550" s="690"/>
      <c r="AH1550" s="690"/>
      <c r="AI1550" s="696">
        <f t="shared" si="211"/>
        <v>0</v>
      </c>
      <c r="AJ1550" s="697">
        <f t="shared" si="212"/>
        <v>0</v>
      </c>
    </row>
    <row r="1551" spans="1:36" s="700" customFormat="1" ht="12.75" customHeight="1">
      <c r="A1551" s="870" t="s">
        <v>211</v>
      </c>
      <c r="B1551" s="882" t="s">
        <v>420</v>
      </c>
      <c r="C1551" s="881" t="s">
        <v>1123</v>
      </c>
      <c r="D1551" s="881"/>
      <c r="E1551" s="872"/>
      <c r="F1551" s="873"/>
      <c r="G1551" s="1025"/>
      <c r="H1551" s="690"/>
      <c r="I1551" s="1030"/>
      <c r="J1551" s="690"/>
      <c r="K1551" s="1030"/>
      <c r="L1551" s="690"/>
      <c r="M1551" s="1025"/>
      <c r="N1551" s="1030"/>
      <c r="O1551" s="692">
        <f t="shared" si="205"/>
        <v>0</v>
      </c>
      <c r="P1551" s="690"/>
      <c r="Q1551" s="690"/>
      <c r="R1551" s="691">
        <f t="shared" si="206"/>
        <v>0</v>
      </c>
      <c r="S1551" s="692">
        <f t="shared" si="207"/>
        <v>0</v>
      </c>
      <c r="T1551" s="693">
        <f t="shared" si="208"/>
        <v>0</v>
      </c>
      <c r="U1551" s="1035"/>
      <c r="V1551" s="690"/>
      <c r="W1551" s="1025"/>
      <c r="X1551" s="1030"/>
      <c r="Y1551" s="694">
        <f t="shared" si="209"/>
        <v>0</v>
      </c>
      <c r="Z1551" s="690"/>
      <c r="AA1551" s="690"/>
      <c r="AB1551" s="695">
        <f t="shared" si="210"/>
        <v>0</v>
      </c>
      <c r="AC1551" s="1035"/>
      <c r="AD1551" s="690"/>
      <c r="AE1551" s="1025"/>
      <c r="AF1551" s="1030"/>
      <c r="AG1551" s="690"/>
      <c r="AH1551" s="690"/>
      <c r="AI1551" s="696">
        <f t="shared" si="211"/>
        <v>0</v>
      </c>
      <c r="AJ1551" s="697">
        <f t="shared" si="212"/>
        <v>0</v>
      </c>
    </row>
    <row r="1552" spans="1:36" s="700" customFormat="1" ht="12.75" customHeight="1">
      <c r="A1552" s="870" t="s">
        <v>211</v>
      </c>
      <c r="B1552" s="870" t="s">
        <v>295</v>
      </c>
      <c r="C1552" s="876" t="s">
        <v>53</v>
      </c>
      <c r="D1552" s="876"/>
      <c r="E1552" s="872"/>
      <c r="F1552" s="873"/>
      <c r="G1552" s="1025"/>
      <c r="H1552" s="690"/>
      <c r="I1552" s="1030"/>
      <c r="J1552" s="690"/>
      <c r="K1552" s="1030"/>
      <c r="L1552" s="690"/>
      <c r="M1552" s="1025"/>
      <c r="N1552" s="1030"/>
      <c r="O1552" s="692">
        <f t="shared" si="205"/>
        <v>0</v>
      </c>
      <c r="P1552" s="690"/>
      <c r="Q1552" s="690"/>
      <c r="R1552" s="691">
        <f t="shared" si="206"/>
        <v>0</v>
      </c>
      <c r="S1552" s="692">
        <f t="shared" si="207"/>
        <v>0</v>
      </c>
      <c r="T1552" s="693">
        <f t="shared" si="208"/>
        <v>0</v>
      </c>
      <c r="U1552" s="1035"/>
      <c r="V1552" s="690"/>
      <c r="W1552" s="1025"/>
      <c r="X1552" s="1030"/>
      <c r="Y1552" s="694">
        <f t="shared" si="209"/>
        <v>0</v>
      </c>
      <c r="Z1552" s="690"/>
      <c r="AA1552" s="690"/>
      <c r="AB1552" s="695">
        <f t="shared" si="210"/>
        <v>0</v>
      </c>
      <c r="AC1552" s="1035"/>
      <c r="AD1552" s="690"/>
      <c r="AE1552" s="1025"/>
      <c r="AF1552" s="1030"/>
      <c r="AG1552" s="690"/>
      <c r="AH1552" s="690"/>
      <c r="AI1552" s="696">
        <f t="shared" si="211"/>
        <v>0</v>
      </c>
      <c r="AJ1552" s="697">
        <f t="shared" si="212"/>
        <v>0</v>
      </c>
    </row>
    <row r="1553" spans="1:36" s="700" customFormat="1" ht="12.75" customHeight="1">
      <c r="A1553" s="870" t="s">
        <v>211</v>
      </c>
      <c r="B1553" s="870" t="s">
        <v>296</v>
      </c>
      <c r="C1553" s="876" t="s">
        <v>443</v>
      </c>
      <c r="D1553" s="876"/>
      <c r="E1553" s="872"/>
      <c r="F1553" s="873"/>
      <c r="G1553" s="1025"/>
      <c r="H1553" s="690"/>
      <c r="I1553" s="1030"/>
      <c r="J1553" s="690"/>
      <c r="K1553" s="1030"/>
      <c r="L1553" s="690"/>
      <c r="M1553" s="1025"/>
      <c r="N1553" s="1030"/>
      <c r="O1553" s="692">
        <f t="shared" si="205"/>
        <v>0</v>
      </c>
      <c r="P1553" s="690"/>
      <c r="Q1553" s="690"/>
      <c r="R1553" s="691">
        <f t="shared" si="206"/>
        <v>0</v>
      </c>
      <c r="S1553" s="692">
        <f t="shared" si="207"/>
        <v>0</v>
      </c>
      <c r="T1553" s="693">
        <f t="shared" si="208"/>
        <v>0</v>
      </c>
      <c r="U1553" s="1035"/>
      <c r="V1553" s="690"/>
      <c r="W1553" s="1025"/>
      <c r="X1553" s="1030"/>
      <c r="Y1553" s="694">
        <f t="shared" si="209"/>
        <v>0</v>
      </c>
      <c r="Z1553" s="690"/>
      <c r="AA1553" s="690"/>
      <c r="AB1553" s="695">
        <f t="shared" si="210"/>
        <v>0</v>
      </c>
      <c r="AC1553" s="1035"/>
      <c r="AD1553" s="690"/>
      <c r="AE1553" s="1025"/>
      <c r="AF1553" s="1030"/>
      <c r="AG1553" s="690"/>
      <c r="AH1553" s="690"/>
      <c r="AI1553" s="696">
        <f t="shared" si="211"/>
        <v>0</v>
      </c>
      <c r="AJ1553" s="697">
        <f t="shared" si="212"/>
        <v>0</v>
      </c>
    </row>
    <row r="1554" spans="1:36" s="700" customFormat="1" ht="12.75" customHeight="1">
      <c r="A1554" s="870" t="s">
        <v>211</v>
      </c>
      <c r="B1554" s="870" t="s">
        <v>278</v>
      </c>
      <c r="C1554" s="876" t="s">
        <v>1113</v>
      </c>
      <c r="D1554" s="876"/>
      <c r="E1554" s="872"/>
      <c r="F1554" s="873"/>
      <c r="G1554" s="1025"/>
      <c r="H1554" s="690"/>
      <c r="I1554" s="1030"/>
      <c r="J1554" s="690"/>
      <c r="K1554" s="1030"/>
      <c r="L1554" s="690"/>
      <c r="M1554" s="1025"/>
      <c r="N1554" s="1030"/>
      <c r="O1554" s="692">
        <f t="shared" si="205"/>
        <v>0</v>
      </c>
      <c r="P1554" s="690"/>
      <c r="Q1554" s="690"/>
      <c r="R1554" s="691">
        <f t="shared" si="206"/>
        <v>0</v>
      </c>
      <c r="S1554" s="692">
        <f t="shared" si="207"/>
        <v>0</v>
      </c>
      <c r="T1554" s="693">
        <f t="shared" si="208"/>
        <v>0</v>
      </c>
      <c r="U1554" s="1035">
        <v>7500</v>
      </c>
      <c r="V1554" s="690">
        <v>0</v>
      </c>
      <c r="W1554" s="1025"/>
      <c r="X1554" s="1030"/>
      <c r="Y1554" s="694">
        <f t="shared" si="209"/>
        <v>0</v>
      </c>
      <c r="Z1554" s="690"/>
      <c r="AA1554" s="690"/>
      <c r="AB1554" s="695">
        <f t="shared" si="210"/>
        <v>0</v>
      </c>
      <c r="AC1554" s="1035"/>
      <c r="AD1554" s="690"/>
      <c r="AE1554" s="1025"/>
      <c r="AF1554" s="1030"/>
      <c r="AG1554" s="690"/>
      <c r="AH1554" s="690"/>
      <c r="AI1554" s="696">
        <f t="shared" si="211"/>
        <v>7500</v>
      </c>
      <c r="AJ1554" s="697">
        <f t="shared" si="212"/>
        <v>0</v>
      </c>
    </row>
    <row r="1555" spans="1:36" s="700" customFormat="1" ht="12.75" customHeight="1">
      <c r="A1555" s="870" t="s">
        <v>211</v>
      </c>
      <c r="B1555" s="739" t="s">
        <v>279</v>
      </c>
      <c r="C1555" s="746" t="s">
        <v>54</v>
      </c>
      <c r="D1555" s="746"/>
      <c r="E1555" s="872"/>
      <c r="F1555" s="873"/>
      <c r="G1555" s="1025"/>
      <c r="H1555" s="690"/>
      <c r="I1555" s="1030"/>
      <c r="J1555" s="690"/>
      <c r="K1555" s="1030"/>
      <c r="L1555" s="690"/>
      <c r="M1555" s="1025"/>
      <c r="N1555" s="1030"/>
      <c r="O1555" s="692">
        <f t="shared" si="205"/>
        <v>0</v>
      </c>
      <c r="P1555" s="690"/>
      <c r="Q1555" s="690"/>
      <c r="R1555" s="691">
        <f t="shared" si="206"/>
        <v>0</v>
      </c>
      <c r="S1555" s="692">
        <f t="shared" si="207"/>
        <v>0</v>
      </c>
      <c r="T1555" s="693">
        <f t="shared" si="208"/>
        <v>0</v>
      </c>
      <c r="U1555" s="1035"/>
      <c r="V1555" s="690"/>
      <c r="W1555" s="1025"/>
      <c r="X1555" s="1030"/>
      <c r="Y1555" s="694">
        <f t="shared" si="209"/>
        <v>0</v>
      </c>
      <c r="Z1555" s="690"/>
      <c r="AA1555" s="690"/>
      <c r="AB1555" s="695">
        <f t="shared" si="210"/>
        <v>0</v>
      </c>
      <c r="AC1555" s="1035"/>
      <c r="AD1555" s="690"/>
      <c r="AE1555" s="1025"/>
      <c r="AF1555" s="1030"/>
      <c r="AG1555" s="690"/>
      <c r="AH1555" s="690"/>
      <c r="AI1555" s="696">
        <f t="shared" si="211"/>
        <v>0</v>
      </c>
      <c r="AJ1555" s="697">
        <f t="shared" si="212"/>
        <v>0</v>
      </c>
    </row>
    <row r="1556" spans="1:36" s="700" customFormat="1" ht="12.75" customHeight="1">
      <c r="A1556" s="870" t="s">
        <v>211</v>
      </c>
      <c r="B1556" s="739" t="s">
        <v>317</v>
      </c>
      <c r="C1556" s="746" t="s">
        <v>443</v>
      </c>
      <c r="D1556" s="746"/>
      <c r="E1556" s="872"/>
      <c r="F1556" s="873"/>
      <c r="G1556" s="1025"/>
      <c r="H1556" s="690"/>
      <c r="I1556" s="1030"/>
      <c r="J1556" s="690"/>
      <c r="K1556" s="1030"/>
      <c r="L1556" s="690"/>
      <c r="M1556" s="1025"/>
      <c r="N1556" s="1030"/>
      <c r="O1556" s="692">
        <f t="shared" si="205"/>
        <v>0</v>
      </c>
      <c r="P1556" s="690"/>
      <c r="Q1556" s="690"/>
      <c r="R1556" s="691">
        <f t="shared" si="206"/>
        <v>0</v>
      </c>
      <c r="S1556" s="692">
        <f t="shared" si="207"/>
        <v>0</v>
      </c>
      <c r="T1556" s="693">
        <f t="shared" si="208"/>
        <v>0</v>
      </c>
      <c r="U1556" s="1035"/>
      <c r="V1556" s="690"/>
      <c r="W1556" s="1025"/>
      <c r="X1556" s="1030"/>
      <c r="Y1556" s="694">
        <f t="shared" si="209"/>
        <v>0</v>
      </c>
      <c r="Z1556" s="690"/>
      <c r="AA1556" s="690"/>
      <c r="AB1556" s="695">
        <f t="shared" si="210"/>
        <v>0</v>
      </c>
      <c r="AC1556" s="1035"/>
      <c r="AD1556" s="690"/>
      <c r="AE1556" s="1025"/>
      <c r="AF1556" s="1030"/>
      <c r="AG1556" s="690"/>
      <c r="AH1556" s="690"/>
      <c r="AI1556" s="696">
        <f t="shared" si="211"/>
        <v>0</v>
      </c>
      <c r="AJ1556" s="697">
        <f t="shared" si="212"/>
        <v>0</v>
      </c>
    </row>
    <row r="1557" spans="1:36" s="700" customFormat="1" ht="12.75" customHeight="1">
      <c r="A1557" s="870" t="s">
        <v>211</v>
      </c>
      <c r="B1557" s="870" t="s">
        <v>318</v>
      </c>
      <c r="C1557" s="876" t="s">
        <v>1113</v>
      </c>
      <c r="D1557" s="876"/>
      <c r="E1557" s="872"/>
      <c r="F1557" s="873"/>
      <c r="G1557" s="1025"/>
      <c r="H1557" s="690"/>
      <c r="I1557" s="1030"/>
      <c r="J1557" s="690"/>
      <c r="K1557" s="1030"/>
      <c r="L1557" s="690"/>
      <c r="M1557" s="1025"/>
      <c r="N1557" s="1030"/>
      <c r="O1557" s="692">
        <f t="shared" si="205"/>
        <v>0</v>
      </c>
      <c r="P1557" s="690"/>
      <c r="Q1557" s="690"/>
      <c r="R1557" s="691">
        <f t="shared" si="206"/>
        <v>0</v>
      </c>
      <c r="S1557" s="692">
        <f t="shared" si="207"/>
        <v>0</v>
      </c>
      <c r="T1557" s="693">
        <f t="shared" si="208"/>
        <v>0</v>
      </c>
      <c r="U1557" s="1035"/>
      <c r="V1557" s="690">
        <v>0</v>
      </c>
      <c r="W1557" s="1025"/>
      <c r="X1557" s="1030"/>
      <c r="Y1557" s="694">
        <f t="shared" si="209"/>
        <v>0</v>
      </c>
      <c r="Z1557" s="690"/>
      <c r="AA1557" s="690"/>
      <c r="AB1557" s="695">
        <f t="shared" si="210"/>
        <v>0</v>
      </c>
      <c r="AC1557" s="1035"/>
      <c r="AD1557" s="690"/>
      <c r="AE1557" s="1025"/>
      <c r="AF1557" s="1030"/>
      <c r="AG1557" s="690"/>
      <c r="AH1557" s="690"/>
      <c r="AI1557" s="696">
        <f t="shared" si="211"/>
        <v>0</v>
      </c>
      <c r="AJ1557" s="697">
        <f t="shared" si="212"/>
        <v>0</v>
      </c>
    </row>
    <row r="1558" spans="1:36" s="700" customFormat="1" ht="12.75" customHeight="1">
      <c r="A1558" s="870" t="s">
        <v>211</v>
      </c>
      <c r="B1558" s="882" t="s">
        <v>420</v>
      </c>
      <c r="C1558" s="881" t="s">
        <v>1124</v>
      </c>
      <c r="D1558" s="881"/>
      <c r="E1558" s="872"/>
      <c r="F1558" s="873"/>
      <c r="G1558" s="1025"/>
      <c r="H1558" s="690"/>
      <c r="I1558" s="1030"/>
      <c r="J1558" s="690"/>
      <c r="K1558" s="1030"/>
      <c r="L1558" s="690"/>
      <c r="M1558" s="1025"/>
      <c r="N1558" s="1030"/>
      <c r="O1558" s="692">
        <f t="shared" si="205"/>
        <v>0</v>
      </c>
      <c r="P1558" s="690"/>
      <c r="Q1558" s="690"/>
      <c r="R1558" s="691">
        <f t="shared" si="206"/>
        <v>0</v>
      </c>
      <c r="S1558" s="692">
        <f t="shared" si="207"/>
        <v>0</v>
      </c>
      <c r="T1558" s="693">
        <f t="shared" si="208"/>
        <v>0</v>
      </c>
      <c r="U1558" s="1035"/>
      <c r="V1558" s="690"/>
      <c r="W1558" s="1025"/>
      <c r="X1558" s="1030"/>
      <c r="Y1558" s="694">
        <f t="shared" si="209"/>
        <v>0</v>
      </c>
      <c r="Z1558" s="690"/>
      <c r="AA1558" s="690"/>
      <c r="AB1558" s="695">
        <f t="shared" si="210"/>
        <v>0</v>
      </c>
      <c r="AC1558" s="1035"/>
      <c r="AD1558" s="690"/>
      <c r="AE1558" s="1025"/>
      <c r="AF1558" s="1030"/>
      <c r="AG1558" s="690"/>
      <c r="AH1558" s="690"/>
      <c r="AI1558" s="696">
        <f t="shared" si="211"/>
        <v>0</v>
      </c>
      <c r="AJ1558" s="697">
        <f t="shared" si="212"/>
        <v>0</v>
      </c>
    </row>
    <row r="1559" spans="1:36" s="700" customFormat="1" ht="12.75" customHeight="1">
      <c r="A1559" s="870" t="s">
        <v>211</v>
      </c>
      <c r="B1559" s="870" t="s">
        <v>295</v>
      </c>
      <c r="C1559" s="876" t="s">
        <v>53</v>
      </c>
      <c r="D1559" s="876"/>
      <c r="E1559" s="872"/>
      <c r="F1559" s="873"/>
      <c r="G1559" s="1025"/>
      <c r="H1559" s="690"/>
      <c r="I1559" s="1030"/>
      <c r="J1559" s="690"/>
      <c r="K1559" s="1030"/>
      <c r="L1559" s="690"/>
      <c r="M1559" s="1025"/>
      <c r="N1559" s="1030"/>
      <c r="O1559" s="692">
        <f t="shared" si="205"/>
        <v>0</v>
      </c>
      <c r="P1559" s="690"/>
      <c r="Q1559" s="690"/>
      <c r="R1559" s="691">
        <f t="shared" si="206"/>
        <v>0</v>
      </c>
      <c r="S1559" s="692">
        <f t="shared" si="207"/>
        <v>0</v>
      </c>
      <c r="T1559" s="693">
        <f t="shared" si="208"/>
        <v>0</v>
      </c>
      <c r="U1559" s="1035"/>
      <c r="V1559" s="690"/>
      <c r="W1559" s="1025"/>
      <c r="X1559" s="1030"/>
      <c r="Y1559" s="694">
        <f t="shared" si="209"/>
        <v>0</v>
      </c>
      <c r="Z1559" s="690"/>
      <c r="AA1559" s="690"/>
      <c r="AB1559" s="695">
        <f t="shared" si="210"/>
        <v>0</v>
      </c>
      <c r="AC1559" s="1035"/>
      <c r="AD1559" s="690"/>
      <c r="AE1559" s="1025"/>
      <c r="AF1559" s="1030"/>
      <c r="AG1559" s="690"/>
      <c r="AH1559" s="690"/>
      <c r="AI1559" s="696">
        <f t="shared" si="211"/>
        <v>0</v>
      </c>
      <c r="AJ1559" s="697">
        <f t="shared" si="212"/>
        <v>0</v>
      </c>
    </row>
    <row r="1560" spans="1:36" s="700" customFormat="1" ht="12.75" customHeight="1">
      <c r="A1560" s="870" t="s">
        <v>211</v>
      </c>
      <c r="B1560" s="870" t="s">
        <v>296</v>
      </c>
      <c r="C1560" s="876" t="s">
        <v>443</v>
      </c>
      <c r="D1560" s="876"/>
      <c r="E1560" s="872"/>
      <c r="F1560" s="873"/>
      <c r="G1560" s="1025"/>
      <c r="H1560" s="690"/>
      <c r="I1560" s="1030"/>
      <c r="J1560" s="690"/>
      <c r="K1560" s="1030"/>
      <c r="L1560" s="690"/>
      <c r="M1560" s="1025"/>
      <c r="N1560" s="1030"/>
      <c r="O1560" s="692">
        <f t="shared" si="205"/>
        <v>0</v>
      </c>
      <c r="P1560" s="690"/>
      <c r="Q1560" s="690"/>
      <c r="R1560" s="691">
        <f t="shared" si="206"/>
        <v>0</v>
      </c>
      <c r="S1560" s="692">
        <f t="shared" si="207"/>
        <v>0</v>
      </c>
      <c r="T1560" s="693">
        <f t="shared" si="208"/>
        <v>0</v>
      </c>
      <c r="U1560" s="1035"/>
      <c r="V1560" s="690"/>
      <c r="W1560" s="1025"/>
      <c r="X1560" s="1030"/>
      <c r="Y1560" s="694">
        <f t="shared" si="209"/>
        <v>0</v>
      </c>
      <c r="Z1560" s="690"/>
      <c r="AA1560" s="690"/>
      <c r="AB1560" s="695">
        <f t="shared" si="210"/>
        <v>0</v>
      </c>
      <c r="AC1560" s="1035"/>
      <c r="AD1560" s="690"/>
      <c r="AE1560" s="1025"/>
      <c r="AF1560" s="1030"/>
      <c r="AG1560" s="690"/>
      <c r="AH1560" s="690"/>
      <c r="AI1560" s="696">
        <f t="shared" si="211"/>
        <v>0</v>
      </c>
      <c r="AJ1560" s="697">
        <f t="shared" si="212"/>
        <v>0</v>
      </c>
    </row>
    <row r="1561" spans="1:36" s="700" customFormat="1" ht="12.75" customHeight="1">
      <c r="A1561" s="870" t="s">
        <v>211</v>
      </c>
      <c r="B1561" s="870" t="s">
        <v>278</v>
      </c>
      <c r="C1561" s="876" t="s">
        <v>1113</v>
      </c>
      <c r="D1561" s="876"/>
      <c r="E1561" s="872"/>
      <c r="F1561" s="873"/>
      <c r="G1561" s="1025"/>
      <c r="H1561" s="690"/>
      <c r="I1561" s="1030"/>
      <c r="J1561" s="690"/>
      <c r="K1561" s="1030"/>
      <c r="L1561" s="690"/>
      <c r="M1561" s="1025"/>
      <c r="N1561" s="1030"/>
      <c r="O1561" s="692">
        <f t="shared" si="205"/>
        <v>0</v>
      </c>
      <c r="P1561" s="690"/>
      <c r="Q1561" s="690"/>
      <c r="R1561" s="691">
        <f t="shared" si="206"/>
        <v>0</v>
      </c>
      <c r="S1561" s="692">
        <f t="shared" si="207"/>
        <v>0</v>
      </c>
      <c r="T1561" s="693">
        <f t="shared" si="208"/>
        <v>0</v>
      </c>
      <c r="U1561" s="1035">
        <v>5000</v>
      </c>
      <c r="V1561" s="690">
        <v>0</v>
      </c>
      <c r="W1561" s="1025"/>
      <c r="X1561" s="1030"/>
      <c r="Y1561" s="694">
        <f t="shared" si="209"/>
        <v>0</v>
      </c>
      <c r="Z1561" s="690"/>
      <c r="AA1561" s="690"/>
      <c r="AB1561" s="695">
        <f t="shared" si="210"/>
        <v>0</v>
      </c>
      <c r="AC1561" s="1035"/>
      <c r="AD1561" s="690"/>
      <c r="AE1561" s="1025"/>
      <c r="AF1561" s="1030"/>
      <c r="AG1561" s="690"/>
      <c r="AH1561" s="690"/>
      <c r="AI1561" s="696">
        <f t="shared" si="211"/>
        <v>5000</v>
      </c>
      <c r="AJ1561" s="697">
        <f t="shared" si="212"/>
        <v>0</v>
      </c>
    </row>
    <row r="1562" spans="1:36" s="700" customFormat="1" ht="12.75" customHeight="1">
      <c r="A1562" s="870" t="s">
        <v>211</v>
      </c>
      <c r="B1562" s="739" t="s">
        <v>279</v>
      </c>
      <c r="C1562" s="746" t="s">
        <v>54</v>
      </c>
      <c r="D1562" s="746"/>
      <c r="E1562" s="872"/>
      <c r="F1562" s="873"/>
      <c r="G1562" s="1025"/>
      <c r="H1562" s="690"/>
      <c r="I1562" s="1030"/>
      <c r="J1562" s="690"/>
      <c r="K1562" s="1030"/>
      <c r="L1562" s="690"/>
      <c r="M1562" s="1025"/>
      <c r="N1562" s="1030"/>
      <c r="O1562" s="692">
        <f t="shared" si="205"/>
        <v>0</v>
      </c>
      <c r="P1562" s="690"/>
      <c r="Q1562" s="690"/>
      <c r="R1562" s="691">
        <f t="shared" si="206"/>
        <v>0</v>
      </c>
      <c r="S1562" s="692">
        <f t="shared" si="207"/>
        <v>0</v>
      </c>
      <c r="T1562" s="693">
        <f t="shared" si="208"/>
        <v>0</v>
      </c>
      <c r="U1562" s="1035"/>
      <c r="V1562" s="690"/>
      <c r="W1562" s="1025"/>
      <c r="X1562" s="1030"/>
      <c r="Y1562" s="694">
        <f t="shared" si="209"/>
        <v>0</v>
      </c>
      <c r="Z1562" s="690"/>
      <c r="AA1562" s="690"/>
      <c r="AB1562" s="695">
        <f t="shared" si="210"/>
        <v>0</v>
      </c>
      <c r="AC1562" s="1035"/>
      <c r="AD1562" s="690"/>
      <c r="AE1562" s="1025"/>
      <c r="AF1562" s="1030"/>
      <c r="AG1562" s="690"/>
      <c r="AH1562" s="690"/>
      <c r="AI1562" s="696">
        <f t="shared" si="211"/>
        <v>0</v>
      </c>
      <c r="AJ1562" s="697">
        <f t="shared" si="212"/>
        <v>0</v>
      </c>
    </row>
    <row r="1563" spans="1:36" s="700" customFormat="1" ht="12.75" customHeight="1">
      <c r="A1563" s="870" t="s">
        <v>211</v>
      </c>
      <c r="B1563" s="739" t="s">
        <v>317</v>
      </c>
      <c r="C1563" s="746" t="s">
        <v>443</v>
      </c>
      <c r="D1563" s="746"/>
      <c r="E1563" s="872"/>
      <c r="F1563" s="873"/>
      <c r="G1563" s="1025"/>
      <c r="H1563" s="690"/>
      <c r="I1563" s="1030"/>
      <c r="J1563" s="690"/>
      <c r="K1563" s="1030"/>
      <c r="L1563" s="690"/>
      <c r="M1563" s="1025"/>
      <c r="N1563" s="1030"/>
      <c r="O1563" s="692">
        <f t="shared" si="205"/>
        <v>0</v>
      </c>
      <c r="P1563" s="690"/>
      <c r="Q1563" s="690"/>
      <c r="R1563" s="691">
        <f t="shared" si="206"/>
        <v>0</v>
      </c>
      <c r="S1563" s="692">
        <f t="shared" si="207"/>
        <v>0</v>
      </c>
      <c r="T1563" s="693">
        <f t="shared" si="208"/>
        <v>0</v>
      </c>
      <c r="U1563" s="1035"/>
      <c r="V1563" s="690"/>
      <c r="W1563" s="1025"/>
      <c r="X1563" s="1030"/>
      <c r="Y1563" s="694">
        <f t="shared" si="209"/>
        <v>0</v>
      </c>
      <c r="Z1563" s="690"/>
      <c r="AA1563" s="690"/>
      <c r="AB1563" s="695">
        <f t="shared" si="210"/>
        <v>0</v>
      </c>
      <c r="AC1563" s="1035"/>
      <c r="AD1563" s="690"/>
      <c r="AE1563" s="1025"/>
      <c r="AF1563" s="1030"/>
      <c r="AG1563" s="690"/>
      <c r="AH1563" s="690"/>
      <c r="AI1563" s="696">
        <f t="shared" si="211"/>
        <v>0</v>
      </c>
      <c r="AJ1563" s="697">
        <f t="shared" si="212"/>
        <v>0</v>
      </c>
    </row>
    <row r="1564" spans="1:36" s="700" customFormat="1" ht="12.75" customHeight="1">
      <c r="A1564" s="870" t="s">
        <v>211</v>
      </c>
      <c r="B1564" s="870" t="s">
        <v>318</v>
      </c>
      <c r="C1564" s="876" t="s">
        <v>1113</v>
      </c>
      <c r="D1564" s="876"/>
      <c r="E1564" s="872"/>
      <c r="F1564" s="873"/>
      <c r="G1564" s="1025"/>
      <c r="H1564" s="690"/>
      <c r="I1564" s="1030"/>
      <c r="J1564" s="690"/>
      <c r="K1564" s="1030"/>
      <c r="L1564" s="690"/>
      <c r="M1564" s="1025"/>
      <c r="N1564" s="1030"/>
      <c r="O1564" s="692">
        <f t="shared" si="205"/>
        <v>0</v>
      </c>
      <c r="P1564" s="690"/>
      <c r="Q1564" s="690"/>
      <c r="R1564" s="691">
        <f t="shared" si="206"/>
        <v>0</v>
      </c>
      <c r="S1564" s="692">
        <f t="shared" si="207"/>
        <v>0</v>
      </c>
      <c r="T1564" s="693">
        <f t="shared" si="208"/>
        <v>0</v>
      </c>
      <c r="U1564" s="1035"/>
      <c r="V1564" s="690">
        <v>0</v>
      </c>
      <c r="W1564" s="1025"/>
      <c r="X1564" s="1030"/>
      <c r="Y1564" s="694">
        <f t="shared" si="209"/>
        <v>0</v>
      </c>
      <c r="Z1564" s="690"/>
      <c r="AA1564" s="690"/>
      <c r="AB1564" s="695">
        <f t="shared" si="210"/>
        <v>0</v>
      </c>
      <c r="AC1564" s="1035"/>
      <c r="AD1564" s="690"/>
      <c r="AE1564" s="1025"/>
      <c r="AF1564" s="1030"/>
      <c r="AG1564" s="690"/>
      <c r="AH1564" s="690"/>
      <c r="AI1564" s="696">
        <f t="shared" si="211"/>
        <v>0</v>
      </c>
      <c r="AJ1564" s="697">
        <f t="shared" si="212"/>
        <v>0</v>
      </c>
    </row>
    <row r="1565" spans="1:36" s="700" customFormat="1" ht="12.75" customHeight="1">
      <c r="A1565" s="883" t="s">
        <v>211</v>
      </c>
      <c r="B1565" s="884" t="s">
        <v>420</v>
      </c>
      <c r="C1565" s="885" t="s">
        <v>1125</v>
      </c>
      <c r="D1565" s="885"/>
      <c r="E1565" s="872"/>
      <c r="F1565" s="873"/>
      <c r="G1565" s="1025"/>
      <c r="H1565" s="690"/>
      <c r="I1565" s="1030"/>
      <c r="J1565" s="690"/>
      <c r="K1565" s="1030"/>
      <c r="L1565" s="690"/>
      <c r="M1565" s="1025"/>
      <c r="N1565" s="1030"/>
      <c r="O1565" s="692">
        <f t="shared" si="205"/>
        <v>0</v>
      </c>
      <c r="P1565" s="690"/>
      <c r="Q1565" s="690"/>
      <c r="R1565" s="691">
        <f t="shared" si="206"/>
        <v>0</v>
      </c>
      <c r="S1565" s="692">
        <f t="shared" si="207"/>
        <v>0</v>
      </c>
      <c r="T1565" s="693">
        <f t="shared" si="208"/>
        <v>0</v>
      </c>
      <c r="U1565" s="1035"/>
      <c r="V1565" s="690"/>
      <c r="W1565" s="1025"/>
      <c r="X1565" s="1030"/>
      <c r="Y1565" s="694">
        <f t="shared" si="209"/>
        <v>0</v>
      </c>
      <c r="Z1565" s="690"/>
      <c r="AA1565" s="690"/>
      <c r="AB1565" s="695">
        <f t="shared" si="210"/>
        <v>0</v>
      </c>
      <c r="AC1565" s="1035"/>
      <c r="AD1565" s="690"/>
      <c r="AE1565" s="1025"/>
      <c r="AF1565" s="1030"/>
      <c r="AG1565" s="690"/>
      <c r="AH1565" s="690"/>
      <c r="AI1565" s="696">
        <f t="shared" si="211"/>
        <v>0</v>
      </c>
      <c r="AJ1565" s="697">
        <f t="shared" si="212"/>
        <v>0</v>
      </c>
    </row>
    <row r="1566" spans="1:36" s="700" customFormat="1" ht="12.75" customHeight="1">
      <c r="A1566" s="870" t="s">
        <v>211</v>
      </c>
      <c r="B1566" s="870" t="s">
        <v>295</v>
      </c>
      <c r="C1566" s="876" t="s">
        <v>53</v>
      </c>
      <c r="D1566" s="876"/>
      <c r="E1566" s="872"/>
      <c r="F1566" s="873"/>
      <c r="G1566" s="1025"/>
      <c r="H1566" s="690"/>
      <c r="I1566" s="1030"/>
      <c r="J1566" s="690"/>
      <c r="K1566" s="1030"/>
      <c r="L1566" s="690"/>
      <c r="M1566" s="1025"/>
      <c r="N1566" s="1030"/>
      <c r="O1566" s="692">
        <f t="shared" si="205"/>
        <v>0</v>
      </c>
      <c r="P1566" s="690"/>
      <c r="Q1566" s="690"/>
      <c r="R1566" s="691">
        <f t="shared" si="206"/>
        <v>0</v>
      </c>
      <c r="S1566" s="692">
        <f t="shared" si="207"/>
        <v>0</v>
      </c>
      <c r="T1566" s="693">
        <f t="shared" si="208"/>
        <v>0</v>
      </c>
      <c r="U1566" s="1035"/>
      <c r="V1566" s="690"/>
      <c r="W1566" s="1025"/>
      <c r="X1566" s="1030"/>
      <c r="Y1566" s="694">
        <f t="shared" si="209"/>
        <v>0</v>
      </c>
      <c r="Z1566" s="690"/>
      <c r="AA1566" s="690"/>
      <c r="AB1566" s="695">
        <f t="shared" si="210"/>
        <v>0</v>
      </c>
      <c r="AC1566" s="1035"/>
      <c r="AD1566" s="690"/>
      <c r="AE1566" s="1025"/>
      <c r="AF1566" s="1030"/>
      <c r="AG1566" s="690"/>
      <c r="AH1566" s="690"/>
      <c r="AI1566" s="696">
        <f t="shared" si="211"/>
        <v>0</v>
      </c>
      <c r="AJ1566" s="697">
        <f t="shared" si="212"/>
        <v>0</v>
      </c>
    </row>
    <row r="1567" spans="1:36" s="700" customFormat="1" ht="12.75" customHeight="1">
      <c r="A1567" s="870" t="s">
        <v>211</v>
      </c>
      <c r="B1567" s="870" t="s">
        <v>296</v>
      </c>
      <c r="C1567" s="876" t="s">
        <v>443</v>
      </c>
      <c r="D1567" s="876"/>
      <c r="E1567" s="872"/>
      <c r="F1567" s="873"/>
      <c r="G1567" s="1025"/>
      <c r="H1567" s="690"/>
      <c r="I1567" s="1030"/>
      <c r="J1567" s="690"/>
      <c r="K1567" s="1030"/>
      <c r="L1567" s="690"/>
      <c r="M1567" s="1025"/>
      <c r="N1567" s="1030"/>
      <c r="O1567" s="692">
        <f t="shared" si="205"/>
        <v>0</v>
      </c>
      <c r="P1567" s="690"/>
      <c r="Q1567" s="690"/>
      <c r="R1567" s="691">
        <f t="shared" si="206"/>
        <v>0</v>
      </c>
      <c r="S1567" s="692">
        <f t="shared" si="207"/>
        <v>0</v>
      </c>
      <c r="T1567" s="693">
        <f t="shared" si="208"/>
        <v>0</v>
      </c>
      <c r="U1567" s="1035"/>
      <c r="V1567" s="690"/>
      <c r="W1567" s="1025"/>
      <c r="X1567" s="1030"/>
      <c r="Y1567" s="694">
        <f t="shared" si="209"/>
        <v>0</v>
      </c>
      <c r="Z1567" s="690"/>
      <c r="AA1567" s="690"/>
      <c r="AB1567" s="695">
        <f t="shared" si="210"/>
        <v>0</v>
      </c>
      <c r="AC1567" s="1035"/>
      <c r="AD1567" s="690"/>
      <c r="AE1567" s="1025"/>
      <c r="AF1567" s="1030"/>
      <c r="AG1567" s="690"/>
      <c r="AH1567" s="690"/>
      <c r="AI1567" s="696">
        <f t="shared" si="211"/>
        <v>0</v>
      </c>
      <c r="AJ1567" s="697">
        <f t="shared" si="212"/>
        <v>0</v>
      </c>
    </row>
    <row r="1568" spans="1:36" s="700" customFormat="1" ht="12.75" customHeight="1">
      <c r="A1568" s="870" t="s">
        <v>211</v>
      </c>
      <c r="B1568" s="870" t="s">
        <v>278</v>
      </c>
      <c r="C1568" s="876" t="s">
        <v>1113</v>
      </c>
      <c r="D1568" s="876"/>
      <c r="E1568" s="872"/>
      <c r="F1568" s="873"/>
      <c r="G1568" s="1025"/>
      <c r="H1568" s="690"/>
      <c r="I1568" s="1030"/>
      <c r="J1568" s="690"/>
      <c r="K1568" s="1030"/>
      <c r="L1568" s="690"/>
      <c r="M1568" s="1025"/>
      <c r="N1568" s="1030"/>
      <c r="O1568" s="692">
        <f t="shared" si="205"/>
        <v>0</v>
      </c>
      <c r="P1568" s="690"/>
      <c r="Q1568" s="690"/>
      <c r="R1568" s="691">
        <f t="shared" si="206"/>
        <v>0</v>
      </c>
      <c r="S1568" s="692">
        <f t="shared" si="207"/>
        <v>0</v>
      </c>
      <c r="T1568" s="693">
        <f t="shared" si="208"/>
        <v>0</v>
      </c>
      <c r="U1568" s="1035">
        <v>7476</v>
      </c>
      <c r="V1568" s="690">
        <v>1500</v>
      </c>
      <c r="W1568" s="1025"/>
      <c r="X1568" s="1030"/>
      <c r="Y1568" s="694">
        <f t="shared" si="209"/>
        <v>0</v>
      </c>
      <c r="Z1568" s="690"/>
      <c r="AA1568" s="690"/>
      <c r="AB1568" s="695">
        <f t="shared" si="210"/>
        <v>0</v>
      </c>
      <c r="AC1568" s="1035"/>
      <c r="AD1568" s="690"/>
      <c r="AE1568" s="1025"/>
      <c r="AF1568" s="1030"/>
      <c r="AG1568" s="690"/>
      <c r="AH1568" s="690"/>
      <c r="AI1568" s="696">
        <f t="shared" si="211"/>
        <v>7476</v>
      </c>
      <c r="AJ1568" s="697">
        <f t="shared" si="212"/>
        <v>1500</v>
      </c>
    </row>
    <row r="1569" spans="1:36" s="700" customFormat="1" ht="12.75" customHeight="1">
      <c r="A1569" s="870" t="s">
        <v>211</v>
      </c>
      <c r="B1569" s="739" t="s">
        <v>279</v>
      </c>
      <c r="C1569" s="746" t="s">
        <v>54</v>
      </c>
      <c r="D1569" s="746"/>
      <c r="E1569" s="872"/>
      <c r="F1569" s="873"/>
      <c r="G1569" s="1025"/>
      <c r="H1569" s="690"/>
      <c r="I1569" s="1030"/>
      <c r="J1569" s="690"/>
      <c r="K1569" s="1030"/>
      <c r="L1569" s="690"/>
      <c r="M1569" s="1025"/>
      <c r="N1569" s="1030"/>
      <c r="O1569" s="692">
        <f t="shared" si="205"/>
        <v>0</v>
      </c>
      <c r="P1569" s="690"/>
      <c r="Q1569" s="690"/>
      <c r="R1569" s="691">
        <f t="shared" si="206"/>
        <v>0</v>
      </c>
      <c r="S1569" s="692">
        <f t="shared" si="207"/>
        <v>0</v>
      </c>
      <c r="T1569" s="693">
        <f t="shared" si="208"/>
        <v>0</v>
      </c>
      <c r="U1569" s="1035"/>
      <c r="V1569" s="690"/>
      <c r="W1569" s="1025"/>
      <c r="X1569" s="1030"/>
      <c r="Y1569" s="694">
        <f t="shared" si="209"/>
        <v>0</v>
      </c>
      <c r="Z1569" s="690"/>
      <c r="AA1569" s="690"/>
      <c r="AB1569" s="695">
        <f t="shared" si="210"/>
        <v>0</v>
      </c>
      <c r="AC1569" s="1035"/>
      <c r="AD1569" s="690"/>
      <c r="AE1569" s="1025"/>
      <c r="AF1569" s="1030"/>
      <c r="AG1569" s="690"/>
      <c r="AH1569" s="690"/>
      <c r="AI1569" s="696">
        <f t="shared" si="211"/>
        <v>0</v>
      </c>
      <c r="AJ1569" s="697">
        <f t="shared" si="212"/>
        <v>0</v>
      </c>
    </row>
    <row r="1570" spans="1:36" s="700" customFormat="1" ht="12.75" customHeight="1">
      <c r="A1570" s="870" t="s">
        <v>211</v>
      </c>
      <c r="B1570" s="739" t="s">
        <v>317</v>
      </c>
      <c r="C1570" s="746" t="s">
        <v>443</v>
      </c>
      <c r="D1570" s="746"/>
      <c r="E1570" s="872"/>
      <c r="F1570" s="873"/>
      <c r="G1570" s="1025"/>
      <c r="H1570" s="690"/>
      <c r="I1570" s="1030"/>
      <c r="J1570" s="690"/>
      <c r="K1570" s="1030"/>
      <c r="L1570" s="690"/>
      <c r="M1570" s="1025"/>
      <c r="N1570" s="1030"/>
      <c r="O1570" s="692">
        <f t="shared" si="205"/>
        <v>0</v>
      </c>
      <c r="P1570" s="690"/>
      <c r="Q1570" s="690"/>
      <c r="R1570" s="691">
        <f t="shared" si="206"/>
        <v>0</v>
      </c>
      <c r="S1570" s="692">
        <f t="shared" si="207"/>
        <v>0</v>
      </c>
      <c r="T1570" s="693">
        <f t="shared" si="208"/>
        <v>0</v>
      </c>
      <c r="U1570" s="1035"/>
      <c r="V1570" s="690"/>
      <c r="W1570" s="1025"/>
      <c r="X1570" s="1030"/>
      <c r="Y1570" s="694">
        <f t="shared" si="209"/>
        <v>0</v>
      </c>
      <c r="Z1570" s="690"/>
      <c r="AA1570" s="690"/>
      <c r="AB1570" s="695">
        <f t="shared" si="210"/>
        <v>0</v>
      </c>
      <c r="AC1570" s="1035"/>
      <c r="AD1570" s="690"/>
      <c r="AE1570" s="1025"/>
      <c r="AF1570" s="1030"/>
      <c r="AG1570" s="690"/>
      <c r="AH1570" s="690"/>
      <c r="AI1570" s="696">
        <f t="shared" si="211"/>
        <v>0</v>
      </c>
      <c r="AJ1570" s="697">
        <f t="shared" si="212"/>
        <v>0</v>
      </c>
    </row>
    <row r="1571" spans="1:36" s="700" customFormat="1" ht="12.75" customHeight="1">
      <c r="A1571" s="870" t="s">
        <v>211</v>
      </c>
      <c r="B1571" s="870" t="s">
        <v>318</v>
      </c>
      <c r="C1571" s="876" t="s">
        <v>1113</v>
      </c>
      <c r="D1571" s="876"/>
      <c r="E1571" s="872"/>
      <c r="F1571" s="873"/>
      <c r="G1571" s="1025"/>
      <c r="H1571" s="690"/>
      <c r="I1571" s="1030"/>
      <c r="J1571" s="690"/>
      <c r="K1571" s="1030"/>
      <c r="L1571" s="690"/>
      <c r="M1571" s="1025"/>
      <c r="N1571" s="1030"/>
      <c r="O1571" s="692">
        <f t="shared" si="205"/>
        <v>0</v>
      </c>
      <c r="P1571" s="690"/>
      <c r="Q1571" s="690"/>
      <c r="R1571" s="691">
        <f t="shared" si="206"/>
        <v>0</v>
      </c>
      <c r="S1571" s="692">
        <f t="shared" si="207"/>
        <v>0</v>
      </c>
      <c r="T1571" s="693">
        <f t="shared" si="208"/>
        <v>0</v>
      </c>
      <c r="U1571" s="1035"/>
      <c r="V1571" s="690">
        <v>0</v>
      </c>
      <c r="W1571" s="1025"/>
      <c r="X1571" s="1030"/>
      <c r="Y1571" s="694">
        <f t="shared" si="209"/>
        <v>0</v>
      </c>
      <c r="Z1571" s="690"/>
      <c r="AA1571" s="690"/>
      <c r="AB1571" s="695">
        <f t="shared" si="210"/>
        <v>0</v>
      </c>
      <c r="AC1571" s="1035"/>
      <c r="AD1571" s="690"/>
      <c r="AE1571" s="1025"/>
      <c r="AF1571" s="1030"/>
      <c r="AG1571" s="690"/>
      <c r="AH1571" s="690"/>
      <c r="AI1571" s="696">
        <f t="shared" si="211"/>
        <v>0</v>
      </c>
      <c r="AJ1571" s="697">
        <f t="shared" si="212"/>
        <v>0</v>
      </c>
    </row>
    <row r="1572" spans="1:36" s="700" customFormat="1" ht="12.75" customHeight="1">
      <c r="A1572" s="870" t="s">
        <v>211</v>
      </c>
      <c r="B1572" s="882" t="s">
        <v>420</v>
      </c>
      <c r="C1572" s="881" t="s">
        <v>1126</v>
      </c>
      <c r="D1572" s="881"/>
      <c r="E1572" s="872"/>
      <c r="F1572" s="873"/>
      <c r="G1572" s="1025"/>
      <c r="H1572" s="690"/>
      <c r="I1572" s="1030"/>
      <c r="J1572" s="690"/>
      <c r="K1572" s="1030"/>
      <c r="L1572" s="690"/>
      <c r="M1572" s="1025"/>
      <c r="N1572" s="1030"/>
      <c r="O1572" s="692">
        <f t="shared" si="205"/>
        <v>0</v>
      </c>
      <c r="P1572" s="690"/>
      <c r="Q1572" s="690"/>
      <c r="R1572" s="691">
        <f t="shared" si="206"/>
        <v>0</v>
      </c>
      <c r="S1572" s="692">
        <f t="shared" si="207"/>
        <v>0</v>
      </c>
      <c r="T1572" s="693">
        <f t="shared" si="208"/>
        <v>0</v>
      </c>
      <c r="U1572" s="1035"/>
      <c r="V1572" s="690"/>
      <c r="W1572" s="1025"/>
      <c r="X1572" s="1030"/>
      <c r="Y1572" s="694">
        <f t="shared" si="209"/>
        <v>0</v>
      </c>
      <c r="Z1572" s="690"/>
      <c r="AA1572" s="690"/>
      <c r="AB1572" s="695">
        <f t="shared" si="210"/>
        <v>0</v>
      </c>
      <c r="AC1572" s="1035"/>
      <c r="AD1572" s="690"/>
      <c r="AE1572" s="1025"/>
      <c r="AF1572" s="1030"/>
      <c r="AG1572" s="690"/>
      <c r="AH1572" s="690"/>
      <c r="AI1572" s="696">
        <f t="shared" si="211"/>
        <v>0</v>
      </c>
      <c r="AJ1572" s="697">
        <f t="shared" si="212"/>
        <v>0</v>
      </c>
    </row>
    <row r="1573" spans="1:36" s="700" customFormat="1" ht="12.75" customHeight="1">
      <c r="A1573" s="870" t="s">
        <v>211</v>
      </c>
      <c r="B1573" s="870" t="s">
        <v>295</v>
      </c>
      <c r="C1573" s="876" t="s">
        <v>53</v>
      </c>
      <c r="D1573" s="876"/>
      <c r="E1573" s="872"/>
      <c r="F1573" s="873"/>
      <c r="G1573" s="1025"/>
      <c r="H1573" s="690"/>
      <c r="I1573" s="1030"/>
      <c r="J1573" s="690"/>
      <c r="K1573" s="1030"/>
      <c r="L1573" s="690"/>
      <c r="M1573" s="1025"/>
      <c r="N1573" s="1030"/>
      <c r="O1573" s="692">
        <f t="shared" si="205"/>
        <v>0</v>
      </c>
      <c r="P1573" s="690"/>
      <c r="Q1573" s="690"/>
      <c r="R1573" s="691">
        <f t="shared" si="206"/>
        <v>0</v>
      </c>
      <c r="S1573" s="692">
        <f t="shared" si="207"/>
        <v>0</v>
      </c>
      <c r="T1573" s="693">
        <f t="shared" si="208"/>
        <v>0</v>
      </c>
      <c r="U1573" s="1035"/>
      <c r="V1573" s="690"/>
      <c r="W1573" s="1025"/>
      <c r="X1573" s="1030"/>
      <c r="Y1573" s="694">
        <f t="shared" si="209"/>
        <v>0</v>
      </c>
      <c r="Z1573" s="690"/>
      <c r="AA1573" s="690"/>
      <c r="AB1573" s="695">
        <f t="shared" si="210"/>
        <v>0</v>
      </c>
      <c r="AC1573" s="1035"/>
      <c r="AD1573" s="690"/>
      <c r="AE1573" s="1025"/>
      <c r="AF1573" s="1030"/>
      <c r="AG1573" s="690"/>
      <c r="AH1573" s="690"/>
      <c r="AI1573" s="696">
        <f t="shared" si="211"/>
        <v>0</v>
      </c>
      <c r="AJ1573" s="697">
        <f t="shared" si="212"/>
        <v>0</v>
      </c>
    </row>
    <row r="1574" spans="1:36" s="700" customFormat="1" ht="12.75" customHeight="1">
      <c r="A1574" s="870" t="s">
        <v>211</v>
      </c>
      <c r="B1574" s="870" t="s">
        <v>296</v>
      </c>
      <c r="C1574" s="876" t="s">
        <v>443</v>
      </c>
      <c r="D1574" s="876"/>
      <c r="E1574" s="872"/>
      <c r="F1574" s="873"/>
      <c r="G1574" s="1025"/>
      <c r="H1574" s="690"/>
      <c r="I1574" s="1030"/>
      <c r="J1574" s="690"/>
      <c r="K1574" s="1030"/>
      <c r="L1574" s="690"/>
      <c r="M1574" s="1025"/>
      <c r="N1574" s="1030"/>
      <c r="O1574" s="692">
        <f t="shared" si="205"/>
        <v>0</v>
      </c>
      <c r="P1574" s="690"/>
      <c r="Q1574" s="690"/>
      <c r="R1574" s="691">
        <f t="shared" si="206"/>
        <v>0</v>
      </c>
      <c r="S1574" s="692">
        <f t="shared" si="207"/>
        <v>0</v>
      </c>
      <c r="T1574" s="693">
        <f t="shared" si="208"/>
        <v>0</v>
      </c>
      <c r="U1574" s="1035"/>
      <c r="V1574" s="690"/>
      <c r="W1574" s="1025"/>
      <c r="X1574" s="1030"/>
      <c r="Y1574" s="694">
        <f t="shared" si="209"/>
        <v>0</v>
      </c>
      <c r="Z1574" s="690"/>
      <c r="AA1574" s="690"/>
      <c r="AB1574" s="695">
        <f t="shared" si="210"/>
        <v>0</v>
      </c>
      <c r="AC1574" s="1035"/>
      <c r="AD1574" s="690"/>
      <c r="AE1574" s="1025"/>
      <c r="AF1574" s="1030"/>
      <c r="AG1574" s="690"/>
      <c r="AH1574" s="690"/>
      <c r="AI1574" s="696">
        <f t="shared" si="211"/>
        <v>0</v>
      </c>
      <c r="AJ1574" s="697">
        <f t="shared" si="212"/>
        <v>0</v>
      </c>
    </row>
    <row r="1575" spans="1:36" s="700" customFormat="1" ht="12.75" customHeight="1">
      <c r="A1575" s="870" t="s">
        <v>211</v>
      </c>
      <c r="B1575" s="870" t="s">
        <v>278</v>
      </c>
      <c r="C1575" s="876" t="s">
        <v>1113</v>
      </c>
      <c r="D1575" s="876"/>
      <c r="E1575" s="872"/>
      <c r="F1575" s="873"/>
      <c r="G1575" s="1025"/>
      <c r="H1575" s="690"/>
      <c r="I1575" s="1030"/>
      <c r="J1575" s="690"/>
      <c r="K1575" s="1030"/>
      <c r="L1575" s="690"/>
      <c r="M1575" s="1025"/>
      <c r="N1575" s="1030"/>
      <c r="O1575" s="692">
        <f t="shared" si="205"/>
        <v>0</v>
      </c>
      <c r="P1575" s="690"/>
      <c r="Q1575" s="690"/>
      <c r="R1575" s="691">
        <f t="shared" si="206"/>
        <v>0</v>
      </c>
      <c r="S1575" s="692">
        <f t="shared" si="207"/>
        <v>0</v>
      </c>
      <c r="T1575" s="693">
        <f t="shared" si="208"/>
        <v>0</v>
      </c>
      <c r="U1575" s="1035">
        <v>21500</v>
      </c>
      <c r="V1575" s="690">
        <v>0</v>
      </c>
      <c r="W1575" s="1025"/>
      <c r="X1575" s="1030"/>
      <c r="Y1575" s="694">
        <f t="shared" si="209"/>
        <v>0</v>
      </c>
      <c r="Z1575" s="690"/>
      <c r="AA1575" s="690"/>
      <c r="AB1575" s="695">
        <f t="shared" si="210"/>
        <v>0</v>
      </c>
      <c r="AC1575" s="1035"/>
      <c r="AD1575" s="690"/>
      <c r="AE1575" s="1025"/>
      <c r="AF1575" s="1030"/>
      <c r="AG1575" s="690"/>
      <c r="AH1575" s="690"/>
      <c r="AI1575" s="696">
        <f t="shared" si="211"/>
        <v>21500</v>
      </c>
      <c r="AJ1575" s="697">
        <f t="shared" si="212"/>
        <v>0</v>
      </c>
    </row>
    <row r="1576" spans="1:36" s="700" customFormat="1" ht="12.75" customHeight="1">
      <c r="A1576" s="870" t="s">
        <v>211</v>
      </c>
      <c r="B1576" s="739" t="s">
        <v>279</v>
      </c>
      <c r="C1576" s="746" t="s">
        <v>54</v>
      </c>
      <c r="D1576" s="746"/>
      <c r="E1576" s="872"/>
      <c r="F1576" s="873"/>
      <c r="G1576" s="1025"/>
      <c r="H1576" s="690"/>
      <c r="I1576" s="1030"/>
      <c r="J1576" s="690"/>
      <c r="K1576" s="1030"/>
      <c r="L1576" s="690"/>
      <c r="M1576" s="1025"/>
      <c r="N1576" s="1030"/>
      <c r="O1576" s="692">
        <f t="shared" si="205"/>
        <v>0</v>
      </c>
      <c r="P1576" s="690"/>
      <c r="Q1576" s="690"/>
      <c r="R1576" s="691">
        <f t="shared" si="206"/>
        <v>0</v>
      </c>
      <c r="S1576" s="692">
        <f t="shared" si="207"/>
        <v>0</v>
      </c>
      <c r="T1576" s="693">
        <f t="shared" si="208"/>
        <v>0</v>
      </c>
      <c r="U1576" s="1035"/>
      <c r="V1576" s="690"/>
      <c r="W1576" s="1025"/>
      <c r="X1576" s="1030"/>
      <c r="Y1576" s="694">
        <f t="shared" si="209"/>
        <v>0</v>
      </c>
      <c r="Z1576" s="690"/>
      <c r="AA1576" s="690"/>
      <c r="AB1576" s="695">
        <f t="shared" si="210"/>
        <v>0</v>
      </c>
      <c r="AC1576" s="1035"/>
      <c r="AD1576" s="690"/>
      <c r="AE1576" s="1025"/>
      <c r="AF1576" s="1030"/>
      <c r="AG1576" s="690"/>
      <c r="AH1576" s="690"/>
      <c r="AI1576" s="696">
        <f t="shared" si="211"/>
        <v>0</v>
      </c>
      <c r="AJ1576" s="697">
        <f t="shared" si="212"/>
        <v>0</v>
      </c>
    </row>
    <row r="1577" spans="1:36" s="700" customFormat="1" ht="12.75" customHeight="1">
      <c r="A1577" s="870" t="s">
        <v>211</v>
      </c>
      <c r="B1577" s="739" t="s">
        <v>317</v>
      </c>
      <c r="C1577" s="746" t="s">
        <v>443</v>
      </c>
      <c r="D1577" s="746"/>
      <c r="E1577" s="872"/>
      <c r="F1577" s="873"/>
      <c r="G1577" s="1025"/>
      <c r="H1577" s="690"/>
      <c r="I1577" s="1030"/>
      <c r="J1577" s="690"/>
      <c r="K1577" s="1030"/>
      <c r="L1577" s="690"/>
      <c r="M1577" s="1025"/>
      <c r="N1577" s="1030"/>
      <c r="O1577" s="692">
        <f t="shared" si="205"/>
        <v>0</v>
      </c>
      <c r="P1577" s="690"/>
      <c r="Q1577" s="690"/>
      <c r="R1577" s="691">
        <f t="shared" si="206"/>
        <v>0</v>
      </c>
      <c r="S1577" s="692">
        <f t="shared" si="207"/>
        <v>0</v>
      </c>
      <c r="T1577" s="693">
        <f t="shared" si="208"/>
        <v>0</v>
      </c>
      <c r="U1577" s="1035"/>
      <c r="V1577" s="690"/>
      <c r="W1577" s="1025"/>
      <c r="X1577" s="1030"/>
      <c r="Y1577" s="694">
        <f t="shared" si="209"/>
        <v>0</v>
      </c>
      <c r="Z1577" s="690"/>
      <c r="AA1577" s="690"/>
      <c r="AB1577" s="695">
        <f t="shared" si="210"/>
        <v>0</v>
      </c>
      <c r="AC1577" s="1035"/>
      <c r="AD1577" s="690"/>
      <c r="AE1577" s="1025"/>
      <c r="AF1577" s="1030"/>
      <c r="AG1577" s="690"/>
      <c r="AH1577" s="690"/>
      <c r="AI1577" s="696">
        <f t="shared" si="211"/>
        <v>0</v>
      </c>
      <c r="AJ1577" s="697">
        <f t="shared" si="212"/>
        <v>0</v>
      </c>
    </row>
    <row r="1578" spans="1:36" s="700" customFormat="1" ht="12.75" customHeight="1">
      <c r="A1578" s="870" t="s">
        <v>211</v>
      </c>
      <c r="B1578" s="870" t="s">
        <v>318</v>
      </c>
      <c r="C1578" s="876" t="s">
        <v>1113</v>
      </c>
      <c r="D1578" s="876"/>
      <c r="E1578" s="872"/>
      <c r="F1578" s="873"/>
      <c r="G1578" s="1025"/>
      <c r="H1578" s="690"/>
      <c r="I1578" s="1030"/>
      <c r="J1578" s="690"/>
      <c r="K1578" s="1030"/>
      <c r="L1578" s="690"/>
      <c r="M1578" s="1025"/>
      <c r="N1578" s="1030"/>
      <c r="O1578" s="692">
        <f t="shared" si="205"/>
        <v>0</v>
      </c>
      <c r="P1578" s="690"/>
      <c r="Q1578" s="690"/>
      <c r="R1578" s="691">
        <f t="shared" si="206"/>
        <v>0</v>
      </c>
      <c r="S1578" s="692">
        <f t="shared" si="207"/>
        <v>0</v>
      </c>
      <c r="T1578" s="693">
        <f t="shared" si="208"/>
        <v>0</v>
      </c>
      <c r="U1578" s="1035">
        <v>42000</v>
      </c>
      <c r="V1578" s="690">
        <v>0</v>
      </c>
      <c r="W1578" s="1025"/>
      <c r="X1578" s="1030"/>
      <c r="Y1578" s="694">
        <f t="shared" si="209"/>
        <v>0</v>
      </c>
      <c r="Z1578" s="690"/>
      <c r="AA1578" s="690"/>
      <c r="AB1578" s="695">
        <f t="shared" si="210"/>
        <v>0</v>
      </c>
      <c r="AC1578" s="1035"/>
      <c r="AD1578" s="690"/>
      <c r="AE1578" s="1025"/>
      <c r="AF1578" s="1030"/>
      <c r="AG1578" s="690"/>
      <c r="AH1578" s="690"/>
      <c r="AI1578" s="696">
        <f t="shared" si="211"/>
        <v>42000</v>
      </c>
      <c r="AJ1578" s="697">
        <f t="shared" si="212"/>
        <v>0</v>
      </c>
    </row>
    <row r="1579" spans="1:36" s="700" customFormat="1" ht="12.75" customHeight="1">
      <c r="A1579" s="870" t="s">
        <v>211</v>
      </c>
      <c r="B1579" s="882" t="s">
        <v>420</v>
      </c>
      <c r="C1579" s="886" t="s">
        <v>1127</v>
      </c>
      <c r="D1579" s="886"/>
      <c r="E1579" s="872"/>
      <c r="F1579" s="873"/>
      <c r="G1579" s="1025"/>
      <c r="H1579" s="690"/>
      <c r="I1579" s="1030"/>
      <c r="J1579" s="690"/>
      <c r="K1579" s="1030"/>
      <c r="L1579" s="690"/>
      <c r="M1579" s="1025"/>
      <c r="N1579" s="1030"/>
      <c r="O1579" s="692">
        <f t="shared" si="205"/>
        <v>0</v>
      </c>
      <c r="P1579" s="690"/>
      <c r="Q1579" s="690"/>
      <c r="R1579" s="691">
        <f t="shared" si="206"/>
        <v>0</v>
      </c>
      <c r="S1579" s="692">
        <f t="shared" si="207"/>
        <v>0</v>
      </c>
      <c r="T1579" s="693">
        <f t="shared" si="208"/>
        <v>0</v>
      </c>
      <c r="U1579" s="1035"/>
      <c r="V1579" s="690"/>
      <c r="W1579" s="1025"/>
      <c r="X1579" s="1030"/>
      <c r="Y1579" s="694">
        <f t="shared" si="209"/>
        <v>0</v>
      </c>
      <c r="Z1579" s="690"/>
      <c r="AA1579" s="690"/>
      <c r="AB1579" s="695">
        <f t="shared" si="210"/>
        <v>0</v>
      </c>
      <c r="AC1579" s="1035"/>
      <c r="AD1579" s="690"/>
      <c r="AE1579" s="1025"/>
      <c r="AF1579" s="1030"/>
      <c r="AG1579" s="690"/>
      <c r="AH1579" s="690"/>
      <c r="AI1579" s="696">
        <f t="shared" si="211"/>
        <v>0</v>
      </c>
      <c r="AJ1579" s="697">
        <f t="shared" si="212"/>
        <v>0</v>
      </c>
    </row>
    <row r="1580" spans="1:36" s="700" customFormat="1" ht="12.75" customHeight="1">
      <c r="A1580" s="870" t="s">
        <v>211</v>
      </c>
      <c r="B1580" s="870" t="s">
        <v>295</v>
      </c>
      <c r="C1580" s="876" t="s">
        <v>53</v>
      </c>
      <c r="D1580" s="876"/>
      <c r="E1580" s="872"/>
      <c r="F1580" s="873"/>
      <c r="G1580" s="1025"/>
      <c r="H1580" s="690"/>
      <c r="I1580" s="1030"/>
      <c r="J1580" s="690"/>
      <c r="K1580" s="1030"/>
      <c r="L1580" s="690"/>
      <c r="M1580" s="1025"/>
      <c r="N1580" s="1030"/>
      <c r="O1580" s="692">
        <f t="shared" si="205"/>
        <v>0</v>
      </c>
      <c r="P1580" s="690"/>
      <c r="Q1580" s="690"/>
      <c r="R1580" s="691">
        <f t="shared" si="206"/>
        <v>0</v>
      </c>
      <c r="S1580" s="692">
        <f t="shared" si="207"/>
        <v>0</v>
      </c>
      <c r="T1580" s="693">
        <f t="shared" si="208"/>
        <v>0</v>
      </c>
      <c r="U1580" s="1035"/>
      <c r="V1580" s="690"/>
      <c r="W1580" s="1025"/>
      <c r="X1580" s="1030"/>
      <c r="Y1580" s="694">
        <f t="shared" si="209"/>
        <v>0</v>
      </c>
      <c r="Z1580" s="690"/>
      <c r="AA1580" s="690"/>
      <c r="AB1580" s="695">
        <f t="shared" si="210"/>
        <v>0</v>
      </c>
      <c r="AC1580" s="1035"/>
      <c r="AD1580" s="690"/>
      <c r="AE1580" s="1025"/>
      <c r="AF1580" s="1030"/>
      <c r="AG1580" s="690"/>
      <c r="AH1580" s="690"/>
      <c r="AI1580" s="696">
        <f t="shared" si="211"/>
        <v>0</v>
      </c>
      <c r="AJ1580" s="697">
        <f t="shared" si="212"/>
        <v>0</v>
      </c>
    </row>
    <row r="1581" spans="1:36" s="700" customFormat="1" ht="12.75" customHeight="1">
      <c r="A1581" s="870" t="s">
        <v>211</v>
      </c>
      <c r="B1581" s="870" t="s">
        <v>296</v>
      </c>
      <c r="C1581" s="876" t="s">
        <v>443</v>
      </c>
      <c r="D1581" s="876"/>
      <c r="E1581" s="872"/>
      <c r="F1581" s="873"/>
      <c r="G1581" s="1025"/>
      <c r="H1581" s="690"/>
      <c r="I1581" s="1030"/>
      <c r="J1581" s="690"/>
      <c r="K1581" s="1030"/>
      <c r="L1581" s="690"/>
      <c r="M1581" s="1025"/>
      <c r="N1581" s="1030"/>
      <c r="O1581" s="692">
        <f t="shared" si="205"/>
        <v>0</v>
      </c>
      <c r="P1581" s="690"/>
      <c r="Q1581" s="690"/>
      <c r="R1581" s="691">
        <f t="shared" si="206"/>
        <v>0</v>
      </c>
      <c r="S1581" s="692">
        <f t="shared" si="207"/>
        <v>0</v>
      </c>
      <c r="T1581" s="693">
        <f t="shared" si="208"/>
        <v>0</v>
      </c>
      <c r="U1581" s="1035"/>
      <c r="V1581" s="690"/>
      <c r="W1581" s="1025"/>
      <c r="X1581" s="1030"/>
      <c r="Y1581" s="694">
        <f t="shared" si="209"/>
        <v>0</v>
      </c>
      <c r="Z1581" s="690"/>
      <c r="AA1581" s="690"/>
      <c r="AB1581" s="695">
        <f t="shared" si="210"/>
        <v>0</v>
      </c>
      <c r="AC1581" s="1035"/>
      <c r="AD1581" s="690"/>
      <c r="AE1581" s="1025"/>
      <c r="AF1581" s="1030"/>
      <c r="AG1581" s="690"/>
      <c r="AH1581" s="690"/>
      <c r="AI1581" s="696">
        <f t="shared" si="211"/>
        <v>0</v>
      </c>
      <c r="AJ1581" s="697">
        <f t="shared" si="212"/>
        <v>0</v>
      </c>
    </row>
    <row r="1582" spans="1:36" s="700" customFormat="1" ht="12.75" customHeight="1">
      <c r="A1582" s="870" t="s">
        <v>211</v>
      </c>
      <c r="B1582" s="870" t="s">
        <v>278</v>
      </c>
      <c r="C1582" s="876" t="s">
        <v>1113</v>
      </c>
      <c r="D1582" s="876"/>
      <c r="E1582" s="872"/>
      <c r="F1582" s="873"/>
      <c r="G1582" s="1025"/>
      <c r="H1582" s="690"/>
      <c r="I1582" s="1030"/>
      <c r="J1582" s="690"/>
      <c r="K1582" s="1030"/>
      <c r="L1582" s="690"/>
      <c r="M1582" s="1025"/>
      <c r="N1582" s="1030"/>
      <c r="O1582" s="692">
        <f t="shared" si="205"/>
        <v>0</v>
      </c>
      <c r="P1582" s="690"/>
      <c r="Q1582" s="690"/>
      <c r="R1582" s="691">
        <f t="shared" si="206"/>
        <v>0</v>
      </c>
      <c r="S1582" s="692">
        <f t="shared" si="207"/>
        <v>0</v>
      </c>
      <c r="T1582" s="693">
        <f t="shared" si="208"/>
        <v>0</v>
      </c>
      <c r="U1582" s="1035">
        <v>527175</v>
      </c>
      <c r="V1582" s="690">
        <v>225000</v>
      </c>
      <c r="W1582" s="1025"/>
      <c r="X1582" s="1030"/>
      <c r="Y1582" s="694">
        <f t="shared" si="209"/>
        <v>0</v>
      </c>
      <c r="Z1582" s="690"/>
      <c r="AA1582" s="690"/>
      <c r="AB1582" s="695">
        <f t="shared" si="210"/>
        <v>0</v>
      </c>
      <c r="AC1582" s="1035"/>
      <c r="AD1582" s="690"/>
      <c r="AE1582" s="1025"/>
      <c r="AF1582" s="1030"/>
      <c r="AG1582" s="690"/>
      <c r="AH1582" s="690"/>
      <c r="AI1582" s="696">
        <f t="shared" si="211"/>
        <v>527175</v>
      </c>
      <c r="AJ1582" s="697">
        <f t="shared" si="212"/>
        <v>225000</v>
      </c>
    </row>
    <row r="1583" spans="1:36" s="700" customFormat="1" ht="12.75" customHeight="1">
      <c r="A1583" s="870" t="s">
        <v>211</v>
      </c>
      <c r="B1583" s="739" t="s">
        <v>279</v>
      </c>
      <c r="C1583" s="746" t="s">
        <v>54</v>
      </c>
      <c r="D1583" s="746"/>
      <c r="E1583" s="872"/>
      <c r="F1583" s="873"/>
      <c r="G1583" s="1025"/>
      <c r="H1583" s="690"/>
      <c r="I1583" s="1030"/>
      <c r="J1583" s="690"/>
      <c r="K1583" s="1030"/>
      <c r="L1583" s="690"/>
      <c r="M1583" s="1025"/>
      <c r="N1583" s="1030"/>
      <c r="O1583" s="692">
        <f t="shared" si="205"/>
        <v>0</v>
      </c>
      <c r="P1583" s="690"/>
      <c r="Q1583" s="690"/>
      <c r="R1583" s="691">
        <f t="shared" si="206"/>
        <v>0</v>
      </c>
      <c r="S1583" s="692">
        <f t="shared" si="207"/>
        <v>0</v>
      </c>
      <c r="T1583" s="693">
        <f t="shared" si="208"/>
        <v>0</v>
      </c>
      <c r="U1583" s="1035"/>
      <c r="V1583" s="690"/>
      <c r="W1583" s="1025"/>
      <c r="X1583" s="1030"/>
      <c r="Y1583" s="694">
        <f t="shared" si="209"/>
        <v>0</v>
      </c>
      <c r="Z1583" s="690"/>
      <c r="AA1583" s="690"/>
      <c r="AB1583" s="695">
        <f t="shared" si="210"/>
        <v>0</v>
      </c>
      <c r="AC1583" s="1035"/>
      <c r="AD1583" s="690"/>
      <c r="AE1583" s="1025"/>
      <c r="AF1583" s="1030"/>
      <c r="AG1583" s="690"/>
      <c r="AH1583" s="690"/>
      <c r="AI1583" s="696">
        <f t="shared" si="211"/>
        <v>0</v>
      </c>
      <c r="AJ1583" s="697">
        <f t="shared" si="212"/>
        <v>0</v>
      </c>
    </row>
    <row r="1584" spans="1:36" s="700" customFormat="1" ht="12.75" customHeight="1">
      <c r="A1584" s="870" t="s">
        <v>211</v>
      </c>
      <c r="B1584" s="739" t="s">
        <v>317</v>
      </c>
      <c r="C1584" s="746" t="s">
        <v>443</v>
      </c>
      <c r="D1584" s="746"/>
      <c r="E1584" s="872"/>
      <c r="F1584" s="873"/>
      <c r="G1584" s="1025"/>
      <c r="H1584" s="690"/>
      <c r="I1584" s="1030"/>
      <c r="J1584" s="690"/>
      <c r="K1584" s="1030"/>
      <c r="L1584" s="690"/>
      <c r="M1584" s="1025"/>
      <c r="N1584" s="1030"/>
      <c r="O1584" s="692">
        <f t="shared" si="205"/>
        <v>0</v>
      </c>
      <c r="P1584" s="690"/>
      <c r="Q1584" s="690"/>
      <c r="R1584" s="691">
        <f t="shared" si="206"/>
        <v>0</v>
      </c>
      <c r="S1584" s="692">
        <f t="shared" si="207"/>
        <v>0</v>
      </c>
      <c r="T1584" s="693">
        <f t="shared" si="208"/>
        <v>0</v>
      </c>
      <c r="U1584" s="1035"/>
      <c r="V1584" s="690"/>
      <c r="W1584" s="1025"/>
      <c r="X1584" s="1030"/>
      <c r="Y1584" s="694">
        <f t="shared" si="209"/>
        <v>0</v>
      </c>
      <c r="Z1584" s="690"/>
      <c r="AA1584" s="690"/>
      <c r="AB1584" s="695">
        <f t="shared" si="210"/>
        <v>0</v>
      </c>
      <c r="AC1584" s="1035"/>
      <c r="AD1584" s="690"/>
      <c r="AE1584" s="1025"/>
      <c r="AF1584" s="1030"/>
      <c r="AG1584" s="690"/>
      <c r="AH1584" s="690"/>
      <c r="AI1584" s="696">
        <f t="shared" si="211"/>
        <v>0</v>
      </c>
      <c r="AJ1584" s="697">
        <f t="shared" si="212"/>
        <v>0</v>
      </c>
    </row>
    <row r="1585" spans="1:36" s="700" customFormat="1" ht="12.75" customHeight="1">
      <c r="A1585" s="870" t="s">
        <v>211</v>
      </c>
      <c r="B1585" s="870" t="s">
        <v>318</v>
      </c>
      <c r="C1585" s="876" t="s">
        <v>1113</v>
      </c>
      <c r="D1585" s="876"/>
      <c r="E1585" s="872"/>
      <c r="F1585" s="873"/>
      <c r="G1585" s="1025"/>
      <c r="H1585" s="690"/>
      <c r="I1585" s="1030"/>
      <c r="J1585" s="690"/>
      <c r="K1585" s="1030"/>
      <c r="L1585" s="690"/>
      <c r="M1585" s="1025"/>
      <c r="N1585" s="1030"/>
      <c r="O1585" s="692">
        <f t="shared" si="205"/>
        <v>0</v>
      </c>
      <c r="P1585" s="690"/>
      <c r="Q1585" s="690"/>
      <c r="R1585" s="691">
        <f t="shared" si="206"/>
        <v>0</v>
      </c>
      <c r="S1585" s="692">
        <f t="shared" si="207"/>
        <v>0</v>
      </c>
      <c r="T1585" s="693">
        <f t="shared" si="208"/>
        <v>0</v>
      </c>
      <c r="U1585" s="1035">
        <v>306050</v>
      </c>
      <c r="V1585" s="690">
        <v>30000</v>
      </c>
      <c r="W1585" s="1025"/>
      <c r="X1585" s="1030"/>
      <c r="Y1585" s="694">
        <f t="shared" si="209"/>
        <v>0</v>
      </c>
      <c r="Z1585" s="690"/>
      <c r="AA1585" s="690"/>
      <c r="AB1585" s="695">
        <f t="shared" si="210"/>
        <v>0</v>
      </c>
      <c r="AC1585" s="1035"/>
      <c r="AD1585" s="690"/>
      <c r="AE1585" s="1025"/>
      <c r="AF1585" s="1030"/>
      <c r="AG1585" s="690"/>
      <c r="AH1585" s="690"/>
      <c r="AI1585" s="696">
        <f t="shared" si="211"/>
        <v>306050</v>
      </c>
      <c r="AJ1585" s="697">
        <f t="shared" si="212"/>
        <v>30000</v>
      </c>
    </row>
    <row r="1586" spans="1:36" s="700" customFormat="1" ht="12.75" customHeight="1">
      <c r="A1586" s="870" t="s">
        <v>211</v>
      </c>
      <c r="B1586" s="882" t="s">
        <v>420</v>
      </c>
      <c r="C1586" s="881" t="s">
        <v>1128</v>
      </c>
      <c r="D1586" s="881"/>
      <c r="E1586" s="872"/>
      <c r="F1586" s="873"/>
      <c r="G1586" s="1025"/>
      <c r="H1586" s="690"/>
      <c r="I1586" s="1030"/>
      <c r="J1586" s="690"/>
      <c r="K1586" s="1030"/>
      <c r="L1586" s="690"/>
      <c r="M1586" s="1025"/>
      <c r="N1586" s="1030"/>
      <c r="O1586" s="692">
        <f t="shared" si="205"/>
        <v>0</v>
      </c>
      <c r="P1586" s="690"/>
      <c r="Q1586" s="690"/>
      <c r="R1586" s="691">
        <f t="shared" si="206"/>
        <v>0</v>
      </c>
      <c r="S1586" s="692">
        <f t="shared" si="207"/>
        <v>0</v>
      </c>
      <c r="T1586" s="693">
        <f t="shared" si="208"/>
        <v>0</v>
      </c>
      <c r="U1586" s="1035"/>
      <c r="V1586" s="690"/>
      <c r="W1586" s="1025"/>
      <c r="X1586" s="1030"/>
      <c r="Y1586" s="694">
        <f t="shared" si="209"/>
        <v>0</v>
      </c>
      <c r="Z1586" s="690"/>
      <c r="AA1586" s="690"/>
      <c r="AB1586" s="695">
        <f t="shared" si="210"/>
        <v>0</v>
      </c>
      <c r="AC1586" s="1035"/>
      <c r="AD1586" s="690"/>
      <c r="AE1586" s="1025"/>
      <c r="AF1586" s="1030"/>
      <c r="AG1586" s="690"/>
      <c r="AH1586" s="690"/>
      <c r="AI1586" s="696">
        <f t="shared" si="211"/>
        <v>0</v>
      </c>
      <c r="AJ1586" s="697">
        <f t="shared" si="212"/>
        <v>0</v>
      </c>
    </row>
    <row r="1587" spans="1:36" s="700" customFormat="1" ht="12.75" customHeight="1">
      <c r="A1587" s="870" t="s">
        <v>211</v>
      </c>
      <c r="B1587" s="870" t="s">
        <v>442</v>
      </c>
      <c r="C1587" s="746" t="s">
        <v>443</v>
      </c>
      <c r="D1587" s="746"/>
      <c r="E1587" s="872"/>
      <c r="F1587" s="873"/>
      <c r="G1587" s="1025"/>
      <c r="H1587" s="690"/>
      <c r="I1587" s="1030"/>
      <c r="J1587" s="690"/>
      <c r="K1587" s="1030"/>
      <c r="L1587" s="690"/>
      <c r="M1587" s="1025"/>
      <c r="N1587" s="1030"/>
      <c r="O1587" s="692">
        <f t="shared" si="205"/>
        <v>0</v>
      </c>
      <c r="P1587" s="690"/>
      <c r="Q1587" s="690"/>
      <c r="R1587" s="691">
        <f t="shared" si="206"/>
        <v>0</v>
      </c>
      <c r="S1587" s="692">
        <f t="shared" si="207"/>
        <v>0</v>
      </c>
      <c r="T1587" s="693">
        <f t="shared" si="208"/>
        <v>0</v>
      </c>
      <c r="U1587" s="1035"/>
      <c r="V1587" s="690"/>
      <c r="W1587" s="1025"/>
      <c r="X1587" s="1030"/>
      <c r="Y1587" s="694">
        <f t="shared" si="209"/>
        <v>0</v>
      </c>
      <c r="Z1587" s="690"/>
      <c r="AA1587" s="690"/>
      <c r="AB1587" s="695">
        <f t="shared" si="210"/>
        <v>0</v>
      </c>
      <c r="AC1587" s="1035"/>
      <c r="AD1587" s="690"/>
      <c r="AE1587" s="1025"/>
      <c r="AF1587" s="1030"/>
      <c r="AG1587" s="690"/>
      <c r="AH1587" s="690"/>
      <c r="AI1587" s="696">
        <f t="shared" si="211"/>
        <v>0</v>
      </c>
      <c r="AJ1587" s="697">
        <f t="shared" si="212"/>
        <v>0</v>
      </c>
    </row>
    <row r="1588" spans="1:36" s="700" customFormat="1" ht="12.75" customHeight="1">
      <c r="A1588" s="870" t="s">
        <v>211</v>
      </c>
      <c r="B1588" s="870" t="s">
        <v>295</v>
      </c>
      <c r="C1588" s="876" t="s">
        <v>53</v>
      </c>
      <c r="D1588" s="876"/>
      <c r="E1588" s="872"/>
      <c r="F1588" s="873"/>
      <c r="G1588" s="1025"/>
      <c r="H1588" s="690"/>
      <c r="I1588" s="1030"/>
      <c r="J1588" s="690"/>
      <c r="K1588" s="1030"/>
      <c r="L1588" s="690"/>
      <c r="M1588" s="1025"/>
      <c r="N1588" s="1030"/>
      <c r="O1588" s="692">
        <f t="shared" si="205"/>
        <v>0</v>
      </c>
      <c r="P1588" s="690"/>
      <c r="Q1588" s="690"/>
      <c r="R1588" s="691">
        <f t="shared" si="206"/>
        <v>0</v>
      </c>
      <c r="S1588" s="692">
        <f t="shared" si="207"/>
        <v>0</v>
      </c>
      <c r="T1588" s="693">
        <f t="shared" si="208"/>
        <v>0</v>
      </c>
      <c r="U1588" s="1035"/>
      <c r="V1588" s="690"/>
      <c r="W1588" s="1025"/>
      <c r="X1588" s="1030"/>
      <c r="Y1588" s="694">
        <f t="shared" si="209"/>
        <v>0</v>
      </c>
      <c r="Z1588" s="690"/>
      <c r="AA1588" s="690"/>
      <c r="AB1588" s="695">
        <f t="shared" si="210"/>
        <v>0</v>
      </c>
      <c r="AC1588" s="1035"/>
      <c r="AD1588" s="690"/>
      <c r="AE1588" s="1025"/>
      <c r="AF1588" s="1030"/>
      <c r="AG1588" s="690"/>
      <c r="AH1588" s="690"/>
      <c r="AI1588" s="696">
        <f t="shared" si="211"/>
        <v>0</v>
      </c>
      <c r="AJ1588" s="697">
        <f t="shared" si="212"/>
        <v>0</v>
      </c>
    </row>
    <row r="1589" spans="1:36" s="700" customFormat="1" ht="12.75" customHeight="1">
      <c r="A1589" s="870" t="s">
        <v>211</v>
      </c>
      <c r="B1589" s="870" t="s">
        <v>296</v>
      </c>
      <c r="C1589" s="876" t="s">
        <v>443</v>
      </c>
      <c r="D1589" s="876"/>
      <c r="E1589" s="872"/>
      <c r="F1589" s="873"/>
      <c r="G1589" s="1025"/>
      <c r="H1589" s="690"/>
      <c r="I1589" s="1030"/>
      <c r="J1589" s="690"/>
      <c r="K1589" s="1030"/>
      <c r="L1589" s="690"/>
      <c r="M1589" s="1025"/>
      <c r="N1589" s="1030"/>
      <c r="O1589" s="692">
        <f t="shared" si="205"/>
        <v>0</v>
      </c>
      <c r="P1589" s="690"/>
      <c r="Q1589" s="690"/>
      <c r="R1589" s="691">
        <f t="shared" si="206"/>
        <v>0</v>
      </c>
      <c r="S1589" s="692">
        <f t="shared" si="207"/>
        <v>0</v>
      </c>
      <c r="T1589" s="693">
        <f t="shared" si="208"/>
        <v>0</v>
      </c>
      <c r="U1589" s="1035"/>
      <c r="V1589" s="690"/>
      <c r="W1589" s="1025"/>
      <c r="X1589" s="1030"/>
      <c r="Y1589" s="694">
        <f t="shared" si="209"/>
        <v>0</v>
      </c>
      <c r="Z1589" s="690"/>
      <c r="AA1589" s="690"/>
      <c r="AB1589" s="695">
        <f t="shared" si="210"/>
        <v>0</v>
      </c>
      <c r="AC1589" s="1035"/>
      <c r="AD1589" s="690"/>
      <c r="AE1589" s="1025"/>
      <c r="AF1589" s="1030"/>
      <c r="AG1589" s="690"/>
      <c r="AH1589" s="690"/>
      <c r="AI1589" s="696">
        <f t="shared" si="211"/>
        <v>0</v>
      </c>
      <c r="AJ1589" s="697">
        <f t="shared" si="212"/>
        <v>0</v>
      </c>
    </row>
    <row r="1590" spans="1:36" s="700" customFormat="1" ht="12.75" customHeight="1">
      <c r="A1590" s="870" t="s">
        <v>211</v>
      </c>
      <c r="B1590" s="870" t="s">
        <v>278</v>
      </c>
      <c r="C1590" s="876" t="s">
        <v>1113</v>
      </c>
      <c r="D1590" s="876"/>
      <c r="E1590" s="872"/>
      <c r="F1590" s="873"/>
      <c r="G1590" s="1025"/>
      <c r="H1590" s="690"/>
      <c r="I1590" s="1030"/>
      <c r="J1590" s="690"/>
      <c r="K1590" s="1030"/>
      <c r="L1590" s="690"/>
      <c r="M1590" s="1025"/>
      <c r="N1590" s="1030"/>
      <c r="O1590" s="692">
        <f t="shared" si="205"/>
        <v>0</v>
      </c>
      <c r="P1590" s="690"/>
      <c r="Q1590" s="690"/>
      <c r="R1590" s="691">
        <f t="shared" si="206"/>
        <v>0</v>
      </c>
      <c r="S1590" s="692">
        <f t="shared" si="207"/>
        <v>0</v>
      </c>
      <c r="T1590" s="693">
        <f t="shared" si="208"/>
        <v>0</v>
      </c>
      <c r="U1590" s="1035">
        <v>1039777</v>
      </c>
      <c r="V1590" s="690">
        <v>4400</v>
      </c>
      <c r="W1590" s="1025"/>
      <c r="X1590" s="1030"/>
      <c r="Y1590" s="694">
        <f t="shared" si="209"/>
        <v>0</v>
      </c>
      <c r="Z1590" s="690"/>
      <c r="AA1590" s="690"/>
      <c r="AB1590" s="695">
        <f t="shared" si="210"/>
        <v>0</v>
      </c>
      <c r="AC1590" s="1035"/>
      <c r="AD1590" s="690"/>
      <c r="AE1590" s="1025"/>
      <c r="AF1590" s="1030"/>
      <c r="AG1590" s="690"/>
      <c r="AH1590" s="690"/>
      <c r="AI1590" s="696">
        <f t="shared" si="211"/>
        <v>1039777</v>
      </c>
      <c r="AJ1590" s="697">
        <f t="shared" si="212"/>
        <v>4400</v>
      </c>
    </row>
    <row r="1591" spans="1:36" s="700" customFormat="1" ht="12.75" customHeight="1">
      <c r="A1591" s="870" t="s">
        <v>211</v>
      </c>
      <c r="B1591" s="739" t="s">
        <v>279</v>
      </c>
      <c r="C1591" s="746" t="s">
        <v>54</v>
      </c>
      <c r="D1591" s="746"/>
      <c r="E1591" s="872"/>
      <c r="F1591" s="873"/>
      <c r="G1591" s="1025"/>
      <c r="H1591" s="690"/>
      <c r="I1591" s="1030"/>
      <c r="J1591" s="690"/>
      <c r="K1591" s="1030"/>
      <c r="L1591" s="690"/>
      <c r="M1591" s="1025"/>
      <c r="N1591" s="1030"/>
      <c r="O1591" s="692">
        <f t="shared" si="205"/>
        <v>0</v>
      </c>
      <c r="P1591" s="690"/>
      <c r="Q1591" s="690"/>
      <c r="R1591" s="691">
        <f t="shared" si="206"/>
        <v>0</v>
      </c>
      <c r="S1591" s="692">
        <f t="shared" si="207"/>
        <v>0</v>
      </c>
      <c r="T1591" s="693">
        <f t="shared" si="208"/>
        <v>0</v>
      </c>
      <c r="U1591" s="1035"/>
      <c r="V1591" s="690"/>
      <c r="W1591" s="1025"/>
      <c r="X1591" s="1030"/>
      <c r="Y1591" s="694">
        <f t="shared" si="209"/>
        <v>0</v>
      </c>
      <c r="Z1591" s="690"/>
      <c r="AA1591" s="690"/>
      <c r="AB1591" s="695">
        <f t="shared" si="210"/>
        <v>0</v>
      </c>
      <c r="AC1591" s="1035"/>
      <c r="AD1591" s="690"/>
      <c r="AE1591" s="1025"/>
      <c r="AF1591" s="1030"/>
      <c r="AG1591" s="690"/>
      <c r="AH1591" s="690"/>
      <c r="AI1591" s="696">
        <f t="shared" si="211"/>
        <v>0</v>
      </c>
      <c r="AJ1591" s="697">
        <f t="shared" si="212"/>
        <v>0</v>
      </c>
    </row>
    <row r="1592" spans="1:36" s="700" customFormat="1" ht="12.75" customHeight="1">
      <c r="A1592" s="870" t="s">
        <v>211</v>
      </c>
      <c r="B1592" s="739" t="s">
        <v>317</v>
      </c>
      <c r="C1592" s="746" t="s">
        <v>443</v>
      </c>
      <c r="D1592" s="746"/>
      <c r="E1592" s="872"/>
      <c r="F1592" s="873"/>
      <c r="G1592" s="1025"/>
      <c r="H1592" s="690"/>
      <c r="I1592" s="1030"/>
      <c r="J1592" s="690"/>
      <c r="K1592" s="1030"/>
      <c r="L1592" s="690"/>
      <c r="M1592" s="1025"/>
      <c r="N1592" s="1030"/>
      <c r="O1592" s="692">
        <f t="shared" si="205"/>
        <v>0</v>
      </c>
      <c r="P1592" s="690"/>
      <c r="Q1592" s="690"/>
      <c r="R1592" s="691">
        <f t="shared" si="206"/>
        <v>0</v>
      </c>
      <c r="S1592" s="692">
        <f t="shared" si="207"/>
        <v>0</v>
      </c>
      <c r="T1592" s="693">
        <f t="shared" si="208"/>
        <v>0</v>
      </c>
      <c r="U1592" s="1035"/>
      <c r="V1592" s="690"/>
      <c r="W1592" s="1025"/>
      <c r="X1592" s="1030"/>
      <c r="Y1592" s="694">
        <f t="shared" si="209"/>
        <v>0</v>
      </c>
      <c r="Z1592" s="690"/>
      <c r="AA1592" s="690"/>
      <c r="AB1592" s="695">
        <f t="shared" si="210"/>
        <v>0</v>
      </c>
      <c r="AC1592" s="1035"/>
      <c r="AD1592" s="690"/>
      <c r="AE1592" s="1025"/>
      <c r="AF1592" s="1030"/>
      <c r="AG1592" s="690"/>
      <c r="AH1592" s="690"/>
      <c r="AI1592" s="696">
        <f t="shared" si="211"/>
        <v>0</v>
      </c>
      <c r="AJ1592" s="697">
        <f t="shared" si="212"/>
        <v>0</v>
      </c>
    </row>
    <row r="1593" spans="1:36" s="700" customFormat="1" ht="12.75" customHeight="1">
      <c r="A1593" s="870" t="s">
        <v>211</v>
      </c>
      <c r="B1593" s="870" t="s">
        <v>318</v>
      </c>
      <c r="C1593" s="876" t="s">
        <v>1113</v>
      </c>
      <c r="D1593" s="876"/>
      <c r="E1593" s="872"/>
      <c r="F1593" s="873"/>
      <c r="G1593" s="1025"/>
      <c r="H1593" s="690"/>
      <c r="I1593" s="1030"/>
      <c r="J1593" s="690"/>
      <c r="K1593" s="1030"/>
      <c r="L1593" s="690"/>
      <c r="M1593" s="1025"/>
      <c r="N1593" s="1030"/>
      <c r="O1593" s="692">
        <f t="shared" si="205"/>
        <v>0</v>
      </c>
      <c r="P1593" s="690"/>
      <c r="Q1593" s="690"/>
      <c r="R1593" s="691">
        <f t="shared" si="206"/>
        <v>0</v>
      </c>
      <c r="S1593" s="692">
        <f t="shared" si="207"/>
        <v>0</v>
      </c>
      <c r="T1593" s="693">
        <f t="shared" si="208"/>
        <v>0</v>
      </c>
      <c r="U1593" s="1035">
        <v>160000</v>
      </c>
      <c r="V1593" s="690">
        <v>3000</v>
      </c>
      <c r="W1593" s="1025"/>
      <c r="X1593" s="1030"/>
      <c r="Y1593" s="694">
        <f t="shared" si="209"/>
        <v>0</v>
      </c>
      <c r="Z1593" s="690"/>
      <c r="AA1593" s="690"/>
      <c r="AB1593" s="695">
        <f t="shared" si="210"/>
        <v>0</v>
      </c>
      <c r="AC1593" s="1035"/>
      <c r="AD1593" s="690"/>
      <c r="AE1593" s="1025"/>
      <c r="AF1593" s="1030"/>
      <c r="AG1593" s="690"/>
      <c r="AH1593" s="690"/>
      <c r="AI1593" s="696">
        <f t="shared" si="211"/>
        <v>160000</v>
      </c>
      <c r="AJ1593" s="697">
        <f t="shared" si="212"/>
        <v>3000</v>
      </c>
    </row>
    <row r="1594" spans="1:36" s="700" customFormat="1" ht="12.75" customHeight="1">
      <c r="A1594" s="870" t="s">
        <v>211</v>
      </c>
      <c r="B1594" s="882" t="s">
        <v>420</v>
      </c>
      <c r="C1594" s="881" t="s">
        <v>1129</v>
      </c>
      <c r="D1594" s="881"/>
      <c r="E1594" s="872"/>
      <c r="F1594" s="873"/>
      <c r="G1594" s="1025"/>
      <c r="H1594" s="690"/>
      <c r="I1594" s="1030"/>
      <c r="J1594" s="690"/>
      <c r="K1594" s="1030"/>
      <c r="L1594" s="690"/>
      <c r="M1594" s="1025"/>
      <c r="N1594" s="1030"/>
      <c r="O1594" s="692">
        <f t="shared" si="205"/>
        <v>0</v>
      </c>
      <c r="P1594" s="690"/>
      <c r="Q1594" s="690"/>
      <c r="R1594" s="691">
        <f t="shared" si="206"/>
        <v>0</v>
      </c>
      <c r="S1594" s="692">
        <f t="shared" si="207"/>
        <v>0</v>
      </c>
      <c r="T1594" s="693">
        <f t="shared" si="208"/>
        <v>0</v>
      </c>
      <c r="U1594" s="1035"/>
      <c r="V1594" s="690"/>
      <c r="W1594" s="1025"/>
      <c r="X1594" s="1030"/>
      <c r="Y1594" s="694">
        <f t="shared" si="209"/>
        <v>0</v>
      </c>
      <c r="Z1594" s="690"/>
      <c r="AA1594" s="690"/>
      <c r="AB1594" s="695">
        <f t="shared" si="210"/>
        <v>0</v>
      </c>
      <c r="AC1594" s="1035"/>
      <c r="AD1594" s="690"/>
      <c r="AE1594" s="1025"/>
      <c r="AF1594" s="1030"/>
      <c r="AG1594" s="690"/>
      <c r="AH1594" s="690"/>
      <c r="AI1594" s="696">
        <f t="shared" si="211"/>
        <v>0</v>
      </c>
      <c r="AJ1594" s="697">
        <f t="shared" si="212"/>
        <v>0</v>
      </c>
    </row>
    <row r="1595" spans="1:36" s="700" customFormat="1" ht="12.75" customHeight="1">
      <c r="A1595" s="870" t="s">
        <v>211</v>
      </c>
      <c r="B1595" s="870" t="s">
        <v>295</v>
      </c>
      <c r="C1595" s="876" t="s">
        <v>53</v>
      </c>
      <c r="D1595" s="876"/>
      <c r="E1595" s="872"/>
      <c r="F1595" s="873"/>
      <c r="G1595" s="1025"/>
      <c r="H1595" s="690"/>
      <c r="I1595" s="1030"/>
      <c r="J1595" s="690"/>
      <c r="K1595" s="1030"/>
      <c r="L1595" s="690"/>
      <c r="M1595" s="1025"/>
      <c r="N1595" s="1030"/>
      <c r="O1595" s="692">
        <f t="shared" si="205"/>
        <v>0</v>
      </c>
      <c r="P1595" s="690"/>
      <c r="Q1595" s="690"/>
      <c r="R1595" s="691">
        <f t="shared" si="206"/>
        <v>0</v>
      </c>
      <c r="S1595" s="692">
        <f t="shared" si="207"/>
        <v>0</v>
      </c>
      <c r="T1595" s="693">
        <f t="shared" si="208"/>
        <v>0</v>
      </c>
      <c r="U1595" s="1035"/>
      <c r="V1595" s="690"/>
      <c r="W1595" s="1025"/>
      <c r="X1595" s="1030"/>
      <c r="Y1595" s="694">
        <f t="shared" si="209"/>
        <v>0</v>
      </c>
      <c r="Z1595" s="690"/>
      <c r="AA1595" s="690"/>
      <c r="AB1595" s="695">
        <f t="shared" si="210"/>
        <v>0</v>
      </c>
      <c r="AC1595" s="1035"/>
      <c r="AD1595" s="690"/>
      <c r="AE1595" s="1025"/>
      <c r="AF1595" s="1030"/>
      <c r="AG1595" s="690"/>
      <c r="AH1595" s="690"/>
      <c r="AI1595" s="696">
        <f t="shared" si="211"/>
        <v>0</v>
      </c>
      <c r="AJ1595" s="697">
        <f t="shared" si="212"/>
        <v>0</v>
      </c>
    </row>
    <row r="1596" spans="1:36" s="700" customFormat="1" ht="12.75" customHeight="1">
      <c r="A1596" s="870" t="s">
        <v>211</v>
      </c>
      <c r="B1596" s="870" t="s">
        <v>296</v>
      </c>
      <c r="C1596" s="876" t="s">
        <v>443</v>
      </c>
      <c r="D1596" s="876"/>
      <c r="E1596" s="872"/>
      <c r="F1596" s="873"/>
      <c r="G1596" s="1025"/>
      <c r="H1596" s="690"/>
      <c r="I1596" s="1030"/>
      <c r="J1596" s="690"/>
      <c r="K1596" s="1030"/>
      <c r="L1596" s="690"/>
      <c r="M1596" s="1025"/>
      <c r="N1596" s="1030"/>
      <c r="O1596" s="692">
        <f t="shared" si="205"/>
        <v>0</v>
      </c>
      <c r="P1596" s="690"/>
      <c r="Q1596" s="690"/>
      <c r="R1596" s="691">
        <f t="shared" si="206"/>
        <v>0</v>
      </c>
      <c r="S1596" s="692">
        <f t="shared" si="207"/>
        <v>0</v>
      </c>
      <c r="T1596" s="693">
        <f t="shared" si="208"/>
        <v>0</v>
      </c>
      <c r="U1596" s="1035"/>
      <c r="V1596" s="690"/>
      <c r="W1596" s="1025"/>
      <c r="X1596" s="1030"/>
      <c r="Y1596" s="694">
        <f t="shared" si="209"/>
        <v>0</v>
      </c>
      <c r="Z1596" s="690"/>
      <c r="AA1596" s="690"/>
      <c r="AB1596" s="695">
        <f t="shared" si="210"/>
        <v>0</v>
      </c>
      <c r="AC1596" s="1035"/>
      <c r="AD1596" s="690"/>
      <c r="AE1596" s="1025"/>
      <c r="AF1596" s="1030"/>
      <c r="AG1596" s="690"/>
      <c r="AH1596" s="690"/>
      <c r="AI1596" s="696">
        <f t="shared" si="211"/>
        <v>0</v>
      </c>
      <c r="AJ1596" s="697">
        <f t="shared" si="212"/>
        <v>0</v>
      </c>
    </row>
    <row r="1597" spans="1:36" s="700" customFormat="1" ht="12.75" customHeight="1">
      <c r="A1597" s="870" t="s">
        <v>211</v>
      </c>
      <c r="B1597" s="870" t="s">
        <v>278</v>
      </c>
      <c r="C1597" s="876" t="s">
        <v>1113</v>
      </c>
      <c r="D1597" s="876"/>
      <c r="E1597" s="872"/>
      <c r="F1597" s="873"/>
      <c r="G1597" s="1025"/>
      <c r="H1597" s="690"/>
      <c r="I1597" s="1030"/>
      <c r="J1597" s="690"/>
      <c r="K1597" s="1030"/>
      <c r="L1597" s="690"/>
      <c r="M1597" s="1025"/>
      <c r="N1597" s="1030"/>
      <c r="O1597" s="692">
        <f t="shared" si="205"/>
        <v>0</v>
      </c>
      <c r="P1597" s="690"/>
      <c r="Q1597" s="690"/>
      <c r="R1597" s="691">
        <f t="shared" si="206"/>
        <v>0</v>
      </c>
      <c r="S1597" s="692">
        <f t="shared" si="207"/>
        <v>0</v>
      </c>
      <c r="T1597" s="693">
        <f t="shared" si="208"/>
        <v>0</v>
      </c>
      <c r="U1597" s="1035">
        <v>1704375</v>
      </c>
      <c r="V1597" s="690">
        <v>1176943</v>
      </c>
      <c r="W1597" s="1025"/>
      <c r="X1597" s="1030"/>
      <c r="Y1597" s="694">
        <f t="shared" si="209"/>
        <v>0</v>
      </c>
      <c r="Z1597" s="690"/>
      <c r="AA1597" s="690"/>
      <c r="AB1597" s="695">
        <f t="shared" si="210"/>
        <v>0</v>
      </c>
      <c r="AC1597" s="1035"/>
      <c r="AD1597" s="690"/>
      <c r="AE1597" s="1025"/>
      <c r="AF1597" s="1030"/>
      <c r="AG1597" s="690"/>
      <c r="AH1597" s="690"/>
      <c r="AI1597" s="696">
        <f t="shared" si="211"/>
        <v>1704375</v>
      </c>
      <c r="AJ1597" s="697">
        <f t="shared" si="212"/>
        <v>1176943</v>
      </c>
    </row>
    <row r="1598" spans="1:36" s="700" customFormat="1" ht="12.75" customHeight="1">
      <c r="A1598" s="870" t="s">
        <v>211</v>
      </c>
      <c r="B1598" s="739" t="s">
        <v>279</v>
      </c>
      <c r="C1598" s="746" t="s">
        <v>54</v>
      </c>
      <c r="D1598" s="746"/>
      <c r="E1598" s="872"/>
      <c r="F1598" s="873"/>
      <c r="G1598" s="1025"/>
      <c r="H1598" s="690"/>
      <c r="I1598" s="1030"/>
      <c r="J1598" s="690"/>
      <c r="K1598" s="1030"/>
      <c r="L1598" s="690"/>
      <c r="M1598" s="1025"/>
      <c r="N1598" s="1030"/>
      <c r="O1598" s="692">
        <f t="shared" si="205"/>
        <v>0</v>
      </c>
      <c r="P1598" s="690"/>
      <c r="Q1598" s="690"/>
      <c r="R1598" s="691">
        <f t="shared" si="206"/>
        <v>0</v>
      </c>
      <c r="S1598" s="692">
        <f t="shared" si="207"/>
        <v>0</v>
      </c>
      <c r="T1598" s="693">
        <f t="shared" si="208"/>
        <v>0</v>
      </c>
      <c r="U1598" s="1035"/>
      <c r="V1598" s="690"/>
      <c r="W1598" s="1025"/>
      <c r="X1598" s="1030"/>
      <c r="Y1598" s="694">
        <f t="shared" si="209"/>
        <v>0</v>
      </c>
      <c r="Z1598" s="690"/>
      <c r="AA1598" s="690"/>
      <c r="AB1598" s="695">
        <f t="shared" si="210"/>
        <v>0</v>
      </c>
      <c r="AC1598" s="1035"/>
      <c r="AD1598" s="690"/>
      <c r="AE1598" s="1025"/>
      <c r="AF1598" s="1030"/>
      <c r="AG1598" s="690"/>
      <c r="AH1598" s="690"/>
      <c r="AI1598" s="696">
        <f t="shared" si="211"/>
        <v>0</v>
      </c>
      <c r="AJ1598" s="697">
        <f t="shared" si="212"/>
        <v>0</v>
      </c>
    </row>
    <row r="1599" spans="1:36" s="700" customFormat="1" ht="12.75" customHeight="1">
      <c r="A1599" s="870" t="s">
        <v>211</v>
      </c>
      <c r="B1599" s="739" t="s">
        <v>317</v>
      </c>
      <c r="C1599" s="746" t="s">
        <v>443</v>
      </c>
      <c r="D1599" s="746"/>
      <c r="E1599" s="872"/>
      <c r="F1599" s="873"/>
      <c r="G1599" s="1025"/>
      <c r="H1599" s="690"/>
      <c r="I1599" s="1030"/>
      <c r="J1599" s="690"/>
      <c r="K1599" s="1030"/>
      <c r="L1599" s="690"/>
      <c r="M1599" s="1025"/>
      <c r="N1599" s="1030"/>
      <c r="O1599" s="692">
        <f t="shared" si="205"/>
        <v>0</v>
      </c>
      <c r="P1599" s="690"/>
      <c r="Q1599" s="690"/>
      <c r="R1599" s="691">
        <f t="shared" si="206"/>
        <v>0</v>
      </c>
      <c r="S1599" s="692">
        <f t="shared" si="207"/>
        <v>0</v>
      </c>
      <c r="T1599" s="693">
        <f t="shared" si="208"/>
        <v>0</v>
      </c>
      <c r="U1599" s="1035"/>
      <c r="V1599" s="690"/>
      <c r="W1599" s="1025"/>
      <c r="X1599" s="1030"/>
      <c r="Y1599" s="694">
        <f t="shared" si="209"/>
        <v>0</v>
      </c>
      <c r="Z1599" s="690"/>
      <c r="AA1599" s="690"/>
      <c r="AB1599" s="695">
        <f t="shared" si="210"/>
        <v>0</v>
      </c>
      <c r="AC1599" s="1035"/>
      <c r="AD1599" s="690"/>
      <c r="AE1599" s="1025"/>
      <c r="AF1599" s="1030"/>
      <c r="AG1599" s="690"/>
      <c r="AH1599" s="690"/>
      <c r="AI1599" s="696">
        <f t="shared" si="211"/>
        <v>0</v>
      </c>
      <c r="AJ1599" s="697">
        <f t="shared" si="212"/>
        <v>0</v>
      </c>
    </row>
    <row r="1600" spans="1:36" s="700" customFormat="1" ht="12.75" customHeight="1">
      <c r="A1600" s="870" t="s">
        <v>211</v>
      </c>
      <c r="B1600" s="870" t="s">
        <v>318</v>
      </c>
      <c r="C1600" s="876" t="s">
        <v>1113</v>
      </c>
      <c r="D1600" s="876"/>
      <c r="E1600" s="872"/>
      <c r="F1600" s="873"/>
      <c r="G1600" s="1025"/>
      <c r="H1600" s="690"/>
      <c r="I1600" s="1030"/>
      <c r="J1600" s="690"/>
      <c r="K1600" s="1030"/>
      <c r="L1600" s="690"/>
      <c r="M1600" s="1025"/>
      <c r="N1600" s="1030"/>
      <c r="O1600" s="692">
        <f t="shared" si="205"/>
        <v>0</v>
      </c>
      <c r="P1600" s="690"/>
      <c r="Q1600" s="690"/>
      <c r="R1600" s="691">
        <f t="shared" si="206"/>
        <v>0</v>
      </c>
      <c r="S1600" s="692">
        <f t="shared" si="207"/>
        <v>0</v>
      </c>
      <c r="T1600" s="693">
        <f t="shared" si="208"/>
        <v>0</v>
      </c>
      <c r="U1600" s="1035">
        <v>181250</v>
      </c>
      <c r="V1600" s="690">
        <v>259492</v>
      </c>
      <c r="W1600" s="1025"/>
      <c r="X1600" s="1030"/>
      <c r="Y1600" s="694">
        <f t="shared" si="209"/>
        <v>0</v>
      </c>
      <c r="Z1600" s="690"/>
      <c r="AA1600" s="690"/>
      <c r="AB1600" s="695">
        <f t="shared" si="210"/>
        <v>0</v>
      </c>
      <c r="AC1600" s="1035"/>
      <c r="AD1600" s="690"/>
      <c r="AE1600" s="1025"/>
      <c r="AF1600" s="1030"/>
      <c r="AG1600" s="690"/>
      <c r="AH1600" s="690"/>
      <c r="AI1600" s="696">
        <f t="shared" si="211"/>
        <v>181250</v>
      </c>
      <c r="AJ1600" s="697">
        <f t="shared" si="212"/>
        <v>259492</v>
      </c>
    </row>
    <row r="1601" spans="1:36" s="700" customFormat="1" ht="12.75" customHeight="1">
      <c r="A1601" s="870" t="s">
        <v>211</v>
      </c>
      <c r="B1601" s="882" t="s">
        <v>420</v>
      </c>
      <c r="C1601" s="881" t="s">
        <v>1130</v>
      </c>
      <c r="D1601" s="881"/>
      <c r="E1601" s="872"/>
      <c r="F1601" s="873"/>
      <c r="G1601" s="1025"/>
      <c r="H1601" s="690"/>
      <c r="I1601" s="1030"/>
      <c r="J1601" s="690"/>
      <c r="K1601" s="1030"/>
      <c r="L1601" s="690"/>
      <c r="M1601" s="1025"/>
      <c r="N1601" s="1030"/>
      <c r="O1601" s="692">
        <f t="shared" si="205"/>
        <v>0</v>
      </c>
      <c r="P1601" s="690"/>
      <c r="Q1601" s="690"/>
      <c r="R1601" s="691">
        <f t="shared" si="206"/>
        <v>0</v>
      </c>
      <c r="S1601" s="692">
        <f t="shared" si="207"/>
        <v>0</v>
      </c>
      <c r="T1601" s="693">
        <f t="shared" si="208"/>
        <v>0</v>
      </c>
      <c r="U1601" s="1035"/>
      <c r="V1601" s="690"/>
      <c r="W1601" s="1025"/>
      <c r="X1601" s="1030"/>
      <c r="Y1601" s="694">
        <f t="shared" si="209"/>
        <v>0</v>
      </c>
      <c r="Z1601" s="690"/>
      <c r="AA1601" s="690"/>
      <c r="AB1601" s="695">
        <f t="shared" si="210"/>
        <v>0</v>
      </c>
      <c r="AC1601" s="1035"/>
      <c r="AD1601" s="690"/>
      <c r="AE1601" s="1025"/>
      <c r="AF1601" s="1030"/>
      <c r="AG1601" s="690"/>
      <c r="AH1601" s="690"/>
      <c r="AI1601" s="696">
        <f t="shared" si="211"/>
        <v>0</v>
      </c>
      <c r="AJ1601" s="697">
        <f t="shared" si="212"/>
        <v>0</v>
      </c>
    </row>
    <row r="1602" spans="1:36" s="700" customFormat="1" ht="12.75" customHeight="1">
      <c r="A1602" s="870" t="s">
        <v>211</v>
      </c>
      <c r="B1602" s="870" t="s">
        <v>295</v>
      </c>
      <c r="C1602" s="876" t="s">
        <v>53</v>
      </c>
      <c r="D1602" s="876"/>
      <c r="E1602" s="872"/>
      <c r="F1602" s="873"/>
      <c r="G1602" s="1025"/>
      <c r="H1602" s="690"/>
      <c r="I1602" s="1030"/>
      <c r="J1602" s="690"/>
      <c r="K1602" s="1030"/>
      <c r="L1602" s="690"/>
      <c r="M1602" s="1025"/>
      <c r="N1602" s="1030"/>
      <c r="O1602" s="692">
        <f t="shared" si="205"/>
        <v>0</v>
      </c>
      <c r="P1602" s="690"/>
      <c r="Q1602" s="690"/>
      <c r="R1602" s="691">
        <f t="shared" si="206"/>
        <v>0</v>
      </c>
      <c r="S1602" s="692">
        <f t="shared" si="207"/>
        <v>0</v>
      </c>
      <c r="T1602" s="693">
        <f t="shared" si="208"/>
        <v>0</v>
      </c>
      <c r="U1602" s="1035"/>
      <c r="V1602" s="690"/>
      <c r="W1602" s="1025"/>
      <c r="X1602" s="1030"/>
      <c r="Y1602" s="694">
        <f t="shared" si="209"/>
        <v>0</v>
      </c>
      <c r="Z1602" s="690"/>
      <c r="AA1602" s="690"/>
      <c r="AB1602" s="695">
        <f t="shared" si="210"/>
        <v>0</v>
      </c>
      <c r="AC1602" s="1035"/>
      <c r="AD1602" s="690"/>
      <c r="AE1602" s="1025"/>
      <c r="AF1602" s="1030"/>
      <c r="AG1602" s="690"/>
      <c r="AH1602" s="690"/>
      <c r="AI1602" s="696">
        <f t="shared" si="211"/>
        <v>0</v>
      </c>
      <c r="AJ1602" s="697">
        <f t="shared" si="212"/>
        <v>0</v>
      </c>
    </row>
    <row r="1603" spans="1:36" s="700" customFormat="1" ht="12.75" customHeight="1">
      <c r="A1603" s="870" t="s">
        <v>211</v>
      </c>
      <c r="B1603" s="870" t="s">
        <v>296</v>
      </c>
      <c r="C1603" s="876" t="s">
        <v>443</v>
      </c>
      <c r="D1603" s="876"/>
      <c r="E1603" s="872"/>
      <c r="F1603" s="873"/>
      <c r="G1603" s="1025"/>
      <c r="H1603" s="690"/>
      <c r="I1603" s="1030"/>
      <c r="J1603" s="690"/>
      <c r="K1603" s="1030"/>
      <c r="L1603" s="690"/>
      <c r="M1603" s="1025"/>
      <c r="N1603" s="1030"/>
      <c r="O1603" s="692">
        <f t="shared" si="205"/>
        <v>0</v>
      </c>
      <c r="P1603" s="690"/>
      <c r="Q1603" s="690"/>
      <c r="R1603" s="691">
        <f t="shared" si="206"/>
        <v>0</v>
      </c>
      <c r="S1603" s="692">
        <f t="shared" si="207"/>
        <v>0</v>
      </c>
      <c r="T1603" s="693">
        <f t="shared" si="208"/>
        <v>0</v>
      </c>
      <c r="U1603" s="1035"/>
      <c r="V1603" s="690"/>
      <c r="W1603" s="1025"/>
      <c r="X1603" s="1030"/>
      <c r="Y1603" s="694">
        <f t="shared" si="209"/>
        <v>0</v>
      </c>
      <c r="Z1603" s="690"/>
      <c r="AA1603" s="690"/>
      <c r="AB1603" s="695">
        <f t="shared" si="210"/>
        <v>0</v>
      </c>
      <c r="AC1603" s="1035"/>
      <c r="AD1603" s="690"/>
      <c r="AE1603" s="1025"/>
      <c r="AF1603" s="1030"/>
      <c r="AG1603" s="690"/>
      <c r="AH1603" s="690"/>
      <c r="AI1603" s="696">
        <f t="shared" si="211"/>
        <v>0</v>
      </c>
      <c r="AJ1603" s="697">
        <f t="shared" si="212"/>
        <v>0</v>
      </c>
    </row>
    <row r="1604" spans="1:36" s="700" customFormat="1" ht="12.75" customHeight="1">
      <c r="A1604" s="870" t="s">
        <v>211</v>
      </c>
      <c r="B1604" s="870" t="s">
        <v>278</v>
      </c>
      <c r="C1604" s="876" t="s">
        <v>1113</v>
      </c>
      <c r="D1604" s="876"/>
      <c r="E1604" s="872"/>
      <c r="F1604" s="873"/>
      <c r="G1604" s="1025"/>
      <c r="H1604" s="690"/>
      <c r="I1604" s="1030"/>
      <c r="J1604" s="690"/>
      <c r="K1604" s="1030"/>
      <c r="L1604" s="690"/>
      <c r="M1604" s="1025"/>
      <c r="N1604" s="1030"/>
      <c r="O1604" s="692">
        <f t="shared" si="205"/>
        <v>0</v>
      </c>
      <c r="P1604" s="690"/>
      <c r="Q1604" s="690"/>
      <c r="R1604" s="691">
        <f t="shared" si="206"/>
        <v>0</v>
      </c>
      <c r="S1604" s="692">
        <f t="shared" si="207"/>
        <v>0</v>
      </c>
      <c r="T1604" s="693">
        <f t="shared" si="208"/>
        <v>0</v>
      </c>
      <c r="U1604" s="1035">
        <v>621645</v>
      </c>
      <c r="V1604" s="690">
        <v>2068750</v>
      </c>
      <c r="W1604" s="1025"/>
      <c r="X1604" s="1030"/>
      <c r="Y1604" s="694">
        <f t="shared" si="209"/>
        <v>0</v>
      </c>
      <c r="Z1604" s="690"/>
      <c r="AA1604" s="690"/>
      <c r="AB1604" s="695">
        <f t="shared" si="210"/>
        <v>0</v>
      </c>
      <c r="AC1604" s="1035"/>
      <c r="AD1604" s="690"/>
      <c r="AE1604" s="1025"/>
      <c r="AF1604" s="1030"/>
      <c r="AG1604" s="690"/>
      <c r="AH1604" s="690"/>
      <c r="AI1604" s="696">
        <f t="shared" si="211"/>
        <v>621645</v>
      </c>
      <c r="AJ1604" s="697">
        <f t="shared" si="212"/>
        <v>2068750</v>
      </c>
    </row>
    <row r="1605" spans="1:36" s="700" customFormat="1" ht="12.75" customHeight="1">
      <c r="A1605" s="870" t="s">
        <v>211</v>
      </c>
      <c r="B1605" s="739" t="s">
        <v>279</v>
      </c>
      <c r="C1605" s="746" t="s">
        <v>54</v>
      </c>
      <c r="D1605" s="746"/>
      <c r="E1605" s="872"/>
      <c r="F1605" s="873"/>
      <c r="G1605" s="1025"/>
      <c r="H1605" s="690"/>
      <c r="I1605" s="1030"/>
      <c r="J1605" s="690"/>
      <c r="K1605" s="1030"/>
      <c r="L1605" s="690"/>
      <c r="M1605" s="1025"/>
      <c r="N1605" s="1030"/>
      <c r="O1605" s="692">
        <f t="shared" si="205"/>
        <v>0</v>
      </c>
      <c r="P1605" s="690"/>
      <c r="Q1605" s="690"/>
      <c r="R1605" s="691">
        <f t="shared" si="206"/>
        <v>0</v>
      </c>
      <c r="S1605" s="692">
        <f t="shared" si="207"/>
        <v>0</v>
      </c>
      <c r="T1605" s="693">
        <f t="shared" si="208"/>
        <v>0</v>
      </c>
      <c r="U1605" s="1035"/>
      <c r="V1605" s="690"/>
      <c r="W1605" s="1025"/>
      <c r="X1605" s="1030"/>
      <c r="Y1605" s="694">
        <f t="shared" si="209"/>
        <v>0</v>
      </c>
      <c r="Z1605" s="690"/>
      <c r="AA1605" s="690"/>
      <c r="AB1605" s="695">
        <f t="shared" si="210"/>
        <v>0</v>
      </c>
      <c r="AC1605" s="1035"/>
      <c r="AD1605" s="690"/>
      <c r="AE1605" s="1025"/>
      <c r="AF1605" s="1030"/>
      <c r="AG1605" s="690"/>
      <c r="AH1605" s="690"/>
      <c r="AI1605" s="696">
        <f t="shared" si="211"/>
        <v>0</v>
      </c>
      <c r="AJ1605" s="697">
        <f t="shared" si="212"/>
        <v>0</v>
      </c>
    </row>
    <row r="1606" spans="1:36" s="700" customFormat="1" ht="12.75" customHeight="1">
      <c r="A1606" s="870" t="s">
        <v>211</v>
      </c>
      <c r="B1606" s="739" t="s">
        <v>317</v>
      </c>
      <c r="C1606" s="746" t="s">
        <v>443</v>
      </c>
      <c r="D1606" s="746"/>
      <c r="E1606" s="872"/>
      <c r="F1606" s="873"/>
      <c r="G1606" s="1025"/>
      <c r="H1606" s="690"/>
      <c r="I1606" s="1030"/>
      <c r="J1606" s="690"/>
      <c r="K1606" s="1030"/>
      <c r="L1606" s="690"/>
      <c r="M1606" s="1025"/>
      <c r="N1606" s="1030"/>
      <c r="O1606" s="692">
        <f t="shared" si="205"/>
        <v>0</v>
      </c>
      <c r="P1606" s="690"/>
      <c r="Q1606" s="690"/>
      <c r="R1606" s="691">
        <f t="shared" si="206"/>
        <v>0</v>
      </c>
      <c r="S1606" s="692">
        <f t="shared" si="207"/>
        <v>0</v>
      </c>
      <c r="T1606" s="693">
        <f t="shared" si="208"/>
        <v>0</v>
      </c>
      <c r="U1606" s="1035"/>
      <c r="V1606" s="690"/>
      <c r="W1606" s="1025"/>
      <c r="X1606" s="1030"/>
      <c r="Y1606" s="694">
        <f t="shared" si="209"/>
        <v>0</v>
      </c>
      <c r="Z1606" s="690"/>
      <c r="AA1606" s="690"/>
      <c r="AB1606" s="695">
        <f t="shared" si="210"/>
        <v>0</v>
      </c>
      <c r="AC1606" s="1035"/>
      <c r="AD1606" s="690"/>
      <c r="AE1606" s="1025"/>
      <c r="AF1606" s="1030"/>
      <c r="AG1606" s="690"/>
      <c r="AH1606" s="690"/>
      <c r="AI1606" s="696">
        <f t="shared" si="211"/>
        <v>0</v>
      </c>
      <c r="AJ1606" s="697">
        <f t="shared" si="212"/>
        <v>0</v>
      </c>
    </row>
    <row r="1607" spans="1:36" s="700" customFormat="1" ht="12.75" customHeight="1">
      <c r="A1607" s="870" t="s">
        <v>211</v>
      </c>
      <c r="B1607" s="870" t="s">
        <v>318</v>
      </c>
      <c r="C1607" s="876" t="s">
        <v>1113</v>
      </c>
      <c r="D1607" s="876"/>
      <c r="E1607" s="872"/>
      <c r="F1607" s="873"/>
      <c r="G1607" s="1025"/>
      <c r="H1607" s="690"/>
      <c r="I1607" s="1030"/>
      <c r="J1607" s="690"/>
      <c r="K1607" s="1030"/>
      <c r="L1607" s="690"/>
      <c r="M1607" s="1025"/>
      <c r="N1607" s="1030"/>
      <c r="O1607" s="692">
        <f t="shared" si="205"/>
        <v>0</v>
      </c>
      <c r="P1607" s="690"/>
      <c r="Q1607" s="690"/>
      <c r="R1607" s="691">
        <f t="shared" si="206"/>
        <v>0</v>
      </c>
      <c r="S1607" s="692">
        <f t="shared" si="207"/>
        <v>0</v>
      </c>
      <c r="T1607" s="693">
        <f t="shared" si="208"/>
        <v>0</v>
      </c>
      <c r="U1607" s="1035">
        <v>46088</v>
      </c>
      <c r="V1607" s="690">
        <v>268750</v>
      </c>
      <c r="W1607" s="1025"/>
      <c r="X1607" s="1030"/>
      <c r="Y1607" s="694">
        <f t="shared" si="209"/>
        <v>0</v>
      </c>
      <c r="Z1607" s="690"/>
      <c r="AA1607" s="690"/>
      <c r="AB1607" s="695">
        <f t="shared" si="210"/>
        <v>0</v>
      </c>
      <c r="AC1607" s="1035"/>
      <c r="AD1607" s="690"/>
      <c r="AE1607" s="1025"/>
      <c r="AF1607" s="1030"/>
      <c r="AG1607" s="690"/>
      <c r="AH1607" s="690"/>
      <c r="AI1607" s="696">
        <f t="shared" si="211"/>
        <v>46088</v>
      </c>
      <c r="AJ1607" s="697">
        <f t="shared" si="212"/>
        <v>268750</v>
      </c>
    </row>
    <row r="1608" spans="1:36" s="700" customFormat="1" ht="12.75" customHeight="1">
      <c r="A1608" s="870" t="s">
        <v>211</v>
      </c>
      <c r="B1608" s="882" t="s">
        <v>420</v>
      </c>
      <c r="C1608" s="881" t="s">
        <v>1131</v>
      </c>
      <c r="D1608" s="881"/>
      <c r="E1608" s="872"/>
      <c r="F1608" s="873"/>
      <c r="G1608" s="1025"/>
      <c r="H1608" s="690"/>
      <c r="I1608" s="1030"/>
      <c r="J1608" s="690"/>
      <c r="K1608" s="1030"/>
      <c r="L1608" s="690"/>
      <c r="M1608" s="1025"/>
      <c r="N1608" s="1030"/>
      <c r="O1608" s="692">
        <f t="shared" si="205"/>
        <v>0</v>
      </c>
      <c r="P1608" s="690"/>
      <c r="Q1608" s="690"/>
      <c r="R1608" s="691">
        <f t="shared" si="206"/>
        <v>0</v>
      </c>
      <c r="S1608" s="692">
        <f t="shared" si="207"/>
        <v>0</v>
      </c>
      <c r="T1608" s="693">
        <f t="shared" si="208"/>
        <v>0</v>
      </c>
      <c r="U1608" s="1035"/>
      <c r="V1608" s="690"/>
      <c r="W1608" s="1025"/>
      <c r="X1608" s="1030"/>
      <c r="Y1608" s="694">
        <f t="shared" si="209"/>
        <v>0</v>
      </c>
      <c r="Z1608" s="690"/>
      <c r="AA1608" s="690"/>
      <c r="AB1608" s="695">
        <f t="shared" si="210"/>
        <v>0</v>
      </c>
      <c r="AC1608" s="1035"/>
      <c r="AD1608" s="690"/>
      <c r="AE1608" s="1025"/>
      <c r="AF1608" s="1030"/>
      <c r="AG1608" s="690"/>
      <c r="AH1608" s="690"/>
      <c r="AI1608" s="696">
        <f t="shared" si="211"/>
        <v>0</v>
      </c>
      <c r="AJ1608" s="697">
        <f t="shared" si="212"/>
        <v>0</v>
      </c>
    </row>
    <row r="1609" spans="1:36" s="700" customFormat="1" ht="12.75" customHeight="1">
      <c r="A1609" s="870" t="s">
        <v>211</v>
      </c>
      <c r="B1609" s="870" t="s">
        <v>295</v>
      </c>
      <c r="C1609" s="876" t="s">
        <v>53</v>
      </c>
      <c r="D1609" s="876"/>
      <c r="E1609" s="872"/>
      <c r="F1609" s="873"/>
      <c r="G1609" s="1025"/>
      <c r="H1609" s="690"/>
      <c r="I1609" s="1030"/>
      <c r="J1609" s="690"/>
      <c r="K1609" s="1030"/>
      <c r="L1609" s="690"/>
      <c r="M1609" s="1025"/>
      <c r="N1609" s="1030"/>
      <c r="O1609" s="692">
        <f t="shared" si="205"/>
        <v>0</v>
      </c>
      <c r="P1609" s="690"/>
      <c r="Q1609" s="690"/>
      <c r="R1609" s="691">
        <f t="shared" si="206"/>
        <v>0</v>
      </c>
      <c r="S1609" s="692">
        <f t="shared" si="207"/>
        <v>0</v>
      </c>
      <c r="T1609" s="693">
        <f t="shared" si="208"/>
        <v>0</v>
      </c>
      <c r="U1609" s="1035"/>
      <c r="V1609" s="690"/>
      <c r="W1609" s="1025"/>
      <c r="X1609" s="1030"/>
      <c r="Y1609" s="694">
        <f t="shared" si="209"/>
        <v>0</v>
      </c>
      <c r="Z1609" s="690"/>
      <c r="AA1609" s="690"/>
      <c r="AB1609" s="695">
        <f t="shared" si="210"/>
        <v>0</v>
      </c>
      <c r="AC1609" s="1035"/>
      <c r="AD1609" s="690"/>
      <c r="AE1609" s="1025"/>
      <c r="AF1609" s="1030"/>
      <c r="AG1609" s="690"/>
      <c r="AH1609" s="690"/>
      <c r="AI1609" s="696">
        <f t="shared" si="211"/>
        <v>0</v>
      </c>
      <c r="AJ1609" s="697">
        <f t="shared" si="212"/>
        <v>0</v>
      </c>
    </row>
    <row r="1610" spans="1:36" s="700" customFormat="1" ht="12.75" customHeight="1">
      <c r="A1610" s="870" t="s">
        <v>211</v>
      </c>
      <c r="B1610" s="870" t="s">
        <v>296</v>
      </c>
      <c r="C1610" s="876" t="s">
        <v>443</v>
      </c>
      <c r="D1610" s="876"/>
      <c r="E1610" s="872"/>
      <c r="F1610" s="873"/>
      <c r="G1610" s="1025"/>
      <c r="H1610" s="690"/>
      <c r="I1610" s="1030"/>
      <c r="J1610" s="690"/>
      <c r="K1610" s="1030"/>
      <c r="L1610" s="690"/>
      <c r="M1610" s="1025"/>
      <c r="N1610" s="1030"/>
      <c r="O1610" s="692">
        <f t="shared" ref="O1610:O1673" si="213">SUM(M1610:N1610)</f>
        <v>0</v>
      </c>
      <c r="P1610" s="690"/>
      <c r="Q1610" s="690"/>
      <c r="R1610" s="691">
        <f t="shared" ref="R1610:R1673" si="214">SUM(P1610:Q1610)</f>
        <v>0</v>
      </c>
      <c r="S1610" s="692">
        <f t="shared" ref="S1610:S1673" si="215">SUM(G1610,I1610,K1610,M1610)</f>
        <v>0</v>
      </c>
      <c r="T1610" s="693">
        <f t="shared" ref="T1610:T1673" si="216">SUM(H1610,J1610,L1610,P1610)</f>
        <v>0</v>
      </c>
      <c r="U1610" s="1035"/>
      <c r="V1610" s="690"/>
      <c r="W1610" s="1025"/>
      <c r="X1610" s="1030"/>
      <c r="Y1610" s="694">
        <f t="shared" ref="Y1610:Y1673" si="217">SUM(W1610:X1610)</f>
        <v>0</v>
      </c>
      <c r="Z1610" s="690"/>
      <c r="AA1610" s="690"/>
      <c r="AB1610" s="695">
        <f t="shared" ref="AB1610:AB1673" si="218">SUM(Z1610:AA1610)</f>
        <v>0</v>
      </c>
      <c r="AC1610" s="1035"/>
      <c r="AD1610" s="690"/>
      <c r="AE1610" s="1025"/>
      <c r="AF1610" s="1030"/>
      <c r="AG1610" s="690"/>
      <c r="AH1610" s="690"/>
      <c r="AI1610" s="696">
        <f t="shared" ref="AI1610:AI1673" si="219">SUM(S1610,U1610,W1610,AC1610,AE1610)</f>
        <v>0</v>
      </c>
      <c r="AJ1610" s="697">
        <f t="shared" ref="AJ1610:AJ1673" si="220">SUM(T1610,V1610,Z1610,AD1610,AG1610)</f>
        <v>0</v>
      </c>
    </row>
    <row r="1611" spans="1:36" s="700" customFormat="1" ht="12.75" customHeight="1">
      <c r="A1611" s="870" t="s">
        <v>211</v>
      </c>
      <c r="B1611" s="870" t="s">
        <v>278</v>
      </c>
      <c r="C1611" s="876" t="s">
        <v>1113</v>
      </c>
      <c r="D1611" s="876"/>
      <c r="E1611" s="872"/>
      <c r="F1611" s="873"/>
      <c r="G1611" s="1025"/>
      <c r="H1611" s="690"/>
      <c r="I1611" s="1030"/>
      <c r="J1611" s="690"/>
      <c r="K1611" s="1030"/>
      <c r="L1611" s="690"/>
      <c r="M1611" s="1025"/>
      <c r="N1611" s="1030"/>
      <c r="O1611" s="692">
        <f t="shared" si="213"/>
        <v>0</v>
      </c>
      <c r="P1611" s="690"/>
      <c r="Q1611" s="690"/>
      <c r="R1611" s="691">
        <f t="shared" si="214"/>
        <v>0</v>
      </c>
      <c r="S1611" s="692">
        <f t="shared" si="215"/>
        <v>0</v>
      </c>
      <c r="T1611" s="693">
        <f t="shared" si="216"/>
        <v>0</v>
      </c>
      <c r="U1611" s="1035">
        <v>1758250</v>
      </c>
      <c r="V1611" s="690">
        <v>453771</v>
      </c>
      <c r="W1611" s="1025"/>
      <c r="X1611" s="1030"/>
      <c r="Y1611" s="694">
        <f t="shared" si="217"/>
        <v>0</v>
      </c>
      <c r="Z1611" s="690"/>
      <c r="AA1611" s="690"/>
      <c r="AB1611" s="695">
        <f t="shared" si="218"/>
        <v>0</v>
      </c>
      <c r="AC1611" s="1035"/>
      <c r="AD1611" s="690"/>
      <c r="AE1611" s="1025"/>
      <c r="AF1611" s="1030"/>
      <c r="AG1611" s="690"/>
      <c r="AH1611" s="690"/>
      <c r="AI1611" s="696">
        <f t="shared" si="219"/>
        <v>1758250</v>
      </c>
      <c r="AJ1611" s="697">
        <f t="shared" si="220"/>
        <v>453771</v>
      </c>
    </row>
    <row r="1612" spans="1:36" s="700" customFormat="1" ht="12.75" customHeight="1">
      <c r="A1612" s="870" t="s">
        <v>211</v>
      </c>
      <c r="B1612" s="739" t="s">
        <v>279</v>
      </c>
      <c r="C1612" s="746" t="s">
        <v>54</v>
      </c>
      <c r="D1612" s="746"/>
      <c r="E1612" s="872"/>
      <c r="F1612" s="873"/>
      <c r="G1612" s="1025"/>
      <c r="H1612" s="690"/>
      <c r="I1612" s="1030"/>
      <c r="J1612" s="690"/>
      <c r="K1612" s="1030"/>
      <c r="L1612" s="690"/>
      <c r="M1612" s="1025"/>
      <c r="N1612" s="1030"/>
      <c r="O1612" s="692">
        <f t="shared" si="213"/>
        <v>0</v>
      </c>
      <c r="P1612" s="690"/>
      <c r="Q1612" s="690"/>
      <c r="R1612" s="691">
        <f t="shared" si="214"/>
        <v>0</v>
      </c>
      <c r="S1612" s="692">
        <f t="shared" si="215"/>
        <v>0</v>
      </c>
      <c r="T1612" s="693">
        <f t="shared" si="216"/>
        <v>0</v>
      </c>
      <c r="U1612" s="1035"/>
      <c r="V1612" s="690"/>
      <c r="W1612" s="1025"/>
      <c r="X1612" s="1030"/>
      <c r="Y1612" s="694">
        <f t="shared" si="217"/>
        <v>0</v>
      </c>
      <c r="Z1612" s="690"/>
      <c r="AA1612" s="690"/>
      <c r="AB1612" s="695">
        <f t="shared" si="218"/>
        <v>0</v>
      </c>
      <c r="AC1612" s="1035"/>
      <c r="AD1612" s="690"/>
      <c r="AE1612" s="1025"/>
      <c r="AF1612" s="1030"/>
      <c r="AG1612" s="690"/>
      <c r="AH1612" s="690"/>
      <c r="AI1612" s="696">
        <f t="shared" si="219"/>
        <v>0</v>
      </c>
      <c r="AJ1612" s="697">
        <f t="shared" si="220"/>
        <v>0</v>
      </c>
    </row>
    <row r="1613" spans="1:36" s="700" customFormat="1" ht="12.75" customHeight="1">
      <c r="A1613" s="870" t="s">
        <v>211</v>
      </c>
      <c r="B1613" s="739" t="s">
        <v>317</v>
      </c>
      <c r="C1613" s="746" t="s">
        <v>443</v>
      </c>
      <c r="D1613" s="746"/>
      <c r="E1613" s="872"/>
      <c r="F1613" s="873"/>
      <c r="G1613" s="1025"/>
      <c r="H1613" s="690"/>
      <c r="I1613" s="1030"/>
      <c r="J1613" s="690"/>
      <c r="K1613" s="1030"/>
      <c r="L1613" s="690"/>
      <c r="M1613" s="1025"/>
      <c r="N1613" s="1030"/>
      <c r="O1613" s="692">
        <f t="shared" si="213"/>
        <v>0</v>
      </c>
      <c r="P1613" s="690"/>
      <c r="Q1613" s="690"/>
      <c r="R1613" s="691">
        <f t="shared" si="214"/>
        <v>0</v>
      </c>
      <c r="S1613" s="692">
        <f t="shared" si="215"/>
        <v>0</v>
      </c>
      <c r="T1613" s="693">
        <f t="shared" si="216"/>
        <v>0</v>
      </c>
      <c r="U1613" s="1035"/>
      <c r="V1613" s="690"/>
      <c r="W1613" s="1025"/>
      <c r="X1613" s="1030"/>
      <c r="Y1613" s="694">
        <f t="shared" si="217"/>
        <v>0</v>
      </c>
      <c r="Z1613" s="690"/>
      <c r="AA1613" s="690"/>
      <c r="AB1613" s="695">
        <f t="shared" si="218"/>
        <v>0</v>
      </c>
      <c r="AC1613" s="1035"/>
      <c r="AD1613" s="690"/>
      <c r="AE1613" s="1025"/>
      <c r="AF1613" s="1030"/>
      <c r="AG1613" s="690"/>
      <c r="AH1613" s="690"/>
      <c r="AI1613" s="696">
        <f t="shared" si="219"/>
        <v>0</v>
      </c>
      <c r="AJ1613" s="697">
        <f t="shared" si="220"/>
        <v>0</v>
      </c>
    </row>
    <row r="1614" spans="1:36" s="700" customFormat="1" ht="12.75" customHeight="1">
      <c r="A1614" s="870" t="s">
        <v>211</v>
      </c>
      <c r="B1614" s="870" t="s">
        <v>318</v>
      </c>
      <c r="C1614" s="876" t="s">
        <v>1113</v>
      </c>
      <c r="D1614" s="876"/>
      <c r="E1614" s="872"/>
      <c r="F1614" s="873"/>
      <c r="G1614" s="1025"/>
      <c r="H1614" s="690"/>
      <c r="I1614" s="1030"/>
      <c r="J1614" s="690"/>
      <c r="K1614" s="1030"/>
      <c r="L1614" s="690"/>
      <c r="M1614" s="1025"/>
      <c r="N1614" s="1030"/>
      <c r="O1614" s="692">
        <f t="shared" si="213"/>
        <v>0</v>
      </c>
      <c r="P1614" s="690"/>
      <c r="Q1614" s="690"/>
      <c r="R1614" s="691">
        <f t="shared" si="214"/>
        <v>0</v>
      </c>
      <c r="S1614" s="692">
        <f t="shared" si="215"/>
        <v>0</v>
      </c>
      <c r="T1614" s="693">
        <f t="shared" si="216"/>
        <v>0</v>
      </c>
      <c r="U1614" s="1035">
        <v>504000</v>
      </c>
      <c r="V1614" s="690">
        <v>59606</v>
      </c>
      <c r="W1614" s="1025"/>
      <c r="X1614" s="1030"/>
      <c r="Y1614" s="694">
        <f t="shared" si="217"/>
        <v>0</v>
      </c>
      <c r="Z1614" s="690"/>
      <c r="AA1614" s="690"/>
      <c r="AB1614" s="695">
        <f t="shared" si="218"/>
        <v>0</v>
      </c>
      <c r="AC1614" s="1035"/>
      <c r="AD1614" s="690"/>
      <c r="AE1614" s="1025"/>
      <c r="AF1614" s="1030"/>
      <c r="AG1614" s="690"/>
      <c r="AH1614" s="690"/>
      <c r="AI1614" s="696">
        <f t="shared" si="219"/>
        <v>504000</v>
      </c>
      <c r="AJ1614" s="697">
        <f t="shared" si="220"/>
        <v>59606</v>
      </c>
    </row>
    <row r="1615" spans="1:36" s="700" customFormat="1" ht="12.75" customHeight="1">
      <c r="A1615" s="870" t="s">
        <v>211</v>
      </c>
      <c r="B1615" s="882" t="s">
        <v>420</v>
      </c>
      <c r="C1615" s="881" t="s">
        <v>1132</v>
      </c>
      <c r="D1615" s="881"/>
      <c r="E1615" s="872"/>
      <c r="F1615" s="873"/>
      <c r="G1615" s="1025"/>
      <c r="H1615" s="690"/>
      <c r="I1615" s="1030"/>
      <c r="J1615" s="690"/>
      <c r="K1615" s="1030"/>
      <c r="L1615" s="690"/>
      <c r="M1615" s="1025"/>
      <c r="N1615" s="1030"/>
      <c r="O1615" s="692">
        <f t="shared" si="213"/>
        <v>0</v>
      </c>
      <c r="P1615" s="690"/>
      <c r="Q1615" s="690"/>
      <c r="R1615" s="691">
        <f t="shared" si="214"/>
        <v>0</v>
      </c>
      <c r="S1615" s="692">
        <f t="shared" si="215"/>
        <v>0</v>
      </c>
      <c r="T1615" s="693">
        <f t="shared" si="216"/>
        <v>0</v>
      </c>
      <c r="U1615" s="1035"/>
      <c r="V1615" s="690"/>
      <c r="W1615" s="1025"/>
      <c r="X1615" s="1030"/>
      <c r="Y1615" s="694">
        <f t="shared" si="217"/>
        <v>0</v>
      </c>
      <c r="Z1615" s="690"/>
      <c r="AA1615" s="690"/>
      <c r="AB1615" s="695">
        <f t="shared" si="218"/>
        <v>0</v>
      </c>
      <c r="AC1615" s="1035"/>
      <c r="AD1615" s="690"/>
      <c r="AE1615" s="1025"/>
      <c r="AF1615" s="1030"/>
      <c r="AG1615" s="690"/>
      <c r="AH1615" s="690"/>
      <c r="AI1615" s="696">
        <f t="shared" si="219"/>
        <v>0</v>
      </c>
      <c r="AJ1615" s="697">
        <f t="shared" si="220"/>
        <v>0</v>
      </c>
    </row>
    <row r="1616" spans="1:36" s="700" customFormat="1" ht="12.75" customHeight="1">
      <c r="A1616" s="870" t="s">
        <v>211</v>
      </c>
      <c r="B1616" s="870" t="s">
        <v>295</v>
      </c>
      <c r="C1616" s="876" t="s">
        <v>53</v>
      </c>
      <c r="D1616" s="876"/>
      <c r="E1616" s="872"/>
      <c r="F1616" s="873"/>
      <c r="G1616" s="1025"/>
      <c r="H1616" s="690"/>
      <c r="I1616" s="1030"/>
      <c r="J1616" s="690"/>
      <c r="K1616" s="1030"/>
      <c r="L1616" s="690"/>
      <c r="M1616" s="1025"/>
      <c r="N1616" s="1030"/>
      <c r="O1616" s="692">
        <f t="shared" si="213"/>
        <v>0</v>
      </c>
      <c r="P1616" s="690"/>
      <c r="Q1616" s="690"/>
      <c r="R1616" s="691">
        <f t="shared" si="214"/>
        <v>0</v>
      </c>
      <c r="S1616" s="692">
        <f t="shared" si="215"/>
        <v>0</v>
      </c>
      <c r="T1616" s="693">
        <f t="shared" si="216"/>
        <v>0</v>
      </c>
      <c r="U1616" s="1035">
        <v>5237091</v>
      </c>
      <c r="V1616" s="690"/>
      <c r="W1616" s="1025"/>
      <c r="X1616" s="1030"/>
      <c r="Y1616" s="694">
        <f t="shared" si="217"/>
        <v>0</v>
      </c>
      <c r="Z1616" s="690"/>
      <c r="AA1616" s="690"/>
      <c r="AB1616" s="695">
        <f t="shared" si="218"/>
        <v>0</v>
      </c>
      <c r="AC1616" s="1035"/>
      <c r="AD1616" s="690"/>
      <c r="AE1616" s="1025"/>
      <c r="AF1616" s="1030"/>
      <c r="AG1616" s="690"/>
      <c r="AH1616" s="690"/>
      <c r="AI1616" s="696">
        <f t="shared" si="219"/>
        <v>5237091</v>
      </c>
      <c r="AJ1616" s="697">
        <f t="shared" si="220"/>
        <v>0</v>
      </c>
    </row>
    <row r="1617" spans="1:36" s="700" customFormat="1" ht="12.75" customHeight="1">
      <c r="A1617" s="870" t="s">
        <v>211</v>
      </c>
      <c r="B1617" s="870" t="s">
        <v>296</v>
      </c>
      <c r="C1617" s="876" t="s">
        <v>443</v>
      </c>
      <c r="D1617" s="876"/>
      <c r="E1617" s="872"/>
      <c r="F1617" s="873"/>
      <c r="G1617" s="1025"/>
      <c r="H1617" s="690"/>
      <c r="I1617" s="1030"/>
      <c r="J1617" s="690"/>
      <c r="K1617" s="1030"/>
      <c r="L1617" s="690"/>
      <c r="M1617" s="1025"/>
      <c r="N1617" s="1030"/>
      <c r="O1617" s="692">
        <f t="shared" si="213"/>
        <v>0</v>
      </c>
      <c r="P1617" s="690"/>
      <c r="Q1617" s="690"/>
      <c r="R1617" s="691">
        <f t="shared" si="214"/>
        <v>0</v>
      </c>
      <c r="S1617" s="692">
        <f t="shared" si="215"/>
        <v>0</v>
      </c>
      <c r="T1617" s="693">
        <f t="shared" si="216"/>
        <v>0</v>
      </c>
      <c r="U1617" s="1035">
        <v>12989861</v>
      </c>
      <c r="V1617" s="690">
        <v>797000</v>
      </c>
      <c r="W1617" s="1025"/>
      <c r="X1617" s="1030"/>
      <c r="Y1617" s="694">
        <f t="shared" si="217"/>
        <v>0</v>
      </c>
      <c r="Z1617" s="690"/>
      <c r="AA1617" s="690"/>
      <c r="AB1617" s="695">
        <f t="shared" si="218"/>
        <v>0</v>
      </c>
      <c r="AC1617" s="1035"/>
      <c r="AD1617" s="690"/>
      <c r="AE1617" s="1025"/>
      <c r="AF1617" s="1030"/>
      <c r="AG1617" s="690"/>
      <c r="AH1617" s="690"/>
      <c r="AI1617" s="696">
        <f t="shared" si="219"/>
        <v>12989861</v>
      </c>
      <c r="AJ1617" s="697">
        <f t="shared" si="220"/>
        <v>797000</v>
      </c>
    </row>
    <row r="1618" spans="1:36" s="700" customFormat="1" ht="12.75" customHeight="1">
      <c r="A1618" s="870" t="s">
        <v>211</v>
      </c>
      <c r="B1618" s="870" t="s">
        <v>278</v>
      </c>
      <c r="C1618" s="876" t="s">
        <v>1113</v>
      </c>
      <c r="D1618" s="876"/>
      <c r="E1618" s="872"/>
      <c r="F1618" s="873"/>
      <c r="G1618" s="1025"/>
      <c r="H1618" s="690"/>
      <c r="I1618" s="1030"/>
      <c r="J1618" s="690"/>
      <c r="K1618" s="1030"/>
      <c r="L1618" s="690"/>
      <c r="M1618" s="1025"/>
      <c r="N1618" s="1030"/>
      <c r="O1618" s="692">
        <f t="shared" si="213"/>
        <v>0</v>
      </c>
      <c r="P1618" s="690"/>
      <c r="Q1618" s="690"/>
      <c r="R1618" s="691">
        <f t="shared" si="214"/>
        <v>0</v>
      </c>
      <c r="S1618" s="692">
        <f t="shared" si="215"/>
        <v>0</v>
      </c>
      <c r="T1618" s="693">
        <f t="shared" si="216"/>
        <v>0</v>
      </c>
      <c r="U1618" s="1035"/>
      <c r="V1618" s="690"/>
      <c r="W1618" s="1025"/>
      <c r="X1618" s="1030"/>
      <c r="Y1618" s="694">
        <f t="shared" si="217"/>
        <v>0</v>
      </c>
      <c r="Z1618" s="690"/>
      <c r="AA1618" s="690"/>
      <c r="AB1618" s="695">
        <f t="shared" si="218"/>
        <v>0</v>
      </c>
      <c r="AC1618" s="1035"/>
      <c r="AD1618" s="690"/>
      <c r="AE1618" s="1025"/>
      <c r="AF1618" s="1030"/>
      <c r="AG1618" s="690"/>
      <c r="AH1618" s="690"/>
      <c r="AI1618" s="696">
        <f t="shared" si="219"/>
        <v>0</v>
      </c>
      <c r="AJ1618" s="697">
        <f t="shared" si="220"/>
        <v>0</v>
      </c>
    </row>
    <row r="1619" spans="1:36" s="700" customFormat="1" ht="12.75" customHeight="1">
      <c r="A1619" s="870" t="s">
        <v>211</v>
      </c>
      <c r="B1619" s="739" t="s">
        <v>279</v>
      </c>
      <c r="C1619" s="746" t="s">
        <v>54</v>
      </c>
      <c r="D1619" s="746"/>
      <c r="E1619" s="872"/>
      <c r="F1619" s="873"/>
      <c r="G1619" s="1025"/>
      <c r="H1619" s="690"/>
      <c r="I1619" s="1030"/>
      <c r="J1619" s="690"/>
      <c r="K1619" s="1030"/>
      <c r="L1619" s="690"/>
      <c r="M1619" s="1025"/>
      <c r="N1619" s="1030"/>
      <c r="O1619" s="692">
        <f t="shared" si="213"/>
        <v>0</v>
      </c>
      <c r="P1619" s="690"/>
      <c r="Q1619" s="690"/>
      <c r="R1619" s="691">
        <f t="shared" si="214"/>
        <v>0</v>
      </c>
      <c r="S1619" s="692">
        <f t="shared" si="215"/>
        <v>0</v>
      </c>
      <c r="T1619" s="693">
        <f t="shared" si="216"/>
        <v>0</v>
      </c>
      <c r="U1619" s="1035">
        <v>1737648</v>
      </c>
      <c r="V1619" s="690">
        <v>288500</v>
      </c>
      <c r="W1619" s="1025"/>
      <c r="X1619" s="1030"/>
      <c r="Y1619" s="694">
        <f t="shared" si="217"/>
        <v>0</v>
      </c>
      <c r="Z1619" s="690"/>
      <c r="AA1619" s="690"/>
      <c r="AB1619" s="695">
        <f t="shared" si="218"/>
        <v>0</v>
      </c>
      <c r="AC1619" s="1035"/>
      <c r="AD1619" s="690"/>
      <c r="AE1619" s="1025"/>
      <c r="AF1619" s="1030"/>
      <c r="AG1619" s="690"/>
      <c r="AH1619" s="690"/>
      <c r="AI1619" s="696">
        <f t="shared" si="219"/>
        <v>1737648</v>
      </c>
      <c r="AJ1619" s="697">
        <f t="shared" si="220"/>
        <v>288500</v>
      </c>
    </row>
    <row r="1620" spans="1:36" s="700" customFormat="1" ht="12.75" customHeight="1">
      <c r="A1620" s="870" t="s">
        <v>211</v>
      </c>
      <c r="B1620" s="739" t="s">
        <v>317</v>
      </c>
      <c r="C1620" s="746" t="s">
        <v>443</v>
      </c>
      <c r="D1620" s="746"/>
      <c r="E1620" s="872"/>
      <c r="F1620" s="873"/>
      <c r="G1620" s="1025"/>
      <c r="H1620" s="690"/>
      <c r="I1620" s="1030"/>
      <c r="J1620" s="690"/>
      <c r="K1620" s="1030"/>
      <c r="L1620" s="690"/>
      <c r="M1620" s="1025"/>
      <c r="N1620" s="1030"/>
      <c r="O1620" s="692">
        <f t="shared" si="213"/>
        <v>0</v>
      </c>
      <c r="P1620" s="690"/>
      <c r="Q1620" s="690"/>
      <c r="R1620" s="691">
        <f t="shared" si="214"/>
        <v>0</v>
      </c>
      <c r="S1620" s="692">
        <f t="shared" si="215"/>
        <v>0</v>
      </c>
      <c r="T1620" s="693">
        <f t="shared" si="216"/>
        <v>0</v>
      </c>
      <c r="U1620" s="1035">
        <v>5287843</v>
      </c>
      <c r="V1620" s="690"/>
      <c r="W1620" s="1025"/>
      <c r="X1620" s="1030"/>
      <c r="Y1620" s="694">
        <f t="shared" si="217"/>
        <v>0</v>
      </c>
      <c r="Z1620" s="690"/>
      <c r="AA1620" s="690"/>
      <c r="AB1620" s="695">
        <f t="shared" si="218"/>
        <v>0</v>
      </c>
      <c r="AC1620" s="1035"/>
      <c r="AD1620" s="690"/>
      <c r="AE1620" s="1025"/>
      <c r="AF1620" s="1030"/>
      <c r="AG1620" s="690"/>
      <c r="AH1620" s="690"/>
      <c r="AI1620" s="696">
        <f t="shared" si="219"/>
        <v>5287843</v>
      </c>
      <c r="AJ1620" s="697">
        <f t="shared" si="220"/>
        <v>0</v>
      </c>
    </row>
    <row r="1621" spans="1:36" s="700" customFormat="1" ht="12.75" customHeight="1">
      <c r="A1621" s="870" t="s">
        <v>211</v>
      </c>
      <c r="B1621" s="870" t="s">
        <v>318</v>
      </c>
      <c r="C1621" s="876" t="s">
        <v>1113</v>
      </c>
      <c r="D1621" s="876"/>
      <c r="E1621" s="872"/>
      <c r="F1621" s="873"/>
      <c r="G1621" s="1025"/>
      <c r="H1621" s="690"/>
      <c r="I1621" s="1030"/>
      <c r="J1621" s="690"/>
      <c r="K1621" s="1030"/>
      <c r="L1621" s="690"/>
      <c r="M1621" s="1025"/>
      <c r="N1621" s="1030"/>
      <c r="O1621" s="692">
        <f t="shared" si="213"/>
        <v>0</v>
      </c>
      <c r="P1621" s="690"/>
      <c r="Q1621" s="690"/>
      <c r="R1621" s="691">
        <f t="shared" si="214"/>
        <v>0</v>
      </c>
      <c r="S1621" s="692">
        <f t="shared" si="215"/>
        <v>0</v>
      </c>
      <c r="T1621" s="693">
        <f t="shared" si="216"/>
        <v>0</v>
      </c>
      <c r="U1621" s="1035"/>
      <c r="V1621" s="690"/>
      <c r="W1621" s="1025"/>
      <c r="X1621" s="1030"/>
      <c r="Y1621" s="694">
        <f t="shared" si="217"/>
        <v>0</v>
      </c>
      <c r="Z1621" s="690"/>
      <c r="AA1621" s="690"/>
      <c r="AB1621" s="695">
        <f t="shared" si="218"/>
        <v>0</v>
      </c>
      <c r="AC1621" s="1035"/>
      <c r="AD1621" s="690"/>
      <c r="AE1621" s="1025"/>
      <c r="AF1621" s="1030"/>
      <c r="AG1621" s="690"/>
      <c r="AH1621" s="690"/>
      <c r="AI1621" s="696">
        <f t="shared" si="219"/>
        <v>0</v>
      </c>
      <c r="AJ1621" s="697">
        <f t="shared" si="220"/>
        <v>0</v>
      </c>
    </row>
    <row r="1622" spans="1:36" s="700" customFormat="1" ht="12.75" customHeight="1">
      <c r="A1622" s="870" t="s">
        <v>211</v>
      </c>
      <c r="B1622" s="739" t="s">
        <v>421</v>
      </c>
      <c r="C1622" s="887" t="s">
        <v>19</v>
      </c>
      <c r="D1622" s="887"/>
      <c r="E1622" s="741"/>
      <c r="F1622" s="742"/>
      <c r="G1622" s="1025"/>
      <c r="H1622" s="690"/>
      <c r="I1622" s="1030"/>
      <c r="J1622" s="690"/>
      <c r="K1622" s="1030"/>
      <c r="L1622" s="690"/>
      <c r="M1622" s="1025"/>
      <c r="N1622" s="1030"/>
      <c r="O1622" s="692">
        <f t="shared" si="213"/>
        <v>0</v>
      </c>
      <c r="P1622" s="690"/>
      <c r="Q1622" s="690"/>
      <c r="R1622" s="691">
        <f t="shared" si="214"/>
        <v>0</v>
      </c>
      <c r="S1622" s="692">
        <f t="shared" si="215"/>
        <v>0</v>
      </c>
      <c r="T1622" s="693">
        <f t="shared" si="216"/>
        <v>0</v>
      </c>
      <c r="U1622" s="1035"/>
      <c r="V1622" s="690"/>
      <c r="W1622" s="1025"/>
      <c r="X1622" s="1030"/>
      <c r="Y1622" s="694">
        <f t="shared" si="217"/>
        <v>0</v>
      </c>
      <c r="Z1622" s="690"/>
      <c r="AA1622" s="690"/>
      <c r="AB1622" s="695">
        <f t="shared" si="218"/>
        <v>0</v>
      </c>
      <c r="AC1622" s="1035"/>
      <c r="AD1622" s="690"/>
      <c r="AE1622" s="1025"/>
      <c r="AF1622" s="1030"/>
      <c r="AG1622" s="690"/>
      <c r="AH1622" s="690"/>
      <c r="AI1622" s="696">
        <f t="shared" si="219"/>
        <v>0</v>
      </c>
      <c r="AJ1622" s="697">
        <f t="shared" si="220"/>
        <v>0</v>
      </c>
    </row>
    <row r="1623" spans="1:36" s="700" customFormat="1" ht="12.75" customHeight="1">
      <c r="A1623" s="870" t="s">
        <v>211</v>
      </c>
      <c r="B1623" s="739" t="s">
        <v>380</v>
      </c>
      <c r="C1623" s="746" t="s">
        <v>443</v>
      </c>
      <c r="D1623" s="746"/>
      <c r="E1623" s="741"/>
      <c r="F1623" s="742"/>
      <c r="G1623" s="1025"/>
      <c r="H1623" s="690"/>
      <c r="I1623" s="1030"/>
      <c r="J1623" s="690"/>
      <c r="K1623" s="1030"/>
      <c r="L1623" s="690"/>
      <c r="M1623" s="1025"/>
      <c r="N1623" s="1030"/>
      <c r="O1623" s="692">
        <f t="shared" si="213"/>
        <v>0</v>
      </c>
      <c r="P1623" s="690"/>
      <c r="Q1623" s="690"/>
      <c r="R1623" s="691">
        <f t="shared" si="214"/>
        <v>0</v>
      </c>
      <c r="S1623" s="692">
        <f t="shared" si="215"/>
        <v>0</v>
      </c>
      <c r="T1623" s="693">
        <f t="shared" si="216"/>
        <v>0</v>
      </c>
      <c r="U1623" s="1035"/>
      <c r="V1623" s="690"/>
      <c r="W1623" s="1025"/>
      <c r="X1623" s="1030"/>
      <c r="Y1623" s="694">
        <f t="shared" si="217"/>
        <v>0</v>
      </c>
      <c r="Z1623" s="690"/>
      <c r="AA1623" s="690"/>
      <c r="AB1623" s="695">
        <f t="shared" si="218"/>
        <v>0</v>
      </c>
      <c r="AC1623" s="1035"/>
      <c r="AD1623" s="690"/>
      <c r="AE1623" s="1025"/>
      <c r="AF1623" s="1030"/>
      <c r="AG1623" s="690"/>
      <c r="AH1623" s="690"/>
      <c r="AI1623" s="696">
        <f t="shared" si="219"/>
        <v>0</v>
      </c>
      <c r="AJ1623" s="697">
        <f t="shared" si="220"/>
        <v>0</v>
      </c>
    </row>
    <row r="1624" spans="1:36" s="700" customFormat="1" ht="12.75" customHeight="1">
      <c r="A1624" s="870" t="s">
        <v>211</v>
      </c>
      <c r="B1624" s="739" t="s">
        <v>381</v>
      </c>
      <c r="C1624" s="746" t="s">
        <v>377</v>
      </c>
      <c r="D1624" s="746"/>
      <c r="E1624" s="741"/>
      <c r="F1624" s="742"/>
      <c r="G1624" s="1025"/>
      <c r="H1624" s="690"/>
      <c r="I1624" s="1030"/>
      <c r="J1624" s="690"/>
      <c r="K1624" s="1030"/>
      <c r="L1624" s="690"/>
      <c r="M1624" s="1025"/>
      <c r="N1624" s="1030"/>
      <c r="O1624" s="692">
        <f t="shared" si="213"/>
        <v>0</v>
      </c>
      <c r="P1624" s="690"/>
      <c r="Q1624" s="690"/>
      <c r="R1624" s="691">
        <f t="shared" si="214"/>
        <v>0</v>
      </c>
      <c r="S1624" s="692">
        <f t="shared" si="215"/>
        <v>0</v>
      </c>
      <c r="T1624" s="693">
        <f t="shared" si="216"/>
        <v>0</v>
      </c>
      <c r="U1624" s="1035"/>
      <c r="V1624" s="690"/>
      <c r="W1624" s="1025"/>
      <c r="X1624" s="1030"/>
      <c r="Y1624" s="694">
        <f t="shared" si="217"/>
        <v>0</v>
      </c>
      <c r="Z1624" s="690"/>
      <c r="AA1624" s="690"/>
      <c r="AB1624" s="695">
        <f t="shared" si="218"/>
        <v>0</v>
      </c>
      <c r="AC1624" s="1035"/>
      <c r="AD1624" s="690"/>
      <c r="AE1624" s="1025"/>
      <c r="AF1624" s="1030"/>
      <c r="AG1624" s="690"/>
      <c r="AH1624" s="690"/>
      <c r="AI1624" s="696">
        <f t="shared" si="219"/>
        <v>0</v>
      </c>
      <c r="AJ1624" s="697">
        <f t="shared" si="220"/>
        <v>0</v>
      </c>
    </row>
    <row r="1625" spans="1:36" s="700" customFormat="1" ht="12.75" customHeight="1">
      <c r="A1625" s="870" t="s">
        <v>211</v>
      </c>
      <c r="B1625" s="870" t="s">
        <v>422</v>
      </c>
      <c r="C1625" s="879" t="s">
        <v>439</v>
      </c>
      <c r="D1625" s="879"/>
      <c r="E1625" s="872"/>
      <c r="F1625" s="873"/>
      <c r="G1625" s="1025"/>
      <c r="H1625" s="690"/>
      <c r="I1625" s="1030"/>
      <c r="J1625" s="690"/>
      <c r="K1625" s="1030"/>
      <c r="L1625" s="690"/>
      <c r="M1625" s="1025"/>
      <c r="N1625" s="1030"/>
      <c r="O1625" s="692">
        <f t="shared" si="213"/>
        <v>0</v>
      </c>
      <c r="P1625" s="690"/>
      <c r="Q1625" s="690"/>
      <c r="R1625" s="691">
        <f t="shared" si="214"/>
        <v>0</v>
      </c>
      <c r="S1625" s="692">
        <f t="shared" si="215"/>
        <v>0</v>
      </c>
      <c r="T1625" s="693">
        <f t="shared" si="216"/>
        <v>0</v>
      </c>
      <c r="U1625" s="1035"/>
      <c r="V1625" s="690"/>
      <c r="W1625" s="1025"/>
      <c r="X1625" s="1030"/>
      <c r="Y1625" s="694">
        <f t="shared" si="217"/>
        <v>0</v>
      </c>
      <c r="Z1625" s="690"/>
      <c r="AA1625" s="690"/>
      <c r="AB1625" s="695">
        <f t="shared" si="218"/>
        <v>0</v>
      </c>
      <c r="AC1625" s="1035"/>
      <c r="AD1625" s="690"/>
      <c r="AE1625" s="1025"/>
      <c r="AF1625" s="1030"/>
      <c r="AG1625" s="690"/>
      <c r="AH1625" s="690"/>
      <c r="AI1625" s="696">
        <f t="shared" si="219"/>
        <v>0</v>
      </c>
      <c r="AJ1625" s="697">
        <f t="shared" si="220"/>
        <v>0</v>
      </c>
    </row>
    <row r="1626" spans="1:36" s="700" customFormat="1" ht="12.75" customHeight="1">
      <c r="A1626" s="870" t="s">
        <v>211</v>
      </c>
      <c r="B1626" s="739" t="s">
        <v>382</v>
      </c>
      <c r="C1626" s="746" t="s">
        <v>443</v>
      </c>
      <c r="D1626" s="746"/>
      <c r="E1626" s="741"/>
      <c r="F1626" s="742"/>
      <c r="G1626" s="1025"/>
      <c r="H1626" s="690"/>
      <c r="I1626" s="1030"/>
      <c r="J1626" s="690"/>
      <c r="K1626" s="1030"/>
      <c r="L1626" s="690"/>
      <c r="M1626" s="1025"/>
      <c r="N1626" s="1030"/>
      <c r="O1626" s="692">
        <f t="shared" si="213"/>
        <v>0</v>
      </c>
      <c r="P1626" s="690"/>
      <c r="Q1626" s="690"/>
      <c r="R1626" s="691">
        <f t="shared" si="214"/>
        <v>0</v>
      </c>
      <c r="S1626" s="692">
        <f t="shared" si="215"/>
        <v>0</v>
      </c>
      <c r="T1626" s="693">
        <f t="shared" si="216"/>
        <v>0</v>
      </c>
      <c r="U1626" s="1035"/>
      <c r="V1626" s="690"/>
      <c r="W1626" s="1025"/>
      <c r="X1626" s="1030"/>
      <c r="Y1626" s="694">
        <f t="shared" si="217"/>
        <v>0</v>
      </c>
      <c r="Z1626" s="690"/>
      <c r="AA1626" s="690"/>
      <c r="AB1626" s="695">
        <f t="shared" si="218"/>
        <v>0</v>
      </c>
      <c r="AC1626" s="1035"/>
      <c r="AD1626" s="690"/>
      <c r="AE1626" s="1025"/>
      <c r="AF1626" s="1030"/>
      <c r="AG1626" s="690"/>
      <c r="AH1626" s="690"/>
      <c r="AI1626" s="696">
        <f t="shared" si="219"/>
        <v>0</v>
      </c>
      <c r="AJ1626" s="697">
        <f t="shared" si="220"/>
        <v>0</v>
      </c>
    </row>
    <row r="1627" spans="1:36" s="700" customFormat="1" ht="12.75" customHeight="1">
      <c r="A1627" s="870" t="s">
        <v>211</v>
      </c>
      <c r="B1627" s="739" t="s">
        <v>383</v>
      </c>
      <c r="C1627" s="746" t="s">
        <v>377</v>
      </c>
      <c r="D1627" s="746"/>
      <c r="E1627" s="741"/>
      <c r="F1627" s="742"/>
      <c r="G1627" s="1025"/>
      <c r="H1627" s="690"/>
      <c r="I1627" s="1030"/>
      <c r="J1627" s="690"/>
      <c r="K1627" s="1030"/>
      <c r="L1627" s="690"/>
      <c r="M1627" s="1025"/>
      <c r="N1627" s="1030"/>
      <c r="O1627" s="692">
        <f t="shared" si="213"/>
        <v>0</v>
      </c>
      <c r="P1627" s="690"/>
      <c r="Q1627" s="690"/>
      <c r="R1627" s="691">
        <f t="shared" si="214"/>
        <v>0</v>
      </c>
      <c r="S1627" s="692">
        <f t="shared" si="215"/>
        <v>0</v>
      </c>
      <c r="T1627" s="693">
        <f t="shared" si="216"/>
        <v>0</v>
      </c>
      <c r="U1627" s="1035"/>
      <c r="V1627" s="690"/>
      <c r="W1627" s="1025"/>
      <c r="X1627" s="1030"/>
      <c r="Y1627" s="694">
        <f t="shared" si="217"/>
        <v>0</v>
      </c>
      <c r="Z1627" s="690"/>
      <c r="AA1627" s="690"/>
      <c r="AB1627" s="695">
        <f t="shared" si="218"/>
        <v>0</v>
      </c>
      <c r="AC1627" s="1035"/>
      <c r="AD1627" s="690"/>
      <c r="AE1627" s="1025"/>
      <c r="AF1627" s="1030"/>
      <c r="AG1627" s="690"/>
      <c r="AH1627" s="690"/>
      <c r="AI1627" s="696">
        <f t="shared" si="219"/>
        <v>0</v>
      </c>
      <c r="AJ1627" s="697">
        <f t="shared" si="220"/>
        <v>0</v>
      </c>
    </row>
    <row r="1628" spans="1:36" s="700" customFormat="1" ht="12.75" customHeight="1">
      <c r="A1628" s="888" t="s">
        <v>212</v>
      </c>
      <c r="B1628" s="888" t="s">
        <v>392</v>
      </c>
      <c r="C1628" s="889" t="s">
        <v>1133</v>
      </c>
      <c r="D1628" s="889"/>
      <c r="E1628" s="890">
        <v>176080</v>
      </c>
      <c r="F1628" s="888">
        <v>1</v>
      </c>
      <c r="G1628" s="1025">
        <v>95822404.716989353</v>
      </c>
      <c r="H1628" s="690">
        <v>76550404</v>
      </c>
      <c r="I1628" s="1030"/>
      <c r="J1628" s="690"/>
      <c r="K1628" s="1030"/>
      <c r="L1628" s="690"/>
      <c r="M1628" s="1025">
        <v>106649242</v>
      </c>
      <c r="N1628" s="1030"/>
      <c r="O1628" s="692">
        <f t="shared" si="213"/>
        <v>106649242</v>
      </c>
      <c r="P1628" s="690">
        <v>123939055</v>
      </c>
      <c r="Q1628" s="690"/>
      <c r="R1628" s="691">
        <f t="shared" si="214"/>
        <v>123939055</v>
      </c>
      <c r="S1628" s="692">
        <f t="shared" si="215"/>
        <v>202471646.71698934</v>
      </c>
      <c r="T1628" s="693">
        <f t="shared" si="216"/>
        <v>200489459</v>
      </c>
      <c r="U1628" s="1035"/>
      <c r="V1628" s="690"/>
      <c r="W1628" s="1025"/>
      <c r="X1628" s="1030"/>
      <c r="Y1628" s="694">
        <f t="shared" si="217"/>
        <v>0</v>
      </c>
      <c r="Z1628" s="690"/>
      <c r="AA1628" s="690"/>
      <c r="AB1628" s="695">
        <f t="shared" si="218"/>
        <v>0</v>
      </c>
      <c r="AC1628" s="1035"/>
      <c r="AD1628" s="690"/>
      <c r="AE1628" s="1025"/>
      <c r="AF1628" s="1030"/>
      <c r="AG1628" s="690"/>
      <c r="AH1628" s="690"/>
      <c r="AI1628" s="696">
        <f t="shared" si="219"/>
        <v>202471646.71698934</v>
      </c>
      <c r="AJ1628" s="697">
        <f t="shared" si="220"/>
        <v>200489459</v>
      </c>
    </row>
    <row r="1629" spans="1:36" s="700" customFormat="1" ht="12.75" customHeight="1">
      <c r="A1629" s="888" t="s">
        <v>212</v>
      </c>
      <c r="B1629" s="888" t="s">
        <v>408</v>
      </c>
      <c r="C1629" s="891" t="s">
        <v>1134</v>
      </c>
      <c r="D1629" s="891"/>
      <c r="E1629" s="890">
        <v>176080</v>
      </c>
      <c r="F1629" s="888">
        <v>1</v>
      </c>
      <c r="G1629" s="1025"/>
      <c r="H1629" s="690"/>
      <c r="I1629" s="1030"/>
      <c r="J1629" s="690"/>
      <c r="K1629" s="1030"/>
      <c r="L1629" s="690"/>
      <c r="M1629" s="1025"/>
      <c r="N1629" s="1030"/>
      <c r="O1629" s="692">
        <f t="shared" si="213"/>
        <v>0</v>
      </c>
      <c r="P1629" s="690"/>
      <c r="Q1629" s="690"/>
      <c r="R1629" s="691">
        <f t="shared" si="214"/>
        <v>0</v>
      </c>
      <c r="S1629" s="692">
        <f t="shared" si="215"/>
        <v>0</v>
      </c>
      <c r="T1629" s="693">
        <f t="shared" si="216"/>
        <v>0</v>
      </c>
      <c r="U1629" s="1035"/>
      <c r="V1629" s="690"/>
      <c r="W1629" s="1025"/>
      <c r="X1629" s="1030"/>
      <c r="Y1629" s="694">
        <f t="shared" si="217"/>
        <v>0</v>
      </c>
      <c r="Z1629" s="690"/>
      <c r="AA1629" s="690"/>
      <c r="AB1629" s="695">
        <f t="shared" si="218"/>
        <v>0</v>
      </c>
      <c r="AC1629" s="1035">
        <v>16378789</v>
      </c>
      <c r="AD1629" s="690">
        <v>14522186</v>
      </c>
      <c r="AE1629" s="1025">
        <v>7500000</v>
      </c>
      <c r="AF1629" s="1030"/>
      <c r="AG1629" s="690">
        <v>8500000</v>
      </c>
      <c r="AH1629" s="690"/>
      <c r="AI1629" s="696">
        <f t="shared" si="219"/>
        <v>23878789</v>
      </c>
      <c r="AJ1629" s="697">
        <f t="shared" si="220"/>
        <v>23022186</v>
      </c>
    </row>
    <row r="1630" spans="1:36" s="700" customFormat="1" ht="12.75" customHeight="1">
      <c r="A1630" s="888" t="s">
        <v>212</v>
      </c>
      <c r="B1630" s="888" t="s">
        <v>396</v>
      </c>
      <c r="C1630" s="892" t="s">
        <v>1135</v>
      </c>
      <c r="D1630" s="892"/>
      <c r="E1630" s="890">
        <v>176080</v>
      </c>
      <c r="F1630" s="888">
        <v>1</v>
      </c>
      <c r="G1630" s="1025"/>
      <c r="H1630" s="690"/>
      <c r="I1630" s="1030">
        <v>27981421</v>
      </c>
      <c r="J1630" s="690">
        <v>27269914</v>
      </c>
      <c r="K1630" s="1030"/>
      <c r="L1630" s="690"/>
      <c r="M1630" s="1025"/>
      <c r="N1630" s="1030"/>
      <c r="O1630" s="692">
        <f t="shared" si="213"/>
        <v>0</v>
      </c>
      <c r="P1630" s="690"/>
      <c r="Q1630" s="690"/>
      <c r="R1630" s="691">
        <f t="shared" si="214"/>
        <v>0</v>
      </c>
      <c r="S1630" s="692">
        <f t="shared" si="215"/>
        <v>27981421</v>
      </c>
      <c r="T1630" s="693">
        <f t="shared" si="216"/>
        <v>27269914</v>
      </c>
      <c r="U1630" s="1035"/>
      <c r="V1630" s="690"/>
      <c r="W1630" s="1025"/>
      <c r="X1630" s="1030"/>
      <c r="Y1630" s="694">
        <f t="shared" si="217"/>
        <v>0</v>
      </c>
      <c r="Z1630" s="690"/>
      <c r="AA1630" s="690"/>
      <c r="AB1630" s="695">
        <f t="shared" si="218"/>
        <v>0</v>
      </c>
      <c r="AC1630" s="1035"/>
      <c r="AD1630" s="690"/>
      <c r="AE1630" s="1025"/>
      <c r="AF1630" s="1030"/>
      <c r="AG1630" s="690"/>
      <c r="AH1630" s="690"/>
      <c r="AI1630" s="696">
        <f t="shared" si="219"/>
        <v>27981421</v>
      </c>
      <c r="AJ1630" s="697">
        <f t="shared" si="220"/>
        <v>27269914</v>
      </c>
    </row>
    <row r="1631" spans="1:36" s="700" customFormat="1" ht="12.75" customHeight="1">
      <c r="A1631" s="888" t="s">
        <v>212</v>
      </c>
      <c r="B1631" s="888" t="s">
        <v>397</v>
      </c>
      <c r="C1631" s="892" t="s">
        <v>1136</v>
      </c>
      <c r="D1631" s="892"/>
      <c r="E1631" s="890">
        <v>176080</v>
      </c>
      <c r="F1631" s="888">
        <v>1</v>
      </c>
      <c r="G1631" s="1025"/>
      <c r="H1631" s="690"/>
      <c r="I1631" s="1030">
        <v>22553105</v>
      </c>
      <c r="J1631" s="690">
        <v>21365833</v>
      </c>
      <c r="K1631" s="1030"/>
      <c r="L1631" s="690"/>
      <c r="M1631" s="1025"/>
      <c r="N1631" s="1030"/>
      <c r="O1631" s="692">
        <f t="shared" si="213"/>
        <v>0</v>
      </c>
      <c r="P1631" s="690"/>
      <c r="Q1631" s="690"/>
      <c r="R1631" s="691">
        <f t="shared" si="214"/>
        <v>0</v>
      </c>
      <c r="S1631" s="692">
        <f t="shared" si="215"/>
        <v>22553105</v>
      </c>
      <c r="T1631" s="693">
        <f t="shared" si="216"/>
        <v>21365833</v>
      </c>
      <c r="U1631" s="1035"/>
      <c r="V1631" s="690"/>
      <c r="W1631" s="1025"/>
      <c r="X1631" s="1030"/>
      <c r="Y1631" s="694">
        <f t="shared" si="217"/>
        <v>0</v>
      </c>
      <c r="Z1631" s="690"/>
      <c r="AA1631" s="690"/>
      <c r="AB1631" s="695">
        <f t="shared" si="218"/>
        <v>0</v>
      </c>
      <c r="AC1631" s="1035"/>
      <c r="AD1631" s="690"/>
      <c r="AE1631" s="1025"/>
      <c r="AF1631" s="1030"/>
      <c r="AG1631" s="690"/>
      <c r="AH1631" s="690"/>
      <c r="AI1631" s="696">
        <f t="shared" si="219"/>
        <v>22553105</v>
      </c>
      <c r="AJ1631" s="697">
        <f t="shared" si="220"/>
        <v>21365833</v>
      </c>
    </row>
    <row r="1632" spans="1:36" s="700" customFormat="1" ht="12.75" customHeight="1">
      <c r="A1632" s="888" t="s">
        <v>212</v>
      </c>
      <c r="B1632" s="888" t="s">
        <v>399</v>
      </c>
      <c r="C1632" s="892" t="s">
        <v>796</v>
      </c>
      <c r="D1632" s="892"/>
      <c r="E1632" s="890">
        <v>176080</v>
      </c>
      <c r="F1632" s="888">
        <v>1</v>
      </c>
      <c r="G1632" s="1025"/>
      <c r="H1632" s="690"/>
      <c r="I1632" s="1030"/>
      <c r="J1632" s="690"/>
      <c r="K1632" s="1030"/>
      <c r="L1632" s="690"/>
      <c r="M1632" s="1025"/>
      <c r="N1632" s="1030"/>
      <c r="O1632" s="692">
        <f t="shared" si="213"/>
        <v>0</v>
      </c>
      <c r="P1632" s="690"/>
      <c r="Q1632" s="690"/>
      <c r="R1632" s="691">
        <f t="shared" si="214"/>
        <v>0</v>
      </c>
      <c r="S1632" s="692">
        <f t="shared" si="215"/>
        <v>0</v>
      </c>
      <c r="T1632" s="693">
        <f t="shared" si="216"/>
        <v>0</v>
      </c>
      <c r="U1632" s="1035"/>
      <c r="V1632" s="690"/>
      <c r="W1632" s="1025"/>
      <c r="X1632" s="1030"/>
      <c r="Y1632" s="694">
        <f t="shared" si="217"/>
        <v>0</v>
      </c>
      <c r="Z1632" s="690"/>
      <c r="AA1632" s="690"/>
      <c r="AB1632" s="695">
        <f t="shared" si="218"/>
        <v>0</v>
      </c>
      <c r="AC1632" s="1035"/>
      <c r="AD1632" s="690"/>
      <c r="AE1632" s="1025"/>
      <c r="AF1632" s="1030"/>
      <c r="AG1632" s="690"/>
      <c r="AH1632" s="690"/>
      <c r="AI1632" s="696">
        <f t="shared" si="219"/>
        <v>0</v>
      </c>
      <c r="AJ1632" s="697">
        <f t="shared" si="220"/>
        <v>0</v>
      </c>
    </row>
    <row r="1633" spans="1:36" s="700" customFormat="1" ht="12.75" customHeight="1">
      <c r="A1633" s="888" t="s">
        <v>212</v>
      </c>
      <c r="B1633" s="888" t="s">
        <v>399</v>
      </c>
      <c r="C1633" s="891" t="s">
        <v>1137</v>
      </c>
      <c r="D1633" s="891"/>
      <c r="E1633" s="890">
        <v>176080</v>
      </c>
      <c r="F1633" s="888">
        <v>1</v>
      </c>
      <c r="G1633" s="1025"/>
      <c r="H1633" s="690"/>
      <c r="I1633" s="1030">
        <v>1827108</v>
      </c>
      <c r="J1633" s="690">
        <v>1709315</v>
      </c>
      <c r="K1633" s="1030"/>
      <c r="L1633" s="690"/>
      <c r="M1633" s="1025"/>
      <c r="N1633" s="1030"/>
      <c r="O1633" s="692">
        <f t="shared" si="213"/>
        <v>0</v>
      </c>
      <c r="P1633" s="690"/>
      <c r="Q1633" s="690"/>
      <c r="R1633" s="691">
        <f t="shared" si="214"/>
        <v>0</v>
      </c>
      <c r="S1633" s="692">
        <f t="shared" si="215"/>
        <v>1827108</v>
      </c>
      <c r="T1633" s="693">
        <f t="shared" si="216"/>
        <v>1709315</v>
      </c>
      <c r="U1633" s="1035"/>
      <c r="V1633" s="690"/>
      <c r="W1633" s="1025"/>
      <c r="X1633" s="1030"/>
      <c r="Y1633" s="694">
        <f t="shared" si="217"/>
        <v>0</v>
      </c>
      <c r="Z1633" s="690"/>
      <c r="AA1633" s="690"/>
      <c r="AB1633" s="695">
        <f t="shared" si="218"/>
        <v>0</v>
      </c>
      <c r="AC1633" s="1035"/>
      <c r="AD1633" s="690"/>
      <c r="AE1633" s="1025"/>
      <c r="AF1633" s="1030"/>
      <c r="AG1633" s="690"/>
      <c r="AH1633" s="690"/>
      <c r="AI1633" s="696">
        <f t="shared" si="219"/>
        <v>1827108</v>
      </c>
      <c r="AJ1633" s="697">
        <f t="shared" si="220"/>
        <v>1709315</v>
      </c>
    </row>
    <row r="1634" spans="1:36" s="700" customFormat="1" ht="12.75" customHeight="1">
      <c r="A1634" s="888" t="s">
        <v>212</v>
      </c>
      <c r="B1634" s="888" t="s">
        <v>399</v>
      </c>
      <c r="C1634" s="891" t="s">
        <v>1138</v>
      </c>
      <c r="D1634" s="891"/>
      <c r="E1634" s="890">
        <v>176080</v>
      </c>
      <c r="F1634" s="888">
        <v>1</v>
      </c>
      <c r="G1634" s="1025"/>
      <c r="H1634" s="690"/>
      <c r="I1634" s="1030">
        <v>5828360</v>
      </c>
      <c r="J1634" s="690">
        <v>5392854</v>
      </c>
      <c r="K1634" s="1030"/>
      <c r="L1634" s="690"/>
      <c r="M1634" s="1025"/>
      <c r="N1634" s="1030"/>
      <c r="O1634" s="692">
        <f t="shared" si="213"/>
        <v>0</v>
      </c>
      <c r="P1634" s="690"/>
      <c r="Q1634" s="690"/>
      <c r="R1634" s="691">
        <f t="shared" si="214"/>
        <v>0</v>
      </c>
      <c r="S1634" s="692">
        <f t="shared" si="215"/>
        <v>5828360</v>
      </c>
      <c r="T1634" s="693">
        <f t="shared" si="216"/>
        <v>5392854</v>
      </c>
      <c r="U1634" s="1035"/>
      <c r="V1634" s="690"/>
      <c r="W1634" s="1025"/>
      <c r="X1634" s="1030"/>
      <c r="Y1634" s="694">
        <f t="shared" si="217"/>
        <v>0</v>
      </c>
      <c r="Z1634" s="690"/>
      <c r="AA1634" s="690"/>
      <c r="AB1634" s="695">
        <f t="shared" si="218"/>
        <v>0</v>
      </c>
      <c r="AC1634" s="1035"/>
      <c r="AD1634" s="690"/>
      <c r="AE1634" s="1025"/>
      <c r="AF1634" s="1030"/>
      <c r="AG1634" s="690"/>
      <c r="AH1634" s="690"/>
      <c r="AI1634" s="696">
        <f t="shared" si="219"/>
        <v>5828360</v>
      </c>
      <c r="AJ1634" s="697">
        <f t="shared" si="220"/>
        <v>5392854</v>
      </c>
    </row>
    <row r="1635" spans="1:36" s="700" customFormat="1" ht="12.75" customHeight="1">
      <c r="A1635" s="888" t="s">
        <v>212</v>
      </c>
      <c r="B1635" s="888" t="s">
        <v>399</v>
      </c>
      <c r="C1635" s="891" t="s">
        <v>1139</v>
      </c>
      <c r="D1635" s="891"/>
      <c r="E1635" s="890">
        <v>176080</v>
      </c>
      <c r="F1635" s="888">
        <v>1</v>
      </c>
      <c r="G1635" s="1025"/>
      <c r="H1635" s="690"/>
      <c r="I1635" s="1030">
        <v>121914</v>
      </c>
      <c r="J1635" s="690">
        <v>120531</v>
      </c>
      <c r="K1635" s="1030"/>
      <c r="L1635" s="690"/>
      <c r="M1635" s="1025"/>
      <c r="N1635" s="1030"/>
      <c r="O1635" s="692">
        <f t="shared" si="213"/>
        <v>0</v>
      </c>
      <c r="P1635" s="690"/>
      <c r="Q1635" s="690"/>
      <c r="R1635" s="691">
        <f t="shared" si="214"/>
        <v>0</v>
      </c>
      <c r="S1635" s="692">
        <f t="shared" si="215"/>
        <v>121914</v>
      </c>
      <c r="T1635" s="693">
        <f t="shared" si="216"/>
        <v>120531</v>
      </c>
      <c r="U1635" s="1035"/>
      <c r="V1635" s="690"/>
      <c r="W1635" s="1025"/>
      <c r="X1635" s="1030"/>
      <c r="Y1635" s="694">
        <f t="shared" si="217"/>
        <v>0</v>
      </c>
      <c r="Z1635" s="690"/>
      <c r="AA1635" s="690"/>
      <c r="AB1635" s="695">
        <f t="shared" si="218"/>
        <v>0</v>
      </c>
      <c r="AC1635" s="1035"/>
      <c r="AD1635" s="690"/>
      <c r="AE1635" s="1025"/>
      <c r="AF1635" s="1030"/>
      <c r="AG1635" s="690"/>
      <c r="AH1635" s="690"/>
      <c r="AI1635" s="696">
        <f t="shared" si="219"/>
        <v>121914</v>
      </c>
      <c r="AJ1635" s="697">
        <f t="shared" si="220"/>
        <v>120531</v>
      </c>
    </row>
    <row r="1636" spans="1:36" s="700" customFormat="1" ht="12.75" customHeight="1">
      <c r="A1636" s="888" t="s">
        <v>212</v>
      </c>
      <c r="B1636" s="888" t="s">
        <v>399</v>
      </c>
      <c r="C1636" s="891" t="s">
        <v>1140</v>
      </c>
      <c r="D1636" s="891"/>
      <c r="E1636" s="890">
        <v>176080</v>
      </c>
      <c r="F1636" s="888">
        <v>1</v>
      </c>
      <c r="G1636" s="1025"/>
      <c r="H1636" s="690"/>
      <c r="I1636" s="1030">
        <v>1033286</v>
      </c>
      <c r="J1636" s="690">
        <v>965739</v>
      </c>
      <c r="K1636" s="1030"/>
      <c r="L1636" s="690"/>
      <c r="M1636" s="1025"/>
      <c r="N1636" s="1030"/>
      <c r="O1636" s="692">
        <f t="shared" si="213"/>
        <v>0</v>
      </c>
      <c r="P1636" s="690"/>
      <c r="Q1636" s="690"/>
      <c r="R1636" s="691">
        <f t="shared" si="214"/>
        <v>0</v>
      </c>
      <c r="S1636" s="692">
        <f t="shared" si="215"/>
        <v>1033286</v>
      </c>
      <c r="T1636" s="693">
        <f t="shared" si="216"/>
        <v>965739</v>
      </c>
      <c r="U1636" s="1035"/>
      <c r="V1636" s="690"/>
      <c r="W1636" s="1025"/>
      <c r="X1636" s="1030"/>
      <c r="Y1636" s="694">
        <f t="shared" si="217"/>
        <v>0</v>
      </c>
      <c r="Z1636" s="690"/>
      <c r="AA1636" s="690"/>
      <c r="AB1636" s="695">
        <f t="shared" si="218"/>
        <v>0</v>
      </c>
      <c r="AC1636" s="1035"/>
      <c r="AD1636" s="690"/>
      <c r="AE1636" s="1025"/>
      <c r="AF1636" s="1030"/>
      <c r="AG1636" s="690"/>
      <c r="AH1636" s="690"/>
      <c r="AI1636" s="696">
        <f t="shared" si="219"/>
        <v>1033286</v>
      </c>
      <c r="AJ1636" s="697">
        <f t="shared" si="220"/>
        <v>965739</v>
      </c>
    </row>
    <row r="1637" spans="1:36" s="700" customFormat="1" ht="12.75" customHeight="1">
      <c r="A1637" s="888" t="s">
        <v>212</v>
      </c>
      <c r="B1637" s="888" t="s">
        <v>399</v>
      </c>
      <c r="C1637" s="891" t="s">
        <v>1141</v>
      </c>
      <c r="D1637" s="891"/>
      <c r="E1637" s="890">
        <v>176080</v>
      </c>
      <c r="F1637" s="888">
        <v>1</v>
      </c>
      <c r="G1637" s="1025"/>
      <c r="H1637" s="690"/>
      <c r="I1637" s="1030">
        <v>3618803</v>
      </c>
      <c r="J1637" s="690">
        <v>3926291</v>
      </c>
      <c r="K1637" s="1030"/>
      <c r="L1637" s="690"/>
      <c r="M1637" s="1025"/>
      <c r="N1637" s="1030"/>
      <c r="O1637" s="692">
        <f t="shared" si="213"/>
        <v>0</v>
      </c>
      <c r="P1637" s="690"/>
      <c r="Q1637" s="690"/>
      <c r="R1637" s="691">
        <f t="shared" si="214"/>
        <v>0</v>
      </c>
      <c r="S1637" s="692">
        <f t="shared" si="215"/>
        <v>3618803</v>
      </c>
      <c r="T1637" s="693">
        <f t="shared" si="216"/>
        <v>3926291</v>
      </c>
      <c r="U1637" s="1035"/>
      <c r="V1637" s="690"/>
      <c r="W1637" s="1025"/>
      <c r="X1637" s="1030"/>
      <c r="Y1637" s="694">
        <f t="shared" si="217"/>
        <v>0</v>
      </c>
      <c r="Z1637" s="690"/>
      <c r="AA1637" s="690"/>
      <c r="AB1637" s="695">
        <f t="shared" si="218"/>
        <v>0</v>
      </c>
      <c r="AC1637" s="1035"/>
      <c r="AD1637" s="690"/>
      <c r="AE1637" s="1025"/>
      <c r="AF1637" s="1030"/>
      <c r="AG1637" s="690"/>
      <c r="AH1637" s="690"/>
      <c r="AI1637" s="696">
        <f t="shared" si="219"/>
        <v>3618803</v>
      </c>
      <c r="AJ1637" s="697">
        <f t="shared" si="220"/>
        <v>3926291</v>
      </c>
    </row>
    <row r="1638" spans="1:36" s="700" customFormat="1" ht="12.75" customHeight="1">
      <c r="A1638" s="888" t="s">
        <v>212</v>
      </c>
      <c r="B1638" s="888" t="s">
        <v>392</v>
      </c>
      <c r="C1638" s="889" t="s">
        <v>1142</v>
      </c>
      <c r="D1638" s="889"/>
      <c r="E1638" s="890">
        <v>176372</v>
      </c>
      <c r="F1638" s="888">
        <v>1</v>
      </c>
      <c r="G1638" s="1025">
        <v>86232954.417977378</v>
      </c>
      <c r="H1638" s="690">
        <v>68796722</v>
      </c>
      <c r="I1638" s="1030"/>
      <c r="J1638" s="690"/>
      <c r="K1638" s="1030"/>
      <c r="L1638" s="690"/>
      <c r="M1638" s="1025">
        <v>85707374</v>
      </c>
      <c r="N1638" s="1030"/>
      <c r="O1638" s="692">
        <f t="shared" si="213"/>
        <v>85707374</v>
      </c>
      <c r="P1638" s="690">
        <v>91239360</v>
      </c>
      <c r="Q1638" s="690"/>
      <c r="R1638" s="691">
        <f t="shared" si="214"/>
        <v>91239360</v>
      </c>
      <c r="S1638" s="692">
        <f t="shared" si="215"/>
        <v>171940328.41797739</v>
      </c>
      <c r="T1638" s="693">
        <f t="shared" si="216"/>
        <v>160036082</v>
      </c>
      <c r="U1638" s="1035"/>
      <c r="V1638" s="690"/>
      <c r="W1638" s="1025"/>
      <c r="X1638" s="1030"/>
      <c r="Y1638" s="694">
        <f t="shared" si="217"/>
        <v>0</v>
      </c>
      <c r="Z1638" s="690"/>
      <c r="AA1638" s="690"/>
      <c r="AB1638" s="695">
        <f t="shared" si="218"/>
        <v>0</v>
      </c>
      <c r="AC1638" s="1035"/>
      <c r="AD1638" s="690"/>
      <c r="AE1638" s="1025"/>
      <c r="AF1638" s="1030"/>
      <c r="AG1638" s="690"/>
      <c r="AH1638" s="690"/>
      <c r="AI1638" s="696">
        <f t="shared" si="219"/>
        <v>171940328.41797739</v>
      </c>
      <c r="AJ1638" s="697">
        <f t="shared" si="220"/>
        <v>160036082</v>
      </c>
    </row>
    <row r="1639" spans="1:36" s="700" customFormat="1" ht="12.75" customHeight="1">
      <c r="A1639" s="888" t="s">
        <v>212</v>
      </c>
      <c r="B1639" s="888" t="s">
        <v>399</v>
      </c>
      <c r="C1639" s="892" t="s">
        <v>796</v>
      </c>
      <c r="D1639" s="892"/>
      <c r="E1639" s="890">
        <v>176372</v>
      </c>
      <c r="F1639" s="888">
        <v>1</v>
      </c>
      <c r="G1639" s="1025"/>
      <c r="H1639" s="690"/>
      <c r="I1639" s="1030"/>
      <c r="J1639" s="690"/>
      <c r="K1639" s="1030"/>
      <c r="L1639" s="690"/>
      <c r="M1639" s="1025"/>
      <c r="N1639" s="1030"/>
      <c r="O1639" s="692">
        <f t="shared" si="213"/>
        <v>0</v>
      </c>
      <c r="P1639" s="690"/>
      <c r="Q1639" s="690"/>
      <c r="R1639" s="691">
        <f t="shared" si="214"/>
        <v>0</v>
      </c>
      <c r="S1639" s="692">
        <f t="shared" si="215"/>
        <v>0</v>
      </c>
      <c r="T1639" s="693">
        <f t="shared" si="216"/>
        <v>0</v>
      </c>
      <c r="U1639" s="1035"/>
      <c r="V1639" s="690"/>
      <c r="W1639" s="1025"/>
      <c r="X1639" s="1030"/>
      <c r="Y1639" s="694">
        <f t="shared" si="217"/>
        <v>0</v>
      </c>
      <c r="Z1639" s="690"/>
      <c r="AA1639" s="690"/>
      <c r="AB1639" s="695">
        <f t="shared" si="218"/>
        <v>0</v>
      </c>
      <c r="AC1639" s="1035"/>
      <c r="AD1639" s="690"/>
      <c r="AE1639" s="1025"/>
      <c r="AF1639" s="1030"/>
      <c r="AG1639" s="690"/>
      <c r="AH1639" s="690"/>
      <c r="AI1639" s="696">
        <f t="shared" si="219"/>
        <v>0</v>
      </c>
      <c r="AJ1639" s="697">
        <f t="shared" si="220"/>
        <v>0</v>
      </c>
    </row>
    <row r="1640" spans="1:36" s="700" customFormat="1" ht="12.75" customHeight="1">
      <c r="A1640" s="888" t="s">
        <v>212</v>
      </c>
      <c r="B1640" s="888" t="s">
        <v>399</v>
      </c>
      <c r="C1640" s="891" t="s">
        <v>1143</v>
      </c>
      <c r="D1640" s="891"/>
      <c r="E1640" s="890">
        <v>176372</v>
      </c>
      <c r="F1640" s="888">
        <v>1</v>
      </c>
      <c r="G1640" s="1025"/>
      <c r="H1640" s="690"/>
      <c r="I1640" s="1030">
        <v>3332900</v>
      </c>
      <c r="J1640" s="690">
        <v>3255104</v>
      </c>
      <c r="K1640" s="1030"/>
      <c r="L1640" s="690"/>
      <c r="M1640" s="1025"/>
      <c r="N1640" s="1030"/>
      <c r="O1640" s="692">
        <f t="shared" si="213"/>
        <v>0</v>
      </c>
      <c r="P1640" s="690"/>
      <c r="Q1640" s="690"/>
      <c r="R1640" s="691">
        <f t="shared" si="214"/>
        <v>0</v>
      </c>
      <c r="S1640" s="692">
        <f t="shared" si="215"/>
        <v>3332900</v>
      </c>
      <c r="T1640" s="693">
        <f t="shared" si="216"/>
        <v>3255104</v>
      </c>
      <c r="U1640" s="1035"/>
      <c r="V1640" s="690"/>
      <c r="W1640" s="1025"/>
      <c r="X1640" s="1030"/>
      <c r="Y1640" s="694">
        <f t="shared" si="217"/>
        <v>0</v>
      </c>
      <c r="Z1640" s="690"/>
      <c r="AA1640" s="690"/>
      <c r="AB1640" s="695">
        <f t="shared" si="218"/>
        <v>0</v>
      </c>
      <c r="AC1640" s="1035"/>
      <c r="AD1640" s="690"/>
      <c r="AE1640" s="1025"/>
      <c r="AF1640" s="1030"/>
      <c r="AG1640" s="690"/>
      <c r="AH1640" s="690"/>
      <c r="AI1640" s="696">
        <f t="shared" si="219"/>
        <v>3332900</v>
      </c>
      <c r="AJ1640" s="697">
        <f t="shared" si="220"/>
        <v>3255104</v>
      </c>
    </row>
    <row r="1641" spans="1:36" s="700" customFormat="1" ht="12.75" customHeight="1">
      <c r="A1641" s="888" t="s">
        <v>212</v>
      </c>
      <c r="B1641" s="888" t="s">
        <v>399</v>
      </c>
      <c r="C1641" s="891" t="s">
        <v>1144</v>
      </c>
      <c r="D1641" s="891"/>
      <c r="E1641" s="890">
        <v>176372</v>
      </c>
      <c r="F1641" s="888">
        <v>1</v>
      </c>
      <c r="G1641" s="1025"/>
      <c r="H1641" s="690"/>
      <c r="I1641" s="1030">
        <v>636610</v>
      </c>
      <c r="J1641" s="690">
        <v>692525</v>
      </c>
      <c r="K1641" s="1030"/>
      <c r="L1641" s="690"/>
      <c r="M1641" s="1025"/>
      <c r="N1641" s="1030"/>
      <c r="O1641" s="692">
        <f t="shared" si="213"/>
        <v>0</v>
      </c>
      <c r="P1641" s="690"/>
      <c r="Q1641" s="690"/>
      <c r="R1641" s="691">
        <f t="shared" si="214"/>
        <v>0</v>
      </c>
      <c r="S1641" s="692">
        <f t="shared" si="215"/>
        <v>636610</v>
      </c>
      <c r="T1641" s="693">
        <f t="shared" si="216"/>
        <v>692525</v>
      </c>
      <c r="U1641" s="1035"/>
      <c r="V1641" s="690"/>
      <c r="W1641" s="1025"/>
      <c r="X1641" s="1030"/>
      <c r="Y1641" s="694">
        <f t="shared" si="217"/>
        <v>0</v>
      </c>
      <c r="Z1641" s="690"/>
      <c r="AA1641" s="690"/>
      <c r="AB1641" s="695">
        <f t="shared" si="218"/>
        <v>0</v>
      </c>
      <c r="AC1641" s="1035"/>
      <c r="AD1641" s="690"/>
      <c r="AE1641" s="1025"/>
      <c r="AF1641" s="1030"/>
      <c r="AG1641" s="690"/>
      <c r="AH1641" s="690"/>
      <c r="AI1641" s="696">
        <f t="shared" si="219"/>
        <v>636610</v>
      </c>
      <c r="AJ1641" s="697">
        <f t="shared" si="220"/>
        <v>692525</v>
      </c>
    </row>
    <row r="1642" spans="1:36" s="700" customFormat="1" ht="12.75" customHeight="1">
      <c r="A1642" s="888" t="s">
        <v>212</v>
      </c>
      <c r="B1642" s="888" t="s">
        <v>399</v>
      </c>
      <c r="C1642" s="891" t="s">
        <v>1145</v>
      </c>
      <c r="D1642" s="891"/>
      <c r="E1642" s="890">
        <v>176372</v>
      </c>
      <c r="F1642" s="888">
        <v>1</v>
      </c>
      <c r="G1642" s="1025"/>
      <c r="H1642" s="690"/>
      <c r="I1642" s="1030">
        <v>519674</v>
      </c>
      <c r="J1642" s="690">
        <v>444485</v>
      </c>
      <c r="K1642" s="1030"/>
      <c r="L1642" s="690"/>
      <c r="M1642" s="1025"/>
      <c r="N1642" s="1030"/>
      <c r="O1642" s="692">
        <f t="shared" si="213"/>
        <v>0</v>
      </c>
      <c r="P1642" s="690"/>
      <c r="Q1642" s="690"/>
      <c r="R1642" s="691">
        <f t="shared" si="214"/>
        <v>0</v>
      </c>
      <c r="S1642" s="692">
        <f t="shared" si="215"/>
        <v>519674</v>
      </c>
      <c r="T1642" s="693">
        <f t="shared" si="216"/>
        <v>444485</v>
      </c>
      <c r="U1642" s="1035"/>
      <c r="V1642" s="690"/>
      <c r="W1642" s="1025"/>
      <c r="X1642" s="1030"/>
      <c r="Y1642" s="694">
        <f t="shared" si="217"/>
        <v>0</v>
      </c>
      <c r="Z1642" s="690"/>
      <c r="AA1642" s="690"/>
      <c r="AB1642" s="695">
        <f t="shared" si="218"/>
        <v>0</v>
      </c>
      <c r="AC1642" s="1035"/>
      <c r="AD1642" s="690"/>
      <c r="AE1642" s="1025"/>
      <c r="AF1642" s="1030"/>
      <c r="AG1642" s="690"/>
      <c r="AH1642" s="690"/>
      <c r="AI1642" s="696">
        <f t="shared" si="219"/>
        <v>519674</v>
      </c>
      <c r="AJ1642" s="697">
        <f t="shared" si="220"/>
        <v>444485</v>
      </c>
    </row>
    <row r="1643" spans="1:36" s="700" customFormat="1" ht="12.75" customHeight="1">
      <c r="A1643" s="888" t="s">
        <v>212</v>
      </c>
      <c r="B1643" s="888" t="s">
        <v>392</v>
      </c>
      <c r="C1643" s="889" t="s">
        <v>1146</v>
      </c>
      <c r="D1643" s="889"/>
      <c r="E1643" s="890">
        <v>175856</v>
      </c>
      <c r="F1643" s="888">
        <v>2</v>
      </c>
      <c r="G1643" s="1025">
        <v>51201130.913867958</v>
      </c>
      <c r="H1643" s="690">
        <v>43266631</v>
      </c>
      <c r="I1643" s="1030"/>
      <c r="J1643" s="690"/>
      <c r="K1643" s="1030"/>
      <c r="L1643" s="690"/>
      <c r="M1643" s="1025">
        <v>39363399</v>
      </c>
      <c r="N1643" s="1030"/>
      <c r="O1643" s="692">
        <f t="shared" si="213"/>
        <v>39363399</v>
      </c>
      <c r="P1643" s="690">
        <v>42962315</v>
      </c>
      <c r="Q1643" s="690"/>
      <c r="R1643" s="691">
        <f t="shared" si="214"/>
        <v>42962315</v>
      </c>
      <c r="S1643" s="692">
        <f t="shared" si="215"/>
        <v>90564529.91386795</v>
      </c>
      <c r="T1643" s="693">
        <f t="shared" si="216"/>
        <v>86228946</v>
      </c>
      <c r="U1643" s="1035"/>
      <c r="V1643" s="690"/>
      <c r="W1643" s="1025"/>
      <c r="X1643" s="1030"/>
      <c r="Y1643" s="694">
        <f t="shared" si="217"/>
        <v>0</v>
      </c>
      <c r="Z1643" s="690"/>
      <c r="AA1643" s="690"/>
      <c r="AB1643" s="695">
        <f t="shared" si="218"/>
        <v>0</v>
      </c>
      <c r="AC1643" s="1035"/>
      <c r="AD1643" s="690"/>
      <c r="AE1643" s="1025"/>
      <c r="AF1643" s="1030"/>
      <c r="AG1643" s="690"/>
      <c r="AH1643" s="690"/>
      <c r="AI1643" s="696">
        <f t="shared" si="219"/>
        <v>90564529.91386795</v>
      </c>
      <c r="AJ1643" s="697">
        <f t="shared" si="220"/>
        <v>86228946</v>
      </c>
    </row>
    <row r="1644" spans="1:36" s="700" customFormat="1" ht="12.75" customHeight="1">
      <c r="A1644" s="888" t="s">
        <v>212</v>
      </c>
      <c r="B1644" s="888" t="s">
        <v>399</v>
      </c>
      <c r="C1644" s="892" t="s">
        <v>1147</v>
      </c>
      <c r="D1644" s="892"/>
      <c r="E1644" s="890">
        <v>175856</v>
      </c>
      <c r="F1644" s="888">
        <v>2</v>
      </c>
      <c r="G1644" s="1025"/>
      <c r="H1644" s="690"/>
      <c r="I1644" s="1030">
        <v>509401</v>
      </c>
      <c r="J1644" s="690">
        <v>502407</v>
      </c>
      <c r="K1644" s="1030"/>
      <c r="L1644" s="690"/>
      <c r="M1644" s="1025"/>
      <c r="N1644" s="1030"/>
      <c r="O1644" s="692">
        <f t="shared" si="213"/>
        <v>0</v>
      </c>
      <c r="P1644" s="690"/>
      <c r="Q1644" s="690"/>
      <c r="R1644" s="691">
        <f t="shared" si="214"/>
        <v>0</v>
      </c>
      <c r="S1644" s="692">
        <f t="shared" si="215"/>
        <v>509401</v>
      </c>
      <c r="T1644" s="693">
        <f t="shared" si="216"/>
        <v>502407</v>
      </c>
      <c r="U1644" s="1035"/>
      <c r="V1644" s="690"/>
      <c r="W1644" s="1025"/>
      <c r="X1644" s="1030"/>
      <c r="Y1644" s="694">
        <f t="shared" si="217"/>
        <v>0</v>
      </c>
      <c r="Z1644" s="690"/>
      <c r="AA1644" s="690"/>
      <c r="AB1644" s="695">
        <f t="shared" si="218"/>
        <v>0</v>
      </c>
      <c r="AC1644" s="1035"/>
      <c r="AD1644" s="690"/>
      <c r="AE1644" s="1025"/>
      <c r="AF1644" s="1030"/>
      <c r="AG1644" s="690"/>
      <c r="AH1644" s="690"/>
      <c r="AI1644" s="696">
        <f t="shared" si="219"/>
        <v>509401</v>
      </c>
      <c r="AJ1644" s="697">
        <f t="shared" si="220"/>
        <v>502407</v>
      </c>
    </row>
    <row r="1645" spans="1:36" s="700" customFormat="1" ht="12.75" customHeight="1">
      <c r="A1645" s="888" t="s">
        <v>212</v>
      </c>
      <c r="B1645" s="888" t="s">
        <v>392</v>
      </c>
      <c r="C1645" s="889" t="s">
        <v>1148</v>
      </c>
      <c r="D1645" s="889"/>
      <c r="E1645" s="890">
        <v>176017</v>
      </c>
      <c r="F1645" s="888">
        <v>2</v>
      </c>
      <c r="G1645" s="1025">
        <v>78990686.413183138</v>
      </c>
      <c r="H1645" s="690">
        <v>63061230</v>
      </c>
      <c r="I1645" s="1030"/>
      <c r="J1645" s="690"/>
      <c r="K1645" s="1030"/>
      <c r="L1645" s="690"/>
      <c r="M1645" s="1025">
        <v>120601476</v>
      </c>
      <c r="N1645" s="1030"/>
      <c r="O1645" s="692">
        <f t="shared" si="213"/>
        <v>120601476</v>
      </c>
      <c r="P1645" s="690">
        <v>133594484</v>
      </c>
      <c r="Q1645" s="690"/>
      <c r="R1645" s="691">
        <f t="shared" si="214"/>
        <v>133594484</v>
      </c>
      <c r="S1645" s="692">
        <f t="shared" si="215"/>
        <v>199592162.41318315</v>
      </c>
      <c r="T1645" s="693">
        <f t="shared" si="216"/>
        <v>196655714</v>
      </c>
      <c r="U1645" s="1035"/>
      <c r="V1645" s="690"/>
      <c r="W1645" s="1025"/>
      <c r="X1645" s="1030"/>
      <c r="Y1645" s="694">
        <f t="shared" si="217"/>
        <v>0</v>
      </c>
      <c r="Z1645" s="690"/>
      <c r="AA1645" s="690"/>
      <c r="AB1645" s="695">
        <f t="shared" si="218"/>
        <v>0</v>
      </c>
      <c r="AC1645" s="1035"/>
      <c r="AD1645" s="690"/>
      <c r="AE1645" s="1025"/>
      <c r="AF1645" s="1030"/>
      <c r="AG1645" s="690"/>
      <c r="AH1645" s="690"/>
      <c r="AI1645" s="696">
        <f t="shared" si="219"/>
        <v>199592162.41318315</v>
      </c>
      <c r="AJ1645" s="697">
        <f t="shared" si="220"/>
        <v>196655714</v>
      </c>
    </row>
    <row r="1646" spans="1:36" s="700" customFormat="1" ht="12.75" customHeight="1">
      <c r="A1646" s="888" t="s">
        <v>212</v>
      </c>
      <c r="B1646" s="888" t="s">
        <v>394</v>
      </c>
      <c r="C1646" s="892" t="s">
        <v>1149</v>
      </c>
      <c r="D1646" s="892"/>
      <c r="E1646" s="890">
        <v>176017</v>
      </c>
      <c r="F1646" s="888">
        <v>2</v>
      </c>
      <c r="G1646" s="1025"/>
      <c r="H1646" s="690"/>
      <c r="I1646" s="1030"/>
      <c r="J1646" s="690"/>
      <c r="K1646" s="1030"/>
      <c r="L1646" s="690"/>
      <c r="M1646" s="1025"/>
      <c r="N1646" s="1030"/>
      <c r="O1646" s="692">
        <f t="shared" si="213"/>
        <v>0</v>
      </c>
      <c r="P1646" s="690"/>
      <c r="Q1646" s="690"/>
      <c r="R1646" s="691">
        <f t="shared" si="214"/>
        <v>0</v>
      </c>
      <c r="S1646" s="692">
        <f t="shared" si="215"/>
        <v>0</v>
      </c>
      <c r="T1646" s="693">
        <f t="shared" si="216"/>
        <v>0</v>
      </c>
      <c r="U1646" s="1035"/>
      <c r="V1646" s="690"/>
      <c r="W1646" s="1025"/>
      <c r="X1646" s="1030"/>
      <c r="Y1646" s="694">
        <f t="shared" si="217"/>
        <v>0</v>
      </c>
      <c r="Z1646" s="690"/>
      <c r="AA1646" s="690"/>
      <c r="AB1646" s="695">
        <f t="shared" si="218"/>
        <v>0</v>
      </c>
      <c r="AC1646" s="1035"/>
      <c r="AD1646" s="690"/>
      <c r="AE1646" s="1025"/>
      <c r="AF1646" s="1030"/>
      <c r="AG1646" s="690"/>
      <c r="AH1646" s="690"/>
      <c r="AI1646" s="696">
        <f t="shared" si="219"/>
        <v>0</v>
      </c>
      <c r="AJ1646" s="697">
        <f t="shared" si="220"/>
        <v>0</v>
      </c>
    </row>
    <row r="1647" spans="1:36" s="700" customFormat="1" ht="12.75" customHeight="1">
      <c r="A1647" s="888" t="s">
        <v>212</v>
      </c>
      <c r="B1647" s="888" t="s">
        <v>394</v>
      </c>
      <c r="C1647" s="891" t="s">
        <v>1150</v>
      </c>
      <c r="D1647" s="891"/>
      <c r="E1647" s="890">
        <v>176017</v>
      </c>
      <c r="F1647" s="888">
        <v>2</v>
      </c>
      <c r="G1647" s="1025"/>
      <c r="H1647" s="690"/>
      <c r="I1647" s="1030">
        <v>263960</v>
      </c>
      <c r="J1647" s="690">
        <v>250984</v>
      </c>
      <c r="K1647" s="1030"/>
      <c r="L1647" s="690"/>
      <c r="M1647" s="1025"/>
      <c r="N1647" s="1030"/>
      <c r="O1647" s="692">
        <f t="shared" si="213"/>
        <v>0</v>
      </c>
      <c r="P1647" s="690"/>
      <c r="Q1647" s="690"/>
      <c r="R1647" s="691">
        <f t="shared" si="214"/>
        <v>0</v>
      </c>
      <c r="S1647" s="692">
        <f t="shared" si="215"/>
        <v>263960</v>
      </c>
      <c r="T1647" s="693">
        <f t="shared" si="216"/>
        <v>250984</v>
      </c>
      <c r="U1647" s="1035"/>
      <c r="V1647" s="690"/>
      <c r="W1647" s="1025"/>
      <c r="X1647" s="1030"/>
      <c r="Y1647" s="694">
        <f t="shared" si="217"/>
        <v>0</v>
      </c>
      <c r="Z1647" s="690"/>
      <c r="AA1647" s="690"/>
      <c r="AB1647" s="695">
        <f t="shared" si="218"/>
        <v>0</v>
      </c>
      <c r="AC1647" s="1035"/>
      <c r="AD1647" s="690"/>
      <c r="AE1647" s="1025"/>
      <c r="AF1647" s="1030"/>
      <c r="AG1647" s="690"/>
      <c r="AH1647" s="690"/>
      <c r="AI1647" s="696">
        <f t="shared" si="219"/>
        <v>263960</v>
      </c>
      <c r="AJ1647" s="697">
        <f t="shared" si="220"/>
        <v>250984</v>
      </c>
    </row>
    <row r="1648" spans="1:36" s="700" customFormat="1" ht="12.75" customHeight="1">
      <c r="A1648" s="888" t="s">
        <v>212</v>
      </c>
      <c r="B1648" s="888" t="s">
        <v>399</v>
      </c>
      <c r="C1648" s="892" t="s">
        <v>796</v>
      </c>
      <c r="D1648" s="892"/>
      <c r="E1648" s="890">
        <v>176017</v>
      </c>
      <c r="F1648" s="888">
        <v>2</v>
      </c>
      <c r="G1648" s="1025"/>
      <c r="H1648" s="690"/>
      <c r="I1648" s="1030"/>
      <c r="J1648" s="690"/>
      <c r="K1648" s="1030"/>
      <c r="L1648" s="690"/>
      <c r="M1648" s="1025"/>
      <c r="N1648" s="1030"/>
      <c r="O1648" s="692">
        <f t="shared" si="213"/>
        <v>0</v>
      </c>
      <c r="P1648" s="690"/>
      <c r="Q1648" s="690"/>
      <c r="R1648" s="691">
        <f t="shared" si="214"/>
        <v>0</v>
      </c>
      <c r="S1648" s="692">
        <f t="shared" si="215"/>
        <v>0</v>
      </c>
      <c r="T1648" s="693">
        <f t="shared" si="216"/>
        <v>0</v>
      </c>
      <c r="U1648" s="1035"/>
      <c r="V1648" s="690"/>
      <c r="W1648" s="1025"/>
      <c r="X1648" s="1030"/>
      <c r="Y1648" s="694">
        <f t="shared" si="217"/>
        <v>0</v>
      </c>
      <c r="Z1648" s="690"/>
      <c r="AA1648" s="690"/>
      <c r="AB1648" s="695">
        <f t="shared" si="218"/>
        <v>0</v>
      </c>
      <c r="AC1648" s="1035"/>
      <c r="AD1648" s="690"/>
      <c r="AE1648" s="1025"/>
      <c r="AF1648" s="1030"/>
      <c r="AG1648" s="690"/>
      <c r="AH1648" s="690"/>
      <c r="AI1648" s="696">
        <f t="shared" si="219"/>
        <v>0</v>
      </c>
      <c r="AJ1648" s="697">
        <f t="shared" si="220"/>
        <v>0</v>
      </c>
    </row>
    <row r="1649" spans="1:36" s="700" customFormat="1" ht="12.75" customHeight="1">
      <c r="A1649" s="888" t="s">
        <v>212</v>
      </c>
      <c r="B1649" s="888" t="s">
        <v>399</v>
      </c>
      <c r="C1649" s="891" t="s">
        <v>1151</v>
      </c>
      <c r="D1649" s="891"/>
      <c r="E1649" s="890">
        <v>176017</v>
      </c>
      <c r="F1649" s="888">
        <v>2</v>
      </c>
      <c r="G1649" s="1025"/>
      <c r="H1649" s="690"/>
      <c r="I1649" s="1030">
        <v>3502595</v>
      </c>
      <c r="J1649" s="690">
        <v>3208655</v>
      </c>
      <c r="K1649" s="1030"/>
      <c r="L1649" s="690"/>
      <c r="M1649" s="1025"/>
      <c r="N1649" s="1030"/>
      <c r="O1649" s="692">
        <f t="shared" si="213"/>
        <v>0</v>
      </c>
      <c r="P1649" s="690"/>
      <c r="Q1649" s="690"/>
      <c r="R1649" s="691">
        <f t="shared" si="214"/>
        <v>0</v>
      </c>
      <c r="S1649" s="692">
        <f t="shared" si="215"/>
        <v>3502595</v>
      </c>
      <c r="T1649" s="693">
        <f t="shared" si="216"/>
        <v>3208655</v>
      </c>
      <c r="U1649" s="1035"/>
      <c r="V1649" s="690"/>
      <c r="W1649" s="1025"/>
      <c r="X1649" s="1030"/>
      <c r="Y1649" s="694">
        <f t="shared" si="217"/>
        <v>0</v>
      </c>
      <c r="Z1649" s="690"/>
      <c r="AA1649" s="690"/>
      <c r="AB1649" s="695">
        <f t="shared" si="218"/>
        <v>0</v>
      </c>
      <c r="AC1649" s="1035"/>
      <c r="AD1649" s="690"/>
      <c r="AE1649" s="1025"/>
      <c r="AF1649" s="1030"/>
      <c r="AG1649" s="690"/>
      <c r="AH1649" s="690"/>
      <c r="AI1649" s="696">
        <f t="shared" si="219"/>
        <v>3502595</v>
      </c>
      <c r="AJ1649" s="697">
        <f t="shared" si="220"/>
        <v>3208655</v>
      </c>
    </row>
    <row r="1650" spans="1:36" s="700" customFormat="1" ht="12.75" customHeight="1">
      <c r="A1650" s="888" t="s">
        <v>212</v>
      </c>
      <c r="B1650" s="888" t="s">
        <v>399</v>
      </c>
      <c r="C1650" s="891" t="s">
        <v>1152</v>
      </c>
      <c r="D1650" s="891"/>
      <c r="E1650" s="890">
        <v>176017</v>
      </c>
      <c r="F1650" s="888">
        <v>2</v>
      </c>
      <c r="G1650" s="1025"/>
      <c r="H1650" s="690"/>
      <c r="I1650" s="1030">
        <v>840129</v>
      </c>
      <c r="J1650" s="690">
        <v>829232</v>
      </c>
      <c r="K1650" s="1030"/>
      <c r="L1650" s="690"/>
      <c r="M1650" s="1025"/>
      <c r="N1650" s="1030"/>
      <c r="O1650" s="692">
        <f t="shared" si="213"/>
        <v>0</v>
      </c>
      <c r="P1650" s="690"/>
      <c r="Q1650" s="690"/>
      <c r="R1650" s="691">
        <f t="shared" si="214"/>
        <v>0</v>
      </c>
      <c r="S1650" s="692">
        <f t="shared" si="215"/>
        <v>840129</v>
      </c>
      <c r="T1650" s="693">
        <f t="shared" si="216"/>
        <v>829232</v>
      </c>
      <c r="U1650" s="1035"/>
      <c r="V1650" s="690"/>
      <c r="W1650" s="1025"/>
      <c r="X1650" s="1030"/>
      <c r="Y1650" s="694">
        <f t="shared" si="217"/>
        <v>0</v>
      </c>
      <c r="Z1650" s="690"/>
      <c r="AA1650" s="690"/>
      <c r="AB1650" s="695">
        <f t="shared" si="218"/>
        <v>0</v>
      </c>
      <c r="AC1650" s="1035"/>
      <c r="AD1650" s="690"/>
      <c r="AE1650" s="1025"/>
      <c r="AF1650" s="1030"/>
      <c r="AG1650" s="690"/>
      <c r="AH1650" s="690"/>
      <c r="AI1650" s="696">
        <f t="shared" si="219"/>
        <v>840129</v>
      </c>
      <c r="AJ1650" s="697">
        <f t="shared" si="220"/>
        <v>829232</v>
      </c>
    </row>
    <row r="1651" spans="1:36" s="700" customFormat="1" ht="12.75" customHeight="1">
      <c r="A1651" s="888" t="s">
        <v>212</v>
      </c>
      <c r="B1651" s="888" t="s">
        <v>399</v>
      </c>
      <c r="C1651" s="891" t="s">
        <v>1153</v>
      </c>
      <c r="D1651" s="891"/>
      <c r="E1651" s="890">
        <v>176017</v>
      </c>
      <c r="F1651" s="888">
        <v>2</v>
      </c>
      <c r="G1651" s="1025"/>
      <c r="H1651" s="690"/>
      <c r="I1651" s="1030">
        <v>473132</v>
      </c>
      <c r="J1651" s="690">
        <v>423586</v>
      </c>
      <c r="K1651" s="1030"/>
      <c r="L1651" s="690"/>
      <c r="M1651" s="1025"/>
      <c r="N1651" s="1030"/>
      <c r="O1651" s="692">
        <f t="shared" si="213"/>
        <v>0</v>
      </c>
      <c r="P1651" s="690"/>
      <c r="Q1651" s="690"/>
      <c r="R1651" s="691">
        <f t="shared" si="214"/>
        <v>0</v>
      </c>
      <c r="S1651" s="692">
        <f t="shared" si="215"/>
        <v>473132</v>
      </c>
      <c r="T1651" s="693">
        <f t="shared" si="216"/>
        <v>423586</v>
      </c>
      <c r="U1651" s="1035"/>
      <c r="V1651" s="690"/>
      <c r="W1651" s="1025"/>
      <c r="X1651" s="1030"/>
      <c r="Y1651" s="694">
        <f t="shared" si="217"/>
        <v>0</v>
      </c>
      <c r="Z1651" s="690"/>
      <c r="AA1651" s="690"/>
      <c r="AB1651" s="695">
        <f t="shared" si="218"/>
        <v>0</v>
      </c>
      <c r="AC1651" s="1035"/>
      <c r="AD1651" s="690"/>
      <c r="AE1651" s="1025"/>
      <c r="AF1651" s="1030"/>
      <c r="AG1651" s="690"/>
      <c r="AH1651" s="690"/>
      <c r="AI1651" s="696">
        <f t="shared" si="219"/>
        <v>473132</v>
      </c>
      <c r="AJ1651" s="697">
        <f t="shared" si="220"/>
        <v>423586</v>
      </c>
    </row>
    <row r="1652" spans="1:36" s="700" customFormat="1" ht="12.75" customHeight="1">
      <c r="A1652" s="888" t="s">
        <v>212</v>
      </c>
      <c r="B1652" s="888" t="s">
        <v>399</v>
      </c>
      <c r="C1652" s="891" t="s">
        <v>1154</v>
      </c>
      <c r="D1652" s="891"/>
      <c r="E1652" s="890">
        <v>176017</v>
      </c>
      <c r="F1652" s="888">
        <v>2</v>
      </c>
      <c r="G1652" s="1025"/>
      <c r="H1652" s="690"/>
      <c r="I1652" s="1030">
        <v>804342</v>
      </c>
      <c r="J1652" s="690">
        <v>727661</v>
      </c>
      <c r="K1652" s="1030"/>
      <c r="L1652" s="690"/>
      <c r="M1652" s="1025"/>
      <c r="N1652" s="1030"/>
      <c r="O1652" s="692">
        <f t="shared" si="213"/>
        <v>0</v>
      </c>
      <c r="P1652" s="690"/>
      <c r="Q1652" s="690"/>
      <c r="R1652" s="691">
        <f t="shared" si="214"/>
        <v>0</v>
      </c>
      <c r="S1652" s="692">
        <f t="shared" si="215"/>
        <v>804342</v>
      </c>
      <c r="T1652" s="693">
        <f t="shared" si="216"/>
        <v>727661</v>
      </c>
      <c r="U1652" s="1035"/>
      <c r="V1652" s="690"/>
      <c r="W1652" s="1025"/>
      <c r="X1652" s="1030"/>
      <c r="Y1652" s="694">
        <f t="shared" si="217"/>
        <v>0</v>
      </c>
      <c r="Z1652" s="690"/>
      <c r="AA1652" s="690"/>
      <c r="AB1652" s="695">
        <f t="shared" si="218"/>
        <v>0</v>
      </c>
      <c r="AC1652" s="1035"/>
      <c r="AD1652" s="690"/>
      <c r="AE1652" s="1025"/>
      <c r="AF1652" s="1030"/>
      <c r="AG1652" s="690"/>
      <c r="AH1652" s="690"/>
      <c r="AI1652" s="696">
        <f t="shared" si="219"/>
        <v>804342</v>
      </c>
      <c r="AJ1652" s="697">
        <f t="shared" si="220"/>
        <v>727661</v>
      </c>
    </row>
    <row r="1653" spans="1:36" s="700" customFormat="1" ht="12.75" customHeight="1">
      <c r="A1653" s="888" t="s">
        <v>212</v>
      </c>
      <c r="B1653" s="888" t="s">
        <v>399</v>
      </c>
      <c r="C1653" s="891" t="s">
        <v>1155</v>
      </c>
      <c r="D1653" s="891"/>
      <c r="E1653" s="890">
        <v>176017</v>
      </c>
      <c r="F1653" s="888">
        <v>2</v>
      </c>
      <c r="G1653" s="1025"/>
      <c r="H1653" s="690"/>
      <c r="I1653" s="1030">
        <v>950000</v>
      </c>
      <c r="J1653" s="690">
        <v>826132</v>
      </c>
      <c r="K1653" s="1030"/>
      <c r="L1653" s="690"/>
      <c r="M1653" s="1025"/>
      <c r="N1653" s="1030"/>
      <c r="O1653" s="692">
        <f t="shared" si="213"/>
        <v>0</v>
      </c>
      <c r="P1653" s="690"/>
      <c r="Q1653" s="690"/>
      <c r="R1653" s="691">
        <f t="shared" si="214"/>
        <v>0</v>
      </c>
      <c r="S1653" s="692">
        <f t="shared" si="215"/>
        <v>950000</v>
      </c>
      <c r="T1653" s="693">
        <f t="shared" si="216"/>
        <v>826132</v>
      </c>
      <c r="U1653" s="1035"/>
      <c r="V1653" s="690"/>
      <c r="W1653" s="1025"/>
      <c r="X1653" s="1030"/>
      <c r="Y1653" s="694">
        <f t="shared" si="217"/>
        <v>0</v>
      </c>
      <c r="Z1653" s="690"/>
      <c r="AA1653" s="690"/>
      <c r="AB1653" s="695">
        <f t="shared" si="218"/>
        <v>0</v>
      </c>
      <c r="AC1653" s="1035"/>
      <c r="AD1653" s="690"/>
      <c r="AE1653" s="1025"/>
      <c r="AF1653" s="1030"/>
      <c r="AG1653" s="690"/>
      <c r="AH1653" s="690"/>
      <c r="AI1653" s="696">
        <f t="shared" si="219"/>
        <v>950000</v>
      </c>
      <c r="AJ1653" s="697">
        <f t="shared" si="220"/>
        <v>826132</v>
      </c>
    </row>
    <row r="1654" spans="1:36" s="700" customFormat="1" ht="12.75" customHeight="1">
      <c r="A1654" s="888" t="s">
        <v>212</v>
      </c>
      <c r="B1654" s="888" t="s">
        <v>392</v>
      </c>
      <c r="C1654" s="891" t="s">
        <v>1156</v>
      </c>
      <c r="D1654" s="891"/>
      <c r="E1654" s="890">
        <v>175342</v>
      </c>
      <c r="F1654" s="888">
        <v>4</v>
      </c>
      <c r="G1654" s="1025">
        <v>23721284.616502974</v>
      </c>
      <c r="H1654" s="690">
        <v>19792990</v>
      </c>
      <c r="I1654" s="1030"/>
      <c r="J1654" s="690"/>
      <c r="K1654" s="1030"/>
      <c r="L1654" s="690"/>
      <c r="M1654" s="1025">
        <v>17312471</v>
      </c>
      <c r="N1654" s="1030"/>
      <c r="O1654" s="692">
        <f t="shared" si="213"/>
        <v>17312471</v>
      </c>
      <c r="P1654" s="690">
        <v>19488558</v>
      </c>
      <c r="Q1654" s="690"/>
      <c r="R1654" s="691">
        <f t="shared" si="214"/>
        <v>19488558</v>
      </c>
      <c r="S1654" s="692">
        <f t="shared" si="215"/>
        <v>41033755.61650297</v>
      </c>
      <c r="T1654" s="693">
        <f t="shared" si="216"/>
        <v>39281548</v>
      </c>
      <c r="U1654" s="1035"/>
      <c r="V1654" s="690"/>
      <c r="W1654" s="1025"/>
      <c r="X1654" s="1030"/>
      <c r="Y1654" s="694">
        <f t="shared" si="217"/>
        <v>0</v>
      </c>
      <c r="Z1654" s="690"/>
      <c r="AA1654" s="690"/>
      <c r="AB1654" s="695">
        <f t="shared" si="218"/>
        <v>0</v>
      </c>
      <c r="AC1654" s="1035"/>
      <c r="AD1654" s="690"/>
      <c r="AE1654" s="1025"/>
      <c r="AF1654" s="1030"/>
      <c r="AG1654" s="690"/>
      <c r="AH1654" s="690"/>
      <c r="AI1654" s="696">
        <f t="shared" si="219"/>
        <v>41033755.61650297</v>
      </c>
      <c r="AJ1654" s="697">
        <f t="shared" si="220"/>
        <v>39281548</v>
      </c>
    </row>
    <row r="1655" spans="1:36" s="700" customFormat="1" ht="12.75" customHeight="1">
      <c r="A1655" s="888" t="s">
        <v>212</v>
      </c>
      <c r="B1655" s="888" t="s">
        <v>396</v>
      </c>
      <c r="C1655" s="891" t="s">
        <v>1157</v>
      </c>
      <c r="D1655" s="891"/>
      <c r="E1655" s="890">
        <v>175342</v>
      </c>
      <c r="F1655" s="888">
        <v>4</v>
      </c>
      <c r="G1655" s="1025"/>
      <c r="H1655" s="690"/>
      <c r="I1655" s="1030">
        <v>5326762</v>
      </c>
      <c r="J1655" s="690">
        <v>5213674</v>
      </c>
      <c r="K1655" s="1030"/>
      <c r="L1655" s="690"/>
      <c r="M1655" s="1025"/>
      <c r="N1655" s="1030"/>
      <c r="O1655" s="692">
        <f t="shared" si="213"/>
        <v>0</v>
      </c>
      <c r="P1655" s="690"/>
      <c r="Q1655" s="690"/>
      <c r="R1655" s="691">
        <f t="shared" si="214"/>
        <v>0</v>
      </c>
      <c r="S1655" s="692">
        <f t="shared" si="215"/>
        <v>5326762</v>
      </c>
      <c r="T1655" s="693">
        <f t="shared" si="216"/>
        <v>5213674</v>
      </c>
      <c r="U1655" s="1035"/>
      <c r="V1655" s="690"/>
      <c r="W1655" s="1025"/>
      <c r="X1655" s="1030"/>
      <c r="Y1655" s="694">
        <f t="shared" si="217"/>
        <v>0</v>
      </c>
      <c r="Z1655" s="690"/>
      <c r="AA1655" s="690"/>
      <c r="AB1655" s="695">
        <f t="shared" si="218"/>
        <v>0</v>
      </c>
      <c r="AC1655" s="1035"/>
      <c r="AD1655" s="690"/>
      <c r="AE1655" s="1025"/>
      <c r="AF1655" s="1030"/>
      <c r="AG1655" s="690"/>
      <c r="AH1655" s="690"/>
      <c r="AI1655" s="696">
        <f t="shared" si="219"/>
        <v>5326762</v>
      </c>
      <c r="AJ1655" s="697">
        <f t="shared" si="220"/>
        <v>5213674</v>
      </c>
    </row>
    <row r="1656" spans="1:36" s="700" customFormat="1" ht="12.75" customHeight="1">
      <c r="A1656" s="888" t="s">
        <v>212</v>
      </c>
      <c r="B1656" s="888" t="s">
        <v>392</v>
      </c>
      <c r="C1656" s="889" t="s">
        <v>1158</v>
      </c>
      <c r="D1656" s="889"/>
      <c r="E1656" s="890">
        <v>175616</v>
      </c>
      <c r="F1656" s="888">
        <v>4</v>
      </c>
      <c r="G1656" s="1025">
        <v>22992387.534014363</v>
      </c>
      <c r="H1656" s="690">
        <v>18494157</v>
      </c>
      <c r="I1656" s="1030"/>
      <c r="J1656" s="690"/>
      <c r="K1656" s="1030"/>
      <c r="L1656" s="690"/>
      <c r="M1656" s="1025">
        <v>17724059</v>
      </c>
      <c r="N1656" s="1030"/>
      <c r="O1656" s="692">
        <f t="shared" si="213"/>
        <v>17724059</v>
      </c>
      <c r="P1656" s="690">
        <v>18991144</v>
      </c>
      <c r="Q1656" s="690"/>
      <c r="R1656" s="691">
        <f t="shared" si="214"/>
        <v>18991144</v>
      </c>
      <c r="S1656" s="692">
        <f t="shared" si="215"/>
        <v>40716446.534014359</v>
      </c>
      <c r="T1656" s="693">
        <f t="shared" si="216"/>
        <v>37485301</v>
      </c>
      <c r="U1656" s="1035"/>
      <c r="V1656" s="690"/>
      <c r="W1656" s="1025"/>
      <c r="X1656" s="1030"/>
      <c r="Y1656" s="694">
        <f t="shared" si="217"/>
        <v>0</v>
      </c>
      <c r="Z1656" s="690"/>
      <c r="AA1656" s="690"/>
      <c r="AB1656" s="695">
        <f t="shared" si="218"/>
        <v>0</v>
      </c>
      <c r="AC1656" s="1035"/>
      <c r="AD1656" s="690"/>
      <c r="AE1656" s="1025"/>
      <c r="AF1656" s="1030"/>
      <c r="AG1656" s="690"/>
      <c r="AH1656" s="690"/>
      <c r="AI1656" s="696">
        <f t="shared" si="219"/>
        <v>40716446.534014359</v>
      </c>
      <c r="AJ1656" s="697">
        <f t="shared" si="220"/>
        <v>37485301</v>
      </c>
    </row>
    <row r="1657" spans="1:36" s="700" customFormat="1" ht="12.75" customHeight="1">
      <c r="A1657" s="888" t="s">
        <v>212</v>
      </c>
      <c r="B1657" s="888" t="s">
        <v>392</v>
      </c>
      <c r="C1657" s="893" t="s">
        <v>1159</v>
      </c>
      <c r="D1657" s="893"/>
      <c r="E1657" s="894">
        <v>176044</v>
      </c>
      <c r="F1657" s="758">
        <v>4</v>
      </c>
      <c r="G1657" s="1025">
        <v>19412209.710326329</v>
      </c>
      <c r="H1657" s="690">
        <v>16356739</v>
      </c>
      <c r="I1657" s="1030"/>
      <c r="J1657" s="690"/>
      <c r="K1657" s="1030"/>
      <c r="L1657" s="690"/>
      <c r="M1657" s="1025">
        <v>15687656</v>
      </c>
      <c r="N1657" s="1030"/>
      <c r="O1657" s="692">
        <f t="shared" si="213"/>
        <v>15687656</v>
      </c>
      <c r="P1657" s="690">
        <v>16293482</v>
      </c>
      <c r="Q1657" s="690"/>
      <c r="R1657" s="691">
        <f t="shared" si="214"/>
        <v>16293482</v>
      </c>
      <c r="S1657" s="692">
        <f t="shared" si="215"/>
        <v>35099865.710326329</v>
      </c>
      <c r="T1657" s="693">
        <f t="shared" si="216"/>
        <v>32650221</v>
      </c>
      <c r="U1657" s="1035"/>
      <c r="V1657" s="690"/>
      <c r="W1657" s="1025"/>
      <c r="X1657" s="1030"/>
      <c r="Y1657" s="694">
        <f t="shared" si="217"/>
        <v>0</v>
      </c>
      <c r="Z1657" s="690"/>
      <c r="AA1657" s="690"/>
      <c r="AB1657" s="695">
        <f t="shared" si="218"/>
        <v>0</v>
      </c>
      <c r="AC1657" s="1035"/>
      <c r="AD1657" s="690"/>
      <c r="AE1657" s="1025"/>
      <c r="AF1657" s="1030"/>
      <c r="AG1657" s="690"/>
      <c r="AH1657" s="690"/>
      <c r="AI1657" s="696">
        <f t="shared" si="219"/>
        <v>35099865.710326329</v>
      </c>
      <c r="AJ1657" s="697">
        <f t="shared" si="220"/>
        <v>32650221</v>
      </c>
    </row>
    <row r="1658" spans="1:36" s="700" customFormat="1" ht="12.75" customHeight="1">
      <c r="A1658" s="888" t="s">
        <v>212</v>
      </c>
      <c r="B1658" s="888" t="s">
        <v>392</v>
      </c>
      <c r="C1658" s="889" t="s">
        <v>1160</v>
      </c>
      <c r="D1658" s="889"/>
      <c r="E1658" s="890">
        <v>176035</v>
      </c>
      <c r="F1658" s="888">
        <v>5</v>
      </c>
      <c r="G1658" s="1025">
        <v>15144679.677138524</v>
      </c>
      <c r="H1658" s="690">
        <v>12092589</v>
      </c>
      <c r="I1658" s="1030"/>
      <c r="J1658" s="690"/>
      <c r="K1658" s="1030"/>
      <c r="L1658" s="690"/>
      <c r="M1658" s="1025">
        <v>12103627</v>
      </c>
      <c r="N1658" s="1030"/>
      <c r="O1658" s="692">
        <f t="shared" si="213"/>
        <v>12103627</v>
      </c>
      <c r="P1658" s="690">
        <v>13025563</v>
      </c>
      <c r="Q1658" s="690"/>
      <c r="R1658" s="691">
        <f t="shared" si="214"/>
        <v>13025563</v>
      </c>
      <c r="S1658" s="692">
        <f t="shared" si="215"/>
        <v>27248306.677138522</v>
      </c>
      <c r="T1658" s="693">
        <f t="shared" si="216"/>
        <v>25118152</v>
      </c>
      <c r="U1658" s="1035"/>
      <c r="V1658" s="690"/>
      <c r="W1658" s="1025"/>
      <c r="X1658" s="1030"/>
      <c r="Y1658" s="694">
        <f t="shared" si="217"/>
        <v>0</v>
      </c>
      <c r="Z1658" s="690"/>
      <c r="AA1658" s="690"/>
      <c r="AB1658" s="695">
        <f t="shared" si="218"/>
        <v>0</v>
      </c>
      <c r="AC1658" s="1035"/>
      <c r="AD1658" s="690"/>
      <c r="AE1658" s="1025"/>
      <c r="AF1658" s="1030"/>
      <c r="AG1658" s="690"/>
      <c r="AH1658" s="690"/>
      <c r="AI1658" s="696">
        <f t="shared" si="219"/>
        <v>27248306.677138522</v>
      </c>
      <c r="AJ1658" s="697">
        <f t="shared" si="220"/>
        <v>25118152</v>
      </c>
    </row>
    <row r="1659" spans="1:36" s="700" customFormat="1" ht="12.75" customHeight="1">
      <c r="A1659" s="888" t="s">
        <v>212</v>
      </c>
      <c r="B1659" s="888" t="s">
        <v>429</v>
      </c>
      <c r="C1659" s="889" t="s">
        <v>1161</v>
      </c>
      <c r="D1659" s="889"/>
      <c r="E1659" s="890">
        <v>176026</v>
      </c>
      <c r="F1659" s="888">
        <v>15</v>
      </c>
      <c r="G1659" s="1025"/>
      <c r="H1659" s="690"/>
      <c r="I1659" s="1030"/>
      <c r="J1659" s="690"/>
      <c r="K1659" s="1030"/>
      <c r="L1659" s="690"/>
      <c r="M1659" s="1025"/>
      <c r="N1659" s="1030"/>
      <c r="O1659" s="692">
        <f t="shared" si="213"/>
        <v>0</v>
      </c>
      <c r="P1659" s="690"/>
      <c r="Q1659" s="690"/>
      <c r="R1659" s="691">
        <f t="shared" si="214"/>
        <v>0</v>
      </c>
      <c r="S1659" s="692">
        <f t="shared" si="215"/>
        <v>0</v>
      </c>
      <c r="T1659" s="693">
        <f t="shared" si="216"/>
        <v>0</v>
      </c>
      <c r="U1659" s="1035"/>
      <c r="V1659" s="690"/>
      <c r="W1659" s="1025"/>
      <c r="X1659" s="1030"/>
      <c r="Y1659" s="694">
        <f t="shared" si="217"/>
        <v>0</v>
      </c>
      <c r="Z1659" s="690"/>
      <c r="AA1659" s="690"/>
      <c r="AB1659" s="695">
        <f t="shared" si="218"/>
        <v>0</v>
      </c>
      <c r="AC1659" s="1035">
        <v>220361965</v>
      </c>
      <c r="AD1659" s="690">
        <v>215332977</v>
      </c>
      <c r="AE1659" s="1025">
        <v>12961305</v>
      </c>
      <c r="AF1659" s="1030"/>
      <c r="AG1659" s="690">
        <v>15729542</v>
      </c>
      <c r="AH1659" s="690"/>
      <c r="AI1659" s="696">
        <f t="shared" si="219"/>
        <v>233323270</v>
      </c>
      <c r="AJ1659" s="697">
        <f t="shared" si="220"/>
        <v>231062519</v>
      </c>
    </row>
    <row r="1660" spans="1:36" s="700" customFormat="1" ht="12.75" customHeight="1">
      <c r="A1660" s="888" t="s">
        <v>212</v>
      </c>
      <c r="B1660" s="888" t="s">
        <v>401</v>
      </c>
      <c r="C1660" s="895" t="s">
        <v>838</v>
      </c>
      <c r="D1660" s="895"/>
      <c r="E1660" s="890"/>
      <c r="F1660" s="888"/>
      <c r="G1660" s="1025"/>
      <c r="H1660" s="690"/>
      <c r="I1660" s="1030"/>
      <c r="J1660" s="690"/>
      <c r="K1660" s="1030"/>
      <c r="L1660" s="690"/>
      <c r="M1660" s="1025"/>
      <c r="N1660" s="1030"/>
      <c r="O1660" s="692">
        <f t="shared" si="213"/>
        <v>0</v>
      </c>
      <c r="P1660" s="690"/>
      <c r="Q1660" s="690"/>
      <c r="R1660" s="691">
        <f t="shared" si="214"/>
        <v>0</v>
      </c>
      <c r="S1660" s="692">
        <f t="shared" si="215"/>
        <v>0</v>
      </c>
      <c r="T1660" s="693">
        <f t="shared" si="216"/>
        <v>0</v>
      </c>
      <c r="U1660" s="1035"/>
      <c r="V1660" s="690"/>
      <c r="W1660" s="1025"/>
      <c r="X1660" s="1030"/>
      <c r="Y1660" s="694">
        <f t="shared" si="217"/>
        <v>0</v>
      </c>
      <c r="Z1660" s="690"/>
      <c r="AA1660" s="690"/>
      <c r="AB1660" s="695">
        <f t="shared" si="218"/>
        <v>0</v>
      </c>
      <c r="AC1660" s="1035"/>
      <c r="AD1660" s="690"/>
      <c r="AE1660" s="1025"/>
      <c r="AF1660" s="1030"/>
      <c r="AG1660" s="690"/>
      <c r="AH1660" s="690"/>
      <c r="AI1660" s="696">
        <f t="shared" si="219"/>
        <v>0</v>
      </c>
      <c r="AJ1660" s="697">
        <f t="shared" si="220"/>
        <v>0</v>
      </c>
    </row>
    <row r="1661" spans="1:36" s="700" customFormat="1" ht="12.75" customHeight="1">
      <c r="A1661" s="888" t="s">
        <v>212</v>
      </c>
      <c r="B1661" s="888" t="s">
        <v>402</v>
      </c>
      <c r="C1661" s="892" t="s">
        <v>451</v>
      </c>
      <c r="D1661" s="892"/>
      <c r="E1661" s="890"/>
      <c r="F1661" s="888"/>
      <c r="G1661" s="1025"/>
      <c r="H1661" s="690"/>
      <c r="I1661" s="1030"/>
      <c r="J1661" s="690"/>
      <c r="K1661" s="1030"/>
      <c r="L1661" s="690"/>
      <c r="M1661" s="1025"/>
      <c r="N1661" s="1030"/>
      <c r="O1661" s="692">
        <f t="shared" si="213"/>
        <v>0</v>
      </c>
      <c r="P1661" s="690"/>
      <c r="Q1661" s="690"/>
      <c r="R1661" s="691">
        <f t="shared" si="214"/>
        <v>0</v>
      </c>
      <c r="S1661" s="692">
        <f t="shared" si="215"/>
        <v>0</v>
      </c>
      <c r="T1661" s="693">
        <f t="shared" si="216"/>
        <v>0</v>
      </c>
      <c r="U1661" s="1035"/>
      <c r="V1661" s="690"/>
      <c r="W1661" s="1025"/>
      <c r="X1661" s="1030"/>
      <c r="Y1661" s="694">
        <f t="shared" si="217"/>
        <v>0</v>
      </c>
      <c r="Z1661" s="690"/>
      <c r="AA1661" s="690"/>
      <c r="AB1661" s="695">
        <f t="shared" si="218"/>
        <v>0</v>
      </c>
      <c r="AC1661" s="1035"/>
      <c r="AD1661" s="690"/>
      <c r="AE1661" s="1025"/>
      <c r="AF1661" s="1030"/>
      <c r="AG1661" s="690"/>
      <c r="AH1661" s="690"/>
      <c r="AI1661" s="696">
        <f t="shared" si="219"/>
        <v>0</v>
      </c>
      <c r="AJ1661" s="697">
        <f t="shared" si="220"/>
        <v>0</v>
      </c>
    </row>
    <row r="1662" spans="1:36" s="700" customFormat="1" ht="12.75" customHeight="1">
      <c r="A1662" s="888" t="s">
        <v>212</v>
      </c>
      <c r="B1662" s="888" t="s">
        <v>402</v>
      </c>
      <c r="C1662" s="891" t="s">
        <v>1162</v>
      </c>
      <c r="D1662" s="891"/>
      <c r="E1662" s="890"/>
      <c r="F1662" s="888"/>
      <c r="G1662" s="1025"/>
      <c r="H1662" s="690"/>
      <c r="I1662" s="1030"/>
      <c r="J1662" s="690"/>
      <c r="K1662" s="1030"/>
      <c r="L1662" s="690"/>
      <c r="M1662" s="1025"/>
      <c r="N1662" s="1030"/>
      <c r="O1662" s="692">
        <f t="shared" si="213"/>
        <v>0</v>
      </c>
      <c r="P1662" s="690"/>
      <c r="Q1662" s="690"/>
      <c r="R1662" s="691">
        <f t="shared" si="214"/>
        <v>0</v>
      </c>
      <c r="S1662" s="692">
        <f t="shared" si="215"/>
        <v>0</v>
      </c>
      <c r="T1662" s="693">
        <f t="shared" si="216"/>
        <v>0</v>
      </c>
      <c r="U1662" s="1035">
        <v>490402</v>
      </c>
      <c r="V1662" s="690">
        <v>363913</v>
      </c>
      <c r="W1662" s="1025"/>
      <c r="X1662" s="1030"/>
      <c r="Y1662" s="694">
        <f t="shared" si="217"/>
        <v>0</v>
      </c>
      <c r="Z1662" s="690"/>
      <c r="AA1662" s="690"/>
      <c r="AB1662" s="695">
        <f t="shared" si="218"/>
        <v>0</v>
      </c>
      <c r="AC1662" s="1035"/>
      <c r="AD1662" s="690"/>
      <c r="AE1662" s="1025"/>
      <c r="AF1662" s="1030"/>
      <c r="AG1662" s="690"/>
      <c r="AH1662" s="690"/>
      <c r="AI1662" s="696">
        <f t="shared" si="219"/>
        <v>490402</v>
      </c>
      <c r="AJ1662" s="697">
        <f t="shared" si="220"/>
        <v>363913</v>
      </c>
    </row>
    <row r="1663" spans="1:36" s="700" customFormat="1" ht="12.75" customHeight="1">
      <c r="A1663" s="888" t="s">
        <v>212</v>
      </c>
      <c r="B1663" s="888" t="s">
        <v>431</v>
      </c>
      <c r="C1663" s="895" t="s">
        <v>939</v>
      </c>
      <c r="D1663" s="895"/>
      <c r="E1663" s="890"/>
      <c r="F1663" s="888"/>
      <c r="G1663" s="1025"/>
      <c r="H1663" s="690"/>
      <c r="I1663" s="1030"/>
      <c r="J1663" s="690"/>
      <c r="K1663" s="1030"/>
      <c r="L1663" s="690"/>
      <c r="M1663" s="1025"/>
      <c r="N1663" s="1030"/>
      <c r="O1663" s="692">
        <f t="shared" si="213"/>
        <v>0</v>
      </c>
      <c r="P1663" s="690"/>
      <c r="Q1663" s="690"/>
      <c r="R1663" s="691">
        <f t="shared" si="214"/>
        <v>0</v>
      </c>
      <c r="S1663" s="692">
        <f t="shared" si="215"/>
        <v>0</v>
      </c>
      <c r="T1663" s="693">
        <f t="shared" si="216"/>
        <v>0</v>
      </c>
      <c r="U1663" s="1035"/>
      <c r="V1663" s="690"/>
      <c r="W1663" s="1025"/>
      <c r="X1663" s="1030"/>
      <c r="Y1663" s="694">
        <f t="shared" si="217"/>
        <v>0</v>
      </c>
      <c r="Z1663" s="690"/>
      <c r="AA1663" s="690"/>
      <c r="AB1663" s="695">
        <f t="shared" si="218"/>
        <v>0</v>
      </c>
      <c r="AC1663" s="1035"/>
      <c r="AD1663" s="690"/>
      <c r="AE1663" s="1025"/>
      <c r="AF1663" s="1030"/>
      <c r="AG1663" s="690"/>
      <c r="AH1663" s="690"/>
      <c r="AI1663" s="696">
        <f t="shared" si="219"/>
        <v>0</v>
      </c>
      <c r="AJ1663" s="697">
        <f t="shared" si="220"/>
        <v>0</v>
      </c>
    </row>
    <row r="1664" spans="1:36" s="700" customFormat="1" ht="12.75" customHeight="1">
      <c r="A1664" s="888" t="s">
        <v>212</v>
      </c>
      <c r="B1664" s="888" t="s">
        <v>431</v>
      </c>
      <c r="C1664" s="891" t="s">
        <v>1163</v>
      </c>
      <c r="D1664" s="891"/>
      <c r="E1664" s="890"/>
      <c r="F1664" s="888"/>
      <c r="G1664" s="1025"/>
      <c r="H1664" s="690"/>
      <c r="I1664" s="1030">
        <v>5750000</v>
      </c>
      <c r="J1664" s="690">
        <v>5750000</v>
      </c>
      <c r="K1664" s="1030"/>
      <c r="L1664" s="690"/>
      <c r="M1664" s="1025"/>
      <c r="N1664" s="1030"/>
      <c r="O1664" s="692">
        <f t="shared" si="213"/>
        <v>0</v>
      </c>
      <c r="P1664" s="690"/>
      <c r="Q1664" s="690"/>
      <c r="R1664" s="691">
        <f t="shared" si="214"/>
        <v>0</v>
      </c>
      <c r="S1664" s="692">
        <f t="shared" si="215"/>
        <v>5750000</v>
      </c>
      <c r="T1664" s="693">
        <f t="shared" si="216"/>
        <v>5750000</v>
      </c>
      <c r="U1664" s="1035"/>
      <c r="V1664" s="690"/>
      <c r="W1664" s="1025"/>
      <c r="X1664" s="1030"/>
      <c r="Y1664" s="694">
        <f t="shared" si="217"/>
        <v>0</v>
      </c>
      <c r="Z1664" s="690"/>
      <c r="AA1664" s="690"/>
      <c r="AB1664" s="695">
        <f t="shared" si="218"/>
        <v>0</v>
      </c>
      <c r="AC1664" s="1035"/>
      <c r="AD1664" s="690"/>
      <c r="AE1664" s="1025"/>
      <c r="AF1664" s="1030"/>
      <c r="AG1664" s="690"/>
      <c r="AH1664" s="690"/>
      <c r="AI1664" s="696">
        <f t="shared" si="219"/>
        <v>5750000</v>
      </c>
      <c r="AJ1664" s="697">
        <f t="shared" si="220"/>
        <v>5750000</v>
      </c>
    </row>
    <row r="1665" spans="1:36" s="700" customFormat="1" ht="12.75" customHeight="1">
      <c r="A1665" s="888" t="s">
        <v>212</v>
      </c>
      <c r="B1665" s="888" t="s">
        <v>409</v>
      </c>
      <c r="C1665" s="895" t="s">
        <v>157</v>
      </c>
      <c r="D1665" s="895"/>
      <c r="E1665" s="890"/>
      <c r="F1665" s="888"/>
      <c r="G1665" s="1025"/>
      <c r="H1665" s="690"/>
      <c r="I1665" s="1030"/>
      <c r="J1665" s="690"/>
      <c r="K1665" s="1030"/>
      <c r="L1665" s="690"/>
      <c r="M1665" s="1025"/>
      <c r="N1665" s="1030"/>
      <c r="O1665" s="692">
        <f t="shared" si="213"/>
        <v>0</v>
      </c>
      <c r="P1665" s="690"/>
      <c r="Q1665" s="690"/>
      <c r="R1665" s="691">
        <f t="shared" si="214"/>
        <v>0</v>
      </c>
      <c r="S1665" s="692">
        <f t="shared" si="215"/>
        <v>0</v>
      </c>
      <c r="T1665" s="693">
        <f t="shared" si="216"/>
        <v>0</v>
      </c>
      <c r="U1665" s="1035"/>
      <c r="V1665" s="690"/>
      <c r="W1665" s="1025"/>
      <c r="X1665" s="1030"/>
      <c r="Y1665" s="694">
        <f t="shared" si="217"/>
        <v>0</v>
      </c>
      <c r="Z1665" s="690"/>
      <c r="AA1665" s="690"/>
      <c r="AB1665" s="695">
        <f t="shared" si="218"/>
        <v>0</v>
      </c>
      <c r="AC1665" s="1035"/>
      <c r="AD1665" s="690"/>
      <c r="AE1665" s="1025"/>
      <c r="AF1665" s="1030"/>
      <c r="AG1665" s="690"/>
      <c r="AH1665" s="690"/>
      <c r="AI1665" s="696">
        <f t="shared" si="219"/>
        <v>0</v>
      </c>
      <c r="AJ1665" s="697">
        <f t="shared" si="220"/>
        <v>0</v>
      </c>
    </row>
    <row r="1666" spans="1:36" s="700" customFormat="1" ht="12.75" customHeight="1">
      <c r="A1666" s="888" t="s">
        <v>212</v>
      </c>
      <c r="B1666" s="888" t="s">
        <v>410</v>
      </c>
      <c r="C1666" s="892" t="s">
        <v>200</v>
      </c>
      <c r="D1666" s="892"/>
      <c r="E1666" s="890"/>
      <c r="F1666" s="888"/>
      <c r="G1666" s="1025"/>
      <c r="H1666" s="690"/>
      <c r="I1666" s="1030"/>
      <c r="J1666" s="690"/>
      <c r="K1666" s="1030"/>
      <c r="L1666" s="690"/>
      <c r="M1666" s="1025"/>
      <c r="N1666" s="1030"/>
      <c r="O1666" s="692">
        <f t="shared" si="213"/>
        <v>0</v>
      </c>
      <c r="P1666" s="690"/>
      <c r="Q1666" s="690"/>
      <c r="R1666" s="691">
        <f t="shared" si="214"/>
        <v>0</v>
      </c>
      <c r="S1666" s="692">
        <f t="shared" si="215"/>
        <v>0</v>
      </c>
      <c r="T1666" s="693">
        <f t="shared" si="216"/>
        <v>0</v>
      </c>
      <c r="U1666" s="1035"/>
      <c r="V1666" s="690"/>
      <c r="W1666" s="1025"/>
      <c r="X1666" s="1030"/>
      <c r="Y1666" s="694">
        <f t="shared" si="217"/>
        <v>0</v>
      </c>
      <c r="Z1666" s="690"/>
      <c r="AA1666" s="690"/>
      <c r="AB1666" s="695">
        <f t="shared" si="218"/>
        <v>0</v>
      </c>
      <c r="AC1666" s="1035"/>
      <c r="AD1666" s="690"/>
      <c r="AE1666" s="1025"/>
      <c r="AF1666" s="1030"/>
      <c r="AG1666" s="690"/>
      <c r="AH1666" s="690"/>
      <c r="AI1666" s="696">
        <f t="shared" si="219"/>
        <v>0</v>
      </c>
      <c r="AJ1666" s="697">
        <f t="shared" si="220"/>
        <v>0</v>
      </c>
    </row>
    <row r="1667" spans="1:36" s="700" customFormat="1" ht="12.75" customHeight="1">
      <c r="A1667" s="888" t="s">
        <v>212</v>
      </c>
      <c r="B1667" s="888" t="s">
        <v>410</v>
      </c>
      <c r="C1667" s="891" t="s">
        <v>1164</v>
      </c>
      <c r="D1667" s="891"/>
      <c r="E1667" s="890"/>
      <c r="F1667" s="888"/>
      <c r="G1667" s="1025"/>
      <c r="H1667" s="690"/>
      <c r="I1667" s="1030"/>
      <c r="J1667" s="690"/>
      <c r="K1667" s="1030"/>
      <c r="L1667" s="690"/>
      <c r="M1667" s="1025"/>
      <c r="N1667" s="1030"/>
      <c r="O1667" s="692">
        <f t="shared" si="213"/>
        <v>0</v>
      </c>
      <c r="P1667" s="690"/>
      <c r="Q1667" s="690"/>
      <c r="R1667" s="691">
        <f t="shared" si="214"/>
        <v>0</v>
      </c>
      <c r="S1667" s="692">
        <f t="shared" si="215"/>
        <v>0</v>
      </c>
      <c r="T1667" s="693">
        <f t="shared" si="216"/>
        <v>0</v>
      </c>
      <c r="U1667" s="1035">
        <v>7678568</v>
      </c>
      <c r="V1667" s="690">
        <v>7264198</v>
      </c>
      <c r="W1667" s="1025"/>
      <c r="X1667" s="1030"/>
      <c r="Y1667" s="694">
        <f t="shared" si="217"/>
        <v>0</v>
      </c>
      <c r="Z1667" s="690"/>
      <c r="AA1667" s="690"/>
      <c r="AB1667" s="695">
        <f t="shared" si="218"/>
        <v>0</v>
      </c>
      <c r="AC1667" s="1035"/>
      <c r="AD1667" s="690"/>
      <c r="AE1667" s="1025"/>
      <c r="AF1667" s="1030"/>
      <c r="AG1667" s="690"/>
      <c r="AH1667" s="690"/>
      <c r="AI1667" s="696">
        <f t="shared" si="219"/>
        <v>7678568</v>
      </c>
      <c r="AJ1667" s="697">
        <f t="shared" si="220"/>
        <v>7264198</v>
      </c>
    </row>
    <row r="1668" spans="1:36" s="700" customFormat="1" ht="12.75" customHeight="1">
      <c r="A1668" s="888" t="s">
        <v>212</v>
      </c>
      <c r="B1668" s="888" t="s">
        <v>412</v>
      </c>
      <c r="C1668" s="892" t="s">
        <v>198</v>
      </c>
      <c r="D1668" s="892"/>
      <c r="E1668" s="890"/>
      <c r="F1668" s="888"/>
      <c r="G1668" s="1025"/>
      <c r="H1668" s="690"/>
      <c r="I1668" s="1030"/>
      <c r="J1668" s="690"/>
      <c r="K1668" s="1030"/>
      <c r="L1668" s="690"/>
      <c r="M1668" s="1025"/>
      <c r="N1668" s="1030"/>
      <c r="O1668" s="692">
        <f t="shared" si="213"/>
        <v>0</v>
      </c>
      <c r="P1668" s="690"/>
      <c r="Q1668" s="690"/>
      <c r="R1668" s="691">
        <f t="shared" si="214"/>
        <v>0</v>
      </c>
      <c r="S1668" s="692">
        <f t="shared" si="215"/>
        <v>0</v>
      </c>
      <c r="T1668" s="693">
        <f t="shared" si="216"/>
        <v>0</v>
      </c>
      <c r="U1668" s="1035"/>
      <c r="V1668" s="690"/>
      <c r="W1668" s="1025"/>
      <c r="X1668" s="1030"/>
      <c r="Y1668" s="694">
        <f t="shared" si="217"/>
        <v>0</v>
      </c>
      <c r="Z1668" s="690"/>
      <c r="AA1668" s="690"/>
      <c r="AB1668" s="695">
        <f t="shared" si="218"/>
        <v>0</v>
      </c>
      <c r="AC1668" s="1035"/>
      <c r="AD1668" s="690"/>
      <c r="AE1668" s="1025"/>
      <c r="AF1668" s="1030"/>
      <c r="AG1668" s="690"/>
      <c r="AH1668" s="690"/>
      <c r="AI1668" s="696">
        <f t="shared" si="219"/>
        <v>0</v>
      </c>
      <c r="AJ1668" s="697">
        <f t="shared" si="220"/>
        <v>0</v>
      </c>
    </row>
    <row r="1669" spans="1:36" s="700" customFormat="1" ht="12.75" customHeight="1">
      <c r="A1669" s="888" t="s">
        <v>212</v>
      </c>
      <c r="B1669" s="888" t="s">
        <v>412</v>
      </c>
      <c r="C1669" s="891" t="s">
        <v>684</v>
      </c>
      <c r="D1669" s="891"/>
      <c r="E1669" s="890"/>
      <c r="F1669" s="888"/>
      <c r="G1669" s="1025"/>
      <c r="H1669" s="690"/>
      <c r="I1669" s="1030"/>
      <c r="J1669" s="690"/>
      <c r="K1669" s="1030"/>
      <c r="L1669" s="690"/>
      <c r="M1669" s="1025"/>
      <c r="N1669" s="1030"/>
      <c r="O1669" s="692">
        <f t="shared" si="213"/>
        <v>0</v>
      </c>
      <c r="P1669" s="690"/>
      <c r="Q1669" s="690"/>
      <c r="R1669" s="691">
        <f t="shared" si="214"/>
        <v>0</v>
      </c>
      <c r="S1669" s="692">
        <f t="shared" si="215"/>
        <v>0</v>
      </c>
      <c r="T1669" s="693">
        <f t="shared" si="216"/>
        <v>0</v>
      </c>
      <c r="U1669" s="1035"/>
      <c r="V1669" s="690"/>
      <c r="W1669" s="1025"/>
      <c r="X1669" s="1030"/>
      <c r="Y1669" s="694">
        <f t="shared" si="217"/>
        <v>0</v>
      </c>
      <c r="Z1669" s="690"/>
      <c r="AA1669" s="690"/>
      <c r="AB1669" s="695">
        <f t="shared" si="218"/>
        <v>0</v>
      </c>
      <c r="AC1669" s="1035"/>
      <c r="AD1669" s="690"/>
      <c r="AE1669" s="1025"/>
      <c r="AF1669" s="1030"/>
      <c r="AG1669" s="690"/>
      <c r="AH1669" s="690"/>
      <c r="AI1669" s="696">
        <f t="shared" si="219"/>
        <v>0</v>
      </c>
      <c r="AJ1669" s="697">
        <f t="shared" si="220"/>
        <v>0</v>
      </c>
    </row>
    <row r="1670" spans="1:36" s="700" customFormat="1" ht="12.75" customHeight="1">
      <c r="A1670" s="888" t="s">
        <v>212</v>
      </c>
      <c r="B1670" s="888" t="s">
        <v>413</v>
      </c>
      <c r="C1670" s="892" t="s">
        <v>1165</v>
      </c>
      <c r="D1670" s="892"/>
      <c r="E1670" s="890"/>
      <c r="F1670" s="888"/>
      <c r="G1670" s="1025"/>
      <c r="H1670" s="690"/>
      <c r="I1670" s="1030"/>
      <c r="J1670" s="690"/>
      <c r="K1670" s="1030"/>
      <c r="L1670" s="690"/>
      <c r="M1670" s="1025"/>
      <c r="N1670" s="1030"/>
      <c r="O1670" s="692">
        <f t="shared" si="213"/>
        <v>0</v>
      </c>
      <c r="P1670" s="690"/>
      <c r="Q1670" s="690"/>
      <c r="R1670" s="691">
        <f t="shared" si="214"/>
        <v>0</v>
      </c>
      <c r="S1670" s="692">
        <f t="shared" si="215"/>
        <v>0</v>
      </c>
      <c r="T1670" s="693">
        <f t="shared" si="216"/>
        <v>0</v>
      </c>
      <c r="U1670" s="1035">
        <v>1151177</v>
      </c>
      <c r="V1670" s="690">
        <v>920992</v>
      </c>
      <c r="W1670" s="1025"/>
      <c r="X1670" s="1030"/>
      <c r="Y1670" s="694">
        <f t="shared" si="217"/>
        <v>0</v>
      </c>
      <c r="Z1670" s="690"/>
      <c r="AA1670" s="690"/>
      <c r="AB1670" s="695">
        <f t="shared" si="218"/>
        <v>0</v>
      </c>
      <c r="AC1670" s="1035"/>
      <c r="AD1670" s="690"/>
      <c r="AE1670" s="1025"/>
      <c r="AF1670" s="1030"/>
      <c r="AG1670" s="690"/>
      <c r="AH1670" s="690"/>
      <c r="AI1670" s="696">
        <f t="shared" si="219"/>
        <v>1151177</v>
      </c>
      <c r="AJ1670" s="697">
        <f t="shared" si="220"/>
        <v>920992</v>
      </c>
    </row>
    <row r="1671" spans="1:36" s="700" customFormat="1" ht="12.75" customHeight="1">
      <c r="A1671" s="888" t="s">
        <v>212</v>
      </c>
      <c r="B1671" s="888" t="s">
        <v>414</v>
      </c>
      <c r="C1671" s="895" t="s">
        <v>160</v>
      </c>
      <c r="D1671" s="895"/>
      <c r="E1671" s="890"/>
      <c r="F1671" s="888"/>
      <c r="G1671" s="1025"/>
      <c r="H1671" s="690"/>
      <c r="I1671" s="1030"/>
      <c r="J1671" s="690"/>
      <c r="K1671" s="1030"/>
      <c r="L1671" s="690"/>
      <c r="M1671" s="1025"/>
      <c r="N1671" s="1030"/>
      <c r="O1671" s="692">
        <f t="shared" si="213"/>
        <v>0</v>
      </c>
      <c r="P1671" s="690"/>
      <c r="Q1671" s="690"/>
      <c r="R1671" s="691">
        <f t="shared" si="214"/>
        <v>0</v>
      </c>
      <c r="S1671" s="692">
        <f t="shared" si="215"/>
        <v>0</v>
      </c>
      <c r="T1671" s="693">
        <f t="shared" si="216"/>
        <v>0</v>
      </c>
      <c r="U1671" s="1035"/>
      <c r="V1671" s="690"/>
      <c r="W1671" s="1025"/>
      <c r="X1671" s="1030"/>
      <c r="Y1671" s="694">
        <f t="shared" si="217"/>
        <v>0</v>
      </c>
      <c r="Z1671" s="690"/>
      <c r="AA1671" s="690"/>
      <c r="AB1671" s="695">
        <f t="shared" si="218"/>
        <v>0</v>
      </c>
      <c r="AC1671" s="1035"/>
      <c r="AD1671" s="690"/>
      <c r="AE1671" s="1025"/>
      <c r="AF1671" s="1030"/>
      <c r="AG1671" s="690"/>
      <c r="AH1671" s="690"/>
      <c r="AI1671" s="696">
        <f t="shared" si="219"/>
        <v>0</v>
      </c>
      <c r="AJ1671" s="697">
        <f t="shared" si="220"/>
        <v>0</v>
      </c>
    </row>
    <row r="1672" spans="1:36" s="700" customFormat="1" ht="12.75" customHeight="1">
      <c r="A1672" s="888" t="s">
        <v>212</v>
      </c>
      <c r="B1672" s="888" t="s">
        <v>415</v>
      </c>
      <c r="C1672" s="895" t="s">
        <v>165</v>
      </c>
      <c r="D1672" s="895"/>
      <c r="E1672" s="890"/>
      <c r="F1672" s="888"/>
      <c r="G1672" s="1025"/>
      <c r="H1672" s="690"/>
      <c r="I1672" s="1030"/>
      <c r="J1672" s="690"/>
      <c r="K1672" s="1030"/>
      <c r="L1672" s="690"/>
      <c r="M1672" s="1025"/>
      <c r="N1672" s="1030"/>
      <c r="O1672" s="692">
        <f t="shared" si="213"/>
        <v>0</v>
      </c>
      <c r="P1672" s="690"/>
      <c r="Q1672" s="690"/>
      <c r="R1672" s="691">
        <f t="shared" si="214"/>
        <v>0</v>
      </c>
      <c r="S1672" s="692">
        <f t="shared" si="215"/>
        <v>0</v>
      </c>
      <c r="T1672" s="693">
        <f t="shared" si="216"/>
        <v>0</v>
      </c>
      <c r="U1672" s="1035"/>
      <c r="V1672" s="690"/>
      <c r="W1672" s="1025"/>
      <c r="X1672" s="1030"/>
      <c r="Y1672" s="694">
        <f t="shared" si="217"/>
        <v>0</v>
      </c>
      <c r="Z1672" s="690"/>
      <c r="AA1672" s="690"/>
      <c r="AB1672" s="695">
        <f t="shared" si="218"/>
        <v>0</v>
      </c>
      <c r="AC1672" s="1035"/>
      <c r="AD1672" s="690"/>
      <c r="AE1672" s="1025"/>
      <c r="AF1672" s="1030"/>
      <c r="AG1672" s="690"/>
      <c r="AH1672" s="690"/>
      <c r="AI1672" s="696">
        <f t="shared" si="219"/>
        <v>0</v>
      </c>
      <c r="AJ1672" s="697">
        <f t="shared" si="220"/>
        <v>0</v>
      </c>
    </row>
    <row r="1673" spans="1:36" s="700" customFormat="1" ht="12.75" customHeight="1">
      <c r="A1673" s="888" t="s">
        <v>212</v>
      </c>
      <c r="B1673" s="888" t="s">
        <v>416</v>
      </c>
      <c r="C1673" s="892" t="s">
        <v>166</v>
      </c>
      <c r="D1673" s="892"/>
      <c r="E1673" s="890"/>
      <c r="F1673" s="888"/>
      <c r="G1673" s="1025"/>
      <c r="H1673" s="690"/>
      <c r="I1673" s="1030"/>
      <c r="J1673" s="690"/>
      <c r="K1673" s="1030"/>
      <c r="L1673" s="690"/>
      <c r="M1673" s="1025"/>
      <c r="N1673" s="1030"/>
      <c r="O1673" s="692">
        <f t="shared" si="213"/>
        <v>0</v>
      </c>
      <c r="P1673" s="690"/>
      <c r="Q1673" s="690"/>
      <c r="R1673" s="691">
        <f t="shared" si="214"/>
        <v>0</v>
      </c>
      <c r="S1673" s="692">
        <f t="shared" si="215"/>
        <v>0</v>
      </c>
      <c r="T1673" s="693">
        <f t="shared" si="216"/>
        <v>0</v>
      </c>
      <c r="U1673" s="1035"/>
      <c r="V1673" s="690"/>
      <c r="W1673" s="1025"/>
      <c r="X1673" s="1030"/>
      <c r="Y1673" s="694">
        <f t="shared" si="217"/>
        <v>0</v>
      </c>
      <c r="Z1673" s="690"/>
      <c r="AA1673" s="690"/>
      <c r="AB1673" s="695">
        <f t="shared" si="218"/>
        <v>0</v>
      </c>
      <c r="AC1673" s="1035"/>
      <c r="AD1673" s="690"/>
      <c r="AE1673" s="1025"/>
      <c r="AF1673" s="1030"/>
      <c r="AG1673" s="690"/>
      <c r="AH1673" s="690"/>
      <c r="AI1673" s="696">
        <f t="shared" si="219"/>
        <v>0</v>
      </c>
      <c r="AJ1673" s="697">
        <f t="shared" si="220"/>
        <v>0</v>
      </c>
    </row>
    <row r="1674" spans="1:36" s="700" customFormat="1" ht="12.75" customHeight="1">
      <c r="A1674" s="888" t="s">
        <v>212</v>
      </c>
      <c r="B1674" s="888" t="s">
        <v>416</v>
      </c>
      <c r="C1674" s="891" t="s">
        <v>852</v>
      </c>
      <c r="D1674" s="891"/>
      <c r="E1674" s="890"/>
      <c r="F1674" s="888"/>
      <c r="G1674" s="1025"/>
      <c r="H1674" s="690"/>
      <c r="I1674" s="1030"/>
      <c r="J1674" s="690"/>
      <c r="K1674" s="1030"/>
      <c r="L1674" s="690"/>
      <c r="M1674" s="1025"/>
      <c r="N1674" s="1030"/>
      <c r="O1674" s="692">
        <f t="shared" ref="O1674:O1737" si="221">SUM(M1674:N1674)</f>
        <v>0</v>
      </c>
      <c r="P1674" s="690"/>
      <c r="Q1674" s="690"/>
      <c r="R1674" s="691">
        <f t="shared" ref="R1674:R1737" si="222">SUM(P1674:Q1674)</f>
        <v>0</v>
      </c>
      <c r="S1674" s="692">
        <f t="shared" ref="S1674:S1737" si="223">SUM(G1674,I1674,K1674,M1674)</f>
        <v>0</v>
      </c>
      <c r="T1674" s="693">
        <f t="shared" ref="T1674:T1737" si="224">SUM(H1674,J1674,L1674,P1674)</f>
        <v>0</v>
      </c>
      <c r="U1674" s="1035">
        <v>27000</v>
      </c>
      <c r="V1674" s="690">
        <v>27000</v>
      </c>
      <c r="W1674" s="1025"/>
      <c r="X1674" s="1030"/>
      <c r="Y1674" s="694">
        <f t="shared" ref="Y1674:Y1737" si="225">SUM(W1674:X1674)</f>
        <v>0</v>
      </c>
      <c r="Z1674" s="690"/>
      <c r="AA1674" s="690"/>
      <c r="AB1674" s="695">
        <f t="shared" ref="AB1674:AB1737" si="226">SUM(Z1674:AA1674)</f>
        <v>0</v>
      </c>
      <c r="AC1674" s="1035"/>
      <c r="AD1674" s="690"/>
      <c r="AE1674" s="1025"/>
      <c r="AF1674" s="1030"/>
      <c r="AG1674" s="690"/>
      <c r="AH1674" s="690"/>
      <c r="AI1674" s="696">
        <f t="shared" ref="AI1674:AI1737" si="227">SUM(S1674,U1674,W1674,AC1674,AE1674)</f>
        <v>27000</v>
      </c>
      <c r="AJ1674" s="697">
        <f t="shared" ref="AJ1674:AJ1737" si="228">SUM(T1674,V1674,Z1674,AD1674,AG1674)</f>
        <v>27000</v>
      </c>
    </row>
    <row r="1675" spans="1:36" s="700" customFormat="1" ht="12.75" customHeight="1">
      <c r="A1675" s="888" t="s">
        <v>212</v>
      </c>
      <c r="B1675" s="888" t="s">
        <v>416</v>
      </c>
      <c r="C1675" s="891" t="s">
        <v>636</v>
      </c>
      <c r="D1675" s="891"/>
      <c r="E1675" s="890"/>
      <c r="F1675" s="888"/>
      <c r="G1675" s="1025"/>
      <c r="H1675" s="690"/>
      <c r="I1675" s="1030"/>
      <c r="J1675" s="690"/>
      <c r="K1675" s="1030"/>
      <c r="L1675" s="690"/>
      <c r="M1675" s="1025"/>
      <c r="N1675" s="1030"/>
      <c r="O1675" s="692">
        <f t="shared" si="221"/>
        <v>0</v>
      </c>
      <c r="P1675" s="690"/>
      <c r="Q1675" s="690"/>
      <c r="R1675" s="691">
        <f t="shared" si="222"/>
        <v>0</v>
      </c>
      <c r="S1675" s="692">
        <f t="shared" si="223"/>
        <v>0</v>
      </c>
      <c r="T1675" s="693">
        <f t="shared" si="224"/>
        <v>0</v>
      </c>
      <c r="U1675" s="1035">
        <v>305800</v>
      </c>
      <c r="V1675" s="690">
        <v>319700</v>
      </c>
      <c r="W1675" s="1025"/>
      <c r="X1675" s="1030"/>
      <c r="Y1675" s="694">
        <f t="shared" si="225"/>
        <v>0</v>
      </c>
      <c r="Z1675" s="690"/>
      <c r="AA1675" s="690"/>
      <c r="AB1675" s="695">
        <f t="shared" si="226"/>
        <v>0</v>
      </c>
      <c r="AC1675" s="1035"/>
      <c r="AD1675" s="690"/>
      <c r="AE1675" s="1025"/>
      <c r="AF1675" s="1030"/>
      <c r="AG1675" s="690"/>
      <c r="AH1675" s="690"/>
      <c r="AI1675" s="696">
        <f t="shared" si="227"/>
        <v>305800</v>
      </c>
      <c r="AJ1675" s="697">
        <f t="shared" si="228"/>
        <v>319700</v>
      </c>
    </row>
    <row r="1676" spans="1:36" s="700" customFormat="1" ht="12.75" customHeight="1">
      <c r="A1676" s="888" t="s">
        <v>212</v>
      </c>
      <c r="B1676" s="888" t="s">
        <v>416</v>
      </c>
      <c r="C1676" s="891" t="s">
        <v>1166</v>
      </c>
      <c r="D1676" s="891"/>
      <c r="E1676" s="890"/>
      <c r="F1676" s="888"/>
      <c r="G1676" s="1025"/>
      <c r="H1676" s="690"/>
      <c r="I1676" s="1030"/>
      <c r="J1676" s="690"/>
      <c r="K1676" s="1030"/>
      <c r="L1676" s="690"/>
      <c r="M1676" s="1025"/>
      <c r="N1676" s="1030"/>
      <c r="O1676" s="692">
        <f t="shared" si="221"/>
        <v>0</v>
      </c>
      <c r="P1676" s="690"/>
      <c r="Q1676" s="690"/>
      <c r="R1676" s="691">
        <f t="shared" si="222"/>
        <v>0</v>
      </c>
      <c r="S1676" s="692">
        <f t="shared" si="223"/>
        <v>0</v>
      </c>
      <c r="T1676" s="693">
        <f t="shared" si="224"/>
        <v>0</v>
      </c>
      <c r="U1676" s="1035">
        <v>67500</v>
      </c>
      <c r="V1676" s="690">
        <v>67500</v>
      </c>
      <c r="W1676" s="1025"/>
      <c r="X1676" s="1030"/>
      <c r="Y1676" s="694">
        <f t="shared" si="225"/>
        <v>0</v>
      </c>
      <c r="Z1676" s="690"/>
      <c r="AA1676" s="690"/>
      <c r="AB1676" s="695">
        <f t="shared" si="226"/>
        <v>0</v>
      </c>
      <c r="AC1676" s="1035"/>
      <c r="AD1676" s="690"/>
      <c r="AE1676" s="1025"/>
      <c r="AF1676" s="1030"/>
      <c r="AG1676" s="690"/>
      <c r="AH1676" s="690"/>
      <c r="AI1676" s="696">
        <f t="shared" si="227"/>
        <v>67500</v>
      </c>
      <c r="AJ1676" s="697">
        <f t="shared" si="228"/>
        <v>67500</v>
      </c>
    </row>
    <row r="1677" spans="1:36" s="700" customFormat="1" ht="12.75" customHeight="1">
      <c r="A1677" s="888" t="s">
        <v>212</v>
      </c>
      <c r="B1677" s="888" t="s">
        <v>417</v>
      </c>
      <c r="C1677" s="892" t="s">
        <v>168</v>
      </c>
      <c r="D1677" s="892"/>
      <c r="E1677" s="890"/>
      <c r="F1677" s="888"/>
      <c r="G1677" s="1025"/>
      <c r="H1677" s="690"/>
      <c r="I1677" s="1030"/>
      <c r="J1677" s="690"/>
      <c r="K1677" s="1030"/>
      <c r="L1677" s="690"/>
      <c r="M1677" s="1025"/>
      <c r="N1677" s="1030"/>
      <c r="O1677" s="692">
        <f t="shared" si="221"/>
        <v>0</v>
      </c>
      <c r="P1677" s="690"/>
      <c r="Q1677" s="690"/>
      <c r="R1677" s="691">
        <f t="shared" si="222"/>
        <v>0</v>
      </c>
      <c r="S1677" s="692">
        <f t="shared" si="223"/>
        <v>0</v>
      </c>
      <c r="T1677" s="693">
        <f t="shared" si="224"/>
        <v>0</v>
      </c>
      <c r="U1677" s="1035"/>
      <c r="V1677" s="690"/>
      <c r="W1677" s="1025"/>
      <c r="X1677" s="1030"/>
      <c r="Y1677" s="694">
        <f t="shared" si="225"/>
        <v>0</v>
      </c>
      <c r="Z1677" s="690"/>
      <c r="AA1677" s="690"/>
      <c r="AB1677" s="695">
        <f t="shared" si="226"/>
        <v>0</v>
      </c>
      <c r="AC1677" s="1035"/>
      <c r="AD1677" s="690"/>
      <c r="AE1677" s="1025"/>
      <c r="AF1677" s="1030"/>
      <c r="AG1677" s="690"/>
      <c r="AH1677" s="690"/>
      <c r="AI1677" s="696">
        <f t="shared" si="227"/>
        <v>0</v>
      </c>
      <c r="AJ1677" s="697">
        <f t="shared" si="228"/>
        <v>0</v>
      </c>
    </row>
    <row r="1678" spans="1:36" s="700" customFormat="1" ht="12.75" customHeight="1">
      <c r="A1678" s="888" t="s">
        <v>212</v>
      </c>
      <c r="B1678" s="888" t="s">
        <v>417</v>
      </c>
      <c r="C1678" s="891" t="s">
        <v>1167</v>
      </c>
      <c r="D1678" s="891"/>
      <c r="E1678" s="890"/>
      <c r="F1678" s="888"/>
      <c r="G1678" s="1025"/>
      <c r="H1678" s="690"/>
      <c r="I1678" s="1030"/>
      <c r="J1678" s="690"/>
      <c r="K1678" s="1030"/>
      <c r="L1678" s="690"/>
      <c r="M1678" s="1025"/>
      <c r="N1678" s="1030"/>
      <c r="O1678" s="692">
        <f t="shared" si="221"/>
        <v>0</v>
      </c>
      <c r="P1678" s="690"/>
      <c r="Q1678" s="690"/>
      <c r="R1678" s="691">
        <f t="shared" si="222"/>
        <v>0</v>
      </c>
      <c r="S1678" s="692">
        <f t="shared" si="223"/>
        <v>0</v>
      </c>
      <c r="T1678" s="693">
        <f t="shared" si="224"/>
        <v>0</v>
      </c>
      <c r="U1678" s="1035">
        <v>55600</v>
      </c>
      <c r="V1678" s="690">
        <v>41700</v>
      </c>
      <c r="W1678" s="1025"/>
      <c r="X1678" s="1030"/>
      <c r="Y1678" s="694">
        <f t="shared" si="225"/>
        <v>0</v>
      </c>
      <c r="Z1678" s="690"/>
      <c r="AA1678" s="690"/>
      <c r="AB1678" s="695">
        <f t="shared" si="226"/>
        <v>0</v>
      </c>
      <c r="AC1678" s="1035"/>
      <c r="AD1678" s="690"/>
      <c r="AE1678" s="1025"/>
      <c r="AF1678" s="1030"/>
      <c r="AG1678" s="690"/>
      <c r="AH1678" s="690"/>
      <c r="AI1678" s="696">
        <f t="shared" si="227"/>
        <v>55600</v>
      </c>
      <c r="AJ1678" s="697">
        <f t="shared" si="228"/>
        <v>41700</v>
      </c>
    </row>
    <row r="1679" spans="1:36" s="700" customFormat="1" ht="12.75" customHeight="1">
      <c r="A1679" s="888" t="s">
        <v>212</v>
      </c>
      <c r="B1679" s="888" t="s">
        <v>417</v>
      </c>
      <c r="C1679" s="891" t="s">
        <v>957</v>
      </c>
      <c r="D1679" s="891"/>
      <c r="E1679" s="890"/>
      <c r="F1679" s="888"/>
      <c r="G1679" s="1025"/>
      <c r="H1679" s="690"/>
      <c r="I1679" s="1030"/>
      <c r="J1679" s="690"/>
      <c r="K1679" s="1030"/>
      <c r="L1679" s="690"/>
      <c r="M1679" s="1025"/>
      <c r="N1679" s="1030"/>
      <c r="O1679" s="692">
        <f t="shared" si="221"/>
        <v>0</v>
      </c>
      <c r="P1679" s="690"/>
      <c r="Q1679" s="690"/>
      <c r="R1679" s="691">
        <f t="shared" si="222"/>
        <v>0</v>
      </c>
      <c r="S1679" s="692">
        <f t="shared" si="223"/>
        <v>0</v>
      </c>
      <c r="T1679" s="693">
        <f t="shared" si="224"/>
        <v>0</v>
      </c>
      <c r="U1679" s="1035">
        <v>69500</v>
      </c>
      <c r="V1679" s="690">
        <v>97300</v>
      </c>
      <c r="W1679" s="1025"/>
      <c r="X1679" s="1030"/>
      <c r="Y1679" s="694">
        <f t="shared" si="225"/>
        <v>0</v>
      </c>
      <c r="Z1679" s="690"/>
      <c r="AA1679" s="690"/>
      <c r="AB1679" s="695">
        <f t="shared" si="226"/>
        <v>0</v>
      </c>
      <c r="AC1679" s="1035"/>
      <c r="AD1679" s="690"/>
      <c r="AE1679" s="1025"/>
      <c r="AF1679" s="1030"/>
      <c r="AG1679" s="690"/>
      <c r="AH1679" s="690"/>
      <c r="AI1679" s="696">
        <f t="shared" si="227"/>
        <v>69500</v>
      </c>
      <c r="AJ1679" s="697">
        <f t="shared" si="228"/>
        <v>97300</v>
      </c>
    </row>
    <row r="1680" spans="1:36" s="700" customFormat="1" ht="12.75" customHeight="1">
      <c r="A1680" s="888" t="s">
        <v>212</v>
      </c>
      <c r="B1680" s="888" t="s">
        <v>419</v>
      </c>
      <c r="C1680" s="895" t="s">
        <v>50</v>
      </c>
      <c r="D1680" s="895"/>
      <c r="E1680" s="890"/>
      <c r="F1680" s="888"/>
      <c r="G1680" s="1025"/>
      <c r="H1680" s="690"/>
      <c r="I1680" s="1030"/>
      <c r="J1680" s="690"/>
      <c r="K1680" s="1030"/>
      <c r="L1680" s="690"/>
      <c r="M1680" s="1025"/>
      <c r="N1680" s="1030"/>
      <c r="O1680" s="692">
        <f t="shared" si="221"/>
        <v>0</v>
      </c>
      <c r="P1680" s="690"/>
      <c r="Q1680" s="690"/>
      <c r="R1680" s="691">
        <f t="shared" si="222"/>
        <v>0</v>
      </c>
      <c r="S1680" s="692">
        <f t="shared" si="223"/>
        <v>0</v>
      </c>
      <c r="T1680" s="693">
        <f t="shared" si="224"/>
        <v>0</v>
      </c>
      <c r="U1680" s="1035"/>
      <c r="V1680" s="690"/>
      <c r="W1680" s="1025"/>
      <c r="X1680" s="1030"/>
      <c r="Y1680" s="694">
        <f t="shared" si="225"/>
        <v>0</v>
      </c>
      <c r="Z1680" s="690"/>
      <c r="AA1680" s="690"/>
      <c r="AB1680" s="695">
        <f t="shared" si="226"/>
        <v>0</v>
      </c>
      <c r="AC1680" s="1035"/>
      <c r="AD1680" s="690"/>
      <c r="AE1680" s="1025"/>
      <c r="AF1680" s="1030"/>
      <c r="AG1680" s="690"/>
      <c r="AH1680" s="690"/>
      <c r="AI1680" s="696">
        <f t="shared" si="227"/>
        <v>0</v>
      </c>
      <c r="AJ1680" s="697">
        <f t="shared" si="228"/>
        <v>0</v>
      </c>
    </row>
    <row r="1681" spans="1:36" s="700" customFormat="1" ht="12.75" customHeight="1">
      <c r="A1681" s="888" t="s">
        <v>212</v>
      </c>
      <c r="B1681" s="755" t="s">
        <v>420</v>
      </c>
      <c r="C1681" s="766" t="s">
        <v>51</v>
      </c>
      <c r="D1681" s="766"/>
      <c r="E1681" s="896"/>
      <c r="F1681" s="897"/>
      <c r="G1681" s="1025"/>
      <c r="H1681" s="690"/>
      <c r="I1681" s="1030"/>
      <c r="J1681" s="690"/>
      <c r="K1681" s="1030"/>
      <c r="L1681" s="690"/>
      <c r="M1681" s="1025"/>
      <c r="N1681" s="1030"/>
      <c r="O1681" s="692">
        <f t="shared" si="221"/>
        <v>0</v>
      </c>
      <c r="P1681" s="690"/>
      <c r="Q1681" s="690"/>
      <c r="R1681" s="691">
        <f t="shared" si="222"/>
        <v>0</v>
      </c>
      <c r="S1681" s="692">
        <f t="shared" si="223"/>
        <v>0</v>
      </c>
      <c r="T1681" s="693">
        <f t="shared" si="224"/>
        <v>0</v>
      </c>
      <c r="U1681" s="1035"/>
      <c r="V1681" s="690"/>
      <c r="W1681" s="1025"/>
      <c r="X1681" s="1030"/>
      <c r="Y1681" s="694">
        <f t="shared" si="225"/>
        <v>0</v>
      </c>
      <c r="Z1681" s="690"/>
      <c r="AA1681" s="690"/>
      <c r="AB1681" s="695">
        <f t="shared" si="226"/>
        <v>0</v>
      </c>
      <c r="AC1681" s="1035"/>
      <c r="AD1681" s="690"/>
      <c r="AE1681" s="1025"/>
      <c r="AF1681" s="1030"/>
      <c r="AG1681" s="690"/>
      <c r="AH1681" s="690"/>
      <c r="AI1681" s="696">
        <f t="shared" si="227"/>
        <v>0</v>
      </c>
      <c r="AJ1681" s="697">
        <f t="shared" si="228"/>
        <v>0</v>
      </c>
    </row>
    <row r="1682" spans="1:36" s="700" customFormat="1" ht="12.75" customHeight="1">
      <c r="A1682" s="888" t="s">
        <v>212</v>
      </c>
      <c r="B1682" s="755" t="s">
        <v>420</v>
      </c>
      <c r="C1682" s="898" t="s">
        <v>1168</v>
      </c>
      <c r="D1682" s="898"/>
      <c r="E1682" s="896"/>
      <c r="F1682" s="897"/>
      <c r="G1682" s="1025"/>
      <c r="H1682" s="690"/>
      <c r="I1682" s="1030"/>
      <c r="J1682" s="690"/>
      <c r="K1682" s="1030"/>
      <c r="L1682" s="690"/>
      <c r="M1682" s="1025"/>
      <c r="N1682" s="1030"/>
      <c r="O1682" s="692">
        <f t="shared" si="221"/>
        <v>0</v>
      </c>
      <c r="P1682" s="690"/>
      <c r="Q1682" s="690"/>
      <c r="R1682" s="691">
        <f t="shared" si="222"/>
        <v>0</v>
      </c>
      <c r="S1682" s="692">
        <f t="shared" si="223"/>
        <v>0</v>
      </c>
      <c r="T1682" s="693">
        <f t="shared" si="224"/>
        <v>0</v>
      </c>
      <c r="U1682" s="1035"/>
      <c r="V1682" s="690"/>
      <c r="W1682" s="1025"/>
      <c r="X1682" s="1030"/>
      <c r="Y1682" s="694">
        <f t="shared" si="225"/>
        <v>0</v>
      </c>
      <c r="Z1682" s="690"/>
      <c r="AA1682" s="690"/>
      <c r="AB1682" s="695">
        <f t="shared" si="226"/>
        <v>0</v>
      </c>
      <c r="AC1682" s="1035"/>
      <c r="AD1682" s="690"/>
      <c r="AE1682" s="1025"/>
      <c r="AF1682" s="1030"/>
      <c r="AG1682" s="690"/>
      <c r="AH1682" s="690"/>
      <c r="AI1682" s="696">
        <f t="shared" si="227"/>
        <v>0</v>
      </c>
      <c r="AJ1682" s="697">
        <f t="shared" si="228"/>
        <v>0</v>
      </c>
    </row>
    <row r="1683" spans="1:36" s="700" customFormat="1" ht="12.75" customHeight="1">
      <c r="A1683" s="888" t="s">
        <v>212</v>
      </c>
      <c r="B1683" s="768" t="s">
        <v>295</v>
      </c>
      <c r="C1683" s="769" t="s">
        <v>53</v>
      </c>
      <c r="D1683" s="769"/>
      <c r="E1683" s="760"/>
      <c r="F1683" s="763"/>
      <c r="G1683" s="1025"/>
      <c r="H1683" s="690"/>
      <c r="I1683" s="1030"/>
      <c r="J1683" s="690"/>
      <c r="K1683" s="1030"/>
      <c r="L1683" s="690"/>
      <c r="M1683" s="1025"/>
      <c r="N1683" s="1030"/>
      <c r="O1683" s="692">
        <f t="shared" si="221"/>
        <v>0</v>
      </c>
      <c r="P1683" s="690"/>
      <c r="Q1683" s="690"/>
      <c r="R1683" s="691">
        <f t="shared" si="222"/>
        <v>0</v>
      </c>
      <c r="S1683" s="692">
        <f t="shared" si="223"/>
        <v>0</v>
      </c>
      <c r="T1683" s="693">
        <f t="shared" si="224"/>
        <v>0</v>
      </c>
      <c r="U1683" s="1035"/>
      <c r="V1683" s="690"/>
      <c r="W1683" s="1025"/>
      <c r="X1683" s="1030"/>
      <c r="Y1683" s="694">
        <f t="shared" si="225"/>
        <v>0</v>
      </c>
      <c r="Z1683" s="690"/>
      <c r="AA1683" s="690"/>
      <c r="AB1683" s="695">
        <f t="shared" si="226"/>
        <v>0</v>
      </c>
      <c r="AC1683" s="1035"/>
      <c r="AD1683" s="690"/>
      <c r="AE1683" s="1025"/>
      <c r="AF1683" s="1030"/>
      <c r="AG1683" s="690"/>
      <c r="AH1683" s="690"/>
      <c r="AI1683" s="696">
        <f t="shared" si="227"/>
        <v>0</v>
      </c>
      <c r="AJ1683" s="697">
        <f t="shared" si="228"/>
        <v>0</v>
      </c>
    </row>
    <row r="1684" spans="1:36" s="700" customFormat="1" ht="12.75" customHeight="1">
      <c r="A1684" s="888" t="s">
        <v>212</v>
      </c>
      <c r="B1684" s="899" t="s">
        <v>296</v>
      </c>
      <c r="C1684" s="891" t="s">
        <v>443</v>
      </c>
      <c r="D1684" s="891"/>
      <c r="E1684" s="896"/>
      <c r="F1684" s="897"/>
      <c r="G1684" s="1025"/>
      <c r="H1684" s="690"/>
      <c r="I1684" s="1030"/>
      <c r="J1684" s="690"/>
      <c r="K1684" s="1030"/>
      <c r="L1684" s="690"/>
      <c r="M1684" s="1025"/>
      <c r="N1684" s="1030"/>
      <c r="O1684" s="692">
        <f t="shared" si="221"/>
        <v>0</v>
      </c>
      <c r="P1684" s="690"/>
      <c r="Q1684" s="690"/>
      <c r="R1684" s="691">
        <f t="shared" si="222"/>
        <v>0</v>
      </c>
      <c r="S1684" s="692">
        <f t="shared" si="223"/>
        <v>0</v>
      </c>
      <c r="T1684" s="693">
        <f t="shared" si="224"/>
        <v>0</v>
      </c>
      <c r="U1684" s="1035">
        <v>1124193</v>
      </c>
      <c r="V1684" s="690">
        <v>1381987</v>
      </c>
      <c r="W1684" s="1025"/>
      <c r="X1684" s="1030"/>
      <c r="Y1684" s="694">
        <f t="shared" si="225"/>
        <v>0</v>
      </c>
      <c r="Z1684" s="690"/>
      <c r="AA1684" s="690"/>
      <c r="AB1684" s="695">
        <f t="shared" si="226"/>
        <v>0</v>
      </c>
      <c r="AC1684" s="1035"/>
      <c r="AD1684" s="690"/>
      <c r="AE1684" s="1025"/>
      <c r="AF1684" s="1030"/>
      <c r="AG1684" s="690"/>
      <c r="AH1684" s="690"/>
      <c r="AI1684" s="696">
        <f t="shared" si="227"/>
        <v>1124193</v>
      </c>
      <c r="AJ1684" s="697">
        <f t="shared" si="228"/>
        <v>1381987</v>
      </c>
    </row>
    <row r="1685" spans="1:36" s="700" customFormat="1" ht="12.75" customHeight="1">
      <c r="A1685" s="888" t="s">
        <v>212</v>
      </c>
      <c r="B1685" s="899" t="s">
        <v>379</v>
      </c>
      <c r="C1685" s="891" t="s">
        <v>377</v>
      </c>
      <c r="D1685" s="891"/>
      <c r="E1685" s="896"/>
      <c r="F1685" s="897"/>
      <c r="G1685" s="1025"/>
      <c r="H1685" s="690"/>
      <c r="I1685" s="1030"/>
      <c r="J1685" s="690"/>
      <c r="K1685" s="1030"/>
      <c r="L1685" s="690"/>
      <c r="M1685" s="1025"/>
      <c r="N1685" s="1030"/>
      <c r="O1685" s="692">
        <f t="shared" si="221"/>
        <v>0</v>
      </c>
      <c r="P1685" s="690"/>
      <c r="Q1685" s="690"/>
      <c r="R1685" s="691">
        <f t="shared" si="222"/>
        <v>0</v>
      </c>
      <c r="S1685" s="692">
        <f t="shared" si="223"/>
        <v>0</v>
      </c>
      <c r="T1685" s="693">
        <f t="shared" si="224"/>
        <v>0</v>
      </c>
      <c r="U1685" s="1035"/>
      <c r="V1685" s="690"/>
      <c r="W1685" s="1025"/>
      <c r="X1685" s="1030"/>
      <c r="Y1685" s="694">
        <f t="shared" si="225"/>
        <v>0</v>
      </c>
      <c r="Z1685" s="690"/>
      <c r="AA1685" s="690"/>
      <c r="AB1685" s="695">
        <f t="shared" si="226"/>
        <v>0</v>
      </c>
      <c r="AC1685" s="1035"/>
      <c r="AD1685" s="690"/>
      <c r="AE1685" s="1025"/>
      <c r="AF1685" s="1030"/>
      <c r="AG1685" s="690"/>
      <c r="AH1685" s="690"/>
      <c r="AI1685" s="696">
        <f t="shared" si="227"/>
        <v>0</v>
      </c>
      <c r="AJ1685" s="697">
        <f t="shared" si="228"/>
        <v>0</v>
      </c>
    </row>
    <row r="1686" spans="1:36" s="700" customFormat="1" ht="12.75" customHeight="1">
      <c r="A1686" s="888" t="s">
        <v>212</v>
      </c>
      <c r="B1686" s="768" t="s">
        <v>279</v>
      </c>
      <c r="C1686" s="769" t="s">
        <v>54</v>
      </c>
      <c r="D1686" s="769"/>
      <c r="E1686" s="896"/>
      <c r="F1686" s="897"/>
      <c r="G1686" s="1025"/>
      <c r="H1686" s="690"/>
      <c r="I1686" s="1030"/>
      <c r="J1686" s="690"/>
      <c r="K1686" s="1030"/>
      <c r="L1686" s="690"/>
      <c r="M1686" s="1025"/>
      <c r="N1686" s="1030"/>
      <c r="O1686" s="692">
        <f t="shared" si="221"/>
        <v>0</v>
      </c>
      <c r="P1686" s="690"/>
      <c r="Q1686" s="690"/>
      <c r="R1686" s="691">
        <f t="shared" si="222"/>
        <v>0</v>
      </c>
      <c r="S1686" s="692">
        <f t="shared" si="223"/>
        <v>0</v>
      </c>
      <c r="T1686" s="693">
        <f t="shared" si="224"/>
        <v>0</v>
      </c>
      <c r="U1686" s="1035"/>
      <c r="V1686" s="690"/>
      <c r="W1686" s="1025"/>
      <c r="X1686" s="1030"/>
      <c r="Y1686" s="694">
        <f t="shared" si="225"/>
        <v>0</v>
      </c>
      <c r="Z1686" s="690"/>
      <c r="AA1686" s="690"/>
      <c r="AB1686" s="695">
        <f t="shared" si="226"/>
        <v>0</v>
      </c>
      <c r="AC1686" s="1035"/>
      <c r="AD1686" s="690"/>
      <c r="AE1686" s="1025"/>
      <c r="AF1686" s="1030"/>
      <c r="AG1686" s="690"/>
      <c r="AH1686" s="690"/>
      <c r="AI1686" s="696">
        <f t="shared" si="227"/>
        <v>0</v>
      </c>
      <c r="AJ1686" s="697">
        <f t="shared" si="228"/>
        <v>0</v>
      </c>
    </row>
    <row r="1687" spans="1:36" s="700" customFormat="1" ht="12.75" customHeight="1">
      <c r="A1687" s="888" t="s">
        <v>212</v>
      </c>
      <c r="B1687" s="768" t="s">
        <v>317</v>
      </c>
      <c r="C1687" s="891" t="s">
        <v>443</v>
      </c>
      <c r="D1687" s="891"/>
      <c r="E1687" s="896"/>
      <c r="F1687" s="897"/>
      <c r="G1687" s="1025"/>
      <c r="H1687" s="690"/>
      <c r="I1687" s="1030"/>
      <c r="J1687" s="690"/>
      <c r="K1687" s="1030"/>
      <c r="L1687" s="690"/>
      <c r="M1687" s="1025"/>
      <c r="N1687" s="1030"/>
      <c r="O1687" s="692">
        <f t="shared" si="221"/>
        <v>0</v>
      </c>
      <c r="P1687" s="690"/>
      <c r="Q1687" s="690"/>
      <c r="R1687" s="691">
        <f t="shared" si="222"/>
        <v>0</v>
      </c>
      <c r="S1687" s="692">
        <f t="shared" si="223"/>
        <v>0</v>
      </c>
      <c r="T1687" s="693">
        <f t="shared" si="224"/>
        <v>0</v>
      </c>
      <c r="U1687" s="1035">
        <v>141045</v>
      </c>
      <c r="V1687" s="690">
        <v>151724</v>
      </c>
      <c r="W1687" s="1025"/>
      <c r="X1687" s="1030"/>
      <c r="Y1687" s="694">
        <f t="shared" si="225"/>
        <v>0</v>
      </c>
      <c r="Z1687" s="690"/>
      <c r="AA1687" s="690"/>
      <c r="AB1687" s="695">
        <f t="shared" si="226"/>
        <v>0</v>
      </c>
      <c r="AC1687" s="1035"/>
      <c r="AD1687" s="690"/>
      <c r="AE1687" s="1025"/>
      <c r="AF1687" s="1030"/>
      <c r="AG1687" s="690"/>
      <c r="AH1687" s="690"/>
      <c r="AI1687" s="696">
        <f t="shared" si="227"/>
        <v>141045</v>
      </c>
      <c r="AJ1687" s="697">
        <f t="shared" si="228"/>
        <v>151724</v>
      </c>
    </row>
    <row r="1688" spans="1:36" s="700" customFormat="1" ht="12.75" customHeight="1">
      <c r="A1688" s="888" t="s">
        <v>212</v>
      </c>
      <c r="B1688" s="899" t="s">
        <v>379</v>
      </c>
      <c r="C1688" s="891" t="s">
        <v>377</v>
      </c>
      <c r="D1688" s="891"/>
      <c r="E1688" s="896"/>
      <c r="F1688" s="897"/>
      <c r="G1688" s="1025"/>
      <c r="H1688" s="690"/>
      <c r="I1688" s="1030"/>
      <c r="J1688" s="690"/>
      <c r="K1688" s="1030"/>
      <c r="L1688" s="690"/>
      <c r="M1688" s="1025"/>
      <c r="N1688" s="1030"/>
      <c r="O1688" s="692">
        <f t="shared" si="221"/>
        <v>0</v>
      </c>
      <c r="P1688" s="690"/>
      <c r="Q1688" s="690"/>
      <c r="R1688" s="691">
        <f t="shared" si="222"/>
        <v>0</v>
      </c>
      <c r="S1688" s="692">
        <f t="shared" si="223"/>
        <v>0</v>
      </c>
      <c r="T1688" s="693">
        <f t="shared" si="224"/>
        <v>0</v>
      </c>
      <c r="U1688" s="1035"/>
      <c r="V1688" s="690"/>
      <c r="W1688" s="1025"/>
      <c r="X1688" s="1030"/>
      <c r="Y1688" s="694">
        <f t="shared" si="225"/>
        <v>0</v>
      </c>
      <c r="Z1688" s="690"/>
      <c r="AA1688" s="690"/>
      <c r="AB1688" s="695">
        <f t="shared" si="226"/>
        <v>0</v>
      </c>
      <c r="AC1688" s="1035"/>
      <c r="AD1688" s="690"/>
      <c r="AE1688" s="1025"/>
      <c r="AF1688" s="1030"/>
      <c r="AG1688" s="690"/>
      <c r="AH1688" s="690"/>
      <c r="AI1688" s="696">
        <f t="shared" si="227"/>
        <v>0</v>
      </c>
      <c r="AJ1688" s="697">
        <f t="shared" si="228"/>
        <v>0</v>
      </c>
    </row>
    <row r="1689" spans="1:36" s="700" customFormat="1" ht="12.75" customHeight="1">
      <c r="A1689" s="888" t="s">
        <v>212</v>
      </c>
      <c r="B1689" s="899" t="s">
        <v>420</v>
      </c>
      <c r="C1689" s="898" t="s">
        <v>1169</v>
      </c>
      <c r="D1689" s="898"/>
      <c r="E1689" s="896"/>
      <c r="F1689" s="897"/>
      <c r="G1689" s="1025"/>
      <c r="H1689" s="690"/>
      <c r="I1689" s="1030"/>
      <c r="J1689" s="690"/>
      <c r="K1689" s="1030"/>
      <c r="L1689" s="690"/>
      <c r="M1689" s="1025"/>
      <c r="N1689" s="1030"/>
      <c r="O1689" s="692">
        <f t="shared" si="221"/>
        <v>0</v>
      </c>
      <c r="P1689" s="690"/>
      <c r="Q1689" s="690"/>
      <c r="R1689" s="691">
        <f t="shared" si="222"/>
        <v>0</v>
      </c>
      <c r="S1689" s="692">
        <f t="shared" si="223"/>
        <v>0</v>
      </c>
      <c r="T1689" s="693">
        <f t="shared" si="224"/>
        <v>0</v>
      </c>
      <c r="U1689" s="1035"/>
      <c r="V1689" s="690"/>
      <c r="W1689" s="1025"/>
      <c r="X1689" s="1030"/>
      <c r="Y1689" s="694">
        <f t="shared" si="225"/>
        <v>0</v>
      </c>
      <c r="Z1689" s="690"/>
      <c r="AA1689" s="690"/>
      <c r="AB1689" s="695">
        <f t="shared" si="226"/>
        <v>0</v>
      </c>
      <c r="AC1689" s="1035"/>
      <c r="AD1689" s="690"/>
      <c r="AE1689" s="1025"/>
      <c r="AF1689" s="1030"/>
      <c r="AG1689" s="690"/>
      <c r="AH1689" s="690"/>
      <c r="AI1689" s="696">
        <f t="shared" si="227"/>
        <v>0</v>
      </c>
      <c r="AJ1689" s="697">
        <f t="shared" si="228"/>
        <v>0</v>
      </c>
    </row>
    <row r="1690" spans="1:36" s="700" customFormat="1" ht="12.75" customHeight="1">
      <c r="A1690" s="888" t="s">
        <v>212</v>
      </c>
      <c r="B1690" s="768" t="s">
        <v>295</v>
      </c>
      <c r="C1690" s="769" t="s">
        <v>53</v>
      </c>
      <c r="D1690" s="769"/>
      <c r="E1690" s="896"/>
      <c r="F1690" s="897"/>
      <c r="G1690" s="1025"/>
      <c r="H1690" s="690"/>
      <c r="I1690" s="1030"/>
      <c r="J1690" s="690"/>
      <c r="K1690" s="1030"/>
      <c r="L1690" s="690"/>
      <c r="M1690" s="1025"/>
      <c r="N1690" s="1030"/>
      <c r="O1690" s="692">
        <f t="shared" si="221"/>
        <v>0</v>
      </c>
      <c r="P1690" s="690"/>
      <c r="Q1690" s="690"/>
      <c r="R1690" s="691">
        <f t="shared" si="222"/>
        <v>0</v>
      </c>
      <c r="S1690" s="692">
        <f t="shared" si="223"/>
        <v>0</v>
      </c>
      <c r="T1690" s="693">
        <f t="shared" si="224"/>
        <v>0</v>
      </c>
      <c r="U1690" s="1035"/>
      <c r="V1690" s="690"/>
      <c r="W1690" s="1025"/>
      <c r="X1690" s="1030"/>
      <c r="Y1690" s="694">
        <f t="shared" si="225"/>
        <v>0</v>
      </c>
      <c r="Z1690" s="690"/>
      <c r="AA1690" s="690"/>
      <c r="AB1690" s="695">
        <f t="shared" si="226"/>
        <v>0</v>
      </c>
      <c r="AC1690" s="1035"/>
      <c r="AD1690" s="690"/>
      <c r="AE1690" s="1025"/>
      <c r="AF1690" s="1030"/>
      <c r="AG1690" s="690"/>
      <c r="AH1690" s="690"/>
      <c r="AI1690" s="696">
        <f t="shared" si="227"/>
        <v>0</v>
      </c>
      <c r="AJ1690" s="697">
        <f t="shared" si="228"/>
        <v>0</v>
      </c>
    </row>
    <row r="1691" spans="1:36" s="700" customFormat="1" ht="12.75" customHeight="1">
      <c r="A1691" s="888" t="s">
        <v>212</v>
      </c>
      <c r="B1691" s="899" t="s">
        <v>296</v>
      </c>
      <c r="C1691" s="891" t="s">
        <v>1170</v>
      </c>
      <c r="D1691" s="891"/>
      <c r="E1691" s="896"/>
      <c r="F1691" s="897"/>
      <c r="G1691" s="1025"/>
      <c r="H1691" s="690"/>
      <c r="I1691" s="1030"/>
      <c r="J1691" s="690"/>
      <c r="K1691" s="1030"/>
      <c r="L1691" s="690"/>
      <c r="M1691" s="1025"/>
      <c r="N1691" s="1030"/>
      <c r="O1691" s="692">
        <f t="shared" si="221"/>
        <v>0</v>
      </c>
      <c r="P1691" s="690"/>
      <c r="Q1691" s="690"/>
      <c r="R1691" s="691">
        <f t="shared" si="222"/>
        <v>0</v>
      </c>
      <c r="S1691" s="692">
        <f t="shared" si="223"/>
        <v>0</v>
      </c>
      <c r="T1691" s="693">
        <f t="shared" si="224"/>
        <v>0</v>
      </c>
      <c r="U1691" s="1035">
        <v>595455</v>
      </c>
      <c r="V1691" s="690">
        <v>1008474</v>
      </c>
      <c r="W1691" s="1025"/>
      <c r="X1691" s="1030"/>
      <c r="Y1691" s="694">
        <f t="shared" si="225"/>
        <v>0</v>
      </c>
      <c r="Z1691" s="690"/>
      <c r="AA1691" s="690"/>
      <c r="AB1691" s="695">
        <f t="shared" si="226"/>
        <v>0</v>
      </c>
      <c r="AC1691" s="1035"/>
      <c r="AD1691" s="690"/>
      <c r="AE1691" s="1025"/>
      <c r="AF1691" s="1030"/>
      <c r="AG1691" s="690"/>
      <c r="AH1691" s="690"/>
      <c r="AI1691" s="696">
        <f t="shared" si="227"/>
        <v>595455</v>
      </c>
      <c r="AJ1691" s="697">
        <f t="shared" si="228"/>
        <v>1008474</v>
      </c>
    </row>
    <row r="1692" spans="1:36" s="700" customFormat="1" ht="12.75" customHeight="1">
      <c r="A1692" s="888" t="s">
        <v>212</v>
      </c>
      <c r="B1692" s="899" t="s">
        <v>379</v>
      </c>
      <c r="C1692" s="891" t="s">
        <v>377</v>
      </c>
      <c r="D1692" s="891"/>
      <c r="E1692" s="896"/>
      <c r="F1692" s="897"/>
      <c r="G1692" s="1025"/>
      <c r="H1692" s="690"/>
      <c r="I1692" s="1030"/>
      <c r="J1692" s="690"/>
      <c r="K1692" s="1030"/>
      <c r="L1692" s="690"/>
      <c r="M1692" s="1025"/>
      <c r="N1692" s="1030"/>
      <c r="O1692" s="692">
        <f t="shared" si="221"/>
        <v>0</v>
      </c>
      <c r="P1692" s="690"/>
      <c r="Q1692" s="690"/>
      <c r="R1692" s="691">
        <f t="shared" si="222"/>
        <v>0</v>
      </c>
      <c r="S1692" s="692">
        <f t="shared" si="223"/>
        <v>0</v>
      </c>
      <c r="T1692" s="693">
        <f t="shared" si="224"/>
        <v>0</v>
      </c>
      <c r="U1692" s="1035"/>
      <c r="V1692" s="690"/>
      <c r="W1692" s="1025"/>
      <c r="X1692" s="1030"/>
      <c r="Y1692" s="694">
        <f t="shared" si="225"/>
        <v>0</v>
      </c>
      <c r="Z1692" s="690"/>
      <c r="AA1692" s="690"/>
      <c r="AB1692" s="695">
        <f t="shared" si="226"/>
        <v>0</v>
      </c>
      <c r="AC1692" s="1035"/>
      <c r="AD1692" s="690"/>
      <c r="AE1692" s="1025"/>
      <c r="AF1692" s="1030"/>
      <c r="AG1692" s="690"/>
      <c r="AH1692" s="690"/>
      <c r="AI1692" s="696">
        <f t="shared" si="227"/>
        <v>0</v>
      </c>
      <c r="AJ1692" s="697">
        <f t="shared" si="228"/>
        <v>0</v>
      </c>
    </row>
    <row r="1693" spans="1:36" s="700" customFormat="1" ht="12.75" customHeight="1">
      <c r="A1693" s="888" t="s">
        <v>212</v>
      </c>
      <c r="B1693" s="768" t="s">
        <v>279</v>
      </c>
      <c r="C1693" s="769" t="s">
        <v>54</v>
      </c>
      <c r="D1693" s="769"/>
      <c r="E1693" s="896"/>
      <c r="F1693" s="897"/>
      <c r="G1693" s="1025"/>
      <c r="H1693" s="690"/>
      <c r="I1693" s="1030"/>
      <c r="J1693" s="690"/>
      <c r="K1693" s="1030"/>
      <c r="L1693" s="690"/>
      <c r="M1693" s="1025"/>
      <c r="N1693" s="1030"/>
      <c r="O1693" s="692">
        <f t="shared" si="221"/>
        <v>0</v>
      </c>
      <c r="P1693" s="690"/>
      <c r="Q1693" s="690"/>
      <c r="R1693" s="691">
        <f t="shared" si="222"/>
        <v>0</v>
      </c>
      <c r="S1693" s="692">
        <f t="shared" si="223"/>
        <v>0</v>
      </c>
      <c r="T1693" s="693">
        <f t="shared" si="224"/>
        <v>0</v>
      </c>
      <c r="U1693" s="1035"/>
      <c r="V1693" s="690"/>
      <c r="W1693" s="1025"/>
      <c r="X1693" s="1030"/>
      <c r="Y1693" s="694">
        <f t="shared" si="225"/>
        <v>0</v>
      </c>
      <c r="Z1693" s="690"/>
      <c r="AA1693" s="690"/>
      <c r="AB1693" s="695">
        <f t="shared" si="226"/>
        <v>0</v>
      </c>
      <c r="AC1693" s="1035"/>
      <c r="AD1693" s="690"/>
      <c r="AE1693" s="1025"/>
      <c r="AF1693" s="1030"/>
      <c r="AG1693" s="690"/>
      <c r="AH1693" s="690"/>
      <c r="AI1693" s="696">
        <f t="shared" si="227"/>
        <v>0</v>
      </c>
      <c r="AJ1693" s="697">
        <f t="shared" si="228"/>
        <v>0</v>
      </c>
    </row>
    <row r="1694" spans="1:36" s="700" customFormat="1" ht="12.75" customHeight="1">
      <c r="A1694" s="888" t="s">
        <v>212</v>
      </c>
      <c r="B1694" s="768" t="s">
        <v>317</v>
      </c>
      <c r="C1694" s="891" t="s">
        <v>1170</v>
      </c>
      <c r="D1694" s="891"/>
      <c r="E1694" s="896"/>
      <c r="F1694" s="897"/>
      <c r="G1694" s="1025"/>
      <c r="H1694" s="690"/>
      <c r="I1694" s="1030"/>
      <c r="J1694" s="690"/>
      <c r="K1694" s="1030"/>
      <c r="L1694" s="690"/>
      <c r="M1694" s="1025"/>
      <c r="N1694" s="1030"/>
      <c r="O1694" s="692">
        <f t="shared" si="221"/>
        <v>0</v>
      </c>
      <c r="P1694" s="690"/>
      <c r="Q1694" s="690"/>
      <c r="R1694" s="691">
        <f t="shared" si="222"/>
        <v>0</v>
      </c>
      <c r="S1694" s="692">
        <f t="shared" si="223"/>
        <v>0</v>
      </c>
      <c r="T1694" s="693">
        <f t="shared" si="224"/>
        <v>0</v>
      </c>
      <c r="U1694" s="1035">
        <v>82500</v>
      </c>
      <c r="V1694" s="690">
        <v>226875</v>
      </c>
      <c r="W1694" s="1025"/>
      <c r="X1694" s="1030"/>
      <c r="Y1694" s="694">
        <f t="shared" si="225"/>
        <v>0</v>
      </c>
      <c r="Z1694" s="690"/>
      <c r="AA1694" s="690"/>
      <c r="AB1694" s="695">
        <f t="shared" si="226"/>
        <v>0</v>
      </c>
      <c r="AC1694" s="1035"/>
      <c r="AD1694" s="690"/>
      <c r="AE1694" s="1025"/>
      <c r="AF1694" s="1030"/>
      <c r="AG1694" s="690"/>
      <c r="AH1694" s="690"/>
      <c r="AI1694" s="696">
        <f t="shared" si="227"/>
        <v>82500</v>
      </c>
      <c r="AJ1694" s="697">
        <f t="shared" si="228"/>
        <v>226875</v>
      </c>
    </row>
    <row r="1695" spans="1:36" s="700" customFormat="1" ht="12.75" customHeight="1">
      <c r="A1695" s="888" t="s">
        <v>212</v>
      </c>
      <c r="B1695" s="899" t="s">
        <v>379</v>
      </c>
      <c r="C1695" s="891" t="s">
        <v>377</v>
      </c>
      <c r="D1695" s="891"/>
      <c r="E1695" s="896"/>
      <c r="F1695" s="897"/>
      <c r="G1695" s="1025"/>
      <c r="H1695" s="690"/>
      <c r="I1695" s="1030"/>
      <c r="J1695" s="690"/>
      <c r="K1695" s="1030"/>
      <c r="L1695" s="690"/>
      <c r="M1695" s="1025"/>
      <c r="N1695" s="1030"/>
      <c r="O1695" s="692">
        <f t="shared" si="221"/>
        <v>0</v>
      </c>
      <c r="P1695" s="690"/>
      <c r="Q1695" s="690"/>
      <c r="R1695" s="691">
        <f t="shared" si="222"/>
        <v>0</v>
      </c>
      <c r="S1695" s="692">
        <f t="shared" si="223"/>
        <v>0</v>
      </c>
      <c r="T1695" s="693">
        <f t="shared" si="224"/>
        <v>0</v>
      </c>
      <c r="U1695" s="1035"/>
      <c r="V1695" s="690"/>
      <c r="W1695" s="1025"/>
      <c r="X1695" s="1030"/>
      <c r="Y1695" s="694">
        <f t="shared" si="225"/>
        <v>0</v>
      </c>
      <c r="Z1695" s="690"/>
      <c r="AA1695" s="690"/>
      <c r="AB1695" s="695">
        <f t="shared" si="226"/>
        <v>0</v>
      </c>
      <c r="AC1695" s="1035"/>
      <c r="AD1695" s="690"/>
      <c r="AE1695" s="1025"/>
      <c r="AF1695" s="1030"/>
      <c r="AG1695" s="690"/>
      <c r="AH1695" s="690"/>
      <c r="AI1695" s="696">
        <f t="shared" si="227"/>
        <v>0</v>
      </c>
      <c r="AJ1695" s="697">
        <f t="shared" si="228"/>
        <v>0</v>
      </c>
    </row>
    <row r="1696" spans="1:36" s="700" customFormat="1" ht="12.75" customHeight="1">
      <c r="A1696" s="888" t="s">
        <v>212</v>
      </c>
      <c r="B1696" s="899" t="s">
        <v>420</v>
      </c>
      <c r="C1696" s="898" t="s">
        <v>1171</v>
      </c>
      <c r="D1696" s="898"/>
      <c r="E1696" s="896"/>
      <c r="F1696" s="897"/>
      <c r="G1696" s="1025"/>
      <c r="H1696" s="690"/>
      <c r="I1696" s="1030"/>
      <c r="J1696" s="690"/>
      <c r="K1696" s="1030"/>
      <c r="L1696" s="690"/>
      <c r="M1696" s="1025"/>
      <c r="N1696" s="1030"/>
      <c r="O1696" s="692">
        <f t="shared" si="221"/>
        <v>0</v>
      </c>
      <c r="P1696" s="690"/>
      <c r="Q1696" s="690"/>
      <c r="R1696" s="691">
        <f t="shared" si="222"/>
        <v>0</v>
      </c>
      <c r="S1696" s="692">
        <f t="shared" si="223"/>
        <v>0</v>
      </c>
      <c r="T1696" s="693">
        <f t="shared" si="224"/>
        <v>0</v>
      </c>
      <c r="U1696" s="1035"/>
      <c r="V1696" s="690"/>
      <c r="W1696" s="1025"/>
      <c r="X1696" s="1030"/>
      <c r="Y1696" s="694">
        <f t="shared" si="225"/>
        <v>0</v>
      </c>
      <c r="Z1696" s="690"/>
      <c r="AA1696" s="690"/>
      <c r="AB1696" s="695">
        <f t="shared" si="226"/>
        <v>0</v>
      </c>
      <c r="AC1696" s="1035"/>
      <c r="AD1696" s="690"/>
      <c r="AE1696" s="1025"/>
      <c r="AF1696" s="1030"/>
      <c r="AG1696" s="690"/>
      <c r="AH1696" s="690"/>
      <c r="AI1696" s="696">
        <f t="shared" si="227"/>
        <v>0</v>
      </c>
      <c r="AJ1696" s="697">
        <f t="shared" si="228"/>
        <v>0</v>
      </c>
    </row>
    <row r="1697" spans="1:36" s="700" customFormat="1" ht="12.75" customHeight="1">
      <c r="A1697" s="888" t="s">
        <v>212</v>
      </c>
      <c r="B1697" s="768" t="s">
        <v>295</v>
      </c>
      <c r="C1697" s="769" t="s">
        <v>53</v>
      </c>
      <c r="D1697" s="769"/>
      <c r="E1697" s="896"/>
      <c r="F1697" s="897"/>
      <c r="G1697" s="1025"/>
      <c r="H1697" s="690"/>
      <c r="I1697" s="1030"/>
      <c r="J1697" s="690"/>
      <c r="K1697" s="1030"/>
      <c r="L1697" s="690"/>
      <c r="M1697" s="1025"/>
      <c r="N1697" s="1030"/>
      <c r="O1697" s="692">
        <f t="shared" si="221"/>
        <v>0</v>
      </c>
      <c r="P1697" s="690"/>
      <c r="Q1697" s="690"/>
      <c r="R1697" s="691">
        <f t="shared" si="222"/>
        <v>0</v>
      </c>
      <c r="S1697" s="692">
        <f t="shared" si="223"/>
        <v>0</v>
      </c>
      <c r="T1697" s="693">
        <f t="shared" si="224"/>
        <v>0</v>
      </c>
      <c r="U1697" s="1035"/>
      <c r="V1697" s="690"/>
      <c r="W1697" s="1025"/>
      <c r="X1697" s="1030"/>
      <c r="Y1697" s="694">
        <f t="shared" si="225"/>
        <v>0</v>
      </c>
      <c r="Z1697" s="690"/>
      <c r="AA1697" s="690"/>
      <c r="AB1697" s="695">
        <f t="shared" si="226"/>
        <v>0</v>
      </c>
      <c r="AC1697" s="1035"/>
      <c r="AD1697" s="690"/>
      <c r="AE1697" s="1025"/>
      <c r="AF1697" s="1030"/>
      <c r="AG1697" s="690"/>
      <c r="AH1697" s="690"/>
      <c r="AI1697" s="696">
        <f t="shared" si="227"/>
        <v>0</v>
      </c>
      <c r="AJ1697" s="697">
        <f t="shared" si="228"/>
        <v>0</v>
      </c>
    </row>
    <row r="1698" spans="1:36" s="700" customFormat="1" ht="12.75" customHeight="1">
      <c r="A1698" s="888" t="s">
        <v>212</v>
      </c>
      <c r="B1698" s="899" t="s">
        <v>296</v>
      </c>
      <c r="C1698" s="891" t="s">
        <v>377</v>
      </c>
      <c r="D1698" s="891"/>
      <c r="E1698" s="896"/>
      <c r="F1698" s="897"/>
      <c r="G1698" s="1025"/>
      <c r="H1698" s="690"/>
      <c r="I1698" s="1030"/>
      <c r="J1698" s="690"/>
      <c r="K1698" s="1030"/>
      <c r="L1698" s="690"/>
      <c r="M1698" s="1025"/>
      <c r="N1698" s="1030"/>
      <c r="O1698" s="692">
        <f t="shared" si="221"/>
        <v>0</v>
      </c>
      <c r="P1698" s="690"/>
      <c r="Q1698" s="690"/>
      <c r="R1698" s="691">
        <f t="shared" si="222"/>
        <v>0</v>
      </c>
      <c r="S1698" s="692">
        <f t="shared" si="223"/>
        <v>0</v>
      </c>
      <c r="T1698" s="693">
        <f t="shared" si="224"/>
        <v>0</v>
      </c>
      <c r="U1698" s="1035">
        <v>1914147</v>
      </c>
      <c r="V1698" s="690">
        <v>1610954</v>
      </c>
      <c r="W1698" s="1025"/>
      <c r="X1698" s="1030"/>
      <c r="Y1698" s="694">
        <f t="shared" si="225"/>
        <v>0</v>
      </c>
      <c r="Z1698" s="690"/>
      <c r="AA1698" s="690"/>
      <c r="AB1698" s="695">
        <f t="shared" si="226"/>
        <v>0</v>
      </c>
      <c r="AC1698" s="1035"/>
      <c r="AD1698" s="690"/>
      <c r="AE1698" s="1025"/>
      <c r="AF1698" s="1030"/>
      <c r="AG1698" s="690"/>
      <c r="AH1698" s="690"/>
      <c r="AI1698" s="696">
        <f t="shared" si="227"/>
        <v>1914147</v>
      </c>
      <c r="AJ1698" s="697">
        <f t="shared" si="228"/>
        <v>1610954</v>
      </c>
    </row>
    <row r="1699" spans="1:36" s="700" customFormat="1" ht="12.75" customHeight="1">
      <c r="A1699" s="888" t="s">
        <v>212</v>
      </c>
      <c r="B1699" s="899" t="s">
        <v>379</v>
      </c>
      <c r="C1699" s="891" t="s">
        <v>1172</v>
      </c>
      <c r="D1699" s="891"/>
      <c r="E1699" s="896"/>
      <c r="F1699" s="897"/>
      <c r="G1699" s="1025"/>
      <c r="H1699" s="690"/>
      <c r="I1699" s="1030"/>
      <c r="J1699" s="690"/>
      <c r="K1699" s="1030"/>
      <c r="L1699" s="690"/>
      <c r="M1699" s="1025"/>
      <c r="N1699" s="1030"/>
      <c r="O1699" s="692">
        <f t="shared" si="221"/>
        <v>0</v>
      </c>
      <c r="P1699" s="690"/>
      <c r="Q1699" s="690"/>
      <c r="R1699" s="691">
        <f t="shared" si="222"/>
        <v>0</v>
      </c>
      <c r="S1699" s="692">
        <f t="shared" si="223"/>
        <v>0</v>
      </c>
      <c r="T1699" s="693">
        <f t="shared" si="224"/>
        <v>0</v>
      </c>
      <c r="U1699" s="1035">
        <v>383250</v>
      </c>
      <c r="V1699" s="690">
        <v>337194</v>
      </c>
      <c r="W1699" s="1025"/>
      <c r="X1699" s="1030"/>
      <c r="Y1699" s="694">
        <f t="shared" si="225"/>
        <v>0</v>
      </c>
      <c r="Z1699" s="690"/>
      <c r="AA1699" s="690"/>
      <c r="AB1699" s="695">
        <f t="shared" si="226"/>
        <v>0</v>
      </c>
      <c r="AC1699" s="1035"/>
      <c r="AD1699" s="690"/>
      <c r="AE1699" s="1025"/>
      <c r="AF1699" s="1030"/>
      <c r="AG1699" s="690"/>
      <c r="AH1699" s="690"/>
      <c r="AI1699" s="696">
        <f t="shared" si="227"/>
        <v>383250</v>
      </c>
      <c r="AJ1699" s="697">
        <f t="shared" si="228"/>
        <v>337194</v>
      </c>
    </row>
    <row r="1700" spans="1:36" s="700" customFormat="1" ht="12.75" customHeight="1">
      <c r="A1700" s="888" t="s">
        <v>212</v>
      </c>
      <c r="B1700" s="899" t="s">
        <v>420</v>
      </c>
      <c r="C1700" s="898" t="s">
        <v>1173</v>
      </c>
      <c r="D1700" s="898"/>
      <c r="E1700" s="896"/>
      <c r="F1700" s="897"/>
      <c r="G1700" s="1025"/>
      <c r="H1700" s="690"/>
      <c r="I1700" s="1030"/>
      <c r="J1700" s="690"/>
      <c r="K1700" s="1030"/>
      <c r="L1700" s="690"/>
      <c r="M1700" s="1025"/>
      <c r="N1700" s="1030"/>
      <c r="O1700" s="692">
        <f t="shared" si="221"/>
        <v>0</v>
      </c>
      <c r="P1700" s="690"/>
      <c r="Q1700" s="690"/>
      <c r="R1700" s="691">
        <f t="shared" si="222"/>
        <v>0</v>
      </c>
      <c r="S1700" s="692">
        <f t="shared" si="223"/>
        <v>0</v>
      </c>
      <c r="T1700" s="693">
        <f t="shared" si="224"/>
        <v>0</v>
      </c>
      <c r="U1700" s="1035"/>
      <c r="V1700" s="690"/>
      <c r="W1700" s="1025"/>
      <c r="X1700" s="1030"/>
      <c r="Y1700" s="694">
        <f t="shared" si="225"/>
        <v>0</v>
      </c>
      <c r="Z1700" s="690"/>
      <c r="AA1700" s="690"/>
      <c r="AB1700" s="695">
        <f t="shared" si="226"/>
        <v>0</v>
      </c>
      <c r="AC1700" s="1035"/>
      <c r="AD1700" s="690"/>
      <c r="AE1700" s="1025"/>
      <c r="AF1700" s="1030"/>
      <c r="AG1700" s="690"/>
      <c r="AH1700" s="690"/>
      <c r="AI1700" s="696">
        <f t="shared" si="227"/>
        <v>0</v>
      </c>
      <c r="AJ1700" s="697">
        <f t="shared" si="228"/>
        <v>0</v>
      </c>
    </row>
    <row r="1701" spans="1:36" s="700" customFormat="1" ht="12.75" customHeight="1">
      <c r="A1701" s="888" t="s">
        <v>212</v>
      </c>
      <c r="B1701" s="768" t="s">
        <v>295</v>
      </c>
      <c r="C1701" s="769" t="s">
        <v>53</v>
      </c>
      <c r="D1701" s="769"/>
      <c r="E1701" s="896"/>
      <c r="F1701" s="897"/>
      <c r="G1701" s="1025"/>
      <c r="H1701" s="690"/>
      <c r="I1701" s="1030"/>
      <c r="J1701" s="690"/>
      <c r="K1701" s="1030"/>
      <c r="L1701" s="690"/>
      <c r="M1701" s="1025"/>
      <c r="N1701" s="1030"/>
      <c r="O1701" s="692">
        <f t="shared" si="221"/>
        <v>0</v>
      </c>
      <c r="P1701" s="690"/>
      <c r="Q1701" s="690"/>
      <c r="R1701" s="691">
        <f t="shared" si="222"/>
        <v>0</v>
      </c>
      <c r="S1701" s="692">
        <f t="shared" si="223"/>
        <v>0</v>
      </c>
      <c r="T1701" s="693">
        <f t="shared" si="224"/>
        <v>0</v>
      </c>
      <c r="U1701" s="1035"/>
      <c r="V1701" s="690"/>
      <c r="W1701" s="1025"/>
      <c r="X1701" s="1030"/>
      <c r="Y1701" s="694">
        <f t="shared" si="225"/>
        <v>0</v>
      </c>
      <c r="Z1701" s="690"/>
      <c r="AA1701" s="690"/>
      <c r="AB1701" s="695">
        <f t="shared" si="226"/>
        <v>0</v>
      </c>
      <c r="AC1701" s="1035"/>
      <c r="AD1701" s="690"/>
      <c r="AE1701" s="1025"/>
      <c r="AF1701" s="1030"/>
      <c r="AG1701" s="690"/>
      <c r="AH1701" s="690"/>
      <c r="AI1701" s="696">
        <f t="shared" si="227"/>
        <v>0</v>
      </c>
      <c r="AJ1701" s="697">
        <f t="shared" si="228"/>
        <v>0</v>
      </c>
    </row>
    <row r="1702" spans="1:36" s="700" customFormat="1" ht="12.75" customHeight="1">
      <c r="A1702" s="888" t="s">
        <v>212</v>
      </c>
      <c r="B1702" s="899" t="s">
        <v>278</v>
      </c>
      <c r="C1702" s="891" t="s">
        <v>377</v>
      </c>
      <c r="D1702" s="891"/>
      <c r="E1702" s="896"/>
      <c r="F1702" s="897"/>
      <c r="G1702" s="1025"/>
      <c r="H1702" s="690"/>
      <c r="I1702" s="1030"/>
      <c r="J1702" s="690"/>
      <c r="K1702" s="1030"/>
      <c r="L1702" s="690"/>
      <c r="M1702" s="1025"/>
      <c r="N1702" s="1030"/>
      <c r="O1702" s="692">
        <f t="shared" si="221"/>
        <v>0</v>
      </c>
      <c r="P1702" s="690"/>
      <c r="Q1702" s="690"/>
      <c r="R1702" s="691">
        <f t="shared" si="222"/>
        <v>0</v>
      </c>
      <c r="S1702" s="692">
        <f t="shared" si="223"/>
        <v>0</v>
      </c>
      <c r="T1702" s="693">
        <f t="shared" si="224"/>
        <v>0</v>
      </c>
      <c r="U1702" s="1035"/>
      <c r="V1702" s="690"/>
      <c r="W1702" s="1025"/>
      <c r="X1702" s="1030"/>
      <c r="Y1702" s="694">
        <f t="shared" si="225"/>
        <v>0</v>
      </c>
      <c r="Z1702" s="690"/>
      <c r="AA1702" s="690"/>
      <c r="AB1702" s="695">
        <f t="shared" si="226"/>
        <v>0</v>
      </c>
      <c r="AC1702" s="1035"/>
      <c r="AD1702" s="690"/>
      <c r="AE1702" s="1025"/>
      <c r="AF1702" s="1030"/>
      <c r="AG1702" s="690"/>
      <c r="AH1702" s="690"/>
      <c r="AI1702" s="696">
        <f t="shared" si="227"/>
        <v>0</v>
      </c>
      <c r="AJ1702" s="697">
        <f t="shared" si="228"/>
        <v>0</v>
      </c>
    </row>
    <row r="1703" spans="1:36" s="700" customFormat="1" ht="12.75" customHeight="1">
      <c r="A1703" s="888" t="s">
        <v>212</v>
      </c>
      <c r="B1703" s="899" t="s">
        <v>278</v>
      </c>
      <c r="C1703" s="891" t="s">
        <v>377</v>
      </c>
      <c r="D1703" s="891"/>
      <c r="E1703" s="896"/>
      <c r="F1703" s="897"/>
      <c r="G1703" s="1025"/>
      <c r="H1703" s="690"/>
      <c r="I1703" s="1030"/>
      <c r="J1703" s="690"/>
      <c r="K1703" s="1030"/>
      <c r="L1703" s="690"/>
      <c r="M1703" s="1025"/>
      <c r="N1703" s="1030"/>
      <c r="O1703" s="692">
        <f t="shared" si="221"/>
        <v>0</v>
      </c>
      <c r="P1703" s="690"/>
      <c r="Q1703" s="690"/>
      <c r="R1703" s="691">
        <f t="shared" si="222"/>
        <v>0</v>
      </c>
      <c r="S1703" s="692">
        <f t="shared" si="223"/>
        <v>0</v>
      </c>
      <c r="T1703" s="693">
        <f t="shared" si="224"/>
        <v>0</v>
      </c>
      <c r="U1703" s="1035">
        <v>12347167</v>
      </c>
      <c r="V1703" s="690">
        <v>12519094</v>
      </c>
      <c r="W1703" s="1025"/>
      <c r="X1703" s="1030"/>
      <c r="Y1703" s="694">
        <f t="shared" si="225"/>
        <v>0</v>
      </c>
      <c r="Z1703" s="690"/>
      <c r="AA1703" s="690"/>
      <c r="AB1703" s="695">
        <f t="shared" si="226"/>
        <v>0</v>
      </c>
      <c r="AC1703" s="1035"/>
      <c r="AD1703" s="690"/>
      <c r="AE1703" s="1025"/>
      <c r="AF1703" s="1030"/>
      <c r="AG1703" s="690"/>
      <c r="AH1703" s="690"/>
      <c r="AI1703" s="696">
        <f t="shared" si="227"/>
        <v>12347167</v>
      </c>
      <c r="AJ1703" s="697">
        <f t="shared" si="228"/>
        <v>12519094</v>
      </c>
    </row>
    <row r="1704" spans="1:36" s="700" customFormat="1" ht="12.75" customHeight="1">
      <c r="A1704" s="888" t="s">
        <v>212</v>
      </c>
      <c r="B1704" s="768" t="s">
        <v>279</v>
      </c>
      <c r="C1704" s="769" t="s">
        <v>54</v>
      </c>
      <c r="D1704" s="769"/>
      <c r="E1704" s="896"/>
      <c r="F1704" s="897"/>
      <c r="G1704" s="1025"/>
      <c r="H1704" s="690"/>
      <c r="I1704" s="1030"/>
      <c r="J1704" s="690"/>
      <c r="K1704" s="1030"/>
      <c r="L1704" s="690"/>
      <c r="M1704" s="1025"/>
      <c r="N1704" s="1030"/>
      <c r="O1704" s="692">
        <f t="shared" si="221"/>
        <v>0</v>
      </c>
      <c r="P1704" s="690"/>
      <c r="Q1704" s="690"/>
      <c r="R1704" s="691">
        <f t="shared" si="222"/>
        <v>0</v>
      </c>
      <c r="S1704" s="692">
        <f t="shared" si="223"/>
        <v>0</v>
      </c>
      <c r="T1704" s="693">
        <f t="shared" si="224"/>
        <v>0</v>
      </c>
      <c r="U1704" s="1035"/>
      <c r="V1704" s="690"/>
      <c r="W1704" s="1025"/>
      <c r="X1704" s="1030"/>
      <c r="Y1704" s="694">
        <f t="shared" si="225"/>
        <v>0</v>
      </c>
      <c r="Z1704" s="690"/>
      <c r="AA1704" s="690"/>
      <c r="AB1704" s="695">
        <f t="shared" si="226"/>
        <v>0</v>
      </c>
      <c r="AC1704" s="1035"/>
      <c r="AD1704" s="690"/>
      <c r="AE1704" s="1025"/>
      <c r="AF1704" s="1030"/>
      <c r="AG1704" s="690"/>
      <c r="AH1704" s="690"/>
      <c r="AI1704" s="696">
        <f t="shared" si="227"/>
        <v>0</v>
      </c>
      <c r="AJ1704" s="697">
        <f t="shared" si="228"/>
        <v>0</v>
      </c>
    </row>
    <row r="1705" spans="1:36" s="700" customFormat="1" ht="12.75" customHeight="1">
      <c r="A1705" s="888" t="s">
        <v>212</v>
      </c>
      <c r="B1705" s="899" t="s">
        <v>318</v>
      </c>
      <c r="C1705" s="891" t="s">
        <v>377</v>
      </c>
      <c r="D1705" s="891"/>
      <c r="E1705" s="896"/>
      <c r="F1705" s="897"/>
      <c r="G1705" s="1025"/>
      <c r="H1705" s="690"/>
      <c r="I1705" s="1030"/>
      <c r="J1705" s="690"/>
      <c r="K1705" s="1030"/>
      <c r="L1705" s="690"/>
      <c r="M1705" s="1025"/>
      <c r="N1705" s="1030"/>
      <c r="O1705" s="692">
        <f t="shared" si="221"/>
        <v>0</v>
      </c>
      <c r="P1705" s="690"/>
      <c r="Q1705" s="690"/>
      <c r="R1705" s="691">
        <f t="shared" si="222"/>
        <v>0</v>
      </c>
      <c r="S1705" s="692">
        <f t="shared" si="223"/>
        <v>0</v>
      </c>
      <c r="T1705" s="693">
        <f t="shared" si="224"/>
        <v>0</v>
      </c>
      <c r="U1705" s="1035">
        <v>1595093</v>
      </c>
      <c r="V1705" s="690">
        <v>1536229</v>
      </c>
      <c r="W1705" s="1025"/>
      <c r="X1705" s="1030"/>
      <c r="Y1705" s="694">
        <f t="shared" si="225"/>
        <v>0</v>
      </c>
      <c r="Z1705" s="690"/>
      <c r="AA1705" s="690"/>
      <c r="AB1705" s="695">
        <f t="shared" si="226"/>
        <v>0</v>
      </c>
      <c r="AC1705" s="1035"/>
      <c r="AD1705" s="690"/>
      <c r="AE1705" s="1025"/>
      <c r="AF1705" s="1030"/>
      <c r="AG1705" s="690"/>
      <c r="AH1705" s="690"/>
      <c r="AI1705" s="696">
        <f t="shared" si="227"/>
        <v>1595093</v>
      </c>
      <c r="AJ1705" s="697">
        <f t="shared" si="228"/>
        <v>1536229</v>
      </c>
    </row>
    <row r="1706" spans="1:36" s="700" customFormat="1" ht="12.75" customHeight="1">
      <c r="A1706" s="888" t="s">
        <v>212</v>
      </c>
      <c r="B1706" s="899" t="s">
        <v>278</v>
      </c>
      <c r="C1706" s="898" t="s">
        <v>1174</v>
      </c>
      <c r="D1706" s="898"/>
      <c r="E1706" s="896"/>
      <c r="F1706" s="897"/>
      <c r="G1706" s="1025"/>
      <c r="H1706" s="690"/>
      <c r="I1706" s="1030"/>
      <c r="J1706" s="690"/>
      <c r="K1706" s="1030"/>
      <c r="L1706" s="690"/>
      <c r="M1706" s="1025"/>
      <c r="N1706" s="1030"/>
      <c r="O1706" s="692">
        <f t="shared" si="221"/>
        <v>0</v>
      </c>
      <c r="P1706" s="690"/>
      <c r="Q1706" s="690"/>
      <c r="R1706" s="691">
        <f t="shared" si="222"/>
        <v>0</v>
      </c>
      <c r="S1706" s="692">
        <f t="shared" si="223"/>
        <v>0</v>
      </c>
      <c r="T1706" s="693">
        <f t="shared" si="224"/>
        <v>0</v>
      </c>
      <c r="U1706" s="1035"/>
      <c r="V1706" s="690"/>
      <c r="W1706" s="1025"/>
      <c r="X1706" s="1030"/>
      <c r="Y1706" s="694">
        <f t="shared" si="225"/>
        <v>0</v>
      </c>
      <c r="Z1706" s="690"/>
      <c r="AA1706" s="690"/>
      <c r="AB1706" s="695">
        <f t="shared" si="226"/>
        <v>0</v>
      </c>
      <c r="AC1706" s="1035"/>
      <c r="AD1706" s="690"/>
      <c r="AE1706" s="1025"/>
      <c r="AF1706" s="1030"/>
      <c r="AG1706" s="690"/>
      <c r="AH1706" s="690"/>
      <c r="AI1706" s="696">
        <f t="shared" si="227"/>
        <v>0</v>
      </c>
      <c r="AJ1706" s="697">
        <f t="shared" si="228"/>
        <v>0</v>
      </c>
    </row>
    <row r="1707" spans="1:36" s="700" customFormat="1" ht="12.75" customHeight="1">
      <c r="A1707" s="888" t="s">
        <v>212</v>
      </c>
      <c r="B1707" s="768" t="s">
        <v>295</v>
      </c>
      <c r="C1707" s="769" t="s">
        <v>53</v>
      </c>
      <c r="D1707" s="769"/>
      <c r="E1707" s="760"/>
      <c r="F1707" s="763"/>
      <c r="G1707" s="1025"/>
      <c r="H1707" s="690"/>
      <c r="I1707" s="1030"/>
      <c r="J1707" s="690"/>
      <c r="K1707" s="1030"/>
      <c r="L1707" s="690"/>
      <c r="M1707" s="1025"/>
      <c r="N1707" s="1030"/>
      <c r="O1707" s="692">
        <f t="shared" si="221"/>
        <v>0</v>
      </c>
      <c r="P1707" s="690"/>
      <c r="Q1707" s="690"/>
      <c r="R1707" s="691">
        <f t="shared" si="222"/>
        <v>0</v>
      </c>
      <c r="S1707" s="692">
        <f t="shared" si="223"/>
        <v>0</v>
      </c>
      <c r="T1707" s="693">
        <f t="shared" si="224"/>
        <v>0</v>
      </c>
      <c r="U1707" s="1035"/>
      <c r="V1707" s="690"/>
      <c r="W1707" s="1025"/>
      <c r="X1707" s="1030"/>
      <c r="Y1707" s="694">
        <f t="shared" si="225"/>
        <v>0</v>
      </c>
      <c r="Z1707" s="690"/>
      <c r="AA1707" s="690"/>
      <c r="AB1707" s="695">
        <f t="shared" si="226"/>
        <v>0</v>
      </c>
      <c r="AC1707" s="1035"/>
      <c r="AD1707" s="690"/>
      <c r="AE1707" s="1025"/>
      <c r="AF1707" s="1030"/>
      <c r="AG1707" s="690"/>
      <c r="AH1707" s="690"/>
      <c r="AI1707" s="696">
        <f t="shared" si="227"/>
        <v>0</v>
      </c>
      <c r="AJ1707" s="697">
        <f t="shared" si="228"/>
        <v>0</v>
      </c>
    </row>
    <row r="1708" spans="1:36" s="700" customFormat="1" ht="12.75" customHeight="1">
      <c r="A1708" s="888" t="s">
        <v>212</v>
      </c>
      <c r="B1708" s="899" t="s">
        <v>380</v>
      </c>
      <c r="C1708" s="891" t="s">
        <v>443</v>
      </c>
      <c r="D1708" s="891"/>
      <c r="E1708" s="896"/>
      <c r="F1708" s="897"/>
      <c r="G1708" s="1025"/>
      <c r="H1708" s="690"/>
      <c r="I1708" s="1030"/>
      <c r="J1708" s="690"/>
      <c r="K1708" s="1030"/>
      <c r="L1708" s="690"/>
      <c r="M1708" s="1025"/>
      <c r="N1708" s="1030"/>
      <c r="O1708" s="692">
        <f t="shared" si="221"/>
        <v>0</v>
      </c>
      <c r="P1708" s="690"/>
      <c r="Q1708" s="690"/>
      <c r="R1708" s="691">
        <f t="shared" si="222"/>
        <v>0</v>
      </c>
      <c r="S1708" s="692">
        <f t="shared" si="223"/>
        <v>0</v>
      </c>
      <c r="T1708" s="693">
        <f t="shared" si="224"/>
        <v>0</v>
      </c>
      <c r="U1708" s="1035"/>
      <c r="V1708" s="690"/>
      <c r="W1708" s="1025"/>
      <c r="X1708" s="1030"/>
      <c r="Y1708" s="694">
        <f t="shared" si="225"/>
        <v>0</v>
      </c>
      <c r="Z1708" s="690"/>
      <c r="AA1708" s="690"/>
      <c r="AB1708" s="695">
        <f t="shared" si="226"/>
        <v>0</v>
      </c>
      <c r="AC1708" s="1035"/>
      <c r="AD1708" s="690"/>
      <c r="AE1708" s="1025"/>
      <c r="AF1708" s="1030"/>
      <c r="AG1708" s="690"/>
      <c r="AH1708" s="690"/>
      <c r="AI1708" s="696">
        <f t="shared" si="227"/>
        <v>0</v>
      </c>
      <c r="AJ1708" s="697">
        <f t="shared" si="228"/>
        <v>0</v>
      </c>
    </row>
    <row r="1709" spans="1:36" s="700" customFormat="1" ht="12.75" customHeight="1">
      <c r="A1709" s="888" t="s">
        <v>212</v>
      </c>
      <c r="B1709" s="899" t="s">
        <v>381</v>
      </c>
      <c r="C1709" s="891" t="s">
        <v>377</v>
      </c>
      <c r="D1709" s="891"/>
      <c r="E1709" s="896"/>
      <c r="F1709" s="897"/>
      <c r="G1709" s="1025"/>
      <c r="H1709" s="690"/>
      <c r="I1709" s="1030"/>
      <c r="J1709" s="690"/>
      <c r="K1709" s="1030"/>
      <c r="L1709" s="690"/>
      <c r="M1709" s="1025"/>
      <c r="N1709" s="1030"/>
      <c r="O1709" s="692">
        <f t="shared" si="221"/>
        <v>0</v>
      </c>
      <c r="P1709" s="690"/>
      <c r="Q1709" s="690"/>
      <c r="R1709" s="691">
        <f t="shared" si="222"/>
        <v>0</v>
      </c>
      <c r="S1709" s="692">
        <f t="shared" si="223"/>
        <v>0</v>
      </c>
      <c r="T1709" s="693">
        <f t="shared" si="224"/>
        <v>0</v>
      </c>
      <c r="U1709" s="1035">
        <v>3899908.88</v>
      </c>
      <c r="V1709" s="690">
        <v>3989875</v>
      </c>
      <c r="W1709" s="1025"/>
      <c r="X1709" s="1030"/>
      <c r="Y1709" s="694">
        <f t="shared" si="225"/>
        <v>0</v>
      </c>
      <c r="Z1709" s="690"/>
      <c r="AA1709" s="690"/>
      <c r="AB1709" s="695">
        <f t="shared" si="226"/>
        <v>0</v>
      </c>
      <c r="AC1709" s="1035"/>
      <c r="AD1709" s="690"/>
      <c r="AE1709" s="1025"/>
      <c r="AF1709" s="1030"/>
      <c r="AG1709" s="690"/>
      <c r="AH1709" s="690"/>
      <c r="AI1709" s="696">
        <f t="shared" si="227"/>
        <v>3899908.88</v>
      </c>
      <c r="AJ1709" s="697">
        <f t="shared" si="228"/>
        <v>3989875</v>
      </c>
    </row>
    <row r="1710" spans="1:36" s="700" customFormat="1" ht="12.75" customHeight="1">
      <c r="A1710" s="888" t="s">
        <v>212</v>
      </c>
      <c r="B1710" s="768" t="s">
        <v>279</v>
      </c>
      <c r="C1710" s="769" t="s">
        <v>54</v>
      </c>
      <c r="D1710" s="769"/>
      <c r="E1710" s="896"/>
      <c r="F1710" s="897"/>
      <c r="G1710" s="1025"/>
      <c r="H1710" s="690"/>
      <c r="I1710" s="1030"/>
      <c r="J1710" s="690"/>
      <c r="K1710" s="1030"/>
      <c r="L1710" s="690"/>
      <c r="M1710" s="1025"/>
      <c r="N1710" s="1030"/>
      <c r="O1710" s="692">
        <f t="shared" si="221"/>
        <v>0</v>
      </c>
      <c r="P1710" s="690"/>
      <c r="Q1710" s="690"/>
      <c r="R1710" s="691">
        <f t="shared" si="222"/>
        <v>0</v>
      </c>
      <c r="S1710" s="692">
        <f t="shared" si="223"/>
        <v>0</v>
      </c>
      <c r="T1710" s="693">
        <f t="shared" si="224"/>
        <v>0</v>
      </c>
      <c r="U1710" s="1035"/>
      <c r="V1710" s="690"/>
      <c r="W1710" s="1025"/>
      <c r="X1710" s="1030"/>
      <c r="Y1710" s="694">
        <f t="shared" si="225"/>
        <v>0</v>
      </c>
      <c r="Z1710" s="690"/>
      <c r="AA1710" s="690"/>
      <c r="AB1710" s="695">
        <f t="shared" si="226"/>
        <v>0</v>
      </c>
      <c r="AC1710" s="1035"/>
      <c r="AD1710" s="690"/>
      <c r="AE1710" s="1025"/>
      <c r="AF1710" s="1030"/>
      <c r="AG1710" s="690"/>
      <c r="AH1710" s="690"/>
      <c r="AI1710" s="696">
        <f t="shared" si="227"/>
        <v>0</v>
      </c>
      <c r="AJ1710" s="697">
        <f t="shared" si="228"/>
        <v>0</v>
      </c>
    </row>
    <row r="1711" spans="1:36" s="700" customFormat="1" ht="12.75" customHeight="1">
      <c r="A1711" s="888" t="s">
        <v>212</v>
      </c>
      <c r="B1711" s="899" t="s">
        <v>318</v>
      </c>
      <c r="C1711" s="891" t="s">
        <v>377</v>
      </c>
      <c r="D1711" s="891"/>
      <c r="E1711" s="896"/>
      <c r="F1711" s="897"/>
      <c r="G1711" s="1025"/>
      <c r="H1711" s="690"/>
      <c r="I1711" s="1030"/>
      <c r="J1711" s="690"/>
      <c r="K1711" s="1030"/>
      <c r="L1711" s="690"/>
      <c r="M1711" s="1025"/>
      <c r="N1711" s="1030"/>
      <c r="O1711" s="692">
        <f t="shared" si="221"/>
        <v>0</v>
      </c>
      <c r="P1711" s="690"/>
      <c r="Q1711" s="690"/>
      <c r="R1711" s="691">
        <f t="shared" si="222"/>
        <v>0</v>
      </c>
      <c r="S1711" s="692">
        <f t="shared" si="223"/>
        <v>0</v>
      </c>
      <c r="T1711" s="693">
        <f t="shared" si="224"/>
        <v>0</v>
      </c>
      <c r="U1711" s="1035">
        <v>812499</v>
      </c>
      <c r="V1711" s="690">
        <v>821668</v>
      </c>
      <c r="W1711" s="1025"/>
      <c r="X1711" s="1030"/>
      <c r="Y1711" s="694">
        <f t="shared" si="225"/>
        <v>0</v>
      </c>
      <c r="Z1711" s="690"/>
      <c r="AA1711" s="690"/>
      <c r="AB1711" s="695">
        <f t="shared" si="226"/>
        <v>0</v>
      </c>
      <c r="AC1711" s="1035"/>
      <c r="AD1711" s="690"/>
      <c r="AE1711" s="1025"/>
      <c r="AF1711" s="1030"/>
      <c r="AG1711" s="690"/>
      <c r="AH1711" s="690"/>
      <c r="AI1711" s="696">
        <f t="shared" si="227"/>
        <v>812499</v>
      </c>
      <c r="AJ1711" s="697">
        <f t="shared" si="228"/>
        <v>821668</v>
      </c>
    </row>
    <row r="1712" spans="1:36" s="700" customFormat="1" ht="12.75" customHeight="1">
      <c r="A1712" s="888" t="s">
        <v>212</v>
      </c>
      <c r="B1712" s="768" t="s">
        <v>295</v>
      </c>
      <c r="C1712" s="898" t="s">
        <v>1894</v>
      </c>
      <c r="D1712" s="898"/>
      <c r="E1712" s="896"/>
      <c r="F1712" s="897"/>
      <c r="G1712" s="1025"/>
      <c r="H1712" s="690"/>
      <c r="I1712" s="1030"/>
      <c r="J1712" s="690"/>
      <c r="K1712" s="1030"/>
      <c r="L1712" s="690"/>
      <c r="M1712" s="1025"/>
      <c r="N1712" s="1030"/>
      <c r="O1712" s="692">
        <f t="shared" si="221"/>
        <v>0</v>
      </c>
      <c r="P1712" s="690"/>
      <c r="Q1712" s="690"/>
      <c r="R1712" s="691">
        <f t="shared" si="222"/>
        <v>0</v>
      </c>
      <c r="S1712" s="692">
        <f t="shared" si="223"/>
        <v>0</v>
      </c>
      <c r="T1712" s="693">
        <f t="shared" si="224"/>
        <v>0</v>
      </c>
      <c r="U1712" s="1035"/>
      <c r="V1712" s="690"/>
      <c r="W1712" s="1025"/>
      <c r="X1712" s="1030"/>
      <c r="Y1712" s="694">
        <f t="shared" si="225"/>
        <v>0</v>
      </c>
      <c r="Z1712" s="690"/>
      <c r="AA1712" s="690"/>
      <c r="AB1712" s="695">
        <f t="shared" si="226"/>
        <v>0</v>
      </c>
      <c r="AC1712" s="1035"/>
      <c r="AD1712" s="690"/>
      <c r="AE1712" s="1025"/>
      <c r="AF1712" s="1030"/>
      <c r="AG1712" s="690"/>
      <c r="AH1712" s="690"/>
      <c r="AI1712" s="696">
        <f t="shared" si="227"/>
        <v>0</v>
      </c>
      <c r="AJ1712" s="697">
        <f t="shared" si="228"/>
        <v>0</v>
      </c>
    </row>
    <row r="1713" spans="1:36" s="700" customFormat="1" ht="12.75" customHeight="1">
      <c r="A1713" s="888" t="s">
        <v>212</v>
      </c>
      <c r="B1713" s="768" t="s">
        <v>295</v>
      </c>
      <c r="C1713" s="898" t="s">
        <v>1178</v>
      </c>
      <c r="D1713" s="898"/>
      <c r="E1713" s="896"/>
      <c r="F1713" s="897"/>
      <c r="G1713" s="1025"/>
      <c r="H1713" s="690"/>
      <c r="I1713" s="1030"/>
      <c r="J1713" s="690"/>
      <c r="K1713" s="1030"/>
      <c r="L1713" s="690"/>
      <c r="M1713" s="1025"/>
      <c r="N1713" s="1030"/>
      <c r="O1713" s="692">
        <f t="shared" si="221"/>
        <v>0</v>
      </c>
      <c r="P1713" s="690"/>
      <c r="Q1713" s="690"/>
      <c r="R1713" s="691">
        <f t="shared" si="222"/>
        <v>0</v>
      </c>
      <c r="S1713" s="692">
        <f t="shared" si="223"/>
        <v>0</v>
      </c>
      <c r="T1713" s="693">
        <f t="shared" si="224"/>
        <v>0</v>
      </c>
      <c r="U1713" s="1035"/>
      <c r="V1713" s="690">
        <v>453145</v>
      </c>
      <c r="W1713" s="1025"/>
      <c r="X1713" s="1030"/>
      <c r="Y1713" s="694">
        <f t="shared" si="225"/>
        <v>0</v>
      </c>
      <c r="Z1713" s="690"/>
      <c r="AA1713" s="690"/>
      <c r="AB1713" s="695">
        <f t="shared" si="226"/>
        <v>0</v>
      </c>
      <c r="AC1713" s="1035"/>
      <c r="AD1713" s="690"/>
      <c r="AE1713" s="1025"/>
      <c r="AF1713" s="1030"/>
      <c r="AG1713" s="690"/>
      <c r="AH1713" s="690"/>
      <c r="AI1713" s="696">
        <f t="shared" si="227"/>
        <v>0</v>
      </c>
      <c r="AJ1713" s="697">
        <f t="shared" si="228"/>
        <v>453145</v>
      </c>
    </row>
    <row r="1714" spans="1:36" s="700" customFormat="1" ht="12.75" customHeight="1">
      <c r="A1714" s="888" t="s">
        <v>212</v>
      </c>
      <c r="B1714" s="768" t="s">
        <v>295</v>
      </c>
      <c r="C1714" s="769" t="s">
        <v>53</v>
      </c>
      <c r="D1714" s="769"/>
      <c r="E1714" s="760"/>
      <c r="F1714" s="763"/>
      <c r="G1714" s="1025"/>
      <c r="H1714" s="690"/>
      <c r="I1714" s="1030"/>
      <c r="J1714" s="690"/>
      <c r="K1714" s="1030"/>
      <c r="L1714" s="690"/>
      <c r="M1714" s="1025"/>
      <c r="N1714" s="1030"/>
      <c r="O1714" s="692">
        <f t="shared" si="221"/>
        <v>0</v>
      </c>
      <c r="P1714" s="690"/>
      <c r="Q1714" s="690"/>
      <c r="R1714" s="691">
        <f t="shared" si="222"/>
        <v>0</v>
      </c>
      <c r="S1714" s="692">
        <f t="shared" si="223"/>
        <v>0</v>
      </c>
      <c r="T1714" s="693">
        <f t="shared" si="224"/>
        <v>0</v>
      </c>
      <c r="U1714" s="1035"/>
      <c r="V1714" s="690"/>
      <c r="W1714" s="1025"/>
      <c r="X1714" s="1030"/>
      <c r="Y1714" s="694">
        <f t="shared" si="225"/>
        <v>0</v>
      </c>
      <c r="Z1714" s="690"/>
      <c r="AA1714" s="690"/>
      <c r="AB1714" s="695">
        <f t="shared" si="226"/>
        <v>0</v>
      </c>
      <c r="AC1714" s="1035"/>
      <c r="AD1714" s="690"/>
      <c r="AE1714" s="1025"/>
      <c r="AF1714" s="1030"/>
      <c r="AG1714" s="690"/>
      <c r="AH1714" s="690"/>
      <c r="AI1714" s="696">
        <f t="shared" si="227"/>
        <v>0</v>
      </c>
      <c r="AJ1714" s="697">
        <f t="shared" si="228"/>
        <v>0</v>
      </c>
    </row>
    <row r="1715" spans="1:36" s="700" customFormat="1" ht="12.75" customHeight="1">
      <c r="A1715" s="888" t="s">
        <v>212</v>
      </c>
      <c r="B1715" s="899" t="s">
        <v>381</v>
      </c>
      <c r="C1715" s="891" t="s">
        <v>377</v>
      </c>
      <c r="D1715" s="891"/>
      <c r="E1715" s="896"/>
      <c r="F1715" s="897"/>
      <c r="G1715" s="1025"/>
      <c r="H1715" s="690"/>
      <c r="I1715" s="1030"/>
      <c r="J1715" s="690"/>
      <c r="K1715" s="1030"/>
      <c r="L1715" s="690"/>
      <c r="M1715" s="1025"/>
      <c r="N1715" s="1030"/>
      <c r="O1715" s="692">
        <f t="shared" si="221"/>
        <v>0</v>
      </c>
      <c r="P1715" s="690"/>
      <c r="Q1715" s="690"/>
      <c r="R1715" s="691">
        <f t="shared" si="222"/>
        <v>0</v>
      </c>
      <c r="S1715" s="692">
        <f t="shared" si="223"/>
        <v>0</v>
      </c>
      <c r="T1715" s="693">
        <f t="shared" si="224"/>
        <v>0</v>
      </c>
      <c r="U1715" s="1035">
        <v>2153016</v>
      </c>
      <c r="V1715" s="690">
        <v>2426976</v>
      </c>
      <c r="W1715" s="1025"/>
      <c r="X1715" s="1030"/>
      <c r="Y1715" s="694">
        <f t="shared" si="225"/>
        <v>0</v>
      </c>
      <c r="Z1715" s="690"/>
      <c r="AA1715" s="690"/>
      <c r="AB1715" s="695">
        <f t="shared" si="226"/>
        <v>0</v>
      </c>
      <c r="AC1715" s="1035"/>
      <c r="AD1715" s="690"/>
      <c r="AE1715" s="1025"/>
      <c r="AF1715" s="1030"/>
      <c r="AG1715" s="690"/>
      <c r="AH1715" s="690"/>
      <c r="AI1715" s="696">
        <f t="shared" si="227"/>
        <v>2153016</v>
      </c>
      <c r="AJ1715" s="697">
        <f t="shared" si="228"/>
        <v>2426976</v>
      </c>
    </row>
    <row r="1716" spans="1:36" s="700" customFormat="1" ht="12.75" customHeight="1">
      <c r="A1716" s="888" t="s">
        <v>212</v>
      </c>
      <c r="B1716" s="768" t="s">
        <v>279</v>
      </c>
      <c r="C1716" s="891" t="s">
        <v>54</v>
      </c>
      <c r="D1716" s="891"/>
      <c r="E1716" s="896"/>
      <c r="F1716" s="897"/>
      <c r="G1716" s="1025"/>
      <c r="H1716" s="690"/>
      <c r="I1716" s="1030"/>
      <c r="J1716" s="690"/>
      <c r="K1716" s="1030"/>
      <c r="L1716" s="690"/>
      <c r="M1716" s="1025"/>
      <c r="N1716" s="1030"/>
      <c r="O1716" s="692">
        <f t="shared" si="221"/>
        <v>0</v>
      </c>
      <c r="P1716" s="690"/>
      <c r="Q1716" s="690"/>
      <c r="R1716" s="691">
        <f t="shared" si="222"/>
        <v>0</v>
      </c>
      <c r="S1716" s="692">
        <f t="shared" si="223"/>
        <v>0</v>
      </c>
      <c r="T1716" s="693">
        <f t="shared" si="224"/>
        <v>0</v>
      </c>
      <c r="U1716" s="1035"/>
      <c r="V1716" s="690"/>
      <c r="W1716" s="1025"/>
      <c r="X1716" s="1030"/>
      <c r="Y1716" s="694">
        <f t="shared" si="225"/>
        <v>0</v>
      </c>
      <c r="Z1716" s="690"/>
      <c r="AA1716" s="690"/>
      <c r="AB1716" s="695">
        <f t="shared" si="226"/>
        <v>0</v>
      </c>
      <c r="AC1716" s="1035"/>
      <c r="AD1716" s="690"/>
      <c r="AE1716" s="1025"/>
      <c r="AF1716" s="1030"/>
      <c r="AG1716" s="690"/>
      <c r="AH1716" s="690"/>
      <c r="AI1716" s="696">
        <f t="shared" si="227"/>
        <v>0</v>
      </c>
      <c r="AJ1716" s="697">
        <f t="shared" si="228"/>
        <v>0</v>
      </c>
    </row>
    <row r="1717" spans="1:36" s="700" customFormat="1" ht="12.75" customHeight="1">
      <c r="A1717" s="888" t="s">
        <v>212</v>
      </c>
      <c r="B1717" s="899" t="s">
        <v>318</v>
      </c>
      <c r="C1717" s="891" t="s">
        <v>377</v>
      </c>
      <c r="D1717" s="891"/>
      <c r="E1717" s="896"/>
      <c r="F1717" s="897"/>
      <c r="G1717" s="1025"/>
      <c r="H1717" s="690"/>
      <c r="I1717" s="1030"/>
      <c r="J1717" s="690"/>
      <c r="K1717" s="1030"/>
      <c r="L1717" s="690"/>
      <c r="M1717" s="1025"/>
      <c r="N1717" s="1030"/>
      <c r="O1717" s="692">
        <f t="shared" si="221"/>
        <v>0</v>
      </c>
      <c r="P1717" s="690"/>
      <c r="Q1717" s="690"/>
      <c r="R1717" s="691">
        <f t="shared" si="222"/>
        <v>0</v>
      </c>
      <c r="S1717" s="692">
        <f t="shared" si="223"/>
        <v>0</v>
      </c>
      <c r="T1717" s="693">
        <f t="shared" si="224"/>
        <v>0</v>
      </c>
      <c r="U1717" s="1035">
        <v>635250</v>
      </c>
      <c r="V1717" s="690">
        <v>654856</v>
      </c>
      <c r="W1717" s="1025"/>
      <c r="X1717" s="1030"/>
      <c r="Y1717" s="694">
        <f t="shared" si="225"/>
        <v>0</v>
      </c>
      <c r="Z1717" s="690"/>
      <c r="AA1717" s="690"/>
      <c r="AB1717" s="695">
        <f t="shared" si="226"/>
        <v>0</v>
      </c>
      <c r="AC1717" s="1035"/>
      <c r="AD1717" s="690"/>
      <c r="AE1717" s="1025"/>
      <c r="AF1717" s="1030"/>
      <c r="AG1717" s="690"/>
      <c r="AH1717" s="690"/>
      <c r="AI1717" s="696">
        <f t="shared" si="227"/>
        <v>635250</v>
      </c>
      <c r="AJ1717" s="697">
        <f t="shared" si="228"/>
        <v>654856</v>
      </c>
    </row>
    <row r="1718" spans="1:36" s="700" customFormat="1" ht="12.75" customHeight="1">
      <c r="A1718" s="888" t="s">
        <v>212</v>
      </c>
      <c r="B1718" s="899" t="s">
        <v>421</v>
      </c>
      <c r="C1718" s="1036" t="s">
        <v>19</v>
      </c>
      <c r="D1718" s="1036"/>
      <c r="E1718" s="896"/>
      <c r="F1718" s="897"/>
      <c r="G1718" s="1025"/>
      <c r="H1718" s="690"/>
      <c r="I1718" s="1030"/>
      <c r="J1718" s="690"/>
      <c r="K1718" s="1030"/>
      <c r="L1718" s="690"/>
      <c r="M1718" s="1025"/>
      <c r="N1718" s="1030"/>
      <c r="O1718" s="692">
        <f t="shared" si="221"/>
        <v>0</v>
      </c>
      <c r="P1718" s="690"/>
      <c r="Q1718" s="690"/>
      <c r="R1718" s="691">
        <f t="shared" si="222"/>
        <v>0</v>
      </c>
      <c r="S1718" s="692">
        <f t="shared" si="223"/>
        <v>0</v>
      </c>
      <c r="T1718" s="693">
        <f t="shared" si="224"/>
        <v>0</v>
      </c>
      <c r="U1718" s="1035"/>
      <c r="V1718" s="690"/>
      <c r="W1718" s="1025"/>
      <c r="X1718" s="1030"/>
      <c r="Y1718" s="694">
        <f t="shared" si="225"/>
        <v>0</v>
      </c>
      <c r="Z1718" s="690"/>
      <c r="AA1718" s="690"/>
      <c r="AB1718" s="695">
        <f t="shared" si="226"/>
        <v>0</v>
      </c>
      <c r="AC1718" s="1035"/>
      <c r="AD1718" s="690"/>
      <c r="AE1718" s="1025"/>
      <c r="AF1718" s="1030"/>
      <c r="AG1718" s="690"/>
      <c r="AH1718" s="690"/>
      <c r="AI1718" s="696">
        <f t="shared" si="227"/>
        <v>0</v>
      </c>
      <c r="AJ1718" s="697">
        <f t="shared" si="228"/>
        <v>0</v>
      </c>
    </row>
    <row r="1719" spans="1:36" s="700" customFormat="1" ht="12.75" customHeight="1">
      <c r="A1719" s="888" t="s">
        <v>212</v>
      </c>
      <c r="B1719" s="899" t="s">
        <v>380</v>
      </c>
      <c r="C1719" s="891" t="s">
        <v>1175</v>
      </c>
      <c r="D1719" s="891"/>
      <c r="E1719" s="896"/>
      <c r="F1719" s="897"/>
      <c r="G1719" s="1025"/>
      <c r="H1719" s="690"/>
      <c r="I1719" s="1030"/>
      <c r="J1719" s="690"/>
      <c r="K1719" s="1030"/>
      <c r="L1719" s="690"/>
      <c r="M1719" s="1025"/>
      <c r="N1719" s="1030"/>
      <c r="O1719" s="692">
        <f t="shared" si="221"/>
        <v>0</v>
      </c>
      <c r="P1719" s="690"/>
      <c r="Q1719" s="690"/>
      <c r="R1719" s="691">
        <f t="shared" si="222"/>
        <v>0</v>
      </c>
      <c r="S1719" s="692">
        <f t="shared" si="223"/>
        <v>0</v>
      </c>
      <c r="T1719" s="693">
        <f t="shared" si="224"/>
        <v>0</v>
      </c>
      <c r="U1719" s="1035">
        <v>697591.5</v>
      </c>
      <c r="V1719" s="690">
        <v>750000</v>
      </c>
      <c r="W1719" s="1025"/>
      <c r="X1719" s="1030"/>
      <c r="Y1719" s="694">
        <f t="shared" si="225"/>
        <v>0</v>
      </c>
      <c r="Z1719" s="690"/>
      <c r="AA1719" s="690"/>
      <c r="AB1719" s="695">
        <f t="shared" si="226"/>
        <v>0</v>
      </c>
      <c r="AC1719" s="1035"/>
      <c r="AD1719" s="690"/>
      <c r="AE1719" s="1025"/>
      <c r="AF1719" s="1030"/>
      <c r="AG1719" s="690"/>
      <c r="AH1719" s="690"/>
      <c r="AI1719" s="696">
        <f t="shared" si="227"/>
        <v>697591.5</v>
      </c>
      <c r="AJ1719" s="697">
        <f t="shared" si="228"/>
        <v>750000</v>
      </c>
    </row>
    <row r="1720" spans="1:36" s="700" customFormat="1" ht="12.75" customHeight="1">
      <c r="A1720" s="888" t="s">
        <v>212</v>
      </c>
      <c r="B1720" s="899" t="s">
        <v>381</v>
      </c>
      <c r="C1720" s="891" t="s">
        <v>1176</v>
      </c>
      <c r="D1720" s="891"/>
      <c r="E1720" s="896"/>
      <c r="F1720" s="897"/>
      <c r="G1720" s="1025"/>
      <c r="H1720" s="690"/>
      <c r="I1720" s="1030"/>
      <c r="J1720" s="690"/>
      <c r="K1720" s="1030"/>
      <c r="L1720" s="690"/>
      <c r="M1720" s="1025"/>
      <c r="N1720" s="1030"/>
      <c r="O1720" s="692">
        <f t="shared" si="221"/>
        <v>0</v>
      </c>
      <c r="P1720" s="690"/>
      <c r="Q1720" s="690"/>
      <c r="R1720" s="691">
        <f t="shared" si="222"/>
        <v>0</v>
      </c>
      <c r="S1720" s="692">
        <f t="shared" si="223"/>
        <v>0</v>
      </c>
      <c r="T1720" s="693">
        <f t="shared" si="224"/>
        <v>0</v>
      </c>
      <c r="U1720" s="1035">
        <v>333583.52</v>
      </c>
      <c r="V1720" s="690">
        <v>363722</v>
      </c>
      <c r="W1720" s="1025"/>
      <c r="X1720" s="1030"/>
      <c r="Y1720" s="694">
        <f t="shared" si="225"/>
        <v>0</v>
      </c>
      <c r="Z1720" s="690"/>
      <c r="AA1720" s="690"/>
      <c r="AB1720" s="695">
        <f t="shared" si="226"/>
        <v>0</v>
      </c>
      <c r="AC1720" s="1035"/>
      <c r="AD1720" s="690"/>
      <c r="AE1720" s="1025"/>
      <c r="AF1720" s="1030"/>
      <c r="AG1720" s="690"/>
      <c r="AH1720" s="690"/>
      <c r="AI1720" s="696">
        <f t="shared" si="227"/>
        <v>333583.52</v>
      </c>
      <c r="AJ1720" s="697">
        <f t="shared" si="228"/>
        <v>363722</v>
      </c>
    </row>
    <row r="1721" spans="1:36" s="700" customFormat="1" ht="12.75" customHeight="1">
      <c r="A1721" s="888" t="s">
        <v>212</v>
      </c>
      <c r="B1721" s="899" t="s">
        <v>421</v>
      </c>
      <c r="C1721" s="1036" t="s">
        <v>150</v>
      </c>
      <c r="D1721" s="1036"/>
      <c r="E1721" s="896"/>
      <c r="F1721" s="897"/>
      <c r="G1721" s="1025"/>
      <c r="H1721" s="690"/>
      <c r="I1721" s="1030"/>
      <c r="J1721" s="690"/>
      <c r="K1721" s="1030"/>
      <c r="L1721" s="690"/>
      <c r="M1721" s="1025"/>
      <c r="N1721" s="1030"/>
      <c r="O1721" s="692">
        <f t="shared" si="221"/>
        <v>0</v>
      </c>
      <c r="P1721" s="690"/>
      <c r="Q1721" s="690"/>
      <c r="R1721" s="691">
        <f t="shared" si="222"/>
        <v>0</v>
      </c>
      <c r="S1721" s="692">
        <f t="shared" si="223"/>
        <v>0</v>
      </c>
      <c r="T1721" s="693">
        <f t="shared" si="224"/>
        <v>0</v>
      </c>
      <c r="U1721" s="1035"/>
      <c r="V1721" s="690"/>
      <c r="W1721" s="1025"/>
      <c r="X1721" s="1030"/>
      <c r="Y1721" s="694">
        <f t="shared" si="225"/>
        <v>0</v>
      </c>
      <c r="Z1721" s="690"/>
      <c r="AA1721" s="690"/>
      <c r="AB1721" s="695">
        <f t="shared" si="226"/>
        <v>0</v>
      </c>
      <c r="AC1721" s="1035"/>
      <c r="AD1721" s="690"/>
      <c r="AE1721" s="1025"/>
      <c r="AF1721" s="1030"/>
      <c r="AG1721" s="690"/>
      <c r="AH1721" s="690"/>
      <c r="AI1721" s="696">
        <f t="shared" si="227"/>
        <v>0</v>
      </c>
      <c r="AJ1721" s="697">
        <f t="shared" si="228"/>
        <v>0</v>
      </c>
    </row>
    <row r="1722" spans="1:36" s="700" customFormat="1" ht="12.75" customHeight="1">
      <c r="A1722" s="888" t="s">
        <v>212</v>
      </c>
      <c r="B1722" s="899" t="s">
        <v>380</v>
      </c>
      <c r="C1722" s="891" t="s">
        <v>443</v>
      </c>
      <c r="D1722" s="891"/>
      <c r="E1722" s="896"/>
      <c r="F1722" s="897"/>
      <c r="G1722" s="1025"/>
      <c r="H1722" s="690"/>
      <c r="I1722" s="1030"/>
      <c r="J1722" s="690"/>
      <c r="K1722" s="1030"/>
      <c r="L1722" s="690"/>
      <c r="M1722" s="1025"/>
      <c r="N1722" s="1030"/>
      <c r="O1722" s="692">
        <f t="shared" si="221"/>
        <v>0</v>
      </c>
      <c r="P1722" s="690"/>
      <c r="Q1722" s="690"/>
      <c r="R1722" s="691">
        <f t="shared" si="222"/>
        <v>0</v>
      </c>
      <c r="S1722" s="692">
        <f t="shared" si="223"/>
        <v>0</v>
      </c>
      <c r="T1722" s="693">
        <f t="shared" si="224"/>
        <v>0</v>
      </c>
      <c r="U1722" s="1035"/>
      <c r="V1722" s="690"/>
      <c r="W1722" s="1025"/>
      <c r="X1722" s="1030"/>
      <c r="Y1722" s="694">
        <f t="shared" si="225"/>
        <v>0</v>
      </c>
      <c r="Z1722" s="690"/>
      <c r="AA1722" s="690"/>
      <c r="AB1722" s="695">
        <f t="shared" si="226"/>
        <v>0</v>
      </c>
      <c r="AC1722" s="1035"/>
      <c r="AD1722" s="690"/>
      <c r="AE1722" s="1025"/>
      <c r="AF1722" s="1030"/>
      <c r="AG1722" s="690"/>
      <c r="AH1722" s="690"/>
      <c r="AI1722" s="696">
        <f t="shared" si="227"/>
        <v>0</v>
      </c>
      <c r="AJ1722" s="697">
        <f t="shared" si="228"/>
        <v>0</v>
      </c>
    </row>
    <row r="1723" spans="1:36" s="700" customFormat="1" ht="12.75" customHeight="1">
      <c r="A1723" s="888" t="s">
        <v>212</v>
      </c>
      <c r="B1723" s="899" t="s">
        <v>381</v>
      </c>
      <c r="C1723" s="891" t="s">
        <v>1177</v>
      </c>
      <c r="D1723" s="891"/>
      <c r="E1723" s="896"/>
      <c r="F1723" s="897"/>
      <c r="G1723" s="1025"/>
      <c r="H1723" s="690"/>
      <c r="I1723" s="1030"/>
      <c r="J1723" s="690"/>
      <c r="K1723" s="1030"/>
      <c r="L1723" s="690"/>
      <c r="M1723" s="1025"/>
      <c r="N1723" s="1030"/>
      <c r="O1723" s="692">
        <f t="shared" si="221"/>
        <v>0</v>
      </c>
      <c r="P1723" s="690"/>
      <c r="Q1723" s="690"/>
      <c r="R1723" s="691">
        <f t="shared" si="222"/>
        <v>0</v>
      </c>
      <c r="S1723" s="692">
        <f t="shared" si="223"/>
        <v>0</v>
      </c>
      <c r="T1723" s="693">
        <f t="shared" si="224"/>
        <v>0</v>
      </c>
      <c r="U1723" s="1035">
        <v>55336</v>
      </c>
      <c r="V1723" s="690">
        <v>84902</v>
      </c>
      <c r="W1723" s="1025"/>
      <c r="X1723" s="1030"/>
      <c r="Y1723" s="694">
        <f t="shared" si="225"/>
        <v>0</v>
      </c>
      <c r="Z1723" s="690"/>
      <c r="AA1723" s="690"/>
      <c r="AB1723" s="695">
        <f t="shared" si="226"/>
        <v>0</v>
      </c>
      <c r="AC1723" s="1035"/>
      <c r="AD1723" s="690"/>
      <c r="AE1723" s="1025"/>
      <c r="AF1723" s="1030"/>
      <c r="AG1723" s="690"/>
      <c r="AH1723" s="690"/>
      <c r="AI1723" s="696">
        <f t="shared" si="227"/>
        <v>55336</v>
      </c>
      <c r="AJ1723" s="697">
        <f t="shared" si="228"/>
        <v>84902</v>
      </c>
    </row>
    <row r="1724" spans="1:36" s="698" customFormat="1" ht="12.75" customHeight="1">
      <c r="A1724" s="900" t="s">
        <v>212</v>
      </c>
      <c r="B1724" s="900" t="s">
        <v>392</v>
      </c>
      <c r="C1724" s="901" t="s">
        <v>1179</v>
      </c>
      <c r="D1724" s="901"/>
      <c r="E1724" s="902">
        <v>175786</v>
      </c>
      <c r="F1724" s="903">
        <v>8</v>
      </c>
      <c r="G1724" s="1025">
        <v>28310038</v>
      </c>
      <c r="H1724" s="690">
        <f>22426115+4062777</f>
        <v>26488892</v>
      </c>
      <c r="I1724" s="1030"/>
      <c r="J1724" s="690"/>
      <c r="K1724" s="1030">
        <v>10322131</v>
      </c>
      <c r="L1724" s="690">
        <v>10866970</v>
      </c>
      <c r="M1724" s="1025">
        <v>24655479</v>
      </c>
      <c r="N1724" s="1030"/>
      <c r="O1724" s="692">
        <f t="shared" si="221"/>
        <v>24655479</v>
      </c>
      <c r="P1724" s="690">
        <v>28548205</v>
      </c>
      <c r="Q1724" s="690">
        <v>0</v>
      </c>
      <c r="R1724" s="691">
        <f t="shared" si="222"/>
        <v>28548205</v>
      </c>
      <c r="S1724" s="692">
        <f t="shared" si="223"/>
        <v>63287648</v>
      </c>
      <c r="T1724" s="693">
        <f t="shared" si="224"/>
        <v>65904067</v>
      </c>
      <c r="U1724" s="1035"/>
      <c r="V1724" s="690"/>
      <c r="W1724" s="1025"/>
      <c r="X1724" s="1030"/>
      <c r="Y1724" s="694">
        <f t="shared" si="225"/>
        <v>0</v>
      </c>
      <c r="Z1724" s="690"/>
      <c r="AA1724" s="690"/>
      <c r="AB1724" s="695">
        <f t="shared" si="226"/>
        <v>0</v>
      </c>
      <c r="AC1724" s="1035"/>
      <c r="AD1724" s="690"/>
      <c r="AE1724" s="1025"/>
      <c r="AF1724" s="1030"/>
      <c r="AG1724" s="690"/>
      <c r="AH1724" s="690"/>
      <c r="AI1724" s="696">
        <f t="shared" si="227"/>
        <v>63287648</v>
      </c>
      <c r="AJ1724" s="697">
        <f t="shared" si="228"/>
        <v>65904067</v>
      </c>
    </row>
    <row r="1725" spans="1:36" s="698" customFormat="1" ht="12.75" customHeight="1">
      <c r="A1725" s="900" t="s">
        <v>212</v>
      </c>
      <c r="B1725" s="900" t="s">
        <v>400</v>
      </c>
      <c r="C1725" s="904" t="s">
        <v>484</v>
      </c>
      <c r="D1725" s="904"/>
      <c r="E1725" s="902">
        <v>175786</v>
      </c>
      <c r="F1725" s="903">
        <v>8</v>
      </c>
      <c r="G1725" s="1025"/>
      <c r="H1725" s="690"/>
      <c r="I1725" s="1030"/>
      <c r="J1725" s="690"/>
      <c r="K1725" s="1030"/>
      <c r="L1725" s="690"/>
      <c r="M1725" s="1025"/>
      <c r="N1725" s="1030"/>
      <c r="O1725" s="692">
        <f t="shared" si="221"/>
        <v>0</v>
      </c>
      <c r="P1725" s="690"/>
      <c r="Q1725" s="690"/>
      <c r="R1725" s="691">
        <f t="shared" si="222"/>
        <v>0</v>
      </c>
      <c r="S1725" s="692">
        <f t="shared" si="223"/>
        <v>0</v>
      </c>
      <c r="T1725" s="693">
        <f t="shared" si="224"/>
        <v>0</v>
      </c>
      <c r="U1725" s="1035"/>
      <c r="V1725" s="690"/>
      <c r="W1725" s="1025"/>
      <c r="X1725" s="1030"/>
      <c r="Y1725" s="694">
        <f t="shared" si="225"/>
        <v>0</v>
      </c>
      <c r="Z1725" s="690"/>
      <c r="AA1725" s="690"/>
      <c r="AB1725" s="695">
        <f t="shared" si="226"/>
        <v>0</v>
      </c>
      <c r="AC1725" s="1035"/>
      <c r="AD1725" s="690"/>
      <c r="AE1725" s="1025"/>
      <c r="AF1725" s="1030"/>
      <c r="AG1725" s="690"/>
      <c r="AH1725" s="690"/>
      <c r="AI1725" s="696">
        <f t="shared" si="227"/>
        <v>0</v>
      </c>
      <c r="AJ1725" s="697">
        <f t="shared" si="228"/>
        <v>0</v>
      </c>
    </row>
    <row r="1726" spans="1:36" s="698" customFormat="1" ht="12.75" customHeight="1">
      <c r="A1726" s="900" t="s">
        <v>212</v>
      </c>
      <c r="B1726" s="900" t="s">
        <v>400</v>
      </c>
      <c r="C1726" s="905" t="s">
        <v>1180</v>
      </c>
      <c r="D1726" s="905"/>
      <c r="E1726" s="902">
        <v>175786</v>
      </c>
      <c r="F1726" s="903">
        <v>8</v>
      </c>
      <c r="G1726" s="1025"/>
      <c r="H1726" s="690"/>
      <c r="I1726" s="1030">
        <v>4164345</v>
      </c>
      <c r="J1726" s="690">
        <v>4750150</v>
      </c>
      <c r="K1726" s="1030"/>
      <c r="L1726" s="690"/>
      <c r="M1726" s="1025"/>
      <c r="N1726" s="1030"/>
      <c r="O1726" s="692">
        <f t="shared" si="221"/>
        <v>0</v>
      </c>
      <c r="P1726" s="690"/>
      <c r="Q1726" s="690"/>
      <c r="R1726" s="691">
        <f t="shared" si="222"/>
        <v>0</v>
      </c>
      <c r="S1726" s="692">
        <f t="shared" si="223"/>
        <v>4164345</v>
      </c>
      <c r="T1726" s="693">
        <f t="shared" si="224"/>
        <v>4750150</v>
      </c>
      <c r="U1726" s="1035"/>
      <c r="V1726" s="690"/>
      <c r="W1726" s="1025"/>
      <c r="X1726" s="1030"/>
      <c r="Y1726" s="694">
        <f t="shared" si="225"/>
        <v>0</v>
      </c>
      <c r="Z1726" s="690"/>
      <c r="AA1726" s="690"/>
      <c r="AB1726" s="695">
        <f t="shared" si="226"/>
        <v>0</v>
      </c>
      <c r="AC1726" s="1035"/>
      <c r="AD1726" s="690"/>
      <c r="AE1726" s="1025"/>
      <c r="AF1726" s="1030"/>
      <c r="AG1726" s="690"/>
      <c r="AH1726" s="690"/>
      <c r="AI1726" s="696">
        <f t="shared" si="227"/>
        <v>4164345</v>
      </c>
      <c r="AJ1726" s="697">
        <f t="shared" si="228"/>
        <v>4750150</v>
      </c>
    </row>
    <row r="1727" spans="1:36" s="698" customFormat="1" ht="12.75" customHeight="1">
      <c r="A1727" s="900" t="s">
        <v>212</v>
      </c>
      <c r="B1727" s="900" t="s">
        <v>392</v>
      </c>
      <c r="C1727" s="906" t="s">
        <v>1181</v>
      </c>
      <c r="D1727" s="906"/>
      <c r="E1727" s="902">
        <v>176071</v>
      </c>
      <c r="F1727" s="903">
        <v>8</v>
      </c>
      <c r="G1727" s="1025">
        <v>23849144</v>
      </c>
      <c r="H1727" s="690">
        <f>18549748+3354884</f>
        <v>21904632</v>
      </c>
      <c r="I1727" s="1030"/>
      <c r="J1727" s="690"/>
      <c r="K1727" s="1030">
        <v>8670939</v>
      </c>
      <c r="L1727" s="690">
        <v>8821587</v>
      </c>
      <c r="M1727" s="1025">
        <v>22705480</v>
      </c>
      <c r="N1727" s="1030"/>
      <c r="O1727" s="692">
        <f t="shared" si="221"/>
        <v>22705480</v>
      </c>
      <c r="P1727" s="690">
        <v>27869675</v>
      </c>
      <c r="Q1727" s="690"/>
      <c r="R1727" s="691">
        <f t="shared" si="222"/>
        <v>27869675</v>
      </c>
      <c r="S1727" s="692">
        <f t="shared" si="223"/>
        <v>55225563</v>
      </c>
      <c r="T1727" s="693">
        <f t="shared" si="224"/>
        <v>58595894</v>
      </c>
      <c r="U1727" s="1035"/>
      <c r="V1727" s="690"/>
      <c r="W1727" s="1025"/>
      <c r="X1727" s="1030"/>
      <c r="Y1727" s="694">
        <f t="shared" si="225"/>
        <v>0</v>
      </c>
      <c r="Z1727" s="690"/>
      <c r="AA1727" s="690"/>
      <c r="AB1727" s="695">
        <f t="shared" si="226"/>
        <v>0</v>
      </c>
      <c r="AC1727" s="1035"/>
      <c r="AD1727" s="690"/>
      <c r="AE1727" s="1025"/>
      <c r="AF1727" s="1030"/>
      <c r="AG1727" s="690"/>
      <c r="AH1727" s="690"/>
      <c r="AI1727" s="696">
        <f t="shared" si="227"/>
        <v>55225563</v>
      </c>
      <c r="AJ1727" s="697">
        <f t="shared" si="228"/>
        <v>58595894</v>
      </c>
    </row>
    <row r="1728" spans="1:36" s="698" customFormat="1" ht="12.75" customHeight="1">
      <c r="A1728" s="900" t="s">
        <v>212</v>
      </c>
      <c r="B1728" s="900" t="s">
        <v>400</v>
      </c>
      <c r="C1728" s="904" t="s">
        <v>484</v>
      </c>
      <c r="D1728" s="904"/>
      <c r="E1728" s="902">
        <v>176071</v>
      </c>
      <c r="F1728" s="903">
        <v>8</v>
      </c>
      <c r="G1728" s="1025"/>
      <c r="H1728" s="690"/>
      <c r="I1728" s="1030"/>
      <c r="J1728" s="690"/>
      <c r="K1728" s="1030"/>
      <c r="L1728" s="690"/>
      <c r="M1728" s="1025"/>
      <c r="N1728" s="1030"/>
      <c r="O1728" s="692">
        <f t="shared" si="221"/>
        <v>0</v>
      </c>
      <c r="P1728" s="690"/>
      <c r="Q1728" s="690"/>
      <c r="R1728" s="691">
        <f t="shared" si="222"/>
        <v>0</v>
      </c>
      <c r="S1728" s="692">
        <f t="shared" si="223"/>
        <v>0</v>
      </c>
      <c r="T1728" s="693">
        <f t="shared" si="224"/>
        <v>0</v>
      </c>
      <c r="U1728" s="1035"/>
      <c r="V1728" s="690"/>
      <c r="W1728" s="1025"/>
      <c r="X1728" s="1030"/>
      <c r="Y1728" s="694">
        <f t="shared" si="225"/>
        <v>0</v>
      </c>
      <c r="Z1728" s="690"/>
      <c r="AA1728" s="690"/>
      <c r="AB1728" s="695">
        <f t="shared" si="226"/>
        <v>0</v>
      </c>
      <c r="AC1728" s="1035"/>
      <c r="AD1728" s="690"/>
      <c r="AE1728" s="1025"/>
      <c r="AF1728" s="1030"/>
      <c r="AG1728" s="690"/>
      <c r="AH1728" s="690"/>
      <c r="AI1728" s="696">
        <f t="shared" si="227"/>
        <v>0</v>
      </c>
      <c r="AJ1728" s="697">
        <f t="shared" si="228"/>
        <v>0</v>
      </c>
    </row>
    <row r="1729" spans="1:36" s="698" customFormat="1" ht="12.75" customHeight="1">
      <c r="A1729" s="900" t="s">
        <v>212</v>
      </c>
      <c r="B1729" s="900" t="s">
        <v>400</v>
      </c>
      <c r="C1729" s="905" t="s">
        <v>1180</v>
      </c>
      <c r="D1729" s="905"/>
      <c r="E1729" s="902">
        <v>176071</v>
      </c>
      <c r="F1729" s="903">
        <v>8</v>
      </c>
      <c r="G1729" s="1025"/>
      <c r="H1729" s="690"/>
      <c r="I1729" s="1030">
        <v>2624800</v>
      </c>
      <c r="J1729" s="690">
        <v>3087296</v>
      </c>
      <c r="K1729" s="1030"/>
      <c r="L1729" s="690"/>
      <c r="M1729" s="1025"/>
      <c r="N1729" s="1030"/>
      <c r="O1729" s="692">
        <f t="shared" si="221"/>
        <v>0</v>
      </c>
      <c r="P1729" s="690"/>
      <c r="Q1729" s="690"/>
      <c r="R1729" s="691">
        <f t="shared" si="222"/>
        <v>0</v>
      </c>
      <c r="S1729" s="692">
        <f t="shared" si="223"/>
        <v>2624800</v>
      </c>
      <c r="T1729" s="693">
        <f t="shared" si="224"/>
        <v>3087296</v>
      </c>
      <c r="U1729" s="1035"/>
      <c r="V1729" s="690"/>
      <c r="W1729" s="1025"/>
      <c r="X1729" s="1030"/>
      <c r="Y1729" s="694">
        <f t="shared" si="225"/>
        <v>0</v>
      </c>
      <c r="Z1729" s="690"/>
      <c r="AA1729" s="690"/>
      <c r="AB1729" s="695">
        <f t="shared" si="226"/>
        <v>0</v>
      </c>
      <c r="AC1729" s="1035"/>
      <c r="AD1729" s="690"/>
      <c r="AE1729" s="1025"/>
      <c r="AF1729" s="1030"/>
      <c r="AG1729" s="690"/>
      <c r="AH1729" s="690"/>
      <c r="AI1729" s="696">
        <f t="shared" si="227"/>
        <v>2624800</v>
      </c>
      <c r="AJ1729" s="697">
        <f t="shared" si="228"/>
        <v>3087296</v>
      </c>
    </row>
    <row r="1730" spans="1:36" s="698" customFormat="1" ht="12.75" customHeight="1">
      <c r="A1730" s="900" t="s">
        <v>212</v>
      </c>
      <c r="B1730" s="900" t="s">
        <v>392</v>
      </c>
      <c r="C1730" s="906" t="s">
        <v>1182</v>
      </c>
      <c r="D1730" s="906"/>
      <c r="E1730" s="902">
        <v>176178</v>
      </c>
      <c r="F1730" s="903">
        <v>8</v>
      </c>
      <c r="G1730" s="1025">
        <v>19196292</v>
      </c>
      <c r="H1730" s="690">
        <f>15074787+2742985</f>
        <v>17817772</v>
      </c>
      <c r="I1730" s="1030"/>
      <c r="J1730" s="690"/>
      <c r="K1730" s="1030">
        <v>4839873</v>
      </c>
      <c r="L1730" s="690">
        <v>4885987</v>
      </c>
      <c r="M1730" s="1025">
        <v>15870420</v>
      </c>
      <c r="N1730" s="1030"/>
      <c r="O1730" s="692">
        <f t="shared" si="221"/>
        <v>15870420</v>
      </c>
      <c r="P1730" s="690">
        <v>17490945</v>
      </c>
      <c r="Q1730" s="690"/>
      <c r="R1730" s="691">
        <f t="shared" si="222"/>
        <v>17490945</v>
      </c>
      <c r="S1730" s="692">
        <f t="shared" si="223"/>
        <v>39906585</v>
      </c>
      <c r="T1730" s="693">
        <f t="shared" si="224"/>
        <v>40194704</v>
      </c>
      <c r="U1730" s="1035"/>
      <c r="V1730" s="690"/>
      <c r="W1730" s="1025"/>
      <c r="X1730" s="1030"/>
      <c r="Y1730" s="694">
        <f t="shared" si="225"/>
        <v>0</v>
      </c>
      <c r="Z1730" s="690"/>
      <c r="AA1730" s="690"/>
      <c r="AB1730" s="695">
        <f t="shared" si="226"/>
        <v>0</v>
      </c>
      <c r="AC1730" s="1035"/>
      <c r="AD1730" s="690"/>
      <c r="AE1730" s="1025"/>
      <c r="AF1730" s="1030"/>
      <c r="AG1730" s="690"/>
      <c r="AH1730" s="690"/>
      <c r="AI1730" s="696">
        <f t="shared" si="227"/>
        <v>39906585</v>
      </c>
      <c r="AJ1730" s="697">
        <f t="shared" si="228"/>
        <v>40194704</v>
      </c>
    </row>
    <row r="1731" spans="1:36" s="698" customFormat="1" ht="12.75" customHeight="1">
      <c r="A1731" s="900" t="s">
        <v>212</v>
      </c>
      <c r="B1731" s="900" t="s">
        <v>400</v>
      </c>
      <c r="C1731" s="904" t="s">
        <v>484</v>
      </c>
      <c r="D1731" s="904"/>
      <c r="E1731" s="902">
        <v>176178</v>
      </c>
      <c r="F1731" s="903">
        <v>8</v>
      </c>
      <c r="G1731" s="1025"/>
      <c r="H1731" s="690"/>
      <c r="I1731" s="1030"/>
      <c r="J1731" s="690"/>
      <c r="K1731" s="1030"/>
      <c r="L1731" s="690"/>
      <c r="M1731" s="1025"/>
      <c r="N1731" s="1030"/>
      <c r="O1731" s="692">
        <f t="shared" si="221"/>
        <v>0</v>
      </c>
      <c r="P1731" s="690"/>
      <c r="Q1731" s="690"/>
      <c r="R1731" s="691">
        <f t="shared" si="222"/>
        <v>0</v>
      </c>
      <c r="S1731" s="692">
        <f t="shared" si="223"/>
        <v>0</v>
      </c>
      <c r="T1731" s="693">
        <f t="shared" si="224"/>
        <v>0</v>
      </c>
      <c r="U1731" s="1035"/>
      <c r="V1731" s="690"/>
      <c r="W1731" s="1025"/>
      <c r="X1731" s="1030"/>
      <c r="Y1731" s="694">
        <f t="shared" si="225"/>
        <v>0</v>
      </c>
      <c r="Z1731" s="690"/>
      <c r="AA1731" s="690"/>
      <c r="AB1731" s="695">
        <f t="shared" si="226"/>
        <v>0</v>
      </c>
      <c r="AC1731" s="1035"/>
      <c r="AD1731" s="690"/>
      <c r="AE1731" s="1025"/>
      <c r="AF1731" s="1030"/>
      <c r="AG1731" s="690"/>
      <c r="AH1731" s="690"/>
      <c r="AI1731" s="696">
        <f t="shared" si="227"/>
        <v>0</v>
      </c>
      <c r="AJ1731" s="697">
        <f t="shared" si="228"/>
        <v>0</v>
      </c>
    </row>
    <row r="1732" spans="1:36" s="698" customFormat="1" ht="12.75" customHeight="1">
      <c r="A1732" s="900" t="s">
        <v>212</v>
      </c>
      <c r="B1732" s="900" t="s">
        <v>400</v>
      </c>
      <c r="C1732" s="905" t="s">
        <v>1180</v>
      </c>
      <c r="D1732" s="905"/>
      <c r="E1732" s="902">
        <v>176178</v>
      </c>
      <c r="F1732" s="903">
        <v>8</v>
      </c>
      <c r="G1732" s="1025"/>
      <c r="H1732" s="690"/>
      <c r="I1732" s="1030">
        <v>1817799</v>
      </c>
      <c r="J1732" s="690">
        <v>1990246</v>
      </c>
      <c r="K1732" s="1030"/>
      <c r="L1732" s="690"/>
      <c r="M1732" s="1025"/>
      <c r="N1732" s="1030"/>
      <c r="O1732" s="692">
        <f t="shared" si="221"/>
        <v>0</v>
      </c>
      <c r="P1732" s="690"/>
      <c r="Q1732" s="690"/>
      <c r="R1732" s="691">
        <f t="shared" si="222"/>
        <v>0</v>
      </c>
      <c r="S1732" s="692">
        <f t="shared" si="223"/>
        <v>1817799</v>
      </c>
      <c r="T1732" s="693">
        <f t="shared" si="224"/>
        <v>1990246</v>
      </c>
      <c r="U1732" s="1035"/>
      <c r="V1732" s="690"/>
      <c r="W1732" s="1025"/>
      <c r="X1732" s="1030"/>
      <c r="Y1732" s="694">
        <f t="shared" si="225"/>
        <v>0</v>
      </c>
      <c r="Z1732" s="690"/>
      <c r="AA1732" s="690"/>
      <c r="AB1732" s="695">
        <f t="shared" si="226"/>
        <v>0</v>
      </c>
      <c r="AC1732" s="1035"/>
      <c r="AD1732" s="690"/>
      <c r="AE1732" s="1025"/>
      <c r="AF1732" s="1030"/>
      <c r="AG1732" s="690"/>
      <c r="AH1732" s="690"/>
      <c r="AI1732" s="696">
        <f t="shared" si="227"/>
        <v>1817799</v>
      </c>
      <c r="AJ1732" s="697">
        <f t="shared" si="228"/>
        <v>1990246</v>
      </c>
    </row>
    <row r="1733" spans="1:36" s="698" customFormat="1" ht="12.75" customHeight="1">
      <c r="A1733" s="900" t="s">
        <v>212</v>
      </c>
      <c r="B1733" s="900" t="s">
        <v>392</v>
      </c>
      <c r="C1733" s="901" t="s">
        <v>1183</v>
      </c>
      <c r="D1733" s="901"/>
      <c r="E1733" s="902">
        <v>175573</v>
      </c>
      <c r="F1733" s="903">
        <v>9</v>
      </c>
      <c r="G1733" s="1025">
        <v>10663771</v>
      </c>
      <c r="H1733" s="690">
        <f>8492062+1457539</f>
        <v>9949601</v>
      </c>
      <c r="I1733" s="1030"/>
      <c r="J1733" s="690"/>
      <c r="K1733" s="1030">
        <v>2301267</v>
      </c>
      <c r="L1733" s="690">
        <v>2292128</v>
      </c>
      <c r="M1733" s="1025">
        <v>8445401</v>
      </c>
      <c r="N1733" s="1030"/>
      <c r="O1733" s="692">
        <f t="shared" si="221"/>
        <v>8445401</v>
      </c>
      <c r="P1733" s="690">
        <v>9070830</v>
      </c>
      <c r="Q1733" s="690"/>
      <c r="R1733" s="691">
        <f t="shared" si="222"/>
        <v>9070830</v>
      </c>
      <c r="S1733" s="692">
        <f t="shared" si="223"/>
        <v>21410439</v>
      </c>
      <c r="T1733" s="693">
        <f t="shared" si="224"/>
        <v>21312559</v>
      </c>
      <c r="U1733" s="1035"/>
      <c r="V1733" s="690"/>
      <c r="W1733" s="1025"/>
      <c r="X1733" s="1030"/>
      <c r="Y1733" s="694">
        <f t="shared" si="225"/>
        <v>0</v>
      </c>
      <c r="Z1733" s="690"/>
      <c r="AA1733" s="690"/>
      <c r="AB1733" s="695">
        <f t="shared" si="226"/>
        <v>0</v>
      </c>
      <c r="AC1733" s="1035"/>
      <c r="AD1733" s="690"/>
      <c r="AE1733" s="1025"/>
      <c r="AF1733" s="1030"/>
      <c r="AG1733" s="690"/>
      <c r="AH1733" s="690"/>
      <c r="AI1733" s="696">
        <f t="shared" si="227"/>
        <v>21410439</v>
      </c>
      <c r="AJ1733" s="697">
        <f t="shared" si="228"/>
        <v>21312559</v>
      </c>
    </row>
    <row r="1734" spans="1:36" s="698" customFormat="1" ht="12.75" customHeight="1">
      <c r="A1734" s="900" t="s">
        <v>212</v>
      </c>
      <c r="B1734" s="900" t="s">
        <v>400</v>
      </c>
      <c r="C1734" s="904" t="s">
        <v>484</v>
      </c>
      <c r="D1734" s="904"/>
      <c r="E1734" s="902">
        <v>175573</v>
      </c>
      <c r="F1734" s="903">
        <v>9</v>
      </c>
      <c r="G1734" s="1025"/>
      <c r="H1734" s="690"/>
      <c r="I1734" s="1030"/>
      <c r="J1734" s="690"/>
      <c r="K1734" s="1030"/>
      <c r="L1734" s="690"/>
      <c r="M1734" s="1025"/>
      <c r="N1734" s="1030"/>
      <c r="O1734" s="692">
        <f t="shared" si="221"/>
        <v>0</v>
      </c>
      <c r="P1734" s="690"/>
      <c r="Q1734" s="690"/>
      <c r="R1734" s="691">
        <f t="shared" si="222"/>
        <v>0</v>
      </c>
      <c r="S1734" s="692">
        <f t="shared" si="223"/>
        <v>0</v>
      </c>
      <c r="T1734" s="693">
        <f t="shared" si="224"/>
        <v>0</v>
      </c>
      <c r="U1734" s="1035"/>
      <c r="V1734" s="690"/>
      <c r="W1734" s="1025"/>
      <c r="X1734" s="1030"/>
      <c r="Y1734" s="694">
        <f t="shared" si="225"/>
        <v>0</v>
      </c>
      <c r="Z1734" s="690"/>
      <c r="AA1734" s="690"/>
      <c r="AB1734" s="695">
        <f t="shared" si="226"/>
        <v>0</v>
      </c>
      <c r="AC1734" s="1035"/>
      <c r="AD1734" s="690"/>
      <c r="AE1734" s="1025"/>
      <c r="AF1734" s="1030"/>
      <c r="AG1734" s="690"/>
      <c r="AH1734" s="690"/>
      <c r="AI1734" s="696">
        <f t="shared" si="227"/>
        <v>0</v>
      </c>
      <c r="AJ1734" s="697">
        <f t="shared" si="228"/>
        <v>0</v>
      </c>
    </row>
    <row r="1735" spans="1:36" s="698" customFormat="1" ht="12.75" customHeight="1">
      <c r="A1735" s="900" t="s">
        <v>212</v>
      </c>
      <c r="B1735" s="900" t="s">
        <v>400</v>
      </c>
      <c r="C1735" s="905" t="s">
        <v>1180</v>
      </c>
      <c r="D1735" s="905"/>
      <c r="E1735" s="902">
        <v>175573</v>
      </c>
      <c r="F1735" s="903">
        <v>9</v>
      </c>
      <c r="G1735" s="1025"/>
      <c r="H1735" s="690"/>
      <c r="I1735" s="1030">
        <v>1335228</v>
      </c>
      <c r="J1735" s="690">
        <v>1368145</v>
      </c>
      <c r="K1735" s="1030"/>
      <c r="L1735" s="690"/>
      <c r="M1735" s="1025"/>
      <c r="N1735" s="1030"/>
      <c r="O1735" s="692">
        <f t="shared" si="221"/>
        <v>0</v>
      </c>
      <c r="P1735" s="690"/>
      <c r="Q1735" s="690"/>
      <c r="R1735" s="691">
        <f t="shared" si="222"/>
        <v>0</v>
      </c>
      <c r="S1735" s="692">
        <f t="shared" si="223"/>
        <v>1335228</v>
      </c>
      <c r="T1735" s="693">
        <f t="shared" si="224"/>
        <v>1368145</v>
      </c>
      <c r="U1735" s="1035"/>
      <c r="V1735" s="690"/>
      <c r="W1735" s="1025"/>
      <c r="X1735" s="1030"/>
      <c r="Y1735" s="694">
        <f t="shared" si="225"/>
        <v>0</v>
      </c>
      <c r="Z1735" s="690"/>
      <c r="AA1735" s="690"/>
      <c r="AB1735" s="695">
        <f t="shared" si="226"/>
        <v>0</v>
      </c>
      <c r="AC1735" s="1035"/>
      <c r="AD1735" s="690"/>
      <c r="AE1735" s="1025"/>
      <c r="AF1735" s="1030"/>
      <c r="AG1735" s="690"/>
      <c r="AH1735" s="690"/>
      <c r="AI1735" s="696">
        <f t="shared" si="227"/>
        <v>1335228</v>
      </c>
      <c r="AJ1735" s="697">
        <f t="shared" si="228"/>
        <v>1368145</v>
      </c>
    </row>
    <row r="1736" spans="1:36" s="698" customFormat="1" ht="12.75" customHeight="1">
      <c r="A1736" s="900" t="s">
        <v>212</v>
      </c>
      <c r="B1736" s="900" t="s">
        <v>392</v>
      </c>
      <c r="C1736" s="906" t="s">
        <v>1184</v>
      </c>
      <c r="D1736" s="906"/>
      <c r="E1736" s="902">
        <v>175643</v>
      </c>
      <c r="F1736" s="903">
        <v>9</v>
      </c>
      <c r="G1736" s="1025">
        <v>8864102</v>
      </c>
      <c r="H1736" s="690">
        <f>6957310+1188828</f>
        <v>8146138</v>
      </c>
      <c r="I1736" s="1030"/>
      <c r="J1736" s="690"/>
      <c r="K1736" s="1030">
        <v>1253774</v>
      </c>
      <c r="L1736" s="690">
        <v>1137892</v>
      </c>
      <c r="M1736" s="1025">
        <v>4858169</v>
      </c>
      <c r="N1736" s="1030"/>
      <c r="O1736" s="692">
        <f t="shared" si="221"/>
        <v>4858169</v>
      </c>
      <c r="P1736" s="690">
        <v>6016777</v>
      </c>
      <c r="Q1736" s="690"/>
      <c r="R1736" s="691">
        <f t="shared" si="222"/>
        <v>6016777</v>
      </c>
      <c r="S1736" s="692">
        <f t="shared" si="223"/>
        <v>14976045</v>
      </c>
      <c r="T1736" s="693">
        <f t="shared" si="224"/>
        <v>15300807</v>
      </c>
      <c r="U1736" s="1035"/>
      <c r="V1736" s="690"/>
      <c r="W1736" s="1025"/>
      <c r="X1736" s="1030"/>
      <c r="Y1736" s="694">
        <f t="shared" si="225"/>
        <v>0</v>
      </c>
      <c r="Z1736" s="690"/>
      <c r="AA1736" s="690"/>
      <c r="AB1736" s="695">
        <f t="shared" si="226"/>
        <v>0</v>
      </c>
      <c r="AC1736" s="1035"/>
      <c r="AD1736" s="690"/>
      <c r="AE1736" s="1025"/>
      <c r="AF1736" s="1030"/>
      <c r="AG1736" s="690"/>
      <c r="AH1736" s="690"/>
      <c r="AI1736" s="696">
        <f t="shared" si="227"/>
        <v>14976045</v>
      </c>
      <c r="AJ1736" s="697">
        <f t="shared" si="228"/>
        <v>15300807</v>
      </c>
    </row>
    <row r="1737" spans="1:36" s="698" customFormat="1" ht="12.75" customHeight="1">
      <c r="A1737" s="900" t="s">
        <v>212</v>
      </c>
      <c r="B1737" s="900" t="s">
        <v>400</v>
      </c>
      <c r="C1737" s="904" t="s">
        <v>484</v>
      </c>
      <c r="D1737" s="904"/>
      <c r="E1737" s="902">
        <v>175643</v>
      </c>
      <c r="F1737" s="903">
        <v>9</v>
      </c>
      <c r="G1737" s="1025"/>
      <c r="H1737" s="690"/>
      <c r="I1737" s="1030"/>
      <c r="J1737" s="690"/>
      <c r="K1737" s="1030"/>
      <c r="L1737" s="690"/>
      <c r="M1737" s="1025"/>
      <c r="N1737" s="1030"/>
      <c r="O1737" s="692">
        <f t="shared" si="221"/>
        <v>0</v>
      </c>
      <c r="P1737" s="690"/>
      <c r="Q1737" s="690"/>
      <c r="R1737" s="691">
        <f t="shared" si="222"/>
        <v>0</v>
      </c>
      <c r="S1737" s="692">
        <f t="shared" si="223"/>
        <v>0</v>
      </c>
      <c r="T1737" s="693">
        <f t="shared" si="224"/>
        <v>0</v>
      </c>
      <c r="U1737" s="1035"/>
      <c r="V1737" s="690"/>
      <c r="W1737" s="1025"/>
      <c r="X1737" s="1030"/>
      <c r="Y1737" s="694">
        <f t="shared" si="225"/>
        <v>0</v>
      </c>
      <c r="Z1737" s="690"/>
      <c r="AA1737" s="690"/>
      <c r="AB1737" s="695">
        <f t="shared" si="226"/>
        <v>0</v>
      </c>
      <c r="AC1737" s="1035"/>
      <c r="AD1737" s="690"/>
      <c r="AE1737" s="1025"/>
      <c r="AF1737" s="1030"/>
      <c r="AG1737" s="690"/>
      <c r="AH1737" s="690"/>
      <c r="AI1737" s="696">
        <f t="shared" si="227"/>
        <v>0</v>
      </c>
      <c r="AJ1737" s="697">
        <f t="shared" si="228"/>
        <v>0</v>
      </c>
    </row>
    <row r="1738" spans="1:36" s="698" customFormat="1" ht="12.75" customHeight="1">
      <c r="A1738" s="900" t="s">
        <v>212</v>
      </c>
      <c r="B1738" s="900" t="s">
        <v>400</v>
      </c>
      <c r="C1738" s="905" t="s">
        <v>1180</v>
      </c>
      <c r="D1738" s="905"/>
      <c r="E1738" s="902">
        <v>175643</v>
      </c>
      <c r="F1738" s="903">
        <v>9</v>
      </c>
      <c r="G1738" s="1025"/>
      <c r="H1738" s="690"/>
      <c r="I1738" s="1030">
        <v>1034562.43</v>
      </c>
      <c r="J1738" s="690">
        <v>1096443</v>
      </c>
      <c r="K1738" s="1030"/>
      <c r="L1738" s="690"/>
      <c r="M1738" s="1025"/>
      <c r="N1738" s="1030"/>
      <c r="O1738" s="692">
        <f t="shared" ref="O1738:O1801" si="229">SUM(M1738:N1738)</f>
        <v>0</v>
      </c>
      <c r="P1738" s="690"/>
      <c r="Q1738" s="690"/>
      <c r="R1738" s="691">
        <f t="shared" ref="R1738:R1801" si="230">SUM(P1738:Q1738)</f>
        <v>0</v>
      </c>
      <c r="S1738" s="692">
        <f t="shared" ref="S1738:S1801" si="231">SUM(G1738,I1738,K1738,M1738)</f>
        <v>1034562.43</v>
      </c>
      <c r="T1738" s="693">
        <f t="shared" ref="T1738:T1801" si="232">SUM(H1738,J1738,L1738,P1738)</f>
        <v>1096443</v>
      </c>
      <c r="U1738" s="1035"/>
      <c r="V1738" s="690"/>
      <c r="W1738" s="1025"/>
      <c r="X1738" s="1030"/>
      <c r="Y1738" s="694">
        <f t="shared" ref="Y1738:Y1801" si="233">SUM(W1738:X1738)</f>
        <v>0</v>
      </c>
      <c r="Z1738" s="690"/>
      <c r="AA1738" s="690"/>
      <c r="AB1738" s="695">
        <f t="shared" ref="AB1738:AB1801" si="234">SUM(Z1738:AA1738)</f>
        <v>0</v>
      </c>
      <c r="AC1738" s="1035"/>
      <c r="AD1738" s="690"/>
      <c r="AE1738" s="1025"/>
      <c r="AF1738" s="1030"/>
      <c r="AG1738" s="690"/>
      <c r="AH1738" s="690"/>
      <c r="AI1738" s="696">
        <f t="shared" ref="AI1738:AI1801" si="235">SUM(S1738,U1738,W1738,AC1738,AE1738)</f>
        <v>1034562.43</v>
      </c>
      <c r="AJ1738" s="697">
        <f t="shared" ref="AJ1738:AJ1801" si="236">SUM(T1738,V1738,Z1738,AD1738,AG1738)</f>
        <v>1096443</v>
      </c>
    </row>
    <row r="1739" spans="1:36" s="698" customFormat="1" ht="12.75" customHeight="1">
      <c r="A1739" s="900" t="s">
        <v>212</v>
      </c>
      <c r="B1739" s="900" t="s">
        <v>392</v>
      </c>
      <c r="C1739" s="906" t="s">
        <v>1185</v>
      </c>
      <c r="D1739" s="906"/>
      <c r="E1739" s="902">
        <v>175652</v>
      </c>
      <c r="F1739" s="903">
        <v>9</v>
      </c>
      <c r="G1739" s="1025">
        <v>11979806</v>
      </c>
      <c r="H1739" s="690">
        <f>9879662+1832610</f>
        <v>11712272</v>
      </c>
      <c r="I1739" s="1030"/>
      <c r="J1739" s="690"/>
      <c r="K1739" s="1030">
        <v>1634550</v>
      </c>
      <c r="L1739" s="690">
        <v>1634550</v>
      </c>
      <c r="M1739" s="1025">
        <v>12972187</v>
      </c>
      <c r="N1739" s="1030"/>
      <c r="O1739" s="692">
        <f t="shared" si="229"/>
        <v>12972187</v>
      </c>
      <c r="P1739" s="690">
        <v>14422200</v>
      </c>
      <c r="Q1739" s="690"/>
      <c r="R1739" s="691">
        <f t="shared" si="230"/>
        <v>14422200</v>
      </c>
      <c r="S1739" s="692">
        <f t="shared" si="231"/>
        <v>26586543</v>
      </c>
      <c r="T1739" s="693">
        <f t="shared" si="232"/>
        <v>27769022</v>
      </c>
      <c r="U1739" s="1035"/>
      <c r="V1739" s="690"/>
      <c r="W1739" s="1025"/>
      <c r="X1739" s="1030"/>
      <c r="Y1739" s="694">
        <f t="shared" si="233"/>
        <v>0</v>
      </c>
      <c r="Z1739" s="690"/>
      <c r="AA1739" s="690"/>
      <c r="AB1739" s="695">
        <f t="shared" si="234"/>
        <v>0</v>
      </c>
      <c r="AC1739" s="1035"/>
      <c r="AD1739" s="690"/>
      <c r="AE1739" s="1025"/>
      <c r="AF1739" s="1030"/>
      <c r="AG1739" s="690"/>
      <c r="AH1739" s="690"/>
      <c r="AI1739" s="696">
        <f t="shared" si="235"/>
        <v>26586543</v>
      </c>
      <c r="AJ1739" s="697">
        <f t="shared" si="236"/>
        <v>27769022</v>
      </c>
    </row>
    <row r="1740" spans="1:36" s="698" customFormat="1" ht="12.75" customHeight="1">
      <c r="A1740" s="900" t="s">
        <v>212</v>
      </c>
      <c r="B1740" s="900" t="s">
        <v>400</v>
      </c>
      <c r="C1740" s="904" t="s">
        <v>484</v>
      </c>
      <c r="D1740" s="904"/>
      <c r="E1740" s="902">
        <v>175652</v>
      </c>
      <c r="F1740" s="903">
        <v>9</v>
      </c>
      <c r="G1740" s="1025"/>
      <c r="H1740" s="690"/>
      <c r="I1740" s="1030"/>
      <c r="J1740" s="690"/>
      <c r="K1740" s="1030"/>
      <c r="L1740" s="690"/>
      <c r="M1740" s="1025"/>
      <c r="N1740" s="1030"/>
      <c r="O1740" s="692">
        <f t="shared" si="229"/>
        <v>0</v>
      </c>
      <c r="P1740" s="690"/>
      <c r="Q1740" s="690"/>
      <c r="R1740" s="691">
        <f t="shared" si="230"/>
        <v>0</v>
      </c>
      <c r="S1740" s="692">
        <f t="shared" si="231"/>
        <v>0</v>
      </c>
      <c r="T1740" s="693">
        <f t="shared" si="232"/>
        <v>0</v>
      </c>
      <c r="U1740" s="1035"/>
      <c r="V1740" s="690"/>
      <c r="W1740" s="1025"/>
      <c r="X1740" s="1030"/>
      <c r="Y1740" s="694">
        <f t="shared" si="233"/>
        <v>0</v>
      </c>
      <c r="Z1740" s="690"/>
      <c r="AA1740" s="690"/>
      <c r="AB1740" s="695">
        <f t="shared" si="234"/>
        <v>0</v>
      </c>
      <c r="AC1740" s="1035"/>
      <c r="AD1740" s="690"/>
      <c r="AE1740" s="1025"/>
      <c r="AF1740" s="1030"/>
      <c r="AG1740" s="690"/>
      <c r="AH1740" s="690"/>
      <c r="AI1740" s="696">
        <f t="shared" si="235"/>
        <v>0</v>
      </c>
      <c r="AJ1740" s="697">
        <f t="shared" si="236"/>
        <v>0</v>
      </c>
    </row>
    <row r="1741" spans="1:36" s="698" customFormat="1" ht="12.75" customHeight="1">
      <c r="A1741" s="900" t="s">
        <v>212</v>
      </c>
      <c r="B1741" s="900" t="s">
        <v>400</v>
      </c>
      <c r="C1741" s="905" t="s">
        <v>1180</v>
      </c>
      <c r="D1741" s="905"/>
      <c r="E1741" s="902">
        <v>175652</v>
      </c>
      <c r="F1741" s="903">
        <v>9</v>
      </c>
      <c r="G1741" s="1025"/>
      <c r="H1741" s="690"/>
      <c r="I1741" s="1030">
        <v>971170.57</v>
      </c>
      <c r="J1741" s="690">
        <v>1104825</v>
      </c>
      <c r="K1741" s="1030"/>
      <c r="L1741" s="690"/>
      <c r="M1741" s="1025"/>
      <c r="N1741" s="1030"/>
      <c r="O1741" s="692">
        <f t="shared" si="229"/>
        <v>0</v>
      </c>
      <c r="P1741" s="690"/>
      <c r="Q1741" s="690"/>
      <c r="R1741" s="691">
        <f t="shared" si="230"/>
        <v>0</v>
      </c>
      <c r="S1741" s="692">
        <f t="shared" si="231"/>
        <v>971170.57</v>
      </c>
      <c r="T1741" s="693">
        <f t="shared" si="232"/>
        <v>1104825</v>
      </c>
      <c r="U1741" s="1035"/>
      <c r="V1741" s="690"/>
      <c r="W1741" s="1025"/>
      <c r="X1741" s="1030"/>
      <c r="Y1741" s="694">
        <f t="shared" si="233"/>
        <v>0</v>
      </c>
      <c r="Z1741" s="690"/>
      <c r="AA1741" s="690"/>
      <c r="AB1741" s="695">
        <f t="shared" si="234"/>
        <v>0</v>
      </c>
      <c r="AC1741" s="1035"/>
      <c r="AD1741" s="690"/>
      <c r="AE1741" s="1025"/>
      <c r="AF1741" s="1030"/>
      <c r="AG1741" s="690"/>
      <c r="AH1741" s="690"/>
      <c r="AI1741" s="696">
        <f t="shared" si="235"/>
        <v>971170.57</v>
      </c>
      <c r="AJ1741" s="697">
        <f t="shared" si="236"/>
        <v>1104825</v>
      </c>
    </row>
    <row r="1742" spans="1:36" s="698" customFormat="1" ht="12.75" customHeight="1">
      <c r="A1742" s="900" t="s">
        <v>212</v>
      </c>
      <c r="B1742" s="900" t="s">
        <v>392</v>
      </c>
      <c r="C1742" s="901" t="s">
        <v>1186</v>
      </c>
      <c r="D1742" s="1075" t="s">
        <v>1900</v>
      </c>
      <c r="E1742" s="902">
        <v>175810</v>
      </c>
      <c r="F1742" s="903">
        <v>9</v>
      </c>
      <c r="G1742" s="1025">
        <v>15249087</v>
      </c>
      <c r="H1742" s="690">
        <f>12160518+2231859</f>
        <v>14392377</v>
      </c>
      <c r="I1742" s="1030"/>
      <c r="J1742" s="690"/>
      <c r="K1742" s="1030">
        <v>2537758</v>
      </c>
      <c r="L1742" s="690">
        <v>2546084</v>
      </c>
      <c r="M1742" s="1025">
        <v>12926651</v>
      </c>
      <c r="N1742" s="1030"/>
      <c r="O1742" s="692">
        <f t="shared" si="229"/>
        <v>12926651</v>
      </c>
      <c r="P1742" s="690">
        <v>15049347</v>
      </c>
      <c r="Q1742" s="690"/>
      <c r="R1742" s="691">
        <f t="shared" si="230"/>
        <v>15049347</v>
      </c>
      <c r="S1742" s="692">
        <f t="shared" si="231"/>
        <v>30713496</v>
      </c>
      <c r="T1742" s="693">
        <f t="shared" si="232"/>
        <v>31987808</v>
      </c>
      <c r="U1742" s="1035"/>
      <c r="V1742" s="690"/>
      <c r="W1742" s="1025"/>
      <c r="X1742" s="1030"/>
      <c r="Y1742" s="694">
        <f t="shared" si="233"/>
        <v>0</v>
      </c>
      <c r="Z1742" s="690"/>
      <c r="AA1742" s="690"/>
      <c r="AB1742" s="695">
        <f t="shared" si="234"/>
        <v>0</v>
      </c>
      <c r="AC1742" s="1035"/>
      <c r="AD1742" s="690"/>
      <c r="AE1742" s="1025"/>
      <c r="AF1742" s="1030"/>
      <c r="AG1742" s="690"/>
      <c r="AH1742" s="690"/>
      <c r="AI1742" s="696">
        <f t="shared" si="235"/>
        <v>30713496</v>
      </c>
      <c r="AJ1742" s="697">
        <f t="shared" si="236"/>
        <v>31987808</v>
      </c>
    </row>
    <row r="1743" spans="1:36" s="698" customFormat="1" ht="12.75" customHeight="1">
      <c r="A1743" s="900" t="s">
        <v>212</v>
      </c>
      <c r="B1743" s="900" t="s">
        <v>400</v>
      </c>
      <c r="C1743" s="904" t="s">
        <v>484</v>
      </c>
      <c r="D1743" s="904"/>
      <c r="E1743" s="902">
        <v>175810</v>
      </c>
      <c r="F1743" s="903">
        <v>9</v>
      </c>
      <c r="G1743" s="1025"/>
      <c r="H1743" s="690"/>
      <c r="I1743" s="1030"/>
      <c r="J1743" s="690"/>
      <c r="K1743" s="1030"/>
      <c r="L1743" s="690"/>
      <c r="M1743" s="1025"/>
      <c r="N1743" s="1030"/>
      <c r="O1743" s="692">
        <f t="shared" si="229"/>
        <v>0</v>
      </c>
      <c r="P1743" s="690"/>
      <c r="Q1743" s="690"/>
      <c r="R1743" s="691">
        <f t="shared" si="230"/>
        <v>0</v>
      </c>
      <c r="S1743" s="692">
        <f t="shared" si="231"/>
        <v>0</v>
      </c>
      <c r="T1743" s="693">
        <f t="shared" si="232"/>
        <v>0</v>
      </c>
      <c r="U1743" s="1035"/>
      <c r="V1743" s="690"/>
      <c r="W1743" s="1025"/>
      <c r="X1743" s="1030"/>
      <c r="Y1743" s="694">
        <f t="shared" si="233"/>
        <v>0</v>
      </c>
      <c r="Z1743" s="690"/>
      <c r="AA1743" s="690"/>
      <c r="AB1743" s="695">
        <f t="shared" si="234"/>
        <v>0</v>
      </c>
      <c r="AC1743" s="1035"/>
      <c r="AD1743" s="690"/>
      <c r="AE1743" s="1025"/>
      <c r="AF1743" s="1030"/>
      <c r="AG1743" s="690"/>
      <c r="AH1743" s="690"/>
      <c r="AI1743" s="696">
        <f t="shared" si="235"/>
        <v>0</v>
      </c>
      <c r="AJ1743" s="697">
        <f t="shared" si="236"/>
        <v>0</v>
      </c>
    </row>
    <row r="1744" spans="1:36" s="698" customFormat="1" ht="12.75" customHeight="1">
      <c r="A1744" s="900" t="s">
        <v>212</v>
      </c>
      <c r="B1744" s="900" t="s">
        <v>400</v>
      </c>
      <c r="C1744" s="905" t="s">
        <v>1180</v>
      </c>
      <c r="D1744" s="905"/>
      <c r="E1744" s="902">
        <v>175810</v>
      </c>
      <c r="F1744" s="903">
        <v>9</v>
      </c>
      <c r="G1744" s="1025"/>
      <c r="H1744" s="690"/>
      <c r="I1744" s="1030">
        <v>1420041</v>
      </c>
      <c r="J1744" s="690">
        <v>1637044</v>
      </c>
      <c r="K1744" s="1030"/>
      <c r="L1744" s="690"/>
      <c r="M1744" s="1025"/>
      <c r="N1744" s="1030"/>
      <c r="O1744" s="692">
        <f t="shared" si="229"/>
        <v>0</v>
      </c>
      <c r="P1744" s="690"/>
      <c r="Q1744" s="690"/>
      <c r="R1744" s="691">
        <f t="shared" si="230"/>
        <v>0</v>
      </c>
      <c r="S1744" s="692">
        <f t="shared" si="231"/>
        <v>1420041</v>
      </c>
      <c r="T1744" s="693">
        <f t="shared" si="232"/>
        <v>1637044</v>
      </c>
      <c r="U1744" s="1035"/>
      <c r="V1744" s="690"/>
      <c r="W1744" s="1025"/>
      <c r="X1744" s="1030"/>
      <c r="Y1744" s="694">
        <f t="shared" si="233"/>
        <v>0</v>
      </c>
      <c r="Z1744" s="690"/>
      <c r="AA1744" s="690"/>
      <c r="AB1744" s="695">
        <f t="shared" si="234"/>
        <v>0</v>
      </c>
      <c r="AC1744" s="1035"/>
      <c r="AD1744" s="690"/>
      <c r="AE1744" s="1025"/>
      <c r="AF1744" s="1030"/>
      <c r="AG1744" s="690"/>
      <c r="AH1744" s="690"/>
      <c r="AI1744" s="696">
        <f t="shared" si="235"/>
        <v>1420041</v>
      </c>
      <c r="AJ1744" s="697">
        <f t="shared" si="236"/>
        <v>1637044</v>
      </c>
    </row>
    <row r="1745" spans="1:36" s="698" customFormat="1" ht="12.75" customHeight="1">
      <c r="A1745" s="900" t="s">
        <v>212</v>
      </c>
      <c r="B1745" s="900" t="s">
        <v>392</v>
      </c>
      <c r="C1745" s="1076" t="s">
        <v>1187</v>
      </c>
      <c r="D1745" s="1076" t="s">
        <v>1965</v>
      </c>
      <c r="E1745" s="902">
        <v>175829</v>
      </c>
      <c r="F1745" s="1077">
        <v>8</v>
      </c>
      <c r="G1745" s="1025">
        <v>20342801</v>
      </c>
      <c r="H1745" s="690">
        <f>16008330+3061846</f>
        <v>19070176</v>
      </c>
      <c r="I1745" s="1030"/>
      <c r="J1745" s="690"/>
      <c r="K1745" s="1030">
        <v>5267262</v>
      </c>
      <c r="L1745" s="690">
        <v>5218132</v>
      </c>
      <c r="M1745" s="1025">
        <v>15074217</v>
      </c>
      <c r="N1745" s="1030"/>
      <c r="O1745" s="692">
        <f t="shared" si="229"/>
        <v>15074217</v>
      </c>
      <c r="P1745" s="690">
        <v>15419718</v>
      </c>
      <c r="Q1745" s="690"/>
      <c r="R1745" s="691">
        <f t="shared" si="230"/>
        <v>15419718</v>
      </c>
      <c r="S1745" s="692">
        <f t="shared" si="231"/>
        <v>40684280</v>
      </c>
      <c r="T1745" s="693">
        <f t="shared" si="232"/>
        <v>39708026</v>
      </c>
      <c r="U1745" s="1035"/>
      <c r="V1745" s="690"/>
      <c r="W1745" s="1025"/>
      <c r="X1745" s="1030"/>
      <c r="Y1745" s="694">
        <f t="shared" si="233"/>
        <v>0</v>
      </c>
      <c r="Z1745" s="690"/>
      <c r="AA1745" s="690"/>
      <c r="AB1745" s="695">
        <f t="shared" si="234"/>
        <v>0</v>
      </c>
      <c r="AC1745" s="1035"/>
      <c r="AD1745" s="690"/>
      <c r="AE1745" s="1025"/>
      <c r="AF1745" s="1030"/>
      <c r="AG1745" s="690"/>
      <c r="AH1745" s="690"/>
      <c r="AI1745" s="696">
        <f t="shared" si="235"/>
        <v>40684280</v>
      </c>
      <c r="AJ1745" s="697">
        <f t="shared" si="236"/>
        <v>39708026</v>
      </c>
    </row>
    <row r="1746" spans="1:36" s="698" customFormat="1" ht="12.75" customHeight="1">
      <c r="A1746" s="900" t="s">
        <v>212</v>
      </c>
      <c r="B1746" s="900" t="s">
        <v>400</v>
      </c>
      <c r="C1746" s="904" t="s">
        <v>484</v>
      </c>
      <c r="D1746" s="904"/>
      <c r="E1746" s="902">
        <v>175829</v>
      </c>
      <c r="F1746" s="1077">
        <v>8</v>
      </c>
      <c r="G1746" s="1025"/>
      <c r="H1746" s="690"/>
      <c r="I1746" s="1030"/>
      <c r="J1746" s="690"/>
      <c r="K1746" s="1030"/>
      <c r="L1746" s="690"/>
      <c r="M1746" s="1025"/>
      <c r="N1746" s="1030"/>
      <c r="O1746" s="692">
        <f t="shared" si="229"/>
        <v>0</v>
      </c>
      <c r="P1746" s="690"/>
      <c r="Q1746" s="690"/>
      <c r="R1746" s="691">
        <f t="shared" si="230"/>
        <v>0</v>
      </c>
      <c r="S1746" s="692">
        <f t="shared" si="231"/>
        <v>0</v>
      </c>
      <c r="T1746" s="693">
        <f t="shared" si="232"/>
        <v>0</v>
      </c>
      <c r="U1746" s="1035"/>
      <c r="V1746" s="690"/>
      <c r="W1746" s="1025"/>
      <c r="X1746" s="1030"/>
      <c r="Y1746" s="694">
        <f t="shared" si="233"/>
        <v>0</v>
      </c>
      <c r="Z1746" s="690"/>
      <c r="AA1746" s="690"/>
      <c r="AB1746" s="695">
        <f t="shared" si="234"/>
        <v>0</v>
      </c>
      <c r="AC1746" s="1035"/>
      <c r="AD1746" s="690"/>
      <c r="AE1746" s="1025"/>
      <c r="AF1746" s="1030"/>
      <c r="AG1746" s="690"/>
      <c r="AH1746" s="690"/>
      <c r="AI1746" s="696">
        <f t="shared" si="235"/>
        <v>0</v>
      </c>
      <c r="AJ1746" s="697">
        <f t="shared" si="236"/>
        <v>0</v>
      </c>
    </row>
    <row r="1747" spans="1:36" s="698" customFormat="1" ht="12.75" customHeight="1">
      <c r="A1747" s="900" t="s">
        <v>212</v>
      </c>
      <c r="B1747" s="900" t="s">
        <v>400</v>
      </c>
      <c r="C1747" s="905" t="s">
        <v>1180</v>
      </c>
      <c r="D1747" s="905"/>
      <c r="E1747" s="902">
        <v>175830</v>
      </c>
      <c r="F1747" s="1077">
        <v>8</v>
      </c>
      <c r="G1747" s="1025"/>
      <c r="H1747" s="690"/>
      <c r="I1747" s="1030">
        <v>1764084</v>
      </c>
      <c r="J1747" s="690">
        <v>2025028</v>
      </c>
      <c r="K1747" s="1030"/>
      <c r="L1747" s="690"/>
      <c r="M1747" s="1025"/>
      <c r="N1747" s="1030"/>
      <c r="O1747" s="692">
        <f t="shared" si="229"/>
        <v>0</v>
      </c>
      <c r="P1747" s="690"/>
      <c r="Q1747" s="690"/>
      <c r="R1747" s="691">
        <f t="shared" si="230"/>
        <v>0</v>
      </c>
      <c r="S1747" s="692">
        <f t="shared" si="231"/>
        <v>1764084</v>
      </c>
      <c r="T1747" s="693">
        <f t="shared" si="232"/>
        <v>2025028</v>
      </c>
      <c r="U1747" s="1035"/>
      <c r="V1747" s="690"/>
      <c r="W1747" s="1025"/>
      <c r="X1747" s="1030"/>
      <c r="Y1747" s="694">
        <f t="shared" si="233"/>
        <v>0</v>
      </c>
      <c r="Z1747" s="690"/>
      <c r="AA1747" s="690"/>
      <c r="AB1747" s="695">
        <f t="shared" si="234"/>
        <v>0</v>
      </c>
      <c r="AC1747" s="1035"/>
      <c r="AD1747" s="690"/>
      <c r="AE1747" s="1025"/>
      <c r="AF1747" s="1030"/>
      <c r="AG1747" s="690"/>
      <c r="AH1747" s="690"/>
      <c r="AI1747" s="696">
        <f t="shared" si="235"/>
        <v>1764084</v>
      </c>
      <c r="AJ1747" s="697">
        <f t="shared" si="236"/>
        <v>2025028</v>
      </c>
    </row>
    <row r="1748" spans="1:36" s="698" customFormat="1" ht="12.75" customHeight="1">
      <c r="A1748" s="900" t="s">
        <v>212</v>
      </c>
      <c r="B1748" s="900" t="s">
        <v>392</v>
      </c>
      <c r="C1748" s="901" t="s">
        <v>1188</v>
      </c>
      <c r="D1748" s="1075" t="s">
        <v>1900</v>
      </c>
      <c r="E1748" s="902">
        <v>175883</v>
      </c>
      <c r="F1748" s="903">
        <v>9</v>
      </c>
      <c r="G1748" s="1025">
        <v>14560894</v>
      </c>
      <c r="H1748" s="690">
        <f>11379846+2062153</f>
        <v>13441999</v>
      </c>
      <c r="I1748" s="1030"/>
      <c r="J1748" s="690"/>
      <c r="K1748" s="1030">
        <v>2385702</v>
      </c>
      <c r="L1748" s="690">
        <v>2278471</v>
      </c>
      <c r="M1748" s="1025">
        <v>12385624</v>
      </c>
      <c r="N1748" s="1030"/>
      <c r="O1748" s="692">
        <f t="shared" si="229"/>
        <v>12385624</v>
      </c>
      <c r="P1748" s="690">
        <v>13508398</v>
      </c>
      <c r="Q1748" s="690"/>
      <c r="R1748" s="691">
        <f t="shared" si="230"/>
        <v>13508398</v>
      </c>
      <c r="S1748" s="692">
        <f t="shared" si="231"/>
        <v>29332220</v>
      </c>
      <c r="T1748" s="693">
        <f t="shared" si="232"/>
        <v>29228868</v>
      </c>
      <c r="U1748" s="1035"/>
      <c r="V1748" s="690"/>
      <c r="W1748" s="1025"/>
      <c r="X1748" s="1030"/>
      <c r="Y1748" s="694">
        <f t="shared" si="233"/>
        <v>0</v>
      </c>
      <c r="Z1748" s="690"/>
      <c r="AA1748" s="690"/>
      <c r="AB1748" s="695">
        <f t="shared" si="234"/>
        <v>0</v>
      </c>
      <c r="AC1748" s="1035"/>
      <c r="AD1748" s="690"/>
      <c r="AE1748" s="1025"/>
      <c r="AF1748" s="1030"/>
      <c r="AG1748" s="690"/>
      <c r="AH1748" s="690"/>
      <c r="AI1748" s="696">
        <f t="shared" si="235"/>
        <v>29332220</v>
      </c>
      <c r="AJ1748" s="697">
        <f t="shared" si="236"/>
        <v>29228868</v>
      </c>
    </row>
    <row r="1749" spans="1:36" s="698" customFormat="1" ht="12.75" customHeight="1">
      <c r="A1749" s="900" t="s">
        <v>212</v>
      </c>
      <c r="B1749" s="900" t="s">
        <v>400</v>
      </c>
      <c r="C1749" s="904" t="s">
        <v>484</v>
      </c>
      <c r="D1749" s="904"/>
      <c r="E1749" s="902">
        <v>175883</v>
      </c>
      <c r="F1749" s="903">
        <v>9</v>
      </c>
      <c r="G1749" s="1025"/>
      <c r="H1749" s="690"/>
      <c r="I1749" s="1030"/>
      <c r="J1749" s="690"/>
      <c r="K1749" s="1030"/>
      <c r="L1749" s="690"/>
      <c r="M1749" s="1025"/>
      <c r="N1749" s="1030"/>
      <c r="O1749" s="692">
        <f t="shared" si="229"/>
        <v>0</v>
      </c>
      <c r="P1749" s="690"/>
      <c r="Q1749" s="690"/>
      <c r="R1749" s="691">
        <f t="shared" si="230"/>
        <v>0</v>
      </c>
      <c r="S1749" s="692">
        <f t="shared" si="231"/>
        <v>0</v>
      </c>
      <c r="T1749" s="693">
        <f t="shared" si="232"/>
        <v>0</v>
      </c>
      <c r="U1749" s="1035"/>
      <c r="V1749" s="690"/>
      <c r="W1749" s="1025"/>
      <c r="X1749" s="1030"/>
      <c r="Y1749" s="694">
        <f t="shared" si="233"/>
        <v>0</v>
      </c>
      <c r="Z1749" s="690"/>
      <c r="AA1749" s="690"/>
      <c r="AB1749" s="695">
        <f t="shared" si="234"/>
        <v>0</v>
      </c>
      <c r="AC1749" s="1035"/>
      <c r="AD1749" s="690"/>
      <c r="AE1749" s="1025"/>
      <c r="AF1749" s="1030"/>
      <c r="AG1749" s="690"/>
      <c r="AH1749" s="690"/>
      <c r="AI1749" s="696">
        <f t="shared" si="235"/>
        <v>0</v>
      </c>
      <c r="AJ1749" s="697">
        <f t="shared" si="236"/>
        <v>0</v>
      </c>
    </row>
    <row r="1750" spans="1:36" s="698" customFormat="1" ht="12.75" customHeight="1">
      <c r="A1750" s="900" t="s">
        <v>212</v>
      </c>
      <c r="B1750" s="900" t="s">
        <v>400</v>
      </c>
      <c r="C1750" s="905" t="s">
        <v>1180</v>
      </c>
      <c r="D1750" s="905"/>
      <c r="E1750" s="902">
        <v>175884</v>
      </c>
      <c r="F1750" s="903">
        <v>9</v>
      </c>
      <c r="G1750" s="1025"/>
      <c r="H1750" s="690"/>
      <c r="I1750" s="1030">
        <v>1593081</v>
      </c>
      <c r="J1750" s="690">
        <v>1784619</v>
      </c>
      <c r="K1750" s="1030"/>
      <c r="L1750" s="690"/>
      <c r="M1750" s="1025"/>
      <c r="N1750" s="1030"/>
      <c r="O1750" s="692">
        <f t="shared" si="229"/>
        <v>0</v>
      </c>
      <c r="P1750" s="690"/>
      <c r="Q1750" s="690"/>
      <c r="R1750" s="691">
        <f t="shared" si="230"/>
        <v>0</v>
      </c>
      <c r="S1750" s="692">
        <f t="shared" si="231"/>
        <v>1593081</v>
      </c>
      <c r="T1750" s="693">
        <f t="shared" si="232"/>
        <v>1784619</v>
      </c>
      <c r="U1750" s="1035"/>
      <c r="V1750" s="690"/>
      <c r="W1750" s="1025"/>
      <c r="X1750" s="1030"/>
      <c r="Y1750" s="694">
        <f t="shared" si="233"/>
        <v>0</v>
      </c>
      <c r="Z1750" s="690"/>
      <c r="AA1750" s="690"/>
      <c r="AB1750" s="695">
        <f t="shared" si="234"/>
        <v>0</v>
      </c>
      <c r="AC1750" s="1035"/>
      <c r="AD1750" s="690"/>
      <c r="AE1750" s="1025"/>
      <c r="AF1750" s="1030"/>
      <c r="AG1750" s="690"/>
      <c r="AH1750" s="690"/>
      <c r="AI1750" s="696">
        <f t="shared" si="235"/>
        <v>1593081</v>
      </c>
      <c r="AJ1750" s="697">
        <f t="shared" si="236"/>
        <v>1784619</v>
      </c>
    </row>
    <row r="1751" spans="1:36" s="698" customFormat="1" ht="12.75" customHeight="1">
      <c r="A1751" s="900" t="s">
        <v>212</v>
      </c>
      <c r="B1751" s="900" t="s">
        <v>392</v>
      </c>
      <c r="C1751" s="906" t="s">
        <v>1189</v>
      </c>
      <c r="D1751" s="906"/>
      <c r="E1751" s="902">
        <v>175935</v>
      </c>
      <c r="F1751" s="903">
        <v>9</v>
      </c>
      <c r="G1751" s="1025">
        <v>11854197</v>
      </c>
      <c r="H1751" s="690">
        <f>9066149+1586767</f>
        <v>10652916</v>
      </c>
      <c r="I1751" s="1030"/>
      <c r="J1751" s="690"/>
      <c r="K1751" s="1030">
        <v>2236393</v>
      </c>
      <c r="L1751" s="690">
        <v>1984432</v>
      </c>
      <c r="M1751" s="1025">
        <v>8052034</v>
      </c>
      <c r="N1751" s="1030"/>
      <c r="O1751" s="692">
        <f t="shared" si="229"/>
        <v>8052034</v>
      </c>
      <c r="P1751" s="690">
        <v>9661130</v>
      </c>
      <c r="Q1751" s="690"/>
      <c r="R1751" s="691">
        <f t="shared" si="230"/>
        <v>9661130</v>
      </c>
      <c r="S1751" s="692">
        <f t="shared" si="231"/>
        <v>22142624</v>
      </c>
      <c r="T1751" s="693">
        <f t="shared" si="232"/>
        <v>22298478</v>
      </c>
      <c r="U1751" s="1035"/>
      <c r="V1751" s="690"/>
      <c r="W1751" s="1025"/>
      <c r="X1751" s="1030"/>
      <c r="Y1751" s="694">
        <f t="shared" si="233"/>
        <v>0</v>
      </c>
      <c r="Z1751" s="690"/>
      <c r="AA1751" s="690"/>
      <c r="AB1751" s="695">
        <f t="shared" si="234"/>
        <v>0</v>
      </c>
      <c r="AC1751" s="1035"/>
      <c r="AD1751" s="690"/>
      <c r="AE1751" s="1025"/>
      <c r="AF1751" s="1030"/>
      <c r="AG1751" s="690"/>
      <c r="AH1751" s="690"/>
      <c r="AI1751" s="696">
        <f t="shared" si="235"/>
        <v>22142624</v>
      </c>
      <c r="AJ1751" s="697">
        <f t="shared" si="236"/>
        <v>22298478</v>
      </c>
    </row>
    <row r="1752" spans="1:36" s="698" customFormat="1" ht="12.75" customHeight="1">
      <c r="A1752" s="900" t="s">
        <v>212</v>
      </c>
      <c r="B1752" s="900" t="s">
        <v>400</v>
      </c>
      <c r="C1752" s="904" t="s">
        <v>484</v>
      </c>
      <c r="D1752" s="904"/>
      <c r="E1752" s="902">
        <v>175935</v>
      </c>
      <c r="F1752" s="903">
        <v>9</v>
      </c>
      <c r="G1752" s="1025"/>
      <c r="H1752" s="690"/>
      <c r="I1752" s="1030"/>
      <c r="J1752" s="690"/>
      <c r="K1752" s="1030"/>
      <c r="L1752" s="690"/>
      <c r="M1752" s="1025"/>
      <c r="N1752" s="1030"/>
      <c r="O1752" s="692">
        <f t="shared" si="229"/>
        <v>0</v>
      </c>
      <c r="P1752" s="690"/>
      <c r="Q1752" s="690"/>
      <c r="R1752" s="691">
        <f t="shared" si="230"/>
        <v>0</v>
      </c>
      <c r="S1752" s="692">
        <f t="shared" si="231"/>
        <v>0</v>
      </c>
      <c r="T1752" s="693">
        <f t="shared" si="232"/>
        <v>0</v>
      </c>
      <c r="U1752" s="1035"/>
      <c r="V1752" s="690"/>
      <c r="W1752" s="1025"/>
      <c r="X1752" s="1030"/>
      <c r="Y1752" s="694">
        <f t="shared" si="233"/>
        <v>0</v>
      </c>
      <c r="Z1752" s="690"/>
      <c r="AA1752" s="690"/>
      <c r="AB1752" s="695">
        <f t="shared" si="234"/>
        <v>0</v>
      </c>
      <c r="AC1752" s="1035"/>
      <c r="AD1752" s="690"/>
      <c r="AE1752" s="1025"/>
      <c r="AF1752" s="1030"/>
      <c r="AG1752" s="690"/>
      <c r="AH1752" s="690"/>
      <c r="AI1752" s="696">
        <f t="shared" si="235"/>
        <v>0</v>
      </c>
      <c r="AJ1752" s="697">
        <f t="shared" si="236"/>
        <v>0</v>
      </c>
    </row>
    <row r="1753" spans="1:36" s="698" customFormat="1" ht="12.75" customHeight="1">
      <c r="A1753" s="900" t="s">
        <v>212</v>
      </c>
      <c r="B1753" s="900" t="s">
        <v>400</v>
      </c>
      <c r="C1753" s="905" t="s">
        <v>1180</v>
      </c>
      <c r="D1753" s="905"/>
      <c r="E1753" s="902">
        <v>175935</v>
      </c>
      <c r="F1753" s="903">
        <v>9</v>
      </c>
      <c r="G1753" s="1025"/>
      <c r="H1753" s="690"/>
      <c r="I1753" s="1030">
        <v>1270006</v>
      </c>
      <c r="J1753" s="690">
        <v>1344923</v>
      </c>
      <c r="K1753" s="1030"/>
      <c r="L1753" s="690"/>
      <c r="M1753" s="1025"/>
      <c r="N1753" s="1030"/>
      <c r="O1753" s="692">
        <f t="shared" si="229"/>
        <v>0</v>
      </c>
      <c r="P1753" s="690"/>
      <c r="Q1753" s="690"/>
      <c r="R1753" s="691">
        <f t="shared" si="230"/>
        <v>0</v>
      </c>
      <c r="S1753" s="692">
        <f t="shared" si="231"/>
        <v>1270006</v>
      </c>
      <c r="T1753" s="693">
        <f t="shared" si="232"/>
        <v>1344923</v>
      </c>
      <c r="U1753" s="1035"/>
      <c r="V1753" s="690"/>
      <c r="W1753" s="1025"/>
      <c r="X1753" s="1030"/>
      <c r="Y1753" s="694">
        <f t="shared" si="233"/>
        <v>0</v>
      </c>
      <c r="Z1753" s="690"/>
      <c r="AA1753" s="690"/>
      <c r="AB1753" s="695">
        <f t="shared" si="234"/>
        <v>0</v>
      </c>
      <c r="AC1753" s="1035"/>
      <c r="AD1753" s="690"/>
      <c r="AE1753" s="1025"/>
      <c r="AF1753" s="1030"/>
      <c r="AG1753" s="690"/>
      <c r="AH1753" s="690"/>
      <c r="AI1753" s="696">
        <f t="shared" si="235"/>
        <v>1270006</v>
      </c>
      <c r="AJ1753" s="697">
        <f t="shared" si="236"/>
        <v>1344923</v>
      </c>
    </row>
    <row r="1754" spans="1:36" s="698" customFormat="1" ht="12.75" customHeight="1">
      <c r="A1754" s="900" t="s">
        <v>212</v>
      </c>
      <c r="B1754" s="900" t="s">
        <v>392</v>
      </c>
      <c r="C1754" s="906" t="s">
        <v>1190</v>
      </c>
      <c r="D1754" s="906"/>
      <c r="E1754" s="902">
        <v>176008</v>
      </c>
      <c r="F1754" s="903">
        <v>9</v>
      </c>
      <c r="G1754" s="1025">
        <v>10096123</v>
      </c>
      <c r="H1754" s="690">
        <f>8061383+1405165</f>
        <v>9466548</v>
      </c>
      <c r="I1754" s="1030"/>
      <c r="J1754" s="690"/>
      <c r="K1754" s="1030">
        <v>2005945</v>
      </c>
      <c r="L1754" s="690">
        <v>1987758</v>
      </c>
      <c r="M1754" s="1025">
        <v>7411844</v>
      </c>
      <c r="N1754" s="1030"/>
      <c r="O1754" s="692">
        <f t="shared" si="229"/>
        <v>7411844</v>
      </c>
      <c r="P1754" s="690">
        <v>8708483</v>
      </c>
      <c r="Q1754" s="690"/>
      <c r="R1754" s="691">
        <f t="shared" si="230"/>
        <v>8708483</v>
      </c>
      <c r="S1754" s="692">
        <f t="shared" si="231"/>
        <v>19513912</v>
      </c>
      <c r="T1754" s="693">
        <f t="shared" si="232"/>
        <v>20162789</v>
      </c>
      <c r="U1754" s="1035"/>
      <c r="V1754" s="690"/>
      <c r="W1754" s="1025"/>
      <c r="X1754" s="1030"/>
      <c r="Y1754" s="694">
        <f t="shared" si="233"/>
        <v>0</v>
      </c>
      <c r="Z1754" s="690"/>
      <c r="AA1754" s="690"/>
      <c r="AB1754" s="695">
        <f t="shared" si="234"/>
        <v>0</v>
      </c>
      <c r="AC1754" s="1035"/>
      <c r="AD1754" s="690"/>
      <c r="AE1754" s="1025"/>
      <c r="AF1754" s="1030"/>
      <c r="AG1754" s="690"/>
      <c r="AH1754" s="690"/>
      <c r="AI1754" s="696">
        <f t="shared" si="235"/>
        <v>19513912</v>
      </c>
      <c r="AJ1754" s="697">
        <f t="shared" si="236"/>
        <v>20162789</v>
      </c>
    </row>
    <row r="1755" spans="1:36" s="698" customFormat="1" ht="12.75" customHeight="1">
      <c r="A1755" s="900" t="s">
        <v>212</v>
      </c>
      <c r="B1755" s="900" t="s">
        <v>400</v>
      </c>
      <c r="C1755" s="904" t="s">
        <v>484</v>
      </c>
      <c r="D1755" s="904"/>
      <c r="E1755" s="902">
        <v>176008</v>
      </c>
      <c r="F1755" s="903">
        <v>9</v>
      </c>
      <c r="G1755" s="1025"/>
      <c r="H1755" s="690"/>
      <c r="I1755" s="1030"/>
      <c r="J1755" s="690"/>
      <c r="K1755" s="1030"/>
      <c r="L1755" s="690"/>
      <c r="M1755" s="1025"/>
      <c r="N1755" s="1030"/>
      <c r="O1755" s="692">
        <f t="shared" si="229"/>
        <v>0</v>
      </c>
      <c r="P1755" s="690"/>
      <c r="Q1755" s="690"/>
      <c r="R1755" s="691">
        <f t="shared" si="230"/>
        <v>0</v>
      </c>
      <c r="S1755" s="692">
        <f t="shared" si="231"/>
        <v>0</v>
      </c>
      <c r="T1755" s="693">
        <f t="shared" si="232"/>
        <v>0</v>
      </c>
      <c r="U1755" s="1035"/>
      <c r="V1755" s="690"/>
      <c r="W1755" s="1025"/>
      <c r="X1755" s="1030"/>
      <c r="Y1755" s="694">
        <f t="shared" si="233"/>
        <v>0</v>
      </c>
      <c r="Z1755" s="690"/>
      <c r="AA1755" s="690"/>
      <c r="AB1755" s="695">
        <f t="shared" si="234"/>
        <v>0</v>
      </c>
      <c r="AC1755" s="1035"/>
      <c r="AD1755" s="690"/>
      <c r="AE1755" s="1025"/>
      <c r="AF1755" s="1030"/>
      <c r="AG1755" s="690"/>
      <c r="AH1755" s="690"/>
      <c r="AI1755" s="696">
        <f t="shared" si="235"/>
        <v>0</v>
      </c>
      <c r="AJ1755" s="697">
        <f t="shared" si="236"/>
        <v>0</v>
      </c>
    </row>
    <row r="1756" spans="1:36" s="698" customFormat="1" ht="12.75" customHeight="1">
      <c r="A1756" s="900" t="s">
        <v>212</v>
      </c>
      <c r="B1756" s="900" t="s">
        <v>400</v>
      </c>
      <c r="C1756" s="905" t="s">
        <v>1180</v>
      </c>
      <c r="D1756" s="905"/>
      <c r="E1756" s="902">
        <v>176008</v>
      </c>
      <c r="F1756" s="903">
        <v>9</v>
      </c>
      <c r="G1756" s="1025"/>
      <c r="H1756" s="690"/>
      <c r="I1756" s="1030">
        <v>987487</v>
      </c>
      <c r="J1756" s="690">
        <v>990015</v>
      </c>
      <c r="K1756" s="1030"/>
      <c r="L1756" s="690"/>
      <c r="M1756" s="1025"/>
      <c r="N1756" s="1030"/>
      <c r="O1756" s="692">
        <f t="shared" si="229"/>
        <v>0</v>
      </c>
      <c r="P1756" s="690"/>
      <c r="Q1756" s="690"/>
      <c r="R1756" s="691">
        <f t="shared" si="230"/>
        <v>0</v>
      </c>
      <c r="S1756" s="692">
        <f t="shared" si="231"/>
        <v>987487</v>
      </c>
      <c r="T1756" s="693">
        <f t="shared" si="232"/>
        <v>990015</v>
      </c>
      <c r="U1756" s="1035"/>
      <c r="V1756" s="690"/>
      <c r="W1756" s="1025"/>
      <c r="X1756" s="1030"/>
      <c r="Y1756" s="694">
        <f t="shared" si="233"/>
        <v>0</v>
      </c>
      <c r="Z1756" s="690"/>
      <c r="AA1756" s="690"/>
      <c r="AB1756" s="695">
        <f t="shared" si="234"/>
        <v>0</v>
      </c>
      <c r="AC1756" s="1035"/>
      <c r="AD1756" s="690"/>
      <c r="AE1756" s="1025"/>
      <c r="AF1756" s="1030"/>
      <c r="AG1756" s="690"/>
      <c r="AH1756" s="690"/>
      <c r="AI1756" s="696">
        <f t="shared" si="235"/>
        <v>987487</v>
      </c>
      <c r="AJ1756" s="697">
        <f t="shared" si="236"/>
        <v>990015</v>
      </c>
    </row>
    <row r="1757" spans="1:36" s="698" customFormat="1" ht="12.75" customHeight="1">
      <c r="A1757" s="900" t="s">
        <v>212</v>
      </c>
      <c r="B1757" s="900" t="s">
        <v>392</v>
      </c>
      <c r="C1757" s="906" t="s">
        <v>1191</v>
      </c>
      <c r="D1757" s="906"/>
      <c r="E1757" s="902">
        <v>176169</v>
      </c>
      <c r="F1757" s="903">
        <v>9</v>
      </c>
      <c r="G1757" s="1025">
        <v>10813271</v>
      </c>
      <c r="H1757" s="690">
        <f>8553285+1505189</f>
        <v>10058474</v>
      </c>
      <c r="I1757" s="1030"/>
      <c r="J1757" s="690"/>
      <c r="K1757" s="1030">
        <v>1459707</v>
      </c>
      <c r="L1757" s="690">
        <v>1451571</v>
      </c>
      <c r="M1757" s="1025">
        <v>7635712</v>
      </c>
      <c r="N1757" s="1030" t="s">
        <v>131</v>
      </c>
      <c r="O1757" s="692">
        <f t="shared" si="229"/>
        <v>7635712</v>
      </c>
      <c r="P1757" s="690">
        <v>8728291</v>
      </c>
      <c r="Q1757" s="690"/>
      <c r="R1757" s="691">
        <f t="shared" si="230"/>
        <v>8728291</v>
      </c>
      <c r="S1757" s="692">
        <f t="shared" si="231"/>
        <v>19908690</v>
      </c>
      <c r="T1757" s="693">
        <f t="shared" si="232"/>
        <v>20238336</v>
      </c>
      <c r="U1757" s="1035"/>
      <c r="V1757" s="690"/>
      <c r="W1757" s="1025"/>
      <c r="X1757" s="1030"/>
      <c r="Y1757" s="694">
        <f t="shared" si="233"/>
        <v>0</v>
      </c>
      <c r="Z1757" s="690"/>
      <c r="AA1757" s="690"/>
      <c r="AB1757" s="695">
        <f t="shared" si="234"/>
        <v>0</v>
      </c>
      <c r="AC1757" s="1035"/>
      <c r="AD1757" s="690"/>
      <c r="AE1757" s="1025"/>
      <c r="AF1757" s="1030"/>
      <c r="AG1757" s="690"/>
      <c r="AH1757" s="690"/>
      <c r="AI1757" s="696">
        <f t="shared" si="235"/>
        <v>19908690</v>
      </c>
      <c r="AJ1757" s="697">
        <f t="shared" si="236"/>
        <v>20238336</v>
      </c>
    </row>
    <row r="1758" spans="1:36" s="698" customFormat="1" ht="12.75" customHeight="1">
      <c r="A1758" s="900" t="s">
        <v>212</v>
      </c>
      <c r="B1758" s="900" t="s">
        <v>400</v>
      </c>
      <c r="C1758" s="904" t="s">
        <v>484</v>
      </c>
      <c r="D1758" s="904"/>
      <c r="E1758" s="902">
        <v>176169</v>
      </c>
      <c r="F1758" s="903">
        <v>9</v>
      </c>
      <c r="G1758" s="1025"/>
      <c r="H1758" s="690"/>
      <c r="I1758" s="1030"/>
      <c r="J1758" s="690"/>
      <c r="K1758" s="1030"/>
      <c r="L1758" s="690"/>
      <c r="M1758" s="1025"/>
      <c r="N1758" s="1030"/>
      <c r="O1758" s="692">
        <f t="shared" si="229"/>
        <v>0</v>
      </c>
      <c r="P1758" s="690"/>
      <c r="Q1758" s="690"/>
      <c r="R1758" s="691">
        <f t="shared" si="230"/>
        <v>0</v>
      </c>
      <c r="S1758" s="692">
        <f t="shared" si="231"/>
        <v>0</v>
      </c>
      <c r="T1758" s="693">
        <f t="shared" si="232"/>
        <v>0</v>
      </c>
      <c r="U1758" s="1035"/>
      <c r="V1758" s="690"/>
      <c r="W1758" s="1025"/>
      <c r="X1758" s="1030"/>
      <c r="Y1758" s="694">
        <f t="shared" si="233"/>
        <v>0</v>
      </c>
      <c r="Z1758" s="690"/>
      <c r="AA1758" s="690"/>
      <c r="AB1758" s="695">
        <f t="shared" si="234"/>
        <v>0</v>
      </c>
      <c r="AC1758" s="1035"/>
      <c r="AD1758" s="690"/>
      <c r="AE1758" s="1025"/>
      <c r="AF1758" s="1030"/>
      <c r="AG1758" s="690"/>
      <c r="AH1758" s="690"/>
      <c r="AI1758" s="696">
        <f t="shared" si="235"/>
        <v>0</v>
      </c>
      <c r="AJ1758" s="697">
        <f t="shared" si="236"/>
        <v>0</v>
      </c>
    </row>
    <row r="1759" spans="1:36" s="698" customFormat="1" ht="12.75" customHeight="1">
      <c r="A1759" s="900" t="s">
        <v>212</v>
      </c>
      <c r="B1759" s="900" t="s">
        <v>400</v>
      </c>
      <c r="C1759" s="905" t="s">
        <v>1180</v>
      </c>
      <c r="D1759" s="905"/>
      <c r="E1759" s="902">
        <v>176169</v>
      </c>
      <c r="F1759" s="903">
        <v>9</v>
      </c>
      <c r="G1759" s="1025"/>
      <c r="H1759" s="690"/>
      <c r="I1759" s="1030">
        <v>1191979</v>
      </c>
      <c r="J1759" s="690">
        <v>1313145</v>
      </c>
      <c r="K1759" s="1030"/>
      <c r="L1759" s="690"/>
      <c r="M1759" s="1025"/>
      <c r="N1759" s="1030"/>
      <c r="O1759" s="692">
        <f t="shared" si="229"/>
        <v>0</v>
      </c>
      <c r="P1759" s="690"/>
      <c r="Q1759" s="690"/>
      <c r="R1759" s="691">
        <f t="shared" si="230"/>
        <v>0</v>
      </c>
      <c r="S1759" s="692">
        <f t="shared" si="231"/>
        <v>1191979</v>
      </c>
      <c r="T1759" s="693">
        <f t="shared" si="232"/>
        <v>1313145</v>
      </c>
      <c r="U1759" s="1035"/>
      <c r="V1759" s="690"/>
      <c r="W1759" s="1025"/>
      <c r="X1759" s="1030"/>
      <c r="Y1759" s="694">
        <f t="shared" si="233"/>
        <v>0</v>
      </c>
      <c r="Z1759" s="690"/>
      <c r="AA1759" s="690"/>
      <c r="AB1759" s="695">
        <f t="shared" si="234"/>
        <v>0</v>
      </c>
      <c r="AC1759" s="1035"/>
      <c r="AD1759" s="690"/>
      <c r="AE1759" s="1025"/>
      <c r="AF1759" s="1030"/>
      <c r="AG1759" s="690"/>
      <c r="AH1759" s="690"/>
      <c r="AI1759" s="696">
        <f t="shared" si="235"/>
        <v>1191979</v>
      </c>
      <c r="AJ1759" s="697">
        <f t="shared" si="236"/>
        <v>1313145</v>
      </c>
    </row>
    <row r="1760" spans="1:36" s="698" customFormat="1" ht="12.75" customHeight="1">
      <c r="A1760" s="900" t="s">
        <v>212</v>
      </c>
      <c r="B1760" s="900" t="s">
        <v>392</v>
      </c>
      <c r="C1760" s="901" t="s">
        <v>1192</v>
      </c>
      <c r="D1760" s="901"/>
      <c r="E1760" s="902">
        <v>176239</v>
      </c>
      <c r="F1760" s="903">
        <v>9</v>
      </c>
      <c r="G1760" s="1025">
        <v>13279595</v>
      </c>
      <c r="H1760" s="690">
        <f>10447595+1851288</f>
        <v>12298883</v>
      </c>
      <c r="I1760" s="1030"/>
      <c r="J1760" s="690"/>
      <c r="K1760" s="1030">
        <v>2759587</v>
      </c>
      <c r="L1760" s="690">
        <v>3156587</v>
      </c>
      <c r="M1760" s="1025">
        <v>9722223</v>
      </c>
      <c r="N1760" s="1030"/>
      <c r="O1760" s="692">
        <f t="shared" si="229"/>
        <v>9722223</v>
      </c>
      <c r="P1760" s="690">
        <v>11554239</v>
      </c>
      <c r="Q1760" s="690"/>
      <c r="R1760" s="691">
        <f t="shared" si="230"/>
        <v>11554239</v>
      </c>
      <c r="S1760" s="692">
        <f t="shared" si="231"/>
        <v>25761405</v>
      </c>
      <c r="T1760" s="693">
        <f t="shared" si="232"/>
        <v>27009709</v>
      </c>
      <c r="U1760" s="1035"/>
      <c r="V1760" s="690"/>
      <c r="W1760" s="1025"/>
      <c r="X1760" s="1030"/>
      <c r="Y1760" s="694">
        <f t="shared" si="233"/>
        <v>0</v>
      </c>
      <c r="Z1760" s="690"/>
      <c r="AA1760" s="690"/>
      <c r="AB1760" s="695">
        <f t="shared" si="234"/>
        <v>0</v>
      </c>
      <c r="AC1760" s="1035"/>
      <c r="AD1760" s="690"/>
      <c r="AE1760" s="1025"/>
      <c r="AF1760" s="1030"/>
      <c r="AG1760" s="690"/>
      <c r="AH1760" s="690"/>
      <c r="AI1760" s="696">
        <f t="shared" si="235"/>
        <v>25761405</v>
      </c>
      <c r="AJ1760" s="697">
        <f t="shared" si="236"/>
        <v>27009709</v>
      </c>
    </row>
    <row r="1761" spans="1:36" s="698" customFormat="1" ht="12.75" customHeight="1">
      <c r="A1761" s="900" t="s">
        <v>212</v>
      </c>
      <c r="B1761" s="900" t="s">
        <v>400</v>
      </c>
      <c r="C1761" s="904" t="s">
        <v>484</v>
      </c>
      <c r="D1761" s="904"/>
      <c r="E1761" s="902">
        <v>176239</v>
      </c>
      <c r="F1761" s="903">
        <v>9</v>
      </c>
      <c r="G1761" s="1025"/>
      <c r="H1761" s="690"/>
      <c r="I1761" s="1030"/>
      <c r="J1761" s="690"/>
      <c r="K1761" s="1030"/>
      <c r="L1761" s="690"/>
      <c r="M1761" s="1025"/>
      <c r="N1761" s="1030"/>
      <c r="O1761" s="692">
        <f t="shared" si="229"/>
        <v>0</v>
      </c>
      <c r="P1761" s="690"/>
      <c r="Q1761" s="690"/>
      <c r="R1761" s="691">
        <f t="shared" si="230"/>
        <v>0</v>
      </c>
      <c r="S1761" s="692">
        <f t="shared" si="231"/>
        <v>0</v>
      </c>
      <c r="T1761" s="693">
        <f t="shared" si="232"/>
        <v>0</v>
      </c>
      <c r="U1761" s="1035"/>
      <c r="V1761" s="690"/>
      <c r="W1761" s="1025"/>
      <c r="X1761" s="1030"/>
      <c r="Y1761" s="694">
        <f t="shared" si="233"/>
        <v>0</v>
      </c>
      <c r="Z1761" s="690"/>
      <c r="AA1761" s="690"/>
      <c r="AB1761" s="695">
        <f t="shared" si="234"/>
        <v>0</v>
      </c>
      <c r="AC1761" s="1035"/>
      <c r="AD1761" s="690"/>
      <c r="AE1761" s="1025"/>
      <c r="AF1761" s="1030"/>
      <c r="AG1761" s="690"/>
      <c r="AH1761" s="690"/>
      <c r="AI1761" s="696">
        <f t="shared" si="235"/>
        <v>0</v>
      </c>
      <c r="AJ1761" s="697">
        <f t="shared" si="236"/>
        <v>0</v>
      </c>
    </row>
    <row r="1762" spans="1:36" s="698" customFormat="1" ht="12.75" customHeight="1">
      <c r="A1762" s="900" t="s">
        <v>212</v>
      </c>
      <c r="B1762" s="900" t="s">
        <v>400</v>
      </c>
      <c r="C1762" s="905" t="s">
        <v>1180</v>
      </c>
      <c r="D1762" s="905"/>
      <c r="E1762" s="902">
        <v>176239</v>
      </c>
      <c r="F1762" s="903">
        <v>9</v>
      </c>
      <c r="G1762" s="1025"/>
      <c r="H1762" s="690"/>
      <c r="I1762" s="1030">
        <v>1758794</v>
      </c>
      <c r="J1762" s="690">
        <v>1989676</v>
      </c>
      <c r="K1762" s="1030"/>
      <c r="L1762" s="690"/>
      <c r="M1762" s="1025"/>
      <c r="N1762" s="1030"/>
      <c r="O1762" s="692">
        <f t="shared" si="229"/>
        <v>0</v>
      </c>
      <c r="P1762" s="690"/>
      <c r="Q1762" s="690"/>
      <c r="R1762" s="691">
        <f t="shared" si="230"/>
        <v>0</v>
      </c>
      <c r="S1762" s="692">
        <f t="shared" si="231"/>
        <v>1758794</v>
      </c>
      <c r="T1762" s="693">
        <f t="shared" si="232"/>
        <v>1989676</v>
      </c>
      <c r="U1762" s="1035"/>
      <c r="V1762" s="690"/>
      <c r="W1762" s="1025"/>
      <c r="X1762" s="1030"/>
      <c r="Y1762" s="694">
        <f t="shared" si="233"/>
        <v>0</v>
      </c>
      <c r="Z1762" s="690"/>
      <c r="AA1762" s="690"/>
      <c r="AB1762" s="695">
        <f t="shared" si="234"/>
        <v>0</v>
      </c>
      <c r="AC1762" s="1035"/>
      <c r="AD1762" s="690"/>
      <c r="AE1762" s="1025"/>
      <c r="AF1762" s="1030"/>
      <c r="AG1762" s="690"/>
      <c r="AH1762" s="690"/>
      <c r="AI1762" s="696">
        <f t="shared" si="235"/>
        <v>1758794</v>
      </c>
      <c r="AJ1762" s="697">
        <f t="shared" si="236"/>
        <v>1989676</v>
      </c>
    </row>
    <row r="1763" spans="1:36" s="698" customFormat="1" ht="12.75" customHeight="1">
      <c r="A1763" s="900" t="s">
        <v>212</v>
      </c>
      <c r="B1763" s="900" t="s">
        <v>392</v>
      </c>
      <c r="C1763" s="901" t="s">
        <v>1193</v>
      </c>
      <c r="D1763" s="1075" t="s">
        <v>1903</v>
      </c>
      <c r="E1763" s="902">
        <v>175519</v>
      </c>
      <c r="F1763" s="903">
        <v>10</v>
      </c>
      <c r="G1763" s="1025">
        <v>6812767</v>
      </c>
      <c r="H1763" s="690">
        <f>5555317+951712</f>
        <v>6507029</v>
      </c>
      <c r="I1763" s="1030"/>
      <c r="J1763" s="690"/>
      <c r="K1763" s="1030">
        <v>1359978</v>
      </c>
      <c r="L1763" s="690">
        <v>1352690</v>
      </c>
      <c r="M1763" s="1025">
        <v>5503489</v>
      </c>
      <c r="N1763" s="1030"/>
      <c r="O1763" s="692">
        <f t="shared" si="229"/>
        <v>5503489</v>
      </c>
      <c r="P1763" s="690">
        <v>6680227</v>
      </c>
      <c r="Q1763" s="690"/>
      <c r="R1763" s="691">
        <f t="shared" si="230"/>
        <v>6680227</v>
      </c>
      <c r="S1763" s="692">
        <f t="shared" si="231"/>
        <v>13676234</v>
      </c>
      <c r="T1763" s="693">
        <f t="shared" si="232"/>
        <v>14539946</v>
      </c>
      <c r="U1763" s="1035"/>
      <c r="V1763" s="690"/>
      <c r="W1763" s="1025"/>
      <c r="X1763" s="1030"/>
      <c r="Y1763" s="694">
        <f t="shared" si="233"/>
        <v>0</v>
      </c>
      <c r="Z1763" s="690"/>
      <c r="AA1763" s="690"/>
      <c r="AB1763" s="695">
        <f t="shared" si="234"/>
        <v>0</v>
      </c>
      <c r="AC1763" s="1035"/>
      <c r="AD1763" s="690"/>
      <c r="AE1763" s="1025"/>
      <c r="AF1763" s="1030"/>
      <c r="AG1763" s="690"/>
      <c r="AH1763" s="690"/>
      <c r="AI1763" s="696">
        <f t="shared" si="235"/>
        <v>13676234</v>
      </c>
      <c r="AJ1763" s="697">
        <f t="shared" si="236"/>
        <v>14539946</v>
      </c>
    </row>
    <row r="1764" spans="1:36" s="698" customFormat="1" ht="12.75" customHeight="1">
      <c r="A1764" s="900" t="s">
        <v>212</v>
      </c>
      <c r="B1764" s="900" t="s">
        <v>400</v>
      </c>
      <c r="C1764" s="904" t="s">
        <v>484</v>
      </c>
      <c r="D1764" s="904"/>
      <c r="E1764" s="902">
        <v>175519</v>
      </c>
      <c r="F1764" s="903">
        <v>10</v>
      </c>
      <c r="G1764" s="1025"/>
      <c r="H1764" s="690"/>
      <c r="I1764" s="1030"/>
      <c r="J1764" s="690"/>
      <c r="K1764" s="1030"/>
      <c r="L1764" s="690"/>
      <c r="M1764" s="1025"/>
      <c r="N1764" s="1030"/>
      <c r="O1764" s="692">
        <f t="shared" si="229"/>
        <v>0</v>
      </c>
      <c r="P1764" s="690"/>
      <c r="Q1764" s="690"/>
      <c r="R1764" s="691">
        <f t="shared" si="230"/>
        <v>0</v>
      </c>
      <c r="S1764" s="692">
        <f t="shared" si="231"/>
        <v>0</v>
      </c>
      <c r="T1764" s="693">
        <f t="shared" si="232"/>
        <v>0</v>
      </c>
      <c r="U1764" s="1035"/>
      <c r="V1764" s="690"/>
      <c r="W1764" s="1025"/>
      <c r="X1764" s="1030"/>
      <c r="Y1764" s="694">
        <f t="shared" si="233"/>
        <v>0</v>
      </c>
      <c r="Z1764" s="690"/>
      <c r="AA1764" s="690"/>
      <c r="AB1764" s="695">
        <f t="shared" si="234"/>
        <v>0</v>
      </c>
      <c r="AC1764" s="1035"/>
      <c r="AD1764" s="690"/>
      <c r="AE1764" s="1025"/>
      <c r="AF1764" s="1030"/>
      <c r="AG1764" s="690"/>
      <c r="AH1764" s="690"/>
      <c r="AI1764" s="696">
        <f t="shared" si="235"/>
        <v>0</v>
      </c>
      <c r="AJ1764" s="697">
        <f t="shared" si="236"/>
        <v>0</v>
      </c>
    </row>
    <row r="1765" spans="1:36" s="698" customFormat="1" ht="12.75" customHeight="1">
      <c r="A1765" s="900" t="s">
        <v>212</v>
      </c>
      <c r="B1765" s="900" t="s">
        <v>400</v>
      </c>
      <c r="C1765" s="905" t="s">
        <v>1180</v>
      </c>
      <c r="D1765" s="905"/>
      <c r="E1765" s="902">
        <v>175519</v>
      </c>
      <c r="F1765" s="903">
        <v>10</v>
      </c>
      <c r="G1765" s="1025"/>
      <c r="H1765" s="690"/>
      <c r="I1765" s="1030">
        <v>946140</v>
      </c>
      <c r="J1765" s="690">
        <v>1251434</v>
      </c>
      <c r="K1765" s="1030"/>
      <c r="L1765" s="690"/>
      <c r="M1765" s="1025"/>
      <c r="N1765" s="1030"/>
      <c r="O1765" s="692">
        <f t="shared" si="229"/>
        <v>0</v>
      </c>
      <c r="P1765" s="690"/>
      <c r="Q1765" s="690"/>
      <c r="R1765" s="691">
        <f t="shared" si="230"/>
        <v>0</v>
      </c>
      <c r="S1765" s="692">
        <f t="shared" si="231"/>
        <v>946140</v>
      </c>
      <c r="T1765" s="693">
        <f t="shared" si="232"/>
        <v>1251434</v>
      </c>
      <c r="U1765" s="1035"/>
      <c r="V1765" s="690"/>
      <c r="W1765" s="1025"/>
      <c r="X1765" s="1030"/>
      <c r="Y1765" s="694">
        <f t="shared" si="233"/>
        <v>0</v>
      </c>
      <c r="Z1765" s="690"/>
      <c r="AA1765" s="690"/>
      <c r="AB1765" s="695">
        <f t="shared" si="234"/>
        <v>0</v>
      </c>
      <c r="AC1765" s="1035"/>
      <c r="AD1765" s="690"/>
      <c r="AE1765" s="1025"/>
      <c r="AF1765" s="1030"/>
      <c r="AG1765" s="690"/>
      <c r="AH1765" s="690"/>
      <c r="AI1765" s="696">
        <f t="shared" si="235"/>
        <v>946140</v>
      </c>
      <c r="AJ1765" s="697">
        <f t="shared" si="236"/>
        <v>1251434</v>
      </c>
    </row>
    <row r="1766" spans="1:36" s="698" customFormat="1" ht="12.75" customHeight="1">
      <c r="A1766" s="900" t="s">
        <v>212</v>
      </c>
      <c r="B1766" s="900" t="s">
        <v>392</v>
      </c>
      <c r="C1766" s="906" t="s">
        <v>1194</v>
      </c>
      <c r="D1766" s="906"/>
      <c r="E1766" s="902">
        <v>176354</v>
      </c>
      <c r="F1766" s="903">
        <v>10</v>
      </c>
      <c r="G1766" s="1025">
        <v>7365595</v>
      </c>
      <c r="H1766" s="690">
        <f>5810600+976768</f>
        <v>6787368</v>
      </c>
      <c r="I1766" s="1030"/>
      <c r="J1766" s="690"/>
      <c r="K1766" s="1030">
        <v>1083396</v>
      </c>
      <c r="L1766" s="690">
        <v>1193407</v>
      </c>
      <c r="M1766" s="1025">
        <v>4404568</v>
      </c>
      <c r="N1766" s="1030"/>
      <c r="O1766" s="692">
        <f t="shared" si="229"/>
        <v>4404568</v>
      </c>
      <c r="P1766" s="690">
        <v>4136150</v>
      </c>
      <c r="Q1766" s="690"/>
      <c r="R1766" s="691">
        <f t="shared" si="230"/>
        <v>4136150</v>
      </c>
      <c r="S1766" s="692">
        <f t="shared" si="231"/>
        <v>12853559</v>
      </c>
      <c r="T1766" s="693">
        <f t="shared" si="232"/>
        <v>12116925</v>
      </c>
      <c r="U1766" s="1035"/>
      <c r="V1766" s="690"/>
      <c r="W1766" s="1025"/>
      <c r="X1766" s="1030"/>
      <c r="Y1766" s="694">
        <f t="shared" si="233"/>
        <v>0</v>
      </c>
      <c r="Z1766" s="690"/>
      <c r="AA1766" s="690"/>
      <c r="AB1766" s="695">
        <f t="shared" si="234"/>
        <v>0</v>
      </c>
      <c r="AC1766" s="1035"/>
      <c r="AD1766" s="690"/>
      <c r="AE1766" s="1025"/>
      <c r="AF1766" s="1030"/>
      <c r="AG1766" s="690"/>
      <c r="AH1766" s="690"/>
      <c r="AI1766" s="696">
        <f t="shared" si="235"/>
        <v>12853559</v>
      </c>
      <c r="AJ1766" s="697">
        <f t="shared" si="236"/>
        <v>12116925</v>
      </c>
    </row>
    <row r="1767" spans="1:36" s="698" customFormat="1" ht="12.75" customHeight="1">
      <c r="A1767" s="900" t="s">
        <v>212</v>
      </c>
      <c r="B1767" s="900" t="s">
        <v>400</v>
      </c>
      <c r="C1767" s="904" t="s">
        <v>484</v>
      </c>
      <c r="D1767" s="904"/>
      <c r="E1767" s="902">
        <v>176354</v>
      </c>
      <c r="F1767" s="903">
        <v>10</v>
      </c>
      <c r="G1767" s="1025"/>
      <c r="H1767" s="690"/>
      <c r="I1767" s="1030"/>
      <c r="J1767" s="690"/>
      <c r="K1767" s="1030"/>
      <c r="L1767" s="690"/>
      <c r="M1767" s="1025"/>
      <c r="N1767" s="1030"/>
      <c r="O1767" s="692">
        <f t="shared" si="229"/>
        <v>0</v>
      </c>
      <c r="P1767" s="690"/>
      <c r="Q1767" s="690"/>
      <c r="R1767" s="691">
        <f t="shared" si="230"/>
        <v>0</v>
      </c>
      <c r="S1767" s="692">
        <f t="shared" si="231"/>
        <v>0</v>
      </c>
      <c r="T1767" s="693">
        <f t="shared" si="232"/>
        <v>0</v>
      </c>
      <c r="U1767" s="1035"/>
      <c r="V1767" s="690"/>
      <c r="W1767" s="1025"/>
      <c r="X1767" s="1030"/>
      <c r="Y1767" s="694">
        <f t="shared" si="233"/>
        <v>0</v>
      </c>
      <c r="Z1767" s="690"/>
      <c r="AA1767" s="690"/>
      <c r="AB1767" s="695">
        <f t="shared" si="234"/>
        <v>0</v>
      </c>
      <c r="AC1767" s="1035"/>
      <c r="AD1767" s="690"/>
      <c r="AE1767" s="1025"/>
      <c r="AF1767" s="1030"/>
      <c r="AG1767" s="690"/>
      <c r="AH1767" s="690"/>
      <c r="AI1767" s="696">
        <f t="shared" si="235"/>
        <v>0</v>
      </c>
      <c r="AJ1767" s="697">
        <f t="shared" si="236"/>
        <v>0</v>
      </c>
    </row>
    <row r="1768" spans="1:36" s="698" customFormat="1" ht="12.75" customHeight="1">
      <c r="A1768" s="900" t="s">
        <v>212</v>
      </c>
      <c r="B1768" s="900" t="s">
        <v>400</v>
      </c>
      <c r="C1768" s="905" t="s">
        <v>1180</v>
      </c>
      <c r="D1768" s="905"/>
      <c r="E1768" s="902">
        <v>176354</v>
      </c>
      <c r="F1768" s="903">
        <v>10</v>
      </c>
      <c r="G1768" s="1025"/>
      <c r="H1768" s="690"/>
      <c r="I1768" s="1030">
        <v>904896</v>
      </c>
      <c r="J1768" s="690">
        <v>1010484</v>
      </c>
      <c r="K1768" s="1030"/>
      <c r="L1768" s="690"/>
      <c r="M1768" s="1025"/>
      <c r="N1768" s="1030"/>
      <c r="O1768" s="692">
        <f t="shared" si="229"/>
        <v>0</v>
      </c>
      <c r="P1768" s="690"/>
      <c r="Q1768" s="690"/>
      <c r="R1768" s="691">
        <f t="shared" si="230"/>
        <v>0</v>
      </c>
      <c r="S1768" s="692">
        <f t="shared" si="231"/>
        <v>904896</v>
      </c>
      <c r="T1768" s="693">
        <f t="shared" si="232"/>
        <v>1010484</v>
      </c>
      <c r="U1768" s="1035"/>
      <c r="V1768" s="690"/>
      <c r="W1768" s="1025"/>
      <c r="X1768" s="1030"/>
      <c r="Y1768" s="694">
        <f t="shared" si="233"/>
        <v>0</v>
      </c>
      <c r="Z1768" s="690"/>
      <c r="AA1768" s="690"/>
      <c r="AB1768" s="695">
        <f t="shared" si="234"/>
        <v>0</v>
      </c>
      <c r="AC1768" s="1035"/>
      <c r="AD1768" s="690"/>
      <c r="AE1768" s="1025"/>
      <c r="AF1768" s="1030"/>
      <c r="AG1768" s="690"/>
      <c r="AH1768" s="690"/>
      <c r="AI1768" s="696">
        <f t="shared" si="235"/>
        <v>904896</v>
      </c>
      <c r="AJ1768" s="697">
        <f t="shared" si="236"/>
        <v>1010484</v>
      </c>
    </row>
    <row r="1769" spans="1:36" s="698" customFormat="1" ht="12.75" customHeight="1">
      <c r="A1769" s="900" t="s">
        <v>212</v>
      </c>
      <c r="B1769" s="900" t="s">
        <v>401</v>
      </c>
      <c r="C1769" s="907" t="s">
        <v>1195</v>
      </c>
      <c r="D1769" s="907"/>
      <c r="E1769" s="902"/>
      <c r="F1769" s="903"/>
      <c r="G1769" s="1025"/>
      <c r="H1769" s="690"/>
      <c r="I1769" s="1030"/>
      <c r="J1769" s="690"/>
      <c r="K1769" s="1030"/>
      <c r="L1769" s="690"/>
      <c r="M1769" s="1025"/>
      <c r="N1769" s="1030"/>
      <c r="O1769" s="692">
        <f t="shared" si="229"/>
        <v>0</v>
      </c>
      <c r="P1769" s="690"/>
      <c r="Q1769" s="690"/>
      <c r="R1769" s="691">
        <f t="shared" si="230"/>
        <v>0</v>
      </c>
      <c r="S1769" s="692">
        <f t="shared" si="231"/>
        <v>0</v>
      </c>
      <c r="T1769" s="693">
        <f t="shared" si="232"/>
        <v>0</v>
      </c>
      <c r="U1769" s="1035"/>
      <c r="V1769" s="690"/>
      <c r="W1769" s="1025"/>
      <c r="X1769" s="1030"/>
      <c r="Y1769" s="694">
        <f t="shared" si="233"/>
        <v>0</v>
      </c>
      <c r="Z1769" s="690"/>
      <c r="AA1769" s="690"/>
      <c r="AB1769" s="695">
        <f t="shared" si="234"/>
        <v>0</v>
      </c>
      <c r="AC1769" s="1035"/>
      <c r="AD1769" s="690"/>
      <c r="AE1769" s="1025"/>
      <c r="AF1769" s="1030"/>
      <c r="AG1769" s="690"/>
      <c r="AH1769" s="690"/>
      <c r="AI1769" s="696">
        <f t="shared" si="235"/>
        <v>0</v>
      </c>
      <c r="AJ1769" s="697">
        <f t="shared" si="236"/>
        <v>0</v>
      </c>
    </row>
    <row r="1770" spans="1:36" s="698" customFormat="1" ht="12.75" customHeight="1">
      <c r="A1770" s="900" t="s">
        <v>212</v>
      </c>
      <c r="B1770" s="900" t="s">
        <v>431</v>
      </c>
      <c r="C1770" s="907" t="s">
        <v>939</v>
      </c>
      <c r="D1770" s="907"/>
      <c r="E1770" s="902"/>
      <c r="F1770" s="903"/>
      <c r="G1770" s="1025"/>
      <c r="H1770" s="690"/>
      <c r="I1770" s="1030"/>
      <c r="J1770" s="690"/>
      <c r="K1770" s="1030"/>
      <c r="L1770" s="690"/>
      <c r="M1770" s="1025"/>
      <c r="N1770" s="1030"/>
      <c r="O1770" s="692">
        <f t="shared" si="229"/>
        <v>0</v>
      </c>
      <c r="P1770" s="690"/>
      <c r="Q1770" s="690"/>
      <c r="R1770" s="691">
        <f t="shared" si="230"/>
        <v>0</v>
      </c>
      <c r="S1770" s="692">
        <f t="shared" si="231"/>
        <v>0</v>
      </c>
      <c r="T1770" s="693">
        <f t="shared" si="232"/>
        <v>0</v>
      </c>
      <c r="U1770" s="1035"/>
      <c r="V1770" s="690"/>
      <c r="W1770" s="1025"/>
      <c r="X1770" s="1030"/>
      <c r="Y1770" s="694">
        <f t="shared" si="233"/>
        <v>0</v>
      </c>
      <c r="Z1770" s="690"/>
      <c r="AA1770" s="690"/>
      <c r="AB1770" s="695">
        <f t="shared" si="234"/>
        <v>0</v>
      </c>
      <c r="AC1770" s="1035"/>
      <c r="AD1770" s="690"/>
      <c r="AE1770" s="1025"/>
      <c r="AF1770" s="1030"/>
      <c r="AG1770" s="690"/>
      <c r="AH1770" s="690"/>
      <c r="AI1770" s="696">
        <f t="shared" si="235"/>
        <v>0</v>
      </c>
      <c r="AJ1770" s="697">
        <f t="shared" si="236"/>
        <v>0</v>
      </c>
    </row>
    <row r="1771" spans="1:36" s="698" customFormat="1" ht="12.75" customHeight="1">
      <c r="A1771" s="900" t="s">
        <v>212</v>
      </c>
      <c r="B1771" s="900" t="s">
        <v>431</v>
      </c>
      <c r="C1771" s="905" t="s">
        <v>1196</v>
      </c>
      <c r="D1771" s="905"/>
      <c r="E1771" s="902"/>
      <c r="F1771" s="903"/>
      <c r="G1771" s="1025"/>
      <c r="H1771" s="690"/>
      <c r="I1771" s="1030">
        <v>337809.47</v>
      </c>
      <c r="J1771" s="690">
        <f>200794+180547</f>
        <v>381341</v>
      </c>
      <c r="K1771" s="1030"/>
      <c r="L1771" s="690"/>
      <c r="M1771" s="1025"/>
      <c r="N1771" s="1030"/>
      <c r="O1771" s="692">
        <f t="shared" si="229"/>
        <v>0</v>
      </c>
      <c r="P1771" s="690"/>
      <c r="Q1771" s="690"/>
      <c r="R1771" s="691">
        <f t="shared" si="230"/>
        <v>0</v>
      </c>
      <c r="S1771" s="692">
        <f t="shared" si="231"/>
        <v>337809.47</v>
      </c>
      <c r="T1771" s="693">
        <f t="shared" si="232"/>
        <v>381341</v>
      </c>
      <c r="U1771" s="1035"/>
      <c r="V1771" s="690"/>
      <c r="W1771" s="1025"/>
      <c r="X1771" s="1030"/>
      <c r="Y1771" s="694">
        <f t="shared" si="233"/>
        <v>0</v>
      </c>
      <c r="Z1771" s="690"/>
      <c r="AA1771" s="690"/>
      <c r="AB1771" s="695">
        <f t="shared" si="234"/>
        <v>0</v>
      </c>
      <c r="AC1771" s="1035"/>
      <c r="AD1771" s="690"/>
      <c r="AE1771" s="1025"/>
      <c r="AF1771" s="1030"/>
      <c r="AG1771" s="690"/>
      <c r="AH1771" s="690"/>
      <c r="AI1771" s="696">
        <f t="shared" si="235"/>
        <v>337809.47</v>
      </c>
      <c r="AJ1771" s="697">
        <f t="shared" si="236"/>
        <v>381341</v>
      </c>
    </row>
    <row r="1772" spans="1:36" s="698" customFormat="1" ht="12.75" customHeight="1">
      <c r="A1772" s="900" t="s">
        <v>212</v>
      </c>
      <c r="B1772" s="900" t="s">
        <v>431</v>
      </c>
      <c r="C1772" s="905" t="s">
        <v>1197</v>
      </c>
      <c r="D1772" s="905"/>
      <c r="E1772" s="902"/>
      <c r="F1772" s="903"/>
      <c r="G1772" s="1025"/>
      <c r="H1772" s="690"/>
      <c r="I1772" s="1030"/>
      <c r="J1772" s="690"/>
      <c r="K1772" s="1030"/>
      <c r="L1772" s="690"/>
      <c r="M1772" s="1025"/>
      <c r="N1772" s="1030"/>
      <c r="O1772" s="692">
        <f t="shared" si="229"/>
        <v>0</v>
      </c>
      <c r="P1772" s="690"/>
      <c r="Q1772" s="690"/>
      <c r="R1772" s="691">
        <f t="shared" si="230"/>
        <v>0</v>
      </c>
      <c r="S1772" s="692">
        <f t="shared" si="231"/>
        <v>0</v>
      </c>
      <c r="T1772" s="693">
        <f t="shared" si="232"/>
        <v>0</v>
      </c>
      <c r="U1772" s="1035"/>
      <c r="V1772" s="690"/>
      <c r="W1772" s="1025"/>
      <c r="X1772" s="1030"/>
      <c r="Y1772" s="694">
        <f t="shared" si="233"/>
        <v>0</v>
      </c>
      <c r="Z1772" s="690"/>
      <c r="AA1772" s="690"/>
      <c r="AB1772" s="695">
        <f t="shared" si="234"/>
        <v>0</v>
      </c>
      <c r="AC1772" s="1035"/>
      <c r="AD1772" s="690"/>
      <c r="AE1772" s="1025"/>
      <c r="AF1772" s="1030"/>
      <c r="AG1772" s="690"/>
      <c r="AH1772" s="690"/>
      <c r="AI1772" s="696">
        <f t="shared" si="235"/>
        <v>0</v>
      </c>
      <c r="AJ1772" s="697">
        <f t="shared" si="236"/>
        <v>0</v>
      </c>
    </row>
    <row r="1773" spans="1:36" s="698" customFormat="1" ht="12.75" customHeight="1">
      <c r="A1773" s="900" t="s">
        <v>212</v>
      </c>
      <c r="B1773" s="900" t="s">
        <v>431</v>
      </c>
      <c r="C1773" s="905" t="s">
        <v>1198</v>
      </c>
      <c r="D1773" s="905"/>
      <c r="E1773" s="902"/>
      <c r="F1773" s="903"/>
      <c r="G1773" s="1025"/>
      <c r="H1773" s="690"/>
      <c r="I1773" s="1030">
        <v>542109</v>
      </c>
      <c r="J1773" s="690">
        <v>542459</v>
      </c>
      <c r="K1773" s="1030"/>
      <c r="L1773" s="690"/>
      <c r="M1773" s="1025"/>
      <c r="N1773" s="1030"/>
      <c r="O1773" s="692">
        <f t="shared" si="229"/>
        <v>0</v>
      </c>
      <c r="P1773" s="690"/>
      <c r="Q1773" s="690"/>
      <c r="R1773" s="691">
        <f t="shared" si="230"/>
        <v>0</v>
      </c>
      <c r="S1773" s="692">
        <f t="shared" si="231"/>
        <v>542109</v>
      </c>
      <c r="T1773" s="693">
        <f t="shared" si="232"/>
        <v>542459</v>
      </c>
      <c r="U1773" s="1035"/>
      <c r="V1773" s="690"/>
      <c r="W1773" s="1025"/>
      <c r="X1773" s="1030"/>
      <c r="Y1773" s="694">
        <f t="shared" si="233"/>
        <v>0</v>
      </c>
      <c r="Z1773" s="690"/>
      <c r="AA1773" s="690"/>
      <c r="AB1773" s="695">
        <f t="shared" si="234"/>
        <v>0</v>
      </c>
      <c r="AC1773" s="1035"/>
      <c r="AD1773" s="690"/>
      <c r="AE1773" s="1025"/>
      <c r="AF1773" s="1030"/>
      <c r="AG1773" s="690"/>
      <c r="AH1773" s="690"/>
      <c r="AI1773" s="696">
        <f t="shared" si="235"/>
        <v>542109</v>
      </c>
      <c r="AJ1773" s="697">
        <f t="shared" si="236"/>
        <v>542459</v>
      </c>
    </row>
    <row r="1774" spans="1:36" s="698" customFormat="1" ht="12.75" customHeight="1">
      <c r="A1774" s="900" t="s">
        <v>212</v>
      </c>
      <c r="B1774" s="900" t="s">
        <v>409</v>
      </c>
      <c r="C1774" s="907" t="s">
        <v>157</v>
      </c>
      <c r="D1774" s="907"/>
      <c r="E1774" s="902"/>
      <c r="F1774" s="903"/>
      <c r="G1774" s="1025"/>
      <c r="H1774" s="690"/>
      <c r="I1774" s="1030"/>
      <c r="J1774" s="690"/>
      <c r="K1774" s="1030"/>
      <c r="L1774" s="690"/>
      <c r="M1774" s="1025"/>
      <c r="N1774" s="1030"/>
      <c r="O1774" s="692">
        <f t="shared" si="229"/>
        <v>0</v>
      </c>
      <c r="P1774" s="690"/>
      <c r="Q1774" s="690"/>
      <c r="R1774" s="691">
        <f t="shared" si="230"/>
        <v>0</v>
      </c>
      <c r="S1774" s="692">
        <f t="shared" si="231"/>
        <v>0</v>
      </c>
      <c r="T1774" s="693">
        <f t="shared" si="232"/>
        <v>0</v>
      </c>
      <c r="U1774" s="1035"/>
      <c r="V1774" s="690"/>
      <c r="W1774" s="1025"/>
      <c r="X1774" s="1030"/>
      <c r="Y1774" s="694">
        <f t="shared" si="233"/>
        <v>0</v>
      </c>
      <c r="Z1774" s="690"/>
      <c r="AA1774" s="690"/>
      <c r="AB1774" s="695">
        <f t="shared" si="234"/>
        <v>0</v>
      </c>
      <c r="AC1774" s="1035"/>
      <c r="AD1774" s="690"/>
      <c r="AE1774" s="1025"/>
      <c r="AF1774" s="1030"/>
      <c r="AG1774" s="690"/>
      <c r="AH1774" s="690"/>
      <c r="AI1774" s="696">
        <f t="shared" si="235"/>
        <v>0</v>
      </c>
      <c r="AJ1774" s="697">
        <f t="shared" si="236"/>
        <v>0</v>
      </c>
    </row>
    <row r="1775" spans="1:36" s="698" customFormat="1" ht="12.75" customHeight="1">
      <c r="A1775" s="900" t="s">
        <v>212</v>
      </c>
      <c r="B1775" s="900" t="s">
        <v>411</v>
      </c>
      <c r="C1775" s="904" t="s">
        <v>199</v>
      </c>
      <c r="D1775" s="904"/>
      <c r="E1775" s="902"/>
      <c r="F1775" s="903"/>
      <c r="G1775" s="1025"/>
      <c r="H1775" s="690"/>
      <c r="I1775" s="1030"/>
      <c r="J1775" s="690"/>
      <c r="K1775" s="1030"/>
      <c r="L1775" s="690"/>
      <c r="M1775" s="1025"/>
      <c r="N1775" s="1030"/>
      <c r="O1775" s="692">
        <f t="shared" si="229"/>
        <v>0</v>
      </c>
      <c r="P1775" s="690"/>
      <c r="Q1775" s="690"/>
      <c r="R1775" s="691">
        <f t="shared" si="230"/>
        <v>0</v>
      </c>
      <c r="S1775" s="692">
        <f t="shared" si="231"/>
        <v>0</v>
      </c>
      <c r="T1775" s="693">
        <f t="shared" si="232"/>
        <v>0</v>
      </c>
      <c r="U1775" s="1035"/>
      <c r="V1775" s="690"/>
      <c r="W1775" s="1025"/>
      <c r="X1775" s="1030"/>
      <c r="Y1775" s="694">
        <f t="shared" si="233"/>
        <v>0</v>
      </c>
      <c r="Z1775" s="690"/>
      <c r="AA1775" s="690"/>
      <c r="AB1775" s="695">
        <f t="shared" si="234"/>
        <v>0</v>
      </c>
      <c r="AC1775" s="1035"/>
      <c r="AD1775" s="690"/>
      <c r="AE1775" s="1025"/>
      <c r="AF1775" s="1030"/>
      <c r="AG1775" s="690"/>
      <c r="AH1775" s="690"/>
      <c r="AI1775" s="696">
        <f t="shared" si="235"/>
        <v>0</v>
      </c>
      <c r="AJ1775" s="697">
        <f t="shared" si="236"/>
        <v>0</v>
      </c>
    </row>
    <row r="1776" spans="1:36" s="700" customFormat="1" ht="12.75" customHeight="1">
      <c r="A1776" s="900" t="s">
        <v>212</v>
      </c>
      <c r="B1776" s="900" t="s">
        <v>411</v>
      </c>
      <c r="C1776" s="905" t="s">
        <v>1199</v>
      </c>
      <c r="D1776" s="905"/>
      <c r="E1776" s="902"/>
      <c r="F1776" s="903"/>
      <c r="G1776" s="1025"/>
      <c r="H1776" s="690"/>
      <c r="I1776" s="1030"/>
      <c r="J1776" s="690"/>
      <c r="K1776" s="1030"/>
      <c r="L1776" s="690"/>
      <c r="M1776" s="1025"/>
      <c r="N1776" s="1030"/>
      <c r="O1776" s="692">
        <f t="shared" si="229"/>
        <v>0</v>
      </c>
      <c r="P1776" s="690"/>
      <c r="Q1776" s="690"/>
      <c r="R1776" s="691">
        <f t="shared" si="230"/>
        <v>0</v>
      </c>
      <c r="S1776" s="692">
        <f t="shared" si="231"/>
        <v>0</v>
      </c>
      <c r="T1776" s="693">
        <f t="shared" si="232"/>
        <v>0</v>
      </c>
      <c r="U1776" s="1035">
        <v>2090732</v>
      </c>
      <c r="V1776" s="690">
        <f>6885666-4545865</f>
        <v>2339801</v>
      </c>
      <c r="W1776" s="1025"/>
      <c r="X1776" s="1030"/>
      <c r="Y1776" s="694">
        <f t="shared" si="233"/>
        <v>0</v>
      </c>
      <c r="Z1776" s="690"/>
      <c r="AA1776" s="690"/>
      <c r="AB1776" s="695">
        <f t="shared" si="234"/>
        <v>0</v>
      </c>
      <c r="AC1776" s="1035"/>
      <c r="AD1776" s="690"/>
      <c r="AE1776" s="1025"/>
      <c r="AF1776" s="1030"/>
      <c r="AG1776" s="690"/>
      <c r="AH1776" s="690"/>
      <c r="AI1776" s="696">
        <f t="shared" si="235"/>
        <v>2090732</v>
      </c>
      <c r="AJ1776" s="697">
        <f t="shared" si="236"/>
        <v>2339801</v>
      </c>
    </row>
    <row r="1777" spans="1:36" s="700" customFormat="1" ht="12.75" customHeight="1">
      <c r="A1777" s="908" t="s">
        <v>213</v>
      </c>
      <c r="B1777" s="908" t="s">
        <v>392</v>
      </c>
      <c r="C1777" s="909" t="s">
        <v>1200</v>
      </c>
      <c r="D1777" s="909"/>
      <c r="E1777" s="910">
        <v>199193</v>
      </c>
      <c r="F1777" s="911">
        <v>1</v>
      </c>
      <c r="G1777" s="1025">
        <v>334333439.20000005</v>
      </c>
      <c r="H1777" s="690">
        <v>361932097</v>
      </c>
      <c r="I1777" s="1030"/>
      <c r="J1777" s="690"/>
      <c r="K1777" s="1030"/>
      <c r="L1777" s="690"/>
      <c r="M1777" s="1025">
        <v>188653846.94</v>
      </c>
      <c r="N1777" s="1030"/>
      <c r="O1777" s="692">
        <f t="shared" si="229"/>
        <v>188653846.94</v>
      </c>
      <c r="P1777" s="690">
        <v>225583825</v>
      </c>
      <c r="Q1777" s="690"/>
      <c r="R1777" s="691">
        <f t="shared" si="230"/>
        <v>225583825</v>
      </c>
      <c r="S1777" s="692">
        <f t="shared" si="231"/>
        <v>522987286.14000005</v>
      </c>
      <c r="T1777" s="693">
        <f t="shared" si="232"/>
        <v>587515922</v>
      </c>
      <c r="U1777" s="1035"/>
      <c r="V1777" s="690"/>
      <c r="W1777" s="1025"/>
      <c r="X1777" s="1030"/>
      <c r="Y1777" s="694">
        <f t="shared" si="233"/>
        <v>0</v>
      </c>
      <c r="Z1777" s="690"/>
      <c r="AA1777" s="690"/>
      <c r="AB1777" s="695">
        <f t="shared" si="234"/>
        <v>0</v>
      </c>
      <c r="AC1777" s="1035"/>
      <c r="AD1777" s="690"/>
      <c r="AE1777" s="1025"/>
      <c r="AF1777" s="1030"/>
      <c r="AG1777" s="690"/>
      <c r="AH1777" s="690"/>
      <c r="AI1777" s="696">
        <f t="shared" si="235"/>
        <v>522987286.14000005</v>
      </c>
      <c r="AJ1777" s="697">
        <f t="shared" si="236"/>
        <v>587515922</v>
      </c>
    </row>
    <row r="1778" spans="1:36" s="700" customFormat="1" ht="12.75" customHeight="1">
      <c r="A1778" s="908" t="s">
        <v>213</v>
      </c>
      <c r="B1778" s="908" t="s">
        <v>408</v>
      </c>
      <c r="C1778" s="912" t="s">
        <v>1134</v>
      </c>
      <c r="D1778" s="912"/>
      <c r="E1778" s="910">
        <v>199193</v>
      </c>
      <c r="F1778" s="911">
        <v>1</v>
      </c>
      <c r="G1778" s="1025"/>
      <c r="H1778" s="690"/>
      <c r="I1778" s="1030"/>
      <c r="J1778" s="690"/>
      <c r="K1778" s="1030"/>
      <c r="L1778" s="690"/>
      <c r="M1778" s="1025"/>
      <c r="N1778" s="1030"/>
      <c r="O1778" s="692">
        <f t="shared" si="229"/>
        <v>0</v>
      </c>
      <c r="P1778" s="690"/>
      <c r="Q1778" s="690"/>
      <c r="R1778" s="691">
        <f t="shared" si="230"/>
        <v>0</v>
      </c>
      <c r="S1778" s="692">
        <f t="shared" si="231"/>
        <v>0</v>
      </c>
      <c r="T1778" s="693">
        <f t="shared" si="232"/>
        <v>0</v>
      </c>
      <c r="U1778" s="1035"/>
      <c r="V1778" s="690"/>
      <c r="W1778" s="1025"/>
      <c r="X1778" s="1030"/>
      <c r="Y1778" s="694">
        <f t="shared" si="233"/>
        <v>0</v>
      </c>
      <c r="Z1778" s="690"/>
      <c r="AA1778" s="690"/>
      <c r="AB1778" s="695">
        <f t="shared" si="234"/>
        <v>0</v>
      </c>
      <c r="AC1778" s="1035">
        <v>28257556.369999997</v>
      </c>
      <c r="AD1778" s="690">
        <v>28722981</v>
      </c>
      <c r="AE1778" s="1025">
        <v>3902751</v>
      </c>
      <c r="AF1778" s="1030"/>
      <c r="AG1778" s="690">
        <v>3857572</v>
      </c>
      <c r="AH1778" s="690"/>
      <c r="AI1778" s="696">
        <f t="shared" si="235"/>
        <v>32160307.369999997</v>
      </c>
      <c r="AJ1778" s="697">
        <f t="shared" si="236"/>
        <v>32580553</v>
      </c>
    </row>
    <row r="1779" spans="1:36" s="700" customFormat="1" ht="12.75" customHeight="1">
      <c r="A1779" s="908" t="s">
        <v>213</v>
      </c>
      <c r="B1779" s="908" t="s">
        <v>396</v>
      </c>
      <c r="C1779" s="913" t="s">
        <v>385</v>
      </c>
      <c r="D1779" s="913"/>
      <c r="E1779" s="910">
        <v>199193</v>
      </c>
      <c r="F1779" s="911">
        <v>1</v>
      </c>
      <c r="G1779" s="1025"/>
      <c r="H1779" s="690"/>
      <c r="I1779" s="1030">
        <v>42238279</v>
      </c>
      <c r="J1779" s="690">
        <v>44133360</v>
      </c>
      <c r="K1779" s="1030"/>
      <c r="L1779" s="690"/>
      <c r="M1779" s="1025"/>
      <c r="N1779" s="1030"/>
      <c r="O1779" s="692">
        <f t="shared" si="229"/>
        <v>0</v>
      </c>
      <c r="P1779" s="690"/>
      <c r="Q1779" s="690"/>
      <c r="R1779" s="691">
        <f t="shared" si="230"/>
        <v>0</v>
      </c>
      <c r="S1779" s="692">
        <f t="shared" si="231"/>
        <v>42238279</v>
      </c>
      <c r="T1779" s="693">
        <f t="shared" si="232"/>
        <v>44133360</v>
      </c>
      <c r="U1779" s="1035"/>
      <c r="V1779" s="690"/>
      <c r="W1779" s="1025"/>
      <c r="X1779" s="1030"/>
      <c r="Y1779" s="694">
        <f t="shared" si="233"/>
        <v>0</v>
      </c>
      <c r="Z1779" s="690"/>
      <c r="AA1779" s="690"/>
      <c r="AB1779" s="695">
        <f t="shared" si="234"/>
        <v>0</v>
      </c>
      <c r="AC1779" s="1035"/>
      <c r="AD1779" s="690"/>
      <c r="AE1779" s="1025"/>
      <c r="AF1779" s="1030"/>
      <c r="AG1779" s="690"/>
      <c r="AH1779" s="690"/>
      <c r="AI1779" s="696">
        <f t="shared" si="235"/>
        <v>42238279</v>
      </c>
      <c r="AJ1779" s="697">
        <f t="shared" si="236"/>
        <v>44133360</v>
      </c>
    </row>
    <row r="1780" spans="1:36" s="700" customFormat="1" ht="12.75" customHeight="1">
      <c r="A1780" s="908" t="s">
        <v>213</v>
      </c>
      <c r="B1780" s="908" t="s">
        <v>397</v>
      </c>
      <c r="C1780" s="913" t="s">
        <v>384</v>
      </c>
      <c r="D1780" s="913"/>
      <c r="E1780" s="910">
        <v>199193</v>
      </c>
      <c r="F1780" s="911">
        <v>1</v>
      </c>
      <c r="G1780" s="1025"/>
      <c r="H1780" s="690"/>
      <c r="I1780" s="1030"/>
      <c r="J1780" s="690"/>
      <c r="K1780" s="1030"/>
      <c r="L1780" s="690"/>
      <c r="M1780" s="1025"/>
      <c r="N1780" s="1030"/>
      <c r="O1780" s="692">
        <f t="shared" si="229"/>
        <v>0</v>
      </c>
      <c r="P1780" s="690"/>
      <c r="Q1780" s="690"/>
      <c r="R1780" s="691">
        <f t="shared" si="230"/>
        <v>0</v>
      </c>
      <c r="S1780" s="692">
        <f t="shared" si="231"/>
        <v>0</v>
      </c>
      <c r="T1780" s="693">
        <f t="shared" si="232"/>
        <v>0</v>
      </c>
      <c r="U1780" s="1035"/>
      <c r="V1780" s="690"/>
      <c r="W1780" s="1025"/>
      <c r="X1780" s="1030"/>
      <c r="Y1780" s="694">
        <f t="shared" si="233"/>
        <v>0</v>
      </c>
      <c r="Z1780" s="690"/>
      <c r="AA1780" s="690"/>
      <c r="AB1780" s="695">
        <f t="shared" si="234"/>
        <v>0</v>
      </c>
      <c r="AC1780" s="1035"/>
      <c r="AD1780" s="690"/>
      <c r="AE1780" s="1025"/>
      <c r="AF1780" s="1030"/>
      <c r="AG1780" s="690"/>
      <c r="AH1780" s="690"/>
      <c r="AI1780" s="696">
        <f t="shared" si="235"/>
        <v>0</v>
      </c>
      <c r="AJ1780" s="697">
        <f t="shared" si="236"/>
        <v>0</v>
      </c>
    </row>
    <row r="1781" spans="1:36" s="700" customFormat="1" ht="12.75" customHeight="1">
      <c r="A1781" s="908" t="s">
        <v>213</v>
      </c>
      <c r="B1781" s="908" t="s">
        <v>397</v>
      </c>
      <c r="C1781" s="912" t="s">
        <v>1201</v>
      </c>
      <c r="D1781" s="912"/>
      <c r="E1781" s="910">
        <v>199193</v>
      </c>
      <c r="F1781" s="911">
        <v>1</v>
      </c>
      <c r="G1781" s="1025"/>
      <c r="H1781" s="690"/>
      <c r="I1781" s="1030">
        <v>57507443</v>
      </c>
      <c r="J1781" s="690">
        <v>59544343</v>
      </c>
      <c r="K1781" s="1030"/>
      <c r="L1781" s="690"/>
      <c r="M1781" s="1025"/>
      <c r="N1781" s="1030"/>
      <c r="O1781" s="692">
        <f t="shared" si="229"/>
        <v>0</v>
      </c>
      <c r="P1781" s="690"/>
      <c r="Q1781" s="690"/>
      <c r="R1781" s="691">
        <f t="shared" si="230"/>
        <v>0</v>
      </c>
      <c r="S1781" s="692">
        <f t="shared" si="231"/>
        <v>57507443</v>
      </c>
      <c r="T1781" s="693">
        <f t="shared" si="232"/>
        <v>59544343</v>
      </c>
      <c r="U1781" s="1035"/>
      <c r="V1781" s="690"/>
      <c r="W1781" s="1025"/>
      <c r="X1781" s="1030"/>
      <c r="Y1781" s="694">
        <f t="shared" si="233"/>
        <v>0</v>
      </c>
      <c r="Z1781" s="690"/>
      <c r="AA1781" s="690"/>
      <c r="AB1781" s="695">
        <f t="shared" si="234"/>
        <v>0</v>
      </c>
      <c r="AC1781" s="1035"/>
      <c r="AD1781" s="690"/>
      <c r="AE1781" s="1025"/>
      <c r="AF1781" s="1030"/>
      <c r="AG1781" s="690"/>
      <c r="AH1781" s="690"/>
      <c r="AI1781" s="696">
        <f t="shared" si="235"/>
        <v>57507443</v>
      </c>
      <c r="AJ1781" s="697">
        <f t="shared" si="236"/>
        <v>59544343</v>
      </c>
    </row>
    <row r="1782" spans="1:36" s="700" customFormat="1" ht="12.75" customHeight="1">
      <c r="A1782" s="908" t="s">
        <v>213</v>
      </c>
      <c r="B1782" s="908" t="s">
        <v>392</v>
      </c>
      <c r="C1782" s="909" t="s">
        <v>1202</v>
      </c>
      <c r="D1782" s="909"/>
      <c r="E1782" s="910">
        <v>199120</v>
      </c>
      <c r="F1782" s="911">
        <v>1</v>
      </c>
      <c r="G1782" s="1025">
        <v>269969138.29000002</v>
      </c>
      <c r="H1782" s="690">
        <v>281064238</v>
      </c>
      <c r="I1782" s="1030"/>
      <c r="J1782" s="690"/>
      <c r="K1782" s="1030"/>
      <c r="L1782" s="690"/>
      <c r="M1782" s="1025">
        <v>206413117.5</v>
      </c>
      <c r="N1782" s="1030"/>
      <c r="O1782" s="692">
        <f t="shared" si="229"/>
        <v>206413117.5</v>
      </c>
      <c r="P1782" s="690">
        <v>231446363</v>
      </c>
      <c r="Q1782" s="690"/>
      <c r="R1782" s="691">
        <f t="shared" si="230"/>
        <v>231446363</v>
      </c>
      <c r="S1782" s="692">
        <f t="shared" si="231"/>
        <v>476382255.79000002</v>
      </c>
      <c r="T1782" s="693">
        <f t="shared" si="232"/>
        <v>512510601</v>
      </c>
      <c r="U1782" s="1035"/>
      <c r="V1782" s="690"/>
      <c r="W1782" s="1025"/>
      <c r="X1782" s="1030"/>
      <c r="Y1782" s="694">
        <f t="shared" si="233"/>
        <v>0</v>
      </c>
      <c r="Z1782" s="690"/>
      <c r="AA1782" s="690"/>
      <c r="AB1782" s="695">
        <f t="shared" si="234"/>
        <v>0</v>
      </c>
      <c r="AC1782" s="1035"/>
      <c r="AD1782" s="690"/>
      <c r="AE1782" s="1025"/>
      <c r="AF1782" s="1030"/>
      <c r="AG1782" s="690"/>
      <c r="AH1782" s="690"/>
      <c r="AI1782" s="696">
        <f t="shared" si="235"/>
        <v>476382255.79000002</v>
      </c>
      <c r="AJ1782" s="697">
        <f t="shared" si="236"/>
        <v>512510601</v>
      </c>
    </row>
    <row r="1783" spans="1:36" s="700" customFormat="1" ht="12.75" customHeight="1">
      <c r="A1783" s="908" t="s">
        <v>213</v>
      </c>
      <c r="B1783" s="908" t="s">
        <v>408</v>
      </c>
      <c r="C1783" s="913" t="s">
        <v>965</v>
      </c>
      <c r="D1783" s="913"/>
      <c r="E1783" s="910">
        <v>199120</v>
      </c>
      <c r="F1783" s="911">
        <v>1</v>
      </c>
      <c r="G1783" s="1025"/>
      <c r="H1783" s="690"/>
      <c r="I1783" s="1030"/>
      <c r="J1783" s="690"/>
      <c r="K1783" s="1030"/>
      <c r="L1783" s="690"/>
      <c r="M1783" s="1025"/>
      <c r="N1783" s="1030"/>
      <c r="O1783" s="692">
        <f t="shared" si="229"/>
        <v>0</v>
      </c>
      <c r="P1783" s="690"/>
      <c r="Q1783" s="690"/>
      <c r="R1783" s="691">
        <f t="shared" si="230"/>
        <v>0</v>
      </c>
      <c r="S1783" s="692">
        <f t="shared" si="231"/>
        <v>0</v>
      </c>
      <c r="T1783" s="693">
        <f t="shared" si="232"/>
        <v>0</v>
      </c>
      <c r="U1783" s="1035"/>
      <c r="V1783" s="690"/>
      <c r="W1783" s="1025"/>
      <c r="X1783" s="1030"/>
      <c r="Y1783" s="694">
        <f t="shared" si="233"/>
        <v>0</v>
      </c>
      <c r="Z1783" s="690"/>
      <c r="AA1783" s="690"/>
      <c r="AB1783" s="695">
        <f t="shared" si="234"/>
        <v>0</v>
      </c>
      <c r="AC1783" s="1035"/>
      <c r="AD1783" s="690"/>
      <c r="AE1783" s="1025"/>
      <c r="AF1783" s="1030"/>
      <c r="AG1783" s="690"/>
      <c r="AH1783" s="690"/>
      <c r="AI1783" s="696">
        <f t="shared" si="235"/>
        <v>0</v>
      </c>
      <c r="AJ1783" s="697">
        <f t="shared" si="236"/>
        <v>0</v>
      </c>
    </row>
    <row r="1784" spans="1:36" s="700" customFormat="1" ht="12.75" customHeight="1">
      <c r="A1784" s="908" t="s">
        <v>213</v>
      </c>
      <c r="B1784" s="908" t="s">
        <v>408</v>
      </c>
      <c r="C1784" s="912" t="s">
        <v>713</v>
      </c>
      <c r="D1784" s="912"/>
      <c r="E1784" s="910">
        <v>199120</v>
      </c>
      <c r="F1784" s="911">
        <v>1</v>
      </c>
      <c r="G1784" s="1025"/>
      <c r="H1784" s="690"/>
      <c r="I1784" s="1030"/>
      <c r="J1784" s="690"/>
      <c r="K1784" s="1030"/>
      <c r="L1784" s="690"/>
      <c r="M1784" s="1025"/>
      <c r="N1784" s="1030"/>
      <c r="O1784" s="692">
        <f t="shared" si="229"/>
        <v>0</v>
      </c>
      <c r="P1784" s="690"/>
      <c r="Q1784" s="690"/>
      <c r="R1784" s="691">
        <f t="shared" si="230"/>
        <v>0</v>
      </c>
      <c r="S1784" s="692">
        <f t="shared" si="231"/>
        <v>0</v>
      </c>
      <c r="T1784" s="693">
        <f t="shared" si="232"/>
        <v>0</v>
      </c>
      <c r="U1784" s="1035"/>
      <c r="V1784" s="690"/>
      <c r="W1784" s="1025"/>
      <c r="X1784" s="1030"/>
      <c r="Y1784" s="694">
        <f t="shared" si="233"/>
        <v>0</v>
      </c>
      <c r="Z1784" s="690"/>
      <c r="AA1784" s="690"/>
      <c r="AB1784" s="695">
        <f t="shared" si="234"/>
        <v>0</v>
      </c>
      <c r="AC1784" s="1035">
        <v>193218530.81999999</v>
      </c>
      <c r="AD1784" s="690">
        <v>217642306</v>
      </c>
      <c r="AE1784" s="1025">
        <v>50030602.149999999</v>
      </c>
      <c r="AF1784" s="1030"/>
      <c r="AG1784" s="690">
        <v>60375068</v>
      </c>
      <c r="AH1784" s="690"/>
      <c r="AI1784" s="696">
        <f t="shared" si="235"/>
        <v>243249132.97</v>
      </c>
      <c r="AJ1784" s="697">
        <f t="shared" si="236"/>
        <v>278017374</v>
      </c>
    </row>
    <row r="1785" spans="1:36" s="700" customFormat="1" ht="12.75" customHeight="1">
      <c r="A1785" s="908" t="s">
        <v>213</v>
      </c>
      <c r="B1785" s="908" t="s">
        <v>392</v>
      </c>
      <c r="C1785" s="909" t="s">
        <v>1203</v>
      </c>
      <c r="D1785" s="909"/>
      <c r="E1785" s="910">
        <v>199139</v>
      </c>
      <c r="F1785" s="911">
        <v>2</v>
      </c>
      <c r="G1785" s="1025">
        <v>172502568.43999997</v>
      </c>
      <c r="H1785" s="690">
        <v>193978113</v>
      </c>
      <c r="I1785" s="1030"/>
      <c r="J1785" s="690"/>
      <c r="K1785" s="1030"/>
      <c r="L1785" s="690"/>
      <c r="M1785" s="1025">
        <v>99817659.090000004</v>
      </c>
      <c r="N1785" s="1030"/>
      <c r="O1785" s="692">
        <f t="shared" si="229"/>
        <v>99817659.090000004</v>
      </c>
      <c r="P1785" s="690">
        <v>113784113</v>
      </c>
      <c r="Q1785" s="690"/>
      <c r="R1785" s="691">
        <f t="shared" si="230"/>
        <v>113784113</v>
      </c>
      <c r="S1785" s="692">
        <f t="shared" si="231"/>
        <v>272320227.52999997</v>
      </c>
      <c r="T1785" s="693">
        <f t="shared" si="232"/>
        <v>307762226</v>
      </c>
      <c r="U1785" s="1035"/>
      <c r="V1785" s="690"/>
      <c r="W1785" s="1025"/>
      <c r="X1785" s="1030"/>
      <c r="Y1785" s="694">
        <f t="shared" si="233"/>
        <v>0</v>
      </c>
      <c r="Z1785" s="690"/>
      <c r="AA1785" s="690"/>
      <c r="AB1785" s="695">
        <f t="shared" si="234"/>
        <v>0</v>
      </c>
      <c r="AC1785" s="1035"/>
      <c r="AD1785" s="690"/>
      <c r="AE1785" s="1025"/>
      <c r="AF1785" s="1030"/>
      <c r="AG1785" s="690"/>
      <c r="AH1785" s="690"/>
      <c r="AI1785" s="696">
        <f t="shared" si="235"/>
        <v>272320227.52999997</v>
      </c>
      <c r="AJ1785" s="697">
        <f t="shared" si="236"/>
        <v>307762226</v>
      </c>
    </row>
    <row r="1786" spans="1:36" s="700" customFormat="1" ht="12.75" customHeight="1">
      <c r="A1786" s="908" t="s">
        <v>213</v>
      </c>
      <c r="B1786" s="908" t="s">
        <v>392</v>
      </c>
      <c r="C1786" s="914" t="s">
        <v>1204</v>
      </c>
      <c r="D1786" s="1104" t="s">
        <v>1966</v>
      </c>
      <c r="E1786" s="910">
        <v>199148</v>
      </c>
      <c r="F1786" s="911">
        <v>2</v>
      </c>
      <c r="G1786" s="1025">
        <v>156142814.33000001</v>
      </c>
      <c r="H1786" s="690">
        <v>163261056</v>
      </c>
      <c r="I1786" s="1030"/>
      <c r="J1786" s="690"/>
      <c r="K1786" s="1030"/>
      <c r="L1786" s="690"/>
      <c r="M1786" s="1025">
        <v>66053475.740000002</v>
      </c>
      <c r="N1786" s="1030"/>
      <c r="O1786" s="692">
        <f t="shared" si="229"/>
        <v>66053475.740000002</v>
      </c>
      <c r="P1786" s="690">
        <v>79503641</v>
      </c>
      <c r="Q1786" s="690"/>
      <c r="R1786" s="691">
        <f t="shared" si="230"/>
        <v>79503641</v>
      </c>
      <c r="S1786" s="692">
        <f t="shared" si="231"/>
        <v>222196290.07000002</v>
      </c>
      <c r="T1786" s="693">
        <f t="shared" si="232"/>
        <v>242764697</v>
      </c>
      <c r="U1786" s="1035"/>
      <c r="V1786" s="690"/>
      <c r="W1786" s="1025"/>
      <c r="X1786" s="1030"/>
      <c r="Y1786" s="694">
        <f t="shared" si="233"/>
        <v>0</v>
      </c>
      <c r="Z1786" s="690"/>
      <c r="AA1786" s="690"/>
      <c r="AB1786" s="695">
        <f t="shared" si="234"/>
        <v>0</v>
      </c>
      <c r="AC1786" s="1035"/>
      <c r="AD1786" s="690"/>
      <c r="AE1786" s="1025"/>
      <c r="AF1786" s="1030"/>
      <c r="AG1786" s="690"/>
      <c r="AH1786" s="690"/>
      <c r="AI1786" s="696">
        <f t="shared" si="235"/>
        <v>222196290.07000002</v>
      </c>
      <c r="AJ1786" s="697">
        <f t="shared" si="236"/>
        <v>242764697</v>
      </c>
    </row>
    <row r="1787" spans="1:36" s="700" customFormat="1" ht="12.75" customHeight="1">
      <c r="A1787" s="908" t="s">
        <v>213</v>
      </c>
      <c r="B1787" s="908" t="s">
        <v>392</v>
      </c>
      <c r="C1787" s="909" t="s">
        <v>1205</v>
      </c>
      <c r="D1787" s="909"/>
      <c r="E1787" s="910">
        <v>197869</v>
      </c>
      <c r="F1787" s="911">
        <v>3</v>
      </c>
      <c r="G1787" s="1025">
        <v>126978587.85000004</v>
      </c>
      <c r="H1787" s="690">
        <v>131773634</v>
      </c>
      <c r="I1787" s="1030"/>
      <c r="J1787" s="690"/>
      <c r="K1787" s="1030"/>
      <c r="L1787" s="690"/>
      <c r="M1787" s="1025">
        <v>63035061.509999998</v>
      </c>
      <c r="N1787" s="1030"/>
      <c r="O1787" s="692">
        <f t="shared" si="229"/>
        <v>63035061.509999998</v>
      </c>
      <c r="P1787" s="690">
        <v>76871304</v>
      </c>
      <c r="Q1787" s="690"/>
      <c r="R1787" s="691">
        <f t="shared" si="230"/>
        <v>76871304</v>
      </c>
      <c r="S1787" s="692">
        <f t="shared" si="231"/>
        <v>190013649.36000004</v>
      </c>
      <c r="T1787" s="693">
        <f t="shared" si="232"/>
        <v>208644938</v>
      </c>
      <c r="U1787" s="1035"/>
      <c r="V1787" s="690"/>
      <c r="W1787" s="1025"/>
      <c r="X1787" s="1030"/>
      <c r="Y1787" s="694">
        <f t="shared" si="233"/>
        <v>0</v>
      </c>
      <c r="Z1787" s="690"/>
      <c r="AA1787" s="690"/>
      <c r="AB1787" s="695">
        <f t="shared" si="234"/>
        <v>0</v>
      </c>
      <c r="AC1787" s="1035"/>
      <c r="AD1787" s="690"/>
      <c r="AE1787" s="1025"/>
      <c r="AF1787" s="1030"/>
      <c r="AG1787" s="690"/>
      <c r="AH1787" s="690"/>
      <c r="AI1787" s="696">
        <f t="shared" si="235"/>
        <v>190013649.36000004</v>
      </c>
      <c r="AJ1787" s="697">
        <f t="shared" si="236"/>
        <v>208644938</v>
      </c>
    </row>
    <row r="1788" spans="1:36" s="700" customFormat="1" ht="12.75" customHeight="1">
      <c r="A1788" s="908" t="s">
        <v>213</v>
      </c>
      <c r="B1788" s="908" t="s">
        <v>392</v>
      </c>
      <c r="C1788" s="914" t="s">
        <v>1206</v>
      </c>
      <c r="D1788" s="1104" t="s">
        <v>1896</v>
      </c>
      <c r="E1788" s="910">
        <v>198464</v>
      </c>
      <c r="F1788" s="911">
        <v>3</v>
      </c>
      <c r="G1788" s="1025">
        <v>207786831.79000005</v>
      </c>
      <c r="H1788" s="690">
        <v>227619808</v>
      </c>
      <c r="I1788" s="1030"/>
      <c r="J1788" s="690"/>
      <c r="K1788" s="1030"/>
      <c r="L1788" s="690"/>
      <c r="M1788" s="1025">
        <v>108667497.23</v>
      </c>
      <c r="N1788" s="1030"/>
      <c r="O1788" s="692">
        <f t="shared" si="229"/>
        <v>108667497.23</v>
      </c>
      <c r="P1788" s="690">
        <v>125805152</v>
      </c>
      <c r="Q1788" s="690"/>
      <c r="R1788" s="691">
        <f t="shared" si="230"/>
        <v>125805152</v>
      </c>
      <c r="S1788" s="692">
        <f t="shared" si="231"/>
        <v>316454329.02000004</v>
      </c>
      <c r="T1788" s="693">
        <f t="shared" si="232"/>
        <v>353424960</v>
      </c>
      <c r="U1788" s="1035"/>
      <c r="V1788" s="690"/>
      <c r="W1788" s="1025"/>
      <c r="X1788" s="1030"/>
      <c r="Y1788" s="694">
        <f t="shared" si="233"/>
        <v>0</v>
      </c>
      <c r="Z1788" s="690"/>
      <c r="AA1788" s="690"/>
      <c r="AB1788" s="695">
        <f t="shared" si="234"/>
        <v>0</v>
      </c>
      <c r="AC1788" s="1035"/>
      <c r="AD1788" s="690"/>
      <c r="AE1788" s="1025"/>
      <c r="AF1788" s="1030"/>
      <c r="AG1788" s="690"/>
      <c r="AH1788" s="690"/>
      <c r="AI1788" s="696">
        <f t="shared" si="235"/>
        <v>316454329.02000004</v>
      </c>
      <c r="AJ1788" s="697">
        <f t="shared" si="236"/>
        <v>353424960</v>
      </c>
    </row>
    <row r="1789" spans="1:36" s="700" customFormat="1" ht="12.75" customHeight="1">
      <c r="A1789" s="908" t="s">
        <v>213</v>
      </c>
      <c r="B1789" s="908" t="s">
        <v>408</v>
      </c>
      <c r="C1789" s="912" t="s">
        <v>713</v>
      </c>
      <c r="D1789" s="912"/>
      <c r="E1789" s="910">
        <v>198464</v>
      </c>
      <c r="F1789" s="911">
        <v>3</v>
      </c>
      <c r="G1789" s="1025"/>
      <c r="H1789" s="690"/>
      <c r="I1789" s="1030"/>
      <c r="J1789" s="690"/>
      <c r="K1789" s="1030"/>
      <c r="L1789" s="690"/>
      <c r="M1789" s="1025"/>
      <c r="N1789" s="1030"/>
      <c r="O1789" s="692">
        <f t="shared" si="229"/>
        <v>0</v>
      </c>
      <c r="P1789" s="690"/>
      <c r="Q1789" s="690"/>
      <c r="R1789" s="691">
        <f t="shared" si="230"/>
        <v>0</v>
      </c>
      <c r="S1789" s="692">
        <f t="shared" si="231"/>
        <v>0</v>
      </c>
      <c r="T1789" s="693">
        <f t="shared" si="232"/>
        <v>0</v>
      </c>
      <c r="U1789" s="1035"/>
      <c r="V1789" s="690"/>
      <c r="W1789" s="1025"/>
      <c r="X1789" s="1030"/>
      <c r="Y1789" s="694">
        <f t="shared" si="233"/>
        <v>0</v>
      </c>
      <c r="Z1789" s="690"/>
      <c r="AA1789" s="690"/>
      <c r="AB1789" s="695">
        <f t="shared" si="234"/>
        <v>0</v>
      </c>
      <c r="AC1789" s="1035">
        <v>53893990.310000002</v>
      </c>
      <c r="AD1789" s="690">
        <v>65223059</v>
      </c>
      <c r="AE1789" s="1025">
        <v>2673190.2400000002</v>
      </c>
      <c r="AF1789" s="1030"/>
      <c r="AG1789" s="690">
        <v>3058000</v>
      </c>
      <c r="AH1789" s="690"/>
      <c r="AI1789" s="696">
        <f t="shared" si="235"/>
        <v>56567180.550000004</v>
      </c>
      <c r="AJ1789" s="697">
        <f t="shared" si="236"/>
        <v>68281059</v>
      </c>
    </row>
    <row r="1790" spans="1:36" s="700" customFormat="1" ht="12.75" customHeight="1">
      <c r="A1790" s="908" t="s">
        <v>213</v>
      </c>
      <c r="B1790" s="908" t="s">
        <v>392</v>
      </c>
      <c r="C1790" s="909" t="s">
        <v>1207</v>
      </c>
      <c r="D1790" s="909"/>
      <c r="E1790" s="910">
        <v>199102</v>
      </c>
      <c r="F1790" s="911">
        <v>3</v>
      </c>
      <c r="G1790" s="1025">
        <v>92212226.700000018</v>
      </c>
      <c r="H1790" s="690">
        <v>97189134</v>
      </c>
      <c r="I1790" s="1030"/>
      <c r="J1790" s="690"/>
      <c r="K1790" s="1030"/>
      <c r="L1790" s="690"/>
      <c r="M1790" s="1025">
        <v>44488816.909999996</v>
      </c>
      <c r="N1790" s="1030"/>
      <c r="O1790" s="692">
        <f t="shared" si="229"/>
        <v>44488816.909999996</v>
      </c>
      <c r="P1790" s="690">
        <v>59007002</v>
      </c>
      <c r="Q1790" s="690"/>
      <c r="R1790" s="691">
        <f t="shared" si="230"/>
        <v>59007002</v>
      </c>
      <c r="S1790" s="692">
        <f t="shared" si="231"/>
        <v>136701043.61000001</v>
      </c>
      <c r="T1790" s="693">
        <f t="shared" si="232"/>
        <v>156196136</v>
      </c>
      <c r="U1790" s="1035"/>
      <c r="V1790" s="690"/>
      <c r="W1790" s="1025"/>
      <c r="X1790" s="1030"/>
      <c r="Y1790" s="694">
        <f t="shared" si="233"/>
        <v>0</v>
      </c>
      <c r="Z1790" s="690"/>
      <c r="AA1790" s="690"/>
      <c r="AB1790" s="695">
        <f t="shared" si="234"/>
        <v>0</v>
      </c>
      <c r="AC1790" s="1035"/>
      <c r="AD1790" s="690"/>
      <c r="AE1790" s="1025"/>
      <c r="AF1790" s="1030"/>
      <c r="AG1790" s="690"/>
      <c r="AH1790" s="690"/>
      <c r="AI1790" s="696">
        <f t="shared" si="235"/>
        <v>136701043.61000001</v>
      </c>
      <c r="AJ1790" s="697">
        <f t="shared" si="236"/>
        <v>156196136</v>
      </c>
    </row>
    <row r="1791" spans="1:36" s="700" customFormat="1" ht="12.75" customHeight="1">
      <c r="A1791" s="908" t="s">
        <v>213</v>
      </c>
      <c r="B1791" s="908" t="s">
        <v>392</v>
      </c>
      <c r="C1791" s="909" t="s">
        <v>1208</v>
      </c>
      <c r="D1791" s="909"/>
      <c r="E1791" s="910">
        <v>199157</v>
      </c>
      <c r="F1791" s="911">
        <v>3</v>
      </c>
      <c r="G1791" s="1025">
        <v>85156074</v>
      </c>
      <c r="H1791" s="690">
        <v>87739485</v>
      </c>
      <c r="I1791" s="1030"/>
      <c r="J1791" s="690"/>
      <c r="K1791" s="1030"/>
      <c r="L1791" s="690"/>
      <c r="M1791" s="1025">
        <v>35437327.93</v>
      </c>
      <c r="N1791" s="1030"/>
      <c r="O1791" s="692">
        <f t="shared" si="229"/>
        <v>35437327.93</v>
      </c>
      <c r="P1791" s="690">
        <v>43519612</v>
      </c>
      <c r="Q1791" s="690"/>
      <c r="R1791" s="691">
        <f t="shared" si="230"/>
        <v>43519612</v>
      </c>
      <c r="S1791" s="692">
        <f t="shared" si="231"/>
        <v>120593401.93000001</v>
      </c>
      <c r="T1791" s="693">
        <f t="shared" si="232"/>
        <v>131259097</v>
      </c>
      <c r="U1791" s="1035"/>
      <c r="V1791" s="690"/>
      <c r="W1791" s="1025"/>
      <c r="X1791" s="1030"/>
      <c r="Y1791" s="694">
        <f t="shared" si="233"/>
        <v>0</v>
      </c>
      <c r="Z1791" s="690"/>
      <c r="AA1791" s="690"/>
      <c r="AB1791" s="695">
        <f t="shared" si="234"/>
        <v>0</v>
      </c>
      <c r="AC1791" s="1035"/>
      <c r="AD1791" s="690"/>
      <c r="AE1791" s="1025"/>
      <c r="AF1791" s="1030"/>
      <c r="AG1791" s="690"/>
      <c r="AH1791" s="690"/>
      <c r="AI1791" s="696">
        <f t="shared" si="235"/>
        <v>120593401.93000001</v>
      </c>
      <c r="AJ1791" s="697">
        <f t="shared" si="236"/>
        <v>131259097</v>
      </c>
    </row>
    <row r="1792" spans="1:36" s="700" customFormat="1" ht="12.75" customHeight="1">
      <c r="A1792" s="908" t="s">
        <v>213</v>
      </c>
      <c r="B1792" s="908" t="s">
        <v>392</v>
      </c>
      <c r="C1792" s="909" t="s">
        <v>1209</v>
      </c>
      <c r="D1792" s="909"/>
      <c r="E1792" s="910">
        <v>199218</v>
      </c>
      <c r="F1792" s="911">
        <v>3</v>
      </c>
      <c r="G1792" s="1025">
        <v>89785211.25999999</v>
      </c>
      <c r="H1792" s="690">
        <v>97401552</v>
      </c>
      <c r="I1792" s="1030"/>
      <c r="J1792" s="690"/>
      <c r="K1792" s="1030"/>
      <c r="L1792" s="690"/>
      <c r="M1792" s="1025">
        <v>57286868.539999999</v>
      </c>
      <c r="N1792" s="1030"/>
      <c r="O1792" s="692">
        <f t="shared" si="229"/>
        <v>57286868.539999999</v>
      </c>
      <c r="P1792" s="690">
        <v>64827875</v>
      </c>
      <c r="Q1792" s="690"/>
      <c r="R1792" s="691">
        <f t="shared" si="230"/>
        <v>64827875</v>
      </c>
      <c r="S1792" s="692">
        <f t="shared" si="231"/>
        <v>147072079.79999998</v>
      </c>
      <c r="T1792" s="693">
        <f t="shared" si="232"/>
        <v>162229427</v>
      </c>
      <c r="U1792" s="1035"/>
      <c r="V1792" s="690"/>
      <c r="W1792" s="1025"/>
      <c r="X1792" s="1030"/>
      <c r="Y1792" s="694">
        <f t="shared" si="233"/>
        <v>0</v>
      </c>
      <c r="Z1792" s="690"/>
      <c r="AA1792" s="690"/>
      <c r="AB1792" s="695">
        <f t="shared" si="234"/>
        <v>0</v>
      </c>
      <c r="AC1792" s="1035"/>
      <c r="AD1792" s="690"/>
      <c r="AE1792" s="1025"/>
      <c r="AF1792" s="1030"/>
      <c r="AG1792" s="690"/>
      <c r="AH1792" s="690"/>
      <c r="AI1792" s="696">
        <f t="shared" si="235"/>
        <v>147072079.79999998</v>
      </c>
      <c r="AJ1792" s="697">
        <f t="shared" si="236"/>
        <v>162229427</v>
      </c>
    </row>
    <row r="1793" spans="1:36" s="700" customFormat="1" ht="12.75" customHeight="1">
      <c r="A1793" s="908" t="s">
        <v>213</v>
      </c>
      <c r="B1793" s="908" t="s">
        <v>392</v>
      </c>
      <c r="C1793" s="909" t="s">
        <v>1210</v>
      </c>
      <c r="D1793" s="909"/>
      <c r="E1793" s="910">
        <v>200004</v>
      </c>
      <c r="F1793" s="911">
        <v>3</v>
      </c>
      <c r="G1793" s="1025">
        <v>76616976.069999993</v>
      </c>
      <c r="H1793" s="690">
        <v>80989585</v>
      </c>
      <c r="I1793" s="1030"/>
      <c r="J1793" s="690"/>
      <c r="K1793" s="1030"/>
      <c r="L1793" s="690"/>
      <c r="M1793" s="1025">
        <v>28175128.649999999</v>
      </c>
      <c r="N1793" s="1030"/>
      <c r="O1793" s="692">
        <f t="shared" si="229"/>
        <v>28175128.649999999</v>
      </c>
      <c r="P1793" s="690">
        <v>33970430</v>
      </c>
      <c r="Q1793" s="690"/>
      <c r="R1793" s="691">
        <f t="shared" si="230"/>
        <v>33970430</v>
      </c>
      <c r="S1793" s="692">
        <f t="shared" si="231"/>
        <v>104792104.72</v>
      </c>
      <c r="T1793" s="693">
        <f t="shared" si="232"/>
        <v>114960015</v>
      </c>
      <c r="U1793" s="1035"/>
      <c r="V1793" s="690"/>
      <c r="W1793" s="1025"/>
      <c r="X1793" s="1030"/>
      <c r="Y1793" s="694">
        <f t="shared" si="233"/>
        <v>0</v>
      </c>
      <c r="Z1793" s="690"/>
      <c r="AA1793" s="690"/>
      <c r="AB1793" s="695">
        <f t="shared" si="234"/>
        <v>0</v>
      </c>
      <c r="AC1793" s="1035"/>
      <c r="AD1793" s="690"/>
      <c r="AE1793" s="1025"/>
      <c r="AF1793" s="1030"/>
      <c r="AG1793" s="690"/>
      <c r="AH1793" s="690"/>
      <c r="AI1793" s="696">
        <f t="shared" si="235"/>
        <v>104792104.72</v>
      </c>
      <c r="AJ1793" s="697">
        <f t="shared" si="236"/>
        <v>114960015</v>
      </c>
    </row>
    <row r="1794" spans="1:36" s="700" customFormat="1" ht="12.75" customHeight="1">
      <c r="A1794" s="908" t="s">
        <v>213</v>
      </c>
      <c r="B1794" s="908" t="s">
        <v>392</v>
      </c>
      <c r="C1794" s="914" t="s">
        <v>1211</v>
      </c>
      <c r="D1794" s="1104" t="s">
        <v>1897</v>
      </c>
      <c r="E1794" s="910">
        <v>198543</v>
      </c>
      <c r="F1794" s="911">
        <v>4</v>
      </c>
      <c r="G1794" s="1025">
        <v>51480393.290000007</v>
      </c>
      <c r="H1794" s="690">
        <v>53689445</v>
      </c>
      <c r="I1794" s="1030"/>
      <c r="J1794" s="690"/>
      <c r="K1794" s="1030"/>
      <c r="L1794" s="690"/>
      <c r="M1794" s="1025">
        <v>15588298.039999999</v>
      </c>
      <c r="N1794" s="1030"/>
      <c r="O1794" s="692">
        <f t="shared" si="229"/>
        <v>15588298.039999999</v>
      </c>
      <c r="P1794" s="690">
        <v>19337756</v>
      </c>
      <c r="Q1794" s="690"/>
      <c r="R1794" s="691">
        <f t="shared" si="230"/>
        <v>19337756</v>
      </c>
      <c r="S1794" s="692">
        <f t="shared" si="231"/>
        <v>67068691.330000006</v>
      </c>
      <c r="T1794" s="693">
        <f t="shared" si="232"/>
        <v>73027201</v>
      </c>
      <c r="U1794" s="1035"/>
      <c r="V1794" s="690"/>
      <c r="W1794" s="1025"/>
      <c r="X1794" s="1030"/>
      <c r="Y1794" s="694">
        <f t="shared" si="233"/>
        <v>0</v>
      </c>
      <c r="Z1794" s="690"/>
      <c r="AA1794" s="690"/>
      <c r="AB1794" s="695">
        <f t="shared" si="234"/>
        <v>0</v>
      </c>
      <c r="AC1794" s="1035"/>
      <c r="AD1794" s="690"/>
      <c r="AE1794" s="1025"/>
      <c r="AF1794" s="1030"/>
      <c r="AG1794" s="690"/>
      <c r="AH1794" s="690"/>
      <c r="AI1794" s="696">
        <f t="shared" si="235"/>
        <v>67068691.330000006</v>
      </c>
      <c r="AJ1794" s="697">
        <f t="shared" si="236"/>
        <v>73027201</v>
      </c>
    </row>
    <row r="1795" spans="1:36" s="700" customFormat="1" ht="12.75" customHeight="1">
      <c r="A1795" s="908" t="s">
        <v>213</v>
      </c>
      <c r="B1795" s="908" t="s">
        <v>392</v>
      </c>
      <c r="C1795" s="909" t="s">
        <v>1212</v>
      </c>
      <c r="D1795" s="909"/>
      <c r="E1795" s="910">
        <v>199281</v>
      </c>
      <c r="F1795" s="911">
        <v>5</v>
      </c>
      <c r="G1795" s="1025">
        <v>53238163.969999991</v>
      </c>
      <c r="H1795" s="690">
        <v>56541410</v>
      </c>
      <c r="I1795" s="1030"/>
      <c r="J1795" s="690"/>
      <c r="K1795" s="1030"/>
      <c r="L1795" s="690"/>
      <c r="M1795" s="1025">
        <v>17780726.289999999</v>
      </c>
      <c r="N1795" s="1030"/>
      <c r="O1795" s="692">
        <f t="shared" si="229"/>
        <v>17780726.289999999</v>
      </c>
      <c r="P1795" s="690">
        <v>21829316</v>
      </c>
      <c r="Q1795" s="690"/>
      <c r="R1795" s="691">
        <f t="shared" si="230"/>
        <v>21829316</v>
      </c>
      <c r="S1795" s="692">
        <f t="shared" si="231"/>
        <v>71018890.25999999</v>
      </c>
      <c r="T1795" s="693">
        <f t="shared" si="232"/>
        <v>78370726</v>
      </c>
      <c r="U1795" s="1035"/>
      <c r="V1795" s="690"/>
      <c r="W1795" s="1025"/>
      <c r="X1795" s="1030"/>
      <c r="Y1795" s="694">
        <f t="shared" si="233"/>
        <v>0</v>
      </c>
      <c r="Z1795" s="690"/>
      <c r="AA1795" s="690"/>
      <c r="AB1795" s="695">
        <f t="shared" si="234"/>
        <v>0</v>
      </c>
      <c r="AC1795" s="1035"/>
      <c r="AD1795" s="690"/>
      <c r="AE1795" s="1025"/>
      <c r="AF1795" s="1030"/>
      <c r="AG1795" s="690"/>
      <c r="AH1795" s="690"/>
      <c r="AI1795" s="696">
        <f t="shared" si="235"/>
        <v>71018890.25999999</v>
      </c>
      <c r="AJ1795" s="697">
        <f t="shared" si="236"/>
        <v>78370726</v>
      </c>
    </row>
    <row r="1796" spans="1:36" s="700" customFormat="1" ht="12.75" customHeight="1">
      <c r="A1796" s="908" t="s">
        <v>213</v>
      </c>
      <c r="B1796" s="908" t="s">
        <v>392</v>
      </c>
      <c r="C1796" s="909" t="s">
        <v>1213</v>
      </c>
      <c r="D1796" s="909"/>
      <c r="E1796" s="910">
        <v>199999</v>
      </c>
      <c r="F1796" s="911">
        <v>5</v>
      </c>
      <c r="G1796" s="1025">
        <v>64220069.969999999</v>
      </c>
      <c r="H1796" s="690">
        <v>69216020</v>
      </c>
      <c r="I1796" s="1030"/>
      <c r="J1796" s="690"/>
      <c r="K1796" s="1030"/>
      <c r="L1796" s="690"/>
      <c r="M1796" s="1025">
        <v>19112836.329999998</v>
      </c>
      <c r="N1796" s="1030"/>
      <c r="O1796" s="692">
        <f t="shared" si="229"/>
        <v>19112836.329999998</v>
      </c>
      <c r="P1796" s="690">
        <v>21858025</v>
      </c>
      <c r="Q1796" s="690"/>
      <c r="R1796" s="691">
        <f t="shared" si="230"/>
        <v>21858025</v>
      </c>
      <c r="S1796" s="692">
        <f t="shared" si="231"/>
        <v>83332906.299999997</v>
      </c>
      <c r="T1796" s="693">
        <f t="shared" si="232"/>
        <v>91074045</v>
      </c>
      <c r="U1796" s="1035"/>
      <c r="V1796" s="690"/>
      <c r="W1796" s="1025"/>
      <c r="X1796" s="1030"/>
      <c r="Y1796" s="694">
        <f t="shared" si="233"/>
        <v>0</v>
      </c>
      <c r="Z1796" s="690"/>
      <c r="AA1796" s="690"/>
      <c r="AB1796" s="695">
        <f t="shared" si="234"/>
        <v>0</v>
      </c>
      <c r="AC1796" s="1035"/>
      <c r="AD1796" s="690"/>
      <c r="AE1796" s="1025"/>
      <c r="AF1796" s="1030"/>
      <c r="AG1796" s="690"/>
      <c r="AH1796" s="690"/>
      <c r="AI1796" s="696">
        <f t="shared" si="235"/>
        <v>83332906.299999997</v>
      </c>
      <c r="AJ1796" s="697">
        <f t="shared" si="236"/>
        <v>91074045</v>
      </c>
    </row>
    <row r="1797" spans="1:36" s="700" customFormat="1" ht="12.75" customHeight="1">
      <c r="A1797" s="908" t="s">
        <v>213</v>
      </c>
      <c r="B1797" s="908" t="s">
        <v>392</v>
      </c>
      <c r="C1797" s="909" t="s">
        <v>1214</v>
      </c>
      <c r="D1797" s="909"/>
      <c r="E1797" s="910">
        <v>198507</v>
      </c>
      <c r="F1797" s="911">
        <v>6</v>
      </c>
      <c r="G1797" s="1025">
        <v>33095088.940000005</v>
      </c>
      <c r="H1797" s="690">
        <v>36153836</v>
      </c>
      <c r="I1797" s="1030"/>
      <c r="J1797" s="690"/>
      <c r="K1797" s="1030"/>
      <c r="L1797" s="690"/>
      <c r="M1797" s="1025">
        <v>8004604.4900000002</v>
      </c>
      <c r="N1797" s="1030"/>
      <c r="O1797" s="692">
        <f t="shared" si="229"/>
        <v>8004604.4900000002</v>
      </c>
      <c r="P1797" s="690">
        <v>13873083</v>
      </c>
      <c r="Q1797" s="690"/>
      <c r="R1797" s="691">
        <f t="shared" si="230"/>
        <v>13873083</v>
      </c>
      <c r="S1797" s="692">
        <f t="shared" si="231"/>
        <v>41099693.430000007</v>
      </c>
      <c r="T1797" s="693">
        <f t="shared" si="232"/>
        <v>50026919</v>
      </c>
      <c r="U1797" s="1035"/>
      <c r="V1797" s="690"/>
      <c r="W1797" s="1025"/>
      <c r="X1797" s="1030"/>
      <c r="Y1797" s="694">
        <f t="shared" si="233"/>
        <v>0</v>
      </c>
      <c r="Z1797" s="690"/>
      <c r="AA1797" s="690"/>
      <c r="AB1797" s="695">
        <f t="shared" si="234"/>
        <v>0</v>
      </c>
      <c r="AC1797" s="1035"/>
      <c r="AD1797" s="690"/>
      <c r="AE1797" s="1025"/>
      <c r="AF1797" s="1030"/>
      <c r="AG1797" s="690"/>
      <c r="AH1797" s="690"/>
      <c r="AI1797" s="696">
        <f t="shared" si="235"/>
        <v>41099693.430000007</v>
      </c>
      <c r="AJ1797" s="697">
        <f t="shared" si="236"/>
        <v>50026919</v>
      </c>
    </row>
    <row r="1798" spans="1:36" s="700" customFormat="1" ht="12.75" customHeight="1">
      <c r="A1798" s="908" t="s">
        <v>213</v>
      </c>
      <c r="B1798" s="908" t="s">
        <v>392</v>
      </c>
      <c r="C1798" s="909" t="s">
        <v>1215</v>
      </c>
      <c r="D1798" s="909"/>
      <c r="E1798" s="910">
        <v>199111</v>
      </c>
      <c r="F1798" s="911">
        <v>6</v>
      </c>
      <c r="G1798" s="1025">
        <v>33095088.940000005</v>
      </c>
      <c r="H1798" s="690">
        <v>34865660</v>
      </c>
      <c r="I1798" s="1030"/>
      <c r="J1798" s="690"/>
      <c r="K1798" s="1030"/>
      <c r="L1798" s="690"/>
      <c r="M1798" s="1025">
        <v>14142238.41</v>
      </c>
      <c r="N1798" s="1030"/>
      <c r="O1798" s="692">
        <f t="shared" si="229"/>
        <v>14142238.41</v>
      </c>
      <c r="P1798" s="690">
        <v>16121215</v>
      </c>
      <c r="Q1798" s="690"/>
      <c r="R1798" s="691">
        <f t="shared" si="230"/>
        <v>16121215</v>
      </c>
      <c r="S1798" s="692">
        <f t="shared" si="231"/>
        <v>47237327.350000009</v>
      </c>
      <c r="T1798" s="693">
        <f t="shared" si="232"/>
        <v>50986875</v>
      </c>
      <c r="U1798" s="1035"/>
      <c r="V1798" s="690"/>
      <c r="W1798" s="1025"/>
      <c r="X1798" s="1030"/>
      <c r="Y1798" s="694">
        <f t="shared" si="233"/>
        <v>0</v>
      </c>
      <c r="Z1798" s="690"/>
      <c r="AA1798" s="690"/>
      <c r="AB1798" s="695">
        <f t="shared" si="234"/>
        <v>0</v>
      </c>
      <c r="AC1798" s="1035"/>
      <c r="AD1798" s="690"/>
      <c r="AE1798" s="1025"/>
      <c r="AF1798" s="1030"/>
      <c r="AG1798" s="690"/>
      <c r="AH1798" s="690"/>
      <c r="AI1798" s="696">
        <f t="shared" si="235"/>
        <v>47237327.350000009</v>
      </c>
      <c r="AJ1798" s="697">
        <f t="shared" si="236"/>
        <v>50986875</v>
      </c>
    </row>
    <row r="1799" spans="1:36" s="700" customFormat="1" ht="12.75" customHeight="1">
      <c r="A1799" s="908" t="s">
        <v>213</v>
      </c>
      <c r="B1799" s="908" t="s">
        <v>430</v>
      </c>
      <c r="C1799" s="909" t="s">
        <v>1216</v>
      </c>
      <c r="D1799" s="909"/>
      <c r="E1799" s="910">
        <v>199184</v>
      </c>
      <c r="F1799" s="911">
        <v>15</v>
      </c>
      <c r="G1799" s="1025"/>
      <c r="H1799" s="690"/>
      <c r="I1799" s="1030"/>
      <c r="J1799" s="690"/>
      <c r="K1799" s="1030"/>
      <c r="L1799" s="690"/>
      <c r="M1799" s="1025"/>
      <c r="N1799" s="1030"/>
      <c r="O1799" s="692">
        <f t="shared" si="229"/>
        <v>0</v>
      </c>
      <c r="P1799" s="690"/>
      <c r="Q1799" s="690"/>
      <c r="R1799" s="691">
        <f t="shared" si="230"/>
        <v>0</v>
      </c>
      <c r="S1799" s="692">
        <f t="shared" si="231"/>
        <v>0</v>
      </c>
      <c r="T1799" s="693">
        <f t="shared" si="232"/>
        <v>0</v>
      </c>
      <c r="U1799" s="1035">
        <v>25858033.620000005</v>
      </c>
      <c r="V1799" s="690">
        <v>26831404</v>
      </c>
      <c r="W1799" s="1025">
        <v>10598904.33</v>
      </c>
      <c r="X1799" s="1030"/>
      <c r="Y1799" s="694">
        <f t="shared" si="233"/>
        <v>10598904.33</v>
      </c>
      <c r="Z1799" s="690">
        <v>11412279</v>
      </c>
      <c r="AA1799" s="690"/>
      <c r="AB1799" s="695">
        <f t="shared" si="234"/>
        <v>11412279</v>
      </c>
      <c r="AC1799" s="1035"/>
      <c r="AD1799" s="690"/>
      <c r="AE1799" s="1025"/>
      <c r="AF1799" s="1030"/>
      <c r="AG1799" s="690"/>
      <c r="AH1799" s="690"/>
      <c r="AI1799" s="696">
        <f t="shared" si="235"/>
        <v>36456937.950000003</v>
      </c>
      <c r="AJ1799" s="697">
        <f t="shared" si="236"/>
        <v>38243683</v>
      </c>
    </row>
    <row r="1800" spans="1:36" s="700" customFormat="1" ht="12.75" customHeight="1">
      <c r="A1800" s="908" t="s">
        <v>213</v>
      </c>
      <c r="B1800" s="908" t="s">
        <v>401</v>
      </c>
      <c r="C1800" s="915" t="s">
        <v>1217</v>
      </c>
      <c r="D1800" s="915"/>
      <c r="E1800" s="910"/>
      <c r="F1800" s="911"/>
      <c r="G1800" s="1025"/>
      <c r="H1800" s="690"/>
      <c r="I1800" s="1030"/>
      <c r="J1800" s="690"/>
      <c r="K1800" s="1030"/>
      <c r="L1800" s="690"/>
      <c r="M1800" s="1025"/>
      <c r="N1800" s="1030"/>
      <c r="O1800" s="692">
        <f t="shared" si="229"/>
        <v>0</v>
      </c>
      <c r="P1800" s="690"/>
      <c r="Q1800" s="690"/>
      <c r="R1800" s="691">
        <f t="shared" si="230"/>
        <v>0</v>
      </c>
      <c r="S1800" s="692">
        <f t="shared" si="231"/>
        <v>0</v>
      </c>
      <c r="T1800" s="693">
        <f t="shared" si="232"/>
        <v>0</v>
      </c>
      <c r="U1800" s="1035"/>
      <c r="V1800" s="690"/>
      <c r="W1800" s="1025"/>
      <c r="X1800" s="1030"/>
      <c r="Y1800" s="694">
        <f t="shared" si="233"/>
        <v>0</v>
      </c>
      <c r="Z1800" s="690"/>
      <c r="AA1800" s="690"/>
      <c r="AB1800" s="695">
        <f t="shared" si="234"/>
        <v>0</v>
      </c>
      <c r="AC1800" s="1035"/>
      <c r="AD1800" s="690"/>
      <c r="AE1800" s="1025"/>
      <c r="AF1800" s="1030"/>
      <c r="AG1800" s="690"/>
      <c r="AH1800" s="690"/>
      <c r="AI1800" s="696">
        <f t="shared" si="235"/>
        <v>0</v>
      </c>
      <c r="AJ1800" s="697">
        <f t="shared" si="236"/>
        <v>0</v>
      </c>
    </row>
    <row r="1801" spans="1:36" s="700" customFormat="1" ht="12.75" customHeight="1">
      <c r="A1801" s="908" t="s">
        <v>213</v>
      </c>
      <c r="B1801" s="908" t="s">
        <v>402</v>
      </c>
      <c r="C1801" s="913" t="s">
        <v>451</v>
      </c>
      <c r="D1801" s="913"/>
      <c r="E1801" s="910"/>
      <c r="F1801" s="911"/>
      <c r="G1801" s="1025"/>
      <c r="H1801" s="690"/>
      <c r="I1801" s="1030"/>
      <c r="J1801" s="690"/>
      <c r="K1801" s="1030"/>
      <c r="L1801" s="690"/>
      <c r="M1801" s="1025"/>
      <c r="N1801" s="1030"/>
      <c r="O1801" s="692">
        <f t="shared" si="229"/>
        <v>0</v>
      </c>
      <c r="P1801" s="690"/>
      <c r="Q1801" s="690"/>
      <c r="R1801" s="691">
        <f t="shared" si="230"/>
        <v>0</v>
      </c>
      <c r="S1801" s="692">
        <f t="shared" si="231"/>
        <v>0</v>
      </c>
      <c r="T1801" s="693">
        <f t="shared" si="232"/>
        <v>0</v>
      </c>
      <c r="U1801" s="1035"/>
      <c r="V1801" s="690"/>
      <c r="W1801" s="1025"/>
      <c r="X1801" s="1030"/>
      <c r="Y1801" s="694">
        <f t="shared" si="233"/>
        <v>0</v>
      </c>
      <c r="Z1801" s="690"/>
      <c r="AA1801" s="690"/>
      <c r="AB1801" s="695">
        <f t="shared" si="234"/>
        <v>0</v>
      </c>
      <c r="AC1801" s="1035"/>
      <c r="AD1801" s="690"/>
      <c r="AE1801" s="1025"/>
      <c r="AF1801" s="1030"/>
      <c r="AG1801" s="690"/>
      <c r="AH1801" s="690"/>
      <c r="AI1801" s="696">
        <f t="shared" si="235"/>
        <v>0</v>
      </c>
      <c r="AJ1801" s="697">
        <f t="shared" si="236"/>
        <v>0</v>
      </c>
    </row>
    <row r="1802" spans="1:36" s="700" customFormat="1" ht="12.75" customHeight="1">
      <c r="A1802" s="908" t="s">
        <v>213</v>
      </c>
      <c r="B1802" s="908" t="s">
        <v>402</v>
      </c>
      <c r="C1802" s="912" t="s">
        <v>1218</v>
      </c>
      <c r="D1802" s="912"/>
      <c r="E1802" s="910"/>
      <c r="F1802" s="911"/>
      <c r="G1802" s="1025"/>
      <c r="H1802" s="690"/>
      <c r="I1802" s="1030">
        <v>12129531.119999999</v>
      </c>
      <c r="J1802" s="690">
        <v>11913346</v>
      </c>
      <c r="K1802" s="1030"/>
      <c r="L1802" s="690"/>
      <c r="M1802" s="1025"/>
      <c r="N1802" s="1030"/>
      <c r="O1802" s="692">
        <f t="shared" ref="O1802:O1865" si="237">SUM(M1802:N1802)</f>
        <v>0</v>
      </c>
      <c r="P1802" s="690"/>
      <c r="Q1802" s="690"/>
      <c r="R1802" s="691">
        <f t="shared" ref="R1802:R1865" si="238">SUM(P1802:Q1802)</f>
        <v>0</v>
      </c>
      <c r="S1802" s="692">
        <f t="shared" ref="S1802:S1865" si="239">SUM(G1802,I1802,K1802,M1802)</f>
        <v>12129531.119999999</v>
      </c>
      <c r="T1802" s="693">
        <f t="shared" ref="T1802:T1865" si="240">SUM(H1802,J1802,L1802,P1802)</f>
        <v>11913346</v>
      </c>
      <c r="U1802" s="1035"/>
      <c r="V1802" s="690"/>
      <c r="W1802" s="1025"/>
      <c r="X1802" s="1030"/>
      <c r="Y1802" s="694">
        <f t="shared" ref="Y1802:Y1865" si="241">SUM(W1802:X1802)</f>
        <v>0</v>
      </c>
      <c r="Z1802" s="690"/>
      <c r="AA1802" s="690"/>
      <c r="AB1802" s="695">
        <f t="shared" ref="AB1802:AB1865" si="242">SUM(Z1802:AA1802)</f>
        <v>0</v>
      </c>
      <c r="AC1802" s="1035"/>
      <c r="AD1802" s="690"/>
      <c r="AE1802" s="1025"/>
      <c r="AF1802" s="1030"/>
      <c r="AG1802" s="690"/>
      <c r="AH1802" s="690"/>
      <c r="AI1802" s="696">
        <f t="shared" ref="AI1802:AI1865" si="243">SUM(S1802,U1802,W1802,AC1802,AE1802)</f>
        <v>12129531.119999999</v>
      </c>
      <c r="AJ1802" s="697">
        <f t="shared" ref="AJ1802:AJ1865" si="244">SUM(T1802,V1802,Z1802,AD1802,AG1802)</f>
        <v>11913346</v>
      </c>
    </row>
    <row r="1803" spans="1:36" s="700" customFormat="1" ht="12.75" customHeight="1">
      <c r="A1803" s="908" t="s">
        <v>213</v>
      </c>
      <c r="B1803" s="908" t="s">
        <v>402</v>
      </c>
      <c r="C1803" s="912" t="s">
        <v>1219</v>
      </c>
      <c r="D1803" s="912"/>
      <c r="E1803" s="910"/>
      <c r="F1803" s="911"/>
      <c r="G1803" s="1025"/>
      <c r="H1803" s="690"/>
      <c r="I1803" s="1030">
        <v>19322643.739999998</v>
      </c>
      <c r="J1803" s="690">
        <v>20628612</v>
      </c>
      <c r="K1803" s="1030"/>
      <c r="L1803" s="690"/>
      <c r="M1803" s="1025"/>
      <c r="N1803" s="1030"/>
      <c r="O1803" s="692">
        <f t="shared" si="237"/>
        <v>0</v>
      </c>
      <c r="P1803" s="690"/>
      <c r="Q1803" s="690"/>
      <c r="R1803" s="691">
        <f t="shared" si="238"/>
        <v>0</v>
      </c>
      <c r="S1803" s="692">
        <f t="shared" si="239"/>
        <v>19322643.739999998</v>
      </c>
      <c r="T1803" s="693">
        <f t="shared" si="240"/>
        <v>20628612</v>
      </c>
      <c r="U1803" s="1035"/>
      <c r="V1803" s="690"/>
      <c r="W1803" s="1025"/>
      <c r="X1803" s="1030"/>
      <c r="Y1803" s="694">
        <f t="shared" si="241"/>
        <v>0</v>
      </c>
      <c r="Z1803" s="690"/>
      <c r="AA1803" s="690"/>
      <c r="AB1803" s="695">
        <f t="shared" si="242"/>
        <v>0</v>
      </c>
      <c r="AC1803" s="1035"/>
      <c r="AD1803" s="690"/>
      <c r="AE1803" s="1025"/>
      <c r="AF1803" s="1030"/>
      <c r="AG1803" s="690"/>
      <c r="AH1803" s="690"/>
      <c r="AI1803" s="696">
        <f t="shared" si="243"/>
        <v>19322643.739999998</v>
      </c>
      <c r="AJ1803" s="697">
        <f t="shared" si="244"/>
        <v>20628612</v>
      </c>
    </row>
    <row r="1804" spans="1:36" s="700" customFormat="1" ht="12.75" customHeight="1">
      <c r="A1804" s="908" t="s">
        <v>213</v>
      </c>
      <c r="B1804" s="908" t="s">
        <v>402</v>
      </c>
      <c r="C1804" s="912" t="s">
        <v>1220</v>
      </c>
      <c r="D1804" s="912"/>
      <c r="E1804" s="910"/>
      <c r="F1804" s="911"/>
      <c r="G1804" s="1025"/>
      <c r="H1804" s="690"/>
      <c r="I1804" s="1030">
        <v>899839.81</v>
      </c>
      <c r="J1804" s="690">
        <v>956200</v>
      </c>
      <c r="K1804" s="1030"/>
      <c r="L1804" s="690"/>
      <c r="M1804" s="1025"/>
      <c r="N1804" s="1030"/>
      <c r="O1804" s="692">
        <f t="shared" si="237"/>
        <v>0</v>
      </c>
      <c r="P1804" s="690"/>
      <c r="Q1804" s="690"/>
      <c r="R1804" s="691">
        <f t="shared" si="238"/>
        <v>0</v>
      </c>
      <c r="S1804" s="692">
        <f t="shared" si="239"/>
        <v>899839.81</v>
      </c>
      <c r="T1804" s="693">
        <f t="shared" si="240"/>
        <v>956200</v>
      </c>
      <c r="U1804" s="1035"/>
      <c r="V1804" s="690"/>
      <c r="W1804" s="1025"/>
      <c r="X1804" s="1030"/>
      <c r="Y1804" s="694">
        <f t="shared" si="241"/>
        <v>0</v>
      </c>
      <c r="Z1804" s="690"/>
      <c r="AA1804" s="690"/>
      <c r="AB1804" s="695">
        <f t="shared" si="242"/>
        <v>0</v>
      </c>
      <c r="AC1804" s="1035"/>
      <c r="AD1804" s="690"/>
      <c r="AE1804" s="1025"/>
      <c r="AF1804" s="1030"/>
      <c r="AG1804" s="690"/>
      <c r="AH1804" s="690"/>
      <c r="AI1804" s="696">
        <f t="shared" si="243"/>
        <v>899839.81</v>
      </c>
      <c r="AJ1804" s="697">
        <f t="shared" si="244"/>
        <v>956200</v>
      </c>
    </row>
    <row r="1805" spans="1:36" s="700" customFormat="1" ht="12.75" customHeight="1">
      <c r="A1805" s="908" t="s">
        <v>213</v>
      </c>
      <c r="B1805" s="908" t="s">
        <v>402</v>
      </c>
      <c r="C1805" s="912" t="s">
        <v>1221</v>
      </c>
      <c r="D1805" s="912"/>
      <c r="E1805" s="916"/>
      <c r="F1805" s="917"/>
      <c r="G1805" s="1025"/>
      <c r="H1805" s="690"/>
      <c r="I1805" s="1030"/>
      <c r="J1805" s="690"/>
      <c r="K1805" s="1030"/>
      <c r="L1805" s="690"/>
      <c r="M1805" s="1025"/>
      <c r="N1805" s="1030"/>
      <c r="O1805" s="692">
        <f t="shared" si="237"/>
        <v>0</v>
      </c>
      <c r="P1805" s="690"/>
      <c r="Q1805" s="690"/>
      <c r="R1805" s="691">
        <f t="shared" si="238"/>
        <v>0</v>
      </c>
      <c r="S1805" s="692">
        <f t="shared" si="239"/>
        <v>0</v>
      </c>
      <c r="T1805" s="693">
        <f t="shared" si="240"/>
        <v>0</v>
      </c>
      <c r="U1805" s="1035">
        <v>41811287</v>
      </c>
      <c r="V1805" s="690">
        <v>36011882</v>
      </c>
      <c r="W1805" s="1025"/>
      <c r="X1805" s="1030"/>
      <c r="Y1805" s="694">
        <f t="shared" si="241"/>
        <v>0</v>
      </c>
      <c r="Z1805" s="690"/>
      <c r="AA1805" s="690"/>
      <c r="AB1805" s="695">
        <f t="shared" si="242"/>
        <v>0</v>
      </c>
      <c r="AC1805" s="1035"/>
      <c r="AD1805" s="690"/>
      <c r="AE1805" s="1025"/>
      <c r="AF1805" s="1030"/>
      <c r="AG1805" s="690"/>
      <c r="AH1805" s="690"/>
      <c r="AI1805" s="696">
        <f t="shared" si="243"/>
        <v>41811287</v>
      </c>
      <c r="AJ1805" s="697">
        <f t="shared" si="244"/>
        <v>36011882</v>
      </c>
    </row>
    <row r="1806" spans="1:36" s="700" customFormat="1" ht="12.75" customHeight="1">
      <c r="A1806" s="908" t="s">
        <v>213</v>
      </c>
      <c r="B1806" s="908" t="s">
        <v>402</v>
      </c>
      <c r="C1806" s="912" t="s">
        <v>1222</v>
      </c>
      <c r="D1806" s="912"/>
      <c r="E1806" s="916"/>
      <c r="F1806" s="917"/>
      <c r="G1806" s="1025"/>
      <c r="H1806" s="690"/>
      <c r="I1806" s="1030"/>
      <c r="J1806" s="690"/>
      <c r="K1806" s="1030"/>
      <c r="L1806" s="690"/>
      <c r="M1806" s="1025"/>
      <c r="N1806" s="1030"/>
      <c r="O1806" s="692">
        <f t="shared" si="237"/>
        <v>0</v>
      </c>
      <c r="P1806" s="690"/>
      <c r="Q1806" s="690"/>
      <c r="R1806" s="691">
        <f t="shared" si="238"/>
        <v>0</v>
      </c>
      <c r="S1806" s="692">
        <f t="shared" si="239"/>
        <v>0</v>
      </c>
      <c r="T1806" s="693">
        <f t="shared" si="240"/>
        <v>0</v>
      </c>
      <c r="U1806" s="1035">
        <v>48346325.780000001</v>
      </c>
      <c r="V1806" s="690">
        <v>49747851</v>
      </c>
      <c r="W1806" s="1025"/>
      <c r="X1806" s="1030"/>
      <c r="Y1806" s="694">
        <f t="shared" si="241"/>
        <v>0</v>
      </c>
      <c r="Z1806" s="690"/>
      <c r="AA1806" s="690"/>
      <c r="AB1806" s="695">
        <f t="shared" si="242"/>
        <v>0</v>
      </c>
      <c r="AC1806" s="1035"/>
      <c r="AD1806" s="690"/>
      <c r="AE1806" s="1025"/>
      <c r="AF1806" s="1030"/>
      <c r="AG1806" s="690"/>
      <c r="AH1806" s="690"/>
      <c r="AI1806" s="696">
        <f t="shared" si="243"/>
        <v>48346325.780000001</v>
      </c>
      <c r="AJ1806" s="697">
        <f t="shared" si="244"/>
        <v>49747851</v>
      </c>
    </row>
    <row r="1807" spans="1:36" s="700" customFormat="1" ht="12.75" customHeight="1">
      <c r="A1807" s="908" t="s">
        <v>213</v>
      </c>
      <c r="B1807" s="908" t="s">
        <v>406</v>
      </c>
      <c r="C1807" s="913" t="s">
        <v>441</v>
      </c>
      <c r="D1807" s="913"/>
      <c r="E1807" s="910"/>
      <c r="F1807" s="911"/>
      <c r="G1807" s="1025"/>
      <c r="H1807" s="690"/>
      <c r="I1807" s="1030"/>
      <c r="J1807" s="690"/>
      <c r="K1807" s="1030"/>
      <c r="L1807" s="690"/>
      <c r="M1807" s="1025"/>
      <c r="N1807" s="1030"/>
      <c r="O1807" s="692">
        <f t="shared" si="237"/>
        <v>0</v>
      </c>
      <c r="P1807" s="690"/>
      <c r="Q1807" s="690"/>
      <c r="R1807" s="691">
        <f t="shared" si="238"/>
        <v>0</v>
      </c>
      <c r="S1807" s="692">
        <f t="shared" si="239"/>
        <v>0</v>
      </c>
      <c r="T1807" s="693">
        <f t="shared" si="240"/>
        <v>0</v>
      </c>
      <c r="U1807" s="1035"/>
      <c r="V1807" s="690"/>
      <c r="W1807" s="1025"/>
      <c r="X1807" s="1030"/>
      <c r="Y1807" s="694">
        <f t="shared" si="241"/>
        <v>0</v>
      </c>
      <c r="Z1807" s="690"/>
      <c r="AA1807" s="690"/>
      <c r="AB1807" s="695">
        <f t="shared" si="242"/>
        <v>0</v>
      </c>
      <c r="AC1807" s="1035"/>
      <c r="AD1807" s="690"/>
      <c r="AE1807" s="1025"/>
      <c r="AF1807" s="1030"/>
      <c r="AG1807" s="690"/>
      <c r="AH1807" s="690"/>
      <c r="AI1807" s="696">
        <f t="shared" si="243"/>
        <v>0</v>
      </c>
      <c r="AJ1807" s="697">
        <f t="shared" si="244"/>
        <v>0</v>
      </c>
    </row>
    <row r="1808" spans="1:36" s="700" customFormat="1" ht="12.75" customHeight="1">
      <c r="A1808" s="908" t="s">
        <v>213</v>
      </c>
      <c r="B1808" s="908" t="s">
        <v>406</v>
      </c>
      <c r="C1808" s="912" t="s">
        <v>1223</v>
      </c>
      <c r="D1808" s="912"/>
      <c r="E1808" s="910"/>
      <c r="F1808" s="911"/>
      <c r="G1808" s="1025"/>
      <c r="H1808" s="690"/>
      <c r="I1808" s="1030">
        <v>5572341</v>
      </c>
      <c r="J1808" s="690">
        <v>5387190</v>
      </c>
      <c r="K1808" s="1030"/>
      <c r="L1808" s="690"/>
      <c r="M1808" s="1025"/>
      <c r="N1808" s="1030"/>
      <c r="O1808" s="692">
        <f t="shared" si="237"/>
        <v>0</v>
      </c>
      <c r="P1808" s="690"/>
      <c r="Q1808" s="690"/>
      <c r="R1808" s="691">
        <f t="shared" si="238"/>
        <v>0</v>
      </c>
      <c r="S1808" s="692">
        <f t="shared" si="239"/>
        <v>5572341</v>
      </c>
      <c r="T1808" s="693">
        <f t="shared" si="240"/>
        <v>5387190</v>
      </c>
      <c r="U1808" s="1035"/>
      <c r="V1808" s="690"/>
      <c r="W1808" s="1025"/>
      <c r="X1808" s="1030"/>
      <c r="Y1808" s="694">
        <f t="shared" si="241"/>
        <v>0</v>
      </c>
      <c r="Z1808" s="690"/>
      <c r="AA1808" s="690"/>
      <c r="AB1808" s="695">
        <f t="shared" si="242"/>
        <v>0</v>
      </c>
      <c r="AC1808" s="1035"/>
      <c r="AD1808" s="690"/>
      <c r="AE1808" s="1025"/>
      <c r="AF1808" s="1030"/>
      <c r="AG1808" s="690"/>
      <c r="AH1808" s="690"/>
      <c r="AI1808" s="696">
        <f t="shared" si="243"/>
        <v>5572341</v>
      </c>
      <c r="AJ1808" s="697">
        <f t="shared" si="244"/>
        <v>5387190</v>
      </c>
    </row>
    <row r="1809" spans="1:36" s="700" customFormat="1" ht="12.75" customHeight="1">
      <c r="A1809" s="908" t="s">
        <v>213</v>
      </c>
      <c r="B1809" s="908" t="s">
        <v>431</v>
      </c>
      <c r="C1809" s="915" t="s">
        <v>1224</v>
      </c>
      <c r="D1809" s="915"/>
      <c r="E1809" s="916"/>
      <c r="F1809" s="917"/>
      <c r="G1809" s="1025"/>
      <c r="H1809" s="690"/>
      <c r="I1809" s="1030"/>
      <c r="J1809" s="690"/>
      <c r="K1809" s="1030"/>
      <c r="L1809" s="690"/>
      <c r="M1809" s="1025"/>
      <c r="N1809" s="1030"/>
      <c r="O1809" s="692">
        <f t="shared" si="237"/>
        <v>0</v>
      </c>
      <c r="P1809" s="690"/>
      <c r="Q1809" s="690"/>
      <c r="R1809" s="691">
        <f t="shared" si="238"/>
        <v>0</v>
      </c>
      <c r="S1809" s="692">
        <f t="shared" si="239"/>
        <v>0</v>
      </c>
      <c r="T1809" s="693">
        <f t="shared" si="240"/>
        <v>0</v>
      </c>
      <c r="U1809" s="1035"/>
      <c r="V1809" s="690"/>
      <c r="W1809" s="1025"/>
      <c r="X1809" s="1030"/>
      <c r="Y1809" s="694">
        <f t="shared" si="241"/>
        <v>0</v>
      </c>
      <c r="Z1809" s="690"/>
      <c r="AA1809" s="690"/>
      <c r="AB1809" s="695">
        <f t="shared" si="242"/>
        <v>0</v>
      </c>
      <c r="AC1809" s="1035"/>
      <c r="AD1809" s="690"/>
      <c r="AE1809" s="1025"/>
      <c r="AF1809" s="1030"/>
      <c r="AG1809" s="690"/>
      <c r="AH1809" s="690"/>
      <c r="AI1809" s="696">
        <f t="shared" si="243"/>
        <v>0</v>
      </c>
      <c r="AJ1809" s="697">
        <f t="shared" si="244"/>
        <v>0</v>
      </c>
    </row>
    <row r="1810" spans="1:36" s="700" customFormat="1" ht="12.75" customHeight="1">
      <c r="A1810" s="908" t="s">
        <v>213</v>
      </c>
      <c r="B1810" s="908" t="s">
        <v>431</v>
      </c>
      <c r="C1810" s="912" t="s">
        <v>1225</v>
      </c>
      <c r="D1810" s="912"/>
      <c r="E1810" s="916"/>
      <c r="F1810" s="917"/>
      <c r="G1810" s="1025"/>
      <c r="H1810" s="690"/>
      <c r="I1810" s="1030">
        <v>1691473</v>
      </c>
      <c r="J1810" s="690">
        <v>7655816</v>
      </c>
      <c r="K1810" s="1030"/>
      <c r="L1810" s="690"/>
      <c r="M1810" s="1025"/>
      <c r="N1810" s="1030"/>
      <c r="O1810" s="692">
        <f t="shared" si="237"/>
        <v>0</v>
      </c>
      <c r="P1810" s="690"/>
      <c r="Q1810" s="690"/>
      <c r="R1810" s="691">
        <f t="shared" si="238"/>
        <v>0</v>
      </c>
      <c r="S1810" s="692">
        <f t="shared" si="239"/>
        <v>1691473</v>
      </c>
      <c r="T1810" s="693">
        <f t="shared" si="240"/>
        <v>7655816</v>
      </c>
      <c r="U1810" s="1035"/>
      <c r="V1810" s="690"/>
      <c r="W1810" s="1025"/>
      <c r="X1810" s="1030"/>
      <c r="Y1810" s="694">
        <f t="shared" si="241"/>
        <v>0</v>
      </c>
      <c r="Z1810" s="690"/>
      <c r="AA1810" s="690"/>
      <c r="AB1810" s="695">
        <f t="shared" si="242"/>
        <v>0</v>
      </c>
      <c r="AC1810" s="1035"/>
      <c r="AD1810" s="690"/>
      <c r="AE1810" s="1025"/>
      <c r="AF1810" s="1030"/>
      <c r="AG1810" s="690"/>
      <c r="AH1810" s="690"/>
      <c r="AI1810" s="696">
        <f t="shared" si="243"/>
        <v>1691473</v>
      </c>
      <c r="AJ1810" s="697">
        <f t="shared" si="244"/>
        <v>7655816</v>
      </c>
    </row>
    <row r="1811" spans="1:36" s="700" customFormat="1" ht="12.75" customHeight="1">
      <c r="A1811" s="908" t="s">
        <v>213</v>
      </c>
      <c r="B1811" s="908" t="s">
        <v>409</v>
      </c>
      <c r="C1811" s="915" t="s">
        <v>157</v>
      </c>
      <c r="D1811" s="915"/>
      <c r="E1811" s="910"/>
      <c r="F1811" s="911"/>
      <c r="G1811" s="1025"/>
      <c r="H1811" s="690"/>
      <c r="I1811" s="1030"/>
      <c r="J1811" s="690"/>
      <c r="K1811" s="1030"/>
      <c r="L1811" s="690"/>
      <c r="M1811" s="1025"/>
      <c r="N1811" s="1030"/>
      <c r="O1811" s="692">
        <f t="shared" si="237"/>
        <v>0</v>
      </c>
      <c r="P1811" s="690"/>
      <c r="Q1811" s="690"/>
      <c r="R1811" s="691">
        <f t="shared" si="238"/>
        <v>0</v>
      </c>
      <c r="S1811" s="692">
        <f t="shared" si="239"/>
        <v>0</v>
      </c>
      <c r="T1811" s="693">
        <f t="shared" si="240"/>
        <v>0</v>
      </c>
      <c r="U1811" s="1035"/>
      <c r="V1811" s="690"/>
      <c r="W1811" s="1025"/>
      <c r="X1811" s="1030"/>
      <c r="Y1811" s="694">
        <f t="shared" si="241"/>
        <v>0</v>
      </c>
      <c r="Z1811" s="690"/>
      <c r="AA1811" s="690"/>
      <c r="AB1811" s="695">
        <f t="shared" si="242"/>
        <v>0</v>
      </c>
      <c r="AC1811" s="1035"/>
      <c r="AD1811" s="690"/>
      <c r="AE1811" s="1025"/>
      <c r="AF1811" s="1030"/>
      <c r="AG1811" s="690"/>
      <c r="AH1811" s="690"/>
      <c r="AI1811" s="696">
        <f t="shared" si="243"/>
        <v>0</v>
      </c>
      <c r="AJ1811" s="697">
        <f t="shared" si="244"/>
        <v>0</v>
      </c>
    </row>
    <row r="1812" spans="1:36" s="700" customFormat="1" ht="12.75" customHeight="1">
      <c r="A1812" s="908" t="s">
        <v>213</v>
      </c>
      <c r="B1812" s="908" t="s">
        <v>410</v>
      </c>
      <c r="C1812" s="913" t="s">
        <v>200</v>
      </c>
      <c r="D1812" s="913"/>
      <c r="E1812" s="910"/>
      <c r="F1812" s="911"/>
      <c r="G1812" s="1025"/>
      <c r="H1812" s="690"/>
      <c r="I1812" s="1030"/>
      <c r="J1812" s="690"/>
      <c r="K1812" s="1030"/>
      <c r="L1812" s="690"/>
      <c r="M1812" s="1025"/>
      <c r="N1812" s="1030"/>
      <c r="O1812" s="692">
        <f t="shared" si="237"/>
        <v>0</v>
      </c>
      <c r="P1812" s="690"/>
      <c r="Q1812" s="690"/>
      <c r="R1812" s="691">
        <f t="shared" si="238"/>
        <v>0</v>
      </c>
      <c r="S1812" s="692">
        <f t="shared" si="239"/>
        <v>0</v>
      </c>
      <c r="T1812" s="693">
        <f t="shared" si="240"/>
        <v>0</v>
      </c>
      <c r="U1812" s="1035"/>
      <c r="V1812" s="690"/>
      <c r="W1812" s="1025"/>
      <c r="X1812" s="1030"/>
      <c r="Y1812" s="694">
        <f t="shared" si="241"/>
        <v>0</v>
      </c>
      <c r="Z1812" s="690"/>
      <c r="AA1812" s="690"/>
      <c r="AB1812" s="695">
        <f t="shared" si="242"/>
        <v>0</v>
      </c>
      <c r="AC1812" s="1035"/>
      <c r="AD1812" s="690"/>
      <c r="AE1812" s="1025"/>
      <c r="AF1812" s="1030"/>
      <c r="AG1812" s="690"/>
      <c r="AH1812" s="690"/>
      <c r="AI1812" s="696">
        <f t="shared" si="243"/>
        <v>0</v>
      </c>
      <c r="AJ1812" s="697">
        <f t="shared" si="244"/>
        <v>0</v>
      </c>
    </row>
    <row r="1813" spans="1:36" s="700" customFormat="1" ht="12.75" customHeight="1">
      <c r="A1813" s="908" t="s">
        <v>213</v>
      </c>
      <c r="B1813" s="908" t="s">
        <v>410</v>
      </c>
      <c r="C1813" s="912" t="s">
        <v>1226</v>
      </c>
      <c r="D1813" s="912"/>
      <c r="E1813" s="910"/>
      <c r="F1813" s="911"/>
      <c r="G1813" s="1025"/>
      <c r="H1813" s="690"/>
      <c r="I1813" s="1030"/>
      <c r="J1813" s="690"/>
      <c r="K1813" s="1030"/>
      <c r="L1813" s="690"/>
      <c r="M1813" s="1025"/>
      <c r="N1813" s="1030"/>
      <c r="O1813" s="692">
        <f t="shared" si="237"/>
        <v>0</v>
      </c>
      <c r="P1813" s="690"/>
      <c r="Q1813" s="690"/>
      <c r="R1813" s="691">
        <f t="shared" si="238"/>
        <v>0</v>
      </c>
      <c r="S1813" s="692">
        <f t="shared" si="239"/>
        <v>0</v>
      </c>
      <c r="T1813" s="693">
        <f t="shared" si="240"/>
        <v>0</v>
      </c>
      <c r="U1813" s="1035">
        <v>19873561.23</v>
      </c>
      <c r="V1813" s="690">
        <v>18739459</v>
      </c>
      <c r="W1813" s="1025"/>
      <c r="X1813" s="1030"/>
      <c r="Y1813" s="694">
        <f t="shared" si="241"/>
        <v>0</v>
      </c>
      <c r="Z1813" s="690"/>
      <c r="AA1813" s="690"/>
      <c r="AB1813" s="695">
        <f t="shared" si="242"/>
        <v>0</v>
      </c>
      <c r="AC1813" s="1035"/>
      <c r="AD1813" s="690"/>
      <c r="AE1813" s="1025"/>
      <c r="AF1813" s="1030"/>
      <c r="AG1813" s="690"/>
      <c r="AH1813" s="690"/>
      <c r="AI1813" s="696">
        <f t="shared" si="243"/>
        <v>19873561.23</v>
      </c>
      <c r="AJ1813" s="697">
        <f t="shared" si="244"/>
        <v>18739459</v>
      </c>
    </row>
    <row r="1814" spans="1:36" s="700" customFormat="1" ht="12.75" customHeight="1">
      <c r="A1814" s="908" t="s">
        <v>213</v>
      </c>
      <c r="B1814" s="908" t="s">
        <v>412</v>
      </c>
      <c r="C1814" s="913" t="s">
        <v>198</v>
      </c>
      <c r="D1814" s="913"/>
      <c r="E1814" s="910"/>
      <c r="F1814" s="911"/>
      <c r="G1814" s="1025"/>
      <c r="H1814" s="690"/>
      <c r="I1814" s="1030"/>
      <c r="J1814" s="690"/>
      <c r="K1814" s="1030"/>
      <c r="L1814" s="690"/>
      <c r="M1814" s="1025"/>
      <c r="N1814" s="1030"/>
      <c r="O1814" s="692">
        <f t="shared" si="237"/>
        <v>0</v>
      </c>
      <c r="P1814" s="690"/>
      <c r="Q1814" s="690"/>
      <c r="R1814" s="691">
        <f t="shared" si="238"/>
        <v>0</v>
      </c>
      <c r="S1814" s="692">
        <f t="shared" si="239"/>
        <v>0</v>
      </c>
      <c r="T1814" s="693">
        <f t="shared" si="240"/>
        <v>0</v>
      </c>
      <c r="U1814" s="1035"/>
      <c r="V1814" s="690"/>
      <c r="W1814" s="1025"/>
      <c r="X1814" s="1030"/>
      <c r="Y1814" s="694">
        <f t="shared" si="241"/>
        <v>0</v>
      </c>
      <c r="Z1814" s="690"/>
      <c r="AA1814" s="690"/>
      <c r="AB1814" s="695">
        <f t="shared" si="242"/>
        <v>0</v>
      </c>
      <c r="AC1814" s="1035"/>
      <c r="AD1814" s="690"/>
      <c r="AE1814" s="1025"/>
      <c r="AF1814" s="1030"/>
      <c r="AG1814" s="690"/>
      <c r="AH1814" s="690"/>
      <c r="AI1814" s="696">
        <f t="shared" si="243"/>
        <v>0</v>
      </c>
      <c r="AJ1814" s="697">
        <f t="shared" si="244"/>
        <v>0</v>
      </c>
    </row>
    <row r="1815" spans="1:36" s="700" customFormat="1" ht="12.75" customHeight="1">
      <c r="A1815" s="908" t="s">
        <v>213</v>
      </c>
      <c r="B1815" s="908" t="s">
        <v>412</v>
      </c>
      <c r="C1815" s="912" t="s">
        <v>631</v>
      </c>
      <c r="D1815" s="912"/>
      <c r="E1815" s="916"/>
      <c r="F1815" s="917"/>
      <c r="G1815" s="1025"/>
      <c r="H1815" s="690"/>
      <c r="I1815" s="1030"/>
      <c r="J1815" s="690"/>
      <c r="K1815" s="1030"/>
      <c r="L1815" s="690"/>
      <c r="M1815" s="1025"/>
      <c r="N1815" s="1030"/>
      <c r="O1815" s="692">
        <f t="shared" si="237"/>
        <v>0</v>
      </c>
      <c r="P1815" s="690"/>
      <c r="Q1815" s="690"/>
      <c r="R1815" s="691">
        <f t="shared" si="238"/>
        <v>0</v>
      </c>
      <c r="S1815" s="692">
        <f t="shared" si="239"/>
        <v>0</v>
      </c>
      <c r="T1815" s="693">
        <f t="shared" si="240"/>
        <v>0</v>
      </c>
      <c r="U1815" s="1035">
        <v>193550</v>
      </c>
      <c r="V1815" s="690">
        <v>193550</v>
      </c>
      <c r="W1815" s="1025"/>
      <c r="X1815" s="1030"/>
      <c r="Y1815" s="694">
        <f t="shared" si="241"/>
        <v>0</v>
      </c>
      <c r="Z1815" s="690"/>
      <c r="AA1815" s="690"/>
      <c r="AB1815" s="695">
        <f t="shared" si="242"/>
        <v>0</v>
      </c>
      <c r="AC1815" s="1035"/>
      <c r="AD1815" s="690"/>
      <c r="AE1815" s="1025"/>
      <c r="AF1815" s="1030"/>
      <c r="AG1815" s="690"/>
      <c r="AH1815" s="690"/>
      <c r="AI1815" s="696">
        <f t="shared" si="243"/>
        <v>193550</v>
      </c>
      <c r="AJ1815" s="697">
        <f t="shared" si="244"/>
        <v>193550</v>
      </c>
    </row>
    <row r="1816" spans="1:36" s="700" customFormat="1" ht="12.75" customHeight="1">
      <c r="A1816" s="908" t="s">
        <v>213</v>
      </c>
      <c r="B1816" s="908" t="s">
        <v>413</v>
      </c>
      <c r="C1816" s="913" t="s">
        <v>632</v>
      </c>
      <c r="D1816" s="913"/>
      <c r="E1816" s="910"/>
      <c r="F1816" s="911"/>
      <c r="G1816" s="1025"/>
      <c r="H1816" s="690"/>
      <c r="I1816" s="1030"/>
      <c r="J1816" s="690"/>
      <c r="K1816" s="1030"/>
      <c r="L1816" s="690"/>
      <c r="M1816" s="1025"/>
      <c r="N1816" s="1030"/>
      <c r="O1816" s="692">
        <f t="shared" si="237"/>
        <v>0</v>
      </c>
      <c r="P1816" s="690"/>
      <c r="Q1816" s="690"/>
      <c r="R1816" s="691">
        <f t="shared" si="238"/>
        <v>0</v>
      </c>
      <c r="S1816" s="692">
        <f t="shared" si="239"/>
        <v>0</v>
      </c>
      <c r="T1816" s="693">
        <f t="shared" si="240"/>
        <v>0</v>
      </c>
      <c r="U1816" s="1035"/>
      <c r="V1816" s="690"/>
      <c r="W1816" s="1025"/>
      <c r="X1816" s="1030"/>
      <c r="Y1816" s="694">
        <f t="shared" si="241"/>
        <v>0</v>
      </c>
      <c r="Z1816" s="690"/>
      <c r="AA1816" s="690"/>
      <c r="AB1816" s="695">
        <f t="shared" si="242"/>
        <v>0</v>
      </c>
      <c r="AC1816" s="1035"/>
      <c r="AD1816" s="690"/>
      <c r="AE1816" s="1025"/>
      <c r="AF1816" s="1030"/>
      <c r="AG1816" s="690"/>
      <c r="AH1816" s="690"/>
      <c r="AI1816" s="696">
        <f t="shared" si="243"/>
        <v>0</v>
      </c>
      <c r="AJ1816" s="697">
        <f t="shared" si="244"/>
        <v>0</v>
      </c>
    </row>
    <row r="1817" spans="1:36" s="700" customFormat="1" ht="12.75" customHeight="1">
      <c r="A1817" s="908" t="s">
        <v>213</v>
      </c>
      <c r="B1817" s="908" t="s">
        <v>414</v>
      </c>
      <c r="C1817" s="915" t="s">
        <v>160</v>
      </c>
      <c r="D1817" s="915"/>
      <c r="E1817" s="910"/>
      <c r="F1817" s="911"/>
      <c r="G1817" s="1025"/>
      <c r="H1817" s="690"/>
      <c r="I1817" s="1030"/>
      <c r="J1817" s="690"/>
      <c r="K1817" s="1030"/>
      <c r="L1817" s="690"/>
      <c r="M1817" s="1025"/>
      <c r="N1817" s="1030"/>
      <c r="O1817" s="692">
        <f t="shared" si="237"/>
        <v>0</v>
      </c>
      <c r="P1817" s="690"/>
      <c r="Q1817" s="690"/>
      <c r="R1817" s="691">
        <f t="shared" si="238"/>
        <v>0</v>
      </c>
      <c r="S1817" s="692">
        <f t="shared" si="239"/>
        <v>0</v>
      </c>
      <c r="T1817" s="693">
        <f t="shared" si="240"/>
        <v>0</v>
      </c>
      <c r="U1817" s="1035"/>
      <c r="V1817" s="690"/>
      <c r="W1817" s="1025"/>
      <c r="X1817" s="1030"/>
      <c r="Y1817" s="694">
        <f t="shared" si="241"/>
        <v>0</v>
      </c>
      <c r="Z1817" s="690"/>
      <c r="AA1817" s="690"/>
      <c r="AB1817" s="695">
        <f t="shared" si="242"/>
        <v>0</v>
      </c>
      <c r="AC1817" s="1035"/>
      <c r="AD1817" s="690"/>
      <c r="AE1817" s="1025"/>
      <c r="AF1817" s="1030"/>
      <c r="AG1817" s="690"/>
      <c r="AH1817" s="690"/>
      <c r="AI1817" s="696">
        <f t="shared" si="243"/>
        <v>0</v>
      </c>
      <c r="AJ1817" s="697">
        <f t="shared" si="244"/>
        <v>0</v>
      </c>
    </row>
    <row r="1818" spans="1:36" s="700" customFormat="1" ht="12.75" customHeight="1">
      <c r="A1818" s="908" t="s">
        <v>213</v>
      </c>
      <c r="B1818" s="908" t="s">
        <v>414</v>
      </c>
      <c r="C1818" s="912" t="s">
        <v>1227</v>
      </c>
      <c r="D1818" s="912"/>
      <c r="E1818" s="910"/>
      <c r="F1818" s="911"/>
      <c r="G1818" s="1025"/>
      <c r="H1818" s="690"/>
      <c r="I1818" s="1030"/>
      <c r="J1818" s="690"/>
      <c r="K1818" s="1030"/>
      <c r="L1818" s="690"/>
      <c r="M1818" s="1025"/>
      <c r="N1818" s="1030"/>
      <c r="O1818" s="692">
        <f t="shared" si="237"/>
        <v>0</v>
      </c>
      <c r="P1818" s="690"/>
      <c r="Q1818" s="690"/>
      <c r="R1818" s="691">
        <f t="shared" si="238"/>
        <v>0</v>
      </c>
      <c r="S1818" s="692">
        <f t="shared" si="239"/>
        <v>0</v>
      </c>
      <c r="T1818" s="693">
        <f t="shared" si="240"/>
        <v>0</v>
      </c>
      <c r="U1818" s="1035">
        <v>1072500</v>
      </c>
      <c r="V1818" s="690">
        <v>1279000</v>
      </c>
      <c r="W1818" s="1025"/>
      <c r="X1818" s="1030"/>
      <c r="Y1818" s="694">
        <f t="shared" si="241"/>
        <v>0</v>
      </c>
      <c r="Z1818" s="690"/>
      <c r="AA1818" s="690"/>
      <c r="AB1818" s="695">
        <f t="shared" si="242"/>
        <v>0</v>
      </c>
      <c r="AC1818" s="1035"/>
      <c r="AD1818" s="690"/>
      <c r="AE1818" s="1025"/>
      <c r="AF1818" s="1030"/>
      <c r="AG1818" s="690"/>
      <c r="AH1818" s="690"/>
      <c r="AI1818" s="696">
        <f t="shared" si="243"/>
        <v>1072500</v>
      </c>
      <c r="AJ1818" s="697">
        <f t="shared" si="244"/>
        <v>1279000</v>
      </c>
    </row>
    <row r="1819" spans="1:36" s="700" customFormat="1" ht="12.75" customHeight="1">
      <c r="A1819" s="908" t="s">
        <v>213</v>
      </c>
      <c r="B1819" s="908" t="s">
        <v>414</v>
      </c>
      <c r="C1819" s="912" t="s">
        <v>1228</v>
      </c>
      <c r="D1819" s="912"/>
      <c r="E1819" s="916"/>
      <c r="F1819" s="917"/>
      <c r="G1819" s="1025"/>
      <c r="H1819" s="690"/>
      <c r="I1819" s="1030"/>
      <c r="J1819" s="690"/>
      <c r="K1819" s="1030"/>
      <c r="L1819" s="690"/>
      <c r="M1819" s="1025"/>
      <c r="N1819" s="1030"/>
      <c r="O1819" s="692">
        <f t="shared" si="237"/>
        <v>0</v>
      </c>
      <c r="P1819" s="690"/>
      <c r="Q1819" s="690"/>
      <c r="R1819" s="691">
        <f t="shared" si="238"/>
        <v>0</v>
      </c>
      <c r="S1819" s="692">
        <f t="shared" si="239"/>
        <v>0</v>
      </c>
      <c r="T1819" s="693">
        <f t="shared" si="240"/>
        <v>0</v>
      </c>
      <c r="U1819" s="1035">
        <v>63635</v>
      </c>
      <c r="V1819" s="690">
        <v>0</v>
      </c>
      <c r="W1819" s="1025"/>
      <c r="X1819" s="1030"/>
      <c r="Y1819" s="694">
        <f t="shared" si="241"/>
        <v>0</v>
      </c>
      <c r="Z1819" s="690"/>
      <c r="AA1819" s="690"/>
      <c r="AB1819" s="695">
        <f t="shared" si="242"/>
        <v>0</v>
      </c>
      <c r="AC1819" s="1035"/>
      <c r="AD1819" s="690"/>
      <c r="AE1819" s="1025"/>
      <c r="AF1819" s="1030"/>
      <c r="AG1819" s="690"/>
      <c r="AH1819" s="690"/>
      <c r="AI1819" s="696">
        <f t="shared" si="243"/>
        <v>63635</v>
      </c>
      <c r="AJ1819" s="697">
        <f t="shared" si="244"/>
        <v>0</v>
      </c>
    </row>
    <row r="1820" spans="1:36" s="700" customFormat="1" ht="12.75" customHeight="1">
      <c r="A1820" s="908" t="s">
        <v>213</v>
      </c>
      <c r="B1820" s="908" t="s">
        <v>415</v>
      </c>
      <c r="C1820" s="915" t="s">
        <v>165</v>
      </c>
      <c r="D1820" s="915"/>
      <c r="E1820" s="910"/>
      <c r="F1820" s="911"/>
      <c r="G1820" s="1025"/>
      <c r="H1820" s="690"/>
      <c r="I1820" s="1030"/>
      <c r="J1820" s="690"/>
      <c r="K1820" s="1030"/>
      <c r="L1820" s="690"/>
      <c r="M1820" s="1025"/>
      <c r="N1820" s="1030"/>
      <c r="O1820" s="692">
        <f t="shared" si="237"/>
        <v>0</v>
      </c>
      <c r="P1820" s="690"/>
      <c r="Q1820" s="690"/>
      <c r="R1820" s="691">
        <f t="shared" si="238"/>
        <v>0</v>
      </c>
      <c r="S1820" s="692">
        <f t="shared" si="239"/>
        <v>0</v>
      </c>
      <c r="T1820" s="693">
        <f t="shared" si="240"/>
        <v>0</v>
      </c>
      <c r="U1820" s="1035"/>
      <c r="V1820" s="690"/>
      <c r="W1820" s="1025"/>
      <c r="X1820" s="1030"/>
      <c r="Y1820" s="694">
        <f t="shared" si="241"/>
        <v>0</v>
      </c>
      <c r="Z1820" s="690"/>
      <c r="AA1820" s="690"/>
      <c r="AB1820" s="695">
        <f t="shared" si="242"/>
        <v>0</v>
      </c>
      <c r="AC1820" s="1035"/>
      <c r="AD1820" s="690"/>
      <c r="AE1820" s="1025"/>
      <c r="AF1820" s="1030"/>
      <c r="AG1820" s="690"/>
      <c r="AH1820" s="690"/>
      <c r="AI1820" s="696">
        <f t="shared" si="243"/>
        <v>0</v>
      </c>
      <c r="AJ1820" s="697">
        <f t="shared" si="244"/>
        <v>0</v>
      </c>
    </row>
    <row r="1821" spans="1:36" s="700" customFormat="1" ht="12.75" customHeight="1">
      <c r="A1821" s="908" t="s">
        <v>213</v>
      </c>
      <c r="B1821" s="908" t="s">
        <v>416</v>
      </c>
      <c r="C1821" s="913" t="s">
        <v>166</v>
      </c>
      <c r="D1821" s="913"/>
      <c r="E1821" s="916"/>
      <c r="F1821" s="911"/>
      <c r="G1821" s="1025"/>
      <c r="H1821" s="690"/>
      <c r="I1821" s="1030"/>
      <c r="J1821" s="690"/>
      <c r="K1821" s="1030"/>
      <c r="L1821" s="690"/>
      <c r="M1821" s="1025"/>
      <c r="N1821" s="1030"/>
      <c r="O1821" s="692">
        <f t="shared" si="237"/>
        <v>0</v>
      </c>
      <c r="P1821" s="690"/>
      <c r="Q1821" s="690"/>
      <c r="R1821" s="691">
        <f t="shared" si="238"/>
        <v>0</v>
      </c>
      <c r="S1821" s="692">
        <f t="shared" si="239"/>
        <v>0</v>
      </c>
      <c r="T1821" s="693">
        <f t="shared" si="240"/>
        <v>0</v>
      </c>
      <c r="U1821" s="1035"/>
      <c r="V1821" s="690"/>
      <c r="W1821" s="1025"/>
      <c r="X1821" s="1030"/>
      <c r="Y1821" s="694">
        <f t="shared" si="241"/>
        <v>0</v>
      </c>
      <c r="Z1821" s="690"/>
      <c r="AA1821" s="690"/>
      <c r="AB1821" s="695">
        <f t="shared" si="242"/>
        <v>0</v>
      </c>
      <c r="AC1821" s="1035"/>
      <c r="AD1821" s="690"/>
      <c r="AE1821" s="1025"/>
      <c r="AF1821" s="1030"/>
      <c r="AG1821" s="690"/>
      <c r="AH1821" s="690"/>
      <c r="AI1821" s="696">
        <f t="shared" si="243"/>
        <v>0</v>
      </c>
      <c r="AJ1821" s="697">
        <f t="shared" si="244"/>
        <v>0</v>
      </c>
    </row>
    <row r="1822" spans="1:36" s="700" customFormat="1" ht="12.75" customHeight="1">
      <c r="A1822" s="908" t="s">
        <v>213</v>
      </c>
      <c r="B1822" s="908" t="s">
        <v>416</v>
      </c>
      <c r="C1822" s="912" t="s">
        <v>1229</v>
      </c>
      <c r="D1822" s="912"/>
      <c r="E1822" s="916"/>
      <c r="F1822" s="911"/>
      <c r="G1822" s="1025"/>
      <c r="H1822" s="690"/>
      <c r="I1822" s="1030"/>
      <c r="J1822" s="690"/>
      <c r="K1822" s="1030"/>
      <c r="L1822" s="690"/>
      <c r="M1822" s="1025"/>
      <c r="N1822" s="1030"/>
      <c r="O1822" s="692">
        <f t="shared" si="237"/>
        <v>0</v>
      </c>
      <c r="P1822" s="690"/>
      <c r="Q1822" s="690"/>
      <c r="R1822" s="691">
        <f t="shared" si="238"/>
        <v>0</v>
      </c>
      <c r="S1822" s="692">
        <f t="shared" si="239"/>
        <v>0</v>
      </c>
      <c r="T1822" s="693">
        <f t="shared" si="240"/>
        <v>0</v>
      </c>
      <c r="U1822" s="1035">
        <v>8150</v>
      </c>
      <c r="V1822" s="690">
        <v>0</v>
      </c>
      <c r="W1822" s="1025"/>
      <c r="X1822" s="1030"/>
      <c r="Y1822" s="694">
        <f t="shared" si="241"/>
        <v>0</v>
      </c>
      <c r="Z1822" s="690"/>
      <c r="AA1822" s="690"/>
      <c r="AB1822" s="695">
        <f t="shared" si="242"/>
        <v>0</v>
      </c>
      <c r="AC1822" s="1035"/>
      <c r="AD1822" s="690"/>
      <c r="AE1822" s="1025"/>
      <c r="AF1822" s="1030"/>
      <c r="AG1822" s="690"/>
      <c r="AH1822" s="690"/>
      <c r="AI1822" s="696">
        <f t="shared" si="243"/>
        <v>8150</v>
      </c>
      <c r="AJ1822" s="697">
        <f t="shared" si="244"/>
        <v>0</v>
      </c>
    </row>
    <row r="1823" spans="1:36" s="700" customFormat="1" ht="12.75" customHeight="1">
      <c r="A1823" s="908" t="s">
        <v>213</v>
      </c>
      <c r="B1823" s="908" t="s">
        <v>416</v>
      </c>
      <c r="C1823" s="912" t="s">
        <v>636</v>
      </c>
      <c r="D1823" s="912"/>
      <c r="E1823" s="916"/>
      <c r="F1823" s="911"/>
      <c r="G1823" s="1025"/>
      <c r="H1823" s="690"/>
      <c r="I1823" s="1030"/>
      <c r="J1823" s="690"/>
      <c r="K1823" s="1030"/>
      <c r="L1823" s="690"/>
      <c r="M1823" s="1025"/>
      <c r="N1823" s="1030"/>
      <c r="O1823" s="692">
        <f t="shared" si="237"/>
        <v>0</v>
      </c>
      <c r="P1823" s="690"/>
      <c r="Q1823" s="690"/>
      <c r="R1823" s="691">
        <f t="shared" si="238"/>
        <v>0</v>
      </c>
      <c r="S1823" s="692">
        <f t="shared" si="239"/>
        <v>0</v>
      </c>
      <c r="T1823" s="693">
        <f t="shared" si="240"/>
        <v>0</v>
      </c>
      <c r="U1823" s="1035">
        <v>139000</v>
      </c>
      <c r="V1823" s="690">
        <v>90350</v>
      </c>
      <c r="W1823" s="1025"/>
      <c r="X1823" s="1030"/>
      <c r="Y1823" s="694">
        <f t="shared" si="241"/>
        <v>0</v>
      </c>
      <c r="Z1823" s="690"/>
      <c r="AA1823" s="690"/>
      <c r="AB1823" s="695">
        <f t="shared" si="242"/>
        <v>0</v>
      </c>
      <c r="AC1823" s="1035"/>
      <c r="AD1823" s="690"/>
      <c r="AE1823" s="1025"/>
      <c r="AF1823" s="1030"/>
      <c r="AG1823" s="690"/>
      <c r="AH1823" s="690"/>
      <c r="AI1823" s="696">
        <f t="shared" si="243"/>
        <v>139000</v>
      </c>
      <c r="AJ1823" s="697">
        <f t="shared" si="244"/>
        <v>90350</v>
      </c>
    </row>
    <row r="1824" spans="1:36" s="700" customFormat="1" ht="12.75" customHeight="1">
      <c r="A1824" s="908" t="s">
        <v>213</v>
      </c>
      <c r="B1824" s="908" t="s">
        <v>417</v>
      </c>
      <c r="C1824" s="913" t="s">
        <v>168</v>
      </c>
      <c r="D1824" s="913"/>
      <c r="E1824" s="916"/>
      <c r="F1824" s="911"/>
      <c r="G1824" s="1025"/>
      <c r="H1824" s="690"/>
      <c r="I1824" s="1030"/>
      <c r="J1824" s="690"/>
      <c r="K1824" s="1030"/>
      <c r="L1824" s="690"/>
      <c r="M1824" s="1025"/>
      <c r="N1824" s="1030"/>
      <c r="O1824" s="692">
        <f t="shared" si="237"/>
        <v>0</v>
      </c>
      <c r="P1824" s="690"/>
      <c r="Q1824" s="690"/>
      <c r="R1824" s="691">
        <f t="shared" si="238"/>
        <v>0</v>
      </c>
      <c r="S1824" s="692">
        <f t="shared" si="239"/>
        <v>0</v>
      </c>
      <c r="T1824" s="693">
        <f t="shared" si="240"/>
        <v>0</v>
      </c>
      <c r="U1824" s="1035"/>
      <c r="V1824" s="690"/>
      <c r="W1824" s="1025"/>
      <c r="X1824" s="1030"/>
      <c r="Y1824" s="694">
        <f t="shared" si="241"/>
        <v>0</v>
      </c>
      <c r="Z1824" s="690"/>
      <c r="AA1824" s="690"/>
      <c r="AB1824" s="695">
        <f t="shared" si="242"/>
        <v>0</v>
      </c>
      <c r="AC1824" s="1035"/>
      <c r="AD1824" s="690"/>
      <c r="AE1824" s="1025"/>
      <c r="AF1824" s="1030"/>
      <c r="AG1824" s="690"/>
      <c r="AH1824" s="690"/>
      <c r="AI1824" s="696">
        <f t="shared" si="243"/>
        <v>0</v>
      </c>
      <c r="AJ1824" s="697">
        <f t="shared" si="244"/>
        <v>0</v>
      </c>
    </row>
    <row r="1825" spans="1:36" s="700" customFormat="1" ht="12.75" customHeight="1">
      <c r="A1825" s="908" t="s">
        <v>213</v>
      </c>
      <c r="B1825" s="908" t="s">
        <v>417</v>
      </c>
      <c r="C1825" s="912" t="s">
        <v>1167</v>
      </c>
      <c r="D1825" s="912"/>
      <c r="E1825" s="916"/>
      <c r="F1825" s="911"/>
      <c r="G1825" s="1025"/>
      <c r="H1825" s="690"/>
      <c r="I1825" s="1030"/>
      <c r="J1825" s="690"/>
      <c r="K1825" s="1030"/>
      <c r="L1825" s="690"/>
      <c r="M1825" s="1025"/>
      <c r="N1825" s="1030"/>
      <c r="O1825" s="692">
        <f t="shared" si="237"/>
        <v>0</v>
      </c>
      <c r="P1825" s="690"/>
      <c r="Q1825" s="690"/>
      <c r="R1825" s="691">
        <f t="shared" si="238"/>
        <v>0</v>
      </c>
      <c r="S1825" s="692">
        <f t="shared" si="239"/>
        <v>0</v>
      </c>
      <c r="T1825" s="693">
        <f t="shared" si="240"/>
        <v>0</v>
      </c>
      <c r="U1825" s="1035">
        <v>20850</v>
      </c>
      <c r="V1825" s="690">
        <v>20850</v>
      </c>
      <c r="W1825" s="1025"/>
      <c r="X1825" s="1030"/>
      <c r="Y1825" s="694">
        <f t="shared" si="241"/>
        <v>0</v>
      </c>
      <c r="Z1825" s="690"/>
      <c r="AA1825" s="690"/>
      <c r="AB1825" s="695">
        <f t="shared" si="242"/>
        <v>0</v>
      </c>
      <c r="AC1825" s="1035"/>
      <c r="AD1825" s="690"/>
      <c r="AE1825" s="1025"/>
      <c r="AF1825" s="1030"/>
      <c r="AG1825" s="690"/>
      <c r="AH1825" s="690"/>
      <c r="AI1825" s="696">
        <f t="shared" si="243"/>
        <v>20850</v>
      </c>
      <c r="AJ1825" s="697">
        <f t="shared" si="244"/>
        <v>20850</v>
      </c>
    </row>
    <row r="1826" spans="1:36" s="700" customFormat="1" ht="12.75" customHeight="1">
      <c r="A1826" s="908" t="s">
        <v>213</v>
      </c>
      <c r="B1826" s="908" t="s">
        <v>417</v>
      </c>
      <c r="C1826" s="912" t="s">
        <v>957</v>
      </c>
      <c r="D1826" s="912"/>
      <c r="E1826" s="916"/>
      <c r="F1826" s="911"/>
      <c r="G1826" s="1025"/>
      <c r="H1826" s="690"/>
      <c r="I1826" s="1030"/>
      <c r="J1826" s="690"/>
      <c r="K1826" s="1030"/>
      <c r="L1826" s="690"/>
      <c r="M1826" s="1025"/>
      <c r="N1826" s="1030"/>
      <c r="O1826" s="692">
        <f t="shared" si="237"/>
        <v>0</v>
      </c>
      <c r="P1826" s="690"/>
      <c r="Q1826" s="690"/>
      <c r="R1826" s="691">
        <f t="shared" si="238"/>
        <v>0</v>
      </c>
      <c r="S1826" s="692">
        <f t="shared" si="239"/>
        <v>0</v>
      </c>
      <c r="T1826" s="693">
        <f t="shared" si="240"/>
        <v>0</v>
      </c>
      <c r="U1826" s="1035">
        <v>83400</v>
      </c>
      <c r="V1826" s="690">
        <v>55600</v>
      </c>
      <c r="W1826" s="1025"/>
      <c r="X1826" s="1030"/>
      <c r="Y1826" s="694">
        <f t="shared" si="241"/>
        <v>0</v>
      </c>
      <c r="Z1826" s="690"/>
      <c r="AA1826" s="690"/>
      <c r="AB1826" s="695">
        <f t="shared" si="242"/>
        <v>0</v>
      </c>
      <c r="AC1826" s="1035"/>
      <c r="AD1826" s="690"/>
      <c r="AE1826" s="1025"/>
      <c r="AF1826" s="1030"/>
      <c r="AG1826" s="690"/>
      <c r="AH1826" s="690"/>
      <c r="AI1826" s="696">
        <f t="shared" si="243"/>
        <v>83400</v>
      </c>
      <c r="AJ1826" s="697">
        <f t="shared" si="244"/>
        <v>55600</v>
      </c>
    </row>
    <row r="1827" spans="1:36" s="700" customFormat="1" ht="12.75" customHeight="1">
      <c r="A1827" s="908" t="s">
        <v>213</v>
      </c>
      <c r="B1827" s="908" t="s">
        <v>418</v>
      </c>
      <c r="C1827" s="913" t="s">
        <v>197</v>
      </c>
      <c r="D1827" s="913"/>
      <c r="E1827" s="916"/>
      <c r="F1827" s="911"/>
      <c r="G1827" s="1025"/>
      <c r="H1827" s="690"/>
      <c r="I1827" s="1030"/>
      <c r="J1827" s="690"/>
      <c r="K1827" s="1030"/>
      <c r="L1827" s="690"/>
      <c r="M1827" s="1025"/>
      <c r="N1827" s="1030"/>
      <c r="O1827" s="692">
        <f t="shared" si="237"/>
        <v>0</v>
      </c>
      <c r="P1827" s="690"/>
      <c r="Q1827" s="690"/>
      <c r="R1827" s="691">
        <f t="shared" si="238"/>
        <v>0</v>
      </c>
      <c r="S1827" s="692">
        <f t="shared" si="239"/>
        <v>0</v>
      </c>
      <c r="T1827" s="693">
        <f t="shared" si="240"/>
        <v>0</v>
      </c>
      <c r="U1827" s="1035">
        <v>145950</v>
      </c>
      <c r="V1827" s="690">
        <v>145950</v>
      </c>
      <c r="W1827" s="1025"/>
      <c r="X1827" s="1030"/>
      <c r="Y1827" s="694">
        <f t="shared" si="241"/>
        <v>0</v>
      </c>
      <c r="Z1827" s="690"/>
      <c r="AA1827" s="690"/>
      <c r="AB1827" s="695">
        <f t="shared" si="242"/>
        <v>0</v>
      </c>
      <c r="AC1827" s="1035"/>
      <c r="AD1827" s="690"/>
      <c r="AE1827" s="1025"/>
      <c r="AF1827" s="1030"/>
      <c r="AG1827" s="690"/>
      <c r="AH1827" s="690"/>
      <c r="AI1827" s="696">
        <f t="shared" si="243"/>
        <v>145950</v>
      </c>
      <c r="AJ1827" s="697">
        <f t="shared" si="244"/>
        <v>145950</v>
      </c>
    </row>
    <row r="1828" spans="1:36" s="700" customFormat="1" ht="12.75" customHeight="1">
      <c r="A1828" s="908" t="s">
        <v>213</v>
      </c>
      <c r="B1828" s="908" t="s">
        <v>419</v>
      </c>
      <c r="C1828" s="915" t="s">
        <v>50</v>
      </c>
      <c r="D1828" s="915"/>
      <c r="E1828" s="916"/>
      <c r="F1828" s="917"/>
      <c r="G1828" s="1025"/>
      <c r="H1828" s="690"/>
      <c r="I1828" s="1030"/>
      <c r="J1828" s="690"/>
      <c r="K1828" s="1030"/>
      <c r="L1828" s="690"/>
      <c r="M1828" s="1025"/>
      <c r="N1828" s="1030"/>
      <c r="O1828" s="692">
        <f t="shared" si="237"/>
        <v>0</v>
      </c>
      <c r="P1828" s="690"/>
      <c r="Q1828" s="690"/>
      <c r="R1828" s="691">
        <f t="shared" si="238"/>
        <v>0</v>
      </c>
      <c r="S1828" s="692">
        <f t="shared" si="239"/>
        <v>0</v>
      </c>
      <c r="T1828" s="693">
        <f t="shared" si="240"/>
        <v>0</v>
      </c>
      <c r="U1828" s="1035"/>
      <c r="V1828" s="690"/>
      <c r="W1828" s="1025"/>
      <c r="X1828" s="1030"/>
      <c r="Y1828" s="694">
        <f t="shared" si="241"/>
        <v>0</v>
      </c>
      <c r="Z1828" s="690"/>
      <c r="AA1828" s="690"/>
      <c r="AB1828" s="695">
        <f t="shared" si="242"/>
        <v>0</v>
      </c>
      <c r="AC1828" s="1035"/>
      <c r="AD1828" s="690"/>
      <c r="AE1828" s="1025"/>
      <c r="AF1828" s="1030"/>
      <c r="AG1828" s="690"/>
      <c r="AH1828" s="690"/>
      <c r="AI1828" s="696">
        <f t="shared" si="243"/>
        <v>0</v>
      </c>
      <c r="AJ1828" s="697">
        <f t="shared" si="244"/>
        <v>0</v>
      </c>
    </row>
    <row r="1829" spans="1:36" s="700" customFormat="1" ht="12.75" customHeight="1">
      <c r="A1829" s="908" t="s">
        <v>213</v>
      </c>
      <c r="B1829" s="908" t="s">
        <v>420</v>
      </c>
      <c r="C1829" s="918" t="s">
        <v>51</v>
      </c>
      <c r="D1829" s="918"/>
      <c r="E1829" s="916"/>
      <c r="F1829" s="917"/>
      <c r="G1829" s="1025"/>
      <c r="H1829" s="690"/>
      <c r="I1829" s="1030"/>
      <c r="J1829" s="690"/>
      <c r="K1829" s="1030"/>
      <c r="L1829" s="690"/>
      <c r="M1829" s="1025"/>
      <c r="N1829" s="1030"/>
      <c r="O1829" s="692">
        <f t="shared" si="237"/>
        <v>0</v>
      </c>
      <c r="P1829" s="690"/>
      <c r="Q1829" s="690"/>
      <c r="R1829" s="691">
        <f t="shared" si="238"/>
        <v>0</v>
      </c>
      <c r="S1829" s="692">
        <f t="shared" si="239"/>
        <v>0</v>
      </c>
      <c r="T1829" s="693">
        <f t="shared" si="240"/>
        <v>0</v>
      </c>
      <c r="U1829" s="1035"/>
      <c r="V1829" s="690"/>
      <c r="W1829" s="1025"/>
      <c r="X1829" s="1030"/>
      <c r="Y1829" s="694">
        <f t="shared" si="241"/>
        <v>0</v>
      </c>
      <c r="Z1829" s="690"/>
      <c r="AA1829" s="690"/>
      <c r="AB1829" s="695">
        <f t="shared" si="242"/>
        <v>0</v>
      </c>
      <c r="AC1829" s="1035"/>
      <c r="AD1829" s="690"/>
      <c r="AE1829" s="1025"/>
      <c r="AF1829" s="1030"/>
      <c r="AG1829" s="690"/>
      <c r="AH1829" s="690"/>
      <c r="AI1829" s="696">
        <f t="shared" si="243"/>
        <v>0</v>
      </c>
      <c r="AJ1829" s="697">
        <f t="shared" si="244"/>
        <v>0</v>
      </c>
    </row>
    <row r="1830" spans="1:36" s="700" customFormat="1" ht="12.75" customHeight="1">
      <c r="A1830" s="908" t="s">
        <v>213</v>
      </c>
      <c r="B1830" s="908" t="s">
        <v>420</v>
      </c>
      <c r="C1830" s="919" t="s">
        <v>1230</v>
      </c>
      <c r="D1830" s="919"/>
      <c r="E1830" s="916"/>
      <c r="F1830" s="917"/>
      <c r="G1830" s="1025"/>
      <c r="H1830" s="690"/>
      <c r="I1830" s="1030"/>
      <c r="J1830" s="690"/>
      <c r="K1830" s="1030"/>
      <c r="L1830" s="690"/>
      <c r="M1830" s="1025"/>
      <c r="N1830" s="1030"/>
      <c r="O1830" s="692">
        <f t="shared" si="237"/>
        <v>0</v>
      </c>
      <c r="P1830" s="690"/>
      <c r="Q1830" s="690"/>
      <c r="R1830" s="691">
        <f t="shared" si="238"/>
        <v>0</v>
      </c>
      <c r="S1830" s="692">
        <f t="shared" si="239"/>
        <v>0</v>
      </c>
      <c r="T1830" s="693">
        <f t="shared" si="240"/>
        <v>0</v>
      </c>
      <c r="U1830" s="1035"/>
      <c r="V1830" s="690"/>
      <c r="W1830" s="1025"/>
      <c r="X1830" s="1030"/>
      <c r="Y1830" s="694">
        <f t="shared" si="241"/>
        <v>0</v>
      </c>
      <c r="Z1830" s="690"/>
      <c r="AA1830" s="690"/>
      <c r="AB1830" s="695">
        <f t="shared" si="242"/>
        <v>0</v>
      </c>
      <c r="AC1830" s="1035"/>
      <c r="AD1830" s="690"/>
      <c r="AE1830" s="1025"/>
      <c r="AF1830" s="1030"/>
      <c r="AG1830" s="690"/>
      <c r="AH1830" s="690"/>
      <c r="AI1830" s="696">
        <f t="shared" si="243"/>
        <v>0</v>
      </c>
      <c r="AJ1830" s="697">
        <f t="shared" si="244"/>
        <v>0</v>
      </c>
    </row>
    <row r="1831" spans="1:36" s="700" customFormat="1" ht="12.75" customHeight="1">
      <c r="A1831" s="908" t="s">
        <v>213</v>
      </c>
      <c r="B1831" s="908" t="s">
        <v>442</v>
      </c>
      <c r="C1831" s="920" t="s">
        <v>443</v>
      </c>
      <c r="D1831" s="920"/>
      <c r="E1831" s="916"/>
      <c r="F1831" s="917"/>
      <c r="G1831" s="1025"/>
      <c r="H1831" s="690"/>
      <c r="I1831" s="1030"/>
      <c r="J1831" s="690"/>
      <c r="K1831" s="1030"/>
      <c r="L1831" s="690"/>
      <c r="M1831" s="1025"/>
      <c r="N1831" s="1030"/>
      <c r="O1831" s="692">
        <f t="shared" si="237"/>
        <v>0</v>
      </c>
      <c r="P1831" s="690"/>
      <c r="Q1831" s="690"/>
      <c r="R1831" s="691">
        <f t="shared" si="238"/>
        <v>0</v>
      </c>
      <c r="S1831" s="692">
        <f t="shared" si="239"/>
        <v>0</v>
      </c>
      <c r="T1831" s="693">
        <f t="shared" si="240"/>
        <v>0</v>
      </c>
      <c r="U1831" s="1035">
        <v>1443942</v>
      </c>
      <c r="V1831" s="690">
        <v>1634180</v>
      </c>
      <c r="W1831" s="1025"/>
      <c r="X1831" s="1030"/>
      <c r="Y1831" s="694">
        <f t="shared" si="241"/>
        <v>0</v>
      </c>
      <c r="Z1831" s="690"/>
      <c r="AA1831" s="690"/>
      <c r="AB1831" s="695">
        <f t="shared" si="242"/>
        <v>0</v>
      </c>
      <c r="AC1831" s="1035"/>
      <c r="AD1831" s="690"/>
      <c r="AE1831" s="1025"/>
      <c r="AF1831" s="1030"/>
      <c r="AG1831" s="690"/>
      <c r="AH1831" s="690"/>
      <c r="AI1831" s="696">
        <f t="shared" si="243"/>
        <v>1443942</v>
      </c>
      <c r="AJ1831" s="697">
        <f t="shared" si="244"/>
        <v>1634180</v>
      </c>
    </row>
    <row r="1832" spans="1:36" s="700" customFormat="1" ht="12.75" customHeight="1">
      <c r="A1832" s="908" t="s">
        <v>213</v>
      </c>
      <c r="B1832" s="908" t="s">
        <v>379</v>
      </c>
      <c r="C1832" s="920" t="s">
        <v>377</v>
      </c>
      <c r="D1832" s="920"/>
      <c r="E1832" s="916"/>
      <c r="F1832" s="917"/>
      <c r="G1832" s="1025"/>
      <c r="H1832" s="690"/>
      <c r="I1832" s="1030"/>
      <c r="J1832" s="690"/>
      <c r="K1832" s="1030"/>
      <c r="L1832" s="690"/>
      <c r="M1832" s="1025"/>
      <c r="N1832" s="1030"/>
      <c r="O1832" s="692">
        <f t="shared" si="237"/>
        <v>0</v>
      </c>
      <c r="P1832" s="690"/>
      <c r="Q1832" s="690"/>
      <c r="R1832" s="691">
        <f t="shared" si="238"/>
        <v>0</v>
      </c>
      <c r="S1832" s="692">
        <f t="shared" si="239"/>
        <v>0</v>
      </c>
      <c r="T1832" s="693">
        <f t="shared" si="240"/>
        <v>0</v>
      </c>
      <c r="U1832" s="1035"/>
      <c r="V1832" s="690"/>
      <c r="W1832" s="1025"/>
      <c r="X1832" s="1030"/>
      <c r="Y1832" s="694">
        <f t="shared" si="241"/>
        <v>0</v>
      </c>
      <c r="Z1832" s="690"/>
      <c r="AA1832" s="690"/>
      <c r="AB1832" s="695">
        <f t="shared" si="242"/>
        <v>0</v>
      </c>
      <c r="AC1832" s="1035"/>
      <c r="AD1832" s="690"/>
      <c r="AE1832" s="1025"/>
      <c r="AF1832" s="1030"/>
      <c r="AG1832" s="690"/>
      <c r="AH1832" s="690"/>
      <c r="AI1832" s="696">
        <f t="shared" si="243"/>
        <v>0</v>
      </c>
      <c r="AJ1832" s="697">
        <f t="shared" si="244"/>
        <v>0</v>
      </c>
    </row>
    <row r="1833" spans="1:36" s="700" customFormat="1" ht="12.75" customHeight="1">
      <c r="A1833" s="908" t="s">
        <v>213</v>
      </c>
      <c r="B1833" s="908" t="s">
        <v>295</v>
      </c>
      <c r="C1833" s="920" t="s">
        <v>53</v>
      </c>
      <c r="D1833" s="920"/>
      <c r="E1833" s="916"/>
      <c r="F1833" s="917"/>
      <c r="G1833" s="1025"/>
      <c r="H1833" s="690"/>
      <c r="I1833" s="1030"/>
      <c r="J1833" s="690"/>
      <c r="K1833" s="1030"/>
      <c r="L1833" s="690"/>
      <c r="M1833" s="1025"/>
      <c r="N1833" s="1030"/>
      <c r="O1833" s="692">
        <f t="shared" si="237"/>
        <v>0</v>
      </c>
      <c r="P1833" s="690"/>
      <c r="Q1833" s="690"/>
      <c r="R1833" s="691">
        <f t="shared" si="238"/>
        <v>0</v>
      </c>
      <c r="S1833" s="692">
        <f t="shared" si="239"/>
        <v>0</v>
      </c>
      <c r="T1833" s="693">
        <f t="shared" si="240"/>
        <v>0</v>
      </c>
      <c r="U1833" s="1035"/>
      <c r="V1833" s="690"/>
      <c r="W1833" s="1025"/>
      <c r="X1833" s="1030"/>
      <c r="Y1833" s="694">
        <f t="shared" si="241"/>
        <v>0</v>
      </c>
      <c r="Z1833" s="690"/>
      <c r="AA1833" s="690"/>
      <c r="AB1833" s="695">
        <f t="shared" si="242"/>
        <v>0</v>
      </c>
      <c r="AC1833" s="1035"/>
      <c r="AD1833" s="690"/>
      <c r="AE1833" s="1025"/>
      <c r="AF1833" s="1030"/>
      <c r="AG1833" s="690"/>
      <c r="AH1833" s="690"/>
      <c r="AI1833" s="696">
        <f t="shared" si="243"/>
        <v>0</v>
      </c>
      <c r="AJ1833" s="697">
        <f t="shared" si="244"/>
        <v>0</v>
      </c>
    </row>
    <row r="1834" spans="1:36" s="700" customFormat="1" ht="12.75" customHeight="1">
      <c r="A1834" s="908" t="s">
        <v>213</v>
      </c>
      <c r="B1834" s="908" t="s">
        <v>296</v>
      </c>
      <c r="C1834" s="920" t="s">
        <v>443</v>
      </c>
      <c r="D1834" s="920"/>
      <c r="E1834" s="916"/>
      <c r="F1834" s="917"/>
      <c r="G1834" s="1025"/>
      <c r="H1834" s="690"/>
      <c r="I1834" s="1030"/>
      <c r="J1834" s="690"/>
      <c r="K1834" s="1030"/>
      <c r="L1834" s="690"/>
      <c r="M1834" s="1025"/>
      <c r="N1834" s="1030"/>
      <c r="O1834" s="692">
        <f t="shared" si="237"/>
        <v>0</v>
      </c>
      <c r="P1834" s="690"/>
      <c r="Q1834" s="690"/>
      <c r="R1834" s="691">
        <f t="shared" si="238"/>
        <v>0</v>
      </c>
      <c r="S1834" s="692">
        <f t="shared" si="239"/>
        <v>0</v>
      </c>
      <c r="T1834" s="693">
        <f t="shared" si="240"/>
        <v>0</v>
      </c>
      <c r="U1834" s="1035"/>
      <c r="V1834" s="690"/>
      <c r="W1834" s="1025"/>
      <c r="X1834" s="1030"/>
      <c r="Y1834" s="694">
        <f t="shared" si="241"/>
        <v>0</v>
      </c>
      <c r="Z1834" s="690"/>
      <c r="AA1834" s="690"/>
      <c r="AB1834" s="695">
        <f t="shared" si="242"/>
        <v>0</v>
      </c>
      <c r="AC1834" s="1035"/>
      <c r="AD1834" s="690"/>
      <c r="AE1834" s="1025"/>
      <c r="AF1834" s="1030"/>
      <c r="AG1834" s="690"/>
      <c r="AH1834" s="690"/>
      <c r="AI1834" s="696">
        <f t="shared" si="243"/>
        <v>0</v>
      </c>
      <c r="AJ1834" s="697">
        <f t="shared" si="244"/>
        <v>0</v>
      </c>
    </row>
    <row r="1835" spans="1:36" s="700" customFormat="1" ht="12.75" customHeight="1">
      <c r="A1835" s="908" t="s">
        <v>213</v>
      </c>
      <c r="B1835" s="908" t="s">
        <v>379</v>
      </c>
      <c r="C1835" s="920" t="s">
        <v>377</v>
      </c>
      <c r="D1835" s="920"/>
      <c r="E1835" s="916"/>
      <c r="F1835" s="917"/>
      <c r="G1835" s="1025"/>
      <c r="H1835" s="690"/>
      <c r="I1835" s="1030"/>
      <c r="J1835" s="690"/>
      <c r="K1835" s="1030"/>
      <c r="L1835" s="690"/>
      <c r="M1835" s="1025"/>
      <c r="N1835" s="1030"/>
      <c r="O1835" s="692">
        <f t="shared" si="237"/>
        <v>0</v>
      </c>
      <c r="P1835" s="690"/>
      <c r="Q1835" s="690"/>
      <c r="R1835" s="691">
        <f t="shared" si="238"/>
        <v>0</v>
      </c>
      <c r="S1835" s="692">
        <f t="shared" si="239"/>
        <v>0</v>
      </c>
      <c r="T1835" s="693">
        <f t="shared" si="240"/>
        <v>0</v>
      </c>
      <c r="U1835" s="1035"/>
      <c r="V1835" s="690"/>
      <c r="W1835" s="1025"/>
      <c r="X1835" s="1030"/>
      <c r="Y1835" s="694">
        <f t="shared" si="241"/>
        <v>0</v>
      </c>
      <c r="Z1835" s="690"/>
      <c r="AA1835" s="690"/>
      <c r="AB1835" s="695">
        <f t="shared" si="242"/>
        <v>0</v>
      </c>
      <c r="AC1835" s="1035"/>
      <c r="AD1835" s="690"/>
      <c r="AE1835" s="1025"/>
      <c r="AF1835" s="1030"/>
      <c r="AG1835" s="690"/>
      <c r="AH1835" s="690"/>
      <c r="AI1835" s="696">
        <f t="shared" si="243"/>
        <v>0</v>
      </c>
      <c r="AJ1835" s="697">
        <f t="shared" si="244"/>
        <v>0</v>
      </c>
    </row>
    <row r="1836" spans="1:36" s="700" customFormat="1" ht="12.75" customHeight="1">
      <c r="A1836" s="908" t="s">
        <v>213</v>
      </c>
      <c r="B1836" s="908" t="s">
        <v>279</v>
      </c>
      <c r="C1836" s="920" t="s">
        <v>54</v>
      </c>
      <c r="D1836" s="920"/>
      <c r="E1836" s="916"/>
      <c r="F1836" s="917"/>
      <c r="G1836" s="1025"/>
      <c r="H1836" s="690"/>
      <c r="I1836" s="1030"/>
      <c r="J1836" s="690"/>
      <c r="K1836" s="1030"/>
      <c r="L1836" s="690"/>
      <c r="M1836" s="1025"/>
      <c r="N1836" s="1030"/>
      <c r="O1836" s="692">
        <f t="shared" si="237"/>
        <v>0</v>
      </c>
      <c r="P1836" s="690"/>
      <c r="Q1836" s="690"/>
      <c r="R1836" s="691">
        <f t="shared" si="238"/>
        <v>0</v>
      </c>
      <c r="S1836" s="692">
        <f t="shared" si="239"/>
        <v>0</v>
      </c>
      <c r="T1836" s="693">
        <f t="shared" si="240"/>
        <v>0</v>
      </c>
      <c r="U1836" s="1035"/>
      <c r="V1836" s="690"/>
      <c r="W1836" s="1025"/>
      <c r="X1836" s="1030"/>
      <c r="Y1836" s="694">
        <f t="shared" si="241"/>
        <v>0</v>
      </c>
      <c r="Z1836" s="690"/>
      <c r="AA1836" s="690"/>
      <c r="AB1836" s="695">
        <f t="shared" si="242"/>
        <v>0</v>
      </c>
      <c r="AC1836" s="1035"/>
      <c r="AD1836" s="690"/>
      <c r="AE1836" s="1025"/>
      <c r="AF1836" s="1030"/>
      <c r="AG1836" s="690"/>
      <c r="AH1836" s="690"/>
      <c r="AI1836" s="696">
        <f t="shared" si="243"/>
        <v>0</v>
      </c>
      <c r="AJ1836" s="697">
        <f t="shared" si="244"/>
        <v>0</v>
      </c>
    </row>
    <row r="1837" spans="1:36" s="700" customFormat="1" ht="12.75" customHeight="1">
      <c r="A1837" s="908" t="s">
        <v>213</v>
      </c>
      <c r="B1837" s="908" t="s">
        <v>317</v>
      </c>
      <c r="C1837" s="920" t="s">
        <v>443</v>
      </c>
      <c r="D1837" s="920"/>
      <c r="E1837" s="916"/>
      <c r="F1837" s="917"/>
      <c r="G1837" s="1025"/>
      <c r="H1837" s="690"/>
      <c r="I1837" s="1030"/>
      <c r="J1837" s="690"/>
      <c r="K1837" s="1030"/>
      <c r="L1837" s="690"/>
      <c r="M1837" s="1025"/>
      <c r="N1837" s="1030"/>
      <c r="O1837" s="692">
        <f t="shared" si="237"/>
        <v>0</v>
      </c>
      <c r="P1837" s="690"/>
      <c r="Q1837" s="690"/>
      <c r="R1837" s="691">
        <f t="shared" si="238"/>
        <v>0</v>
      </c>
      <c r="S1837" s="692">
        <f t="shared" si="239"/>
        <v>0</v>
      </c>
      <c r="T1837" s="693">
        <f t="shared" si="240"/>
        <v>0</v>
      </c>
      <c r="U1837" s="1035"/>
      <c r="V1837" s="690"/>
      <c r="W1837" s="1025"/>
      <c r="X1837" s="1030"/>
      <c r="Y1837" s="694">
        <f t="shared" si="241"/>
        <v>0</v>
      </c>
      <c r="Z1837" s="690"/>
      <c r="AA1837" s="690"/>
      <c r="AB1837" s="695">
        <f t="shared" si="242"/>
        <v>0</v>
      </c>
      <c r="AC1837" s="1035"/>
      <c r="AD1837" s="690"/>
      <c r="AE1837" s="1025"/>
      <c r="AF1837" s="1030"/>
      <c r="AG1837" s="690"/>
      <c r="AH1837" s="690"/>
      <c r="AI1837" s="696">
        <f t="shared" si="243"/>
        <v>0</v>
      </c>
      <c r="AJ1837" s="697">
        <f t="shared" si="244"/>
        <v>0</v>
      </c>
    </row>
    <row r="1838" spans="1:36" s="700" customFormat="1" ht="12.75" customHeight="1">
      <c r="A1838" s="908" t="s">
        <v>213</v>
      </c>
      <c r="B1838" s="908" t="s">
        <v>379</v>
      </c>
      <c r="C1838" s="920" t="s">
        <v>377</v>
      </c>
      <c r="D1838" s="920"/>
      <c r="E1838" s="916"/>
      <c r="F1838" s="917"/>
      <c r="G1838" s="1025"/>
      <c r="H1838" s="690"/>
      <c r="I1838" s="1030"/>
      <c r="J1838" s="690"/>
      <c r="K1838" s="1030"/>
      <c r="L1838" s="690"/>
      <c r="M1838" s="1025"/>
      <c r="N1838" s="1030"/>
      <c r="O1838" s="692">
        <f t="shared" si="237"/>
        <v>0</v>
      </c>
      <c r="P1838" s="690"/>
      <c r="Q1838" s="690"/>
      <c r="R1838" s="691">
        <f t="shared" si="238"/>
        <v>0</v>
      </c>
      <c r="S1838" s="692">
        <f t="shared" si="239"/>
        <v>0</v>
      </c>
      <c r="T1838" s="693">
        <f t="shared" si="240"/>
        <v>0</v>
      </c>
      <c r="U1838" s="1035"/>
      <c r="V1838" s="690"/>
      <c r="W1838" s="1025"/>
      <c r="X1838" s="1030"/>
      <c r="Y1838" s="694">
        <f t="shared" si="241"/>
        <v>0</v>
      </c>
      <c r="Z1838" s="690"/>
      <c r="AA1838" s="690"/>
      <c r="AB1838" s="695">
        <f t="shared" si="242"/>
        <v>0</v>
      </c>
      <c r="AC1838" s="1035"/>
      <c r="AD1838" s="690"/>
      <c r="AE1838" s="1025"/>
      <c r="AF1838" s="1030"/>
      <c r="AG1838" s="690"/>
      <c r="AH1838" s="690"/>
      <c r="AI1838" s="696">
        <f t="shared" si="243"/>
        <v>0</v>
      </c>
      <c r="AJ1838" s="697">
        <f t="shared" si="244"/>
        <v>0</v>
      </c>
    </row>
    <row r="1839" spans="1:36" s="700" customFormat="1" ht="12.75" customHeight="1">
      <c r="A1839" s="908" t="s">
        <v>213</v>
      </c>
      <c r="B1839" s="908" t="s">
        <v>420</v>
      </c>
      <c r="C1839" s="921" t="s">
        <v>1231</v>
      </c>
      <c r="D1839" s="921"/>
      <c r="E1839" s="916"/>
      <c r="F1839" s="917"/>
      <c r="G1839" s="1025"/>
      <c r="H1839" s="690"/>
      <c r="I1839" s="1030"/>
      <c r="J1839" s="690"/>
      <c r="K1839" s="1030"/>
      <c r="L1839" s="690"/>
      <c r="M1839" s="1025"/>
      <c r="N1839" s="1030"/>
      <c r="O1839" s="692">
        <f t="shared" si="237"/>
        <v>0</v>
      </c>
      <c r="P1839" s="690"/>
      <c r="Q1839" s="690"/>
      <c r="R1839" s="691">
        <f t="shared" si="238"/>
        <v>0</v>
      </c>
      <c r="S1839" s="692">
        <f t="shared" si="239"/>
        <v>0</v>
      </c>
      <c r="T1839" s="693">
        <f t="shared" si="240"/>
        <v>0</v>
      </c>
      <c r="U1839" s="1035"/>
      <c r="V1839" s="690"/>
      <c r="W1839" s="1025"/>
      <c r="X1839" s="1030"/>
      <c r="Y1839" s="694">
        <f t="shared" si="241"/>
        <v>0</v>
      </c>
      <c r="Z1839" s="690"/>
      <c r="AA1839" s="690"/>
      <c r="AB1839" s="695">
        <f t="shared" si="242"/>
        <v>0</v>
      </c>
      <c r="AC1839" s="1035"/>
      <c r="AD1839" s="690"/>
      <c r="AE1839" s="1025"/>
      <c r="AF1839" s="1030"/>
      <c r="AG1839" s="690"/>
      <c r="AH1839" s="690"/>
      <c r="AI1839" s="696">
        <f t="shared" si="243"/>
        <v>0</v>
      </c>
      <c r="AJ1839" s="697">
        <f t="shared" si="244"/>
        <v>0</v>
      </c>
    </row>
    <row r="1840" spans="1:36" s="700" customFormat="1" ht="12.75" customHeight="1">
      <c r="A1840" s="908" t="s">
        <v>213</v>
      </c>
      <c r="B1840" s="908" t="s">
        <v>442</v>
      </c>
      <c r="C1840" s="920" t="s">
        <v>443</v>
      </c>
      <c r="D1840" s="920"/>
      <c r="E1840" s="916"/>
      <c r="F1840" s="917"/>
      <c r="G1840" s="1025"/>
      <c r="H1840" s="690"/>
      <c r="I1840" s="1030"/>
      <c r="J1840" s="690"/>
      <c r="K1840" s="1030"/>
      <c r="L1840" s="690"/>
      <c r="M1840" s="1025"/>
      <c r="N1840" s="1030"/>
      <c r="O1840" s="692">
        <f t="shared" si="237"/>
        <v>0</v>
      </c>
      <c r="P1840" s="690"/>
      <c r="Q1840" s="690"/>
      <c r="R1840" s="691">
        <f t="shared" si="238"/>
        <v>0</v>
      </c>
      <c r="S1840" s="692">
        <f t="shared" si="239"/>
        <v>0</v>
      </c>
      <c r="T1840" s="693">
        <f t="shared" si="240"/>
        <v>0</v>
      </c>
      <c r="U1840" s="1035">
        <v>4391146</v>
      </c>
      <c r="V1840" s="690">
        <v>4414428</v>
      </c>
      <c r="W1840" s="1025"/>
      <c r="X1840" s="1030"/>
      <c r="Y1840" s="694">
        <f t="shared" si="241"/>
        <v>0</v>
      </c>
      <c r="Z1840" s="690"/>
      <c r="AA1840" s="690"/>
      <c r="AB1840" s="695">
        <f t="shared" si="242"/>
        <v>0</v>
      </c>
      <c r="AC1840" s="1035"/>
      <c r="AD1840" s="690"/>
      <c r="AE1840" s="1025"/>
      <c r="AF1840" s="1030"/>
      <c r="AG1840" s="690"/>
      <c r="AH1840" s="690"/>
      <c r="AI1840" s="696">
        <f t="shared" si="243"/>
        <v>4391146</v>
      </c>
      <c r="AJ1840" s="697">
        <f t="shared" si="244"/>
        <v>4414428</v>
      </c>
    </row>
    <row r="1841" spans="1:36" s="700" customFormat="1" ht="12.75" customHeight="1">
      <c r="A1841" s="908" t="s">
        <v>213</v>
      </c>
      <c r="B1841" s="908" t="s">
        <v>379</v>
      </c>
      <c r="C1841" s="920" t="s">
        <v>377</v>
      </c>
      <c r="D1841" s="920"/>
      <c r="E1841" s="916"/>
      <c r="F1841" s="917"/>
      <c r="G1841" s="1025"/>
      <c r="H1841" s="690"/>
      <c r="I1841" s="1030"/>
      <c r="J1841" s="690"/>
      <c r="K1841" s="1030"/>
      <c r="L1841" s="690"/>
      <c r="M1841" s="1025"/>
      <c r="N1841" s="1030"/>
      <c r="O1841" s="692">
        <f t="shared" si="237"/>
        <v>0</v>
      </c>
      <c r="P1841" s="690"/>
      <c r="Q1841" s="690"/>
      <c r="R1841" s="691">
        <f t="shared" si="238"/>
        <v>0</v>
      </c>
      <c r="S1841" s="692">
        <f t="shared" si="239"/>
        <v>0</v>
      </c>
      <c r="T1841" s="693">
        <f t="shared" si="240"/>
        <v>0</v>
      </c>
      <c r="U1841" s="1035"/>
      <c r="V1841" s="690"/>
      <c r="W1841" s="1025"/>
      <c r="X1841" s="1030"/>
      <c r="Y1841" s="694">
        <f t="shared" si="241"/>
        <v>0</v>
      </c>
      <c r="Z1841" s="690"/>
      <c r="AA1841" s="690"/>
      <c r="AB1841" s="695">
        <f t="shared" si="242"/>
        <v>0</v>
      </c>
      <c r="AC1841" s="1035"/>
      <c r="AD1841" s="690"/>
      <c r="AE1841" s="1025"/>
      <c r="AF1841" s="1030"/>
      <c r="AG1841" s="690"/>
      <c r="AH1841" s="690"/>
      <c r="AI1841" s="696">
        <f t="shared" si="243"/>
        <v>0</v>
      </c>
      <c r="AJ1841" s="697">
        <f t="shared" si="244"/>
        <v>0</v>
      </c>
    </row>
    <row r="1842" spans="1:36" s="700" customFormat="1" ht="12.75" customHeight="1">
      <c r="A1842" s="908" t="s">
        <v>213</v>
      </c>
      <c r="B1842" s="908" t="s">
        <v>295</v>
      </c>
      <c r="C1842" s="920" t="s">
        <v>53</v>
      </c>
      <c r="D1842" s="920"/>
      <c r="E1842" s="916"/>
      <c r="F1842" s="917"/>
      <c r="G1842" s="1025"/>
      <c r="H1842" s="690"/>
      <c r="I1842" s="1030"/>
      <c r="J1842" s="690"/>
      <c r="K1842" s="1030"/>
      <c r="L1842" s="690"/>
      <c r="M1842" s="1025"/>
      <c r="N1842" s="1030"/>
      <c r="O1842" s="692">
        <f t="shared" si="237"/>
        <v>0</v>
      </c>
      <c r="P1842" s="690"/>
      <c r="Q1842" s="690"/>
      <c r="R1842" s="691">
        <f t="shared" si="238"/>
        <v>0</v>
      </c>
      <c r="S1842" s="692">
        <f t="shared" si="239"/>
        <v>0</v>
      </c>
      <c r="T1842" s="693">
        <f t="shared" si="240"/>
        <v>0</v>
      </c>
      <c r="U1842" s="1035"/>
      <c r="V1842" s="690"/>
      <c r="W1842" s="1025"/>
      <c r="X1842" s="1030"/>
      <c r="Y1842" s="694">
        <f t="shared" si="241"/>
        <v>0</v>
      </c>
      <c r="Z1842" s="690"/>
      <c r="AA1842" s="690"/>
      <c r="AB1842" s="695">
        <f t="shared" si="242"/>
        <v>0</v>
      </c>
      <c r="AC1842" s="1035"/>
      <c r="AD1842" s="690"/>
      <c r="AE1842" s="1025"/>
      <c r="AF1842" s="1030"/>
      <c r="AG1842" s="690"/>
      <c r="AH1842" s="690"/>
      <c r="AI1842" s="696">
        <f t="shared" si="243"/>
        <v>0</v>
      </c>
      <c r="AJ1842" s="697">
        <f t="shared" si="244"/>
        <v>0</v>
      </c>
    </row>
    <row r="1843" spans="1:36" s="700" customFormat="1" ht="12.75" customHeight="1">
      <c r="A1843" s="908" t="s">
        <v>213</v>
      </c>
      <c r="B1843" s="908" t="s">
        <v>296</v>
      </c>
      <c r="C1843" s="920" t="s">
        <v>443</v>
      </c>
      <c r="D1843" s="920"/>
      <c r="E1843" s="916"/>
      <c r="F1843" s="917"/>
      <c r="G1843" s="1025"/>
      <c r="H1843" s="690"/>
      <c r="I1843" s="1030"/>
      <c r="J1843" s="690"/>
      <c r="K1843" s="1030"/>
      <c r="L1843" s="690"/>
      <c r="M1843" s="1025"/>
      <c r="N1843" s="1030"/>
      <c r="O1843" s="692">
        <f t="shared" si="237"/>
        <v>0</v>
      </c>
      <c r="P1843" s="690"/>
      <c r="Q1843" s="690"/>
      <c r="R1843" s="691">
        <f t="shared" si="238"/>
        <v>0</v>
      </c>
      <c r="S1843" s="692">
        <f t="shared" si="239"/>
        <v>0</v>
      </c>
      <c r="T1843" s="693">
        <f t="shared" si="240"/>
        <v>0</v>
      </c>
      <c r="U1843" s="1035"/>
      <c r="V1843" s="690"/>
      <c r="W1843" s="1025"/>
      <c r="X1843" s="1030"/>
      <c r="Y1843" s="694">
        <f t="shared" si="241"/>
        <v>0</v>
      </c>
      <c r="Z1843" s="690"/>
      <c r="AA1843" s="690"/>
      <c r="AB1843" s="695">
        <f t="shared" si="242"/>
        <v>0</v>
      </c>
      <c r="AC1843" s="1035"/>
      <c r="AD1843" s="690"/>
      <c r="AE1843" s="1025"/>
      <c r="AF1843" s="1030"/>
      <c r="AG1843" s="690"/>
      <c r="AH1843" s="690"/>
      <c r="AI1843" s="696">
        <f t="shared" si="243"/>
        <v>0</v>
      </c>
      <c r="AJ1843" s="697">
        <f t="shared" si="244"/>
        <v>0</v>
      </c>
    </row>
    <row r="1844" spans="1:36" s="700" customFormat="1" ht="12.75" customHeight="1">
      <c r="A1844" s="908" t="s">
        <v>213</v>
      </c>
      <c r="B1844" s="908" t="s">
        <v>379</v>
      </c>
      <c r="C1844" s="920" t="s">
        <v>377</v>
      </c>
      <c r="D1844" s="920"/>
      <c r="E1844" s="916"/>
      <c r="F1844" s="917"/>
      <c r="G1844" s="1025"/>
      <c r="H1844" s="690"/>
      <c r="I1844" s="1030"/>
      <c r="J1844" s="690"/>
      <c r="K1844" s="1030"/>
      <c r="L1844" s="690"/>
      <c r="M1844" s="1025"/>
      <c r="N1844" s="1030"/>
      <c r="O1844" s="692">
        <f t="shared" si="237"/>
        <v>0</v>
      </c>
      <c r="P1844" s="690"/>
      <c r="Q1844" s="690"/>
      <c r="R1844" s="691">
        <f t="shared" si="238"/>
        <v>0</v>
      </c>
      <c r="S1844" s="692">
        <f t="shared" si="239"/>
        <v>0</v>
      </c>
      <c r="T1844" s="693">
        <f t="shared" si="240"/>
        <v>0</v>
      </c>
      <c r="U1844" s="1035"/>
      <c r="V1844" s="690"/>
      <c r="W1844" s="1025"/>
      <c r="X1844" s="1030"/>
      <c r="Y1844" s="694">
        <f t="shared" si="241"/>
        <v>0</v>
      </c>
      <c r="Z1844" s="690"/>
      <c r="AA1844" s="690"/>
      <c r="AB1844" s="695">
        <f t="shared" si="242"/>
        <v>0</v>
      </c>
      <c r="AC1844" s="1035"/>
      <c r="AD1844" s="690"/>
      <c r="AE1844" s="1025"/>
      <c r="AF1844" s="1030"/>
      <c r="AG1844" s="690"/>
      <c r="AH1844" s="690"/>
      <c r="AI1844" s="696">
        <f t="shared" si="243"/>
        <v>0</v>
      </c>
      <c r="AJ1844" s="697">
        <f t="shared" si="244"/>
        <v>0</v>
      </c>
    </row>
    <row r="1845" spans="1:36" s="700" customFormat="1" ht="12.75" customHeight="1">
      <c r="A1845" s="908" t="s">
        <v>213</v>
      </c>
      <c r="B1845" s="908" t="s">
        <v>279</v>
      </c>
      <c r="C1845" s="920" t="s">
        <v>54</v>
      </c>
      <c r="D1845" s="920"/>
      <c r="E1845" s="916"/>
      <c r="F1845" s="917"/>
      <c r="G1845" s="1025"/>
      <c r="H1845" s="690"/>
      <c r="I1845" s="1030"/>
      <c r="J1845" s="690"/>
      <c r="K1845" s="1030"/>
      <c r="L1845" s="690"/>
      <c r="M1845" s="1025"/>
      <c r="N1845" s="1030"/>
      <c r="O1845" s="692">
        <f t="shared" si="237"/>
        <v>0</v>
      </c>
      <c r="P1845" s="690"/>
      <c r="Q1845" s="690"/>
      <c r="R1845" s="691">
        <f t="shared" si="238"/>
        <v>0</v>
      </c>
      <c r="S1845" s="692">
        <f t="shared" si="239"/>
        <v>0</v>
      </c>
      <c r="T1845" s="693">
        <f t="shared" si="240"/>
        <v>0</v>
      </c>
      <c r="U1845" s="1035"/>
      <c r="V1845" s="690"/>
      <c r="W1845" s="1025"/>
      <c r="X1845" s="1030"/>
      <c r="Y1845" s="694">
        <f t="shared" si="241"/>
        <v>0</v>
      </c>
      <c r="Z1845" s="690"/>
      <c r="AA1845" s="690"/>
      <c r="AB1845" s="695">
        <f t="shared" si="242"/>
        <v>0</v>
      </c>
      <c r="AC1845" s="1035"/>
      <c r="AD1845" s="690"/>
      <c r="AE1845" s="1025"/>
      <c r="AF1845" s="1030"/>
      <c r="AG1845" s="690"/>
      <c r="AH1845" s="690"/>
      <c r="AI1845" s="696">
        <f t="shared" si="243"/>
        <v>0</v>
      </c>
      <c r="AJ1845" s="697">
        <f t="shared" si="244"/>
        <v>0</v>
      </c>
    </row>
    <row r="1846" spans="1:36" s="700" customFormat="1" ht="12.75" customHeight="1">
      <c r="A1846" s="908" t="s">
        <v>213</v>
      </c>
      <c r="B1846" s="908" t="s">
        <v>317</v>
      </c>
      <c r="C1846" s="920" t="s">
        <v>443</v>
      </c>
      <c r="D1846" s="920"/>
      <c r="E1846" s="916"/>
      <c r="F1846" s="917"/>
      <c r="G1846" s="1025"/>
      <c r="H1846" s="690"/>
      <c r="I1846" s="1030"/>
      <c r="J1846" s="690"/>
      <c r="K1846" s="1030"/>
      <c r="L1846" s="690"/>
      <c r="M1846" s="1025"/>
      <c r="N1846" s="1030"/>
      <c r="O1846" s="692">
        <f t="shared" si="237"/>
        <v>0</v>
      </c>
      <c r="P1846" s="690"/>
      <c r="Q1846" s="690"/>
      <c r="R1846" s="691">
        <f t="shared" si="238"/>
        <v>0</v>
      </c>
      <c r="S1846" s="692">
        <f t="shared" si="239"/>
        <v>0</v>
      </c>
      <c r="T1846" s="693">
        <f t="shared" si="240"/>
        <v>0</v>
      </c>
      <c r="U1846" s="1035"/>
      <c r="V1846" s="690"/>
      <c r="W1846" s="1025"/>
      <c r="X1846" s="1030"/>
      <c r="Y1846" s="694">
        <f t="shared" si="241"/>
        <v>0</v>
      </c>
      <c r="Z1846" s="690"/>
      <c r="AA1846" s="690"/>
      <c r="AB1846" s="695">
        <f t="shared" si="242"/>
        <v>0</v>
      </c>
      <c r="AC1846" s="1035"/>
      <c r="AD1846" s="690"/>
      <c r="AE1846" s="1025"/>
      <c r="AF1846" s="1030"/>
      <c r="AG1846" s="690"/>
      <c r="AH1846" s="690"/>
      <c r="AI1846" s="696">
        <f t="shared" si="243"/>
        <v>0</v>
      </c>
      <c r="AJ1846" s="697">
        <f t="shared" si="244"/>
        <v>0</v>
      </c>
    </row>
    <row r="1847" spans="1:36" s="700" customFormat="1" ht="12.75" customHeight="1">
      <c r="A1847" s="908" t="s">
        <v>213</v>
      </c>
      <c r="B1847" s="908" t="s">
        <v>379</v>
      </c>
      <c r="C1847" s="920" t="s">
        <v>377</v>
      </c>
      <c r="D1847" s="920"/>
      <c r="E1847" s="916"/>
      <c r="F1847" s="917"/>
      <c r="G1847" s="1025"/>
      <c r="H1847" s="690"/>
      <c r="I1847" s="1030"/>
      <c r="J1847" s="690"/>
      <c r="K1847" s="1030"/>
      <c r="L1847" s="690"/>
      <c r="M1847" s="1025"/>
      <c r="N1847" s="1030"/>
      <c r="O1847" s="692">
        <f t="shared" si="237"/>
        <v>0</v>
      </c>
      <c r="P1847" s="690"/>
      <c r="Q1847" s="690"/>
      <c r="R1847" s="691">
        <f t="shared" si="238"/>
        <v>0</v>
      </c>
      <c r="S1847" s="692">
        <f t="shared" si="239"/>
        <v>0</v>
      </c>
      <c r="T1847" s="693">
        <f t="shared" si="240"/>
        <v>0</v>
      </c>
      <c r="U1847" s="1035"/>
      <c r="V1847" s="690"/>
      <c r="W1847" s="1025"/>
      <c r="X1847" s="1030"/>
      <c r="Y1847" s="694">
        <f t="shared" si="241"/>
        <v>0</v>
      </c>
      <c r="Z1847" s="690"/>
      <c r="AA1847" s="690"/>
      <c r="AB1847" s="695">
        <f t="shared" si="242"/>
        <v>0</v>
      </c>
      <c r="AC1847" s="1035"/>
      <c r="AD1847" s="690"/>
      <c r="AE1847" s="1025"/>
      <c r="AF1847" s="1030"/>
      <c r="AG1847" s="690"/>
      <c r="AH1847" s="690"/>
      <c r="AI1847" s="696">
        <f t="shared" si="243"/>
        <v>0</v>
      </c>
      <c r="AJ1847" s="697">
        <f t="shared" si="244"/>
        <v>0</v>
      </c>
    </row>
    <row r="1848" spans="1:36" s="700" customFormat="1" ht="12.75" customHeight="1">
      <c r="A1848" s="908" t="s">
        <v>213</v>
      </c>
      <c r="B1848" s="908" t="s">
        <v>420</v>
      </c>
      <c r="C1848" s="919" t="s">
        <v>1232</v>
      </c>
      <c r="D1848" s="919"/>
      <c r="E1848" s="916"/>
      <c r="F1848" s="917"/>
      <c r="G1848" s="1025"/>
      <c r="H1848" s="690"/>
      <c r="I1848" s="1030"/>
      <c r="J1848" s="690"/>
      <c r="K1848" s="1030"/>
      <c r="L1848" s="690"/>
      <c r="M1848" s="1025"/>
      <c r="N1848" s="1030"/>
      <c r="O1848" s="692">
        <f t="shared" si="237"/>
        <v>0</v>
      </c>
      <c r="P1848" s="690"/>
      <c r="Q1848" s="690"/>
      <c r="R1848" s="691">
        <f t="shared" si="238"/>
        <v>0</v>
      </c>
      <c r="S1848" s="692">
        <f t="shared" si="239"/>
        <v>0</v>
      </c>
      <c r="T1848" s="693">
        <f t="shared" si="240"/>
        <v>0</v>
      </c>
      <c r="U1848" s="1035"/>
      <c r="V1848" s="690"/>
      <c r="W1848" s="1025"/>
      <c r="X1848" s="1030"/>
      <c r="Y1848" s="694">
        <f t="shared" si="241"/>
        <v>0</v>
      </c>
      <c r="Z1848" s="690"/>
      <c r="AA1848" s="690"/>
      <c r="AB1848" s="695">
        <f t="shared" si="242"/>
        <v>0</v>
      </c>
      <c r="AC1848" s="1035"/>
      <c r="AD1848" s="690"/>
      <c r="AE1848" s="1025"/>
      <c r="AF1848" s="1030"/>
      <c r="AG1848" s="690"/>
      <c r="AH1848" s="690"/>
      <c r="AI1848" s="696">
        <f t="shared" si="243"/>
        <v>0</v>
      </c>
      <c r="AJ1848" s="697">
        <f t="shared" si="244"/>
        <v>0</v>
      </c>
    </row>
    <row r="1849" spans="1:36" s="700" customFormat="1" ht="12.75" customHeight="1">
      <c r="A1849" s="908" t="s">
        <v>213</v>
      </c>
      <c r="B1849" s="908" t="s">
        <v>442</v>
      </c>
      <c r="C1849" s="920" t="s">
        <v>443</v>
      </c>
      <c r="D1849" s="920"/>
      <c r="E1849" s="916"/>
      <c r="F1849" s="917"/>
      <c r="G1849" s="1025"/>
      <c r="H1849" s="690"/>
      <c r="I1849" s="1030"/>
      <c r="J1849" s="690"/>
      <c r="K1849" s="1030"/>
      <c r="L1849" s="690"/>
      <c r="M1849" s="1025"/>
      <c r="N1849" s="1030"/>
      <c r="O1849" s="692">
        <f t="shared" si="237"/>
        <v>0</v>
      </c>
      <c r="P1849" s="690"/>
      <c r="Q1849" s="690"/>
      <c r="R1849" s="691">
        <f t="shared" si="238"/>
        <v>0</v>
      </c>
      <c r="S1849" s="692">
        <f t="shared" si="239"/>
        <v>0</v>
      </c>
      <c r="T1849" s="693">
        <f t="shared" si="240"/>
        <v>0</v>
      </c>
      <c r="U1849" s="1035">
        <v>822779</v>
      </c>
      <c r="V1849" s="690">
        <v>822779</v>
      </c>
      <c r="W1849" s="1025"/>
      <c r="X1849" s="1030"/>
      <c r="Y1849" s="694">
        <f t="shared" si="241"/>
        <v>0</v>
      </c>
      <c r="Z1849" s="690"/>
      <c r="AA1849" s="690"/>
      <c r="AB1849" s="695">
        <f t="shared" si="242"/>
        <v>0</v>
      </c>
      <c r="AC1849" s="1035"/>
      <c r="AD1849" s="690"/>
      <c r="AE1849" s="1025"/>
      <c r="AF1849" s="1030"/>
      <c r="AG1849" s="690"/>
      <c r="AH1849" s="690"/>
      <c r="AI1849" s="696">
        <f t="shared" si="243"/>
        <v>822779</v>
      </c>
      <c r="AJ1849" s="697">
        <f t="shared" si="244"/>
        <v>822779</v>
      </c>
    </row>
    <row r="1850" spans="1:36" s="700" customFormat="1" ht="12.75" customHeight="1">
      <c r="A1850" s="908" t="s">
        <v>213</v>
      </c>
      <c r="B1850" s="908" t="s">
        <v>379</v>
      </c>
      <c r="C1850" s="920" t="s">
        <v>377</v>
      </c>
      <c r="D1850" s="920"/>
      <c r="E1850" s="916"/>
      <c r="F1850" s="917"/>
      <c r="G1850" s="1025"/>
      <c r="H1850" s="690"/>
      <c r="I1850" s="1030"/>
      <c r="J1850" s="690"/>
      <c r="K1850" s="1030"/>
      <c r="L1850" s="690"/>
      <c r="M1850" s="1025"/>
      <c r="N1850" s="1030"/>
      <c r="O1850" s="692">
        <f t="shared" si="237"/>
        <v>0</v>
      </c>
      <c r="P1850" s="690"/>
      <c r="Q1850" s="690"/>
      <c r="R1850" s="691">
        <f t="shared" si="238"/>
        <v>0</v>
      </c>
      <c r="S1850" s="692">
        <f t="shared" si="239"/>
        <v>0</v>
      </c>
      <c r="T1850" s="693">
        <f t="shared" si="240"/>
        <v>0</v>
      </c>
      <c r="U1850" s="1035"/>
      <c r="V1850" s="690"/>
      <c r="W1850" s="1025"/>
      <c r="X1850" s="1030"/>
      <c r="Y1850" s="694">
        <f t="shared" si="241"/>
        <v>0</v>
      </c>
      <c r="Z1850" s="690"/>
      <c r="AA1850" s="690"/>
      <c r="AB1850" s="695">
        <f t="shared" si="242"/>
        <v>0</v>
      </c>
      <c r="AC1850" s="1035"/>
      <c r="AD1850" s="690"/>
      <c r="AE1850" s="1025"/>
      <c r="AF1850" s="1030"/>
      <c r="AG1850" s="690"/>
      <c r="AH1850" s="690"/>
      <c r="AI1850" s="696">
        <f t="shared" si="243"/>
        <v>0</v>
      </c>
      <c r="AJ1850" s="697">
        <f t="shared" si="244"/>
        <v>0</v>
      </c>
    </row>
    <row r="1851" spans="1:36" s="700" customFormat="1" ht="12.75" customHeight="1">
      <c r="A1851" s="908" t="s">
        <v>213</v>
      </c>
      <c r="B1851" s="908" t="s">
        <v>295</v>
      </c>
      <c r="C1851" s="920" t="s">
        <v>53</v>
      </c>
      <c r="D1851" s="920"/>
      <c r="E1851" s="916"/>
      <c r="F1851" s="917"/>
      <c r="G1851" s="1025"/>
      <c r="H1851" s="690"/>
      <c r="I1851" s="1030"/>
      <c r="J1851" s="690"/>
      <c r="K1851" s="1030"/>
      <c r="L1851" s="690"/>
      <c r="M1851" s="1025"/>
      <c r="N1851" s="1030"/>
      <c r="O1851" s="692">
        <f t="shared" si="237"/>
        <v>0</v>
      </c>
      <c r="P1851" s="690"/>
      <c r="Q1851" s="690"/>
      <c r="R1851" s="691">
        <f t="shared" si="238"/>
        <v>0</v>
      </c>
      <c r="S1851" s="692">
        <f t="shared" si="239"/>
        <v>0</v>
      </c>
      <c r="T1851" s="693">
        <f t="shared" si="240"/>
        <v>0</v>
      </c>
      <c r="U1851" s="1035"/>
      <c r="V1851" s="690"/>
      <c r="W1851" s="1025"/>
      <c r="X1851" s="1030"/>
      <c r="Y1851" s="694">
        <f t="shared" si="241"/>
        <v>0</v>
      </c>
      <c r="Z1851" s="690"/>
      <c r="AA1851" s="690"/>
      <c r="AB1851" s="695">
        <f t="shared" si="242"/>
        <v>0</v>
      </c>
      <c r="AC1851" s="1035"/>
      <c r="AD1851" s="690"/>
      <c r="AE1851" s="1025"/>
      <c r="AF1851" s="1030"/>
      <c r="AG1851" s="690"/>
      <c r="AH1851" s="690"/>
      <c r="AI1851" s="696">
        <f t="shared" si="243"/>
        <v>0</v>
      </c>
      <c r="AJ1851" s="697">
        <f t="shared" si="244"/>
        <v>0</v>
      </c>
    </row>
    <row r="1852" spans="1:36" s="700" customFormat="1" ht="12.75" customHeight="1">
      <c r="A1852" s="908" t="s">
        <v>213</v>
      </c>
      <c r="B1852" s="908" t="s">
        <v>296</v>
      </c>
      <c r="C1852" s="920" t="s">
        <v>443</v>
      </c>
      <c r="D1852" s="920"/>
      <c r="E1852" s="916"/>
      <c r="F1852" s="917"/>
      <c r="G1852" s="1025"/>
      <c r="H1852" s="690"/>
      <c r="I1852" s="1030"/>
      <c r="J1852" s="690"/>
      <c r="K1852" s="1030"/>
      <c r="L1852" s="690"/>
      <c r="M1852" s="1025"/>
      <c r="N1852" s="1030"/>
      <c r="O1852" s="692">
        <f t="shared" si="237"/>
        <v>0</v>
      </c>
      <c r="P1852" s="690"/>
      <c r="Q1852" s="690"/>
      <c r="R1852" s="691">
        <f t="shared" si="238"/>
        <v>0</v>
      </c>
      <c r="S1852" s="692">
        <f t="shared" si="239"/>
        <v>0</v>
      </c>
      <c r="T1852" s="693">
        <f t="shared" si="240"/>
        <v>0</v>
      </c>
      <c r="U1852" s="1035"/>
      <c r="V1852" s="690"/>
      <c r="W1852" s="1025"/>
      <c r="X1852" s="1030"/>
      <c r="Y1852" s="694">
        <f t="shared" si="241"/>
        <v>0</v>
      </c>
      <c r="Z1852" s="690"/>
      <c r="AA1852" s="690"/>
      <c r="AB1852" s="695">
        <f t="shared" si="242"/>
        <v>0</v>
      </c>
      <c r="AC1852" s="1035"/>
      <c r="AD1852" s="690"/>
      <c r="AE1852" s="1025"/>
      <c r="AF1852" s="1030"/>
      <c r="AG1852" s="690"/>
      <c r="AH1852" s="690"/>
      <c r="AI1852" s="696">
        <f t="shared" si="243"/>
        <v>0</v>
      </c>
      <c r="AJ1852" s="697">
        <f t="shared" si="244"/>
        <v>0</v>
      </c>
    </row>
    <row r="1853" spans="1:36" s="700" customFormat="1" ht="12.75" customHeight="1">
      <c r="A1853" s="908" t="s">
        <v>213</v>
      </c>
      <c r="B1853" s="908" t="s">
        <v>379</v>
      </c>
      <c r="C1853" s="920" t="s">
        <v>377</v>
      </c>
      <c r="D1853" s="920"/>
      <c r="E1853" s="916"/>
      <c r="F1853" s="917"/>
      <c r="G1853" s="1025"/>
      <c r="H1853" s="690"/>
      <c r="I1853" s="1030"/>
      <c r="J1853" s="690"/>
      <c r="K1853" s="1030"/>
      <c r="L1853" s="690"/>
      <c r="M1853" s="1025"/>
      <c r="N1853" s="1030"/>
      <c r="O1853" s="692">
        <f t="shared" si="237"/>
        <v>0</v>
      </c>
      <c r="P1853" s="690"/>
      <c r="Q1853" s="690"/>
      <c r="R1853" s="691">
        <f t="shared" si="238"/>
        <v>0</v>
      </c>
      <c r="S1853" s="692">
        <f t="shared" si="239"/>
        <v>0</v>
      </c>
      <c r="T1853" s="693">
        <f t="shared" si="240"/>
        <v>0</v>
      </c>
      <c r="U1853" s="1035"/>
      <c r="V1853" s="690"/>
      <c r="W1853" s="1025"/>
      <c r="X1853" s="1030"/>
      <c r="Y1853" s="694">
        <f t="shared" si="241"/>
        <v>0</v>
      </c>
      <c r="Z1853" s="690"/>
      <c r="AA1853" s="690"/>
      <c r="AB1853" s="695">
        <f t="shared" si="242"/>
        <v>0</v>
      </c>
      <c r="AC1853" s="1035"/>
      <c r="AD1853" s="690"/>
      <c r="AE1853" s="1025"/>
      <c r="AF1853" s="1030"/>
      <c r="AG1853" s="690"/>
      <c r="AH1853" s="690"/>
      <c r="AI1853" s="696">
        <f t="shared" si="243"/>
        <v>0</v>
      </c>
      <c r="AJ1853" s="697">
        <f t="shared" si="244"/>
        <v>0</v>
      </c>
    </row>
    <row r="1854" spans="1:36" s="700" customFormat="1" ht="12.75" customHeight="1">
      <c r="A1854" s="908" t="s">
        <v>213</v>
      </c>
      <c r="B1854" s="908" t="s">
        <v>279</v>
      </c>
      <c r="C1854" s="920" t="s">
        <v>54</v>
      </c>
      <c r="D1854" s="920"/>
      <c r="E1854" s="916"/>
      <c r="F1854" s="917"/>
      <c r="G1854" s="1025"/>
      <c r="H1854" s="690"/>
      <c r="I1854" s="1030"/>
      <c r="J1854" s="690"/>
      <c r="K1854" s="1030"/>
      <c r="L1854" s="690"/>
      <c r="M1854" s="1025"/>
      <c r="N1854" s="1030"/>
      <c r="O1854" s="692">
        <f t="shared" si="237"/>
        <v>0</v>
      </c>
      <c r="P1854" s="690"/>
      <c r="Q1854" s="690"/>
      <c r="R1854" s="691">
        <f t="shared" si="238"/>
        <v>0</v>
      </c>
      <c r="S1854" s="692">
        <f t="shared" si="239"/>
        <v>0</v>
      </c>
      <c r="T1854" s="693">
        <f t="shared" si="240"/>
        <v>0</v>
      </c>
      <c r="U1854" s="1035"/>
      <c r="V1854" s="690"/>
      <c r="W1854" s="1025"/>
      <c r="X1854" s="1030"/>
      <c r="Y1854" s="694">
        <f t="shared" si="241"/>
        <v>0</v>
      </c>
      <c r="Z1854" s="690"/>
      <c r="AA1854" s="690"/>
      <c r="AB1854" s="695">
        <f t="shared" si="242"/>
        <v>0</v>
      </c>
      <c r="AC1854" s="1035"/>
      <c r="AD1854" s="690"/>
      <c r="AE1854" s="1025"/>
      <c r="AF1854" s="1030"/>
      <c r="AG1854" s="690"/>
      <c r="AH1854" s="690"/>
      <c r="AI1854" s="696">
        <f t="shared" si="243"/>
        <v>0</v>
      </c>
      <c r="AJ1854" s="697">
        <f t="shared" si="244"/>
        <v>0</v>
      </c>
    </row>
    <row r="1855" spans="1:36" s="700" customFormat="1" ht="12.75" customHeight="1">
      <c r="A1855" s="908" t="s">
        <v>213</v>
      </c>
      <c r="B1855" s="908" t="s">
        <v>317</v>
      </c>
      <c r="C1855" s="920" t="s">
        <v>443</v>
      </c>
      <c r="D1855" s="920"/>
      <c r="E1855" s="916"/>
      <c r="F1855" s="917"/>
      <c r="G1855" s="1025"/>
      <c r="H1855" s="690"/>
      <c r="I1855" s="1030"/>
      <c r="J1855" s="690"/>
      <c r="K1855" s="1030"/>
      <c r="L1855" s="690"/>
      <c r="M1855" s="1025"/>
      <c r="N1855" s="1030"/>
      <c r="O1855" s="692">
        <f t="shared" si="237"/>
        <v>0</v>
      </c>
      <c r="P1855" s="690"/>
      <c r="Q1855" s="690"/>
      <c r="R1855" s="691">
        <f t="shared" si="238"/>
        <v>0</v>
      </c>
      <c r="S1855" s="692">
        <f t="shared" si="239"/>
        <v>0</v>
      </c>
      <c r="T1855" s="693">
        <f t="shared" si="240"/>
        <v>0</v>
      </c>
      <c r="U1855" s="1035"/>
      <c r="V1855" s="690"/>
      <c r="W1855" s="1025"/>
      <c r="X1855" s="1030"/>
      <c r="Y1855" s="694">
        <f t="shared" si="241"/>
        <v>0</v>
      </c>
      <c r="Z1855" s="690"/>
      <c r="AA1855" s="690"/>
      <c r="AB1855" s="695">
        <f t="shared" si="242"/>
        <v>0</v>
      </c>
      <c r="AC1855" s="1035"/>
      <c r="AD1855" s="690"/>
      <c r="AE1855" s="1025"/>
      <c r="AF1855" s="1030"/>
      <c r="AG1855" s="690"/>
      <c r="AH1855" s="690"/>
      <c r="AI1855" s="696">
        <f t="shared" si="243"/>
        <v>0</v>
      </c>
      <c r="AJ1855" s="697">
        <f t="shared" si="244"/>
        <v>0</v>
      </c>
    </row>
    <row r="1856" spans="1:36" s="700" customFormat="1" ht="12.75" customHeight="1">
      <c r="A1856" s="908" t="s">
        <v>213</v>
      </c>
      <c r="B1856" s="908" t="s">
        <v>379</v>
      </c>
      <c r="C1856" s="920" t="s">
        <v>377</v>
      </c>
      <c r="D1856" s="920"/>
      <c r="E1856" s="916"/>
      <c r="F1856" s="917"/>
      <c r="G1856" s="1025"/>
      <c r="H1856" s="690"/>
      <c r="I1856" s="1030"/>
      <c r="J1856" s="690"/>
      <c r="K1856" s="1030"/>
      <c r="L1856" s="690"/>
      <c r="M1856" s="1025"/>
      <c r="N1856" s="1030"/>
      <c r="O1856" s="692">
        <f t="shared" si="237"/>
        <v>0</v>
      </c>
      <c r="P1856" s="690"/>
      <c r="Q1856" s="690"/>
      <c r="R1856" s="691">
        <f t="shared" si="238"/>
        <v>0</v>
      </c>
      <c r="S1856" s="692">
        <f t="shared" si="239"/>
        <v>0</v>
      </c>
      <c r="T1856" s="693">
        <f t="shared" si="240"/>
        <v>0</v>
      </c>
      <c r="U1856" s="1035"/>
      <c r="V1856" s="690"/>
      <c r="W1856" s="1025"/>
      <c r="X1856" s="1030"/>
      <c r="Y1856" s="694">
        <f t="shared" si="241"/>
        <v>0</v>
      </c>
      <c r="Z1856" s="690"/>
      <c r="AA1856" s="690"/>
      <c r="AB1856" s="695">
        <f t="shared" si="242"/>
        <v>0</v>
      </c>
      <c r="AC1856" s="1035"/>
      <c r="AD1856" s="690"/>
      <c r="AE1856" s="1025"/>
      <c r="AF1856" s="1030"/>
      <c r="AG1856" s="690"/>
      <c r="AH1856" s="690"/>
      <c r="AI1856" s="696">
        <f t="shared" si="243"/>
        <v>0</v>
      </c>
      <c r="AJ1856" s="697">
        <f t="shared" si="244"/>
        <v>0</v>
      </c>
    </row>
    <row r="1857" spans="1:36" s="700" customFormat="1" ht="12.75" customHeight="1">
      <c r="A1857" s="908" t="s">
        <v>213</v>
      </c>
      <c r="B1857" s="908" t="s">
        <v>420</v>
      </c>
      <c r="C1857" s="919" t="s">
        <v>1233</v>
      </c>
      <c r="D1857" s="919"/>
      <c r="E1857" s="916"/>
      <c r="F1857" s="917"/>
      <c r="G1857" s="1025"/>
      <c r="H1857" s="690"/>
      <c r="I1857" s="1030"/>
      <c r="J1857" s="690"/>
      <c r="K1857" s="1030"/>
      <c r="L1857" s="690"/>
      <c r="M1857" s="1025"/>
      <c r="N1857" s="1030"/>
      <c r="O1857" s="692">
        <f t="shared" si="237"/>
        <v>0</v>
      </c>
      <c r="P1857" s="690"/>
      <c r="Q1857" s="690"/>
      <c r="R1857" s="691">
        <f t="shared" si="238"/>
        <v>0</v>
      </c>
      <c r="S1857" s="692">
        <f t="shared" si="239"/>
        <v>0</v>
      </c>
      <c r="T1857" s="693">
        <f t="shared" si="240"/>
        <v>0</v>
      </c>
      <c r="U1857" s="1035"/>
      <c r="V1857" s="690"/>
      <c r="W1857" s="1025"/>
      <c r="X1857" s="1030"/>
      <c r="Y1857" s="694">
        <f t="shared" si="241"/>
        <v>0</v>
      </c>
      <c r="Z1857" s="690"/>
      <c r="AA1857" s="690"/>
      <c r="AB1857" s="695">
        <f t="shared" si="242"/>
        <v>0</v>
      </c>
      <c r="AC1857" s="1035"/>
      <c r="AD1857" s="690"/>
      <c r="AE1857" s="1025"/>
      <c r="AF1857" s="1030"/>
      <c r="AG1857" s="690"/>
      <c r="AH1857" s="690"/>
      <c r="AI1857" s="696">
        <f t="shared" si="243"/>
        <v>0</v>
      </c>
      <c r="AJ1857" s="697">
        <f t="shared" si="244"/>
        <v>0</v>
      </c>
    </row>
    <row r="1858" spans="1:36" s="700" customFormat="1" ht="12.75" customHeight="1">
      <c r="A1858" s="908" t="s">
        <v>213</v>
      </c>
      <c r="B1858" s="908" t="s">
        <v>442</v>
      </c>
      <c r="C1858" s="920" t="s">
        <v>443</v>
      </c>
      <c r="D1858" s="920"/>
      <c r="E1858" s="916"/>
      <c r="F1858" s="917"/>
      <c r="G1858" s="1025"/>
      <c r="H1858" s="690"/>
      <c r="I1858" s="1030"/>
      <c r="J1858" s="690"/>
      <c r="K1858" s="1030"/>
      <c r="L1858" s="690"/>
      <c r="M1858" s="1025"/>
      <c r="N1858" s="1030"/>
      <c r="O1858" s="692">
        <f t="shared" si="237"/>
        <v>0</v>
      </c>
      <c r="P1858" s="690"/>
      <c r="Q1858" s="690"/>
      <c r="R1858" s="691">
        <f t="shared" si="238"/>
        <v>0</v>
      </c>
      <c r="S1858" s="692">
        <f t="shared" si="239"/>
        <v>0</v>
      </c>
      <c r="T1858" s="693">
        <f t="shared" si="240"/>
        <v>0</v>
      </c>
      <c r="U1858" s="1035">
        <v>67756</v>
      </c>
      <c r="V1858" s="690">
        <v>67756</v>
      </c>
      <c r="W1858" s="1025"/>
      <c r="X1858" s="1030"/>
      <c r="Y1858" s="694">
        <f t="shared" si="241"/>
        <v>0</v>
      </c>
      <c r="Z1858" s="690"/>
      <c r="AA1858" s="690"/>
      <c r="AB1858" s="695">
        <f t="shared" si="242"/>
        <v>0</v>
      </c>
      <c r="AC1858" s="1035"/>
      <c r="AD1858" s="690"/>
      <c r="AE1858" s="1025"/>
      <c r="AF1858" s="1030"/>
      <c r="AG1858" s="690"/>
      <c r="AH1858" s="690"/>
      <c r="AI1858" s="696">
        <f t="shared" si="243"/>
        <v>67756</v>
      </c>
      <c r="AJ1858" s="697">
        <f t="shared" si="244"/>
        <v>67756</v>
      </c>
    </row>
    <row r="1859" spans="1:36" s="700" customFormat="1" ht="12.75" customHeight="1">
      <c r="A1859" s="908" t="s">
        <v>213</v>
      </c>
      <c r="B1859" s="908" t="s">
        <v>379</v>
      </c>
      <c r="C1859" s="920" t="s">
        <v>377</v>
      </c>
      <c r="D1859" s="920"/>
      <c r="E1859" s="916"/>
      <c r="F1859" s="917"/>
      <c r="G1859" s="1025"/>
      <c r="H1859" s="690"/>
      <c r="I1859" s="1030"/>
      <c r="J1859" s="690"/>
      <c r="K1859" s="1030"/>
      <c r="L1859" s="690"/>
      <c r="M1859" s="1025"/>
      <c r="N1859" s="1030"/>
      <c r="O1859" s="692">
        <f t="shared" si="237"/>
        <v>0</v>
      </c>
      <c r="P1859" s="690"/>
      <c r="Q1859" s="690"/>
      <c r="R1859" s="691">
        <f t="shared" si="238"/>
        <v>0</v>
      </c>
      <c r="S1859" s="692">
        <f t="shared" si="239"/>
        <v>0</v>
      </c>
      <c r="T1859" s="693">
        <f t="shared" si="240"/>
        <v>0</v>
      </c>
      <c r="U1859" s="1035"/>
      <c r="V1859" s="690"/>
      <c r="W1859" s="1025"/>
      <c r="X1859" s="1030"/>
      <c r="Y1859" s="694">
        <f t="shared" si="241"/>
        <v>0</v>
      </c>
      <c r="Z1859" s="690"/>
      <c r="AA1859" s="690"/>
      <c r="AB1859" s="695">
        <f t="shared" si="242"/>
        <v>0</v>
      </c>
      <c r="AC1859" s="1035"/>
      <c r="AD1859" s="690"/>
      <c r="AE1859" s="1025"/>
      <c r="AF1859" s="1030"/>
      <c r="AG1859" s="690"/>
      <c r="AH1859" s="690"/>
      <c r="AI1859" s="696">
        <f t="shared" si="243"/>
        <v>0</v>
      </c>
      <c r="AJ1859" s="697">
        <f t="shared" si="244"/>
        <v>0</v>
      </c>
    </row>
    <row r="1860" spans="1:36" s="700" customFormat="1" ht="12.75" customHeight="1">
      <c r="A1860" s="908" t="s">
        <v>213</v>
      </c>
      <c r="B1860" s="908" t="s">
        <v>295</v>
      </c>
      <c r="C1860" s="920" t="s">
        <v>53</v>
      </c>
      <c r="D1860" s="920"/>
      <c r="E1860" s="916"/>
      <c r="F1860" s="917"/>
      <c r="G1860" s="1025"/>
      <c r="H1860" s="690"/>
      <c r="I1860" s="1030"/>
      <c r="J1860" s="690"/>
      <c r="K1860" s="1030"/>
      <c r="L1860" s="690"/>
      <c r="M1860" s="1025"/>
      <c r="N1860" s="1030"/>
      <c r="O1860" s="692">
        <f t="shared" si="237"/>
        <v>0</v>
      </c>
      <c r="P1860" s="690"/>
      <c r="Q1860" s="690"/>
      <c r="R1860" s="691">
        <f t="shared" si="238"/>
        <v>0</v>
      </c>
      <c r="S1860" s="692">
        <f t="shared" si="239"/>
        <v>0</v>
      </c>
      <c r="T1860" s="693">
        <f t="shared" si="240"/>
        <v>0</v>
      </c>
      <c r="U1860" s="1035"/>
      <c r="V1860" s="690"/>
      <c r="W1860" s="1025"/>
      <c r="X1860" s="1030"/>
      <c r="Y1860" s="694">
        <f t="shared" si="241"/>
        <v>0</v>
      </c>
      <c r="Z1860" s="690"/>
      <c r="AA1860" s="690"/>
      <c r="AB1860" s="695">
        <f t="shared" si="242"/>
        <v>0</v>
      </c>
      <c r="AC1860" s="1035"/>
      <c r="AD1860" s="690"/>
      <c r="AE1860" s="1025"/>
      <c r="AF1860" s="1030"/>
      <c r="AG1860" s="690"/>
      <c r="AH1860" s="690"/>
      <c r="AI1860" s="696">
        <f t="shared" si="243"/>
        <v>0</v>
      </c>
      <c r="AJ1860" s="697">
        <f t="shared" si="244"/>
        <v>0</v>
      </c>
    </row>
    <row r="1861" spans="1:36" s="700" customFormat="1" ht="12.75" customHeight="1">
      <c r="A1861" s="908" t="s">
        <v>213</v>
      </c>
      <c r="B1861" s="908" t="s">
        <v>296</v>
      </c>
      <c r="C1861" s="920" t="s">
        <v>443</v>
      </c>
      <c r="D1861" s="920"/>
      <c r="E1861" s="916"/>
      <c r="F1861" s="917"/>
      <c r="G1861" s="1025"/>
      <c r="H1861" s="690"/>
      <c r="I1861" s="1030"/>
      <c r="J1861" s="690"/>
      <c r="K1861" s="1030"/>
      <c r="L1861" s="690"/>
      <c r="M1861" s="1025"/>
      <c r="N1861" s="1030"/>
      <c r="O1861" s="692">
        <f t="shared" si="237"/>
        <v>0</v>
      </c>
      <c r="P1861" s="690"/>
      <c r="Q1861" s="690"/>
      <c r="R1861" s="691">
        <f t="shared" si="238"/>
        <v>0</v>
      </c>
      <c r="S1861" s="692">
        <f t="shared" si="239"/>
        <v>0</v>
      </c>
      <c r="T1861" s="693">
        <f t="shared" si="240"/>
        <v>0</v>
      </c>
      <c r="U1861" s="1035"/>
      <c r="V1861" s="690"/>
      <c r="W1861" s="1025"/>
      <c r="X1861" s="1030"/>
      <c r="Y1861" s="694">
        <f t="shared" si="241"/>
        <v>0</v>
      </c>
      <c r="Z1861" s="690"/>
      <c r="AA1861" s="690"/>
      <c r="AB1861" s="695">
        <f t="shared" si="242"/>
        <v>0</v>
      </c>
      <c r="AC1861" s="1035"/>
      <c r="AD1861" s="690"/>
      <c r="AE1861" s="1025"/>
      <c r="AF1861" s="1030"/>
      <c r="AG1861" s="690"/>
      <c r="AH1861" s="690"/>
      <c r="AI1861" s="696">
        <f t="shared" si="243"/>
        <v>0</v>
      </c>
      <c r="AJ1861" s="697">
        <f t="shared" si="244"/>
        <v>0</v>
      </c>
    </row>
    <row r="1862" spans="1:36" s="700" customFormat="1" ht="12.75" customHeight="1">
      <c r="A1862" s="908" t="s">
        <v>213</v>
      </c>
      <c r="B1862" s="908" t="s">
        <v>379</v>
      </c>
      <c r="C1862" s="920" t="s">
        <v>377</v>
      </c>
      <c r="D1862" s="920"/>
      <c r="E1862" s="916"/>
      <c r="F1862" s="917"/>
      <c r="G1862" s="1025"/>
      <c r="H1862" s="690"/>
      <c r="I1862" s="1030"/>
      <c r="J1862" s="690"/>
      <c r="K1862" s="1030"/>
      <c r="L1862" s="690"/>
      <c r="M1862" s="1025"/>
      <c r="N1862" s="1030"/>
      <c r="O1862" s="692">
        <f t="shared" si="237"/>
        <v>0</v>
      </c>
      <c r="P1862" s="690"/>
      <c r="Q1862" s="690"/>
      <c r="R1862" s="691">
        <f t="shared" si="238"/>
        <v>0</v>
      </c>
      <c r="S1862" s="692">
        <f t="shared" si="239"/>
        <v>0</v>
      </c>
      <c r="T1862" s="693">
        <f t="shared" si="240"/>
        <v>0</v>
      </c>
      <c r="U1862" s="1035"/>
      <c r="V1862" s="690"/>
      <c r="W1862" s="1025"/>
      <c r="X1862" s="1030"/>
      <c r="Y1862" s="694">
        <f t="shared" si="241"/>
        <v>0</v>
      </c>
      <c r="Z1862" s="690"/>
      <c r="AA1862" s="690"/>
      <c r="AB1862" s="695">
        <f t="shared" si="242"/>
        <v>0</v>
      </c>
      <c r="AC1862" s="1035"/>
      <c r="AD1862" s="690"/>
      <c r="AE1862" s="1025"/>
      <c r="AF1862" s="1030"/>
      <c r="AG1862" s="690"/>
      <c r="AH1862" s="690"/>
      <c r="AI1862" s="696">
        <f t="shared" si="243"/>
        <v>0</v>
      </c>
      <c r="AJ1862" s="697">
        <f t="shared" si="244"/>
        <v>0</v>
      </c>
    </row>
    <row r="1863" spans="1:36" s="700" customFormat="1" ht="12.75" customHeight="1">
      <c r="A1863" s="908" t="s">
        <v>213</v>
      </c>
      <c r="B1863" s="908" t="s">
        <v>279</v>
      </c>
      <c r="C1863" s="920" t="s">
        <v>54</v>
      </c>
      <c r="D1863" s="920"/>
      <c r="E1863" s="916"/>
      <c r="F1863" s="917"/>
      <c r="G1863" s="1025"/>
      <c r="H1863" s="690"/>
      <c r="I1863" s="1030"/>
      <c r="J1863" s="690"/>
      <c r="K1863" s="1030"/>
      <c r="L1863" s="690"/>
      <c r="M1863" s="1025"/>
      <c r="N1863" s="1030"/>
      <c r="O1863" s="692">
        <f t="shared" si="237"/>
        <v>0</v>
      </c>
      <c r="P1863" s="690"/>
      <c r="Q1863" s="690"/>
      <c r="R1863" s="691">
        <f t="shared" si="238"/>
        <v>0</v>
      </c>
      <c r="S1863" s="692">
        <f t="shared" si="239"/>
        <v>0</v>
      </c>
      <c r="T1863" s="693">
        <f t="shared" si="240"/>
        <v>0</v>
      </c>
      <c r="U1863" s="1035"/>
      <c r="V1863" s="690"/>
      <c r="W1863" s="1025"/>
      <c r="X1863" s="1030"/>
      <c r="Y1863" s="694">
        <f t="shared" si="241"/>
        <v>0</v>
      </c>
      <c r="Z1863" s="690"/>
      <c r="AA1863" s="690"/>
      <c r="AB1863" s="695">
        <f t="shared" si="242"/>
        <v>0</v>
      </c>
      <c r="AC1863" s="1035"/>
      <c r="AD1863" s="690"/>
      <c r="AE1863" s="1025"/>
      <c r="AF1863" s="1030"/>
      <c r="AG1863" s="690"/>
      <c r="AH1863" s="690"/>
      <c r="AI1863" s="696">
        <f t="shared" si="243"/>
        <v>0</v>
      </c>
      <c r="AJ1863" s="697">
        <f t="shared" si="244"/>
        <v>0</v>
      </c>
    </row>
    <row r="1864" spans="1:36" s="700" customFormat="1" ht="12.75" customHeight="1">
      <c r="A1864" s="908" t="s">
        <v>213</v>
      </c>
      <c r="B1864" s="908" t="s">
        <v>317</v>
      </c>
      <c r="C1864" s="920" t="s">
        <v>443</v>
      </c>
      <c r="D1864" s="920"/>
      <c r="E1864" s="916"/>
      <c r="F1864" s="917"/>
      <c r="G1864" s="1025"/>
      <c r="H1864" s="690"/>
      <c r="I1864" s="1030"/>
      <c r="J1864" s="690"/>
      <c r="K1864" s="1030"/>
      <c r="L1864" s="690"/>
      <c r="M1864" s="1025"/>
      <c r="N1864" s="1030"/>
      <c r="O1864" s="692">
        <f t="shared" si="237"/>
        <v>0</v>
      </c>
      <c r="P1864" s="690"/>
      <c r="Q1864" s="690"/>
      <c r="R1864" s="691">
        <f t="shared" si="238"/>
        <v>0</v>
      </c>
      <c r="S1864" s="692">
        <f t="shared" si="239"/>
        <v>0</v>
      </c>
      <c r="T1864" s="693">
        <f t="shared" si="240"/>
        <v>0</v>
      </c>
      <c r="U1864" s="1035"/>
      <c r="V1864" s="690"/>
      <c r="W1864" s="1025"/>
      <c r="X1864" s="1030"/>
      <c r="Y1864" s="694">
        <f t="shared" si="241"/>
        <v>0</v>
      </c>
      <c r="Z1864" s="690"/>
      <c r="AA1864" s="690"/>
      <c r="AB1864" s="695">
        <f t="shared" si="242"/>
        <v>0</v>
      </c>
      <c r="AC1864" s="1035"/>
      <c r="AD1864" s="690"/>
      <c r="AE1864" s="1025"/>
      <c r="AF1864" s="1030"/>
      <c r="AG1864" s="690"/>
      <c r="AH1864" s="690"/>
      <c r="AI1864" s="696">
        <f t="shared" si="243"/>
        <v>0</v>
      </c>
      <c r="AJ1864" s="697">
        <f t="shared" si="244"/>
        <v>0</v>
      </c>
    </row>
    <row r="1865" spans="1:36" s="700" customFormat="1" ht="12.75" customHeight="1">
      <c r="A1865" s="908" t="s">
        <v>213</v>
      </c>
      <c r="B1865" s="908" t="s">
        <v>379</v>
      </c>
      <c r="C1865" s="920" t="s">
        <v>377</v>
      </c>
      <c r="D1865" s="920"/>
      <c r="E1865" s="916"/>
      <c r="F1865" s="917"/>
      <c r="G1865" s="1025"/>
      <c r="H1865" s="690"/>
      <c r="I1865" s="1030"/>
      <c r="J1865" s="690"/>
      <c r="K1865" s="1030"/>
      <c r="L1865" s="690"/>
      <c r="M1865" s="1025"/>
      <c r="N1865" s="1030"/>
      <c r="O1865" s="692">
        <f t="shared" si="237"/>
        <v>0</v>
      </c>
      <c r="P1865" s="690"/>
      <c r="Q1865" s="690"/>
      <c r="R1865" s="691">
        <f t="shared" si="238"/>
        <v>0</v>
      </c>
      <c r="S1865" s="692">
        <f t="shared" si="239"/>
        <v>0</v>
      </c>
      <c r="T1865" s="693">
        <f t="shared" si="240"/>
        <v>0</v>
      </c>
      <c r="U1865" s="1035"/>
      <c r="V1865" s="690"/>
      <c r="W1865" s="1025"/>
      <c r="X1865" s="1030"/>
      <c r="Y1865" s="694">
        <f t="shared" si="241"/>
        <v>0</v>
      </c>
      <c r="Z1865" s="690"/>
      <c r="AA1865" s="690"/>
      <c r="AB1865" s="695">
        <f t="shared" si="242"/>
        <v>0</v>
      </c>
      <c r="AC1865" s="1035"/>
      <c r="AD1865" s="690"/>
      <c r="AE1865" s="1025"/>
      <c r="AF1865" s="1030"/>
      <c r="AG1865" s="690"/>
      <c r="AH1865" s="690"/>
      <c r="AI1865" s="696">
        <f t="shared" si="243"/>
        <v>0</v>
      </c>
      <c r="AJ1865" s="697">
        <f t="shared" si="244"/>
        <v>0</v>
      </c>
    </row>
    <row r="1866" spans="1:36" s="700" customFormat="1" ht="12.75" customHeight="1">
      <c r="A1866" s="922" t="s">
        <v>213</v>
      </c>
      <c r="B1866" s="922" t="s">
        <v>420</v>
      </c>
      <c r="C1866" s="923" t="s">
        <v>1234</v>
      </c>
      <c r="D1866" s="923"/>
      <c r="E1866" s="924"/>
      <c r="F1866" s="925"/>
      <c r="G1866" s="1025"/>
      <c r="H1866" s="690"/>
      <c r="I1866" s="1030"/>
      <c r="J1866" s="690"/>
      <c r="K1866" s="1030"/>
      <c r="L1866" s="690"/>
      <c r="M1866" s="1025"/>
      <c r="N1866" s="1030"/>
      <c r="O1866" s="692">
        <f t="shared" ref="O1866:O1929" si="245">SUM(M1866:N1866)</f>
        <v>0</v>
      </c>
      <c r="P1866" s="690"/>
      <c r="Q1866" s="690"/>
      <c r="R1866" s="691">
        <f t="shared" ref="R1866:R1929" si="246">SUM(P1866:Q1866)</f>
        <v>0</v>
      </c>
      <c r="S1866" s="692">
        <f t="shared" ref="S1866:S1929" si="247">SUM(G1866,I1866,K1866,M1866)</f>
        <v>0</v>
      </c>
      <c r="T1866" s="693">
        <f t="shared" ref="T1866:T1929" si="248">SUM(H1866,J1866,L1866,P1866)</f>
        <v>0</v>
      </c>
      <c r="U1866" s="1035"/>
      <c r="V1866" s="690"/>
      <c r="W1866" s="1025"/>
      <c r="X1866" s="1030"/>
      <c r="Y1866" s="694">
        <f t="shared" ref="Y1866:Y1929" si="249">SUM(W1866:X1866)</f>
        <v>0</v>
      </c>
      <c r="Z1866" s="690"/>
      <c r="AA1866" s="690"/>
      <c r="AB1866" s="695">
        <f t="shared" ref="AB1866:AB1929" si="250">SUM(Z1866:AA1866)</f>
        <v>0</v>
      </c>
      <c r="AC1866" s="1035"/>
      <c r="AD1866" s="690"/>
      <c r="AE1866" s="1025"/>
      <c r="AF1866" s="1030"/>
      <c r="AG1866" s="690"/>
      <c r="AH1866" s="690"/>
      <c r="AI1866" s="696">
        <f t="shared" ref="AI1866:AI1929" si="251">SUM(S1866,U1866,W1866,AC1866,AE1866)</f>
        <v>0</v>
      </c>
      <c r="AJ1866" s="697">
        <f t="shared" ref="AJ1866:AJ1929" si="252">SUM(T1866,V1866,Z1866,AD1866,AG1866)</f>
        <v>0</v>
      </c>
    </row>
    <row r="1867" spans="1:36" s="700" customFormat="1" ht="12.75" customHeight="1">
      <c r="A1867" s="922" t="s">
        <v>213</v>
      </c>
      <c r="B1867" s="922" t="s">
        <v>442</v>
      </c>
      <c r="C1867" s="926" t="s">
        <v>443</v>
      </c>
      <c r="D1867" s="926"/>
      <c r="E1867" s="924"/>
      <c r="F1867" s="925"/>
      <c r="G1867" s="1025"/>
      <c r="H1867" s="690"/>
      <c r="I1867" s="1030"/>
      <c r="J1867" s="690"/>
      <c r="K1867" s="1030"/>
      <c r="L1867" s="690"/>
      <c r="M1867" s="1025"/>
      <c r="N1867" s="1030"/>
      <c r="O1867" s="692">
        <f t="shared" si="245"/>
        <v>0</v>
      </c>
      <c r="P1867" s="690"/>
      <c r="Q1867" s="690"/>
      <c r="R1867" s="691">
        <f t="shared" si="246"/>
        <v>0</v>
      </c>
      <c r="S1867" s="692">
        <f t="shared" si="247"/>
        <v>0</v>
      </c>
      <c r="T1867" s="693">
        <f t="shared" si="248"/>
        <v>0</v>
      </c>
      <c r="U1867" s="1035"/>
      <c r="V1867" s="690"/>
      <c r="W1867" s="1025"/>
      <c r="X1867" s="1030"/>
      <c r="Y1867" s="694">
        <f t="shared" si="249"/>
        <v>0</v>
      </c>
      <c r="Z1867" s="690"/>
      <c r="AA1867" s="690"/>
      <c r="AB1867" s="695">
        <f t="shared" si="250"/>
        <v>0</v>
      </c>
      <c r="AC1867" s="1035"/>
      <c r="AD1867" s="690"/>
      <c r="AE1867" s="1025"/>
      <c r="AF1867" s="1030"/>
      <c r="AG1867" s="690"/>
      <c r="AH1867" s="690"/>
      <c r="AI1867" s="696">
        <f t="shared" si="251"/>
        <v>0</v>
      </c>
      <c r="AJ1867" s="697">
        <f t="shared" si="252"/>
        <v>0</v>
      </c>
    </row>
    <row r="1868" spans="1:36" s="700" customFormat="1" ht="12.75" customHeight="1">
      <c r="A1868" s="922" t="s">
        <v>213</v>
      </c>
      <c r="B1868" s="922" t="s">
        <v>379</v>
      </c>
      <c r="C1868" s="926" t="s">
        <v>377</v>
      </c>
      <c r="D1868" s="926"/>
      <c r="E1868" s="924"/>
      <c r="F1868" s="925"/>
      <c r="G1868" s="1025"/>
      <c r="H1868" s="690"/>
      <c r="I1868" s="1030"/>
      <c r="J1868" s="690"/>
      <c r="K1868" s="1030"/>
      <c r="L1868" s="690"/>
      <c r="M1868" s="1025"/>
      <c r="N1868" s="1030"/>
      <c r="O1868" s="692">
        <f t="shared" si="245"/>
        <v>0</v>
      </c>
      <c r="P1868" s="690"/>
      <c r="Q1868" s="690"/>
      <c r="R1868" s="691">
        <f t="shared" si="246"/>
        <v>0</v>
      </c>
      <c r="S1868" s="692">
        <f t="shared" si="247"/>
        <v>0</v>
      </c>
      <c r="T1868" s="693">
        <f t="shared" si="248"/>
        <v>0</v>
      </c>
      <c r="U1868" s="1035">
        <v>2400000</v>
      </c>
      <c r="V1868" s="818">
        <v>2400000</v>
      </c>
      <c r="W1868" s="1025"/>
      <c r="X1868" s="1030"/>
      <c r="Y1868" s="694">
        <f t="shared" si="249"/>
        <v>0</v>
      </c>
      <c r="Z1868" s="690"/>
      <c r="AA1868" s="690"/>
      <c r="AB1868" s="695">
        <f t="shared" si="250"/>
        <v>0</v>
      </c>
      <c r="AC1868" s="1035"/>
      <c r="AD1868" s="690"/>
      <c r="AE1868" s="1025"/>
      <c r="AF1868" s="1030"/>
      <c r="AG1868" s="690"/>
      <c r="AH1868" s="690"/>
      <c r="AI1868" s="696">
        <f t="shared" si="251"/>
        <v>2400000</v>
      </c>
      <c r="AJ1868" s="697">
        <f t="shared" si="252"/>
        <v>2400000</v>
      </c>
    </row>
    <row r="1869" spans="1:36" s="700" customFormat="1" ht="12.75" customHeight="1">
      <c r="A1869" s="922" t="s">
        <v>213</v>
      </c>
      <c r="B1869" s="922" t="s">
        <v>295</v>
      </c>
      <c r="C1869" s="926" t="s">
        <v>53</v>
      </c>
      <c r="D1869" s="926"/>
      <c r="E1869" s="924"/>
      <c r="F1869" s="925"/>
      <c r="G1869" s="1025"/>
      <c r="H1869" s="690"/>
      <c r="I1869" s="1030"/>
      <c r="J1869" s="690"/>
      <c r="K1869" s="1030"/>
      <c r="L1869" s="690"/>
      <c r="M1869" s="1025"/>
      <c r="N1869" s="1030"/>
      <c r="O1869" s="692">
        <f t="shared" si="245"/>
        <v>0</v>
      </c>
      <c r="P1869" s="690"/>
      <c r="Q1869" s="690"/>
      <c r="R1869" s="691">
        <f t="shared" si="246"/>
        <v>0</v>
      </c>
      <c r="S1869" s="692">
        <f t="shared" si="247"/>
        <v>0</v>
      </c>
      <c r="T1869" s="693">
        <f t="shared" si="248"/>
        <v>0</v>
      </c>
      <c r="U1869" s="1035" t="s">
        <v>131</v>
      </c>
      <c r="V1869" s="690"/>
      <c r="W1869" s="1025"/>
      <c r="X1869" s="1030"/>
      <c r="Y1869" s="694">
        <f t="shared" si="249"/>
        <v>0</v>
      </c>
      <c r="Z1869" s="690"/>
      <c r="AA1869" s="690"/>
      <c r="AB1869" s="695">
        <f t="shared" si="250"/>
        <v>0</v>
      </c>
      <c r="AC1869" s="1035"/>
      <c r="AD1869" s="690"/>
      <c r="AE1869" s="1025"/>
      <c r="AF1869" s="1030"/>
      <c r="AG1869" s="690"/>
      <c r="AH1869" s="690"/>
      <c r="AI1869" s="696">
        <f t="shared" si="251"/>
        <v>0</v>
      </c>
      <c r="AJ1869" s="697">
        <f t="shared" si="252"/>
        <v>0</v>
      </c>
    </row>
    <row r="1870" spans="1:36" s="700" customFormat="1" ht="12.75" customHeight="1">
      <c r="A1870" s="922" t="s">
        <v>213</v>
      </c>
      <c r="B1870" s="922" t="s">
        <v>296</v>
      </c>
      <c r="C1870" s="926" t="s">
        <v>443</v>
      </c>
      <c r="D1870" s="926"/>
      <c r="E1870" s="924"/>
      <c r="F1870" s="925"/>
      <c r="G1870" s="1025"/>
      <c r="H1870" s="690"/>
      <c r="I1870" s="1030"/>
      <c r="J1870" s="690"/>
      <c r="K1870" s="1030"/>
      <c r="L1870" s="690"/>
      <c r="M1870" s="1025"/>
      <c r="N1870" s="1030"/>
      <c r="O1870" s="692">
        <f t="shared" si="245"/>
        <v>0</v>
      </c>
      <c r="P1870" s="690"/>
      <c r="Q1870" s="690"/>
      <c r="R1870" s="691">
        <f t="shared" si="246"/>
        <v>0</v>
      </c>
      <c r="S1870" s="692">
        <f t="shared" si="247"/>
        <v>0</v>
      </c>
      <c r="T1870" s="693">
        <f t="shared" si="248"/>
        <v>0</v>
      </c>
      <c r="U1870" s="1035"/>
      <c r="V1870" s="690"/>
      <c r="W1870" s="1025"/>
      <c r="X1870" s="1030"/>
      <c r="Y1870" s="694">
        <f t="shared" si="249"/>
        <v>0</v>
      </c>
      <c r="Z1870" s="690"/>
      <c r="AA1870" s="690"/>
      <c r="AB1870" s="695">
        <f t="shared" si="250"/>
        <v>0</v>
      </c>
      <c r="AC1870" s="1035"/>
      <c r="AD1870" s="690"/>
      <c r="AE1870" s="1025"/>
      <c r="AF1870" s="1030"/>
      <c r="AG1870" s="690"/>
      <c r="AH1870" s="690"/>
      <c r="AI1870" s="696">
        <f t="shared" si="251"/>
        <v>0</v>
      </c>
      <c r="AJ1870" s="697">
        <f t="shared" si="252"/>
        <v>0</v>
      </c>
    </row>
    <row r="1871" spans="1:36" s="700" customFormat="1" ht="12.75" customHeight="1">
      <c r="A1871" s="922" t="s">
        <v>213</v>
      </c>
      <c r="B1871" s="922" t="s">
        <v>379</v>
      </c>
      <c r="C1871" s="926" t="s">
        <v>377</v>
      </c>
      <c r="D1871" s="926"/>
      <c r="E1871" s="924"/>
      <c r="F1871" s="925"/>
      <c r="G1871" s="1025"/>
      <c r="H1871" s="690"/>
      <c r="I1871" s="1030"/>
      <c r="J1871" s="690"/>
      <c r="K1871" s="1030"/>
      <c r="L1871" s="690"/>
      <c r="M1871" s="1025"/>
      <c r="N1871" s="1030"/>
      <c r="O1871" s="692">
        <f t="shared" si="245"/>
        <v>0</v>
      </c>
      <c r="P1871" s="690"/>
      <c r="Q1871" s="690"/>
      <c r="R1871" s="691">
        <f t="shared" si="246"/>
        <v>0</v>
      </c>
      <c r="S1871" s="692">
        <f t="shared" si="247"/>
        <v>0</v>
      </c>
      <c r="T1871" s="693">
        <f t="shared" si="248"/>
        <v>0</v>
      </c>
      <c r="U1871" s="1035"/>
      <c r="V1871" s="690"/>
      <c r="W1871" s="1025"/>
      <c r="X1871" s="1030"/>
      <c r="Y1871" s="694">
        <f t="shared" si="249"/>
        <v>0</v>
      </c>
      <c r="Z1871" s="690"/>
      <c r="AA1871" s="690"/>
      <c r="AB1871" s="695">
        <f t="shared" si="250"/>
        <v>0</v>
      </c>
      <c r="AC1871" s="1035"/>
      <c r="AD1871" s="690"/>
      <c r="AE1871" s="1025"/>
      <c r="AF1871" s="1030"/>
      <c r="AG1871" s="690"/>
      <c r="AH1871" s="690"/>
      <c r="AI1871" s="696">
        <f t="shared" si="251"/>
        <v>0</v>
      </c>
      <c r="AJ1871" s="697">
        <f t="shared" si="252"/>
        <v>0</v>
      </c>
    </row>
    <row r="1872" spans="1:36" s="700" customFormat="1" ht="12.75" customHeight="1">
      <c r="A1872" s="922" t="s">
        <v>213</v>
      </c>
      <c r="B1872" s="922" t="s">
        <v>279</v>
      </c>
      <c r="C1872" s="926" t="s">
        <v>54</v>
      </c>
      <c r="D1872" s="926"/>
      <c r="E1872" s="924"/>
      <c r="F1872" s="925"/>
      <c r="G1872" s="1025"/>
      <c r="H1872" s="690"/>
      <c r="I1872" s="1030"/>
      <c r="J1872" s="690"/>
      <c r="K1872" s="1030"/>
      <c r="L1872" s="690"/>
      <c r="M1872" s="1025"/>
      <c r="N1872" s="1030"/>
      <c r="O1872" s="692">
        <f t="shared" si="245"/>
        <v>0</v>
      </c>
      <c r="P1872" s="690"/>
      <c r="Q1872" s="690"/>
      <c r="R1872" s="691">
        <f t="shared" si="246"/>
        <v>0</v>
      </c>
      <c r="S1872" s="692">
        <f t="shared" si="247"/>
        <v>0</v>
      </c>
      <c r="T1872" s="693">
        <f t="shared" si="248"/>
        <v>0</v>
      </c>
      <c r="U1872" s="1035"/>
      <c r="V1872" s="690"/>
      <c r="W1872" s="1025"/>
      <c r="X1872" s="1030"/>
      <c r="Y1872" s="694">
        <f t="shared" si="249"/>
        <v>0</v>
      </c>
      <c r="Z1872" s="690"/>
      <c r="AA1872" s="690"/>
      <c r="AB1872" s="695">
        <f t="shared" si="250"/>
        <v>0</v>
      </c>
      <c r="AC1872" s="1035"/>
      <c r="AD1872" s="690"/>
      <c r="AE1872" s="1025"/>
      <c r="AF1872" s="1030"/>
      <c r="AG1872" s="690"/>
      <c r="AH1872" s="690"/>
      <c r="AI1872" s="696">
        <f t="shared" si="251"/>
        <v>0</v>
      </c>
      <c r="AJ1872" s="697">
        <f t="shared" si="252"/>
        <v>0</v>
      </c>
    </row>
    <row r="1873" spans="1:36" s="700" customFormat="1" ht="12.75" customHeight="1">
      <c r="A1873" s="922" t="s">
        <v>213</v>
      </c>
      <c r="B1873" s="922" t="s">
        <v>317</v>
      </c>
      <c r="C1873" s="926" t="s">
        <v>443</v>
      </c>
      <c r="D1873" s="926"/>
      <c r="E1873" s="924"/>
      <c r="F1873" s="925"/>
      <c r="G1873" s="1025"/>
      <c r="H1873" s="690"/>
      <c r="I1873" s="1030"/>
      <c r="J1873" s="690"/>
      <c r="K1873" s="1030"/>
      <c r="L1873" s="690"/>
      <c r="M1873" s="1025"/>
      <c r="N1873" s="1030"/>
      <c r="O1873" s="692">
        <f t="shared" si="245"/>
        <v>0</v>
      </c>
      <c r="P1873" s="690"/>
      <c r="Q1873" s="690"/>
      <c r="R1873" s="691">
        <f t="shared" si="246"/>
        <v>0</v>
      </c>
      <c r="S1873" s="692">
        <f t="shared" si="247"/>
        <v>0</v>
      </c>
      <c r="T1873" s="693">
        <f t="shared" si="248"/>
        <v>0</v>
      </c>
      <c r="U1873" s="1035"/>
      <c r="V1873" s="690"/>
      <c r="W1873" s="1025"/>
      <c r="X1873" s="1030"/>
      <c r="Y1873" s="694">
        <f t="shared" si="249"/>
        <v>0</v>
      </c>
      <c r="Z1873" s="690"/>
      <c r="AA1873" s="690"/>
      <c r="AB1873" s="695">
        <f t="shared" si="250"/>
        <v>0</v>
      </c>
      <c r="AC1873" s="1035"/>
      <c r="AD1873" s="690"/>
      <c r="AE1873" s="1025"/>
      <c r="AF1873" s="1030"/>
      <c r="AG1873" s="690"/>
      <c r="AH1873" s="690"/>
      <c r="AI1873" s="696">
        <f t="shared" si="251"/>
        <v>0</v>
      </c>
      <c r="AJ1873" s="697">
        <f t="shared" si="252"/>
        <v>0</v>
      </c>
    </row>
    <row r="1874" spans="1:36" s="700" customFormat="1" ht="12.75" customHeight="1">
      <c r="A1874" s="922" t="s">
        <v>213</v>
      </c>
      <c r="B1874" s="922" t="s">
        <v>379</v>
      </c>
      <c r="C1874" s="926" t="s">
        <v>377</v>
      </c>
      <c r="D1874" s="926"/>
      <c r="E1874" s="924"/>
      <c r="F1874" s="925"/>
      <c r="G1874" s="1025"/>
      <c r="H1874" s="690"/>
      <c r="I1874" s="1030"/>
      <c r="J1874" s="690"/>
      <c r="K1874" s="1030"/>
      <c r="L1874" s="690"/>
      <c r="M1874" s="1025"/>
      <c r="N1874" s="1030"/>
      <c r="O1874" s="692">
        <f t="shared" si="245"/>
        <v>0</v>
      </c>
      <c r="P1874" s="690"/>
      <c r="Q1874" s="690"/>
      <c r="R1874" s="691">
        <f t="shared" si="246"/>
        <v>0</v>
      </c>
      <c r="S1874" s="692">
        <f t="shared" si="247"/>
        <v>0</v>
      </c>
      <c r="T1874" s="693">
        <f t="shared" si="248"/>
        <v>0</v>
      </c>
      <c r="U1874" s="1035"/>
      <c r="V1874" s="690"/>
      <c r="W1874" s="1025"/>
      <c r="X1874" s="1030"/>
      <c r="Y1874" s="694">
        <f t="shared" si="249"/>
        <v>0</v>
      </c>
      <c r="Z1874" s="690"/>
      <c r="AA1874" s="690"/>
      <c r="AB1874" s="695">
        <f t="shared" si="250"/>
        <v>0</v>
      </c>
      <c r="AC1874" s="1035"/>
      <c r="AD1874" s="690"/>
      <c r="AE1874" s="1025"/>
      <c r="AF1874" s="1030"/>
      <c r="AG1874" s="690"/>
      <c r="AH1874" s="690"/>
      <c r="AI1874" s="696">
        <f t="shared" si="251"/>
        <v>0</v>
      </c>
      <c r="AJ1874" s="697">
        <f t="shared" si="252"/>
        <v>0</v>
      </c>
    </row>
    <row r="1875" spans="1:36" s="700" customFormat="1" ht="12.75" customHeight="1">
      <c r="A1875" s="922" t="s">
        <v>213</v>
      </c>
      <c r="B1875" s="922" t="s">
        <v>420</v>
      </c>
      <c r="C1875" s="923" t="s">
        <v>1235</v>
      </c>
      <c r="D1875" s="923"/>
      <c r="E1875" s="924"/>
      <c r="F1875" s="925"/>
      <c r="G1875" s="1025"/>
      <c r="H1875" s="690"/>
      <c r="I1875" s="1030"/>
      <c r="J1875" s="690"/>
      <c r="K1875" s="1030"/>
      <c r="L1875" s="690"/>
      <c r="M1875" s="1025"/>
      <c r="N1875" s="1030"/>
      <c r="O1875" s="692">
        <f t="shared" si="245"/>
        <v>0</v>
      </c>
      <c r="P1875" s="690"/>
      <c r="Q1875" s="690"/>
      <c r="R1875" s="691">
        <f t="shared" si="246"/>
        <v>0</v>
      </c>
      <c r="S1875" s="692">
        <f t="shared" si="247"/>
        <v>0</v>
      </c>
      <c r="T1875" s="693">
        <f t="shared" si="248"/>
        <v>0</v>
      </c>
      <c r="U1875" s="1035"/>
      <c r="V1875" s="690"/>
      <c r="W1875" s="1025"/>
      <c r="X1875" s="1030"/>
      <c r="Y1875" s="694">
        <f t="shared" si="249"/>
        <v>0</v>
      </c>
      <c r="Z1875" s="690"/>
      <c r="AA1875" s="690"/>
      <c r="AB1875" s="695">
        <f t="shared" si="250"/>
        <v>0</v>
      </c>
      <c r="AC1875" s="1035"/>
      <c r="AD1875" s="690"/>
      <c r="AE1875" s="1025"/>
      <c r="AF1875" s="1030"/>
      <c r="AG1875" s="690"/>
      <c r="AH1875" s="690"/>
      <c r="AI1875" s="696">
        <f t="shared" si="251"/>
        <v>0</v>
      </c>
      <c r="AJ1875" s="697">
        <f t="shared" si="252"/>
        <v>0</v>
      </c>
    </row>
    <row r="1876" spans="1:36" s="700" customFormat="1" ht="12.75" customHeight="1">
      <c r="A1876" s="922" t="s">
        <v>213</v>
      </c>
      <c r="B1876" s="922" t="s">
        <v>442</v>
      </c>
      <c r="C1876" s="926" t="s">
        <v>443</v>
      </c>
      <c r="D1876" s="926"/>
      <c r="E1876" s="924"/>
      <c r="F1876" s="925"/>
      <c r="G1876" s="1025"/>
      <c r="H1876" s="690"/>
      <c r="I1876" s="1030"/>
      <c r="J1876" s="690"/>
      <c r="K1876" s="1030"/>
      <c r="L1876" s="690"/>
      <c r="M1876" s="1025"/>
      <c r="N1876" s="1030"/>
      <c r="O1876" s="692">
        <f t="shared" si="245"/>
        <v>0</v>
      </c>
      <c r="P1876" s="690"/>
      <c r="Q1876" s="690"/>
      <c r="R1876" s="691">
        <f t="shared" si="246"/>
        <v>0</v>
      </c>
      <c r="S1876" s="692">
        <f t="shared" si="247"/>
        <v>0</v>
      </c>
      <c r="T1876" s="693">
        <f t="shared" si="248"/>
        <v>0</v>
      </c>
      <c r="U1876" s="1035"/>
      <c r="V1876" s="690"/>
      <c r="W1876" s="1025"/>
      <c r="X1876" s="1030"/>
      <c r="Y1876" s="694">
        <f t="shared" si="249"/>
        <v>0</v>
      </c>
      <c r="Z1876" s="690"/>
      <c r="AA1876" s="690"/>
      <c r="AB1876" s="695">
        <f t="shared" si="250"/>
        <v>0</v>
      </c>
      <c r="AC1876" s="1035"/>
      <c r="AD1876" s="690"/>
      <c r="AE1876" s="1025"/>
      <c r="AF1876" s="1030"/>
      <c r="AG1876" s="690"/>
      <c r="AH1876" s="690"/>
      <c r="AI1876" s="696">
        <f t="shared" si="251"/>
        <v>0</v>
      </c>
      <c r="AJ1876" s="697">
        <f t="shared" si="252"/>
        <v>0</v>
      </c>
    </row>
    <row r="1877" spans="1:36" s="700" customFormat="1" ht="12.75" customHeight="1">
      <c r="A1877" s="922" t="s">
        <v>213</v>
      </c>
      <c r="B1877" s="922" t="s">
        <v>379</v>
      </c>
      <c r="C1877" s="926" t="s">
        <v>377</v>
      </c>
      <c r="D1877" s="926"/>
      <c r="E1877" s="924"/>
      <c r="F1877" s="925"/>
      <c r="G1877" s="1025"/>
      <c r="H1877" s="690"/>
      <c r="I1877" s="1030"/>
      <c r="J1877" s="690"/>
      <c r="K1877" s="1030"/>
      <c r="L1877" s="690"/>
      <c r="M1877" s="1025"/>
      <c r="N1877" s="1030"/>
      <c r="O1877" s="692">
        <f t="shared" si="245"/>
        <v>0</v>
      </c>
      <c r="P1877" s="690"/>
      <c r="Q1877" s="690"/>
      <c r="R1877" s="691">
        <f t="shared" si="246"/>
        <v>0</v>
      </c>
      <c r="S1877" s="692">
        <f t="shared" si="247"/>
        <v>0</v>
      </c>
      <c r="T1877" s="693">
        <f t="shared" si="248"/>
        <v>0</v>
      </c>
      <c r="U1877" s="1035">
        <v>3252535</v>
      </c>
      <c r="V1877" s="818">
        <v>3252535</v>
      </c>
      <c r="W1877" s="1025"/>
      <c r="X1877" s="1030"/>
      <c r="Y1877" s="694">
        <f t="shared" si="249"/>
        <v>0</v>
      </c>
      <c r="Z1877" s="690"/>
      <c r="AA1877" s="690"/>
      <c r="AB1877" s="695">
        <f t="shared" si="250"/>
        <v>0</v>
      </c>
      <c r="AC1877" s="1035"/>
      <c r="AD1877" s="690"/>
      <c r="AE1877" s="1025"/>
      <c r="AF1877" s="1030"/>
      <c r="AG1877" s="690"/>
      <c r="AH1877" s="690"/>
      <c r="AI1877" s="696">
        <f t="shared" si="251"/>
        <v>3252535</v>
      </c>
      <c r="AJ1877" s="697">
        <f t="shared" si="252"/>
        <v>3252535</v>
      </c>
    </row>
    <row r="1878" spans="1:36" s="700" customFormat="1" ht="12.75" customHeight="1">
      <c r="A1878" s="922" t="s">
        <v>213</v>
      </c>
      <c r="B1878" s="922" t="s">
        <v>295</v>
      </c>
      <c r="C1878" s="926" t="s">
        <v>53</v>
      </c>
      <c r="D1878" s="926"/>
      <c r="E1878" s="924"/>
      <c r="F1878" s="925"/>
      <c r="G1878" s="1025"/>
      <c r="H1878" s="690"/>
      <c r="I1878" s="1030"/>
      <c r="J1878" s="690"/>
      <c r="K1878" s="1030"/>
      <c r="L1878" s="690"/>
      <c r="M1878" s="1025"/>
      <c r="N1878" s="1030"/>
      <c r="O1878" s="692">
        <f t="shared" si="245"/>
        <v>0</v>
      </c>
      <c r="P1878" s="690"/>
      <c r="Q1878" s="690"/>
      <c r="R1878" s="691">
        <f t="shared" si="246"/>
        <v>0</v>
      </c>
      <c r="S1878" s="692">
        <f t="shared" si="247"/>
        <v>0</v>
      </c>
      <c r="T1878" s="693">
        <f t="shared" si="248"/>
        <v>0</v>
      </c>
      <c r="U1878" s="1035" t="s">
        <v>131</v>
      </c>
      <c r="V1878" s="690"/>
      <c r="W1878" s="1025"/>
      <c r="X1878" s="1030"/>
      <c r="Y1878" s="694">
        <f t="shared" si="249"/>
        <v>0</v>
      </c>
      <c r="Z1878" s="690"/>
      <c r="AA1878" s="690"/>
      <c r="AB1878" s="695">
        <f t="shared" si="250"/>
        <v>0</v>
      </c>
      <c r="AC1878" s="1035"/>
      <c r="AD1878" s="690"/>
      <c r="AE1878" s="1025"/>
      <c r="AF1878" s="1030"/>
      <c r="AG1878" s="690"/>
      <c r="AH1878" s="690"/>
      <c r="AI1878" s="696">
        <f t="shared" si="251"/>
        <v>0</v>
      </c>
      <c r="AJ1878" s="697">
        <f t="shared" si="252"/>
        <v>0</v>
      </c>
    </row>
    <row r="1879" spans="1:36" s="700" customFormat="1" ht="12.75" customHeight="1">
      <c r="A1879" s="922" t="s">
        <v>213</v>
      </c>
      <c r="B1879" s="922" t="s">
        <v>296</v>
      </c>
      <c r="C1879" s="926" t="s">
        <v>443</v>
      </c>
      <c r="D1879" s="926"/>
      <c r="E1879" s="924"/>
      <c r="F1879" s="925"/>
      <c r="G1879" s="1025"/>
      <c r="H1879" s="690"/>
      <c r="I1879" s="1030"/>
      <c r="J1879" s="690"/>
      <c r="K1879" s="1030"/>
      <c r="L1879" s="690"/>
      <c r="M1879" s="1025"/>
      <c r="N1879" s="1030"/>
      <c r="O1879" s="692">
        <f t="shared" si="245"/>
        <v>0</v>
      </c>
      <c r="P1879" s="690"/>
      <c r="Q1879" s="690"/>
      <c r="R1879" s="691">
        <f t="shared" si="246"/>
        <v>0</v>
      </c>
      <c r="S1879" s="692">
        <f t="shared" si="247"/>
        <v>0</v>
      </c>
      <c r="T1879" s="693">
        <f t="shared" si="248"/>
        <v>0</v>
      </c>
      <c r="U1879" s="1035"/>
      <c r="V1879" s="690"/>
      <c r="W1879" s="1025"/>
      <c r="X1879" s="1030"/>
      <c r="Y1879" s="694">
        <f t="shared" si="249"/>
        <v>0</v>
      </c>
      <c r="Z1879" s="690"/>
      <c r="AA1879" s="690"/>
      <c r="AB1879" s="695">
        <f t="shared" si="250"/>
        <v>0</v>
      </c>
      <c r="AC1879" s="1035"/>
      <c r="AD1879" s="690"/>
      <c r="AE1879" s="1025"/>
      <c r="AF1879" s="1030"/>
      <c r="AG1879" s="690"/>
      <c r="AH1879" s="690"/>
      <c r="AI1879" s="696">
        <f t="shared" si="251"/>
        <v>0</v>
      </c>
      <c r="AJ1879" s="697">
        <f t="shared" si="252"/>
        <v>0</v>
      </c>
    </row>
    <row r="1880" spans="1:36" s="700" customFormat="1" ht="12.75" customHeight="1">
      <c r="A1880" s="922" t="s">
        <v>213</v>
      </c>
      <c r="B1880" s="922" t="s">
        <v>379</v>
      </c>
      <c r="C1880" s="926" t="s">
        <v>377</v>
      </c>
      <c r="D1880" s="926"/>
      <c r="E1880" s="924"/>
      <c r="F1880" s="925"/>
      <c r="G1880" s="1025"/>
      <c r="H1880" s="690"/>
      <c r="I1880" s="1030"/>
      <c r="J1880" s="690"/>
      <c r="K1880" s="1030"/>
      <c r="L1880" s="690"/>
      <c r="M1880" s="1025"/>
      <c r="N1880" s="1030"/>
      <c r="O1880" s="692">
        <f t="shared" si="245"/>
        <v>0</v>
      </c>
      <c r="P1880" s="690"/>
      <c r="Q1880" s="690"/>
      <c r="R1880" s="691">
        <f t="shared" si="246"/>
        <v>0</v>
      </c>
      <c r="S1880" s="692">
        <f t="shared" si="247"/>
        <v>0</v>
      </c>
      <c r="T1880" s="693">
        <f t="shared" si="248"/>
        <v>0</v>
      </c>
      <c r="U1880" s="1035"/>
      <c r="V1880" s="690"/>
      <c r="W1880" s="1025"/>
      <c r="X1880" s="1030"/>
      <c r="Y1880" s="694">
        <f t="shared" si="249"/>
        <v>0</v>
      </c>
      <c r="Z1880" s="690"/>
      <c r="AA1880" s="690"/>
      <c r="AB1880" s="695">
        <f t="shared" si="250"/>
        <v>0</v>
      </c>
      <c r="AC1880" s="1035"/>
      <c r="AD1880" s="690"/>
      <c r="AE1880" s="1025"/>
      <c r="AF1880" s="1030"/>
      <c r="AG1880" s="690"/>
      <c r="AH1880" s="690"/>
      <c r="AI1880" s="696">
        <f t="shared" si="251"/>
        <v>0</v>
      </c>
      <c r="AJ1880" s="697">
        <f t="shared" si="252"/>
        <v>0</v>
      </c>
    </row>
    <row r="1881" spans="1:36" s="700" customFormat="1" ht="12.75" customHeight="1">
      <c r="A1881" s="922" t="s">
        <v>213</v>
      </c>
      <c r="B1881" s="922" t="s">
        <v>279</v>
      </c>
      <c r="C1881" s="926" t="s">
        <v>54</v>
      </c>
      <c r="D1881" s="926"/>
      <c r="E1881" s="924"/>
      <c r="F1881" s="925"/>
      <c r="G1881" s="1025"/>
      <c r="H1881" s="690"/>
      <c r="I1881" s="1030"/>
      <c r="J1881" s="690"/>
      <c r="K1881" s="1030"/>
      <c r="L1881" s="690"/>
      <c r="M1881" s="1025"/>
      <c r="N1881" s="1030"/>
      <c r="O1881" s="692">
        <f t="shared" si="245"/>
        <v>0</v>
      </c>
      <c r="P1881" s="690"/>
      <c r="Q1881" s="690"/>
      <c r="R1881" s="691">
        <f t="shared" si="246"/>
        <v>0</v>
      </c>
      <c r="S1881" s="692">
        <f t="shared" si="247"/>
        <v>0</v>
      </c>
      <c r="T1881" s="693">
        <f t="shared" si="248"/>
        <v>0</v>
      </c>
      <c r="U1881" s="1035"/>
      <c r="V1881" s="690"/>
      <c r="W1881" s="1025"/>
      <c r="X1881" s="1030"/>
      <c r="Y1881" s="694">
        <f t="shared" si="249"/>
        <v>0</v>
      </c>
      <c r="Z1881" s="690"/>
      <c r="AA1881" s="690"/>
      <c r="AB1881" s="695">
        <f t="shared" si="250"/>
        <v>0</v>
      </c>
      <c r="AC1881" s="1035"/>
      <c r="AD1881" s="690"/>
      <c r="AE1881" s="1025"/>
      <c r="AF1881" s="1030"/>
      <c r="AG1881" s="690"/>
      <c r="AH1881" s="690"/>
      <c r="AI1881" s="696">
        <f t="shared" si="251"/>
        <v>0</v>
      </c>
      <c r="AJ1881" s="697">
        <f t="shared" si="252"/>
        <v>0</v>
      </c>
    </row>
    <row r="1882" spans="1:36" s="700" customFormat="1" ht="12.75" customHeight="1">
      <c r="A1882" s="922" t="s">
        <v>213</v>
      </c>
      <c r="B1882" s="922" t="s">
        <v>317</v>
      </c>
      <c r="C1882" s="926" t="s">
        <v>443</v>
      </c>
      <c r="D1882" s="926"/>
      <c r="E1882" s="924"/>
      <c r="F1882" s="925"/>
      <c r="G1882" s="1025"/>
      <c r="H1882" s="690"/>
      <c r="I1882" s="1030"/>
      <c r="J1882" s="690"/>
      <c r="K1882" s="1030"/>
      <c r="L1882" s="690"/>
      <c r="M1882" s="1025"/>
      <c r="N1882" s="1030"/>
      <c r="O1882" s="692">
        <f t="shared" si="245"/>
        <v>0</v>
      </c>
      <c r="P1882" s="690"/>
      <c r="Q1882" s="690"/>
      <c r="R1882" s="691">
        <f t="shared" si="246"/>
        <v>0</v>
      </c>
      <c r="S1882" s="692">
        <f t="shared" si="247"/>
        <v>0</v>
      </c>
      <c r="T1882" s="693">
        <f t="shared" si="248"/>
        <v>0</v>
      </c>
      <c r="U1882" s="1035"/>
      <c r="V1882" s="690"/>
      <c r="W1882" s="1025"/>
      <c r="X1882" s="1030"/>
      <c r="Y1882" s="694">
        <f t="shared" si="249"/>
        <v>0</v>
      </c>
      <c r="Z1882" s="690"/>
      <c r="AA1882" s="690"/>
      <c r="AB1882" s="695">
        <f t="shared" si="250"/>
        <v>0</v>
      </c>
      <c r="AC1882" s="1035"/>
      <c r="AD1882" s="690"/>
      <c r="AE1882" s="1025"/>
      <c r="AF1882" s="1030"/>
      <c r="AG1882" s="690"/>
      <c r="AH1882" s="690"/>
      <c r="AI1882" s="696">
        <f t="shared" si="251"/>
        <v>0</v>
      </c>
      <c r="AJ1882" s="697">
        <f t="shared" si="252"/>
        <v>0</v>
      </c>
    </row>
    <row r="1883" spans="1:36" s="700" customFormat="1" ht="12.75" customHeight="1">
      <c r="A1883" s="922" t="s">
        <v>213</v>
      </c>
      <c r="B1883" s="922" t="s">
        <v>379</v>
      </c>
      <c r="C1883" s="926" t="s">
        <v>377</v>
      </c>
      <c r="D1883" s="926"/>
      <c r="E1883" s="924"/>
      <c r="F1883" s="925"/>
      <c r="G1883" s="1025"/>
      <c r="H1883" s="690"/>
      <c r="I1883" s="1030"/>
      <c r="J1883" s="690"/>
      <c r="K1883" s="1030"/>
      <c r="L1883" s="690"/>
      <c r="M1883" s="1025"/>
      <c r="N1883" s="1030"/>
      <c r="O1883" s="692">
        <f t="shared" si="245"/>
        <v>0</v>
      </c>
      <c r="P1883" s="690"/>
      <c r="Q1883" s="690"/>
      <c r="R1883" s="691">
        <f t="shared" si="246"/>
        <v>0</v>
      </c>
      <c r="S1883" s="692">
        <f t="shared" si="247"/>
        <v>0</v>
      </c>
      <c r="T1883" s="693">
        <f t="shared" si="248"/>
        <v>0</v>
      </c>
      <c r="U1883" s="1035"/>
      <c r="V1883" s="690"/>
      <c r="W1883" s="1025"/>
      <c r="X1883" s="1030"/>
      <c r="Y1883" s="694">
        <f t="shared" si="249"/>
        <v>0</v>
      </c>
      <c r="Z1883" s="690"/>
      <c r="AA1883" s="690"/>
      <c r="AB1883" s="695">
        <f t="shared" si="250"/>
        <v>0</v>
      </c>
      <c r="AC1883" s="1035"/>
      <c r="AD1883" s="690"/>
      <c r="AE1883" s="1025"/>
      <c r="AF1883" s="1030"/>
      <c r="AG1883" s="690"/>
      <c r="AH1883" s="690"/>
      <c r="AI1883" s="696">
        <f t="shared" si="251"/>
        <v>0</v>
      </c>
      <c r="AJ1883" s="697">
        <f t="shared" si="252"/>
        <v>0</v>
      </c>
    </row>
    <row r="1884" spans="1:36" s="700" customFormat="1" ht="12.75" customHeight="1">
      <c r="A1884" s="922" t="s">
        <v>213</v>
      </c>
      <c r="B1884" s="922" t="s">
        <v>420</v>
      </c>
      <c r="C1884" s="923" t="s">
        <v>1236</v>
      </c>
      <c r="D1884" s="923"/>
      <c r="E1884" s="924"/>
      <c r="F1884" s="925"/>
      <c r="G1884" s="1025"/>
      <c r="H1884" s="690"/>
      <c r="I1884" s="1030"/>
      <c r="J1884" s="690"/>
      <c r="K1884" s="1030"/>
      <c r="L1884" s="690"/>
      <c r="M1884" s="1025"/>
      <c r="N1884" s="1030"/>
      <c r="O1884" s="692">
        <f t="shared" si="245"/>
        <v>0</v>
      </c>
      <c r="P1884" s="690"/>
      <c r="Q1884" s="690"/>
      <c r="R1884" s="691">
        <f t="shared" si="246"/>
        <v>0</v>
      </c>
      <c r="S1884" s="692">
        <f t="shared" si="247"/>
        <v>0</v>
      </c>
      <c r="T1884" s="693">
        <f t="shared" si="248"/>
        <v>0</v>
      </c>
      <c r="U1884" s="1035"/>
      <c r="V1884" s="690"/>
      <c r="W1884" s="1025"/>
      <c r="X1884" s="1030"/>
      <c r="Y1884" s="694">
        <f t="shared" si="249"/>
        <v>0</v>
      </c>
      <c r="Z1884" s="690"/>
      <c r="AA1884" s="690"/>
      <c r="AB1884" s="695">
        <f t="shared" si="250"/>
        <v>0</v>
      </c>
      <c r="AC1884" s="1035"/>
      <c r="AD1884" s="690"/>
      <c r="AE1884" s="1025"/>
      <c r="AF1884" s="1030"/>
      <c r="AG1884" s="690"/>
      <c r="AH1884" s="690"/>
      <c r="AI1884" s="696">
        <f t="shared" si="251"/>
        <v>0</v>
      </c>
      <c r="AJ1884" s="697">
        <f t="shared" si="252"/>
        <v>0</v>
      </c>
    </row>
    <row r="1885" spans="1:36" s="700" customFormat="1" ht="12.75" customHeight="1">
      <c r="A1885" s="922" t="s">
        <v>213</v>
      </c>
      <c r="B1885" s="922" t="s">
        <v>442</v>
      </c>
      <c r="C1885" s="926" t="s">
        <v>443</v>
      </c>
      <c r="D1885" s="926"/>
      <c r="E1885" s="924"/>
      <c r="F1885" s="925"/>
      <c r="G1885" s="1025"/>
      <c r="H1885" s="690"/>
      <c r="I1885" s="1030"/>
      <c r="J1885" s="690"/>
      <c r="K1885" s="1030"/>
      <c r="L1885" s="690"/>
      <c r="M1885" s="1025"/>
      <c r="N1885" s="1030"/>
      <c r="O1885" s="692">
        <f t="shared" si="245"/>
        <v>0</v>
      </c>
      <c r="P1885" s="690"/>
      <c r="Q1885" s="690"/>
      <c r="R1885" s="691">
        <f t="shared" si="246"/>
        <v>0</v>
      </c>
      <c r="S1885" s="692">
        <f t="shared" si="247"/>
        <v>0</v>
      </c>
      <c r="T1885" s="693">
        <f t="shared" si="248"/>
        <v>0</v>
      </c>
      <c r="U1885" s="1035"/>
      <c r="V1885" s="690"/>
      <c r="W1885" s="1025"/>
      <c r="X1885" s="1030"/>
      <c r="Y1885" s="694">
        <f t="shared" si="249"/>
        <v>0</v>
      </c>
      <c r="Z1885" s="690"/>
      <c r="AA1885" s="690"/>
      <c r="AB1885" s="695">
        <f t="shared" si="250"/>
        <v>0</v>
      </c>
      <c r="AC1885" s="1035"/>
      <c r="AD1885" s="690"/>
      <c r="AE1885" s="1025"/>
      <c r="AF1885" s="1030"/>
      <c r="AG1885" s="690"/>
      <c r="AH1885" s="690"/>
      <c r="AI1885" s="696">
        <f t="shared" si="251"/>
        <v>0</v>
      </c>
      <c r="AJ1885" s="697">
        <f t="shared" si="252"/>
        <v>0</v>
      </c>
    </row>
    <row r="1886" spans="1:36" s="700" customFormat="1" ht="12.75" customHeight="1">
      <c r="A1886" s="922" t="s">
        <v>213</v>
      </c>
      <c r="B1886" s="922" t="s">
        <v>379</v>
      </c>
      <c r="C1886" s="926" t="s">
        <v>377</v>
      </c>
      <c r="D1886" s="926"/>
      <c r="E1886" s="924"/>
      <c r="F1886" s="925"/>
      <c r="G1886" s="1025"/>
      <c r="H1886" s="690"/>
      <c r="I1886" s="1030"/>
      <c r="J1886" s="690"/>
      <c r="K1886" s="1030"/>
      <c r="L1886" s="690"/>
      <c r="M1886" s="1025"/>
      <c r="N1886" s="1030"/>
      <c r="O1886" s="692">
        <f t="shared" si="245"/>
        <v>0</v>
      </c>
      <c r="P1886" s="690"/>
      <c r="Q1886" s="690"/>
      <c r="R1886" s="691">
        <f t="shared" si="246"/>
        <v>0</v>
      </c>
      <c r="S1886" s="692">
        <f t="shared" si="247"/>
        <v>0</v>
      </c>
      <c r="T1886" s="693">
        <f t="shared" si="248"/>
        <v>0</v>
      </c>
      <c r="U1886" s="1035">
        <v>682500</v>
      </c>
      <c r="V1886" s="818">
        <v>455000</v>
      </c>
      <c r="W1886" s="1025"/>
      <c r="X1886" s="1030"/>
      <c r="Y1886" s="694">
        <f t="shared" si="249"/>
        <v>0</v>
      </c>
      <c r="Z1886" s="690"/>
      <c r="AA1886" s="690"/>
      <c r="AB1886" s="695">
        <f t="shared" si="250"/>
        <v>0</v>
      </c>
      <c r="AC1886" s="1035"/>
      <c r="AD1886" s="690"/>
      <c r="AE1886" s="1025"/>
      <c r="AF1886" s="1030"/>
      <c r="AG1886" s="690"/>
      <c r="AH1886" s="690"/>
      <c r="AI1886" s="696">
        <f t="shared" si="251"/>
        <v>682500</v>
      </c>
      <c r="AJ1886" s="697">
        <f t="shared" si="252"/>
        <v>455000</v>
      </c>
    </row>
    <row r="1887" spans="1:36" s="700" customFormat="1" ht="12.75" customHeight="1">
      <c r="A1887" s="922" t="s">
        <v>213</v>
      </c>
      <c r="B1887" s="922" t="s">
        <v>295</v>
      </c>
      <c r="C1887" s="926" t="s">
        <v>53</v>
      </c>
      <c r="D1887" s="926"/>
      <c r="E1887" s="924"/>
      <c r="F1887" s="925"/>
      <c r="G1887" s="1025"/>
      <c r="H1887" s="690"/>
      <c r="I1887" s="1030"/>
      <c r="J1887" s="690"/>
      <c r="K1887" s="1030"/>
      <c r="L1887" s="690"/>
      <c r="M1887" s="1025"/>
      <c r="N1887" s="1030"/>
      <c r="O1887" s="692">
        <f t="shared" si="245"/>
        <v>0</v>
      </c>
      <c r="P1887" s="690"/>
      <c r="Q1887" s="690"/>
      <c r="R1887" s="691">
        <f t="shared" si="246"/>
        <v>0</v>
      </c>
      <c r="S1887" s="692">
        <f t="shared" si="247"/>
        <v>0</v>
      </c>
      <c r="T1887" s="693">
        <f t="shared" si="248"/>
        <v>0</v>
      </c>
      <c r="U1887" s="1035" t="s">
        <v>131</v>
      </c>
      <c r="V1887" s="690"/>
      <c r="W1887" s="1025"/>
      <c r="X1887" s="1030"/>
      <c r="Y1887" s="694">
        <f t="shared" si="249"/>
        <v>0</v>
      </c>
      <c r="Z1887" s="690"/>
      <c r="AA1887" s="690"/>
      <c r="AB1887" s="695">
        <f t="shared" si="250"/>
        <v>0</v>
      </c>
      <c r="AC1887" s="1035"/>
      <c r="AD1887" s="690"/>
      <c r="AE1887" s="1025"/>
      <c r="AF1887" s="1030"/>
      <c r="AG1887" s="690"/>
      <c r="AH1887" s="690"/>
      <c r="AI1887" s="696">
        <f t="shared" si="251"/>
        <v>0</v>
      </c>
      <c r="AJ1887" s="697">
        <f t="shared" si="252"/>
        <v>0</v>
      </c>
    </row>
    <row r="1888" spans="1:36" s="700" customFormat="1" ht="12.75" customHeight="1">
      <c r="A1888" s="922" t="s">
        <v>213</v>
      </c>
      <c r="B1888" s="922" t="s">
        <v>296</v>
      </c>
      <c r="C1888" s="926" t="s">
        <v>443</v>
      </c>
      <c r="D1888" s="926"/>
      <c r="E1888" s="924"/>
      <c r="F1888" s="925"/>
      <c r="G1888" s="1025"/>
      <c r="H1888" s="690"/>
      <c r="I1888" s="1030"/>
      <c r="J1888" s="690"/>
      <c r="K1888" s="1030"/>
      <c r="L1888" s="690"/>
      <c r="M1888" s="1025"/>
      <c r="N1888" s="1030"/>
      <c r="O1888" s="692">
        <f t="shared" si="245"/>
        <v>0</v>
      </c>
      <c r="P1888" s="690"/>
      <c r="Q1888" s="690"/>
      <c r="R1888" s="691">
        <f t="shared" si="246"/>
        <v>0</v>
      </c>
      <c r="S1888" s="692">
        <f t="shared" si="247"/>
        <v>0</v>
      </c>
      <c r="T1888" s="693">
        <f t="shared" si="248"/>
        <v>0</v>
      </c>
      <c r="U1888" s="1035"/>
      <c r="V1888" s="690"/>
      <c r="W1888" s="1025"/>
      <c r="X1888" s="1030"/>
      <c r="Y1888" s="694">
        <f t="shared" si="249"/>
        <v>0</v>
      </c>
      <c r="Z1888" s="690"/>
      <c r="AA1888" s="690"/>
      <c r="AB1888" s="695">
        <f t="shared" si="250"/>
        <v>0</v>
      </c>
      <c r="AC1888" s="1035"/>
      <c r="AD1888" s="690"/>
      <c r="AE1888" s="1025"/>
      <c r="AF1888" s="1030"/>
      <c r="AG1888" s="690"/>
      <c r="AH1888" s="690"/>
      <c r="AI1888" s="696">
        <f t="shared" si="251"/>
        <v>0</v>
      </c>
      <c r="AJ1888" s="697">
        <f t="shared" si="252"/>
        <v>0</v>
      </c>
    </row>
    <row r="1889" spans="1:36" s="700" customFormat="1" ht="12.75" customHeight="1">
      <c r="A1889" s="922" t="s">
        <v>213</v>
      </c>
      <c r="B1889" s="922" t="s">
        <v>379</v>
      </c>
      <c r="C1889" s="926" t="s">
        <v>377</v>
      </c>
      <c r="D1889" s="926"/>
      <c r="E1889" s="924"/>
      <c r="F1889" s="925"/>
      <c r="G1889" s="1025"/>
      <c r="H1889" s="690"/>
      <c r="I1889" s="1030"/>
      <c r="J1889" s="690"/>
      <c r="K1889" s="1030"/>
      <c r="L1889" s="690"/>
      <c r="M1889" s="1025"/>
      <c r="N1889" s="1030"/>
      <c r="O1889" s="692">
        <f t="shared" si="245"/>
        <v>0</v>
      </c>
      <c r="P1889" s="690"/>
      <c r="Q1889" s="690"/>
      <c r="R1889" s="691">
        <f t="shared" si="246"/>
        <v>0</v>
      </c>
      <c r="S1889" s="692">
        <f t="shared" si="247"/>
        <v>0</v>
      </c>
      <c r="T1889" s="693">
        <f t="shared" si="248"/>
        <v>0</v>
      </c>
      <c r="U1889" s="1035"/>
      <c r="V1889" s="690"/>
      <c r="W1889" s="1025"/>
      <c r="X1889" s="1030"/>
      <c r="Y1889" s="694">
        <f t="shared" si="249"/>
        <v>0</v>
      </c>
      <c r="Z1889" s="690"/>
      <c r="AA1889" s="690"/>
      <c r="AB1889" s="695">
        <f t="shared" si="250"/>
        <v>0</v>
      </c>
      <c r="AC1889" s="1035"/>
      <c r="AD1889" s="690"/>
      <c r="AE1889" s="1025"/>
      <c r="AF1889" s="1030"/>
      <c r="AG1889" s="690"/>
      <c r="AH1889" s="690"/>
      <c r="AI1889" s="696">
        <f t="shared" si="251"/>
        <v>0</v>
      </c>
      <c r="AJ1889" s="697">
        <f t="shared" si="252"/>
        <v>0</v>
      </c>
    </row>
    <row r="1890" spans="1:36" s="700" customFormat="1" ht="12.75" customHeight="1">
      <c r="A1890" s="922" t="s">
        <v>213</v>
      </c>
      <c r="B1890" s="922" t="s">
        <v>279</v>
      </c>
      <c r="C1890" s="926" t="s">
        <v>54</v>
      </c>
      <c r="D1890" s="926"/>
      <c r="E1890" s="924"/>
      <c r="F1890" s="925"/>
      <c r="G1890" s="1025"/>
      <c r="H1890" s="690"/>
      <c r="I1890" s="1030"/>
      <c r="J1890" s="690"/>
      <c r="K1890" s="1030"/>
      <c r="L1890" s="690"/>
      <c r="M1890" s="1025"/>
      <c r="N1890" s="1030"/>
      <c r="O1890" s="692">
        <f t="shared" si="245"/>
        <v>0</v>
      </c>
      <c r="P1890" s="690"/>
      <c r="Q1890" s="690"/>
      <c r="R1890" s="691">
        <f t="shared" si="246"/>
        <v>0</v>
      </c>
      <c r="S1890" s="692">
        <f t="shared" si="247"/>
        <v>0</v>
      </c>
      <c r="T1890" s="693">
        <f t="shared" si="248"/>
        <v>0</v>
      </c>
      <c r="U1890" s="1035"/>
      <c r="V1890" s="690"/>
      <c r="W1890" s="1025"/>
      <c r="X1890" s="1030"/>
      <c r="Y1890" s="694">
        <f t="shared" si="249"/>
        <v>0</v>
      </c>
      <c r="Z1890" s="690"/>
      <c r="AA1890" s="690"/>
      <c r="AB1890" s="695">
        <f t="shared" si="250"/>
        <v>0</v>
      </c>
      <c r="AC1890" s="1035"/>
      <c r="AD1890" s="690"/>
      <c r="AE1890" s="1025"/>
      <c r="AF1890" s="1030"/>
      <c r="AG1890" s="690"/>
      <c r="AH1890" s="690"/>
      <c r="AI1890" s="696">
        <f t="shared" si="251"/>
        <v>0</v>
      </c>
      <c r="AJ1890" s="697">
        <f t="shared" si="252"/>
        <v>0</v>
      </c>
    </row>
    <row r="1891" spans="1:36" s="700" customFormat="1" ht="12.75" customHeight="1">
      <c r="A1891" s="922" t="s">
        <v>213</v>
      </c>
      <c r="B1891" s="922" t="s">
        <v>317</v>
      </c>
      <c r="C1891" s="926" t="s">
        <v>443</v>
      </c>
      <c r="D1891" s="926"/>
      <c r="E1891" s="924"/>
      <c r="F1891" s="925"/>
      <c r="G1891" s="1025"/>
      <c r="H1891" s="690"/>
      <c r="I1891" s="1030"/>
      <c r="J1891" s="690"/>
      <c r="K1891" s="1030"/>
      <c r="L1891" s="690"/>
      <c r="M1891" s="1025"/>
      <c r="N1891" s="1030"/>
      <c r="O1891" s="692">
        <f t="shared" si="245"/>
        <v>0</v>
      </c>
      <c r="P1891" s="690"/>
      <c r="Q1891" s="690"/>
      <c r="R1891" s="691">
        <f t="shared" si="246"/>
        <v>0</v>
      </c>
      <c r="S1891" s="692">
        <f t="shared" si="247"/>
        <v>0</v>
      </c>
      <c r="T1891" s="693">
        <f t="shared" si="248"/>
        <v>0</v>
      </c>
      <c r="U1891" s="1035"/>
      <c r="V1891" s="690"/>
      <c r="W1891" s="1025"/>
      <c r="X1891" s="1030"/>
      <c r="Y1891" s="694">
        <f t="shared" si="249"/>
        <v>0</v>
      </c>
      <c r="Z1891" s="690"/>
      <c r="AA1891" s="690"/>
      <c r="AB1891" s="695">
        <f t="shared" si="250"/>
        <v>0</v>
      </c>
      <c r="AC1891" s="1035"/>
      <c r="AD1891" s="690"/>
      <c r="AE1891" s="1025"/>
      <c r="AF1891" s="1030"/>
      <c r="AG1891" s="690"/>
      <c r="AH1891" s="690"/>
      <c r="AI1891" s="696">
        <f t="shared" si="251"/>
        <v>0</v>
      </c>
      <c r="AJ1891" s="697">
        <f t="shared" si="252"/>
        <v>0</v>
      </c>
    </row>
    <row r="1892" spans="1:36" s="700" customFormat="1" ht="12.75" customHeight="1">
      <c r="A1892" s="922" t="s">
        <v>213</v>
      </c>
      <c r="B1892" s="922" t="s">
        <v>379</v>
      </c>
      <c r="C1892" s="926" t="s">
        <v>377</v>
      </c>
      <c r="D1892" s="926"/>
      <c r="E1892" s="924"/>
      <c r="F1892" s="925"/>
      <c r="G1892" s="1025"/>
      <c r="H1892" s="690"/>
      <c r="I1892" s="1030"/>
      <c r="J1892" s="690"/>
      <c r="K1892" s="1030"/>
      <c r="L1892" s="690"/>
      <c r="M1892" s="1025"/>
      <c r="N1892" s="1030"/>
      <c r="O1892" s="692">
        <f t="shared" si="245"/>
        <v>0</v>
      </c>
      <c r="P1892" s="690"/>
      <c r="Q1892" s="690"/>
      <c r="R1892" s="691">
        <f t="shared" si="246"/>
        <v>0</v>
      </c>
      <c r="S1892" s="692">
        <f t="shared" si="247"/>
        <v>0</v>
      </c>
      <c r="T1892" s="693">
        <f t="shared" si="248"/>
        <v>0</v>
      </c>
      <c r="U1892" s="1035"/>
      <c r="V1892" s="690"/>
      <c r="W1892" s="1025"/>
      <c r="X1892" s="1030"/>
      <c r="Y1892" s="694">
        <f t="shared" si="249"/>
        <v>0</v>
      </c>
      <c r="Z1892" s="690"/>
      <c r="AA1892" s="690"/>
      <c r="AB1892" s="695">
        <f t="shared" si="250"/>
        <v>0</v>
      </c>
      <c r="AC1892" s="1035"/>
      <c r="AD1892" s="690"/>
      <c r="AE1892" s="1025"/>
      <c r="AF1892" s="1030"/>
      <c r="AG1892" s="690"/>
      <c r="AH1892" s="690"/>
      <c r="AI1892" s="696">
        <f t="shared" si="251"/>
        <v>0</v>
      </c>
      <c r="AJ1892" s="697">
        <f t="shared" si="252"/>
        <v>0</v>
      </c>
    </row>
    <row r="1893" spans="1:36" s="700" customFormat="1" ht="12.75" customHeight="1">
      <c r="A1893" s="908" t="s">
        <v>213</v>
      </c>
      <c r="B1893" s="908" t="s">
        <v>420</v>
      </c>
      <c r="C1893" s="919" t="s">
        <v>1237</v>
      </c>
      <c r="D1893" s="919"/>
      <c r="E1893" s="916"/>
      <c r="F1893" s="917"/>
      <c r="G1893" s="1025"/>
      <c r="H1893" s="690"/>
      <c r="I1893" s="1030"/>
      <c r="J1893" s="690"/>
      <c r="K1893" s="1030"/>
      <c r="L1893" s="690"/>
      <c r="M1893" s="1025"/>
      <c r="N1893" s="1030"/>
      <c r="O1893" s="692">
        <f t="shared" si="245"/>
        <v>0</v>
      </c>
      <c r="P1893" s="690"/>
      <c r="Q1893" s="690"/>
      <c r="R1893" s="691">
        <f t="shared" si="246"/>
        <v>0</v>
      </c>
      <c r="S1893" s="692">
        <f t="shared" si="247"/>
        <v>0</v>
      </c>
      <c r="T1893" s="693">
        <f t="shared" si="248"/>
        <v>0</v>
      </c>
      <c r="U1893" s="1035"/>
      <c r="V1893" s="690"/>
      <c r="W1893" s="1025"/>
      <c r="X1893" s="1030"/>
      <c r="Y1893" s="694">
        <f t="shared" si="249"/>
        <v>0</v>
      </c>
      <c r="Z1893" s="690"/>
      <c r="AA1893" s="690"/>
      <c r="AB1893" s="695">
        <f t="shared" si="250"/>
        <v>0</v>
      </c>
      <c r="AC1893" s="1035"/>
      <c r="AD1893" s="690"/>
      <c r="AE1893" s="1025"/>
      <c r="AF1893" s="1030"/>
      <c r="AG1893" s="690"/>
      <c r="AH1893" s="690"/>
      <c r="AI1893" s="696">
        <f t="shared" si="251"/>
        <v>0</v>
      </c>
      <c r="AJ1893" s="697">
        <f t="shared" si="252"/>
        <v>0</v>
      </c>
    </row>
    <row r="1894" spans="1:36" s="700" customFormat="1" ht="12.75" customHeight="1">
      <c r="A1894" s="908" t="s">
        <v>213</v>
      </c>
      <c r="B1894" s="908" t="s">
        <v>442</v>
      </c>
      <c r="C1894" s="920" t="s">
        <v>443</v>
      </c>
      <c r="D1894" s="920"/>
      <c r="E1894" s="916"/>
      <c r="F1894" s="917"/>
      <c r="G1894" s="1025"/>
      <c r="H1894" s="690"/>
      <c r="I1894" s="1030"/>
      <c r="J1894" s="690"/>
      <c r="K1894" s="1030"/>
      <c r="L1894" s="690"/>
      <c r="M1894" s="1025"/>
      <c r="N1894" s="1030"/>
      <c r="O1894" s="692">
        <f t="shared" si="245"/>
        <v>0</v>
      </c>
      <c r="P1894" s="690"/>
      <c r="Q1894" s="690"/>
      <c r="R1894" s="691">
        <f t="shared" si="246"/>
        <v>0</v>
      </c>
      <c r="S1894" s="692">
        <f t="shared" si="247"/>
        <v>0</v>
      </c>
      <c r="T1894" s="693">
        <f t="shared" si="248"/>
        <v>0</v>
      </c>
      <c r="U1894" s="1035"/>
      <c r="V1894" s="690"/>
      <c r="W1894" s="1025"/>
      <c r="X1894" s="1030"/>
      <c r="Y1894" s="694">
        <f t="shared" si="249"/>
        <v>0</v>
      </c>
      <c r="Z1894" s="690"/>
      <c r="AA1894" s="690"/>
      <c r="AB1894" s="695">
        <f t="shared" si="250"/>
        <v>0</v>
      </c>
      <c r="AC1894" s="1035"/>
      <c r="AD1894" s="690"/>
      <c r="AE1894" s="1025"/>
      <c r="AF1894" s="1030"/>
      <c r="AG1894" s="690"/>
      <c r="AH1894" s="690"/>
      <c r="AI1894" s="696">
        <f t="shared" si="251"/>
        <v>0</v>
      </c>
      <c r="AJ1894" s="697">
        <f t="shared" si="252"/>
        <v>0</v>
      </c>
    </row>
    <row r="1895" spans="1:36" s="700" customFormat="1" ht="12.75" customHeight="1">
      <c r="A1895" s="908" t="s">
        <v>213</v>
      </c>
      <c r="B1895" s="908" t="s">
        <v>379</v>
      </c>
      <c r="C1895" s="920" t="s">
        <v>377</v>
      </c>
      <c r="D1895" s="920"/>
      <c r="E1895" s="916"/>
      <c r="F1895" s="917"/>
      <c r="G1895" s="1025"/>
      <c r="H1895" s="690"/>
      <c r="I1895" s="1030"/>
      <c r="J1895" s="690"/>
      <c r="K1895" s="1030"/>
      <c r="L1895" s="690"/>
      <c r="M1895" s="1025"/>
      <c r="N1895" s="1030"/>
      <c r="O1895" s="692">
        <f t="shared" si="245"/>
        <v>0</v>
      </c>
      <c r="P1895" s="690"/>
      <c r="Q1895" s="690"/>
      <c r="R1895" s="691">
        <f t="shared" si="246"/>
        <v>0</v>
      </c>
      <c r="S1895" s="692">
        <f t="shared" si="247"/>
        <v>0</v>
      </c>
      <c r="T1895" s="693">
        <f t="shared" si="248"/>
        <v>0</v>
      </c>
      <c r="U1895" s="1035">
        <v>3426482</v>
      </c>
      <c r="V1895" s="690">
        <v>3426482</v>
      </c>
      <c r="W1895" s="1025"/>
      <c r="X1895" s="1030"/>
      <c r="Y1895" s="694">
        <f t="shared" si="249"/>
        <v>0</v>
      </c>
      <c r="Z1895" s="690"/>
      <c r="AA1895" s="690"/>
      <c r="AB1895" s="695">
        <f t="shared" si="250"/>
        <v>0</v>
      </c>
      <c r="AC1895" s="1035"/>
      <c r="AD1895" s="690"/>
      <c r="AE1895" s="1025"/>
      <c r="AF1895" s="1030"/>
      <c r="AG1895" s="690"/>
      <c r="AH1895" s="690"/>
      <c r="AI1895" s="696">
        <f t="shared" si="251"/>
        <v>3426482</v>
      </c>
      <c r="AJ1895" s="697">
        <f t="shared" si="252"/>
        <v>3426482</v>
      </c>
    </row>
    <row r="1896" spans="1:36" s="700" customFormat="1" ht="12.75" customHeight="1">
      <c r="A1896" s="908" t="s">
        <v>213</v>
      </c>
      <c r="B1896" s="908" t="s">
        <v>295</v>
      </c>
      <c r="C1896" s="920" t="s">
        <v>53</v>
      </c>
      <c r="D1896" s="920"/>
      <c r="E1896" s="916"/>
      <c r="F1896" s="917"/>
      <c r="G1896" s="1025"/>
      <c r="H1896" s="690"/>
      <c r="I1896" s="1030"/>
      <c r="J1896" s="690"/>
      <c r="K1896" s="1030"/>
      <c r="L1896" s="690"/>
      <c r="M1896" s="1025"/>
      <c r="N1896" s="1030"/>
      <c r="O1896" s="692">
        <f t="shared" si="245"/>
        <v>0</v>
      </c>
      <c r="P1896" s="690"/>
      <c r="Q1896" s="690"/>
      <c r="R1896" s="691">
        <f t="shared" si="246"/>
        <v>0</v>
      </c>
      <c r="S1896" s="692">
        <f t="shared" si="247"/>
        <v>0</v>
      </c>
      <c r="T1896" s="693">
        <f t="shared" si="248"/>
        <v>0</v>
      </c>
      <c r="U1896" s="1035" t="s">
        <v>131</v>
      </c>
      <c r="V1896" s="690"/>
      <c r="W1896" s="1025"/>
      <c r="X1896" s="1030"/>
      <c r="Y1896" s="694">
        <f t="shared" si="249"/>
        <v>0</v>
      </c>
      <c r="Z1896" s="690"/>
      <c r="AA1896" s="690"/>
      <c r="AB1896" s="695">
        <f t="shared" si="250"/>
        <v>0</v>
      </c>
      <c r="AC1896" s="1035"/>
      <c r="AD1896" s="690"/>
      <c r="AE1896" s="1025"/>
      <c r="AF1896" s="1030"/>
      <c r="AG1896" s="690"/>
      <c r="AH1896" s="690"/>
      <c r="AI1896" s="696">
        <f t="shared" si="251"/>
        <v>0</v>
      </c>
      <c r="AJ1896" s="697">
        <f t="shared" si="252"/>
        <v>0</v>
      </c>
    </row>
    <row r="1897" spans="1:36" s="700" customFormat="1" ht="12.75" customHeight="1">
      <c r="A1897" s="908" t="s">
        <v>213</v>
      </c>
      <c r="B1897" s="908" t="s">
        <v>296</v>
      </c>
      <c r="C1897" s="920" t="s">
        <v>443</v>
      </c>
      <c r="D1897" s="920"/>
      <c r="E1897" s="916"/>
      <c r="F1897" s="917"/>
      <c r="G1897" s="1025"/>
      <c r="H1897" s="690"/>
      <c r="I1897" s="1030"/>
      <c r="J1897" s="690"/>
      <c r="K1897" s="1030"/>
      <c r="L1897" s="690"/>
      <c r="M1897" s="1025"/>
      <c r="N1897" s="1030"/>
      <c r="O1897" s="692">
        <f t="shared" si="245"/>
        <v>0</v>
      </c>
      <c r="P1897" s="690"/>
      <c r="Q1897" s="690"/>
      <c r="R1897" s="691">
        <f t="shared" si="246"/>
        <v>0</v>
      </c>
      <c r="S1897" s="692">
        <f t="shared" si="247"/>
        <v>0</v>
      </c>
      <c r="T1897" s="693">
        <f t="shared" si="248"/>
        <v>0</v>
      </c>
      <c r="U1897" s="1035"/>
      <c r="V1897" s="690"/>
      <c r="W1897" s="1025"/>
      <c r="X1897" s="1030"/>
      <c r="Y1897" s="694">
        <f t="shared" si="249"/>
        <v>0</v>
      </c>
      <c r="Z1897" s="690"/>
      <c r="AA1897" s="690"/>
      <c r="AB1897" s="695">
        <f t="shared" si="250"/>
        <v>0</v>
      </c>
      <c r="AC1897" s="1035"/>
      <c r="AD1897" s="690"/>
      <c r="AE1897" s="1025"/>
      <c r="AF1897" s="1030"/>
      <c r="AG1897" s="690"/>
      <c r="AH1897" s="690"/>
      <c r="AI1897" s="696">
        <f t="shared" si="251"/>
        <v>0</v>
      </c>
      <c r="AJ1897" s="697">
        <f t="shared" si="252"/>
        <v>0</v>
      </c>
    </row>
    <row r="1898" spans="1:36" s="700" customFormat="1" ht="12.75" customHeight="1">
      <c r="A1898" s="908" t="s">
        <v>213</v>
      </c>
      <c r="B1898" s="908" t="s">
        <v>379</v>
      </c>
      <c r="C1898" s="920" t="s">
        <v>377</v>
      </c>
      <c r="D1898" s="920"/>
      <c r="E1898" s="916"/>
      <c r="F1898" s="917"/>
      <c r="G1898" s="1025"/>
      <c r="H1898" s="690"/>
      <c r="I1898" s="1030"/>
      <c r="J1898" s="690"/>
      <c r="K1898" s="1030"/>
      <c r="L1898" s="690"/>
      <c r="M1898" s="1025"/>
      <c r="N1898" s="1030"/>
      <c r="O1898" s="692">
        <f t="shared" si="245"/>
        <v>0</v>
      </c>
      <c r="P1898" s="690"/>
      <c r="Q1898" s="690"/>
      <c r="R1898" s="691">
        <f t="shared" si="246"/>
        <v>0</v>
      </c>
      <c r="S1898" s="692">
        <f t="shared" si="247"/>
        <v>0</v>
      </c>
      <c r="T1898" s="693">
        <f t="shared" si="248"/>
        <v>0</v>
      </c>
      <c r="U1898" s="1035"/>
      <c r="V1898" s="690"/>
      <c r="W1898" s="1025"/>
      <c r="X1898" s="1030"/>
      <c r="Y1898" s="694">
        <f t="shared" si="249"/>
        <v>0</v>
      </c>
      <c r="Z1898" s="690"/>
      <c r="AA1898" s="690"/>
      <c r="AB1898" s="695">
        <f t="shared" si="250"/>
        <v>0</v>
      </c>
      <c r="AC1898" s="1035"/>
      <c r="AD1898" s="690"/>
      <c r="AE1898" s="1025"/>
      <c r="AF1898" s="1030"/>
      <c r="AG1898" s="690"/>
      <c r="AH1898" s="690"/>
      <c r="AI1898" s="696">
        <f t="shared" si="251"/>
        <v>0</v>
      </c>
      <c r="AJ1898" s="697">
        <f t="shared" si="252"/>
        <v>0</v>
      </c>
    </row>
    <row r="1899" spans="1:36" s="700" customFormat="1" ht="12.75" customHeight="1">
      <c r="A1899" s="908" t="s">
        <v>213</v>
      </c>
      <c r="B1899" s="908" t="s">
        <v>279</v>
      </c>
      <c r="C1899" s="920" t="s">
        <v>54</v>
      </c>
      <c r="D1899" s="920"/>
      <c r="E1899" s="916"/>
      <c r="F1899" s="917"/>
      <c r="G1899" s="1025"/>
      <c r="H1899" s="690"/>
      <c r="I1899" s="1030"/>
      <c r="J1899" s="690"/>
      <c r="K1899" s="1030"/>
      <c r="L1899" s="690"/>
      <c r="M1899" s="1025"/>
      <c r="N1899" s="1030"/>
      <c r="O1899" s="692">
        <f t="shared" si="245"/>
        <v>0</v>
      </c>
      <c r="P1899" s="690"/>
      <c r="Q1899" s="690"/>
      <c r="R1899" s="691">
        <f t="shared" si="246"/>
        <v>0</v>
      </c>
      <c r="S1899" s="692">
        <f t="shared" si="247"/>
        <v>0</v>
      </c>
      <c r="T1899" s="693">
        <f t="shared" si="248"/>
        <v>0</v>
      </c>
      <c r="U1899" s="1035"/>
      <c r="V1899" s="690"/>
      <c r="W1899" s="1025"/>
      <c r="X1899" s="1030"/>
      <c r="Y1899" s="694">
        <f t="shared" si="249"/>
        <v>0</v>
      </c>
      <c r="Z1899" s="690"/>
      <c r="AA1899" s="690"/>
      <c r="AB1899" s="695">
        <f t="shared" si="250"/>
        <v>0</v>
      </c>
      <c r="AC1899" s="1035"/>
      <c r="AD1899" s="690"/>
      <c r="AE1899" s="1025"/>
      <c r="AF1899" s="1030"/>
      <c r="AG1899" s="690"/>
      <c r="AH1899" s="690"/>
      <c r="AI1899" s="696">
        <f t="shared" si="251"/>
        <v>0</v>
      </c>
      <c r="AJ1899" s="697">
        <f t="shared" si="252"/>
        <v>0</v>
      </c>
    </row>
    <row r="1900" spans="1:36" s="700" customFormat="1" ht="12.75" customHeight="1">
      <c r="A1900" s="908" t="s">
        <v>213</v>
      </c>
      <c r="B1900" s="908" t="s">
        <v>317</v>
      </c>
      <c r="C1900" s="920" t="s">
        <v>443</v>
      </c>
      <c r="D1900" s="920"/>
      <c r="E1900" s="916"/>
      <c r="F1900" s="917"/>
      <c r="G1900" s="1025"/>
      <c r="H1900" s="690"/>
      <c r="I1900" s="1030"/>
      <c r="J1900" s="690"/>
      <c r="K1900" s="1030"/>
      <c r="L1900" s="690"/>
      <c r="M1900" s="1025"/>
      <c r="N1900" s="1030"/>
      <c r="O1900" s="692">
        <f t="shared" si="245"/>
        <v>0</v>
      </c>
      <c r="P1900" s="690"/>
      <c r="Q1900" s="690"/>
      <c r="R1900" s="691">
        <f t="shared" si="246"/>
        <v>0</v>
      </c>
      <c r="S1900" s="692">
        <f t="shared" si="247"/>
        <v>0</v>
      </c>
      <c r="T1900" s="693">
        <f t="shared" si="248"/>
        <v>0</v>
      </c>
      <c r="U1900" s="1035"/>
      <c r="V1900" s="690"/>
      <c r="W1900" s="1025"/>
      <c r="X1900" s="1030"/>
      <c r="Y1900" s="694">
        <f t="shared" si="249"/>
        <v>0</v>
      </c>
      <c r="Z1900" s="690"/>
      <c r="AA1900" s="690"/>
      <c r="AB1900" s="695">
        <f t="shared" si="250"/>
        <v>0</v>
      </c>
      <c r="AC1900" s="1035"/>
      <c r="AD1900" s="690"/>
      <c r="AE1900" s="1025"/>
      <c r="AF1900" s="1030"/>
      <c r="AG1900" s="690"/>
      <c r="AH1900" s="690"/>
      <c r="AI1900" s="696">
        <f t="shared" si="251"/>
        <v>0</v>
      </c>
      <c r="AJ1900" s="697">
        <f t="shared" si="252"/>
        <v>0</v>
      </c>
    </row>
    <row r="1901" spans="1:36" s="700" customFormat="1" ht="12.75" customHeight="1">
      <c r="A1901" s="908" t="s">
        <v>213</v>
      </c>
      <c r="B1901" s="908" t="s">
        <v>379</v>
      </c>
      <c r="C1901" s="920" t="s">
        <v>377</v>
      </c>
      <c r="D1901" s="920"/>
      <c r="E1901" s="916"/>
      <c r="F1901" s="917"/>
      <c r="G1901" s="1025"/>
      <c r="H1901" s="690"/>
      <c r="I1901" s="1030"/>
      <c r="J1901" s="690"/>
      <c r="K1901" s="1030"/>
      <c r="L1901" s="690"/>
      <c r="M1901" s="1025"/>
      <c r="N1901" s="1030"/>
      <c r="O1901" s="692">
        <f t="shared" si="245"/>
        <v>0</v>
      </c>
      <c r="P1901" s="690"/>
      <c r="Q1901" s="690"/>
      <c r="R1901" s="691">
        <f t="shared" si="246"/>
        <v>0</v>
      </c>
      <c r="S1901" s="692">
        <f t="shared" si="247"/>
        <v>0</v>
      </c>
      <c r="T1901" s="693">
        <f t="shared" si="248"/>
        <v>0</v>
      </c>
      <c r="U1901" s="1035"/>
      <c r="V1901" s="690"/>
      <c r="W1901" s="1025"/>
      <c r="X1901" s="1030"/>
      <c r="Y1901" s="694">
        <f t="shared" si="249"/>
        <v>0</v>
      </c>
      <c r="Z1901" s="690"/>
      <c r="AA1901" s="690"/>
      <c r="AB1901" s="695">
        <f t="shared" si="250"/>
        <v>0</v>
      </c>
      <c r="AC1901" s="1035"/>
      <c r="AD1901" s="690"/>
      <c r="AE1901" s="1025"/>
      <c r="AF1901" s="1030"/>
      <c r="AG1901" s="690"/>
      <c r="AH1901" s="690"/>
      <c r="AI1901" s="696">
        <f t="shared" si="251"/>
        <v>0</v>
      </c>
      <c r="AJ1901" s="697">
        <f t="shared" si="252"/>
        <v>0</v>
      </c>
    </row>
    <row r="1902" spans="1:36" s="700" customFormat="1" ht="12.75" customHeight="1">
      <c r="A1902" s="908" t="s">
        <v>213</v>
      </c>
      <c r="B1902" s="908" t="s">
        <v>420</v>
      </c>
      <c r="C1902" s="919" t="s">
        <v>1238</v>
      </c>
      <c r="D1902" s="919"/>
      <c r="E1902" s="916"/>
      <c r="F1902" s="917"/>
      <c r="G1902" s="1025"/>
      <c r="H1902" s="690"/>
      <c r="I1902" s="1030"/>
      <c r="J1902" s="690"/>
      <c r="K1902" s="1030"/>
      <c r="L1902" s="690"/>
      <c r="M1902" s="1025"/>
      <c r="N1902" s="1030"/>
      <c r="O1902" s="692">
        <f t="shared" si="245"/>
        <v>0</v>
      </c>
      <c r="P1902" s="690"/>
      <c r="Q1902" s="690"/>
      <c r="R1902" s="691">
        <f t="shared" si="246"/>
        <v>0</v>
      </c>
      <c r="S1902" s="692">
        <f t="shared" si="247"/>
        <v>0</v>
      </c>
      <c r="T1902" s="693">
        <f t="shared" si="248"/>
        <v>0</v>
      </c>
      <c r="U1902" s="1035"/>
      <c r="V1902" s="690"/>
      <c r="W1902" s="1025"/>
      <c r="X1902" s="1030"/>
      <c r="Y1902" s="694">
        <f t="shared" si="249"/>
        <v>0</v>
      </c>
      <c r="Z1902" s="690"/>
      <c r="AA1902" s="690"/>
      <c r="AB1902" s="695">
        <f t="shared" si="250"/>
        <v>0</v>
      </c>
      <c r="AC1902" s="1035"/>
      <c r="AD1902" s="690"/>
      <c r="AE1902" s="1025"/>
      <c r="AF1902" s="1030"/>
      <c r="AG1902" s="690"/>
      <c r="AH1902" s="690"/>
      <c r="AI1902" s="696">
        <f t="shared" si="251"/>
        <v>0</v>
      </c>
      <c r="AJ1902" s="697">
        <f t="shared" si="252"/>
        <v>0</v>
      </c>
    </row>
    <row r="1903" spans="1:36" s="700" customFormat="1" ht="12.75" customHeight="1">
      <c r="A1903" s="908" t="s">
        <v>213</v>
      </c>
      <c r="B1903" s="908" t="s">
        <v>442</v>
      </c>
      <c r="C1903" s="920" t="s">
        <v>443</v>
      </c>
      <c r="D1903" s="920"/>
      <c r="E1903" s="916"/>
      <c r="F1903" s="917"/>
      <c r="G1903" s="1025"/>
      <c r="H1903" s="690"/>
      <c r="I1903" s="1030"/>
      <c r="J1903" s="690"/>
      <c r="K1903" s="1030"/>
      <c r="L1903" s="690"/>
      <c r="M1903" s="1025"/>
      <c r="N1903" s="1030"/>
      <c r="O1903" s="692">
        <f t="shared" si="245"/>
        <v>0</v>
      </c>
      <c r="P1903" s="690"/>
      <c r="Q1903" s="690"/>
      <c r="R1903" s="691">
        <f t="shared" si="246"/>
        <v>0</v>
      </c>
      <c r="S1903" s="692">
        <f t="shared" si="247"/>
        <v>0</v>
      </c>
      <c r="T1903" s="693">
        <f t="shared" si="248"/>
        <v>0</v>
      </c>
      <c r="U1903" s="1035"/>
      <c r="V1903" s="690"/>
      <c r="W1903" s="1025"/>
      <c r="X1903" s="1030"/>
      <c r="Y1903" s="694">
        <f t="shared" si="249"/>
        <v>0</v>
      </c>
      <c r="Z1903" s="690"/>
      <c r="AA1903" s="690"/>
      <c r="AB1903" s="695">
        <f t="shared" si="250"/>
        <v>0</v>
      </c>
      <c r="AC1903" s="1035"/>
      <c r="AD1903" s="690"/>
      <c r="AE1903" s="1025"/>
      <c r="AF1903" s="1030"/>
      <c r="AG1903" s="690"/>
      <c r="AH1903" s="690"/>
      <c r="AI1903" s="696">
        <f t="shared" si="251"/>
        <v>0</v>
      </c>
      <c r="AJ1903" s="697">
        <f t="shared" si="252"/>
        <v>0</v>
      </c>
    </row>
    <row r="1904" spans="1:36" s="700" customFormat="1" ht="12.75" customHeight="1">
      <c r="A1904" s="908" t="s">
        <v>213</v>
      </c>
      <c r="B1904" s="908" t="s">
        <v>379</v>
      </c>
      <c r="C1904" s="920" t="s">
        <v>377</v>
      </c>
      <c r="D1904" s="920"/>
      <c r="E1904" s="916"/>
      <c r="F1904" s="917"/>
      <c r="G1904" s="1025"/>
      <c r="H1904" s="690"/>
      <c r="I1904" s="1030"/>
      <c r="J1904" s="690"/>
      <c r="K1904" s="1030"/>
      <c r="L1904" s="690"/>
      <c r="M1904" s="1025"/>
      <c r="N1904" s="1030"/>
      <c r="O1904" s="692">
        <f t="shared" si="245"/>
        <v>0</v>
      </c>
      <c r="P1904" s="690"/>
      <c r="Q1904" s="690"/>
      <c r="R1904" s="691">
        <f t="shared" si="246"/>
        <v>0</v>
      </c>
      <c r="S1904" s="692">
        <f t="shared" si="247"/>
        <v>0</v>
      </c>
      <c r="T1904" s="693">
        <f t="shared" si="248"/>
        <v>0</v>
      </c>
      <c r="U1904" s="1035">
        <v>5568222</v>
      </c>
      <c r="V1904" s="690">
        <v>6520964</v>
      </c>
      <c r="W1904" s="1025"/>
      <c r="X1904" s="1030"/>
      <c r="Y1904" s="694">
        <f t="shared" si="249"/>
        <v>0</v>
      </c>
      <c r="Z1904" s="690"/>
      <c r="AA1904" s="690"/>
      <c r="AB1904" s="695">
        <f t="shared" si="250"/>
        <v>0</v>
      </c>
      <c r="AC1904" s="1035"/>
      <c r="AD1904" s="690"/>
      <c r="AE1904" s="1025"/>
      <c r="AF1904" s="1030"/>
      <c r="AG1904" s="690"/>
      <c r="AH1904" s="690"/>
      <c r="AI1904" s="696">
        <f t="shared" si="251"/>
        <v>5568222</v>
      </c>
      <c r="AJ1904" s="697">
        <f t="shared" si="252"/>
        <v>6520964</v>
      </c>
    </row>
    <row r="1905" spans="1:36" s="700" customFormat="1" ht="12.75" customHeight="1">
      <c r="A1905" s="908" t="s">
        <v>213</v>
      </c>
      <c r="B1905" s="908" t="s">
        <v>295</v>
      </c>
      <c r="C1905" s="920" t="s">
        <v>53</v>
      </c>
      <c r="D1905" s="920"/>
      <c r="E1905" s="916"/>
      <c r="F1905" s="917"/>
      <c r="G1905" s="1025"/>
      <c r="H1905" s="690"/>
      <c r="I1905" s="1030"/>
      <c r="J1905" s="690"/>
      <c r="K1905" s="1030"/>
      <c r="L1905" s="690"/>
      <c r="M1905" s="1025"/>
      <c r="N1905" s="1030"/>
      <c r="O1905" s="692">
        <f t="shared" si="245"/>
        <v>0</v>
      </c>
      <c r="P1905" s="690"/>
      <c r="Q1905" s="690"/>
      <c r="R1905" s="691">
        <f t="shared" si="246"/>
        <v>0</v>
      </c>
      <c r="S1905" s="692">
        <f t="shared" si="247"/>
        <v>0</v>
      </c>
      <c r="T1905" s="693">
        <f t="shared" si="248"/>
        <v>0</v>
      </c>
      <c r="U1905" s="1035"/>
      <c r="V1905" s="690"/>
      <c r="W1905" s="1025"/>
      <c r="X1905" s="1030"/>
      <c r="Y1905" s="694">
        <f t="shared" si="249"/>
        <v>0</v>
      </c>
      <c r="Z1905" s="690"/>
      <c r="AA1905" s="690"/>
      <c r="AB1905" s="695">
        <f t="shared" si="250"/>
        <v>0</v>
      </c>
      <c r="AC1905" s="1035"/>
      <c r="AD1905" s="690"/>
      <c r="AE1905" s="1025"/>
      <c r="AF1905" s="1030"/>
      <c r="AG1905" s="690"/>
      <c r="AH1905" s="690"/>
      <c r="AI1905" s="696">
        <f t="shared" si="251"/>
        <v>0</v>
      </c>
      <c r="AJ1905" s="697">
        <f t="shared" si="252"/>
        <v>0</v>
      </c>
    </row>
    <row r="1906" spans="1:36" s="700" customFormat="1" ht="12.75" customHeight="1">
      <c r="A1906" s="908" t="s">
        <v>213</v>
      </c>
      <c r="B1906" s="908" t="s">
        <v>296</v>
      </c>
      <c r="C1906" s="920" t="s">
        <v>443</v>
      </c>
      <c r="D1906" s="920"/>
      <c r="E1906" s="916"/>
      <c r="F1906" s="917"/>
      <c r="G1906" s="1025"/>
      <c r="H1906" s="690"/>
      <c r="I1906" s="1030"/>
      <c r="J1906" s="690"/>
      <c r="K1906" s="1030"/>
      <c r="L1906" s="690"/>
      <c r="M1906" s="1025"/>
      <c r="N1906" s="1030"/>
      <c r="O1906" s="692">
        <f t="shared" si="245"/>
        <v>0</v>
      </c>
      <c r="P1906" s="690"/>
      <c r="Q1906" s="690"/>
      <c r="R1906" s="691">
        <f t="shared" si="246"/>
        <v>0</v>
      </c>
      <c r="S1906" s="692">
        <f t="shared" si="247"/>
        <v>0</v>
      </c>
      <c r="T1906" s="693">
        <f t="shared" si="248"/>
        <v>0</v>
      </c>
      <c r="U1906" s="1035"/>
      <c r="V1906" s="690"/>
      <c r="W1906" s="1025"/>
      <c r="X1906" s="1030"/>
      <c r="Y1906" s="694">
        <f t="shared" si="249"/>
        <v>0</v>
      </c>
      <c r="Z1906" s="690"/>
      <c r="AA1906" s="690"/>
      <c r="AB1906" s="695">
        <f t="shared" si="250"/>
        <v>0</v>
      </c>
      <c r="AC1906" s="1035"/>
      <c r="AD1906" s="690"/>
      <c r="AE1906" s="1025"/>
      <c r="AF1906" s="1030"/>
      <c r="AG1906" s="690"/>
      <c r="AH1906" s="690"/>
      <c r="AI1906" s="696">
        <f t="shared" si="251"/>
        <v>0</v>
      </c>
      <c r="AJ1906" s="697">
        <f t="shared" si="252"/>
        <v>0</v>
      </c>
    </row>
    <row r="1907" spans="1:36" s="700" customFormat="1">
      <c r="A1907" s="908" t="s">
        <v>213</v>
      </c>
      <c r="B1907" s="908" t="s">
        <v>379</v>
      </c>
      <c r="C1907" s="920" t="s">
        <v>377</v>
      </c>
      <c r="D1907" s="920"/>
      <c r="E1907" s="916"/>
      <c r="F1907" s="917"/>
      <c r="G1907" s="1025"/>
      <c r="H1907" s="690"/>
      <c r="I1907" s="1030"/>
      <c r="J1907" s="690"/>
      <c r="K1907" s="1030"/>
      <c r="L1907" s="690"/>
      <c r="M1907" s="1025"/>
      <c r="N1907" s="1030"/>
      <c r="O1907" s="692">
        <f t="shared" si="245"/>
        <v>0</v>
      </c>
      <c r="P1907" s="690"/>
      <c r="Q1907" s="690"/>
      <c r="R1907" s="691">
        <f t="shared" si="246"/>
        <v>0</v>
      </c>
      <c r="S1907" s="692">
        <f t="shared" si="247"/>
        <v>0</v>
      </c>
      <c r="T1907" s="693">
        <f t="shared" si="248"/>
        <v>0</v>
      </c>
      <c r="U1907" s="1035"/>
      <c r="V1907" s="690"/>
      <c r="W1907" s="1025"/>
      <c r="X1907" s="1030"/>
      <c r="Y1907" s="694">
        <f t="shared" si="249"/>
        <v>0</v>
      </c>
      <c r="Z1907" s="690"/>
      <c r="AA1907" s="690"/>
      <c r="AB1907" s="695">
        <f t="shared" si="250"/>
        <v>0</v>
      </c>
      <c r="AC1907" s="1035"/>
      <c r="AD1907" s="690"/>
      <c r="AE1907" s="1025"/>
      <c r="AF1907" s="1030"/>
      <c r="AG1907" s="690"/>
      <c r="AH1907" s="690"/>
      <c r="AI1907" s="696">
        <f t="shared" si="251"/>
        <v>0</v>
      </c>
      <c r="AJ1907" s="697">
        <f t="shared" si="252"/>
        <v>0</v>
      </c>
    </row>
    <row r="1908" spans="1:36" s="700" customFormat="1">
      <c r="A1908" s="908" t="s">
        <v>213</v>
      </c>
      <c r="B1908" s="908" t="s">
        <v>279</v>
      </c>
      <c r="C1908" s="920" t="s">
        <v>54</v>
      </c>
      <c r="D1908" s="920"/>
      <c r="E1908" s="916"/>
      <c r="F1908" s="917"/>
      <c r="G1908" s="1025"/>
      <c r="H1908" s="690"/>
      <c r="I1908" s="1030"/>
      <c r="J1908" s="690"/>
      <c r="K1908" s="1030"/>
      <c r="L1908" s="690"/>
      <c r="M1908" s="1025"/>
      <c r="N1908" s="1030"/>
      <c r="O1908" s="692">
        <f t="shared" si="245"/>
        <v>0</v>
      </c>
      <c r="P1908" s="690"/>
      <c r="Q1908" s="690"/>
      <c r="R1908" s="691">
        <f t="shared" si="246"/>
        <v>0</v>
      </c>
      <c r="S1908" s="692">
        <f t="shared" si="247"/>
        <v>0</v>
      </c>
      <c r="T1908" s="693">
        <f t="shared" si="248"/>
        <v>0</v>
      </c>
      <c r="U1908" s="1035"/>
      <c r="V1908" s="690"/>
      <c r="W1908" s="1025"/>
      <c r="X1908" s="1030"/>
      <c r="Y1908" s="694">
        <f t="shared" si="249"/>
        <v>0</v>
      </c>
      <c r="Z1908" s="690"/>
      <c r="AA1908" s="690"/>
      <c r="AB1908" s="695">
        <f t="shared" si="250"/>
        <v>0</v>
      </c>
      <c r="AC1908" s="1035"/>
      <c r="AD1908" s="690"/>
      <c r="AE1908" s="1025"/>
      <c r="AF1908" s="1030"/>
      <c r="AG1908" s="690"/>
      <c r="AH1908" s="690"/>
      <c r="AI1908" s="696">
        <f t="shared" si="251"/>
        <v>0</v>
      </c>
      <c r="AJ1908" s="697">
        <f t="shared" si="252"/>
        <v>0</v>
      </c>
    </row>
    <row r="1909" spans="1:36" s="700" customFormat="1">
      <c r="A1909" s="908" t="s">
        <v>213</v>
      </c>
      <c r="B1909" s="908" t="s">
        <v>317</v>
      </c>
      <c r="C1909" s="920" t="s">
        <v>443</v>
      </c>
      <c r="D1909" s="920"/>
      <c r="E1909" s="916"/>
      <c r="F1909" s="917"/>
      <c r="G1909" s="1025"/>
      <c r="H1909" s="690"/>
      <c r="I1909" s="1030"/>
      <c r="J1909" s="690"/>
      <c r="K1909" s="1030"/>
      <c r="L1909" s="690"/>
      <c r="M1909" s="1025"/>
      <c r="N1909" s="1030"/>
      <c r="O1909" s="692">
        <f t="shared" si="245"/>
        <v>0</v>
      </c>
      <c r="P1909" s="690"/>
      <c r="Q1909" s="690"/>
      <c r="R1909" s="691">
        <f t="shared" si="246"/>
        <v>0</v>
      </c>
      <c r="S1909" s="692">
        <f t="shared" si="247"/>
        <v>0</v>
      </c>
      <c r="T1909" s="693">
        <f t="shared" si="248"/>
        <v>0</v>
      </c>
      <c r="U1909" s="1035"/>
      <c r="V1909" s="690"/>
      <c r="W1909" s="1025"/>
      <c r="X1909" s="1030"/>
      <c r="Y1909" s="694">
        <f t="shared" si="249"/>
        <v>0</v>
      </c>
      <c r="Z1909" s="690"/>
      <c r="AA1909" s="690"/>
      <c r="AB1909" s="695">
        <f t="shared" si="250"/>
        <v>0</v>
      </c>
      <c r="AC1909" s="1035"/>
      <c r="AD1909" s="690"/>
      <c r="AE1909" s="1025"/>
      <c r="AF1909" s="1030"/>
      <c r="AG1909" s="690"/>
      <c r="AH1909" s="690"/>
      <c r="AI1909" s="696">
        <f t="shared" si="251"/>
        <v>0</v>
      </c>
      <c r="AJ1909" s="697">
        <f t="shared" si="252"/>
        <v>0</v>
      </c>
    </row>
    <row r="1910" spans="1:36" s="700" customFormat="1">
      <c r="A1910" s="908" t="s">
        <v>213</v>
      </c>
      <c r="B1910" s="908" t="s">
        <v>379</v>
      </c>
      <c r="C1910" s="920" t="s">
        <v>377</v>
      </c>
      <c r="D1910" s="920"/>
      <c r="E1910" s="916"/>
      <c r="F1910" s="917"/>
      <c r="G1910" s="1025"/>
      <c r="H1910" s="690"/>
      <c r="I1910" s="1030"/>
      <c r="J1910" s="690"/>
      <c r="K1910" s="1030"/>
      <c r="L1910" s="690"/>
      <c r="M1910" s="1025"/>
      <c r="N1910" s="1030"/>
      <c r="O1910" s="692">
        <f t="shared" si="245"/>
        <v>0</v>
      </c>
      <c r="P1910" s="690"/>
      <c r="Q1910" s="690"/>
      <c r="R1910" s="691">
        <f t="shared" si="246"/>
        <v>0</v>
      </c>
      <c r="S1910" s="692">
        <f t="shared" si="247"/>
        <v>0</v>
      </c>
      <c r="T1910" s="693">
        <f t="shared" si="248"/>
        <v>0</v>
      </c>
      <c r="U1910" s="1035"/>
      <c r="V1910" s="690"/>
      <c r="W1910" s="1025"/>
      <c r="X1910" s="1030"/>
      <c r="Y1910" s="694">
        <f t="shared" si="249"/>
        <v>0</v>
      </c>
      <c r="Z1910" s="690"/>
      <c r="AA1910" s="690"/>
      <c r="AB1910" s="695">
        <f t="shared" si="250"/>
        <v>0</v>
      </c>
      <c r="AC1910" s="1035"/>
      <c r="AD1910" s="690"/>
      <c r="AE1910" s="1025"/>
      <c r="AF1910" s="1030"/>
      <c r="AG1910" s="690"/>
      <c r="AH1910" s="690"/>
      <c r="AI1910" s="696">
        <f t="shared" si="251"/>
        <v>0</v>
      </c>
      <c r="AJ1910" s="697">
        <f t="shared" si="252"/>
        <v>0</v>
      </c>
    </row>
    <row r="1911" spans="1:36" s="700" customFormat="1">
      <c r="A1911" s="908" t="s">
        <v>213</v>
      </c>
      <c r="B1911" s="927" t="s">
        <v>421</v>
      </c>
      <c r="C1911" s="928" t="s">
        <v>19</v>
      </c>
      <c r="D1911" s="928"/>
      <c r="E1911" s="916"/>
      <c r="F1911" s="917"/>
      <c r="G1911" s="1025"/>
      <c r="H1911" s="690"/>
      <c r="I1911" s="1030"/>
      <c r="J1911" s="690"/>
      <c r="K1911" s="1030"/>
      <c r="L1911" s="690"/>
      <c r="M1911" s="1025"/>
      <c r="N1911" s="1030"/>
      <c r="O1911" s="692">
        <f t="shared" si="245"/>
        <v>0</v>
      </c>
      <c r="P1911" s="690"/>
      <c r="Q1911" s="690"/>
      <c r="R1911" s="691">
        <f t="shared" si="246"/>
        <v>0</v>
      </c>
      <c r="S1911" s="692">
        <f t="shared" si="247"/>
        <v>0</v>
      </c>
      <c r="T1911" s="693">
        <f t="shared" si="248"/>
        <v>0</v>
      </c>
      <c r="U1911" s="1035"/>
      <c r="V1911" s="690"/>
      <c r="W1911" s="1025"/>
      <c r="X1911" s="1030"/>
      <c r="Y1911" s="694">
        <f t="shared" si="249"/>
        <v>0</v>
      </c>
      <c r="Z1911" s="690"/>
      <c r="AA1911" s="690"/>
      <c r="AB1911" s="695">
        <f t="shared" si="250"/>
        <v>0</v>
      </c>
      <c r="AC1911" s="1035"/>
      <c r="AD1911" s="690"/>
      <c r="AE1911" s="1025"/>
      <c r="AF1911" s="1030"/>
      <c r="AG1911" s="690"/>
      <c r="AH1911" s="690"/>
      <c r="AI1911" s="696">
        <f t="shared" si="251"/>
        <v>0</v>
      </c>
      <c r="AJ1911" s="697">
        <f t="shared" si="252"/>
        <v>0</v>
      </c>
    </row>
    <row r="1912" spans="1:36" s="700" customFormat="1">
      <c r="A1912" s="908" t="s">
        <v>213</v>
      </c>
      <c r="B1912" s="908" t="s">
        <v>421</v>
      </c>
      <c r="C1912" s="919" t="s">
        <v>1239</v>
      </c>
      <c r="D1912" s="919"/>
      <c r="E1912" s="916"/>
      <c r="F1912" s="917"/>
      <c r="G1912" s="1025"/>
      <c r="H1912" s="690"/>
      <c r="I1912" s="1030"/>
      <c r="J1912" s="690"/>
      <c r="K1912" s="1030"/>
      <c r="L1912" s="690"/>
      <c r="M1912" s="1025"/>
      <c r="N1912" s="1030"/>
      <c r="O1912" s="692">
        <f t="shared" si="245"/>
        <v>0</v>
      </c>
      <c r="P1912" s="690"/>
      <c r="Q1912" s="690"/>
      <c r="R1912" s="691">
        <f t="shared" si="246"/>
        <v>0</v>
      </c>
      <c r="S1912" s="692">
        <f t="shared" si="247"/>
        <v>0</v>
      </c>
      <c r="T1912" s="693">
        <f t="shared" si="248"/>
        <v>0</v>
      </c>
      <c r="U1912" s="1035"/>
      <c r="V1912" s="690"/>
      <c r="W1912" s="1025"/>
      <c r="X1912" s="1030"/>
      <c r="Y1912" s="694">
        <f t="shared" si="249"/>
        <v>0</v>
      </c>
      <c r="Z1912" s="690"/>
      <c r="AA1912" s="690"/>
      <c r="AB1912" s="695">
        <f t="shared" si="250"/>
        <v>0</v>
      </c>
      <c r="AC1912" s="1035"/>
      <c r="AD1912" s="690"/>
      <c r="AE1912" s="1025"/>
      <c r="AF1912" s="1030"/>
      <c r="AG1912" s="690"/>
      <c r="AH1912" s="690"/>
      <c r="AI1912" s="696">
        <f t="shared" si="251"/>
        <v>0</v>
      </c>
      <c r="AJ1912" s="697">
        <f t="shared" si="252"/>
        <v>0</v>
      </c>
    </row>
    <row r="1913" spans="1:36" s="700" customFormat="1">
      <c r="A1913" s="908" t="s">
        <v>213</v>
      </c>
      <c r="B1913" s="927" t="s">
        <v>380</v>
      </c>
      <c r="C1913" s="920" t="s">
        <v>443</v>
      </c>
      <c r="D1913" s="920"/>
      <c r="E1913" s="916"/>
      <c r="F1913" s="917"/>
      <c r="G1913" s="1025"/>
      <c r="H1913" s="690"/>
      <c r="I1913" s="1030"/>
      <c r="J1913" s="690"/>
      <c r="K1913" s="1030"/>
      <c r="L1913" s="690"/>
      <c r="M1913" s="1025"/>
      <c r="N1913" s="1030"/>
      <c r="O1913" s="692">
        <f t="shared" si="245"/>
        <v>0</v>
      </c>
      <c r="P1913" s="690"/>
      <c r="Q1913" s="690"/>
      <c r="R1913" s="691">
        <f t="shared" si="246"/>
        <v>0</v>
      </c>
      <c r="S1913" s="692">
        <f t="shared" si="247"/>
        <v>0</v>
      </c>
      <c r="T1913" s="693">
        <f t="shared" si="248"/>
        <v>0</v>
      </c>
      <c r="U1913" s="1035">
        <v>133351783.5</v>
      </c>
      <c r="V1913" s="690">
        <v>162288763</v>
      </c>
      <c r="W1913" s="1025"/>
      <c r="X1913" s="1030"/>
      <c r="Y1913" s="694">
        <f t="shared" si="249"/>
        <v>0</v>
      </c>
      <c r="Z1913" s="690"/>
      <c r="AA1913" s="690"/>
      <c r="AB1913" s="695">
        <f t="shared" si="250"/>
        <v>0</v>
      </c>
      <c r="AC1913" s="1035"/>
      <c r="AD1913" s="690"/>
      <c r="AE1913" s="1025"/>
      <c r="AF1913" s="1030"/>
      <c r="AG1913" s="690"/>
      <c r="AH1913" s="690"/>
      <c r="AI1913" s="696">
        <f t="shared" si="251"/>
        <v>133351783.5</v>
      </c>
      <c r="AJ1913" s="697">
        <f t="shared" si="252"/>
        <v>162288763</v>
      </c>
    </row>
    <row r="1914" spans="1:36" s="700" customFormat="1">
      <c r="A1914" s="908" t="s">
        <v>213</v>
      </c>
      <c r="B1914" s="927" t="s">
        <v>381</v>
      </c>
      <c r="C1914" s="920" t="s">
        <v>377</v>
      </c>
      <c r="D1914" s="920"/>
      <c r="E1914" s="916"/>
      <c r="F1914" s="917"/>
      <c r="G1914" s="1025"/>
      <c r="H1914" s="690"/>
      <c r="I1914" s="1030"/>
      <c r="J1914" s="690"/>
      <c r="K1914" s="1030"/>
      <c r="L1914" s="690"/>
      <c r="M1914" s="1025"/>
      <c r="N1914" s="1030"/>
      <c r="O1914" s="692">
        <f t="shared" si="245"/>
        <v>0</v>
      </c>
      <c r="P1914" s="690"/>
      <c r="Q1914" s="690"/>
      <c r="R1914" s="691">
        <f t="shared" si="246"/>
        <v>0</v>
      </c>
      <c r="S1914" s="692">
        <f t="shared" si="247"/>
        <v>0</v>
      </c>
      <c r="T1914" s="693">
        <f t="shared" si="248"/>
        <v>0</v>
      </c>
      <c r="U1914" s="1035"/>
      <c r="V1914" s="690"/>
      <c r="W1914" s="1025"/>
      <c r="X1914" s="1030"/>
      <c r="Y1914" s="694">
        <f t="shared" si="249"/>
        <v>0</v>
      </c>
      <c r="Z1914" s="690"/>
      <c r="AA1914" s="690"/>
      <c r="AB1914" s="695">
        <f t="shared" si="250"/>
        <v>0</v>
      </c>
      <c r="AC1914" s="1035"/>
      <c r="AD1914" s="690"/>
      <c r="AE1914" s="1025"/>
      <c r="AF1914" s="1030"/>
      <c r="AG1914" s="690"/>
      <c r="AH1914" s="690"/>
      <c r="AI1914" s="696">
        <f t="shared" si="251"/>
        <v>0</v>
      </c>
      <c r="AJ1914" s="697">
        <f t="shared" si="252"/>
        <v>0</v>
      </c>
    </row>
    <row r="1915" spans="1:36" s="700" customFormat="1">
      <c r="A1915" s="922" t="s">
        <v>213</v>
      </c>
      <c r="B1915" s="922" t="s">
        <v>421</v>
      </c>
      <c r="C1915" s="923" t="s">
        <v>1240</v>
      </c>
      <c r="D1915" s="923"/>
      <c r="E1915" s="924"/>
      <c r="F1915" s="925"/>
      <c r="G1915" s="1025"/>
      <c r="H1915" s="690"/>
      <c r="I1915" s="1030"/>
      <c r="J1915" s="690"/>
      <c r="K1915" s="1030"/>
      <c r="L1915" s="690"/>
      <c r="M1915" s="1025"/>
      <c r="N1915" s="1030"/>
      <c r="O1915" s="692">
        <f t="shared" si="245"/>
        <v>0</v>
      </c>
      <c r="P1915" s="690"/>
      <c r="Q1915" s="690"/>
      <c r="R1915" s="691">
        <f t="shared" si="246"/>
        <v>0</v>
      </c>
      <c r="S1915" s="692">
        <f t="shared" si="247"/>
        <v>0</v>
      </c>
      <c r="T1915" s="693">
        <f t="shared" si="248"/>
        <v>0</v>
      </c>
      <c r="U1915" s="1035"/>
      <c r="V1915" s="690"/>
      <c r="W1915" s="1025"/>
      <c r="X1915" s="1030"/>
      <c r="Y1915" s="694">
        <f t="shared" si="249"/>
        <v>0</v>
      </c>
      <c r="Z1915" s="690"/>
      <c r="AA1915" s="690"/>
      <c r="AB1915" s="695">
        <f t="shared" si="250"/>
        <v>0</v>
      </c>
      <c r="AC1915" s="1035"/>
      <c r="AD1915" s="690"/>
      <c r="AE1915" s="1025"/>
      <c r="AF1915" s="1030"/>
      <c r="AG1915" s="690"/>
      <c r="AH1915" s="690"/>
      <c r="AI1915" s="696">
        <f t="shared" si="251"/>
        <v>0</v>
      </c>
      <c r="AJ1915" s="697">
        <f t="shared" si="252"/>
        <v>0</v>
      </c>
    </row>
    <row r="1916" spans="1:36" s="700" customFormat="1">
      <c r="A1916" s="929" t="s">
        <v>213</v>
      </c>
      <c r="B1916" s="929" t="s">
        <v>380</v>
      </c>
      <c r="C1916" s="926" t="s">
        <v>443</v>
      </c>
      <c r="D1916" s="926"/>
      <c r="E1916" s="924"/>
      <c r="F1916" s="925"/>
      <c r="G1916" s="1025"/>
      <c r="H1916" s="690"/>
      <c r="I1916" s="1030"/>
      <c r="J1916" s="690"/>
      <c r="K1916" s="1030"/>
      <c r="L1916" s="690"/>
      <c r="M1916" s="1025"/>
      <c r="N1916" s="1030"/>
      <c r="O1916" s="692">
        <f t="shared" si="245"/>
        <v>0</v>
      </c>
      <c r="P1916" s="690"/>
      <c r="Q1916" s="690"/>
      <c r="R1916" s="691">
        <f t="shared" si="246"/>
        <v>0</v>
      </c>
      <c r="S1916" s="692">
        <f t="shared" si="247"/>
        <v>0</v>
      </c>
      <c r="T1916" s="693">
        <f t="shared" si="248"/>
        <v>0</v>
      </c>
      <c r="U1916" s="1035"/>
      <c r="V1916" s="690"/>
      <c r="W1916" s="1025"/>
      <c r="X1916" s="1030"/>
      <c r="Y1916" s="694">
        <f t="shared" si="249"/>
        <v>0</v>
      </c>
      <c r="Z1916" s="690"/>
      <c r="AA1916" s="690"/>
      <c r="AB1916" s="695">
        <f t="shared" si="250"/>
        <v>0</v>
      </c>
      <c r="AC1916" s="1035"/>
      <c r="AD1916" s="690"/>
      <c r="AE1916" s="1025"/>
      <c r="AF1916" s="1030"/>
      <c r="AG1916" s="690"/>
      <c r="AH1916" s="690"/>
      <c r="AI1916" s="696">
        <f t="shared" si="251"/>
        <v>0</v>
      </c>
      <c r="AJ1916" s="697">
        <f t="shared" si="252"/>
        <v>0</v>
      </c>
    </row>
    <row r="1917" spans="1:36" s="700" customFormat="1">
      <c r="A1917" s="929" t="s">
        <v>213</v>
      </c>
      <c r="B1917" s="929" t="s">
        <v>381</v>
      </c>
      <c r="C1917" s="926" t="s">
        <v>377</v>
      </c>
      <c r="D1917" s="926"/>
      <c r="E1917" s="924"/>
      <c r="F1917" s="925"/>
      <c r="G1917" s="1025"/>
      <c r="H1917" s="690"/>
      <c r="I1917" s="1030"/>
      <c r="J1917" s="690"/>
      <c r="K1917" s="1030"/>
      <c r="L1917" s="690"/>
      <c r="M1917" s="1025"/>
      <c r="N1917" s="1030"/>
      <c r="O1917" s="692">
        <f t="shared" si="245"/>
        <v>0</v>
      </c>
      <c r="P1917" s="690"/>
      <c r="Q1917" s="690"/>
      <c r="R1917" s="691">
        <f t="shared" si="246"/>
        <v>0</v>
      </c>
      <c r="S1917" s="692">
        <f t="shared" si="247"/>
        <v>0</v>
      </c>
      <c r="T1917" s="693">
        <f t="shared" si="248"/>
        <v>0</v>
      </c>
      <c r="U1917" s="1035">
        <v>2955087</v>
      </c>
      <c r="V1917" s="818">
        <v>3137282</v>
      </c>
      <c r="W1917" s="1025"/>
      <c r="X1917" s="1030"/>
      <c r="Y1917" s="694">
        <f t="shared" si="249"/>
        <v>0</v>
      </c>
      <c r="Z1917" s="690"/>
      <c r="AA1917" s="690"/>
      <c r="AB1917" s="695">
        <f t="shared" si="250"/>
        <v>0</v>
      </c>
      <c r="AC1917" s="1035"/>
      <c r="AD1917" s="690"/>
      <c r="AE1917" s="1025"/>
      <c r="AF1917" s="1030"/>
      <c r="AG1917" s="690"/>
      <c r="AH1917" s="690"/>
      <c r="AI1917" s="696">
        <f t="shared" si="251"/>
        <v>2955087</v>
      </c>
      <c r="AJ1917" s="697">
        <f t="shared" si="252"/>
        <v>3137282</v>
      </c>
    </row>
    <row r="1918" spans="1:36" s="700" customFormat="1">
      <c r="A1918" s="908" t="s">
        <v>213</v>
      </c>
      <c r="B1918" s="908" t="s">
        <v>421</v>
      </c>
      <c r="C1918" s="919" t="s">
        <v>1241</v>
      </c>
      <c r="D1918" s="919"/>
      <c r="E1918" s="916"/>
      <c r="F1918" s="917"/>
      <c r="G1918" s="1025"/>
      <c r="H1918" s="690"/>
      <c r="I1918" s="1030"/>
      <c r="J1918" s="690"/>
      <c r="K1918" s="1030"/>
      <c r="L1918" s="690"/>
      <c r="M1918" s="1025"/>
      <c r="N1918" s="1030"/>
      <c r="O1918" s="692">
        <f t="shared" si="245"/>
        <v>0</v>
      </c>
      <c r="P1918" s="690"/>
      <c r="Q1918" s="690"/>
      <c r="R1918" s="691">
        <f t="shared" si="246"/>
        <v>0</v>
      </c>
      <c r="S1918" s="692">
        <f t="shared" si="247"/>
        <v>0</v>
      </c>
      <c r="T1918" s="693">
        <f t="shared" si="248"/>
        <v>0</v>
      </c>
      <c r="U1918" s="1035"/>
      <c r="V1918" s="690"/>
      <c r="W1918" s="1025"/>
      <c r="X1918" s="1030"/>
      <c r="Y1918" s="694">
        <f t="shared" si="249"/>
        <v>0</v>
      </c>
      <c r="Z1918" s="690"/>
      <c r="AA1918" s="690"/>
      <c r="AB1918" s="695">
        <f t="shared" si="250"/>
        <v>0</v>
      </c>
      <c r="AC1918" s="1035"/>
      <c r="AD1918" s="690"/>
      <c r="AE1918" s="1025"/>
      <c r="AF1918" s="1030"/>
      <c r="AG1918" s="690"/>
      <c r="AH1918" s="690"/>
      <c r="AI1918" s="696">
        <f t="shared" si="251"/>
        <v>0</v>
      </c>
      <c r="AJ1918" s="697">
        <f t="shared" si="252"/>
        <v>0</v>
      </c>
    </row>
    <row r="1919" spans="1:36" s="700" customFormat="1">
      <c r="A1919" s="927" t="s">
        <v>213</v>
      </c>
      <c r="B1919" s="927" t="s">
        <v>380</v>
      </c>
      <c r="C1919" s="920" t="s">
        <v>443</v>
      </c>
      <c r="D1919" s="920"/>
      <c r="E1919" s="916"/>
      <c r="F1919" s="917"/>
      <c r="G1919" s="1025"/>
      <c r="H1919" s="690"/>
      <c r="I1919" s="1030"/>
      <c r="J1919" s="690"/>
      <c r="K1919" s="1030"/>
      <c r="L1919" s="690"/>
      <c r="M1919" s="1025"/>
      <c r="N1919" s="1030"/>
      <c r="O1919" s="692">
        <f t="shared" si="245"/>
        <v>0</v>
      </c>
      <c r="P1919" s="690"/>
      <c r="Q1919" s="690"/>
      <c r="R1919" s="691">
        <f t="shared" si="246"/>
        <v>0</v>
      </c>
      <c r="S1919" s="692">
        <f t="shared" si="247"/>
        <v>0</v>
      </c>
      <c r="T1919" s="693">
        <f t="shared" si="248"/>
        <v>0</v>
      </c>
      <c r="U1919" s="1035">
        <v>331874</v>
      </c>
      <c r="V1919" s="690">
        <v>364174</v>
      </c>
      <c r="W1919" s="1025"/>
      <c r="X1919" s="1030"/>
      <c r="Y1919" s="694">
        <f t="shared" si="249"/>
        <v>0</v>
      </c>
      <c r="Z1919" s="690"/>
      <c r="AA1919" s="690"/>
      <c r="AB1919" s="695">
        <f t="shared" si="250"/>
        <v>0</v>
      </c>
      <c r="AC1919" s="1035"/>
      <c r="AD1919" s="690"/>
      <c r="AE1919" s="1025"/>
      <c r="AF1919" s="1030"/>
      <c r="AG1919" s="690"/>
      <c r="AH1919" s="690"/>
      <c r="AI1919" s="696">
        <f t="shared" si="251"/>
        <v>331874</v>
      </c>
      <c r="AJ1919" s="697">
        <f t="shared" si="252"/>
        <v>364174</v>
      </c>
    </row>
    <row r="1920" spans="1:36" s="700" customFormat="1">
      <c r="A1920" s="927" t="s">
        <v>213</v>
      </c>
      <c r="B1920" s="927" t="s">
        <v>381</v>
      </c>
      <c r="C1920" s="920" t="s">
        <v>377</v>
      </c>
      <c r="D1920" s="920"/>
      <c r="E1920" s="916"/>
      <c r="F1920" s="917"/>
      <c r="G1920" s="1025"/>
      <c r="H1920" s="690"/>
      <c r="I1920" s="1030"/>
      <c r="J1920" s="690"/>
      <c r="K1920" s="1030"/>
      <c r="L1920" s="690"/>
      <c r="M1920" s="1025"/>
      <c r="N1920" s="1030"/>
      <c r="O1920" s="692">
        <f t="shared" si="245"/>
        <v>0</v>
      </c>
      <c r="P1920" s="690"/>
      <c r="Q1920" s="690"/>
      <c r="R1920" s="691">
        <f t="shared" si="246"/>
        <v>0</v>
      </c>
      <c r="S1920" s="692">
        <f t="shared" si="247"/>
        <v>0</v>
      </c>
      <c r="T1920" s="693">
        <f t="shared" si="248"/>
        <v>0</v>
      </c>
      <c r="U1920" s="1035"/>
      <c r="V1920" s="690"/>
      <c r="W1920" s="1025"/>
      <c r="X1920" s="1030"/>
      <c r="Y1920" s="694">
        <f t="shared" si="249"/>
        <v>0</v>
      </c>
      <c r="Z1920" s="690"/>
      <c r="AA1920" s="690"/>
      <c r="AB1920" s="695">
        <f t="shared" si="250"/>
        <v>0</v>
      </c>
      <c r="AC1920" s="1035"/>
      <c r="AD1920" s="690"/>
      <c r="AE1920" s="1025"/>
      <c r="AF1920" s="1030"/>
      <c r="AG1920" s="690"/>
      <c r="AH1920" s="690"/>
      <c r="AI1920" s="696">
        <f t="shared" si="251"/>
        <v>0</v>
      </c>
      <c r="AJ1920" s="697">
        <f t="shared" si="252"/>
        <v>0</v>
      </c>
    </row>
    <row r="1921" spans="1:36" s="700" customFormat="1">
      <c r="A1921" s="922" t="s">
        <v>213</v>
      </c>
      <c r="B1921" s="922" t="s">
        <v>421</v>
      </c>
      <c r="C1921" s="923" t="s">
        <v>1242</v>
      </c>
      <c r="D1921" s="923"/>
      <c r="E1921" s="924"/>
      <c r="F1921" s="925"/>
      <c r="G1921" s="1025"/>
      <c r="H1921" s="690"/>
      <c r="I1921" s="1030"/>
      <c r="J1921" s="690"/>
      <c r="K1921" s="1030"/>
      <c r="L1921" s="690"/>
      <c r="M1921" s="1025"/>
      <c r="N1921" s="1030"/>
      <c r="O1921" s="692">
        <f t="shared" si="245"/>
        <v>0</v>
      </c>
      <c r="P1921" s="690"/>
      <c r="Q1921" s="690"/>
      <c r="R1921" s="691">
        <f t="shared" si="246"/>
        <v>0</v>
      </c>
      <c r="S1921" s="692">
        <f t="shared" si="247"/>
        <v>0</v>
      </c>
      <c r="T1921" s="693">
        <f t="shared" si="248"/>
        <v>0</v>
      </c>
      <c r="U1921" s="1035"/>
      <c r="V1921" s="690"/>
      <c r="W1921" s="1025"/>
      <c r="X1921" s="1030"/>
      <c r="Y1921" s="694">
        <f t="shared" si="249"/>
        <v>0</v>
      </c>
      <c r="Z1921" s="690"/>
      <c r="AA1921" s="690"/>
      <c r="AB1921" s="695">
        <f t="shared" si="250"/>
        <v>0</v>
      </c>
      <c r="AC1921" s="1035"/>
      <c r="AD1921" s="690"/>
      <c r="AE1921" s="1025"/>
      <c r="AF1921" s="1030"/>
      <c r="AG1921" s="690"/>
      <c r="AH1921" s="690"/>
      <c r="AI1921" s="696">
        <f t="shared" si="251"/>
        <v>0</v>
      </c>
      <c r="AJ1921" s="697">
        <f t="shared" si="252"/>
        <v>0</v>
      </c>
    </row>
    <row r="1922" spans="1:36" s="700" customFormat="1">
      <c r="A1922" s="922" t="s">
        <v>213</v>
      </c>
      <c r="B1922" s="929" t="s">
        <v>380</v>
      </c>
      <c r="C1922" s="926" t="s">
        <v>443</v>
      </c>
      <c r="D1922" s="926"/>
      <c r="E1922" s="924"/>
      <c r="F1922" s="925"/>
      <c r="G1922" s="1025"/>
      <c r="H1922" s="690"/>
      <c r="I1922" s="1030"/>
      <c r="J1922" s="690"/>
      <c r="K1922" s="1030"/>
      <c r="L1922" s="690"/>
      <c r="M1922" s="1025"/>
      <c r="N1922" s="1030"/>
      <c r="O1922" s="692">
        <f t="shared" si="245"/>
        <v>0</v>
      </c>
      <c r="P1922" s="690"/>
      <c r="Q1922" s="690"/>
      <c r="R1922" s="691">
        <f t="shared" si="246"/>
        <v>0</v>
      </c>
      <c r="S1922" s="692">
        <f t="shared" si="247"/>
        <v>0</v>
      </c>
      <c r="T1922" s="693">
        <f t="shared" si="248"/>
        <v>0</v>
      </c>
      <c r="U1922" s="1035"/>
      <c r="V1922" s="690"/>
      <c r="W1922" s="1025"/>
      <c r="X1922" s="1030"/>
      <c r="Y1922" s="694">
        <f t="shared" si="249"/>
        <v>0</v>
      </c>
      <c r="Z1922" s="690"/>
      <c r="AA1922" s="690"/>
      <c r="AB1922" s="695">
        <f t="shared" si="250"/>
        <v>0</v>
      </c>
      <c r="AC1922" s="1035"/>
      <c r="AD1922" s="690"/>
      <c r="AE1922" s="1025"/>
      <c r="AF1922" s="1030"/>
      <c r="AG1922" s="690"/>
      <c r="AH1922" s="690"/>
      <c r="AI1922" s="696">
        <f t="shared" si="251"/>
        <v>0</v>
      </c>
      <c r="AJ1922" s="697">
        <f t="shared" si="252"/>
        <v>0</v>
      </c>
    </row>
    <row r="1923" spans="1:36" s="700" customFormat="1">
      <c r="A1923" s="922" t="s">
        <v>213</v>
      </c>
      <c r="B1923" s="929" t="s">
        <v>381</v>
      </c>
      <c r="C1923" s="926" t="s">
        <v>377</v>
      </c>
      <c r="D1923" s="926"/>
      <c r="E1923" s="924"/>
      <c r="F1923" s="925"/>
      <c r="G1923" s="1025"/>
      <c r="H1923" s="690"/>
      <c r="I1923" s="1030"/>
      <c r="J1923" s="690"/>
      <c r="K1923" s="1030"/>
      <c r="L1923" s="690"/>
      <c r="M1923" s="1025"/>
      <c r="N1923" s="1030"/>
      <c r="O1923" s="692">
        <f t="shared" si="245"/>
        <v>0</v>
      </c>
      <c r="P1923" s="690"/>
      <c r="Q1923" s="690"/>
      <c r="R1923" s="691">
        <f t="shared" si="246"/>
        <v>0</v>
      </c>
      <c r="S1923" s="692">
        <f t="shared" si="247"/>
        <v>0</v>
      </c>
      <c r="T1923" s="693">
        <f t="shared" si="248"/>
        <v>0</v>
      </c>
      <c r="U1923" s="1035"/>
      <c r="V1923" s="690"/>
      <c r="W1923" s="1025"/>
      <c r="X1923" s="1030"/>
      <c r="Y1923" s="694">
        <f t="shared" si="249"/>
        <v>0</v>
      </c>
      <c r="Z1923" s="690"/>
      <c r="AA1923" s="690"/>
      <c r="AB1923" s="695">
        <f t="shared" si="250"/>
        <v>0</v>
      </c>
      <c r="AC1923" s="1035"/>
      <c r="AD1923" s="690"/>
      <c r="AE1923" s="1025"/>
      <c r="AF1923" s="1030"/>
      <c r="AG1923" s="690"/>
      <c r="AH1923" s="690"/>
      <c r="AI1923" s="696">
        <f t="shared" si="251"/>
        <v>0</v>
      </c>
      <c r="AJ1923" s="697">
        <f t="shared" si="252"/>
        <v>0</v>
      </c>
    </row>
    <row r="1924" spans="1:36" s="700" customFormat="1">
      <c r="A1924" s="908" t="s">
        <v>213</v>
      </c>
      <c r="B1924" s="908" t="s">
        <v>421</v>
      </c>
      <c r="C1924" s="919" t="s">
        <v>1243</v>
      </c>
      <c r="D1924" s="919"/>
      <c r="E1924" s="916"/>
      <c r="F1924" s="917"/>
      <c r="G1924" s="1025"/>
      <c r="H1924" s="690"/>
      <c r="I1924" s="1030"/>
      <c r="J1924" s="690"/>
      <c r="K1924" s="1030"/>
      <c r="L1924" s="690"/>
      <c r="M1924" s="1025"/>
      <c r="N1924" s="1030"/>
      <c r="O1924" s="692">
        <f t="shared" si="245"/>
        <v>0</v>
      </c>
      <c r="P1924" s="690"/>
      <c r="Q1924" s="690"/>
      <c r="R1924" s="691">
        <f t="shared" si="246"/>
        <v>0</v>
      </c>
      <c r="S1924" s="692">
        <f t="shared" si="247"/>
        <v>0</v>
      </c>
      <c r="T1924" s="693">
        <f t="shared" si="248"/>
        <v>0</v>
      </c>
      <c r="U1924" s="1035"/>
      <c r="V1924" s="690"/>
      <c r="W1924" s="1025"/>
      <c r="X1924" s="1030"/>
      <c r="Y1924" s="694">
        <f t="shared" si="249"/>
        <v>0</v>
      </c>
      <c r="Z1924" s="690"/>
      <c r="AA1924" s="690"/>
      <c r="AB1924" s="695">
        <f t="shared" si="250"/>
        <v>0</v>
      </c>
      <c r="AC1924" s="1035"/>
      <c r="AD1924" s="690"/>
      <c r="AE1924" s="1025"/>
      <c r="AF1924" s="1030"/>
      <c r="AG1924" s="690"/>
      <c r="AH1924" s="690"/>
      <c r="AI1924" s="696">
        <f t="shared" si="251"/>
        <v>0</v>
      </c>
      <c r="AJ1924" s="697">
        <f t="shared" si="252"/>
        <v>0</v>
      </c>
    </row>
    <row r="1925" spans="1:36" s="700" customFormat="1">
      <c r="A1925" s="908" t="s">
        <v>213</v>
      </c>
      <c r="B1925" s="927" t="s">
        <v>380</v>
      </c>
      <c r="C1925" s="920" t="s">
        <v>443</v>
      </c>
      <c r="D1925" s="920"/>
      <c r="E1925" s="916"/>
      <c r="F1925" s="917"/>
      <c r="G1925" s="1025"/>
      <c r="H1925" s="690"/>
      <c r="I1925" s="1030"/>
      <c r="J1925" s="690"/>
      <c r="K1925" s="1030"/>
      <c r="L1925" s="690"/>
      <c r="M1925" s="1025"/>
      <c r="N1925" s="1030"/>
      <c r="O1925" s="692">
        <f t="shared" si="245"/>
        <v>0</v>
      </c>
      <c r="P1925" s="690"/>
      <c r="Q1925" s="690"/>
      <c r="R1925" s="691">
        <f t="shared" si="246"/>
        <v>0</v>
      </c>
      <c r="S1925" s="692">
        <f t="shared" si="247"/>
        <v>0</v>
      </c>
      <c r="T1925" s="693">
        <f t="shared" si="248"/>
        <v>0</v>
      </c>
      <c r="U1925" s="1035">
        <v>488621</v>
      </c>
      <c r="V1925" s="690">
        <v>488921</v>
      </c>
      <c r="W1925" s="1025"/>
      <c r="X1925" s="1030"/>
      <c r="Y1925" s="694">
        <f t="shared" si="249"/>
        <v>0</v>
      </c>
      <c r="Z1925" s="690"/>
      <c r="AA1925" s="690"/>
      <c r="AB1925" s="695">
        <f t="shared" si="250"/>
        <v>0</v>
      </c>
      <c r="AC1925" s="1035"/>
      <c r="AD1925" s="690"/>
      <c r="AE1925" s="1025"/>
      <c r="AF1925" s="1030"/>
      <c r="AG1925" s="690"/>
      <c r="AH1925" s="690"/>
      <c r="AI1925" s="696">
        <f t="shared" si="251"/>
        <v>488621</v>
      </c>
      <c r="AJ1925" s="697">
        <f t="shared" si="252"/>
        <v>488921</v>
      </c>
    </row>
    <row r="1926" spans="1:36" s="700" customFormat="1">
      <c r="A1926" s="908" t="s">
        <v>213</v>
      </c>
      <c r="B1926" s="927" t="s">
        <v>381</v>
      </c>
      <c r="C1926" s="920" t="s">
        <v>377</v>
      </c>
      <c r="D1926" s="920"/>
      <c r="E1926" s="916"/>
      <c r="F1926" s="917"/>
      <c r="G1926" s="1025"/>
      <c r="H1926" s="690"/>
      <c r="I1926" s="1030"/>
      <c r="J1926" s="690"/>
      <c r="K1926" s="1030"/>
      <c r="L1926" s="690"/>
      <c r="M1926" s="1025"/>
      <c r="N1926" s="1030"/>
      <c r="O1926" s="692">
        <f t="shared" si="245"/>
        <v>0</v>
      </c>
      <c r="P1926" s="690"/>
      <c r="Q1926" s="690"/>
      <c r="R1926" s="691">
        <f t="shared" si="246"/>
        <v>0</v>
      </c>
      <c r="S1926" s="692">
        <f t="shared" si="247"/>
        <v>0</v>
      </c>
      <c r="T1926" s="693">
        <f t="shared" si="248"/>
        <v>0</v>
      </c>
      <c r="U1926" s="1035"/>
      <c r="V1926" s="690"/>
      <c r="W1926" s="1025"/>
      <c r="X1926" s="1030"/>
      <c r="Y1926" s="694">
        <f t="shared" si="249"/>
        <v>0</v>
      </c>
      <c r="Z1926" s="690"/>
      <c r="AA1926" s="690"/>
      <c r="AB1926" s="695">
        <f t="shared" si="250"/>
        <v>0</v>
      </c>
      <c r="AC1926" s="1035"/>
      <c r="AD1926" s="690"/>
      <c r="AE1926" s="1025"/>
      <c r="AF1926" s="1030"/>
      <c r="AG1926" s="690"/>
      <c r="AH1926" s="690"/>
      <c r="AI1926" s="696">
        <f t="shared" si="251"/>
        <v>0</v>
      </c>
      <c r="AJ1926" s="697">
        <f t="shared" si="252"/>
        <v>0</v>
      </c>
    </row>
    <row r="1927" spans="1:36" s="700" customFormat="1">
      <c r="A1927" s="908" t="s">
        <v>213</v>
      </c>
      <c r="B1927" s="908" t="s">
        <v>421</v>
      </c>
      <c r="C1927" s="919" t="s">
        <v>1244</v>
      </c>
      <c r="D1927" s="919"/>
      <c r="E1927" s="916"/>
      <c r="F1927" s="917"/>
      <c r="G1927" s="1025"/>
      <c r="H1927" s="690"/>
      <c r="I1927" s="1030"/>
      <c r="J1927" s="690"/>
      <c r="K1927" s="1030"/>
      <c r="L1927" s="690"/>
      <c r="M1927" s="1025"/>
      <c r="N1927" s="1030"/>
      <c r="O1927" s="692">
        <f t="shared" si="245"/>
        <v>0</v>
      </c>
      <c r="P1927" s="690"/>
      <c r="Q1927" s="690"/>
      <c r="R1927" s="691">
        <f t="shared" si="246"/>
        <v>0</v>
      </c>
      <c r="S1927" s="692">
        <f t="shared" si="247"/>
        <v>0</v>
      </c>
      <c r="T1927" s="693">
        <f t="shared" si="248"/>
        <v>0</v>
      </c>
      <c r="U1927" s="1035"/>
      <c r="V1927" s="690"/>
      <c r="W1927" s="1025"/>
      <c r="X1927" s="1030"/>
      <c r="Y1927" s="694">
        <f t="shared" si="249"/>
        <v>0</v>
      </c>
      <c r="Z1927" s="690"/>
      <c r="AA1927" s="690"/>
      <c r="AB1927" s="695">
        <f t="shared" si="250"/>
        <v>0</v>
      </c>
      <c r="AC1927" s="1035"/>
      <c r="AD1927" s="690"/>
      <c r="AE1927" s="1025"/>
      <c r="AF1927" s="1030"/>
      <c r="AG1927" s="690"/>
      <c r="AH1927" s="690"/>
      <c r="AI1927" s="696">
        <f t="shared" si="251"/>
        <v>0</v>
      </c>
      <c r="AJ1927" s="697">
        <f t="shared" si="252"/>
        <v>0</v>
      </c>
    </row>
    <row r="1928" spans="1:36" s="700" customFormat="1">
      <c r="A1928" s="908" t="s">
        <v>213</v>
      </c>
      <c r="B1928" s="908" t="s">
        <v>380</v>
      </c>
      <c r="C1928" s="912" t="s">
        <v>443</v>
      </c>
      <c r="D1928" s="912"/>
      <c r="E1928" s="916"/>
      <c r="F1928" s="917"/>
      <c r="G1928" s="1025"/>
      <c r="H1928" s="690"/>
      <c r="I1928" s="1030"/>
      <c r="J1928" s="690"/>
      <c r="K1928" s="1030"/>
      <c r="L1928" s="690"/>
      <c r="M1928" s="1025"/>
      <c r="N1928" s="1030"/>
      <c r="O1928" s="692">
        <f t="shared" si="245"/>
        <v>0</v>
      </c>
      <c r="P1928" s="690"/>
      <c r="Q1928" s="690"/>
      <c r="R1928" s="691">
        <f t="shared" si="246"/>
        <v>0</v>
      </c>
      <c r="S1928" s="692">
        <f t="shared" si="247"/>
        <v>0</v>
      </c>
      <c r="T1928" s="693">
        <f t="shared" si="248"/>
        <v>0</v>
      </c>
      <c r="U1928" s="1035"/>
      <c r="V1928" s="690"/>
      <c r="W1928" s="1025"/>
      <c r="X1928" s="1030"/>
      <c r="Y1928" s="694">
        <f t="shared" si="249"/>
        <v>0</v>
      </c>
      <c r="Z1928" s="690"/>
      <c r="AA1928" s="690"/>
      <c r="AB1928" s="695">
        <f t="shared" si="250"/>
        <v>0</v>
      </c>
      <c r="AC1928" s="1035"/>
      <c r="AD1928" s="690"/>
      <c r="AE1928" s="1025"/>
      <c r="AF1928" s="1030"/>
      <c r="AG1928" s="690"/>
      <c r="AH1928" s="690"/>
      <c r="AI1928" s="696">
        <f t="shared" si="251"/>
        <v>0</v>
      </c>
      <c r="AJ1928" s="697">
        <f t="shared" si="252"/>
        <v>0</v>
      </c>
    </row>
    <row r="1929" spans="1:36" s="700" customFormat="1">
      <c r="A1929" s="908" t="s">
        <v>213</v>
      </c>
      <c r="B1929" s="908" t="s">
        <v>381</v>
      </c>
      <c r="C1929" s="912" t="s">
        <v>377</v>
      </c>
      <c r="D1929" s="912"/>
      <c r="E1929" s="916"/>
      <c r="F1929" s="917"/>
      <c r="G1929" s="1025"/>
      <c r="H1929" s="690"/>
      <c r="I1929" s="1030"/>
      <c r="J1929" s="690"/>
      <c r="K1929" s="1030"/>
      <c r="L1929" s="690"/>
      <c r="M1929" s="1025"/>
      <c r="N1929" s="1030"/>
      <c r="O1929" s="692">
        <f t="shared" si="245"/>
        <v>0</v>
      </c>
      <c r="P1929" s="690"/>
      <c r="Q1929" s="690"/>
      <c r="R1929" s="691">
        <f t="shared" si="246"/>
        <v>0</v>
      </c>
      <c r="S1929" s="692">
        <f t="shared" si="247"/>
        <v>0</v>
      </c>
      <c r="T1929" s="693">
        <f t="shared" si="248"/>
        <v>0</v>
      </c>
      <c r="U1929" s="1035">
        <v>3620000</v>
      </c>
      <c r="V1929" s="690">
        <v>3620000</v>
      </c>
      <c r="W1929" s="1025"/>
      <c r="X1929" s="1030"/>
      <c r="Y1929" s="694">
        <f t="shared" si="249"/>
        <v>0</v>
      </c>
      <c r="Z1929" s="690"/>
      <c r="AA1929" s="690"/>
      <c r="AB1929" s="695">
        <f t="shared" si="250"/>
        <v>0</v>
      </c>
      <c r="AC1929" s="1035"/>
      <c r="AD1929" s="690"/>
      <c r="AE1929" s="1025"/>
      <c r="AF1929" s="1030"/>
      <c r="AG1929" s="690"/>
      <c r="AH1929" s="690"/>
      <c r="AI1929" s="696">
        <f t="shared" si="251"/>
        <v>3620000</v>
      </c>
      <c r="AJ1929" s="697">
        <f t="shared" si="252"/>
        <v>3620000</v>
      </c>
    </row>
    <row r="1930" spans="1:36" s="700" customFormat="1">
      <c r="A1930" s="908" t="s">
        <v>213</v>
      </c>
      <c r="B1930" s="908" t="s">
        <v>422</v>
      </c>
      <c r="C1930" s="918" t="s">
        <v>439</v>
      </c>
      <c r="D1930" s="918"/>
      <c r="E1930" s="916"/>
      <c r="F1930" s="917"/>
      <c r="G1930" s="1025"/>
      <c r="H1930" s="690"/>
      <c r="I1930" s="1030"/>
      <c r="J1930" s="690"/>
      <c r="K1930" s="1030"/>
      <c r="L1930" s="690"/>
      <c r="M1930" s="1025"/>
      <c r="N1930" s="1030"/>
      <c r="O1930" s="692">
        <f t="shared" ref="O1930:O1993" si="253">SUM(M1930:N1930)</f>
        <v>0</v>
      </c>
      <c r="P1930" s="690"/>
      <c r="Q1930" s="690"/>
      <c r="R1930" s="691">
        <f t="shared" ref="R1930:R1993" si="254">SUM(P1930:Q1930)</f>
        <v>0</v>
      </c>
      <c r="S1930" s="692">
        <f t="shared" ref="S1930:S1993" si="255">SUM(G1930,I1930,K1930,M1930)</f>
        <v>0</v>
      </c>
      <c r="T1930" s="693">
        <f t="shared" ref="T1930:T1993" si="256">SUM(H1930,J1930,L1930,P1930)</f>
        <v>0</v>
      </c>
      <c r="U1930" s="1035"/>
      <c r="V1930" s="690"/>
      <c r="W1930" s="1025"/>
      <c r="X1930" s="1030"/>
      <c r="Y1930" s="694">
        <f t="shared" ref="Y1930:Y1993" si="257">SUM(W1930:X1930)</f>
        <v>0</v>
      </c>
      <c r="Z1930" s="690"/>
      <c r="AA1930" s="690"/>
      <c r="AB1930" s="695">
        <f t="shared" ref="AB1930:AB1993" si="258">SUM(Z1930:AA1930)</f>
        <v>0</v>
      </c>
      <c r="AC1930" s="1035"/>
      <c r="AD1930" s="690"/>
      <c r="AE1930" s="1025"/>
      <c r="AF1930" s="1030"/>
      <c r="AG1930" s="690"/>
      <c r="AH1930" s="690"/>
      <c r="AI1930" s="696">
        <f t="shared" ref="AI1930:AI1993" si="259">SUM(S1930,U1930,W1930,AC1930,AE1930)</f>
        <v>0</v>
      </c>
      <c r="AJ1930" s="697">
        <f t="shared" ref="AJ1930:AJ1993" si="260">SUM(T1930,V1930,Z1930,AD1930,AG1930)</f>
        <v>0</v>
      </c>
    </row>
    <row r="1931" spans="1:36" s="700" customFormat="1">
      <c r="A1931" s="908" t="s">
        <v>213</v>
      </c>
      <c r="B1931" s="908" t="s">
        <v>422</v>
      </c>
      <c r="C1931" s="919" t="s">
        <v>1245</v>
      </c>
      <c r="D1931" s="919"/>
      <c r="E1931" s="916"/>
      <c r="F1931" s="917"/>
      <c r="G1931" s="1025"/>
      <c r="H1931" s="690"/>
      <c r="I1931" s="1030"/>
      <c r="J1931" s="690"/>
      <c r="K1931" s="1030"/>
      <c r="L1931" s="690"/>
      <c r="M1931" s="1025"/>
      <c r="N1931" s="1030"/>
      <c r="O1931" s="692">
        <f t="shared" si="253"/>
        <v>0</v>
      </c>
      <c r="P1931" s="690"/>
      <c r="Q1931" s="690"/>
      <c r="R1931" s="691">
        <f t="shared" si="254"/>
        <v>0</v>
      </c>
      <c r="S1931" s="692">
        <f t="shared" si="255"/>
        <v>0</v>
      </c>
      <c r="T1931" s="693">
        <f t="shared" si="256"/>
        <v>0</v>
      </c>
      <c r="U1931" s="1035"/>
      <c r="V1931" s="690"/>
      <c r="W1931" s="1025"/>
      <c r="X1931" s="1030"/>
      <c r="Y1931" s="694">
        <f t="shared" si="257"/>
        <v>0</v>
      </c>
      <c r="Z1931" s="690"/>
      <c r="AA1931" s="690"/>
      <c r="AB1931" s="695">
        <f t="shared" si="258"/>
        <v>0</v>
      </c>
      <c r="AC1931" s="1035"/>
      <c r="AD1931" s="690"/>
      <c r="AE1931" s="1025"/>
      <c r="AF1931" s="1030"/>
      <c r="AG1931" s="690"/>
      <c r="AH1931" s="690"/>
      <c r="AI1931" s="696">
        <f t="shared" si="259"/>
        <v>0</v>
      </c>
      <c r="AJ1931" s="697">
        <f t="shared" si="260"/>
        <v>0</v>
      </c>
    </row>
    <row r="1932" spans="1:36" s="700" customFormat="1">
      <c r="A1932" s="908" t="s">
        <v>213</v>
      </c>
      <c r="B1932" s="927" t="s">
        <v>382</v>
      </c>
      <c r="C1932" s="920" t="s">
        <v>443</v>
      </c>
      <c r="D1932" s="920"/>
      <c r="E1932" s="916"/>
      <c r="F1932" s="917"/>
      <c r="G1932" s="1025"/>
      <c r="H1932" s="690"/>
      <c r="I1932" s="1030"/>
      <c r="J1932" s="690"/>
      <c r="K1932" s="1030"/>
      <c r="L1932" s="690"/>
      <c r="M1932" s="1025"/>
      <c r="N1932" s="1030"/>
      <c r="O1932" s="692">
        <f t="shared" si="253"/>
        <v>0</v>
      </c>
      <c r="P1932" s="690"/>
      <c r="Q1932" s="690"/>
      <c r="R1932" s="691">
        <f t="shared" si="254"/>
        <v>0</v>
      </c>
      <c r="S1932" s="692">
        <f t="shared" si="255"/>
        <v>0</v>
      </c>
      <c r="T1932" s="693">
        <f t="shared" si="256"/>
        <v>0</v>
      </c>
      <c r="U1932" s="1035">
        <v>44304452</v>
      </c>
      <c r="V1932" s="690">
        <v>45896963</v>
      </c>
      <c r="W1932" s="1025"/>
      <c r="X1932" s="1030"/>
      <c r="Y1932" s="694">
        <f t="shared" si="257"/>
        <v>0</v>
      </c>
      <c r="Z1932" s="690"/>
      <c r="AA1932" s="690"/>
      <c r="AB1932" s="695">
        <f t="shared" si="258"/>
        <v>0</v>
      </c>
      <c r="AC1932" s="1035"/>
      <c r="AD1932" s="690"/>
      <c r="AE1932" s="1025"/>
      <c r="AF1932" s="1030"/>
      <c r="AG1932" s="690"/>
      <c r="AH1932" s="690"/>
      <c r="AI1932" s="696">
        <f t="shared" si="259"/>
        <v>44304452</v>
      </c>
      <c r="AJ1932" s="697">
        <f t="shared" si="260"/>
        <v>45896963</v>
      </c>
    </row>
    <row r="1933" spans="1:36" s="700" customFormat="1">
      <c r="A1933" s="908" t="s">
        <v>213</v>
      </c>
      <c r="B1933" s="927" t="s">
        <v>383</v>
      </c>
      <c r="C1933" s="920" t="s">
        <v>377</v>
      </c>
      <c r="D1933" s="920"/>
      <c r="E1933" s="916"/>
      <c r="F1933" s="917"/>
      <c r="G1933" s="1025"/>
      <c r="H1933" s="690"/>
      <c r="I1933" s="1030"/>
      <c r="J1933" s="690"/>
      <c r="K1933" s="1030"/>
      <c r="L1933" s="690"/>
      <c r="M1933" s="1025"/>
      <c r="N1933" s="1030"/>
      <c r="O1933" s="692">
        <f t="shared" si="253"/>
        <v>0</v>
      </c>
      <c r="P1933" s="690"/>
      <c r="Q1933" s="690"/>
      <c r="R1933" s="691">
        <f t="shared" si="254"/>
        <v>0</v>
      </c>
      <c r="S1933" s="692">
        <f t="shared" si="255"/>
        <v>0</v>
      </c>
      <c r="T1933" s="693">
        <f t="shared" si="256"/>
        <v>0</v>
      </c>
      <c r="U1933" s="1035"/>
      <c r="V1933" s="690"/>
      <c r="W1933" s="1025"/>
      <c r="X1933" s="1030"/>
      <c r="Y1933" s="694">
        <f t="shared" si="257"/>
        <v>0</v>
      </c>
      <c r="Z1933" s="690"/>
      <c r="AA1933" s="690"/>
      <c r="AB1933" s="695">
        <f t="shared" si="258"/>
        <v>0</v>
      </c>
      <c r="AC1933" s="1035"/>
      <c r="AD1933" s="690"/>
      <c r="AE1933" s="1025"/>
      <c r="AF1933" s="1030"/>
      <c r="AG1933" s="690"/>
      <c r="AH1933" s="690"/>
      <c r="AI1933" s="696">
        <f t="shared" si="259"/>
        <v>0</v>
      </c>
      <c r="AJ1933" s="697">
        <f t="shared" si="260"/>
        <v>0</v>
      </c>
    </row>
    <row r="1934" spans="1:36" s="700" customFormat="1">
      <c r="A1934" s="908" t="s">
        <v>213</v>
      </c>
      <c r="B1934" s="908" t="s">
        <v>422</v>
      </c>
      <c r="C1934" s="919" t="s">
        <v>1246</v>
      </c>
      <c r="D1934" s="919"/>
      <c r="E1934" s="916"/>
      <c r="F1934" s="917"/>
      <c r="G1934" s="1025"/>
      <c r="H1934" s="690"/>
      <c r="I1934" s="1030"/>
      <c r="J1934" s="690"/>
      <c r="K1934" s="1030"/>
      <c r="L1934" s="690"/>
      <c r="M1934" s="1025"/>
      <c r="N1934" s="1030"/>
      <c r="O1934" s="692">
        <f t="shared" si="253"/>
        <v>0</v>
      </c>
      <c r="P1934" s="690"/>
      <c r="Q1934" s="690"/>
      <c r="R1934" s="691">
        <f t="shared" si="254"/>
        <v>0</v>
      </c>
      <c r="S1934" s="692">
        <f t="shared" si="255"/>
        <v>0</v>
      </c>
      <c r="T1934" s="693">
        <f t="shared" si="256"/>
        <v>0</v>
      </c>
      <c r="U1934" s="1035"/>
      <c r="V1934" s="690"/>
      <c r="W1934" s="1025"/>
      <c r="X1934" s="1030"/>
      <c r="Y1934" s="694">
        <f t="shared" si="257"/>
        <v>0</v>
      </c>
      <c r="Z1934" s="690"/>
      <c r="AA1934" s="690"/>
      <c r="AB1934" s="695">
        <f t="shared" si="258"/>
        <v>0</v>
      </c>
      <c r="AC1934" s="1035"/>
      <c r="AD1934" s="690"/>
      <c r="AE1934" s="1025"/>
      <c r="AF1934" s="1030"/>
      <c r="AG1934" s="690"/>
      <c r="AH1934" s="690"/>
      <c r="AI1934" s="696">
        <f t="shared" si="259"/>
        <v>0</v>
      </c>
      <c r="AJ1934" s="697">
        <f t="shared" si="260"/>
        <v>0</v>
      </c>
    </row>
    <row r="1935" spans="1:36" s="700" customFormat="1">
      <c r="A1935" s="908" t="s">
        <v>213</v>
      </c>
      <c r="B1935" s="927" t="s">
        <v>382</v>
      </c>
      <c r="C1935" s="920" t="s">
        <v>443</v>
      </c>
      <c r="D1935" s="920"/>
      <c r="E1935" s="916"/>
      <c r="F1935" s="917"/>
      <c r="G1935" s="1025"/>
      <c r="H1935" s="690"/>
      <c r="I1935" s="1030"/>
      <c r="J1935" s="690"/>
      <c r="K1935" s="1030"/>
      <c r="L1935" s="690"/>
      <c r="M1935" s="1025"/>
      <c r="N1935" s="1030"/>
      <c r="O1935" s="692">
        <f t="shared" si="253"/>
        <v>0</v>
      </c>
      <c r="P1935" s="690"/>
      <c r="Q1935" s="690"/>
      <c r="R1935" s="691">
        <f t="shared" si="254"/>
        <v>0</v>
      </c>
      <c r="S1935" s="692">
        <f t="shared" si="255"/>
        <v>0</v>
      </c>
      <c r="T1935" s="693">
        <f t="shared" si="256"/>
        <v>0</v>
      </c>
      <c r="U1935" s="1035"/>
      <c r="V1935" s="690"/>
      <c r="W1935" s="1025"/>
      <c r="X1935" s="1030"/>
      <c r="Y1935" s="694">
        <f t="shared" si="257"/>
        <v>0</v>
      </c>
      <c r="Z1935" s="690"/>
      <c r="AA1935" s="690"/>
      <c r="AB1935" s="695">
        <f t="shared" si="258"/>
        <v>0</v>
      </c>
      <c r="AC1935" s="1035"/>
      <c r="AD1935" s="690"/>
      <c r="AE1935" s="1025"/>
      <c r="AF1935" s="1030"/>
      <c r="AG1935" s="690"/>
      <c r="AH1935" s="690"/>
      <c r="AI1935" s="696">
        <f t="shared" si="259"/>
        <v>0</v>
      </c>
      <c r="AJ1935" s="697">
        <f t="shared" si="260"/>
        <v>0</v>
      </c>
    </row>
    <row r="1936" spans="1:36" s="700" customFormat="1">
      <c r="A1936" s="908" t="s">
        <v>213</v>
      </c>
      <c r="B1936" s="927" t="s">
        <v>383</v>
      </c>
      <c r="C1936" s="920" t="s">
        <v>377</v>
      </c>
      <c r="D1936" s="920"/>
      <c r="E1936" s="916"/>
      <c r="F1936" s="917"/>
      <c r="G1936" s="1025"/>
      <c r="H1936" s="690"/>
      <c r="I1936" s="1030"/>
      <c r="J1936" s="690"/>
      <c r="K1936" s="1030"/>
      <c r="L1936" s="690"/>
      <c r="M1936" s="1025"/>
      <c r="N1936" s="1030"/>
      <c r="O1936" s="692">
        <f t="shared" si="253"/>
        <v>0</v>
      </c>
      <c r="P1936" s="690"/>
      <c r="Q1936" s="690"/>
      <c r="R1936" s="691">
        <f t="shared" si="254"/>
        <v>0</v>
      </c>
      <c r="S1936" s="692">
        <f t="shared" si="255"/>
        <v>0</v>
      </c>
      <c r="T1936" s="693">
        <f t="shared" si="256"/>
        <v>0</v>
      </c>
      <c r="U1936" s="1035">
        <v>55237805.5</v>
      </c>
      <c r="V1936" s="690">
        <v>58269681</v>
      </c>
      <c r="W1936" s="1025"/>
      <c r="X1936" s="1030"/>
      <c r="Y1936" s="694">
        <f t="shared" si="257"/>
        <v>0</v>
      </c>
      <c r="Z1936" s="690"/>
      <c r="AA1936" s="690"/>
      <c r="AB1936" s="695">
        <f t="shared" si="258"/>
        <v>0</v>
      </c>
      <c r="AC1936" s="1035"/>
      <c r="AD1936" s="690"/>
      <c r="AE1936" s="1025"/>
      <c r="AF1936" s="1030"/>
      <c r="AG1936" s="690"/>
      <c r="AH1936" s="690"/>
      <c r="AI1936" s="696">
        <f t="shared" si="259"/>
        <v>55237805.5</v>
      </c>
      <c r="AJ1936" s="697">
        <f t="shared" si="260"/>
        <v>58269681</v>
      </c>
    </row>
    <row r="1937" spans="1:36" s="700" customFormat="1" ht="12.75" customHeight="1">
      <c r="A1937" s="1081" t="s">
        <v>213</v>
      </c>
      <c r="B1937" s="789" t="s">
        <v>392</v>
      </c>
      <c r="C1937" s="930" t="s">
        <v>1247</v>
      </c>
      <c r="D1937" s="930"/>
      <c r="E1937" s="791">
        <v>197887</v>
      </c>
      <c r="F1937" s="792">
        <v>8</v>
      </c>
      <c r="G1937" s="1025">
        <v>21480047</v>
      </c>
      <c r="H1937" s="690">
        <v>21653702</v>
      </c>
      <c r="I1937" s="1030"/>
      <c r="J1937" s="690"/>
      <c r="K1937" s="1162">
        <v>9103225</v>
      </c>
      <c r="L1937" s="1163">
        <v>9269278</v>
      </c>
      <c r="M1937" s="1025">
        <v>6248523</v>
      </c>
      <c r="N1937" s="1030"/>
      <c r="O1937" s="692">
        <f t="shared" si="253"/>
        <v>6248523</v>
      </c>
      <c r="P1937" s="690">
        <v>8453400</v>
      </c>
      <c r="Q1937" s="690"/>
      <c r="R1937" s="691">
        <f t="shared" si="254"/>
        <v>8453400</v>
      </c>
      <c r="S1937" s="692">
        <f t="shared" si="255"/>
        <v>36831795</v>
      </c>
      <c r="T1937" s="693">
        <f t="shared" si="256"/>
        <v>39376380</v>
      </c>
      <c r="U1937" s="1035"/>
      <c r="V1937" s="690"/>
      <c r="W1937" s="1025"/>
      <c r="X1937" s="1030"/>
      <c r="Y1937" s="694">
        <f t="shared" si="257"/>
        <v>0</v>
      </c>
      <c r="Z1937" s="690"/>
      <c r="AA1937" s="690"/>
      <c r="AB1937" s="695">
        <f t="shared" si="258"/>
        <v>0</v>
      </c>
      <c r="AC1937" s="1035"/>
      <c r="AD1937" s="690"/>
      <c r="AE1937" s="1025"/>
      <c r="AF1937" s="1030"/>
      <c r="AG1937" s="690"/>
      <c r="AH1937" s="690"/>
      <c r="AI1937" s="696">
        <f t="shared" si="259"/>
        <v>36831795</v>
      </c>
      <c r="AJ1937" s="697">
        <f t="shared" si="260"/>
        <v>39376380</v>
      </c>
    </row>
    <row r="1938" spans="1:36" s="700" customFormat="1" ht="12.75" customHeight="1">
      <c r="A1938" s="789" t="s">
        <v>213</v>
      </c>
      <c r="B1938" s="789" t="s">
        <v>392</v>
      </c>
      <c r="C1938" s="793" t="s">
        <v>1248</v>
      </c>
      <c r="D1938" s="793"/>
      <c r="E1938" s="791">
        <v>197887</v>
      </c>
      <c r="F1938" s="792">
        <v>8</v>
      </c>
      <c r="G1938" s="1025"/>
      <c r="H1938" s="690"/>
      <c r="I1938" s="1030">
        <v>421976</v>
      </c>
      <c r="J1938" s="690">
        <v>426396</v>
      </c>
      <c r="K1938" s="1030"/>
      <c r="L1938" s="690"/>
      <c r="M1938" s="1025"/>
      <c r="N1938" s="1030"/>
      <c r="O1938" s="692">
        <f t="shared" si="253"/>
        <v>0</v>
      </c>
      <c r="P1938" s="690"/>
      <c r="Q1938" s="690"/>
      <c r="R1938" s="691">
        <f t="shared" si="254"/>
        <v>0</v>
      </c>
      <c r="S1938" s="692">
        <f t="shared" si="255"/>
        <v>421976</v>
      </c>
      <c r="T1938" s="693">
        <f t="shared" si="256"/>
        <v>426396</v>
      </c>
      <c r="U1938" s="1035"/>
      <c r="V1938" s="690"/>
      <c r="W1938" s="1025"/>
      <c r="X1938" s="1030"/>
      <c r="Y1938" s="694">
        <f t="shared" si="257"/>
        <v>0</v>
      </c>
      <c r="Z1938" s="690"/>
      <c r="AA1938" s="690"/>
      <c r="AB1938" s="695">
        <f t="shared" si="258"/>
        <v>0</v>
      </c>
      <c r="AC1938" s="1035"/>
      <c r="AD1938" s="690"/>
      <c r="AE1938" s="1025"/>
      <c r="AF1938" s="1030"/>
      <c r="AG1938" s="690"/>
      <c r="AH1938" s="690"/>
      <c r="AI1938" s="696">
        <f t="shared" si="259"/>
        <v>421976</v>
      </c>
      <c r="AJ1938" s="697">
        <f t="shared" si="260"/>
        <v>426396</v>
      </c>
    </row>
    <row r="1939" spans="1:36" s="700" customFormat="1" ht="12.75" customHeight="1">
      <c r="A1939" s="789" t="s">
        <v>213</v>
      </c>
      <c r="B1939" s="789" t="s">
        <v>394</v>
      </c>
      <c r="C1939" s="793" t="s">
        <v>451</v>
      </c>
      <c r="D1939" s="793"/>
      <c r="E1939" s="791">
        <v>197887</v>
      </c>
      <c r="F1939" s="792">
        <v>8</v>
      </c>
      <c r="G1939" s="1025"/>
      <c r="H1939" s="690"/>
      <c r="I1939" s="1030">
        <v>163206</v>
      </c>
      <c r="J1939" s="690">
        <v>171573</v>
      </c>
      <c r="K1939" s="1030"/>
      <c r="L1939" s="690"/>
      <c r="M1939" s="1025"/>
      <c r="N1939" s="1030"/>
      <c r="O1939" s="692">
        <f t="shared" si="253"/>
        <v>0</v>
      </c>
      <c r="P1939" s="690"/>
      <c r="Q1939" s="690"/>
      <c r="R1939" s="691">
        <f t="shared" si="254"/>
        <v>0</v>
      </c>
      <c r="S1939" s="692">
        <f t="shared" si="255"/>
        <v>163206</v>
      </c>
      <c r="T1939" s="693">
        <f t="shared" si="256"/>
        <v>171573</v>
      </c>
      <c r="U1939" s="1035"/>
      <c r="V1939" s="690"/>
      <c r="W1939" s="1025"/>
      <c r="X1939" s="1030"/>
      <c r="Y1939" s="694">
        <f t="shared" si="257"/>
        <v>0</v>
      </c>
      <c r="Z1939" s="690"/>
      <c r="AA1939" s="690"/>
      <c r="AB1939" s="695">
        <f t="shared" si="258"/>
        <v>0</v>
      </c>
      <c r="AC1939" s="1035"/>
      <c r="AD1939" s="690"/>
      <c r="AE1939" s="1025"/>
      <c r="AF1939" s="1030"/>
      <c r="AG1939" s="690"/>
      <c r="AH1939" s="690"/>
      <c r="AI1939" s="696">
        <f t="shared" si="259"/>
        <v>163206</v>
      </c>
      <c r="AJ1939" s="697">
        <f t="shared" si="260"/>
        <v>171573</v>
      </c>
    </row>
    <row r="1940" spans="1:36" s="700" customFormat="1" ht="12.75" customHeight="1">
      <c r="A1940" s="789" t="s">
        <v>213</v>
      </c>
      <c r="B1940" s="789" t="s">
        <v>403</v>
      </c>
      <c r="C1940" s="793" t="s">
        <v>386</v>
      </c>
      <c r="D1940" s="793"/>
      <c r="E1940" s="791">
        <v>197887</v>
      </c>
      <c r="F1940" s="792">
        <v>8</v>
      </c>
      <c r="G1940" s="1025"/>
      <c r="H1940" s="690"/>
      <c r="I1940" s="1030">
        <v>1683389</v>
      </c>
      <c r="J1940" s="690">
        <v>1374355</v>
      </c>
      <c r="K1940" s="1030"/>
      <c r="L1940" s="690"/>
      <c r="M1940" s="1025">
        <v>411059</v>
      </c>
      <c r="N1940" s="1030"/>
      <c r="O1940" s="692">
        <f t="shared" si="253"/>
        <v>411059</v>
      </c>
      <c r="P1940" s="690">
        <v>571430</v>
      </c>
      <c r="Q1940" s="690"/>
      <c r="R1940" s="691">
        <f t="shared" si="254"/>
        <v>571430</v>
      </c>
      <c r="S1940" s="692">
        <f t="shared" si="255"/>
        <v>2094448</v>
      </c>
      <c r="T1940" s="693">
        <f t="shared" si="256"/>
        <v>1945785</v>
      </c>
      <c r="U1940" s="1035"/>
      <c r="V1940" s="690"/>
      <c r="W1940" s="1025"/>
      <c r="X1940" s="1030"/>
      <c r="Y1940" s="694">
        <f t="shared" si="257"/>
        <v>0</v>
      </c>
      <c r="Z1940" s="690"/>
      <c r="AA1940" s="690"/>
      <c r="AB1940" s="695">
        <f t="shared" si="258"/>
        <v>0</v>
      </c>
      <c r="AC1940" s="1035"/>
      <c r="AD1940" s="690"/>
      <c r="AE1940" s="1025"/>
      <c r="AF1940" s="1030"/>
      <c r="AG1940" s="690"/>
      <c r="AH1940" s="690"/>
      <c r="AI1940" s="696">
        <f t="shared" si="259"/>
        <v>2094448</v>
      </c>
      <c r="AJ1940" s="697">
        <f t="shared" si="260"/>
        <v>1945785</v>
      </c>
    </row>
    <row r="1941" spans="1:36" s="700" customFormat="1" ht="12.75" customHeight="1">
      <c r="A1941" s="789" t="s">
        <v>213</v>
      </c>
      <c r="B1941" s="789" t="s">
        <v>392</v>
      </c>
      <c r="C1941" s="930" t="s">
        <v>1249</v>
      </c>
      <c r="D1941" s="930"/>
      <c r="E1941" s="791">
        <v>198154</v>
      </c>
      <c r="F1941" s="792">
        <v>8</v>
      </c>
      <c r="G1941" s="1025">
        <v>25795956</v>
      </c>
      <c r="H1941" s="690">
        <v>27576716</v>
      </c>
      <c r="I1941" s="1030"/>
      <c r="J1941" s="690"/>
      <c r="K1941" s="1162">
        <v>6228154</v>
      </c>
      <c r="L1941" s="1163">
        <v>6389590</v>
      </c>
      <c r="M1941" s="1025">
        <v>10166516</v>
      </c>
      <c r="N1941" s="1030"/>
      <c r="O1941" s="692">
        <f t="shared" si="253"/>
        <v>10166516</v>
      </c>
      <c r="P1941" s="690">
        <v>13146759</v>
      </c>
      <c r="Q1941" s="690"/>
      <c r="R1941" s="691">
        <f t="shared" si="254"/>
        <v>13146759</v>
      </c>
      <c r="S1941" s="692">
        <f t="shared" si="255"/>
        <v>42190626</v>
      </c>
      <c r="T1941" s="693">
        <f t="shared" si="256"/>
        <v>47113065</v>
      </c>
      <c r="U1941" s="1035"/>
      <c r="V1941" s="690"/>
      <c r="W1941" s="1025"/>
      <c r="X1941" s="1030"/>
      <c r="Y1941" s="694">
        <f t="shared" si="257"/>
        <v>0</v>
      </c>
      <c r="Z1941" s="690"/>
      <c r="AA1941" s="690"/>
      <c r="AB1941" s="695">
        <f t="shared" si="258"/>
        <v>0</v>
      </c>
      <c r="AC1941" s="1035"/>
      <c r="AD1941" s="690"/>
      <c r="AE1941" s="1025"/>
      <c r="AF1941" s="1030"/>
      <c r="AG1941" s="690"/>
      <c r="AH1941" s="690"/>
      <c r="AI1941" s="696">
        <f t="shared" si="259"/>
        <v>42190626</v>
      </c>
      <c r="AJ1941" s="697">
        <f t="shared" si="260"/>
        <v>47113065</v>
      </c>
    </row>
    <row r="1942" spans="1:36" s="700" customFormat="1" ht="12.75" customHeight="1">
      <c r="A1942" s="789" t="s">
        <v>213</v>
      </c>
      <c r="B1942" s="789" t="s">
        <v>392</v>
      </c>
      <c r="C1942" s="793" t="s">
        <v>1248</v>
      </c>
      <c r="D1942" s="793"/>
      <c r="E1942" s="791">
        <v>198154</v>
      </c>
      <c r="F1942" s="792">
        <v>8</v>
      </c>
      <c r="G1942" s="1025"/>
      <c r="H1942" s="690"/>
      <c r="I1942" s="1030">
        <v>245292</v>
      </c>
      <c r="J1942" s="690">
        <v>248189</v>
      </c>
      <c r="K1942" s="1030"/>
      <c r="L1942" s="690"/>
      <c r="M1942" s="1025"/>
      <c r="N1942" s="1030"/>
      <c r="O1942" s="692">
        <f t="shared" si="253"/>
        <v>0</v>
      </c>
      <c r="P1942" s="690"/>
      <c r="Q1942" s="690"/>
      <c r="R1942" s="691">
        <f t="shared" si="254"/>
        <v>0</v>
      </c>
      <c r="S1942" s="692">
        <f t="shared" si="255"/>
        <v>245292</v>
      </c>
      <c r="T1942" s="693">
        <f t="shared" si="256"/>
        <v>248189</v>
      </c>
      <c r="U1942" s="1035"/>
      <c r="V1942" s="690"/>
      <c r="W1942" s="1025"/>
      <c r="X1942" s="1030"/>
      <c r="Y1942" s="694">
        <f t="shared" si="257"/>
        <v>0</v>
      </c>
      <c r="Z1942" s="690"/>
      <c r="AA1942" s="690"/>
      <c r="AB1942" s="695">
        <f t="shared" si="258"/>
        <v>0</v>
      </c>
      <c r="AC1942" s="1035"/>
      <c r="AD1942" s="690"/>
      <c r="AE1942" s="1025"/>
      <c r="AF1942" s="1030"/>
      <c r="AG1942" s="690"/>
      <c r="AH1942" s="690"/>
      <c r="AI1942" s="696">
        <f t="shared" si="259"/>
        <v>245292</v>
      </c>
      <c r="AJ1942" s="697">
        <f t="shared" si="260"/>
        <v>248189</v>
      </c>
    </row>
    <row r="1943" spans="1:36" s="700" customFormat="1" ht="12.75" customHeight="1">
      <c r="A1943" s="789" t="s">
        <v>213</v>
      </c>
      <c r="B1943" s="789" t="s">
        <v>394</v>
      </c>
      <c r="C1943" s="793" t="s">
        <v>451</v>
      </c>
      <c r="D1943" s="793"/>
      <c r="E1943" s="791">
        <v>198154</v>
      </c>
      <c r="F1943" s="792">
        <v>8</v>
      </c>
      <c r="G1943" s="1025"/>
      <c r="H1943" s="690"/>
      <c r="I1943" s="1030">
        <v>152306</v>
      </c>
      <c r="J1943" s="690">
        <v>165124</v>
      </c>
      <c r="K1943" s="1030"/>
      <c r="L1943" s="690"/>
      <c r="M1943" s="1025"/>
      <c r="N1943" s="1030"/>
      <c r="O1943" s="692">
        <f t="shared" si="253"/>
        <v>0</v>
      </c>
      <c r="P1943" s="690"/>
      <c r="Q1943" s="690"/>
      <c r="R1943" s="691">
        <f t="shared" si="254"/>
        <v>0</v>
      </c>
      <c r="S1943" s="692">
        <f t="shared" si="255"/>
        <v>152306</v>
      </c>
      <c r="T1943" s="693">
        <f t="shared" si="256"/>
        <v>165124</v>
      </c>
      <c r="U1943" s="1035"/>
      <c r="V1943" s="690"/>
      <c r="W1943" s="1025"/>
      <c r="X1943" s="1030"/>
      <c r="Y1943" s="694">
        <f t="shared" si="257"/>
        <v>0</v>
      </c>
      <c r="Z1943" s="690"/>
      <c r="AA1943" s="690"/>
      <c r="AB1943" s="695">
        <f t="shared" si="258"/>
        <v>0</v>
      </c>
      <c r="AC1943" s="1035"/>
      <c r="AD1943" s="690"/>
      <c r="AE1943" s="1025"/>
      <c r="AF1943" s="1030"/>
      <c r="AG1943" s="690"/>
      <c r="AH1943" s="690"/>
      <c r="AI1943" s="696">
        <f t="shared" si="259"/>
        <v>152306</v>
      </c>
      <c r="AJ1943" s="697">
        <f t="shared" si="260"/>
        <v>165124</v>
      </c>
    </row>
    <row r="1944" spans="1:36" s="700" customFormat="1" ht="12.75" customHeight="1">
      <c r="A1944" s="789" t="s">
        <v>213</v>
      </c>
      <c r="B1944" s="789" t="s">
        <v>403</v>
      </c>
      <c r="C1944" s="793" t="s">
        <v>386</v>
      </c>
      <c r="D1944" s="793"/>
      <c r="E1944" s="791">
        <v>198154</v>
      </c>
      <c r="F1944" s="792">
        <v>8</v>
      </c>
      <c r="G1944" s="1025"/>
      <c r="H1944" s="690"/>
      <c r="I1944" s="1030">
        <v>1663498</v>
      </c>
      <c r="J1944" s="690">
        <v>1577872</v>
      </c>
      <c r="K1944" s="1030"/>
      <c r="L1944" s="690"/>
      <c r="M1944" s="1025">
        <v>314476</v>
      </c>
      <c r="N1944" s="1030"/>
      <c r="O1944" s="692">
        <f t="shared" si="253"/>
        <v>314476</v>
      </c>
      <c r="P1944" s="690">
        <v>552051</v>
      </c>
      <c r="Q1944" s="690"/>
      <c r="R1944" s="691">
        <f t="shared" si="254"/>
        <v>552051</v>
      </c>
      <c r="S1944" s="692">
        <f t="shared" si="255"/>
        <v>1977974</v>
      </c>
      <c r="T1944" s="693">
        <f t="shared" si="256"/>
        <v>2129923</v>
      </c>
      <c r="U1944" s="1035"/>
      <c r="V1944" s="690"/>
      <c r="W1944" s="1025"/>
      <c r="X1944" s="1030"/>
      <c r="Y1944" s="694">
        <f t="shared" si="257"/>
        <v>0</v>
      </c>
      <c r="Z1944" s="690"/>
      <c r="AA1944" s="690"/>
      <c r="AB1944" s="695">
        <f t="shared" si="258"/>
        <v>0</v>
      </c>
      <c r="AC1944" s="1035"/>
      <c r="AD1944" s="690"/>
      <c r="AE1944" s="1025"/>
      <c r="AF1944" s="1030"/>
      <c r="AG1944" s="690"/>
      <c r="AH1944" s="690"/>
      <c r="AI1944" s="696">
        <f t="shared" si="259"/>
        <v>1977974</v>
      </c>
      <c r="AJ1944" s="697">
        <f t="shared" si="260"/>
        <v>2129923</v>
      </c>
    </row>
    <row r="1945" spans="1:36" s="700" customFormat="1" ht="12.75" customHeight="1">
      <c r="A1945" s="789" t="s">
        <v>213</v>
      </c>
      <c r="B1945" s="789" t="s">
        <v>392</v>
      </c>
      <c r="C1945" s="1078" t="s">
        <v>1250</v>
      </c>
      <c r="D1945" s="1079" t="s">
        <v>1968</v>
      </c>
      <c r="E1945" s="791">
        <v>198233</v>
      </c>
      <c r="F1945" s="1080">
        <v>9</v>
      </c>
      <c r="G1945" s="1025">
        <v>16092768</v>
      </c>
      <c r="H1945" s="690">
        <v>17815022</v>
      </c>
      <c r="I1945" s="1030"/>
      <c r="J1945" s="690"/>
      <c r="K1945" s="1162">
        <v>3435000</v>
      </c>
      <c r="L1945" s="1163">
        <v>3652068</v>
      </c>
      <c r="M1945" s="1025">
        <v>5107248</v>
      </c>
      <c r="N1945" s="1030"/>
      <c r="O1945" s="692">
        <f t="shared" si="253"/>
        <v>5107248</v>
      </c>
      <c r="P1945" s="690">
        <v>6298602</v>
      </c>
      <c r="Q1945" s="690"/>
      <c r="R1945" s="691">
        <f t="shared" si="254"/>
        <v>6298602</v>
      </c>
      <c r="S1945" s="692">
        <f t="shared" si="255"/>
        <v>24635016</v>
      </c>
      <c r="T1945" s="693">
        <f t="shared" si="256"/>
        <v>27765692</v>
      </c>
      <c r="U1945" s="1035"/>
      <c r="V1945" s="690"/>
      <c r="W1945" s="1025"/>
      <c r="X1945" s="1030"/>
      <c r="Y1945" s="694">
        <f t="shared" si="257"/>
        <v>0</v>
      </c>
      <c r="Z1945" s="690"/>
      <c r="AA1945" s="690"/>
      <c r="AB1945" s="695">
        <f t="shared" si="258"/>
        <v>0</v>
      </c>
      <c r="AC1945" s="1035"/>
      <c r="AD1945" s="690"/>
      <c r="AE1945" s="1025"/>
      <c r="AF1945" s="1030"/>
      <c r="AG1945" s="690"/>
      <c r="AH1945" s="690"/>
      <c r="AI1945" s="696">
        <f t="shared" si="259"/>
        <v>24635016</v>
      </c>
      <c r="AJ1945" s="697">
        <f t="shared" si="260"/>
        <v>27765692</v>
      </c>
    </row>
    <row r="1946" spans="1:36" s="700" customFormat="1" ht="12.75" customHeight="1">
      <c r="A1946" s="789" t="s">
        <v>213</v>
      </c>
      <c r="B1946" s="789" t="s">
        <v>392</v>
      </c>
      <c r="C1946" s="793" t="s">
        <v>1248</v>
      </c>
      <c r="D1946" s="793"/>
      <c r="E1946" s="791">
        <v>198233</v>
      </c>
      <c r="F1946" s="1080">
        <v>9</v>
      </c>
      <c r="G1946" s="1025"/>
      <c r="H1946" s="690"/>
      <c r="I1946" s="1030">
        <v>196068</v>
      </c>
      <c r="J1946" s="690">
        <v>192239</v>
      </c>
      <c r="K1946" s="1030"/>
      <c r="L1946" s="690"/>
      <c r="M1946" s="1025"/>
      <c r="N1946" s="1030"/>
      <c r="O1946" s="692">
        <f t="shared" si="253"/>
        <v>0</v>
      </c>
      <c r="P1946" s="690"/>
      <c r="Q1946" s="690"/>
      <c r="R1946" s="691">
        <f t="shared" si="254"/>
        <v>0</v>
      </c>
      <c r="S1946" s="692">
        <f t="shared" si="255"/>
        <v>196068</v>
      </c>
      <c r="T1946" s="693">
        <f t="shared" si="256"/>
        <v>192239</v>
      </c>
      <c r="U1946" s="1035"/>
      <c r="V1946" s="690"/>
      <c r="W1946" s="1025"/>
      <c r="X1946" s="1030"/>
      <c r="Y1946" s="694">
        <f t="shared" si="257"/>
        <v>0</v>
      </c>
      <c r="Z1946" s="690"/>
      <c r="AA1946" s="690"/>
      <c r="AB1946" s="695">
        <f t="shared" si="258"/>
        <v>0</v>
      </c>
      <c r="AC1946" s="1035"/>
      <c r="AD1946" s="690"/>
      <c r="AE1946" s="1025"/>
      <c r="AF1946" s="1030"/>
      <c r="AG1946" s="690"/>
      <c r="AH1946" s="690"/>
      <c r="AI1946" s="696">
        <f t="shared" si="259"/>
        <v>196068</v>
      </c>
      <c r="AJ1946" s="697">
        <f t="shared" si="260"/>
        <v>192239</v>
      </c>
    </row>
    <row r="1947" spans="1:36" s="700" customFormat="1" ht="12.75" customHeight="1">
      <c r="A1947" s="789" t="s">
        <v>213</v>
      </c>
      <c r="B1947" s="789" t="s">
        <v>394</v>
      </c>
      <c r="C1947" s="793" t="s">
        <v>451</v>
      </c>
      <c r="D1947" s="793"/>
      <c r="E1947" s="791">
        <v>198233</v>
      </c>
      <c r="F1947" s="1080">
        <v>9</v>
      </c>
      <c r="G1947" s="1025"/>
      <c r="H1947" s="690"/>
      <c r="I1947" s="1030">
        <v>157106</v>
      </c>
      <c r="J1947" s="690">
        <v>165276</v>
      </c>
      <c r="K1947" s="1030"/>
      <c r="L1947" s="690"/>
      <c r="M1947" s="1025"/>
      <c r="N1947" s="1030"/>
      <c r="O1947" s="692">
        <f t="shared" si="253"/>
        <v>0</v>
      </c>
      <c r="P1947" s="690"/>
      <c r="Q1947" s="690"/>
      <c r="R1947" s="691">
        <f t="shared" si="254"/>
        <v>0</v>
      </c>
      <c r="S1947" s="692">
        <f t="shared" si="255"/>
        <v>157106</v>
      </c>
      <c r="T1947" s="693">
        <f t="shared" si="256"/>
        <v>165276</v>
      </c>
      <c r="U1947" s="1035"/>
      <c r="V1947" s="690"/>
      <c r="W1947" s="1025"/>
      <c r="X1947" s="1030"/>
      <c r="Y1947" s="694">
        <f t="shared" si="257"/>
        <v>0</v>
      </c>
      <c r="Z1947" s="690"/>
      <c r="AA1947" s="690"/>
      <c r="AB1947" s="695">
        <f t="shared" si="258"/>
        <v>0</v>
      </c>
      <c r="AC1947" s="1035"/>
      <c r="AD1947" s="690"/>
      <c r="AE1947" s="1025"/>
      <c r="AF1947" s="1030"/>
      <c r="AG1947" s="690"/>
      <c r="AH1947" s="690"/>
      <c r="AI1947" s="696">
        <f t="shared" si="259"/>
        <v>157106</v>
      </c>
      <c r="AJ1947" s="697">
        <f t="shared" si="260"/>
        <v>165276</v>
      </c>
    </row>
    <row r="1948" spans="1:36" s="700" customFormat="1" ht="12.75" customHeight="1">
      <c r="A1948" s="789" t="s">
        <v>213</v>
      </c>
      <c r="B1948" s="789" t="s">
        <v>403</v>
      </c>
      <c r="C1948" s="793" t="s">
        <v>386</v>
      </c>
      <c r="D1948" s="793"/>
      <c r="E1948" s="791">
        <v>198233</v>
      </c>
      <c r="F1948" s="1080">
        <v>9</v>
      </c>
      <c r="G1948" s="1025"/>
      <c r="H1948" s="690"/>
      <c r="I1948" s="1030">
        <v>1170398</v>
      </c>
      <c r="J1948" s="690">
        <v>1231390</v>
      </c>
      <c r="K1948" s="1030"/>
      <c r="L1948" s="690"/>
      <c r="M1948" s="1025">
        <v>125167</v>
      </c>
      <c r="N1948" s="1030"/>
      <c r="O1948" s="692">
        <f t="shared" si="253"/>
        <v>125167</v>
      </c>
      <c r="P1948" s="690">
        <v>266553</v>
      </c>
      <c r="Q1948" s="690"/>
      <c r="R1948" s="691">
        <f t="shared" si="254"/>
        <v>266553</v>
      </c>
      <c r="S1948" s="692">
        <f t="shared" si="255"/>
        <v>1295565</v>
      </c>
      <c r="T1948" s="693">
        <f t="shared" si="256"/>
        <v>1497943</v>
      </c>
      <c r="U1948" s="1035"/>
      <c r="V1948" s="690"/>
      <c r="W1948" s="1025"/>
      <c r="X1948" s="1030"/>
      <c r="Y1948" s="694">
        <f t="shared" si="257"/>
        <v>0</v>
      </c>
      <c r="Z1948" s="690"/>
      <c r="AA1948" s="690"/>
      <c r="AB1948" s="695">
        <f t="shared" si="258"/>
        <v>0</v>
      </c>
      <c r="AC1948" s="1035"/>
      <c r="AD1948" s="690"/>
      <c r="AE1948" s="1025"/>
      <c r="AF1948" s="1030"/>
      <c r="AG1948" s="690"/>
      <c r="AH1948" s="690"/>
      <c r="AI1948" s="696">
        <f t="shared" si="259"/>
        <v>1295565</v>
      </c>
      <c r="AJ1948" s="697">
        <f t="shared" si="260"/>
        <v>1497943</v>
      </c>
    </row>
    <row r="1949" spans="1:36" s="700" customFormat="1" ht="12.75" customHeight="1">
      <c r="A1949" s="789" t="s">
        <v>213</v>
      </c>
      <c r="B1949" s="789" t="s">
        <v>392</v>
      </c>
      <c r="C1949" s="1078" t="s">
        <v>1251</v>
      </c>
      <c r="D1949" s="1079" t="s">
        <v>1968</v>
      </c>
      <c r="E1949" s="791">
        <v>198251</v>
      </c>
      <c r="F1949" s="1080">
        <v>9</v>
      </c>
      <c r="G1949" s="1025">
        <v>20358317</v>
      </c>
      <c r="H1949" s="690">
        <v>20907357</v>
      </c>
      <c r="I1949" s="1030"/>
      <c r="J1949" s="690"/>
      <c r="K1949" s="1162">
        <v>3314486</v>
      </c>
      <c r="L1949" s="1163">
        <v>3632475</v>
      </c>
      <c r="M1949" s="1025">
        <v>4024580</v>
      </c>
      <c r="N1949" s="1030"/>
      <c r="O1949" s="692">
        <f t="shared" si="253"/>
        <v>4024580</v>
      </c>
      <c r="P1949" s="690">
        <v>5785178</v>
      </c>
      <c r="Q1949" s="690"/>
      <c r="R1949" s="691">
        <f t="shared" si="254"/>
        <v>5785178</v>
      </c>
      <c r="S1949" s="692">
        <f t="shared" si="255"/>
        <v>27697383</v>
      </c>
      <c r="T1949" s="693">
        <f t="shared" si="256"/>
        <v>30325010</v>
      </c>
      <c r="U1949" s="1035"/>
      <c r="V1949" s="690"/>
      <c r="W1949" s="1025"/>
      <c r="X1949" s="1030"/>
      <c r="Y1949" s="694">
        <f t="shared" si="257"/>
        <v>0</v>
      </c>
      <c r="Z1949" s="690"/>
      <c r="AA1949" s="690"/>
      <c r="AB1949" s="695">
        <f t="shared" si="258"/>
        <v>0</v>
      </c>
      <c r="AC1949" s="1035"/>
      <c r="AD1949" s="690"/>
      <c r="AE1949" s="1025"/>
      <c r="AF1949" s="1030"/>
      <c r="AG1949" s="690"/>
      <c r="AH1949" s="690"/>
      <c r="AI1949" s="696">
        <f t="shared" si="259"/>
        <v>27697383</v>
      </c>
      <c r="AJ1949" s="697">
        <f t="shared" si="260"/>
        <v>30325010</v>
      </c>
    </row>
    <row r="1950" spans="1:36" s="700" customFormat="1" ht="12.75" customHeight="1">
      <c r="A1950" s="789" t="s">
        <v>213</v>
      </c>
      <c r="B1950" s="789" t="s">
        <v>392</v>
      </c>
      <c r="C1950" s="793" t="s">
        <v>1248</v>
      </c>
      <c r="D1950" s="793"/>
      <c r="E1950" s="791">
        <v>198251</v>
      </c>
      <c r="F1950" s="1080">
        <v>9</v>
      </c>
      <c r="G1950" s="1025"/>
      <c r="H1950" s="690"/>
      <c r="I1950" s="1030">
        <v>398953</v>
      </c>
      <c r="J1950" s="690">
        <v>442373</v>
      </c>
      <c r="K1950" s="1030"/>
      <c r="L1950" s="690"/>
      <c r="M1950" s="1025"/>
      <c r="N1950" s="1030"/>
      <c r="O1950" s="692">
        <f t="shared" si="253"/>
        <v>0</v>
      </c>
      <c r="P1950" s="690"/>
      <c r="Q1950" s="690"/>
      <c r="R1950" s="691">
        <f t="shared" si="254"/>
        <v>0</v>
      </c>
      <c r="S1950" s="692">
        <f t="shared" si="255"/>
        <v>398953</v>
      </c>
      <c r="T1950" s="693">
        <f t="shared" si="256"/>
        <v>442373</v>
      </c>
      <c r="U1950" s="1035"/>
      <c r="V1950" s="690"/>
      <c r="W1950" s="1025"/>
      <c r="X1950" s="1030"/>
      <c r="Y1950" s="694">
        <f t="shared" si="257"/>
        <v>0</v>
      </c>
      <c r="Z1950" s="690"/>
      <c r="AA1950" s="690"/>
      <c r="AB1950" s="695">
        <f t="shared" si="258"/>
        <v>0</v>
      </c>
      <c r="AC1950" s="1035"/>
      <c r="AD1950" s="690"/>
      <c r="AE1950" s="1025"/>
      <c r="AF1950" s="1030"/>
      <c r="AG1950" s="690"/>
      <c r="AH1950" s="690"/>
      <c r="AI1950" s="696">
        <f t="shared" si="259"/>
        <v>398953</v>
      </c>
      <c r="AJ1950" s="697">
        <f t="shared" si="260"/>
        <v>442373</v>
      </c>
    </row>
    <row r="1951" spans="1:36" s="700" customFormat="1" ht="12.75" customHeight="1">
      <c r="A1951" s="789" t="s">
        <v>213</v>
      </c>
      <c r="B1951" s="789" t="s">
        <v>394</v>
      </c>
      <c r="C1951" s="793" t="s">
        <v>451</v>
      </c>
      <c r="D1951" s="793"/>
      <c r="E1951" s="791">
        <v>198251</v>
      </c>
      <c r="F1951" s="1080">
        <v>9</v>
      </c>
      <c r="G1951" s="1025"/>
      <c r="H1951" s="690"/>
      <c r="I1951" s="1030">
        <v>159806</v>
      </c>
      <c r="J1951" s="690">
        <v>169221</v>
      </c>
      <c r="K1951" s="1030"/>
      <c r="L1951" s="690"/>
      <c r="M1951" s="1025"/>
      <c r="N1951" s="1030"/>
      <c r="O1951" s="692">
        <f t="shared" si="253"/>
        <v>0</v>
      </c>
      <c r="P1951" s="690"/>
      <c r="Q1951" s="690"/>
      <c r="R1951" s="691">
        <f t="shared" si="254"/>
        <v>0</v>
      </c>
      <c r="S1951" s="692">
        <f t="shared" si="255"/>
        <v>159806</v>
      </c>
      <c r="T1951" s="693">
        <f t="shared" si="256"/>
        <v>169221</v>
      </c>
      <c r="U1951" s="1035"/>
      <c r="V1951" s="690"/>
      <c r="W1951" s="1025"/>
      <c r="X1951" s="1030"/>
      <c r="Y1951" s="694">
        <f t="shared" si="257"/>
        <v>0</v>
      </c>
      <c r="Z1951" s="690"/>
      <c r="AA1951" s="690"/>
      <c r="AB1951" s="695">
        <f t="shared" si="258"/>
        <v>0</v>
      </c>
      <c r="AC1951" s="1035"/>
      <c r="AD1951" s="690"/>
      <c r="AE1951" s="1025"/>
      <c r="AF1951" s="1030"/>
      <c r="AG1951" s="690"/>
      <c r="AH1951" s="690"/>
      <c r="AI1951" s="696">
        <f t="shared" si="259"/>
        <v>159806</v>
      </c>
      <c r="AJ1951" s="697">
        <f t="shared" si="260"/>
        <v>169221</v>
      </c>
    </row>
    <row r="1952" spans="1:36" s="700" customFormat="1" ht="12.75" customHeight="1">
      <c r="A1952" s="789" t="s">
        <v>213</v>
      </c>
      <c r="B1952" s="789" t="s">
        <v>403</v>
      </c>
      <c r="C1952" s="793" t="s">
        <v>386</v>
      </c>
      <c r="D1952" s="793"/>
      <c r="E1952" s="791">
        <v>198251</v>
      </c>
      <c r="F1952" s="1080">
        <v>9</v>
      </c>
      <c r="G1952" s="1025"/>
      <c r="H1952" s="690"/>
      <c r="I1952" s="1030">
        <v>1573895</v>
      </c>
      <c r="J1952" s="690">
        <v>1414499</v>
      </c>
      <c r="K1952" s="1030"/>
      <c r="L1952" s="690"/>
      <c r="M1952" s="1025">
        <v>292561</v>
      </c>
      <c r="N1952" s="1030"/>
      <c r="O1952" s="692">
        <f t="shared" si="253"/>
        <v>292561</v>
      </c>
      <c r="P1952" s="690">
        <v>565386</v>
      </c>
      <c r="Q1952" s="690"/>
      <c r="R1952" s="691">
        <f t="shared" si="254"/>
        <v>565386</v>
      </c>
      <c r="S1952" s="692">
        <f t="shared" si="255"/>
        <v>1866456</v>
      </c>
      <c r="T1952" s="693">
        <f t="shared" si="256"/>
        <v>1979885</v>
      </c>
      <c r="U1952" s="1035"/>
      <c r="V1952" s="690"/>
      <c r="W1952" s="1025"/>
      <c r="X1952" s="1030"/>
      <c r="Y1952" s="694">
        <f t="shared" si="257"/>
        <v>0</v>
      </c>
      <c r="Z1952" s="690"/>
      <c r="AA1952" s="690"/>
      <c r="AB1952" s="695">
        <f t="shared" si="258"/>
        <v>0</v>
      </c>
      <c r="AC1952" s="1035"/>
      <c r="AD1952" s="690"/>
      <c r="AE1952" s="1025"/>
      <c r="AF1952" s="1030"/>
      <c r="AG1952" s="690"/>
      <c r="AH1952" s="690"/>
      <c r="AI1952" s="696">
        <f t="shared" si="259"/>
        <v>1866456</v>
      </c>
      <c r="AJ1952" s="697">
        <f t="shared" si="260"/>
        <v>1979885</v>
      </c>
    </row>
    <row r="1953" spans="1:36" s="700" customFormat="1" ht="12.75" customHeight="1">
      <c r="A1953" s="789" t="s">
        <v>213</v>
      </c>
      <c r="B1953" s="789" t="s">
        <v>392</v>
      </c>
      <c r="C1953" s="930" t="s">
        <v>1252</v>
      </c>
      <c r="D1953" s="930"/>
      <c r="E1953" s="791">
        <v>198260</v>
      </c>
      <c r="F1953" s="792">
        <v>8</v>
      </c>
      <c r="G1953" s="1025">
        <v>50261143</v>
      </c>
      <c r="H1953" s="690">
        <v>51354015</v>
      </c>
      <c r="I1953" s="1030"/>
      <c r="J1953" s="690"/>
      <c r="K1953" s="1162">
        <v>24492884</v>
      </c>
      <c r="L1953" s="1163">
        <v>23900000</v>
      </c>
      <c r="M1953" s="1025">
        <v>20235136</v>
      </c>
      <c r="N1953" s="1030"/>
      <c r="O1953" s="692">
        <f t="shared" si="253"/>
        <v>20235136</v>
      </c>
      <c r="P1953" s="690">
        <v>24270682</v>
      </c>
      <c r="Q1953" s="690"/>
      <c r="R1953" s="691">
        <f t="shared" si="254"/>
        <v>24270682</v>
      </c>
      <c r="S1953" s="692">
        <f t="shared" si="255"/>
        <v>94989163</v>
      </c>
      <c r="T1953" s="693">
        <f t="shared" si="256"/>
        <v>99524697</v>
      </c>
      <c r="U1953" s="1035"/>
      <c r="V1953" s="690"/>
      <c r="W1953" s="1025"/>
      <c r="X1953" s="1030"/>
      <c r="Y1953" s="694">
        <f t="shared" si="257"/>
        <v>0</v>
      </c>
      <c r="Z1953" s="690"/>
      <c r="AA1953" s="690"/>
      <c r="AB1953" s="695">
        <f t="shared" si="258"/>
        <v>0</v>
      </c>
      <c r="AC1953" s="1035"/>
      <c r="AD1953" s="690"/>
      <c r="AE1953" s="1025"/>
      <c r="AF1953" s="1030"/>
      <c r="AG1953" s="690"/>
      <c r="AH1953" s="690"/>
      <c r="AI1953" s="696">
        <f t="shared" si="259"/>
        <v>94989163</v>
      </c>
      <c r="AJ1953" s="697">
        <f t="shared" si="260"/>
        <v>99524697</v>
      </c>
    </row>
    <row r="1954" spans="1:36" s="700" customFormat="1" ht="12.75" customHeight="1">
      <c r="A1954" s="789" t="s">
        <v>213</v>
      </c>
      <c r="B1954" s="789" t="s">
        <v>392</v>
      </c>
      <c r="C1954" s="793" t="s">
        <v>1248</v>
      </c>
      <c r="D1954" s="793"/>
      <c r="E1954" s="791">
        <v>198260</v>
      </c>
      <c r="F1954" s="792">
        <v>8</v>
      </c>
      <c r="G1954" s="1025"/>
      <c r="H1954" s="690"/>
      <c r="I1954" s="1030">
        <v>379823</v>
      </c>
      <c r="J1954" s="690">
        <v>372968</v>
      </c>
      <c r="K1954" s="1030"/>
      <c r="L1954" s="690"/>
      <c r="M1954" s="1025"/>
      <c r="N1954" s="1030"/>
      <c r="O1954" s="692">
        <f t="shared" si="253"/>
        <v>0</v>
      </c>
      <c r="P1954" s="690"/>
      <c r="Q1954" s="690"/>
      <c r="R1954" s="691">
        <f t="shared" si="254"/>
        <v>0</v>
      </c>
      <c r="S1954" s="692">
        <f t="shared" si="255"/>
        <v>379823</v>
      </c>
      <c r="T1954" s="693">
        <f t="shared" si="256"/>
        <v>372968</v>
      </c>
      <c r="U1954" s="1035"/>
      <c r="V1954" s="690"/>
      <c r="W1954" s="1025"/>
      <c r="X1954" s="1030"/>
      <c r="Y1954" s="694">
        <f t="shared" si="257"/>
        <v>0</v>
      </c>
      <c r="Z1954" s="690"/>
      <c r="AA1954" s="690"/>
      <c r="AB1954" s="695">
        <f t="shared" si="258"/>
        <v>0</v>
      </c>
      <c r="AC1954" s="1035"/>
      <c r="AD1954" s="690"/>
      <c r="AE1954" s="1025"/>
      <c r="AF1954" s="1030"/>
      <c r="AG1954" s="690"/>
      <c r="AH1954" s="690"/>
      <c r="AI1954" s="696">
        <f t="shared" si="259"/>
        <v>379823</v>
      </c>
      <c r="AJ1954" s="697">
        <f t="shared" si="260"/>
        <v>372968</v>
      </c>
    </row>
    <row r="1955" spans="1:36" s="700" customFormat="1" ht="12.75" customHeight="1">
      <c r="A1955" s="789" t="s">
        <v>213</v>
      </c>
      <c r="B1955" s="789" t="s">
        <v>394</v>
      </c>
      <c r="C1955" s="793" t="s">
        <v>451</v>
      </c>
      <c r="D1955" s="793"/>
      <c r="E1955" s="791">
        <v>198260</v>
      </c>
      <c r="F1955" s="792">
        <v>8</v>
      </c>
      <c r="G1955" s="1025"/>
      <c r="H1955" s="690"/>
      <c r="I1955" s="1030">
        <v>155306</v>
      </c>
      <c r="J1955" s="690">
        <v>165959</v>
      </c>
      <c r="K1955" s="1030"/>
      <c r="L1955" s="690"/>
      <c r="M1955" s="1025"/>
      <c r="N1955" s="1030"/>
      <c r="O1955" s="692">
        <f t="shared" si="253"/>
        <v>0</v>
      </c>
      <c r="P1955" s="690"/>
      <c r="Q1955" s="690"/>
      <c r="R1955" s="691">
        <f t="shared" si="254"/>
        <v>0</v>
      </c>
      <c r="S1955" s="692">
        <f t="shared" si="255"/>
        <v>155306</v>
      </c>
      <c r="T1955" s="693">
        <f t="shared" si="256"/>
        <v>165959</v>
      </c>
      <c r="U1955" s="1035"/>
      <c r="V1955" s="690"/>
      <c r="W1955" s="1025"/>
      <c r="X1955" s="1030"/>
      <c r="Y1955" s="694">
        <f t="shared" si="257"/>
        <v>0</v>
      </c>
      <c r="Z1955" s="690"/>
      <c r="AA1955" s="690"/>
      <c r="AB1955" s="695">
        <f t="shared" si="258"/>
        <v>0</v>
      </c>
      <c r="AC1955" s="1035"/>
      <c r="AD1955" s="690"/>
      <c r="AE1955" s="1025"/>
      <c r="AF1955" s="1030"/>
      <c r="AG1955" s="690"/>
      <c r="AH1955" s="690"/>
      <c r="AI1955" s="696">
        <f t="shared" si="259"/>
        <v>155306</v>
      </c>
      <c r="AJ1955" s="697">
        <f t="shared" si="260"/>
        <v>165959</v>
      </c>
    </row>
    <row r="1956" spans="1:36" s="700" customFormat="1" ht="12.75" customHeight="1">
      <c r="A1956" s="789" t="s">
        <v>213</v>
      </c>
      <c r="B1956" s="789" t="s">
        <v>403</v>
      </c>
      <c r="C1956" s="793" t="s">
        <v>386</v>
      </c>
      <c r="D1956" s="793"/>
      <c r="E1956" s="791">
        <v>198260</v>
      </c>
      <c r="F1956" s="792">
        <v>8</v>
      </c>
      <c r="G1956" s="1025"/>
      <c r="H1956" s="690"/>
      <c r="I1956" s="1030">
        <v>1755869</v>
      </c>
      <c r="J1956" s="690">
        <v>1473136</v>
      </c>
      <c r="K1956" s="1030"/>
      <c r="L1956" s="690"/>
      <c r="M1956" s="1025">
        <v>395577</v>
      </c>
      <c r="N1956" s="1030"/>
      <c r="O1956" s="692">
        <f t="shared" si="253"/>
        <v>395577</v>
      </c>
      <c r="P1956" s="690">
        <v>770453</v>
      </c>
      <c r="Q1956" s="690"/>
      <c r="R1956" s="691">
        <f t="shared" si="254"/>
        <v>770453</v>
      </c>
      <c r="S1956" s="692">
        <f t="shared" si="255"/>
        <v>2151446</v>
      </c>
      <c r="T1956" s="693">
        <f t="shared" si="256"/>
        <v>2243589</v>
      </c>
      <c r="U1956" s="1035"/>
      <c r="V1956" s="690"/>
      <c r="W1956" s="1025"/>
      <c r="X1956" s="1030"/>
      <c r="Y1956" s="694">
        <f t="shared" si="257"/>
        <v>0</v>
      </c>
      <c r="Z1956" s="690"/>
      <c r="AA1956" s="690"/>
      <c r="AB1956" s="695">
        <f t="shared" si="258"/>
        <v>0</v>
      </c>
      <c r="AC1956" s="1035"/>
      <c r="AD1956" s="690"/>
      <c r="AE1956" s="1025"/>
      <c r="AF1956" s="1030"/>
      <c r="AG1956" s="690"/>
      <c r="AH1956" s="690"/>
      <c r="AI1956" s="696">
        <f t="shared" si="259"/>
        <v>2151446</v>
      </c>
      <c r="AJ1956" s="697">
        <f t="shared" si="260"/>
        <v>2243589</v>
      </c>
    </row>
    <row r="1957" spans="1:36" s="700" customFormat="1" ht="12.75" customHeight="1">
      <c r="A1957" s="789" t="s">
        <v>213</v>
      </c>
      <c r="B1957" s="789" t="s">
        <v>392</v>
      </c>
      <c r="C1957" s="930" t="s">
        <v>1253</v>
      </c>
      <c r="D1957" s="930"/>
      <c r="E1957" s="791">
        <v>198534</v>
      </c>
      <c r="F1957" s="792">
        <v>8</v>
      </c>
      <c r="G1957" s="1025">
        <v>34400867</v>
      </c>
      <c r="H1957" s="690">
        <v>34353013</v>
      </c>
      <c r="I1957" s="1030"/>
      <c r="J1957" s="690"/>
      <c r="K1957" s="1162">
        <v>9809363</v>
      </c>
      <c r="L1957" s="1163">
        <v>9926571</v>
      </c>
      <c r="M1957" s="1025">
        <v>11798018</v>
      </c>
      <c r="N1957" s="1030"/>
      <c r="O1957" s="692">
        <f t="shared" si="253"/>
        <v>11798018</v>
      </c>
      <c r="P1957" s="690">
        <v>15026858</v>
      </c>
      <c r="Q1957" s="690"/>
      <c r="R1957" s="691">
        <f t="shared" si="254"/>
        <v>15026858</v>
      </c>
      <c r="S1957" s="692">
        <f t="shared" si="255"/>
        <v>56008248</v>
      </c>
      <c r="T1957" s="693">
        <f t="shared" si="256"/>
        <v>59306442</v>
      </c>
      <c r="U1957" s="1035"/>
      <c r="V1957" s="690"/>
      <c r="W1957" s="1025"/>
      <c r="X1957" s="1030"/>
      <c r="Y1957" s="694">
        <f t="shared" si="257"/>
        <v>0</v>
      </c>
      <c r="Z1957" s="690"/>
      <c r="AA1957" s="690"/>
      <c r="AB1957" s="695">
        <f t="shared" si="258"/>
        <v>0</v>
      </c>
      <c r="AC1957" s="1035"/>
      <c r="AD1957" s="690"/>
      <c r="AE1957" s="1025"/>
      <c r="AF1957" s="1030"/>
      <c r="AG1957" s="690"/>
      <c r="AH1957" s="690"/>
      <c r="AI1957" s="696">
        <f t="shared" si="259"/>
        <v>56008248</v>
      </c>
      <c r="AJ1957" s="697">
        <f t="shared" si="260"/>
        <v>59306442</v>
      </c>
    </row>
    <row r="1958" spans="1:36" s="700" customFormat="1" ht="12.75" customHeight="1">
      <c r="A1958" s="789" t="s">
        <v>213</v>
      </c>
      <c r="B1958" s="789" t="s">
        <v>392</v>
      </c>
      <c r="C1958" s="793" t="s">
        <v>1248</v>
      </c>
      <c r="D1958" s="793"/>
      <c r="E1958" s="791">
        <v>198534</v>
      </c>
      <c r="F1958" s="792">
        <v>8</v>
      </c>
      <c r="G1958" s="1025"/>
      <c r="H1958" s="690"/>
      <c r="I1958" s="1030">
        <v>398346</v>
      </c>
      <c r="J1958" s="690">
        <v>369614</v>
      </c>
      <c r="K1958" s="1030"/>
      <c r="L1958" s="690"/>
      <c r="M1958" s="1025"/>
      <c r="N1958" s="1030"/>
      <c r="O1958" s="692">
        <f t="shared" si="253"/>
        <v>0</v>
      </c>
      <c r="P1958" s="690"/>
      <c r="Q1958" s="690"/>
      <c r="R1958" s="691">
        <f t="shared" si="254"/>
        <v>0</v>
      </c>
      <c r="S1958" s="692">
        <f t="shared" si="255"/>
        <v>398346</v>
      </c>
      <c r="T1958" s="693">
        <f t="shared" si="256"/>
        <v>369614</v>
      </c>
      <c r="U1958" s="1035"/>
      <c r="V1958" s="690"/>
      <c r="W1958" s="1025"/>
      <c r="X1958" s="1030"/>
      <c r="Y1958" s="694">
        <f t="shared" si="257"/>
        <v>0</v>
      </c>
      <c r="Z1958" s="690"/>
      <c r="AA1958" s="690"/>
      <c r="AB1958" s="695">
        <f t="shared" si="258"/>
        <v>0</v>
      </c>
      <c r="AC1958" s="1035"/>
      <c r="AD1958" s="690"/>
      <c r="AE1958" s="1025"/>
      <c r="AF1958" s="1030"/>
      <c r="AG1958" s="690"/>
      <c r="AH1958" s="690"/>
      <c r="AI1958" s="696">
        <f t="shared" si="259"/>
        <v>398346</v>
      </c>
      <c r="AJ1958" s="697">
        <f t="shared" si="260"/>
        <v>369614</v>
      </c>
    </row>
    <row r="1959" spans="1:36" s="700" customFormat="1" ht="12.75" customHeight="1">
      <c r="A1959" s="789" t="s">
        <v>213</v>
      </c>
      <c r="B1959" s="789" t="s">
        <v>394</v>
      </c>
      <c r="C1959" s="793" t="s">
        <v>451</v>
      </c>
      <c r="D1959" s="793"/>
      <c r="E1959" s="791">
        <v>198534</v>
      </c>
      <c r="F1959" s="792">
        <v>8</v>
      </c>
      <c r="G1959" s="1025"/>
      <c r="H1959" s="690"/>
      <c r="I1959" s="1030">
        <v>157406</v>
      </c>
      <c r="J1959" s="690">
        <v>166869</v>
      </c>
      <c r="K1959" s="1030"/>
      <c r="L1959" s="690"/>
      <c r="M1959" s="1025"/>
      <c r="N1959" s="1030"/>
      <c r="O1959" s="692">
        <f t="shared" si="253"/>
        <v>0</v>
      </c>
      <c r="P1959" s="690"/>
      <c r="Q1959" s="690"/>
      <c r="R1959" s="691">
        <f t="shared" si="254"/>
        <v>0</v>
      </c>
      <c r="S1959" s="692">
        <f t="shared" si="255"/>
        <v>157406</v>
      </c>
      <c r="T1959" s="693">
        <f t="shared" si="256"/>
        <v>166869</v>
      </c>
      <c r="U1959" s="1035"/>
      <c r="V1959" s="690"/>
      <c r="W1959" s="1025"/>
      <c r="X1959" s="1030"/>
      <c r="Y1959" s="694">
        <f t="shared" si="257"/>
        <v>0</v>
      </c>
      <c r="Z1959" s="690"/>
      <c r="AA1959" s="690"/>
      <c r="AB1959" s="695">
        <f t="shared" si="258"/>
        <v>0</v>
      </c>
      <c r="AC1959" s="1035"/>
      <c r="AD1959" s="690"/>
      <c r="AE1959" s="1025"/>
      <c r="AF1959" s="1030"/>
      <c r="AG1959" s="690"/>
      <c r="AH1959" s="690"/>
      <c r="AI1959" s="696">
        <f t="shared" si="259"/>
        <v>157406</v>
      </c>
      <c r="AJ1959" s="697">
        <f t="shared" si="260"/>
        <v>166869</v>
      </c>
    </row>
    <row r="1960" spans="1:36" s="700" customFormat="1" ht="12.75" customHeight="1">
      <c r="A1960" s="789" t="s">
        <v>213</v>
      </c>
      <c r="B1960" s="789" t="s">
        <v>403</v>
      </c>
      <c r="C1960" s="793" t="s">
        <v>386</v>
      </c>
      <c r="D1960" s="793"/>
      <c r="E1960" s="791">
        <v>198534</v>
      </c>
      <c r="F1960" s="792">
        <v>8</v>
      </c>
      <c r="G1960" s="1025"/>
      <c r="H1960" s="690"/>
      <c r="I1960" s="1030">
        <v>3463135</v>
      </c>
      <c r="J1960" s="690">
        <v>3771544</v>
      </c>
      <c r="K1960" s="1030"/>
      <c r="L1960" s="690"/>
      <c r="M1960" s="1025">
        <v>752627</v>
      </c>
      <c r="N1960" s="1030"/>
      <c r="O1960" s="692">
        <f t="shared" si="253"/>
        <v>752627</v>
      </c>
      <c r="P1960" s="690">
        <v>1318229</v>
      </c>
      <c r="Q1960" s="690"/>
      <c r="R1960" s="691">
        <f t="shared" si="254"/>
        <v>1318229</v>
      </c>
      <c r="S1960" s="692">
        <f t="shared" si="255"/>
        <v>4215762</v>
      </c>
      <c r="T1960" s="693">
        <f t="shared" si="256"/>
        <v>5089773</v>
      </c>
      <c r="U1960" s="1035"/>
      <c r="V1960" s="690"/>
      <c r="W1960" s="1025"/>
      <c r="X1960" s="1030"/>
      <c r="Y1960" s="694">
        <f t="shared" si="257"/>
        <v>0</v>
      </c>
      <c r="Z1960" s="690"/>
      <c r="AA1960" s="690"/>
      <c r="AB1960" s="695">
        <f t="shared" si="258"/>
        <v>0</v>
      </c>
      <c r="AC1960" s="1035"/>
      <c r="AD1960" s="690"/>
      <c r="AE1960" s="1025"/>
      <c r="AF1960" s="1030"/>
      <c r="AG1960" s="690"/>
      <c r="AH1960" s="690"/>
      <c r="AI1960" s="696">
        <f t="shared" si="259"/>
        <v>4215762</v>
      </c>
      <c r="AJ1960" s="697">
        <f t="shared" si="260"/>
        <v>5089773</v>
      </c>
    </row>
    <row r="1961" spans="1:36" s="700" customFormat="1" ht="12.75" customHeight="1">
      <c r="A1961" s="789" t="s">
        <v>213</v>
      </c>
      <c r="B1961" s="789" t="s">
        <v>392</v>
      </c>
      <c r="C1961" s="930" t="s">
        <v>1254</v>
      </c>
      <c r="D1961" s="930"/>
      <c r="E1961" s="791">
        <v>198552</v>
      </c>
      <c r="F1961" s="792">
        <v>8</v>
      </c>
      <c r="G1961" s="1025">
        <v>23368003</v>
      </c>
      <c r="H1961" s="690">
        <v>26144366</v>
      </c>
      <c r="I1961" s="1030"/>
      <c r="J1961" s="690"/>
      <c r="K1961" s="1162">
        <v>6593790</v>
      </c>
      <c r="L1961" s="1163">
        <v>6819876</v>
      </c>
      <c r="M1961" s="1025">
        <v>8707233</v>
      </c>
      <c r="N1961" s="1030"/>
      <c r="O1961" s="692">
        <f t="shared" si="253"/>
        <v>8707233</v>
      </c>
      <c r="P1961" s="690">
        <v>12380171</v>
      </c>
      <c r="Q1961" s="690"/>
      <c r="R1961" s="691">
        <f t="shared" si="254"/>
        <v>12380171</v>
      </c>
      <c r="S1961" s="692">
        <f t="shared" si="255"/>
        <v>38669026</v>
      </c>
      <c r="T1961" s="693">
        <f t="shared" si="256"/>
        <v>45344413</v>
      </c>
      <c r="U1961" s="1035"/>
      <c r="V1961" s="690"/>
      <c r="W1961" s="1025"/>
      <c r="X1961" s="1030"/>
      <c r="Y1961" s="694">
        <f t="shared" si="257"/>
        <v>0</v>
      </c>
      <c r="Z1961" s="690"/>
      <c r="AA1961" s="690"/>
      <c r="AB1961" s="695">
        <f t="shared" si="258"/>
        <v>0</v>
      </c>
      <c r="AC1961" s="1035"/>
      <c r="AD1961" s="690"/>
      <c r="AE1961" s="1025"/>
      <c r="AF1961" s="1030"/>
      <c r="AG1961" s="690"/>
      <c r="AH1961" s="690"/>
      <c r="AI1961" s="696">
        <f t="shared" si="259"/>
        <v>38669026</v>
      </c>
      <c r="AJ1961" s="697">
        <f t="shared" si="260"/>
        <v>45344413</v>
      </c>
    </row>
    <row r="1962" spans="1:36" s="700" customFormat="1" ht="12.75" customHeight="1">
      <c r="A1962" s="789" t="s">
        <v>213</v>
      </c>
      <c r="B1962" s="789" t="s">
        <v>392</v>
      </c>
      <c r="C1962" s="793" t="s">
        <v>1248</v>
      </c>
      <c r="D1962" s="793"/>
      <c r="E1962" s="791">
        <v>198552</v>
      </c>
      <c r="F1962" s="792">
        <v>8</v>
      </c>
      <c r="G1962" s="1025"/>
      <c r="H1962" s="690"/>
      <c r="I1962" s="1030">
        <v>575470</v>
      </c>
      <c r="J1962" s="690">
        <v>536308</v>
      </c>
      <c r="K1962" s="1030"/>
      <c r="L1962" s="690"/>
      <c r="M1962" s="1025"/>
      <c r="N1962" s="1030"/>
      <c r="O1962" s="692">
        <f t="shared" si="253"/>
        <v>0</v>
      </c>
      <c r="P1962" s="690"/>
      <c r="Q1962" s="690"/>
      <c r="R1962" s="691">
        <f t="shared" si="254"/>
        <v>0</v>
      </c>
      <c r="S1962" s="692">
        <f t="shared" si="255"/>
        <v>575470</v>
      </c>
      <c r="T1962" s="693">
        <f t="shared" si="256"/>
        <v>536308</v>
      </c>
      <c r="U1962" s="1035"/>
      <c r="V1962" s="690"/>
      <c r="W1962" s="1025"/>
      <c r="X1962" s="1030"/>
      <c r="Y1962" s="694">
        <f t="shared" si="257"/>
        <v>0</v>
      </c>
      <c r="Z1962" s="690"/>
      <c r="AA1962" s="690"/>
      <c r="AB1962" s="695">
        <f t="shared" si="258"/>
        <v>0</v>
      </c>
      <c r="AC1962" s="1035"/>
      <c r="AD1962" s="690"/>
      <c r="AE1962" s="1025"/>
      <c r="AF1962" s="1030"/>
      <c r="AG1962" s="690"/>
      <c r="AH1962" s="690"/>
      <c r="AI1962" s="696">
        <f t="shared" si="259"/>
        <v>575470</v>
      </c>
      <c r="AJ1962" s="697">
        <f t="shared" si="260"/>
        <v>536308</v>
      </c>
    </row>
    <row r="1963" spans="1:36" s="700" customFormat="1" ht="12.75" customHeight="1">
      <c r="A1963" s="789" t="s">
        <v>213</v>
      </c>
      <c r="B1963" s="789" t="s">
        <v>394</v>
      </c>
      <c r="C1963" s="793" t="s">
        <v>451</v>
      </c>
      <c r="D1963" s="793"/>
      <c r="E1963" s="791">
        <v>198552</v>
      </c>
      <c r="F1963" s="792">
        <v>8</v>
      </c>
      <c r="G1963" s="1025"/>
      <c r="H1963" s="690"/>
      <c r="I1963" s="1030">
        <v>163106</v>
      </c>
      <c r="J1963" s="690">
        <v>170283</v>
      </c>
      <c r="K1963" s="1030"/>
      <c r="L1963" s="690"/>
      <c r="M1963" s="1025"/>
      <c r="N1963" s="1030"/>
      <c r="O1963" s="692">
        <f t="shared" si="253"/>
        <v>0</v>
      </c>
      <c r="P1963" s="690"/>
      <c r="Q1963" s="690"/>
      <c r="R1963" s="691">
        <f t="shared" si="254"/>
        <v>0</v>
      </c>
      <c r="S1963" s="692">
        <f t="shared" si="255"/>
        <v>163106</v>
      </c>
      <c r="T1963" s="693">
        <f t="shared" si="256"/>
        <v>170283</v>
      </c>
      <c r="U1963" s="1035"/>
      <c r="V1963" s="690"/>
      <c r="W1963" s="1025"/>
      <c r="X1963" s="1030"/>
      <c r="Y1963" s="694">
        <f t="shared" si="257"/>
        <v>0</v>
      </c>
      <c r="Z1963" s="690"/>
      <c r="AA1963" s="690"/>
      <c r="AB1963" s="695">
        <f t="shared" si="258"/>
        <v>0</v>
      </c>
      <c r="AC1963" s="1035"/>
      <c r="AD1963" s="690"/>
      <c r="AE1963" s="1025"/>
      <c r="AF1963" s="1030"/>
      <c r="AG1963" s="690"/>
      <c r="AH1963" s="690"/>
      <c r="AI1963" s="696">
        <f t="shared" si="259"/>
        <v>163106</v>
      </c>
      <c r="AJ1963" s="697">
        <f t="shared" si="260"/>
        <v>170283</v>
      </c>
    </row>
    <row r="1964" spans="1:36" s="700" customFormat="1" ht="12.75" customHeight="1">
      <c r="A1964" s="789" t="s">
        <v>213</v>
      </c>
      <c r="B1964" s="789" t="s">
        <v>403</v>
      </c>
      <c r="C1964" s="793" t="s">
        <v>386</v>
      </c>
      <c r="D1964" s="793"/>
      <c r="E1964" s="791">
        <v>198552</v>
      </c>
      <c r="F1964" s="792">
        <v>8</v>
      </c>
      <c r="G1964" s="1025"/>
      <c r="H1964" s="690"/>
      <c r="I1964" s="1030">
        <v>1252472</v>
      </c>
      <c r="J1964" s="690">
        <v>1512634</v>
      </c>
      <c r="K1964" s="1030"/>
      <c r="L1964" s="690"/>
      <c r="M1964" s="1025">
        <v>777544</v>
      </c>
      <c r="N1964" s="1030"/>
      <c r="O1964" s="692">
        <f t="shared" si="253"/>
        <v>777544</v>
      </c>
      <c r="P1964" s="690">
        <v>1083318</v>
      </c>
      <c r="Q1964" s="690"/>
      <c r="R1964" s="691">
        <f t="shared" si="254"/>
        <v>1083318</v>
      </c>
      <c r="S1964" s="692">
        <f t="shared" si="255"/>
        <v>2030016</v>
      </c>
      <c r="T1964" s="693">
        <f t="shared" si="256"/>
        <v>2595952</v>
      </c>
      <c r="U1964" s="1035"/>
      <c r="V1964" s="690"/>
      <c r="W1964" s="1025"/>
      <c r="X1964" s="1030"/>
      <c r="Y1964" s="694">
        <f t="shared" si="257"/>
        <v>0</v>
      </c>
      <c r="Z1964" s="690"/>
      <c r="AA1964" s="690"/>
      <c r="AB1964" s="695">
        <f t="shared" si="258"/>
        <v>0</v>
      </c>
      <c r="AC1964" s="1035"/>
      <c r="AD1964" s="690"/>
      <c r="AE1964" s="1025"/>
      <c r="AF1964" s="1030"/>
      <c r="AG1964" s="690"/>
      <c r="AH1964" s="690"/>
      <c r="AI1964" s="696">
        <f t="shared" si="259"/>
        <v>2030016</v>
      </c>
      <c r="AJ1964" s="697">
        <f t="shared" si="260"/>
        <v>2595952</v>
      </c>
    </row>
    <row r="1965" spans="1:36" s="700" customFormat="1" ht="12.75" customHeight="1">
      <c r="A1965" s="789" t="s">
        <v>213</v>
      </c>
      <c r="B1965" s="789" t="s">
        <v>392</v>
      </c>
      <c r="C1965" s="930" t="s">
        <v>1255</v>
      </c>
      <c r="D1965" s="930"/>
      <c r="E1965" s="791">
        <v>198622</v>
      </c>
      <c r="F1965" s="792">
        <v>8</v>
      </c>
      <c r="G1965" s="1025">
        <v>35518770</v>
      </c>
      <c r="H1965" s="690">
        <v>39570207</v>
      </c>
      <c r="I1965" s="1030"/>
      <c r="J1965" s="690"/>
      <c r="K1965" s="1162">
        <v>11659390</v>
      </c>
      <c r="L1965" s="1163">
        <v>11659390</v>
      </c>
      <c r="M1965" s="1025">
        <v>13059260</v>
      </c>
      <c r="N1965" s="1030"/>
      <c r="O1965" s="692">
        <f t="shared" si="253"/>
        <v>13059260</v>
      </c>
      <c r="P1965" s="690">
        <v>19480370</v>
      </c>
      <c r="Q1965" s="690"/>
      <c r="R1965" s="691">
        <f t="shared" si="254"/>
        <v>19480370</v>
      </c>
      <c r="S1965" s="692">
        <f t="shared" si="255"/>
        <v>60237420</v>
      </c>
      <c r="T1965" s="693">
        <f t="shared" si="256"/>
        <v>70709967</v>
      </c>
      <c r="U1965" s="1035"/>
      <c r="V1965" s="690"/>
      <c r="W1965" s="1025"/>
      <c r="X1965" s="1030"/>
      <c r="Y1965" s="694">
        <f t="shared" si="257"/>
        <v>0</v>
      </c>
      <c r="Z1965" s="690"/>
      <c r="AA1965" s="690"/>
      <c r="AB1965" s="695">
        <f t="shared" si="258"/>
        <v>0</v>
      </c>
      <c r="AC1965" s="1035"/>
      <c r="AD1965" s="690"/>
      <c r="AE1965" s="1025"/>
      <c r="AF1965" s="1030"/>
      <c r="AG1965" s="690"/>
      <c r="AH1965" s="690"/>
      <c r="AI1965" s="696">
        <f t="shared" si="259"/>
        <v>60237420</v>
      </c>
      <c r="AJ1965" s="697">
        <f t="shared" si="260"/>
        <v>70709967</v>
      </c>
    </row>
    <row r="1966" spans="1:36" s="700" customFormat="1" ht="12.75" customHeight="1">
      <c r="A1966" s="789" t="s">
        <v>213</v>
      </c>
      <c r="B1966" s="789" t="s">
        <v>392</v>
      </c>
      <c r="C1966" s="793" t="s">
        <v>1248</v>
      </c>
      <c r="D1966" s="793"/>
      <c r="E1966" s="791">
        <v>198622</v>
      </c>
      <c r="F1966" s="792">
        <v>8</v>
      </c>
      <c r="G1966" s="1025"/>
      <c r="H1966" s="690"/>
      <c r="I1966" s="1030">
        <v>460588</v>
      </c>
      <c r="J1966" s="690">
        <v>462234</v>
      </c>
      <c r="K1966" s="1030"/>
      <c r="L1966" s="690"/>
      <c r="M1966" s="1025"/>
      <c r="N1966" s="1030"/>
      <c r="O1966" s="692">
        <f t="shared" si="253"/>
        <v>0</v>
      </c>
      <c r="P1966" s="690"/>
      <c r="Q1966" s="690"/>
      <c r="R1966" s="691">
        <f t="shared" si="254"/>
        <v>0</v>
      </c>
      <c r="S1966" s="692">
        <f t="shared" si="255"/>
        <v>460588</v>
      </c>
      <c r="T1966" s="693">
        <f t="shared" si="256"/>
        <v>462234</v>
      </c>
      <c r="U1966" s="1035"/>
      <c r="V1966" s="690"/>
      <c r="W1966" s="1025"/>
      <c r="X1966" s="1030"/>
      <c r="Y1966" s="694">
        <f t="shared" si="257"/>
        <v>0</v>
      </c>
      <c r="Z1966" s="690"/>
      <c r="AA1966" s="690"/>
      <c r="AB1966" s="695">
        <f t="shared" si="258"/>
        <v>0</v>
      </c>
      <c r="AC1966" s="1035"/>
      <c r="AD1966" s="690"/>
      <c r="AE1966" s="1025"/>
      <c r="AF1966" s="1030"/>
      <c r="AG1966" s="690"/>
      <c r="AH1966" s="690"/>
      <c r="AI1966" s="696">
        <f t="shared" si="259"/>
        <v>460588</v>
      </c>
      <c r="AJ1966" s="697">
        <f t="shared" si="260"/>
        <v>462234</v>
      </c>
    </row>
    <row r="1967" spans="1:36" s="700" customFormat="1" ht="12.75" customHeight="1">
      <c r="A1967" s="789" t="s">
        <v>213</v>
      </c>
      <c r="B1967" s="789" t="s">
        <v>394</v>
      </c>
      <c r="C1967" s="793" t="s">
        <v>451</v>
      </c>
      <c r="D1967" s="793"/>
      <c r="E1967" s="791">
        <v>198622</v>
      </c>
      <c r="F1967" s="792">
        <v>8</v>
      </c>
      <c r="G1967" s="1025"/>
      <c r="H1967" s="690"/>
      <c r="I1967" s="1030">
        <v>163306</v>
      </c>
      <c r="J1967" s="690">
        <v>169904</v>
      </c>
      <c r="K1967" s="1030"/>
      <c r="L1967" s="690"/>
      <c r="M1967" s="1025"/>
      <c r="N1967" s="1030"/>
      <c r="O1967" s="692">
        <f t="shared" si="253"/>
        <v>0</v>
      </c>
      <c r="P1967" s="690"/>
      <c r="Q1967" s="690"/>
      <c r="R1967" s="691">
        <f t="shared" si="254"/>
        <v>0</v>
      </c>
      <c r="S1967" s="692">
        <f t="shared" si="255"/>
        <v>163306</v>
      </c>
      <c r="T1967" s="693">
        <f t="shared" si="256"/>
        <v>169904</v>
      </c>
      <c r="U1967" s="1035"/>
      <c r="V1967" s="690"/>
      <c r="W1967" s="1025"/>
      <c r="X1967" s="1030"/>
      <c r="Y1967" s="694">
        <f t="shared" si="257"/>
        <v>0</v>
      </c>
      <c r="Z1967" s="690"/>
      <c r="AA1967" s="690"/>
      <c r="AB1967" s="695">
        <f t="shared" si="258"/>
        <v>0</v>
      </c>
      <c r="AC1967" s="1035"/>
      <c r="AD1967" s="690"/>
      <c r="AE1967" s="1025"/>
      <c r="AF1967" s="1030"/>
      <c r="AG1967" s="690"/>
      <c r="AH1967" s="690"/>
      <c r="AI1967" s="696">
        <f t="shared" si="259"/>
        <v>163306</v>
      </c>
      <c r="AJ1967" s="697">
        <f t="shared" si="260"/>
        <v>169904</v>
      </c>
    </row>
    <row r="1968" spans="1:36" s="700" customFormat="1" ht="12.75" customHeight="1">
      <c r="A1968" s="789" t="s">
        <v>213</v>
      </c>
      <c r="B1968" s="789" t="s">
        <v>403</v>
      </c>
      <c r="C1968" s="793" t="s">
        <v>386</v>
      </c>
      <c r="D1968" s="793"/>
      <c r="E1968" s="791">
        <v>198622</v>
      </c>
      <c r="F1968" s="792">
        <v>8</v>
      </c>
      <c r="G1968" s="1025"/>
      <c r="H1968" s="690"/>
      <c r="I1968" s="1030">
        <v>1721889</v>
      </c>
      <c r="J1968" s="690">
        <v>1511037</v>
      </c>
      <c r="K1968" s="1030"/>
      <c r="L1968" s="690"/>
      <c r="M1968" s="1025">
        <v>446904</v>
      </c>
      <c r="N1968" s="1030"/>
      <c r="O1968" s="692">
        <f t="shared" si="253"/>
        <v>446904</v>
      </c>
      <c r="P1968" s="690">
        <v>680266</v>
      </c>
      <c r="Q1968" s="690"/>
      <c r="R1968" s="691">
        <f t="shared" si="254"/>
        <v>680266</v>
      </c>
      <c r="S1968" s="692">
        <f t="shared" si="255"/>
        <v>2168793</v>
      </c>
      <c r="T1968" s="693">
        <f t="shared" si="256"/>
        <v>2191303</v>
      </c>
      <c r="U1968" s="1035"/>
      <c r="V1968" s="690"/>
      <c r="W1968" s="1025"/>
      <c r="X1968" s="1030"/>
      <c r="Y1968" s="694">
        <f t="shared" si="257"/>
        <v>0</v>
      </c>
      <c r="Z1968" s="690"/>
      <c r="AA1968" s="690"/>
      <c r="AB1968" s="695">
        <f t="shared" si="258"/>
        <v>0</v>
      </c>
      <c r="AC1968" s="1035"/>
      <c r="AD1968" s="690"/>
      <c r="AE1968" s="1025"/>
      <c r="AF1968" s="1030"/>
      <c r="AG1968" s="690"/>
      <c r="AH1968" s="690"/>
      <c r="AI1968" s="696">
        <f t="shared" si="259"/>
        <v>2168793</v>
      </c>
      <c r="AJ1968" s="697">
        <f t="shared" si="260"/>
        <v>2191303</v>
      </c>
    </row>
    <row r="1969" spans="1:36" s="700" customFormat="1" ht="12.75" customHeight="1">
      <c r="A1969" s="789" t="s">
        <v>213</v>
      </c>
      <c r="B1969" s="789" t="s">
        <v>392</v>
      </c>
      <c r="C1969" s="930" t="s">
        <v>1256</v>
      </c>
      <c r="D1969" s="930"/>
      <c r="E1969" s="791">
        <v>199333</v>
      </c>
      <c r="F1969" s="792">
        <v>8</v>
      </c>
      <c r="G1969" s="1025">
        <v>21010428</v>
      </c>
      <c r="H1969" s="690">
        <v>21622915</v>
      </c>
      <c r="I1969" s="1030"/>
      <c r="J1969" s="690"/>
      <c r="K1969" s="1162">
        <v>4110835</v>
      </c>
      <c r="L1969" s="1163">
        <v>4370835</v>
      </c>
      <c r="M1969" s="1025">
        <v>8347441</v>
      </c>
      <c r="N1969" s="1030"/>
      <c r="O1969" s="692">
        <f t="shared" si="253"/>
        <v>8347441</v>
      </c>
      <c r="P1969" s="690">
        <v>10901550</v>
      </c>
      <c r="Q1969" s="690"/>
      <c r="R1969" s="691">
        <f t="shared" si="254"/>
        <v>10901550</v>
      </c>
      <c r="S1969" s="692">
        <f t="shared" si="255"/>
        <v>33468704</v>
      </c>
      <c r="T1969" s="693">
        <f t="shared" si="256"/>
        <v>36895300</v>
      </c>
      <c r="U1969" s="1035"/>
      <c r="V1969" s="690"/>
      <c r="W1969" s="1025"/>
      <c r="X1969" s="1030"/>
      <c r="Y1969" s="694">
        <f t="shared" si="257"/>
        <v>0</v>
      </c>
      <c r="Z1969" s="690"/>
      <c r="AA1969" s="690"/>
      <c r="AB1969" s="695">
        <f t="shared" si="258"/>
        <v>0</v>
      </c>
      <c r="AC1969" s="1035"/>
      <c r="AD1969" s="690"/>
      <c r="AE1969" s="1025"/>
      <c r="AF1969" s="1030"/>
      <c r="AG1969" s="690"/>
      <c r="AH1969" s="690"/>
      <c r="AI1969" s="696">
        <f t="shared" si="259"/>
        <v>33468704</v>
      </c>
      <c r="AJ1969" s="697">
        <f t="shared" si="260"/>
        <v>36895300</v>
      </c>
    </row>
    <row r="1970" spans="1:36" s="700" customFormat="1" ht="12.75" customHeight="1">
      <c r="A1970" s="789" t="s">
        <v>213</v>
      </c>
      <c r="B1970" s="789" t="s">
        <v>392</v>
      </c>
      <c r="C1970" s="793" t="s">
        <v>1248</v>
      </c>
      <c r="D1970" s="793"/>
      <c r="E1970" s="791">
        <v>199333</v>
      </c>
      <c r="F1970" s="792">
        <v>8</v>
      </c>
      <c r="G1970" s="1025"/>
      <c r="H1970" s="690"/>
      <c r="I1970" s="1030">
        <v>434369</v>
      </c>
      <c r="J1970" s="690">
        <v>391134</v>
      </c>
      <c r="K1970" s="1030"/>
      <c r="L1970" s="690"/>
      <c r="M1970" s="1025"/>
      <c r="N1970" s="1030"/>
      <c r="O1970" s="692">
        <f t="shared" si="253"/>
        <v>0</v>
      </c>
      <c r="P1970" s="690"/>
      <c r="Q1970" s="690"/>
      <c r="R1970" s="691">
        <f t="shared" si="254"/>
        <v>0</v>
      </c>
      <c r="S1970" s="692">
        <f t="shared" si="255"/>
        <v>434369</v>
      </c>
      <c r="T1970" s="693">
        <f t="shared" si="256"/>
        <v>391134</v>
      </c>
      <c r="U1970" s="1035"/>
      <c r="V1970" s="690"/>
      <c r="W1970" s="1025"/>
      <c r="X1970" s="1030"/>
      <c r="Y1970" s="694">
        <f t="shared" si="257"/>
        <v>0</v>
      </c>
      <c r="Z1970" s="690"/>
      <c r="AA1970" s="690"/>
      <c r="AB1970" s="695">
        <f t="shared" si="258"/>
        <v>0</v>
      </c>
      <c r="AC1970" s="1035"/>
      <c r="AD1970" s="690"/>
      <c r="AE1970" s="1025"/>
      <c r="AF1970" s="1030"/>
      <c r="AG1970" s="690"/>
      <c r="AH1970" s="690"/>
      <c r="AI1970" s="696">
        <f t="shared" si="259"/>
        <v>434369</v>
      </c>
      <c r="AJ1970" s="697">
        <f t="shared" si="260"/>
        <v>391134</v>
      </c>
    </row>
    <row r="1971" spans="1:36" s="700" customFormat="1" ht="12.75" customHeight="1">
      <c r="A1971" s="789" t="s">
        <v>213</v>
      </c>
      <c r="B1971" s="789" t="s">
        <v>394</v>
      </c>
      <c r="C1971" s="793" t="s">
        <v>451</v>
      </c>
      <c r="D1971" s="793"/>
      <c r="E1971" s="791">
        <v>199333</v>
      </c>
      <c r="F1971" s="792">
        <v>8</v>
      </c>
      <c r="G1971" s="1025"/>
      <c r="H1971" s="690"/>
      <c r="I1971" s="1030">
        <v>146906</v>
      </c>
      <c r="J1971" s="690">
        <v>154517</v>
      </c>
      <c r="K1971" s="1030"/>
      <c r="L1971" s="690"/>
      <c r="M1971" s="1025"/>
      <c r="N1971" s="1030"/>
      <c r="O1971" s="692">
        <f t="shared" si="253"/>
        <v>0</v>
      </c>
      <c r="P1971" s="690"/>
      <c r="Q1971" s="690"/>
      <c r="R1971" s="691">
        <f t="shared" si="254"/>
        <v>0</v>
      </c>
      <c r="S1971" s="692">
        <f t="shared" si="255"/>
        <v>146906</v>
      </c>
      <c r="T1971" s="693">
        <f t="shared" si="256"/>
        <v>154517</v>
      </c>
      <c r="U1971" s="1035"/>
      <c r="V1971" s="690"/>
      <c r="W1971" s="1025"/>
      <c r="X1971" s="1030"/>
      <c r="Y1971" s="694">
        <f t="shared" si="257"/>
        <v>0</v>
      </c>
      <c r="Z1971" s="690"/>
      <c r="AA1971" s="690"/>
      <c r="AB1971" s="695">
        <f t="shared" si="258"/>
        <v>0</v>
      </c>
      <c r="AC1971" s="1035"/>
      <c r="AD1971" s="690"/>
      <c r="AE1971" s="1025"/>
      <c r="AF1971" s="1030"/>
      <c r="AG1971" s="690"/>
      <c r="AH1971" s="690"/>
      <c r="AI1971" s="696">
        <f t="shared" si="259"/>
        <v>146906</v>
      </c>
      <c r="AJ1971" s="697">
        <f t="shared" si="260"/>
        <v>154517</v>
      </c>
    </row>
    <row r="1972" spans="1:36" s="700" customFormat="1" ht="12.75" customHeight="1">
      <c r="A1972" s="789" t="s">
        <v>213</v>
      </c>
      <c r="B1972" s="789" t="s">
        <v>403</v>
      </c>
      <c r="C1972" s="793" t="s">
        <v>386</v>
      </c>
      <c r="D1972" s="793"/>
      <c r="E1972" s="791">
        <v>199333</v>
      </c>
      <c r="F1972" s="792">
        <v>8</v>
      </c>
      <c r="G1972" s="1025"/>
      <c r="H1972" s="690"/>
      <c r="I1972" s="1030">
        <v>1177501</v>
      </c>
      <c r="J1972" s="690">
        <v>1217704</v>
      </c>
      <c r="K1972" s="1030"/>
      <c r="L1972" s="690"/>
      <c r="M1972" s="1025">
        <v>198111</v>
      </c>
      <c r="N1972" s="1030"/>
      <c r="O1972" s="692">
        <f t="shared" si="253"/>
        <v>198111</v>
      </c>
      <c r="P1972" s="690">
        <v>323432</v>
      </c>
      <c r="Q1972" s="690"/>
      <c r="R1972" s="691">
        <f t="shared" si="254"/>
        <v>323432</v>
      </c>
      <c r="S1972" s="692">
        <f t="shared" si="255"/>
        <v>1375612</v>
      </c>
      <c r="T1972" s="693">
        <f t="shared" si="256"/>
        <v>1541136</v>
      </c>
      <c r="U1972" s="1035"/>
      <c r="V1972" s="690"/>
      <c r="W1972" s="1025"/>
      <c r="X1972" s="1030"/>
      <c r="Y1972" s="694">
        <f t="shared" si="257"/>
        <v>0</v>
      </c>
      <c r="Z1972" s="690"/>
      <c r="AA1972" s="690"/>
      <c r="AB1972" s="695">
        <f t="shared" si="258"/>
        <v>0</v>
      </c>
      <c r="AC1972" s="1035"/>
      <c r="AD1972" s="690"/>
      <c r="AE1972" s="1025"/>
      <c r="AF1972" s="1030"/>
      <c r="AG1972" s="690"/>
      <c r="AH1972" s="690"/>
      <c r="AI1972" s="696">
        <f t="shared" si="259"/>
        <v>1375612</v>
      </c>
      <c r="AJ1972" s="697">
        <f t="shared" si="260"/>
        <v>1541136</v>
      </c>
    </row>
    <row r="1973" spans="1:36" s="700" customFormat="1" ht="12.75" customHeight="1">
      <c r="A1973" s="789" t="s">
        <v>213</v>
      </c>
      <c r="B1973" s="789" t="s">
        <v>392</v>
      </c>
      <c r="C1973" s="930" t="s">
        <v>1257</v>
      </c>
      <c r="D1973" s="930"/>
      <c r="E1973" s="791">
        <v>199856</v>
      </c>
      <c r="F1973" s="792">
        <v>8</v>
      </c>
      <c r="G1973" s="1025">
        <v>40046442</v>
      </c>
      <c r="H1973" s="690">
        <v>46413296</v>
      </c>
      <c r="I1973" s="1030"/>
      <c r="J1973" s="690"/>
      <c r="K1973" s="1162">
        <v>17013550</v>
      </c>
      <c r="L1973" s="1163">
        <v>15696050</v>
      </c>
      <c r="M1973" s="1025">
        <v>18696193</v>
      </c>
      <c r="N1973" s="1030"/>
      <c r="O1973" s="692">
        <f t="shared" si="253"/>
        <v>18696193</v>
      </c>
      <c r="P1973" s="690">
        <v>17099285</v>
      </c>
      <c r="Q1973" s="690"/>
      <c r="R1973" s="691">
        <f t="shared" si="254"/>
        <v>17099285</v>
      </c>
      <c r="S1973" s="692">
        <f t="shared" si="255"/>
        <v>75756185</v>
      </c>
      <c r="T1973" s="693">
        <f t="shared" si="256"/>
        <v>79208631</v>
      </c>
      <c r="U1973" s="1035"/>
      <c r="V1973" s="690"/>
      <c r="W1973" s="1025"/>
      <c r="X1973" s="1030"/>
      <c r="Y1973" s="694">
        <f t="shared" si="257"/>
        <v>0</v>
      </c>
      <c r="Z1973" s="690"/>
      <c r="AA1973" s="690"/>
      <c r="AB1973" s="695">
        <f t="shared" si="258"/>
        <v>0</v>
      </c>
      <c r="AC1973" s="1035"/>
      <c r="AD1973" s="690"/>
      <c r="AE1973" s="1025"/>
      <c r="AF1973" s="1030"/>
      <c r="AG1973" s="690"/>
      <c r="AH1973" s="690"/>
      <c r="AI1973" s="696">
        <f t="shared" si="259"/>
        <v>75756185</v>
      </c>
      <c r="AJ1973" s="697">
        <f t="shared" si="260"/>
        <v>79208631</v>
      </c>
    </row>
    <row r="1974" spans="1:36" s="700" customFormat="1" ht="12.75" customHeight="1">
      <c r="A1974" s="789" t="s">
        <v>213</v>
      </c>
      <c r="B1974" s="789" t="s">
        <v>392</v>
      </c>
      <c r="C1974" s="793" t="s">
        <v>1248</v>
      </c>
      <c r="D1974" s="793"/>
      <c r="E1974" s="791">
        <v>199856</v>
      </c>
      <c r="F1974" s="792">
        <v>8</v>
      </c>
      <c r="G1974" s="1025"/>
      <c r="H1974" s="690"/>
      <c r="I1974" s="1030">
        <v>658843</v>
      </c>
      <c r="J1974" s="690">
        <v>715283</v>
      </c>
      <c r="K1974" s="1030"/>
      <c r="L1974" s="690"/>
      <c r="M1974" s="1025"/>
      <c r="N1974" s="1030"/>
      <c r="O1974" s="692">
        <f t="shared" si="253"/>
        <v>0</v>
      </c>
      <c r="P1974" s="690"/>
      <c r="Q1974" s="690"/>
      <c r="R1974" s="691">
        <f t="shared" si="254"/>
        <v>0</v>
      </c>
      <c r="S1974" s="692">
        <f t="shared" si="255"/>
        <v>658843</v>
      </c>
      <c r="T1974" s="693">
        <f t="shared" si="256"/>
        <v>715283</v>
      </c>
      <c r="U1974" s="1035"/>
      <c r="V1974" s="690"/>
      <c r="W1974" s="1025"/>
      <c r="X1974" s="1030"/>
      <c r="Y1974" s="694">
        <f t="shared" si="257"/>
        <v>0</v>
      </c>
      <c r="Z1974" s="690"/>
      <c r="AA1974" s="690"/>
      <c r="AB1974" s="695">
        <f t="shared" si="258"/>
        <v>0</v>
      </c>
      <c r="AC1974" s="1035"/>
      <c r="AD1974" s="690"/>
      <c r="AE1974" s="1025"/>
      <c r="AF1974" s="1030"/>
      <c r="AG1974" s="690"/>
      <c r="AH1974" s="690"/>
      <c r="AI1974" s="696">
        <f t="shared" si="259"/>
        <v>658843</v>
      </c>
      <c r="AJ1974" s="697">
        <f t="shared" si="260"/>
        <v>715283</v>
      </c>
    </row>
    <row r="1975" spans="1:36" s="700" customFormat="1" ht="12.75" customHeight="1">
      <c r="A1975" s="789" t="s">
        <v>213</v>
      </c>
      <c r="B1975" s="789" t="s">
        <v>394</v>
      </c>
      <c r="C1975" s="793" t="s">
        <v>451</v>
      </c>
      <c r="D1975" s="793"/>
      <c r="E1975" s="791">
        <v>199856</v>
      </c>
      <c r="F1975" s="792">
        <v>8</v>
      </c>
      <c r="G1975" s="1025"/>
      <c r="H1975" s="690"/>
      <c r="I1975" s="1030">
        <v>162106</v>
      </c>
      <c r="J1975" s="690">
        <v>171270</v>
      </c>
      <c r="K1975" s="1030"/>
      <c r="L1975" s="690"/>
      <c r="M1975" s="1025"/>
      <c r="N1975" s="1030"/>
      <c r="O1975" s="692">
        <f t="shared" si="253"/>
        <v>0</v>
      </c>
      <c r="P1975" s="690"/>
      <c r="Q1975" s="690"/>
      <c r="R1975" s="691">
        <f t="shared" si="254"/>
        <v>0</v>
      </c>
      <c r="S1975" s="692">
        <f t="shared" si="255"/>
        <v>162106</v>
      </c>
      <c r="T1975" s="693">
        <f t="shared" si="256"/>
        <v>171270</v>
      </c>
      <c r="U1975" s="1035"/>
      <c r="V1975" s="690"/>
      <c r="W1975" s="1025"/>
      <c r="X1975" s="1030"/>
      <c r="Y1975" s="694">
        <f t="shared" si="257"/>
        <v>0</v>
      </c>
      <c r="Z1975" s="690"/>
      <c r="AA1975" s="690"/>
      <c r="AB1975" s="695">
        <f t="shared" si="258"/>
        <v>0</v>
      </c>
      <c r="AC1975" s="1035"/>
      <c r="AD1975" s="690"/>
      <c r="AE1975" s="1025"/>
      <c r="AF1975" s="1030"/>
      <c r="AG1975" s="690"/>
      <c r="AH1975" s="690"/>
      <c r="AI1975" s="696">
        <f t="shared" si="259"/>
        <v>162106</v>
      </c>
      <c r="AJ1975" s="697">
        <f t="shared" si="260"/>
        <v>171270</v>
      </c>
    </row>
    <row r="1976" spans="1:36" s="700" customFormat="1" ht="12.75" customHeight="1">
      <c r="A1976" s="789" t="s">
        <v>213</v>
      </c>
      <c r="B1976" s="789" t="s">
        <v>403</v>
      </c>
      <c r="C1976" s="793" t="s">
        <v>386</v>
      </c>
      <c r="D1976" s="793"/>
      <c r="E1976" s="791">
        <v>199856</v>
      </c>
      <c r="F1976" s="792">
        <v>8</v>
      </c>
      <c r="G1976" s="1025"/>
      <c r="H1976" s="690"/>
      <c r="I1976" s="1030">
        <v>3131655</v>
      </c>
      <c r="J1976" s="690">
        <v>2165451</v>
      </c>
      <c r="K1976" s="1030"/>
      <c r="L1976" s="690"/>
      <c r="M1976" s="1025">
        <v>1027109</v>
      </c>
      <c r="N1976" s="1030"/>
      <c r="O1976" s="692">
        <f t="shared" si="253"/>
        <v>1027109</v>
      </c>
      <c r="P1976" s="690">
        <v>1692188</v>
      </c>
      <c r="Q1976" s="690"/>
      <c r="R1976" s="691">
        <f t="shared" si="254"/>
        <v>1692188</v>
      </c>
      <c r="S1976" s="692">
        <f t="shared" si="255"/>
        <v>4158764</v>
      </c>
      <c r="T1976" s="693">
        <f t="shared" si="256"/>
        <v>3857639</v>
      </c>
      <c r="U1976" s="1035"/>
      <c r="V1976" s="690"/>
      <c r="W1976" s="1025"/>
      <c r="X1976" s="1030"/>
      <c r="Y1976" s="694">
        <f t="shared" si="257"/>
        <v>0</v>
      </c>
      <c r="Z1976" s="690"/>
      <c r="AA1976" s="690"/>
      <c r="AB1976" s="695">
        <f t="shared" si="258"/>
        <v>0</v>
      </c>
      <c r="AC1976" s="1035"/>
      <c r="AD1976" s="690"/>
      <c r="AE1976" s="1025"/>
      <c r="AF1976" s="1030"/>
      <c r="AG1976" s="690"/>
      <c r="AH1976" s="690"/>
      <c r="AI1976" s="696">
        <f t="shared" si="259"/>
        <v>4158764</v>
      </c>
      <c r="AJ1976" s="697">
        <f t="shared" si="260"/>
        <v>3857639</v>
      </c>
    </row>
    <row r="1977" spans="1:36" s="700" customFormat="1" ht="12.75" customHeight="1">
      <c r="A1977" s="789" t="s">
        <v>213</v>
      </c>
      <c r="B1977" s="789" t="s">
        <v>392</v>
      </c>
      <c r="C1977" s="1078" t="s">
        <v>1258</v>
      </c>
      <c r="D1977" s="1079" t="s">
        <v>1968</v>
      </c>
      <c r="E1977" s="791">
        <v>198455</v>
      </c>
      <c r="F1977" s="1080">
        <v>9</v>
      </c>
      <c r="G1977" s="1025">
        <v>15684269</v>
      </c>
      <c r="H1977" s="690">
        <v>15287096</v>
      </c>
      <c r="I1977" s="1030"/>
      <c r="J1977" s="690"/>
      <c r="K1977" s="1162">
        <v>4727465</v>
      </c>
      <c r="L1977" s="1163">
        <v>4721995</v>
      </c>
      <c r="M1977" s="1025">
        <v>4789148</v>
      </c>
      <c r="N1977" s="1030"/>
      <c r="O1977" s="692">
        <f t="shared" si="253"/>
        <v>4789148</v>
      </c>
      <c r="P1977" s="690">
        <v>6089043</v>
      </c>
      <c r="Q1977" s="690"/>
      <c r="R1977" s="691">
        <f t="shared" si="254"/>
        <v>6089043</v>
      </c>
      <c r="S1977" s="692">
        <f t="shared" si="255"/>
        <v>25200882</v>
      </c>
      <c r="T1977" s="693">
        <f t="shared" si="256"/>
        <v>26098134</v>
      </c>
      <c r="U1977" s="1035"/>
      <c r="V1977" s="690"/>
      <c r="W1977" s="1025"/>
      <c r="X1977" s="1030"/>
      <c r="Y1977" s="694">
        <f t="shared" si="257"/>
        <v>0</v>
      </c>
      <c r="Z1977" s="690"/>
      <c r="AA1977" s="690"/>
      <c r="AB1977" s="695">
        <f t="shared" si="258"/>
        <v>0</v>
      </c>
      <c r="AC1977" s="1035"/>
      <c r="AD1977" s="690"/>
      <c r="AE1977" s="1025"/>
      <c r="AF1977" s="1030"/>
      <c r="AG1977" s="690"/>
      <c r="AH1977" s="690"/>
      <c r="AI1977" s="696">
        <f t="shared" si="259"/>
        <v>25200882</v>
      </c>
      <c r="AJ1977" s="697">
        <f t="shared" si="260"/>
        <v>26098134</v>
      </c>
    </row>
    <row r="1978" spans="1:36" s="700" customFormat="1" ht="12.75" customHeight="1">
      <c r="A1978" s="789" t="s">
        <v>213</v>
      </c>
      <c r="B1978" s="789" t="s">
        <v>392</v>
      </c>
      <c r="C1978" s="793" t="s">
        <v>1248</v>
      </c>
      <c r="D1978" s="793"/>
      <c r="E1978" s="791">
        <v>198455</v>
      </c>
      <c r="F1978" s="1080">
        <v>9</v>
      </c>
      <c r="G1978" s="1025"/>
      <c r="H1978" s="690"/>
      <c r="I1978" s="1030">
        <v>319394</v>
      </c>
      <c r="J1978" s="690">
        <v>284893</v>
      </c>
      <c r="K1978" s="1030"/>
      <c r="L1978" s="690"/>
      <c r="M1978" s="1025"/>
      <c r="N1978" s="1030"/>
      <c r="O1978" s="692">
        <f t="shared" si="253"/>
        <v>0</v>
      </c>
      <c r="P1978" s="690"/>
      <c r="Q1978" s="690"/>
      <c r="R1978" s="691">
        <f t="shared" si="254"/>
        <v>0</v>
      </c>
      <c r="S1978" s="692">
        <f t="shared" si="255"/>
        <v>319394</v>
      </c>
      <c r="T1978" s="693">
        <f t="shared" si="256"/>
        <v>284893</v>
      </c>
      <c r="U1978" s="1035"/>
      <c r="V1978" s="690"/>
      <c r="W1978" s="1025"/>
      <c r="X1978" s="1030"/>
      <c r="Y1978" s="694">
        <f t="shared" si="257"/>
        <v>0</v>
      </c>
      <c r="Z1978" s="690"/>
      <c r="AA1978" s="690"/>
      <c r="AB1978" s="695">
        <f t="shared" si="258"/>
        <v>0</v>
      </c>
      <c r="AC1978" s="1035"/>
      <c r="AD1978" s="690"/>
      <c r="AE1978" s="1025"/>
      <c r="AF1978" s="1030"/>
      <c r="AG1978" s="690"/>
      <c r="AH1978" s="690"/>
      <c r="AI1978" s="696">
        <f t="shared" si="259"/>
        <v>319394</v>
      </c>
      <c r="AJ1978" s="697">
        <f t="shared" si="260"/>
        <v>284893</v>
      </c>
    </row>
    <row r="1979" spans="1:36" s="700" customFormat="1" ht="12.75" customHeight="1">
      <c r="A1979" s="789" t="s">
        <v>213</v>
      </c>
      <c r="B1979" s="789" t="s">
        <v>394</v>
      </c>
      <c r="C1979" s="793" t="s">
        <v>451</v>
      </c>
      <c r="D1979" s="793"/>
      <c r="E1979" s="791">
        <v>198455</v>
      </c>
      <c r="F1979" s="1080">
        <v>9</v>
      </c>
      <c r="G1979" s="1025"/>
      <c r="H1979" s="690"/>
      <c r="I1979" s="1030">
        <v>152306</v>
      </c>
      <c r="J1979" s="690">
        <v>161710</v>
      </c>
      <c r="K1979" s="1030"/>
      <c r="L1979" s="690"/>
      <c r="M1979" s="1025"/>
      <c r="N1979" s="1030"/>
      <c r="O1979" s="692">
        <f t="shared" si="253"/>
        <v>0</v>
      </c>
      <c r="P1979" s="690"/>
      <c r="Q1979" s="690"/>
      <c r="R1979" s="691">
        <f t="shared" si="254"/>
        <v>0</v>
      </c>
      <c r="S1979" s="692">
        <f t="shared" si="255"/>
        <v>152306</v>
      </c>
      <c r="T1979" s="693">
        <f t="shared" si="256"/>
        <v>161710</v>
      </c>
      <c r="U1979" s="1035"/>
      <c r="V1979" s="690"/>
      <c r="W1979" s="1025"/>
      <c r="X1979" s="1030"/>
      <c r="Y1979" s="694">
        <f t="shared" si="257"/>
        <v>0</v>
      </c>
      <c r="Z1979" s="690"/>
      <c r="AA1979" s="690"/>
      <c r="AB1979" s="695">
        <f t="shared" si="258"/>
        <v>0</v>
      </c>
      <c r="AC1979" s="1035"/>
      <c r="AD1979" s="690"/>
      <c r="AE1979" s="1025"/>
      <c r="AF1979" s="1030"/>
      <c r="AG1979" s="690"/>
      <c r="AH1979" s="690"/>
      <c r="AI1979" s="696">
        <f t="shared" si="259"/>
        <v>152306</v>
      </c>
      <c r="AJ1979" s="697">
        <f t="shared" si="260"/>
        <v>161710</v>
      </c>
    </row>
    <row r="1980" spans="1:36" s="700" customFormat="1" ht="12.75" customHeight="1">
      <c r="A1980" s="789" t="s">
        <v>213</v>
      </c>
      <c r="B1980" s="789" t="s">
        <v>403</v>
      </c>
      <c r="C1980" s="793" t="s">
        <v>386</v>
      </c>
      <c r="D1980" s="793"/>
      <c r="E1980" s="791">
        <v>198455</v>
      </c>
      <c r="F1980" s="1080">
        <v>9</v>
      </c>
      <c r="G1980" s="1025"/>
      <c r="H1980" s="690"/>
      <c r="I1980" s="1030">
        <v>1888813</v>
      </c>
      <c r="J1980" s="690">
        <v>1420298</v>
      </c>
      <c r="K1980" s="1030"/>
      <c r="L1980" s="690"/>
      <c r="M1980" s="1025">
        <v>473277</v>
      </c>
      <c r="N1980" s="1030"/>
      <c r="O1980" s="692">
        <f t="shared" si="253"/>
        <v>473277</v>
      </c>
      <c r="P1980" s="690">
        <v>645973</v>
      </c>
      <c r="Q1980" s="690"/>
      <c r="R1980" s="691">
        <f t="shared" si="254"/>
        <v>645973</v>
      </c>
      <c r="S1980" s="692">
        <f t="shared" si="255"/>
        <v>2362090</v>
      </c>
      <c r="T1980" s="693">
        <f t="shared" si="256"/>
        <v>2066271</v>
      </c>
      <c r="U1980" s="1035"/>
      <c r="V1980" s="690"/>
      <c r="W1980" s="1025"/>
      <c r="X1980" s="1030"/>
      <c r="Y1980" s="694">
        <f t="shared" si="257"/>
        <v>0</v>
      </c>
      <c r="Z1980" s="690"/>
      <c r="AA1980" s="690"/>
      <c r="AB1980" s="695">
        <f t="shared" si="258"/>
        <v>0</v>
      </c>
      <c r="AC1980" s="1035"/>
      <c r="AD1980" s="690"/>
      <c r="AE1980" s="1025"/>
      <c r="AF1980" s="1030"/>
      <c r="AG1980" s="690"/>
      <c r="AH1980" s="690"/>
      <c r="AI1980" s="696">
        <f t="shared" si="259"/>
        <v>2362090</v>
      </c>
      <c r="AJ1980" s="697">
        <f t="shared" si="260"/>
        <v>2066271</v>
      </c>
    </row>
    <row r="1981" spans="1:36" s="700" customFormat="1" ht="12.75" customHeight="1">
      <c r="A1981" s="789" t="s">
        <v>213</v>
      </c>
      <c r="B1981" s="789" t="s">
        <v>392</v>
      </c>
      <c r="C1981" s="930" t="s">
        <v>1259</v>
      </c>
      <c r="D1981" s="930"/>
      <c r="E1981" s="791">
        <v>199494</v>
      </c>
      <c r="F1981" s="792">
        <v>8</v>
      </c>
      <c r="G1981" s="1025">
        <v>19334744</v>
      </c>
      <c r="H1981" s="690">
        <v>22389781</v>
      </c>
      <c r="I1981" s="1030"/>
      <c r="J1981" s="690"/>
      <c r="K1981" s="1162">
        <v>3549336</v>
      </c>
      <c r="L1981" s="1163">
        <v>3708370</v>
      </c>
      <c r="M1981" s="1025">
        <v>5935388</v>
      </c>
      <c r="N1981" s="1030"/>
      <c r="O1981" s="692">
        <f t="shared" si="253"/>
        <v>5935388</v>
      </c>
      <c r="P1981" s="690">
        <v>8714124</v>
      </c>
      <c r="Q1981" s="690"/>
      <c r="R1981" s="691">
        <f t="shared" si="254"/>
        <v>8714124</v>
      </c>
      <c r="S1981" s="692">
        <f t="shared" si="255"/>
        <v>28819468</v>
      </c>
      <c r="T1981" s="693">
        <f t="shared" si="256"/>
        <v>34812275</v>
      </c>
      <c r="U1981" s="1035"/>
      <c r="V1981" s="690"/>
      <c r="W1981" s="1025"/>
      <c r="X1981" s="1030"/>
      <c r="Y1981" s="694">
        <f t="shared" si="257"/>
        <v>0</v>
      </c>
      <c r="Z1981" s="690"/>
      <c r="AA1981" s="690"/>
      <c r="AB1981" s="695">
        <f t="shared" si="258"/>
        <v>0</v>
      </c>
      <c r="AC1981" s="1035"/>
      <c r="AD1981" s="690"/>
      <c r="AE1981" s="1025"/>
      <c r="AF1981" s="1030"/>
      <c r="AG1981" s="690"/>
      <c r="AH1981" s="690"/>
      <c r="AI1981" s="696">
        <f t="shared" si="259"/>
        <v>28819468</v>
      </c>
      <c r="AJ1981" s="697">
        <f t="shared" si="260"/>
        <v>34812275</v>
      </c>
    </row>
    <row r="1982" spans="1:36" s="700" customFormat="1" ht="12.75" customHeight="1">
      <c r="A1982" s="789" t="s">
        <v>213</v>
      </c>
      <c r="B1982" s="789" t="s">
        <v>392</v>
      </c>
      <c r="C1982" s="793" t="s">
        <v>1248</v>
      </c>
      <c r="D1982" s="793"/>
      <c r="E1982" s="791">
        <v>199494</v>
      </c>
      <c r="F1982" s="792">
        <v>8</v>
      </c>
      <c r="G1982" s="1025"/>
      <c r="H1982" s="690"/>
      <c r="I1982" s="1030">
        <v>139068</v>
      </c>
      <c r="J1982" s="690">
        <v>103161</v>
      </c>
      <c r="K1982" s="1030"/>
      <c r="L1982" s="690"/>
      <c r="M1982" s="1025"/>
      <c r="N1982" s="1030"/>
      <c r="O1982" s="692">
        <f t="shared" si="253"/>
        <v>0</v>
      </c>
      <c r="P1982" s="690"/>
      <c r="Q1982" s="690"/>
      <c r="R1982" s="691">
        <f t="shared" si="254"/>
        <v>0</v>
      </c>
      <c r="S1982" s="692">
        <f t="shared" si="255"/>
        <v>139068</v>
      </c>
      <c r="T1982" s="693">
        <f t="shared" si="256"/>
        <v>103161</v>
      </c>
      <c r="U1982" s="1035"/>
      <c r="V1982" s="690"/>
      <c r="W1982" s="1025"/>
      <c r="X1982" s="1030"/>
      <c r="Y1982" s="694">
        <f t="shared" si="257"/>
        <v>0</v>
      </c>
      <c r="Z1982" s="690"/>
      <c r="AA1982" s="690"/>
      <c r="AB1982" s="695">
        <f t="shared" si="258"/>
        <v>0</v>
      </c>
      <c r="AC1982" s="1035"/>
      <c r="AD1982" s="690"/>
      <c r="AE1982" s="1025"/>
      <c r="AF1982" s="1030"/>
      <c r="AG1982" s="690"/>
      <c r="AH1982" s="690"/>
      <c r="AI1982" s="696">
        <f t="shared" si="259"/>
        <v>139068</v>
      </c>
      <c r="AJ1982" s="697">
        <f t="shared" si="260"/>
        <v>103161</v>
      </c>
    </row>
    <row r="1983" spans="1:36" s="700" customFormat="1" ht="12.75" customHeight="1">
      <c r="A1983" s="789" t="s">
        <v>213</v>
      </c>
      <c r="B1983" s="789" t="s">
        <v>394</v>
      </c>
      <c r="C1983" s="793" t="s">
        <v>451</v>
      </c>
      <c r="D1983" s="793"/>
      <c r="E1983" s="791">
        <v>199494</v>
      </c>
      <c r="F1983" s="792">
        <v>8</v>
      </c>
      <c r="G1983" s="1025"/>
      <c r="H1983" s="690"/>
      <c r="I1983" s="1030">
        <v>155706</v>
      </c>
      <c r="J1983" s="690">
        <v>163531</v>
      </c>
      <c r="K1983" s="1030"/>
      <c r="L1983" s="690"/>
      <c r="M1983" s="1025"/>
      <c r="N1983" s="1030"/>
      <c r="O1983" s="692">
        <f t="shared" si="253"/>
        <v>0</v>
      </c>
      <c r="P1983" s="690"/>
      <c r="Q1983" s="690"/>
      <c r="R1983" s="691">
        <f t="shared" si="254"/>
        <v>0</v>
      </c>
      <c r="S1983" s="692">
        <f t="shared" si="255"/>
        <v>155706</v>
      </c>
      <c r="T1983" s="693">
        <f t="shared" si="256"/>
        <v>163531</v>
      </c>
      <c r="U1983" s="1035"/>
      <c r="V1983" s="690"/>
      <c r="W1983" s="1025"/>
      <c r="X1983" s="1030"/>
      <c r="Y1983" s="694">
        <f t="shared" si="257"/>
        <v>0</v>
      </c>
      <c r="Z1983" s="690"/>
      <c r="AA1983" s="690"/>
      <c r="AB1983" s="695">
        <f t="shared" si="258"/>
        <v>0</v>
      </c>
      <c r="AC1983" s="1035"/>
      <c r="AD1983" s="690"/>
      <c r="AE1983" s="1025"/>
      <c r="AF1983" s="1030"/>
      <c r="AG1983" s="690"/>
      <c r="AH1983" s="690"/>
      <c r="AI1983" s="696">
        <f t="shared" si="259"/>
        <v>155706</v>
      </c>
      <c r="AJ1983" s="697">
        <f t="shared" si="260"/>
        <v>163531</v>
      </c>
    </row>
    <row r="1984" spans="1:36" s="700" customFormat="1" ht="12.75" customHeight="1">
      <c r="A1984" s="789" t="s">
        <v>213</v>
      </c>
      <c r="B1984" s="789" t="s">
        <v>403</v>
      </c>
      <c r="C1984" s="793" t="s">
        <v>386</v>
      </c>
      <c r="D1984" s="793"/>
      <c r="E1984" s="791">
        <v>199494</v>
      </c>
      <c r="F1984" s="792">
        <v>8</v>
      </c>
      <c r="G1984" s="1025"/>
      <c r="H1984" s="690"/>
      <c r="I1984" s="1030">
        <v>2016580</v>
      </c>
      <c r="J1984" s="690">
        <v>2029864</v>
      </c>
      <c r="K1984" s="1030"/>
      <c r="L1984" s="690"/>
      <c r="M1984" s="1025">
        <v>253818</v>
      </c>
      <c r="N1984" s="1030"/>
      <c r="O1984" s="692">
        <f t="shared" si="253"/>
        <v>253818</v>
      </c>
      <c r="P1984" s="690">
        <v>370583</v>
      </c>
      <c r="Q1984" s="690"/>
      <c r="R1984" s="691">
        <f t="shared" si="254"/>
        <v>370583</v>
      </c>
      <c r="S1984" s="692">
        <f t="shared" si="255"/>
        <v>2270398</v>
      </c>
      <c r="T1984" s="693">
        <f t="shared" si="256"/>
        <v>2400447</v>
      </c>
      <c r="U1984" s="1035"/>
      <c r="V1984" s="690"/>
      <c r="W1984" s="1025"/>
      <c r="X1984" s="1030"/>
      <c r="Y1984" s="694">
        <f t="shared" si="257"/>
        <v>0</v>
      </c>
      <c r="Z1984" s="690"/>
      <c r="AA1984" s="690"/>
      <c r="AB1984" s="695">
        <f t="shared" si="258"/>
        <v>0</v>
      </c>
      <c r="AC1984" s="1035"/>
      <c r="AD1984" s="690"/>
      <c r="AE1984" s="1025"/>
      <c r="AF1984" s="1030"/>
      <c r="AG1984" s="690"/>
      <c r="AH1984" s="690"/>
      <c r="AI1984" s="696">
        <f t="shared" si="259"/>
        <v>2270398</v>
      </c>
      <c r="AJ1984" s="697">
        <f t="shared" si="260"/>
        <v>2400447</v>
      </c>
    </row>
    <row r="1985" spans="1:36" s="700" customFormat="1" ht="12.75" customHeight="1">
      <c r="A1985" s="789" t="s">
        <v>213</v>
      </c>
      <c r="B1985" s="789" t="s">
        <v>392</v>
      </c>
      <c r="C1985" s="931" t="s">
        <v>1260</v>
      </c>
      <c r="D1985" s="931"/>
      <c r="E1985" s="791">
        <v>199786</v>
      </c>
      <c r="F1985" s="792">
        <v>9</v>
      </c>
      <c r="G1985" s="1025">
        <v>14763567</v>
      </c>
      <c r="H1985" s="690">
        <v>16008115</v>
      </c>
      <c r="I1985" s="1030"/>
      <c r="J1985" s="690"/>
      <c r="K1985" s="1162">
        <v>2716383</v>
      </c>
      <c r="L1985" s="1163">
        <v>2797375</v>
      </c>
      <c r="M1985" s="1025">
        <v>4834673</v>
      </c>
      <c r="N1985" s="1030"/>
      <c r="O1985" s="692">
        <f t="shared" si="253"/>
        <v>4834673</v>
      </c>
      <c r="P1985" s="690">
        <v>6904719</v>
      </c>
      <c r="Q1985" s="690"/>
      <c r="R1985" s="691">
        <f t="shared" si="254"/>
        <v>6904719</v>
      </c>
      <c r="S1985" s="692">
        <f t="shared" si="255"/>
        <v>22314623</v>
      </c>
      <c r="T1985" s="693">
        <f t="shared" si="256"/>
        <v>25710209</v>
      </c>
      <c r="U1985" s="1035"/>
      <c r="V1985" s="690"/>
      <c r="W1985" s="1025"/>
      <c r="X1985" s="1030"/>
      <c r="Y1985" s="694">
        <f t="shared" si="257"/>
        <v>0</v>
      </c>
      <c r="Z1985" s="690"/>
      <c r="AA1985" s="690"/>
      <c r="AB1985" s="695">
        <f t="shared" si="258"/>
        <v>0</v>
      </c>
      <c r="AC1985" s="1035"/>
      <c r="AD1985" s="690"/>
      <c r="AE1985" s="1025"/>
      <c r="AF1985" s="1030"/>
      <c r="AG1985" s="690"/>
      <c r="AH1985" s="690"/>
      <c r="AI1985" s="696">
        <f t="shared" si="259"/>
        <v>22314623</v>
      </c>
      <c r="AJ1985" s="697">
        <f t="shared" si="260"/>
        <v>25710209</v>
      </c>
    </row>
    <row r="1986" spans="1:36" s="700" customFormat="1" ht="12.75" customHeight="1">
      <c r="A1986" s="789" t="s">
        <v>213</v>
      </c>
      <c r="B1986" s="789" t="s">
        <v>392</v>
      </c>
      <c r="C1986" s="793" t="s">
        <v>1248</v>
      </c>
      <c r="D1986" s="793"/>
      <c r="E1986" s="791">
        <v>199786</v>
      </c>
      <c r="F1986" s="792">
        <v>9</v>
      </c>
      <c r="G1986" s="1025"/>
      <c r="H1986" s="690"/>
      <c r="I1986" s="1030">
        <v>170895</v>
      </c>
      <c r="J1986" s="690">
        <v>181331</v>
      </c>
      <c r="K1986" s="1030"/>
      <c r="L1986" s="690"/>
      <c r="M1986" s="1025"/>
      <c r="N1986" s="1030"/>
      <c r="O1986" s="692">
        <f t="shared" si="253"/>
        <v>0</v>
      </c>
      <c r="P1986" s="690"/>
      <c r="Q1986" s="690"/>
      <c r="R1986" s="691">
        <f t="shared" si="254"/>
        <v>0</v>
      </c>
      <c r="S1986" s="692">
        <f t="shared" si="255"/>
        <v>170895</v>
      </c>
      <c r="T1986" s="693">
        <f t="shared" si="256"/>
        <v>181331</v>
      </c>
      <c r="U1986" s="1035"/>
      <c r="V1986" s="690"/>
      <c r="W1986" s="1025"/>
      <c r="X1986" s="1030"/>
      <c r="Y1986" s="694">
        <f t="shared" si="257"/>
        <v>0</v>
      </c>
      <c r="Z1986" s="690"/>
      <c r="AA1986" s="690"/>
      <c r="AB1986" s="695">
        <f t="shared" si="258"/>
        <v>0</v>
      </c>
      <c r="AC1986" s="1035"/>
      <c r="AD1986" s="690"/>
      <c r="AE1986" s="1025"/>
      <c r="AF1986" s="1030"/>
      <c r="AG1986" s="690"/>
      <c r="AH1986" s="690"/>
      <c r="AI1986" s="696">
        <f t="shared" si="259"/>
        <v>170895</v>
      </c>
      <c r="AJ1986" s="697">
        <f t="shared" si="260"/>
        <v>181331</v>
      </c>
    </row>
    <row r="1987" spans="1:36" s="700" customFormat="1" ht="12.75" customHeight="1">
      <c r="A1987" s="789" t="s">
        <v>213</v>
      </c>
      <c r="B1987" s="789" t="s">
        <v>394</v>
      </c>
      <c r="C1987" s="793" t="s">
        <v>451</v>
      </c>
      <c r="D1987" s="793"/>
      <c r="E1987" s="791">
        <v>199786</v>
      </c>
      <c r="F1987" s="792">
        <v>9</v>
      </c>
      <c r="G1987" s="1025"/>
      <c r="H1987" s="690"/>
      <c r="I1987" s="1030">
        <v>154106</v>
      </c>
      <c r="J1987" s="690">
        <v>159510</v>
      </c>
      <c r="K1987" s="1030"/>
      <c r="L1987" s="690"/>
      <c r="M1987" s="1025"/>
      <c r="N1987" s="1030"/>
      <c r="O1987" s="692">
        <f t="shared" si="253"/>
        <v>0</v>
      </c>
      <c r="P1987" s="690"/>
      <c r="Q1987" s="690"/>
      <c r="R1987" s="691">
        <f t="shared" si="254"/>
        <v>0</v>
      </c>
      <c r="S1987" s="692">
        <f t="shared" si="255"/>
        <v>154106</v>
      </c>
      <c r="T1987" s="693">
        <f t="shared" si="256"/>
        <v>159510</v>
      </c>
      <c r="U1987" s="1035"/>
      <c r="V1987" s="690"/>
      <c r="W1987" s="1025"/>
      <c r="X1987" s="1030"/>
      <c r="Y1987" s="694">
        <f t="shared" si="257"/>
        <v>0</v>
      </c>
      <c r="Z1987" s="690"/>
      <c r="AA1987" s="690"/>
      <c r="AB1987" s="695">
        <f t="shared" si="258"/>
        <v>0</v>
      </c>
      <c r="AC1987" s="1035"/>
      <c r="AD1987" s="690"/>
      <c r="AE1987" s="1025"/>
      <c r="AF1987" s="1030"/>
      <c r="AG1987" s="690"/>
      <c r="AH1987" s="690"/>
      <c r="AI1987" s="696">
        <f t="shared" si="259"/>
        <v>154106</v>
      </c>
      <c r="AJ1987" s="697">
        <f t="shared" si="260"/>
        <v>159510</v>
      </c>
    </row>
    <row r="1988" spans="1:36" s="700" customFormat="1" ht="12.75" customHeight="1">
      <c r="A1988" s="789" t="s">
        <v>213</v>
      </c>
      <c r="B1988" s="789" t="s">
        <v>403</v>
      </c>
      <c r="C1988" s="793" t="s">
        <v>386</v>
      </c>
      <c r="D1988" s="793"/>
      <c r="E1988" s="791">
        <v>199786</v>
      </c>
      <c r="F1988" s="792">
        <v>9</v>
      </c>
      <c r="G1988" s="1025"/>
      <c r="H1988" s="690"/>
      <c r="I1988" s="1030">
        <v>767930</v>
      </c>
      <c r="J1988" s="690">
        <v>766815</v>
      </c>
      <c r="K1988" s="1030"/>
      <c r="L1988" s="690"/>
      <c r="M1988" s="1025">
        <v>234132</v>
      </c>
      <c r="N1988" s="1030"/>
      <c r="O1988" s="692">
        <f t="shared" si="253"/>
        <v>234132</v>
      </c>
      <c r="P1988" s="690">
        <v>332851</v>
      </c>
      <c r="Q1988" s="690"/>
      <c r="R1988" s="691">
        <f t="shared" si="254"/>
        <v>332851</v>
      </c>
      <c r="S1988" s="692">
        <f t="shared" si="255"/>
        <v>1002062</v>
      </c>
      <c r="T1988" s="693">
        <f t="shared" si="256"/>
        <v>1099666</v>
      </c>
      <c r="U1988" s="1035"/>
      <c r="V1988" s="690"/>
      <c r="W1988" s="1025"/>
      <c r="X1988" s="1030"/>
      <c r="Y1988" s="694">
        <f t="shared" si="257"/>
        <v>0</v>
      </c>
      <c r="Z1988" s="690"/>
      <c r="AA1988" s="690"/>
      <c r="AB1988" s="695">
        <f t="shared" si="258"/>
        <v>0</v>
      </c>
      <c r="AC1988" s="1035"/>
      <c r="AD1988" s="690"/>
      <c r="AE1988" s="1025"/>
      <c r="AF1988" s="1030"/>
      <c r="AG1988" s="690"/>
      <c r="AH1988" s="690"/>
      <c r="AI1988" s="696">
        <f t="shared" si="259"/>
        <v>1002062</v>
      </c>
      <c r="AJ1988" s="697">
        <f t="shared" si="260"/>
        <v>1099666</v>
      </c>
    </row>
    <row r="1989" spans="1:36" s="700" customFormat="1" ht="12.75" customHeight="1">
      <c r="A1989" s="789" t="s">
        <v>213</v>
      </c>
      <c r="B1989" s="789" t="s">
        <v>392</v>
      </c>
      <c r="C1989" s="1078" t="s">
        <v>1261</v>
      </c>
      <c r="D1989" s="1079" t="s">
        <v>1969</v>
      </c>
      <c r="E1989" s="791">
        <v>198039</v>
      </c>
      <c r="F1989" s="1080">
        <v>10</v>
      </c>
      <c r="G1989" s="1025">
        <v>7661561</v>
      </c>
      <c r="H1989" s="690">
        <v>8650880</v>
      </c>
      <c r="I1989" s="1030"/>
      <c r="J1989" s="690"/>
      <c r="K1989" s="1162">
        <v>2607787</v>
      </c>
      <c r="L1989" s="1163">
        <v>2593894</v>
      </c>
      <c r="M1989" s="1025">
        <v>2149087</v>
      </c>
      <c r="N1989" s="1030"/>
      <c r="O1989" s="692">
        <f t="shared" si="253"/>
        <v>2149087</v>
      </c>
      <c r="P1989" s="690">
        <v>2924760</v>
      </c>
      <c r="Q1989" s="690"/>
      <c r="R1989" s="691">
        <f t="shared" si="254"/>
        <v>2924760</v>
      </c>
      <c r="S1989" s="692">
        <f t="shared" si="255"/>
        <v>12418435</v>
      </c>
      <c r="T1989" s="693">
        <f t="shared" si="256"/>
        <v>14169534</v>
      </c>
      <c r="U1989" s="1035"/>
      <c r="V1989" s="690"/>
      <c r="W1989" s="1025"/>
      <c r="X1989" s="1030"/>
      <c r="Y1989" s="694">
        <f t="shared" si="257"/>
        <v>0</v>
      </c>
      <c r="Z1989" s="690"/>
      <c r="AA1989" s="690"/>
      <c r="AB1989" s="695">
        <f t="shared" si="258"/>
        <v>0</v>
      </c>
      <c r="AC1989" s="1035"/>
      <c r="AD1989" s="690"/>
      <c r="AE1989" s="1025"/>
      <c r="AF1989" s="1030"/>
      <c r="AG1989" s="690"/>
      <c r="AH1989" s="690"/>
      <c r="AI1989" s="696">
        <f t="shared" si="259"/>
        <v>12418435</v>
      </c>
      <c r="AJ1989" s="697">
        <f t="shared" si="260"/>
        <v>14169534</v>
      </c>
    </row>
    <row r="1990" spans="1:36" s="700" customFormat="1" ht="12.75" customHeight="1">
      <c r="A1990" s="789" t="s">
        <v>213</v>
      </c>
      <c r="B1990" s="789" t="s">
        <v>392</v>
      </c>
      <c r="C1990" s="793" t="s">
        <v>1248</v>
      </c>
      <c r="D1990" s="793"/>
      <c r="E1990" s="791">
        <v>198039</v>
      </c>
      <c r="F1990" s="1080">
        <v>10</v>
      </c>
      <c r="G1990" s="1025"/>
      <c r="H1990" s="690"/>
      <c r="I1990" s="1030">
        <v>59724</v>
      </c>
      <c r="J1990" s="690">
        <v>74897</v>
      </c>
      <c r="K1990" s="1030"/>
      <c r="L1990" s="690"/>
      <c r="M1990" s="1025"/>
      <c r="N1990" s="1030"/>
      <c r="O1990" s="692">
        <f t="shared" si="253"/>
        <v>0</v>
      </c>
      <c r="P1990" s="690"/>
      <c r="Q1990" s="690"/>
      <c r="R1990" s="691">
        <f t="shared" si="254"/>
        <v>0</v>
      </c>
      <c r="S1990" s="692">
        <f t="shared" si="255"/>
        <v>59724</v>
      </c>
      <c r="T1990" s="693">
        <f t="shared" si="256"/>
        <v>74897</v>
      </c>
      <c r="U1990" s="1035"/>
      <c r="V1990" s="690"/>
      <c r="W1990" s="1025"/>
      <c r="X1990" s="1030"/>
      <c r="Y1990" s="694">
        <f t="shared" si="257"/>
        <v>0</v>
      </c>
      <c r="Z1990" s="690"/>
      <c r="AA1990" s="690"/>
      <c r="AB1990" s="695">
        <f t="shared" si="258"/>
        <v>0</v>
      </c>
      <c r="AC1990" s="1035"/>
      <c r="AD1990" s="690"/>
      <c r="AE1990" s="1025"/>
      <c r="AF1990" s="1030"/>
      <c r="AG1990" s="690"/>
      <c r="AH1990" s="690"/>
      <c r="AI1990" s="696">
        <f t="shared" si="259"/>
        <v>59724</v>
      </c>
      <c r="AJ1990" s="697">
        <f t="shared" si="260"/>
        <v>74897</v>
      </c>
    </row>
    <row r="1991" spans="1:36" s="700" customFormat="1" ht="12.75" customHeight="1">
      <c r="A1991" s="789" t="s">
        <v>213</v>
      </c>
      <c r="B1991" s="789" t="s">
        <v>394</v>
      </c>
      <c r="C1991" s="793" t="s">
        <v>451</v>
      </c>
      <c r="D1991" s="793"/>
      <c r="E1991" s="791">
        <v>198039</v>
      </c>
      <c r="F1991" s="1080">
        <v>10</v>
      </c>
      <c r="G1991" s="1025"/>
      <c r="H1991" s="690"/>
      <c r="I1991" s="1030">
        <v>149206</v>
      </c>
      <c r="J1991" s="690">
        <v>159221</v>
      </c>
      <c r="K1991" s="1030"/>
      <c r="L1991" s="690"/>
      <c r="M1991" s="1025"/>
      <c r="N1991" s="1030"/>
      <c r="O1991" s="692">
        <f t="shared" si="253"/>
        <v>0</v>
      </c>
      <c r="P1991" s="690"/>
      <c r="Q1991" s="690"/>
      <c r="R1991" s="691">
        <f t="shared" si="254"/>
        <v>0</v>
      </c>
      <c r="S1991" s="692">
        <f t="shared" si="255"/>
        <v>149206</v>
      </c>
      <c r="T1991" s="693">
        <f t="shared" si="256"/>
        <v>159221</v>
      </c>
      <c r="U1991" s="1035"/>
      <c r="V1991" s="690"/>
      <c r="W1991" s="1025"/>
      <c r="X1991" s="1030"/>
      <c r="Y1991" s="694">
        <f t="shared" si="257"/>
        <v>0</v>
      </c>
      <c r="Z1991" s="690"/>
      <c r="AA1991" s="690"/>
      <c r="AB1991" s="695">
        <f t="shared" si="258"/>
        <v>0</v>
      </c>
      <c r="AC1991" s="1035"/>
      <c r="AD1991" s="690"/>
      <c r="AE1991" s="1025"/>
      <c r="AF1991" s="1030"/>
      <c r="AG1991" s="690"/>
      <c r="AH1991" s="690"/>
      <c r="AI1991" s="696">
        <f t="shared" si="259"/>
        <v>149206</v>
      </c>
      <c r="AJ1991" s="697">
        <f t="shared" si="260"/>
        <v>159221</v>
      </c>
    </row>
    <row r="1992" spans="1:36" s="700" customFormat="1" ht="12.75" customHeight="1">
      <c r="A1992" s="789" t="s">
        <v>213</v>
      </c>
      <c r="B1992" s="789" t="s">
        <v>403</v>
      </c>
      <c r="C1992" s="793" t="s">
        <v>386</v>
      </c>
      <c r="D1992" s="793"/>
      <c r="E1992" s="791">
        <v>198039</v>
      </c>
      <c r="F1992" s="1080">
        <v>10</v>
      </c>
      <c r="G1992" s="1025"/>
      <c r="H1992" s="690"/>
      <c r="I1992" s="1030">
        <v>1247438</v>
      </c>
      <c r="J1992" s="690">
        <v>1303178</v>
      </c>
      <c r="K1992" s="1030"/>
      <c r="L1992" s="690"/>
      <c r="M1992" s="1025">
        <v>196361</v>
      </c>
      <c r="N1992" s="1030"/>
      <c r="O1992" s="692">
        <f t="shared" si="253"/>
        <v>196361</v>
      </c>
      <c r="P1992" s="690">
        <v>294791</v>
      </c>
      <c r="Q1992" s="690"/>
      <c r="R1992" s="691">
        <f t="shared" si="254"/>
        <v>294791</v>
      </c>
      <c r="S1992" s="692">
        <f t="shared" si="255"/>
        <v>1443799</v>
      </c>
      <c r="T1992" s="693">
        <f t="shared" si="256"/>
        <v>1597969</v>
      </c>
      <c r="U1992" s="1035"/>
      <c r="V1992" s="690"/>
      <c r="W1992" s="1025"/>
      <c r="X1992" s="1030"/>
      <c r="Y1992" s="694">
        <f t="shared" si="257"/>
        <v>0</v>
      </c>
      <c r="Z1992" s="690"/>
      <c r="AA1992" s="690"/>
      <c r="AB1992" s="695">
        <f t="shared" si="258"/>
        <v>0</v>
      </c>
      <c r="AC1992" s="1035"/>
      <c r="AD1992" s="690"/>
      <c r="AE1992" s="1025"/>
      <c r="AF1992" s="1030"/>
      <c r="AG1992" s="690"/>
      <c r="AH1992" s="690"/>
      <c r="AI1992" s="696">
        <f t="shared" si="259"/>
        <v>1443799</v>
      </c>
      <c r="AJ1992" s="697">
        <f t="shared" si="260"/>
        <v>1597969</v>
      </c>
    </row>
    <row r="1993" spans="1:36" s="700" customFormat="1" ht="12.75" customHeight="1">
      <c r="A1993" s="789" t="s">
        <v>213</v>
      </c>
      <c r="B1993" s="789" t="s">
        <v>392</v>
      </c>
      <c r="C1993" s="931" t="s">
        <v>1262</v>
      </c>
      <c r="D1993" s="931"/>
      <c r="E1993" s="791">
        <v>198118</v>
      </c>
      <c r="F1993" s="792">
        <v>9</v>
      </c>
      <c r="G1993" s="1025">
        <v>15640637</v>
      </c>
      <c r="H1993" s="690">
        <v>16850130</v>
      </c>
      <c r="I1993" s="1030"/>
      <c r="J1993" s="690"/>
      <c r="K1993" s="1162">
        <v>4209685</v>
      </c>
      <c r="L1993" s="1163">
        <v>4642591</v>
      </c>
      <c r="M1993" s="1025">
        <v>4216328</v>
      </c>
      <c r="N1993" s="1030"/>
      <c r="O1993" s="692">
        <f t="shared" si="253"/>
        <v>4216328</v>
      </c>
      <c r="P1993" s="690">
        <v>5895756</v>
      </c>
      <c r="Q1993" s="690"/>
      <c r="R1993" s="691">
        <f t="shared" si="254"/>
        <v>5895756</v>
      </c>
      <c r="S1993" s="692">
        <f t="shared" si="255"/>
        <v>24066650</v>
      </c>
      <c r="T1993" s="693">
        <f t="shared" si="256"/>
        <v>27388477</v>
      </c>
      <c r="U1993" s="1035"/>
      <c r="V1993" s="690"/>
      <c r="W1993" s="1025"/>
      <c r="X1993" s="1030"/>
      <c r="Y1993" s="694">
        <f t="shared" si="257"/>
        <v>0</v>
      </c>
      <c r="Z1993" s="690"/>
      <c r="AA1993" s="690"/>
      <c r="AB1993" s="695">
        <f t="shared" si="258"/>
        <v>0</v>
      </c>
      <c r="AC1993" s="1035"/>
      <c r="AD1993" s="690"/>
      <c r="AE1993" s="1025"/>
      <c r="AF1993" s="1030"/>
      <c r="AG1993" s="690"/>
      <c r="AH1993" s="690"/>
      <c r="AI1993" s="696">
        <f t="shared" si="259"/>
        <v>24066650</v>
      </c>
      <c r="AJ1993" s="697">
        <f t="shared" si="260"/>
        <v>27388477</v>
      </c>
    </row>
    <row r="1994" spans="1:36" s="700" customFormat="1" ht="12.75" customHeight="1">
      <c r="A1994" s="789" t="s">
        <v>213</v>
      </c>
      <c r="B1994" s="789" t="s">
        <v>392</v>
      </c>
      <c r="C1994" s="793" t="s">
        <v>1248</v>
      </c>
      <c r="D1994" s="793"/>
      <c r="E1994" s="791">
        <v>198118</v>
      </c>
      <c r="F1994" s="792">
        <v>9</v>
      </c>
      <c r="G1994" s="1025"/>
      <c r="H1994" s="690"/>
      <c r="I1994" s="1030">
        <v>167349</v>
      </c>
      <c r="J1994" s="690">
        <v>163156</v>
      </c>
      <c r="K1994" s="1030"/>
      <c r="L1994" s="690"/>
      <c r="M1994" s="1025"/>
      <c r="N1994" s="1030"/>
      <c r="O1994" s="692">
        <f t="shared" ref="O1994:O2057" si="261">SUM(M1994:N1994)</f>
        <v>0</v>
      </c>
      <c r="P1994" s="690"/>
      <c r="Q1994" s="690"/>
      <c r="R1994" s="691">
        <f t="shared" ref="R1994:R2057" si="262">SUM(P1994:Q1994)</f>
        <v>0</v>
      </c>
      <c r="S1994" s="692">
        <f t="shared" ref="S1994:S2057" si="263">SUM(G1994,I1994,K1994,M1994)</f>
        <v>167349</v>
      </c>
      <c r="T1994" s="693">
        <f t="shared" ref="T1994:T2057" si="264">SUM(H1994,J1994,L1994,P1994)</f>
        <v>163156</v>
      </c>
      <c r="U1994" s="1035"/>
      <c r="V1994" s="690"/>
      <c r="W1994" s="1025"/>
      <c r="X1994" s="1030"/>
      <c r="Y1994" s="694">
        <f t="shared" ref="Y1994:Y2057" si="265">SUM(W1994:X1994)</f>
        <v>0</v>
      </c>
      <c r="Z1994" s="690"/>
      <c r="AA1994" s="690"/>
      <c r="AB1994" s="695">
        <f t="shared" ref="AB1994:AB2057" si="266">SUM(Z1994:AA1994)</f>
        <v>0</v>
      </c>
      <c r="AC1994" s="1035"/>
      <c r="AD1994" s="690"/>
      <c r="AE1994" s="1025"/>
      <c r="AF1994" s="1030"/>
      <c r="AG1994" s="690"/>
      <c r="AH1994" s="690"/>
      <c r="AI1994" s="696">
        <f t="shared" ref="AI1994:AI2057" si="267">SUM(S1994,U1994,W1994,AC1994,AE1994)</f>
        <v>167349</v>
      </c>
      <c r="AJ1994" s="697">
        <f t="shared" ref="AJ1994:AJ2057" si="268">SUM(T1994,V1994,Z1994,AD1994,AG1994)</f>
        <v>163156</v>
      </c>
    </row>
    <row r="1995" spans="1:36" s="700" customFormat="1" ht="12.75" customHeight="1">
      <c r="A1995" s="789" t="s">
        <v>213</v>
      </c>
      <c r="B1995" s="789" t="s">
        <v>394</v>
      </c>
      <c r="C1995" s="793" t="s">
        <v>451</v>
      </c>
      <c r="D1995" s="793"/>
      <c r="E1995" s="791">
        <v>198118</v>
      </c>
      <c r="F1995" s="792">
        <v>9</v>
      </c>
      <c r="G1995" s="1025"/>
      <c r="H1995" s="690"/>
      <c r="I1995" s="1030">
        <v>140306</v>
      </c>
      <c r="J1995" s="690">
        <v>147917</v>
      </c>
      <c r="K1995" s="1030"/>
      <c r="L1995" s="690"/>
      <c r="M1995" s="1025"/>
      <c r="N1995" s="1030"/>
      <c r="O1995" s="692">
        <f t="shared" si="261"/>
        <v>0</v>
      </c>
      <c r="P1995" s="690"/>
      <c r="Q1995" s="690"/>
      <c r="R1995" s="691">
        <f t="shared" si="262"/>
        <v>0</v>
      </c>
      <c r="S1995" s="692">
        <f t="shared" si="263"/>
        <v>140306</v>
      </c>
      <c r="T1995" s="693">
        <f t="shared" si="264"/>
        <v>147917</v>
      </c>
      <c r="U1995" s="1035"/>
      <c r="V1995" s="690"/>
      <c r="W1995" s="1025"/>
      <c r="X1995" s="1030"/>
      <c r="Y1995" s="694">
        <f t="shared" si="265"/>
        <v>0</v>
      </c>
      <c r="Z1995" s="690"/>
      <c r="AA1995" s="690"/>
      <c r="AB1995" s="695">
        <f t="shared" si="266"/>
        <v>0</v>
      </c>
      <c r="AC1995" s="1035"/>
      <c r="AD1995" s="690"/>
      <c r="AE1995" s="1025"/>
      <c r="AF1995" s="1030"/>
      <c r="AG1995" s="690"/>
      <c r="AH1995" s="690"/>
      <c r="AI1995" s="696">
        <f t="shared" si="267"/>
        <v>140306</v>
      </c>
      <c r="AJ1995" s="697">
        <f t="shared" si="268"/>
        <v>147917</v>
      </c>
    </row>
    <row r="1996" spans="1:36" s="700" customFormat="1" ht="12.75" customHeight="1">
      <c r="A1996" s="789" t="s">
        <v>213</v>
      </c>
      <c r="B1996" s="789" t="s">
        <v>403</v>
      </c>
      <c r="C1996" s="793" t="s">
        <v>386</v>
      </c>
      <c r="D1996" s="793"/>
      <c r="E1996" s="791">
        <v>198118</v>
      </c>
      <c r="F1996" s="792">
        <v>9</v>
      </c>
      <c r="G1996" s="1025"/>
      <c r="H1996" s="690"/>
      <c r="I1996" s="1030">
        <v>1134038</v>
      </c>
      <c r="J1996" s="690">
        <v>1254866</v>
      </c>
      <c r="K1996" s="1030"/>
      <c r="L1996" s="690"/>
      <c r="M1996" s="1025">
        <v>217856</v>
      </c>
      <c r="N1996" s="1030"/>
      <c r="O1996" s="692">
        <f t="shared" si="261"/>
        <v>217856</v>
      </c>
      <c r="P1996" s="690">
        <v>370383</v>
      </c>
      <c r="Q1996" s="690"/>
      <c r="R1996" s="691">
        <f t="shared" si="262"/>
        <v>370383</v>
      </c>
      <c r="S1996" s="692">
        <f t="shared" si="263"/>
        <v>1351894</v>
      </c>
      <c r="T1996" s="693">
        <f t="shared" si="264"/>
        <v>1625249</v>
      </c>
      <c r="U1996" s="1035"/>
      <c r="V1996" s="690"/>
      <c r="W1996" s="1025"/>
      <c r="X1996" s="1030"/>
      <c r="Y1996" s="694">
        <f t="shared" si="265"/>
        <v>0</v>
      </c>
      <c r="Z1996" s="690"/>
      <c r="AA1996" s="690"/>
      <c r="AB1996" s="695">
        <f t="shared" si="266"/>
        <v>0</v>
      </c>
      <c r="AC1996" s="1035"/>
      <c r="AD1996" s="690"/>
      <c r="AE1996" s="1025"/>
      <c r="AF1996" s="1030"/>
      <c r="AG1996" s="690"/>
      <c r="AH1996" s="690"/>
      <c r="AI1996" s="696">
        <f t="shared" si="267"/>
        <v>1351894</v>
      </c>
      <c r="AJ1996" s="697">
        <f t="shared" si="268"/>
        <v>1625249</v>
      </c>
    </row>
    <row r="1997" spans="1:36" s="700" customFormat="1" ht="12.75" customHeight="1">
      <c r="A1997" s="789" t="s">
        <v>213</v>
      </c>
      <c r="B1997" s="789" t="s">
        <v>392</v>
      </c>
      <c r="C1997" s="930" t="s">
        <v>1263</v>
      </c>
      <c r="D1997" s="930"/>
      <c r="E1997" s="791">
        <v>198321</v>
      </c>
      <c r="F1997" s="792">
        <v>9</v>
      </c>
      <c r="G1997" s="1025">
        <v>12075063</v>
      </c>
      <c r="H1997" s="690">
        <v>13725399</v>
      </c>
      <c r="I1997" s="1030"/>
      <c r="J1997" s="690"/>
      <c r="K1997" s="1162">
        <v>1340129</v>
      </c>
      <c r="L1997" s="1163">
        <v>1415129</v>
      </c>
      <c r="M1997" s="1025">
        <v>2971236</v>
      </c>
      <c r="N1997" s="1030"/>
      <c r="O1997" s="692">
        <f t="shared" si="261"/>
        <v>2971236</v>
      </c>
      <c r="P1997" s="690">
        <v>4524026</v>
      </c>
      <c r="Q1997" s="690"/>
      <c r="R1997" s="691">
        <f t="shared" si="262"/>
        <v>4524026</v>
      </c>
      <c r="S1997" s="692">
        <f t="shared" si="263"/>
        <v>16386428</v>
      </c>
      <c r="T1997" s="693">
        <f t="shared" si="264"/>
        <v>19664554</v>
      </c>
      <c r="U1997" s="1035"/>
      <c r="V1997" s="690"/>
      <c r="W1997" s="1025"/>
      <c r="X1997" s="1030"/>
      <c r="Y1997" s="694">
        <f t="shared" si="265"/>
        <v>0</v>
      </c>
      <c r="Z1997" s="690"/>
      <c r="AA1997" s="690"/>
      <c r="AB1997" s="695">
        <f t="shared" si="266"/>
        <v>0</v>
      </c>
      <c r="AC1997" s="1035"/>
      <c r="AD1997" s="690"/>
      <c r="AE1997" s="1025"/>
      <c r="AF1997" s="1030"/>
      <c r="AG1997" s="690"/>
      <c r="AH1997" s="690"/>
      <c r="AI1997" s="696">
        <f t="shared" si="267"/>
        <v>16386428</v>
      </c>
      <c r="AJ1997" s="697">
        <f t="shared" si="268"/>
        <v>19664554</v>
      </c>
    </row>
    <row r="1998" spans="1:36" s="700" customFormat="1" ht="12.75" customHeight="1">
      <c r="A1998" s="789" t="s">
        <v>213</v>
      </c>
      <c r="B1998" s="789" t="s">
        <v>392</v>
      </c>
      <c r="C1998" s="793" t="s">
        <v>1248</v>
      </c>
      <c r="D1998" s="793"/>
      <c r="E1998" s="791">
        <v>198321</v>
      </c>
      <c r="F1998" s="792">
        <v>9</v>
      </c>
      <c r="G1998" s="1025"/>
      <c r="H1998" s="690"/>
      <c r="I1998" s="1030">
        <v>77962</v>
      </c>
      <c r="J1998" s="690">
        <v>75977</v>
      </c>
      <c r="K1998" s="1030"/>
      <c r="L1998" s="690"/>
      <c r="M1998" s="1025"/>
      <c r="N1998" s="1030"/>
      <c r="O1998" s="692">
        <f t="shared" si="261"/>
        <v>0</v>
      </c>
      <c r="P1998" s="690"/>
      <c r="Q1998" s="690"/>
      <c r="R1998" s="691">
        <f t="shared" si="262"/>
        <v>0</v>
      </c>
      <c r="S1998" s="692">
        <f t="shared" si="263"/>
        <v>77962</v>
      </c>
      <c r="T1998" s="693">
        <f t="shared" si="264"/>
        <v>75977</v>
      </c>
      <c r="U1998" s="1035"/>
      <c r="V1998" s="690"/>
      <c r="W1998" s="1025"/>
      <c r="X1998" s="1030"/>
      <c r="Y1998" s="694">
        <f t="shared" si="265"/>
        <v>0</v>
      </c>
      <c r="Z1998" s="690"/>
      <c r="AA1998" s="690"/>
      <c r="AB1998" s="695">
        <f t="shared" si="266"/>
        <v>0</v>
      </c>
      <c r="AC1998" s="1035"/>
      <c r="AD1998" s="690"/>
      <c r="AE1998" s="1025"/>
      <c r="AF1998" s="1030"/>
      <c r="AG1998" s="690"/>
      <c r="AH1998" s="690"/>
      <c r="AI1998" s="696">
        <f t="shared" si="267"/>
        <v>77962</v>
      </c>
      <c r="AJ1998" s="697">
        <f t="shared" si="268"/>
        <v>75977</v>
      </c>
    </row>
    <row r="1999" spans="1:36" s="700" customFormat="1" ht="12.75" customHeight="1">
      <c r="A1999" s="789" t="s">
        <v>213</v>
      </c>
      <c r="B1999" s="789" t="s">
        <v>394</v>
      </c>
      <c r="C1999" s="793" t="s">
        <v>451</v>
      </c>
      <c r="D1999" s="793"/>
      <c r="E1999" s="791">
        <v>198321</v>
      </c>
      <c r="F1999" s="792">
        <v>9</v>
      </c>
      <c r="G1999" s="1025"/>
      <c r="H1999" s="690"/>
      <c r="I1999" s="1030">
        <v>142806</v>
      </c>
      <c r="J1999" s="690">
        <v>147461</v>
      </c>
      <c r="K1999" s="1030"/>
      <c r="L1999" s="690"/>
      <c r="M1999" s="1025"/>
      <c r="N1999" s="1030"/>
      <c r="O1999" s="692">
        <f t="shared" si="261"/>
        <v>0</v>
      </c>
      <c r="P1999" s="690"/>
      <c r="Q1999" s="690"/>
      <c r="R1999" s="691">
        <f t="shared" si="262"/>
        <v>0</v>
      </c>
      <c r="S1999" s="692">
        <f t="shared" si="263"/>
        <v>142806</v>
      </c>
      <c r="T1999" s="693">
        <f t="shared" si="264"/>
        <v>147461</v>
      </c>
      <c r="U1999" s="1035"/>
      <c r="V1999" s="690"/>
      <c r="W1999" s="1025"/>
      <c r="X1999" s="1030"/>
      <c r="Y1999" s="694">
        <f t="shared" si="265"/>
        <v>0</v>
      </c>
      <c r="Z1999" s="690"/>
      <c r="AA1999" s="690"/>
      <c r="AB1999" s="695">
        <f t="shared" si="266"/>
        <v>0</v>
      </c>
      <c r="AC1999" s="1035"/>
      <c r="AD1999" s="690"/>
      <c r="AE1999" s="1025"/>
      <c r="AF1999" s="1030"/>
      <c r="AG1999" s="690"/>
      <c r="AH1999" s="690"/>
      <c r="AI1999" s="696">
        <f t="shared" si="267"/>
        <v>142806</v>
      </c>
      <c r="AJ1999" s="697">
        <f t="shared" si="268"/>
        <v>147461</v>
      </c>
    </row>
    <row r="2000" spans="1:36" s="700" customFormat="1" ht="12.75" customHeight="1">
      <c r="A2000" s="789" t="s">
        <v>213</v>
      </c>
      <c r="B2000" s="789" t="s">
        <v>403</v>
      </c>
      <c r="C2000" s="793" t="s">
        <v>386</v>
      </c>
      <c r="D2000" s="793"/>
      <c r="E2000" s="791">
        <v>198321</v>
      </c>
      <c r="F2000" s="792">
        <v>9</v>
      </c>
      <c r="G2000" s="1025"/>
      <c r="H2000" s="690"/>
      <c r="I2000" s="1030">
        <v>705700</v>
      </c>
      <c r="J2000" s="690">
        <v>761412</v>
      </c>
      <c r="K2000" s="1030"/>
      <c r="L2000" s="690"/>
      <c r="M2000" s="1025">
        <v>115516</v>
      </c>
      <c r="N2000" s="1030"/>
      <c r="O2000" s="692">
        <f t="shared" si="261"/>
        <v>115516</v>
      </c>
      <c r="P2000" s="690">
        <v>172267</v>
      </c>
      <c r="Q2000" s="690"/>
      <c r="R2000" s="691">
        <f t="shared" si="262"/>
        <v>172267</v>
      </c>
      <c r="S2000" s="692">
        <f t="shared" si="263"/>
        <v>821216</v>
      </c>
      <c r="T2000" s="693">
        <f t="shared" si="264"/>
        <v>933679</v>
      </c>
      <c r="U2000" s="1035"/>
      <c r="V2000" s="690"/>
      <c r="W2000" s="1025"/>
      <c r="X2000" s="1030"/>
      <c r="Y2000" s="694">
        <f t="shared" si="265"/>
        <v>0</v>
      </c>
      <c r="Z2000" s="690"/>
      <c r="AA2000" s="690"/>
      <c r="AB2000" s="695">
        <f t="shared" si="266"/>
        <v>0</v>
      </c>
      <c r="AC2000" s="1035"/>
      <c r="AD2000" s="690"/>
      <c r="AE2000" s="1025"/>
      <c r="AF2000" s="1030"/>
      <c r="AG2000" s="690"/>
      <c r="AH2000" s="690"/>
      <c r="AI2000" s="696">
        <f t="shared" si="267"/>
        <v>821216</v>
      </c>
      <c r="AJ2000" s="697">
        <f t="shared" si="268"/>
        <v>933679</v>
      </c>
    </row>
    <row r="2001" spans="1:36" s="700" customFormat="1" ht="12.75" customHeight="1">
      <c r="A2001" s="789" t="s">
        <v>213</v>
      </c>
      <c r="B2001" s="789" t="s">
        <v>392</v>
      </c>
      <c r="C2001" s="932" t="s">
        <v>1264</v>
      </c>
      <c r="D2001" s="932"/>
      <c r="E2001" s="791">
        <v>198330</v>
      </c>
      <c r="F2001" s="792">
        <v>9</v>
      </c>
      <c r="G2001" s="1025">
        <v>14404854</v>
      </c>
      <c r="H2001" s="690">
        <v>14221793</v>
      </c>
      <c r="I2001" s="1030"/>
      <c r="J2001" s="690"/>
      <c r="K2001" s="1162">
        <v>2730827</v>
      </c>
      <c r="L2001" s="1163">
        <v>3116000</v>
      </c>
      <c r="M2001" s="1025">
        <v>5362442</v>
      </c>
      <c r="N2001" s="1030"/>
      <c r="O2001" s="692">
        <f t="shared" si="261"/>
        <v>5362442</v>
      </c>
      <c r="P2001" s="690">
        <v>7388235</v>
      </c>
      <c r="Q2001" s="690"/>
      <c r="R2001" s="691">
        <f t="shared" si="262"/>
        <v>7388235</v>
      </c>
      <c r="S2001" s="692">
        <f t="shared" si="263"/>
        <v>22498123</v>
      </c>
      <c r="T2001" s="693">
        <f t="shared" si="264"/>
        <v>24726028</v>
      </c>
      <c r="U2001" s="1035"/>
      <c r="V2001" s="690"/>
      <c r="W2001" s="1025"/>
      <c r="X2001" s="1030"/>
      <c r="Y2001" s="694">
        <f t="shared" si="265"/>
        <v>0</v>
      </c>
      <c r="Z2001" s="690"/>
      <c r="AA2001" s="690"/>
      <c r="AB2001" s="695">
        <f t="shared" si="266"/>
        <v>0</v>
      </c>
      <c r="AC2001" s="1035"/>
      <c r="AD2001" s="690"/>
      <c r="AE2001" s="1025"/>
      <c r="AF2001" s="1030"/>
      <c r="AG2001" s="690"/>
      <c r="AH2001" s="690"/>
      <c r="AI2001" s="696">
        <f t="shared" si="267"/>
        <v>22498123</v>
      </c>
      <c r="AJ2001" s="697">
        <f t="shared" si="268"/>
        <v>24726028</v>
      </c>
    </row>
    <row r="2002" spans="1:36" s="700" customFormat="1" ht="12.75" customHeight="1">
      <c r="A2002" s="789" t="s">
        <v>213</v>
      </c>
      <c r="B2002" s="789" t="s">
        <v>392</v>
      </c>
      <c r="C2002" s="793" t="s">
        <v>1248</v>
      </c>
      <c r="D2002" s="793"/>
      <c r="E2002" s="791">
        <v>198330</v>
      </c>
      <c r="F2002" s="792">
        <v>9</v>
      </c>
      <c r="G2002" s="1025"/>
      <c r="H2002" s="690"/>
      <c r="I2002" s="1030">
        <v>175951</v>
      </c>
      <c r="J2002" s="690">
        <v>157532</v>
      </c>
      <c r="K2002" s="1030"/>
      <c r="L2002" s="690"/>
      <c r="M2002" s="1025"/>
      <c r="N2002" s="1030"/>
      <c r="O2002" s="692">
        <f t="shared" si="261"/>
        <v>0</v>
      </c>
      <c r="P2002" s="690"/>
      <c r="Q2002" s="690"/>
      <c r="R2002" s="691">
        <f t="shared" si="262"/>
        <v>0</v>
      </c>
      <c r="S2002" s="692">
        <f t="shared" si="263"/>
        <v>175951</v>
      </c>
      <c r="T2002" s="693">
        <f t="shared" si="264"/>
        <v>157532</v>
      </c>
      <c r="U2002" s="1035"/>
      <c r="V2002" s="690"/>
      <c r="W2002" s="1025"/>
      <c r="X2002" s="1030"/>
      <c r="Y2002" s="694">
        <f t="shared" si="265"/>
        <v>0</v>
      </c>
      <c r="Z2002" s="690"/>
      <c r="AA2002" s="690"/>
      <c r="AB2002" s="695">
        <f t="shared" si="266"/>
        <v>0</v>
      </c>
      <c r="AC2002" s="1035"/>
      <c r="AD2002" s="690"/>
      <c r="AE2002" s="1025"/>
      <c r="AF2002" s="1030"/>
      <c r="AG2002" s="690"/>
      <c r="AH2002" s="690"/>
      <c r="AI2002" s="696">
        <f t="shared" si="267"/>
        <v>175951</v>
      </c>
      <c r="AJ2002" s="697">
        <f t="shared" si="268"/>
        <v>157532</v>
      </c>
    </row>
    <row r="2003" spans="1:36" s="700" customFormat="1" ht="12.75" customHeight="1">
      <c r="A2003" s="789" t="s">
        <v>213</v>
      </c>
      <c r="B2003" s="789" t="s">
        <v>394</v>
      </c>
      <c r="C2003" s="793" t="s">
        <v>451</v>
      </c>
      <c r="D2003" s="793"/>
      <c r="E2003" s="791">
        <v>198330</v>
      </c>
      <c r="F2003" s="792">
        <v>9</v>
      </c>
      <c r="G2003" s="1025"/>
      <c r="H2003" s="690"/>
      <c r="I2003" s="1030">
        <v>144506</v>
      </c>
      <c r="J2003" s="690">
        <v>154445</v>
      </c>
      <c r="K2003" s="1030"/>
      <c r="L2003" s="690"/>
      <c r="M2003" s="1025"/>
      <c r="N2003" s="1030"/>
      <c r="O2003" s="692">
        <f t="shared" si="261"/>
        <v>0</v>
      </c>
      <c r="P2003" s="690"/>
      <c r="Q2003" s="690"/>
      <c r="R2003" s="691">
        <f t="shared" si="262"/>
        <v>0</v>
      </c>
      <c r="S2003" s="692">
        <f t="shared" si="263"/>
        <v>144506</v>
      </c>
      <c r="T2003" s="693">
        <f t="shared" si="264"/>
        <v>154445</v>
      </c>
      <c r="U2003" s="1035"/>
      <c r="V2003" s="690"/>
      <c r="W2003" s="1025"/>
      <c r="X2003" s="1030"/>
      <c r="Y2003" s="694">
        <f t="shared" si="265"/>
        <v>0</v>
      </c>
      <c r="Z2003" s="690"/>
      <c r="AA2003" s="690"/>
      <c r="AB2003" s="695">
        <f t="shared" si="266"/>
        <v>0</v>
      </c>
      <c r="AC2003" s="1035"/>
      <c r="AD2003" s="690"/>
      <c r="AE2003" s="1025"/>
      <c r="AF2003" s="1030"/>
      <c r="AG2003" s="690"/>
      <c r="AH2003" s="690"/>
      <c r="AI2003" s="696">
        <f t="shared" si="267"/>
        <v>144506</v>
      </c>
      <c r="AJ2003" s="697">
        <f t="shared" si="268"/>
        <v>154445</v>
      </c>
    </row>
    <row r="2004" spans="1:36" s="700" customFormat="1" ht="12.75" customHeight="1">
      <c r="A2004" s="789" t="s">
        <v>213</v>
      </c>
      <c r="B2004" s="789" t="s">
        <v>403</v>
      </c>
      <c r="C2004" s="793" t="s">
        <v>386</v>
      </c>
      <c r="D2004" s="793"/>
      <c r="E2004" s="791">
        <v>198330</v>
      </c>
      <c r="F2004" s="792">
        <v>9</v>
      </c>
      <c r="G2004" s="1025"/>
      <c r="H2004" s="690"/>
      <c r="I2004" s="1030">
        <v>1596231</v>
      </c>
      <c r="J2004" s="690">
        <v>1082724</v>
      </c>
      <c r="K2004" s="1030"/>
      <c r="L2004" s="690"/>
      <c r="M2004" s="1025">
        <v>619647</v>
      </c>
      <c r="N2004" s="1030"/>
      <c r="O2004" s="692">
        <f t="shared" si="261"/>
        <v>619647</v>
      </c>
      <c r="P2004" s="690">
        <v>931261</v>
      </c>
      <c r="Q2004" s="690"/>
      <c r="R2004" s="691">
        <f t="shared" si="262"/>
        <v>931261</v>
      </c>
      <c r="S2004" s="692">
        <f t="shared" si="263"/>
        <v>2215878</v>
      </c>
      <c r="T2004" s="693">
        <f t="shared" si="264"/>
        <v>2013985</v>
      </c>
      <c r="U2004" s="1035"/>
      <c r="V2004" s="690"/>
      <c r="W2004" s="1025"/>
      <c r="X2004" s="1030"/>
      <c r="Y2004" s="694">
        <f t="shared" si="265"/>
        <v>0</v>
      </c>
      <c r="Z2004" s="690"/>
      <c r="AA2004" s="690"/>
      <c r="AB2004" s="695">
        <f t="shared" si="266"/>
        <v>0</v>
      </c>
      <c r="AC2004" s="1035"/>
      <c r="AD2004" s="690"/>
      <c r="AE2004" s="1025"/>
      <c r="AF2004" s="1030"/>
      <c r="AG2004" s="690"/>
      <c r="AH2004" s="690"/>
      <c r="AI2004" s="696">
        <f t="shared" si="267"/>
        <v>2215878</v>
      </c>
      <c r="AJ2004" s="697">
        <f t="shared" si="268"/>
        <v>2013985</v>
      </c>
    </row>
    <row r="2005" spans="1:36" s="700" customFormat="1" ht="12.75" customHeight="1">
      <c r="A2005" s="789" t="s">
        <v>213</v>
      </c>
      <c r="B2005" s="789" t="s">
        <v>392</v>
      </c>
      <c r="C2005" s="1078" t="s">
        <v>1265</v>
      </c>
      <c r="D2005" s="1079" t="s">
        <v>1969</v>
      </c>
      <c r="E2005" s="791">
        <v>197814</v>
      </c>
      <c r="F2005" s="1080">
        <v>10</v>
      </c>
      <c r="G2005" s="1025">
        <v>9789228</v>
      </c>
      <c r="H2005" s="690">
        <v>9853831</v>
      </c>
      <c r="I2005" s="1030"/>
      <c r="J2005" s="690"/>
      <c r="K2005" s="1162">
        <v>1449574</v>
      </c>
      <c r="L2005" s="1163">
        <v>1554412</v>
      </c>
      <c r="M2005" s="1025">
        <v>2313810</v>
      </c>
      <c r="N2005" s="1030"/>
      <c r="O2005" s="692">
        <f t="shared" si="261"/>
        <v>2313810</v>
      </c>
      <c r="P2005" s="690">
        <v>3292951</v>
      </c>
      <c r="Q2005" s="690"/>
      <c r="R2005" s="691">
        <f t="shared" si="262"/>
        <v>3292951</v>
      </c>
      <c r="S2005" s="692">
        <f t="shared" si="263"/>
        <v>13552612</v>
      </c>
      <c r="T2005" s="693">
        <f t="shared" si="264"/>
        <v>14701194</v>
      </c>
      <c r="U2005" s="1035"/>
      <c r="V2005" s="690"/>
      <c r="W2005" s="1025"/>
      <c r="X2005" s="1030"/>
      <c r="Y2005" s="694">
        <f t="shared" si="265"/>
        <v>0</v>
      </c>
      <c r="Z2005" s="690"/>
      <c r="AA2005" s="690"/>
      <c r="AB2005" s="695">
        <f t="shared" si="266"/>
        <v>0</v>
      </c>
      <c r="AC2005" s="1035"/>
      <c r="AD2005" s="690"/>
      <c r="AE2005" s="1025"/>
      <c r="AF2005" s="1030"/>
      <c r="AG2005" s="690"/>
      <c r="AH2005" s="690"/>
      <c r="AI2005" s="696">
        <f t="shared" si="267"/>
        <v>13552612</v>
      </c>
      <c r="AJ2005" s="697">
        <f t="shared" si="268"/>
        <v>14701194</v>
      </c>
    </row>
    <row r="2006" spans="1:36" s="700" customFormat="1" ht="12.75" customHeight="1">
      <c r="A2006" s="789" t="s">
        <v>213</v>
      </c>
      <c r="B2006" s="789" t="s">
        <v>392</v>
      </c>
      <c r="C2006" s="793" t="s">
        <v>1248</v>
      </c>
      <c r="D2006" s="793"/>
      <c r="E2006" s="791">
        <v>197814</v>
      </c>
      <c r="F2006" s="1080">
        <v>10</v>
      </c>
      <c r="G2006" s="1025"/>
      <c r="H2006" s="690"/>
      <c r="I2006" s="1030">
        <v>68910</v>
      </c>
      <c r="J2006" s="690">
        <v>87149</v>
      </c>
      <c r="K2006" s="1030"/>
      <c r="L2006" s="690"/>
      <c r="M2006" s="1025"/>
      <c r="N2006" s="1030"/>
      <c r="O2006" s="692">
        <f t="shared" si="261"/>
        <v>0</v>
      </c>
      <c r="P2006" s="690"/>
      <c r="Q2006" s="690"/>
      <c r="R2006" s="691">
        <f t="shared" si="262"/>
        <v>0</v>
      </c>
      <c r="S2006" s="692">
        <f t="shared" si="263"/>
        <v>68910</v>
      </c>
      <c r="T2006" s="693">
        <f t="shared" si="264"/>
        <v>87149</v>
      </c>
      <c r="U2006" s="1035"/>
      <c r="V2006" s="690"/>
      <c r="W2006" s="1025"/>
      <c r="X2006" s="1030"/>
      <c r="Y2006" s="694">
        <f t="shared" si="265"/>
        <v>0</v>
      </c>
      <c r="Z2006" s="690"/>
      <c r="AA2006" s="690"/>
      <c r="AB2006" s="695">
        <f t="shared" si="266"/>
        <v>0</v>
      </c>
      <c r="AC2006" s="1035"/>
      <c r="AD2006" s="690"/>
      <c r="AE2006" s="1025"/>
      <c r="AF2006" s="1030"/>
      <c r="AG2006" s="690"/>
      <c r="AH2006" s="690"/>
      <c r="AI2006" s="696">
        <f t="shared" si="267"/>
        <v>68910</v>
      </c>
      <c r="AJ2006" s="697">
        <f t="shared" si="268"/>
        <v>87149</v>
      </c>
    </row>
    <row r="2007" spans="1:36" s="700" customFormat="1" ht="12.75" customHeight="1">
      <c r="A2007" s="789" t="s">
        <v>213</v>
      </c>
      <c r="B2007" s="789" t="s">
        <v>394</v>
      </c>
      <c r="C2007" s="793" t="s">
        <v>451</v>
      </c>
      <c r="D2007" s="793"/>
      <c r="E2007" s="791">
        <v>197814</v>
      </c>
      <c r="F2007" s="1080">
        <v>10</v>
      </c>
      <c r="G2007" s="1025"/>
      <c r="H2007" s="690"/>
      <c r="I2007" s="1030">
        <v>146906</v>
      </c>
      <c r="J2007" s="690">
        <v>154597</v>
      </c>
      <c r="K2007" s="1030"/>
      <c r="L2007" s="690"/>
      <c r="M2007" s="1025"/>
      <c r="N2007" s="1030"/>
      <c r="O2007" s="692">
        <f t="shared" si="261"/>
        <v>0</v>
      </c>
      <c r="P2007" s="690"/>
      <c r="Q2007" s="690"/>
      <c r="R2007" s="691">
        <f t="shared" si="262"/>
        <v>0</v>
      </c>
      <c r="S2007" s="692">
        <f t="shared" si="263"/>
        <v>146906</v>
      </c>
      <c r="T2007" s="693">
        <f t="shared" si="264"/>
        <v>154597</v>
      </c>
      <c r="U2007" s="1035"/>
      <c r="V2007" s="690"/>
      <c r="W2007" s="1025"/>
      <c r="X2007" s="1030"/>
      <c r="Y2007" s="694">
        <f t="shared" si="265"/>
        <v>0</v>
      </c>
      <c r="Z2007" s="690"/>
      <c r="AA2007" s="690"/>
      <c r="AB2007" s="695">
        <f t="shared" si="266"/>
        <v>0</v>
      </c>
      <c r="AC2007" s="1035"/>
      <c r="AD2007" s="690"/>
      <c r="AE2007" s="1025"/>
      <c r="AF2007" s="1030"/>
      <c r="AG2007" s="690"/>
      <c r="AH2007" s="690"/>
      <c r="AI2007" s="696">
        <f t="shared" si="267"/>
        <v>146906</v>
      </c>
      <c r="AJ2007" s="697">
        <f t="shared" si="268"/>
        <v>154597</v>
      </c>
    </row>
    <row r="2008" spans="1:36" s="700" customFormat="1" ht="12.75" customHeight="1">
      <c r="A2008" s="789" t="s">
        <v>213</v>
      </c>
      <c r="B2008" s="789" t="s">
        <v>403</v>
      </c>
      <c r="C2008" s="793" t="s">
        <v>386</v>
      </c>
      <c r="D2008" s="793"/>
      <c r="E2008" s="791">
        <v>197814</v>
      </c>
      <c r="F2008" s="1080">
        <v>10</v>
      </c>
      <c r="G2008" s="1025"/>
      <c r="H2008" s="690"/>
      <c r="I2008" s="1030">
        <v>608224</v>
      </c>
      <c r="J2008" s="690">
        <v>521196</v>
      </c>
      <c r="K2008" s="1030"/>
      <c r="L2008" s="690"/>
      <c r="M2008" s="1025">
        <v>118123</v>
      </c>
      <c r="N2008" s="1030"/>
      <c r="O2008" s="692">
        <f t="shared" si="261"/>
        <v>118123</v>
      </c>
      <c r="P2008" s="690">
        <v>196107</v>
      </c>
      <c r="Q2008" s="690"/>
      <c r="R2008" s="691">
        <f t="shared" si="262"/>
        <v>196107</v>
      </c>
      <c r="S2008" s="692">
        <f t="shared" si="263"/>
        <v>726347</v>
      </c>
      <c r="T2008" s="693">
        <f t="shared" si="264"/>
        <v>717303</v>
      </c>
      <c r="U2008" s="1035"/>
      <c r="V2008" s="690"/>
      <c r="W2008" s="1025"/>
      <c r="X2008" s="1030"/>
      <c r="Y2008" s="694">
        <f t="shared" si="265"/>
        <v>0</v>
      </c>
      <c r="Z2008" s="690"/>
      <c r="AA2008" s="690"/>
      <c r="AB2008" s="695">
        <f t="shared" si="266"/>
        <v>0</v>
      </c>
      <c r="AC2008" s="1035"/>
      <c r="AD2008" s="690"/>
      <c r="AE2008" s="1025"/>
      <c r="AF2008" s="1030"/>
      <c r="AG2008" s="690"/>
      <c r="AH2008" s="690"/>
      <c r="AI2008" s="696">
        <f t="shared" si="267"/>
        <v>726347</v>
      </c>
      <c r="AJ2008" s="697">
        <f t="shared" si="268"/>
        <v>717303</v>
      </c>
    </row>
    <row r="2009" spans="1:36" s="700" customFormat="1" ht="12.75" customHeight="1">
      <c r="A2009" s="789" t="s">
        <v>213</v>
      </c>
      <c r="B2009" s="789" t="s">
        <v>392</v>
      </c>
      <c r="C2009" s="930" t="s">
        <v>1266</v>
      </c>
      <c r="D2009" s="930"/>
      <c r="E2009" s="791">
        <v>198367</v>
      </c>
      <c r="F2009" s="792">
        <v>9</v>
      </c>
      <c r="G2009" s="1025">
        <v>10375709</v>
      </c>
      <c r="H2009" s="690">
        <v>11342462</v>
      </c>
      <c r="I2009" s="1030"/>
      <c r="J2009" s="690"/>
      <c r="K2009" s="1162">
        <v>3255130</v>
      </c>
      <c r="L2009" s="1163">
        <v>3455130</v>
      </c>
      <c r="M2009" s="1025">
        <v>3414168</v>
      </c>
      <c r="N2009" s="1030"/>
      <c r="O2009" s="692">
        <f t="shared" si="261"/>
        <v>3414168</v>
      </c>
      <c r="P2009" s="690">
        <v>4410478</v>
      </c>
      <c r="Q2009" s="690"/>
      <c r="R2009" s="691">
        <f t="shared" si="262"/>
        <v>4410478</v>
      </c>
      <c r="S2009" s="692">
        <f t="shared" si="263"/>
        <v>17045007</v>
      </c>
      <c r="T2009" s="693">
        <f t="shared" si="264"/>
        <v>19208070</v>
      </c>
      <c r="U2009" s="1035"/>
      <c r="V2009" s="690"/>
      <c r="W2009" s="1025"/>
      <c r="X2009" s="1030"/>
      <c r="Y2009" s="694">
        <f t="shared" si="265"/>
        <v>0</v>
      </c>
      <c r="Z2009" s="690"/>
      <c r="AA2009" s="690"/>
      <c r="AB2009" s="695">
        <f t="shared" si="266"/>
        <v>0</v>
      </c>
      <c r="AC2009" s="1035"/>
      <c r="AD2009" s="690"/>
      <c r="AE2009" s="1025"/>
      <c r="AF2009" s="1030"/>
      <c r="AG2009" s="690"/>
      <c r="AH2009" s="690"/>
      <c r="AI2009" s="696">
        <f t="shared" si="267"/>
        <v>17045007</v>
      </c>
      <c r="AJ2009" s="697">
        <f t="shared" si="268"/>
        <v>19208070</v>
      </c>
    </row>
    <row r="2010" spans="1:36" s="700" customFormat="1" ht="12.75" customHeight="1">
      <c r="A2010" s="789" t="s">
        <v>213</v>
      </c>
      <c r="B2010" s="789" t="s">
        <v>392</v>
      </c>
      <c r="C2010" s="793" t="s">
        <v>1248</v>
      </c>
      <c r="D2010" s="793"/>
      <c r="E2010" s="791">
        <v>198367</v>
      </c>
      <c r="F2010" s="792">
        <v>9</v>
      </c>
      <c r="G2010" s="1025"/>
      <c r="H2010" s="690"/>
      <c r="I2010" s="1030">
        <v>126101</v>
      </c>
      <c r="J2010" s="690">
        <v>151348</v>
      </c>
      <c r="K2010" s="1030"/>
      <c r="L2010" s="690"/>
      <c r="M2010" s="1025"/>
      <c r="N2010" s="1030"/>
      <c r="O2010" s="692">
        <f t="shared" si="261"/>
        <v>0</v>
      </c>
      <c r="P2010" s="690"/>
      <c r="Q2010" s="690"/>
      <c r="R2010" s="691">
        <f t="shared" si="262"/>
        <v>0</v>
      </c>
      <c r="S2010" s="692">
        <f t="shared" si="263"/>
        <v>126101</v>
      </c>
      <c r="T2010" s="693">
        <f t="shared" si="264"/>
        <v>151348</v>
      </c>
      <c r="U2010" s="1035"/>
      <c r="V2010" s="690"/>
      <c r="W2010" s="1025"/>
      <c r="X2010" s="1030"/>
      <c r="Y2010" s="694">
        <f t="shared" si="265"/>
        <v>0</v>
      </c>
      <c r="Z2010" s="690"/>
      <c r="AA2010" s="690"/>
      <c r="AB2010" s="695">
        <f t="shared" si="266"/>
        <v>0</v>
      </c>
      <c r="AC2010" s="1035"/>
      <c r="AD2010" s="690"/>
      <c r="AE2010" s="1025"/>
      <c r="AF2010" s="1030"/>
      <c r="AG2010" s="690"/>
      <c r="AH2010" s="690"/>
      <c r="AI2010" s="696">
        <f t="shared" si="267"/>
        <v>126101</v>
      </c>
      <c r="AJ2010" s="697">
        <f t="shared" si="268"/>
        <v>151348</v>
      </c>
    </row>
    <row r="2011" spans="1:36" s="700" customFormat="1" ht="12.75" customHeight="1">
      <c r="A2011" s="789" t="s">
        <v>213</v>
      </c>
      <c r="B2011" s="789" t="s">
        <v>394</v>
      </c>
      <c r="C2011" s="793" t="s">
        <v>451</v>
      </c>
      <c r="D2011" s="793"/>
      <c r="E2011" s="791">
        <v>198367</v>
      </c>
      <c r="F2011" s="792">
        <v>9</v>
      </c>
      <c r="G2011" s="1025"/>
      <c r="H2011" s="690"/>
      <c r="I2011" s="1030">
        <v>145506</v>
      </c>
      <c r="J2011" s="690">
        <v>153303</v>
      </c>
      <c r="K2011" s="1030"/>
      <c r="L2011" s="690"/>
      <c r="M2011" s="1025"/>
      <c r="N2011" s="1030"/>
      <c r="O2011" s="692">
        <f t="shared" si="261"/>
        <v>0</v>
      </c>
      <c r="P2011" s="690"/>
      <c r="Q2011" s="690"/>
      <c r="R2011" s="691">
        <f t="shared" si="262"/>
        <v>0</v>
      </c>
      <c r="S2011" s="692">
        <f t="shared" si="263"/>
        <v>145506</v>
      </c>
      <c r="T2011" s="693">
        <f t="shared" si="264"/>
        <v>153303</v>
      </c>
      <c r="U2011" s="1035"/>
      <c r="V2011" s="690"/>
      <c r="W2011" s="1025"/>
      <c r="X2011" s="1030"/>
      <c r="Y2011" s="694">
        <f t="shared" si="265"/>
        <v>0</v>
      </c>
      <c r="Z2011" s="690"/>
      <c r="AA2011" s="690"/>
      <c r="AB2011" s="695">
        <f t="shared" si="266"/>
        <v>0</v>
      </c>
      <c r="AC2011" s="1035"/>
      <c r="AD2011" s="690"/>
      <c r="AE2011" s="1025"/>
      <c r="AF2011" s="1030"/>
      <c r="AG2011" s="690"/>
      <c r="AH2011" s="690"/>
      <c r="AI2011" s="696">
        <f t="shared" si="267"/>
        <v>145506</v>
      </c>
      <c r="AJ2011" s="697">
        <f t="shared" si="268"/>
        <v>153303</v>
      </c>
    </row>
    <row r="2012" spans="1:36" s="700" customFormat="1" ht="12.75" customHeight="1">
      <c r="A2012" s="789" t="s">
        <v>213</v>
      </c>
      <c r="B2012" s="789" t="s">
        <v>403</v>
      </c>
      <c r="C2012" s="793" t="s">
        <v>386</v>
      </c>
      <c r="D2012" s="793"/>
      <c r="E2012" s="791">
        <v>198367</v>
      </c>
      <c r="F2012" s="792">
        <v>9</v>
      </c>
      <c r="G2012" s="1025"/>
      <c r="H2012" s="690"/>
      <c r="I2012" s="1030">
        <v>852286</v>
      </c>
      <c r="J2012" s="690">
        <v>883100</v>
      </c>
      <c r="K2012" s="1030"/>
      <c r="L2012" s="690"/>
      <c r="M2012" s="1025">
        <v>212034</v>
      </c>
      <c r="N2012" s="1030"/>
      <c r="O2012" s="692">
        <f t="shared" si="261"/>
        <v>212034</v>
      </c>
      <c r="P2012" s="690">
        <v>346985</v>
      </c>
      <c r="Q2012" s="690"/>
      <c r="R2012" s="691">
        <f t="shared" si="262"/>
        <v>346985</v>
      </c>
      <c r="S2012" s="692">
        <f t="shared" si="263"/>
        <v>1064320</v>
      </c>
      <c r="T2012" s="693">
        <f t="shared" si="264"/>
        <v>1230085</v>
      </c>
      <c r="U2012" s="1035"/>
      <c r="V2012" s="690"/>
      <c r="W2012" s="1025"/>
      <c r="X2012" s="1030"/>
      <c r="Y2012" s="694">
        <f t="shared" si="265"/>
        <v>0</v>
      </c>
      <c r="Z2012" s="690"/>
      <c r="AA2012" s="690"/>
      <c r="AB2012" s="695">
        <f t="shared" si="266"/>
        <v>0</v>
      </c>
      <c r="AC2012" s="1035"/>
      <c r="AD2012" s="690"/>
      <c r="AE2012" s="1025"/>
      <c r="AF2012" s="1030"/>
      <c r="AG2012" s="690"/>
      <c r="AH2012" s="690"/>
      <c r="AI2012" s="696">
        <f t="shared" si="267"/>
        <v>1064320</v>
      </c>
      <c r="AJ2012" s="697">
        <f t="shared" si="268"/>
        <v>1230085</v>
      </c>
    </row>
    <row r="2013" spans="1:36" s="700" customFormat="1" ht="12.75" customHeight="1">
      <c r="A2013" s="789" t="s">
        <v>213</v>
      </c>
      <c r="B2013" s="789" t="s">
        <v>392</v>
      </c>
      <c r="C2013" s="930" t="s">
        <v>1267</v>
      </c>
      <c r="D2013" s="930"/>
      <c r="E2013" s="791">
        <v>198376</v>
      </c>
      <c r="F2013" s="792">
        <v>9</v>
      </c>
      <c r="G2013" s="1025">
        <v>15109413</v>
      </c>
      <c r="H2013" s="690">
        <v>16466702</v>
      </c>
      <c r="I2013" s="1030"/>
      <c r="J2013" s="690"/>
      <c r="K2013" s="1162">
        <v>3549395</v>
      </c>
      <c r="L2013" s="1163">
        <v>3549395</v>
      </c>
      <c r="M2013" s="1025">
        <v>3196755</v>
      </c>
      <c r="N2013" s="1030"/>
      <c r="O2013" s="692">
        <f t="shared" si="261"/>
        <v>3196755</v>
      </c>
      <c r="P2013" s="690">
        <v>4338536</v>
      </c>
      <c r="Q2013" s="690"/>
      <c r="R2013" s="691">
        <f t="shared" si="262"/>
        <v>4338536</v>
      </c>
      <c r="S2013" s="692">
        <f t="shared" si="263"/>
        <v>21855563</v>
      </c>
      <c r="T2013" s="693">
        <f t="shared" si="264"/>
        <v>24354633</v>
      </c>
      <c r="U2013" s="1035"/>
      <c r="V2013" s="690"/>
      <c r="W2013" s="1025"/>
      <c r="X2013" s="1030"/>
      <c r="Y2013" s="694">
        <f t="shared" si="265"/>
        <v>0</v>
      </c>
      <c r="Z2013" s="690"/>
      <c r="AA2013" s="690"/>
      <c r="AB2013" s="695">
        <f t="shared" si="266"/>
        <v>0</v>
      </c>
      <c r="AC2013" s="1035"/>
      <c r="AD2013" s="690"/>
      <c r="AE2013" s="1025"/>
      <c r="AF2013" s="1030"/>
      <c r="AG2013" s="690"/>
      <c r="AH2013" s="690"/>
      <c r="AI2013" s="696">
        <f t="shared" si="267"/>
        <v>21855563</v>
      </c>
      <c r="AJ2013" s="697">
        <f t="shared" si="268"/>
        <v>24354633</v>
      </c>
    </row>
    <row r="2014" spans="1:36" s="700" customFormat="1" ht="12.75" customHeight="1">
      <c r="A2014" s="789" t="s">
        <v>213</v>
      </c>
      <c r="B2014" s="789" t="s">
        <v>392</v>
      </c>
      <c r="C2014" s="793" t="s">
        <v>1248</v>
      </c>
      <c r="D2014" s="793"/>
      <c r="E2014" s="791">
        <v>198376</v>
      </c>
      <c r="F2014" s="792">
        <v>9</v>
      </c>
      <c r="G2014" s="1025"/>
      <c r="H2014" s="690"/>
      <c r="I2014" s="1030">
        <v>262988</v>
      </c>
      <c r="J2014" s="690">
        <v>370467</v>
      </c>
      <c r="K2014" s="1030"/>
      <c r="L2014" s="690"/>
      <c r="M2014" s="1025"/>
      <c r="N2014" s="1030"/>
      <c r="O2014" s="692">
        <f t="shared" si="261"/>
        <v>0</v>
      </c>
      <c r="P2014" s="690"/>
      <c r="Q2014" s="690"/>
      <c r="R2014" s="691">
        <f t="shared" si="262"/>
        <v>0</v>
      </c>
      <c r="S2014" s="692">
        <f t="shared" si="263"/>
        <v>262988</v>
      </c>
      <c r="T2014" s="693">
        <f t="shared" si="264"/>
        <v>370467</v>
      </c>
      <c r="U2014" s="1035"/>
      <c r="V2014" s="690"/>
      <c r="W2014" s="1025"/>
      <c r="X2014" s="1030"/>
      <c r="Y2014" s="694">
        <f t="shared" si="265"/>
        <v>0</v>
      </c>
      <c r="Z2014" s="690"/>
      <c r="AA2014" s="690"/>
      <c r="AB2014" s="695">
        <f t="shared" si="266"/>
        <v>0</v>
      </c>
      <c r="AC2014" s="1035"/>
      <c r="AD2014" s="690"/>
      <c r="AE2014" s="1025"/>
      <c r="AF2014" s="1030"/>
      <c r="AG2014" s="690"/>
      <c r="AH2014" s="690"/>
      <c r="AI2014" s="696">
        <f t="shared" si="267"/>
        <v>262988</v>
      </c>
      <c r="AJ2014" s="697">
        <f t="shared" si="268"/>
        <v>370467</v>
      </c>
    </row>
    <row r="2015" spans="1:36" s="700" customFormat="1" ht="12.75" customHeight="1">
      <c r="A2015" s="789" t="s">
        <v>213</v>
      </c>
      <c r="B2015" s="789" t="s">
        <v>394</v>
      </c>
      <c r="C2015" s="793" t="s">
        <v>451</v>
      </c>
      <c r="D2015" s="793"/>
      <c r="E2015" s="791">
        <v>198376</v>
      </c>
      <c r="F2015" s="792">
        <v>9</v>
      </c>
      <c r="G2015" s="1025"/>
      <c r="H2015" s="690"/>
      <c r="I2015" s="1030">
        <v>152206</v>
      </c>
      <c r="J2015" s="690">
        <v>158524</v>
      </c>
      <c r="K2015" s="1030"/>
      <c r="L2015" s="690"/>
      <c r="M2015" s="1025"/>
      <c r="N2015" s="1030"/>
      <c r="O2015" s="692">
        <f t="shared" si="261"/>
        <v>0</v>
      </c>
      <c r="P2015" s="690"/>
      <c r="Q2015" s="690"/>
      <c r="R2015" s="691">
        <f t="shared" si="262"/>
        <v>0</v>
      </c>
      <c r="S2015" s="692">
        <f t="shared" si="263"/>
        <v>152206</v>
      </c>
      <c r="T2015" s="693">
        <f t="shared" si="264"/>
        <v>158524</v>
      </c>
      <c r="U2015" s="1035"/>
      <c r="V2015" s="690"/>
      <c r="W2015" s="1025"/>
      <c r="X2015" s="1030"/>
      <c r="Y2015" s="694">
        <f t="shared" si="265"/>
        <v>0</v>
      </c>
      <c r="Z2015" s="690"/>
      <c r="AA2015" s="690"/>
      <c r="AB2015" s="695">
        <f t="shared" si="266"/>
        <v>0</v>
      </c>
      <c r="AC2015" s="1035"/>
      <c r="AD2015" s="690"/>
      <c r="AE2015" s="1025"/>
      <c r="AF2015" s="1030"/>
      <c r="AG2015" s="690"/>
      <c r="AH2015" s="690"/>
      <c r="AI2015" s="696">
        <f t="shared" si="267"/>
        <v>152206</v>
      </c>
      <c r="AJ2015" s="697">
        <f t="shared" si="268"/>
        <v>158524</v>
      </c>
    </row>
    <row r="2016" spans="1:36" s="700" customFormat="1" ht="12.75" customHeight="1">
      <c r="A2016" s="789" t="s">
        <v>213</v>
      </c>
      <c r="B2016" s="789" t="s">
        <v>403</v>
      </c>
      <c r="C2016" s="793" t="s">
        <v>386</v>
      </c>
      <c r="D2016" s="793"/>
      <c r="E2016" s="791">
        <v>198376</v>
      </c>
      <c r="F2016" s="792">
        <v>9</v>
      </c>
      <c r="G2016" s="1025"/>
      <c r="H2016" s="690"/>
      <c r="I2016" s="1030">
        <v>1528603</v>
      </c>
      <c r="J2016" s="690">
        <v>1364387</v>
      </c>
      <c r="K2016" s="1030"/>
      <c r="L2016" s="690"/>
      <c r="M2016" s="1025">
        <v>189163</v>
      </c>
      <c r="N2016" s="1030"/>
      <c r="O2016" s="692">
        <f t="shared" si="261"/>
        <v>189163</v>
      </c>
      <c r="P2016" s="690">
        <v>233582</v>
      </c>
      <c r="Q2016" s="690"/>
      <c r="R2016" s="691">
        <f t="shared" si="262"/>
        <v>233582</v>
      </c>
      <c r="S2016" s="692">
        <f t="shared" si="263"/>
        <v>1717766</v>
      </c>
      <c r="T2016" s="693">
        <f t="shared" si="264"/>
        <v>1597969</v>
      </c>
      <c r="U2016" s="1035"/>
      <c r="V2016" s="690"/>
      <c r="W2016" s="1025"/>
      <c r="X2016" s="1030"/>
      <c r="Y2016" s="694">
        <f t="shared" si="265"/>
        <v>0</v>
      </c>
      <c r="Z2016" s="690"/>
      <c r="AA2016" s="690"/>
      <c r="AB2016" s="695">
        <f t="shared" si="266"/>
        <v>0</v>
      </c>
      <c r="AC2016" s="1035"/>
      <c r="AD2016" s="690"/>
      <c r="AE2016" s="1025"/>
      <c r="AF2016" s="1030"/>
      <c r="AG2016" s="690"/>
      <c r="AH2016" s="690"/>
      <c r="AI2016" s="696">
        <f t="shared" si="267"/>
        <v>1717766</v>
      </c>
      <c r="AJ2016" s="697">
        <f t="shared" si="268"/>
        <v>1597969</v>
      </c>
    </row>
    <row r="2017" spans="1:36" s="700" customFormat="1" ht="12.75" customHeight="1">
      <c r="A2017" s="789" t="s">
        <v>213</v>
      </c>
      <c r="B2017" s="789" t="s">
        <v>392</v>
      </c>
      <c r="C2017" s="930" t="s">
        <v>1268</v>
      </c>
      <c r="D2017" s="930"/>
      <c r="E2017" s="791">
        <v>198491</v>
      </c>
      <c r="F2017" s="792">
        <v>9</v>
      </c>
      <c r="G2017" s="1025">
        <v>9845371</v>
      </c>
      <c r="H2017" s="690">
        <v>11191776</v>
      </c>
      <c r="I2017" s="1030"/>
      <c r="J2017" s="690"/>
      <c r="K2017" s="1162">
        <v>1248710</v>
      </c>
      <c r="L2017" s="1163">
        <v>1228710</v>
      </c>
      <c r="M2017" s="1025">
        <v>2103884</v>
      </c>
      <c r="N2017" s="1030"/>
      <c r="O2017" s="692">
        <f t="shared" si="261"/>
        <v>2103884</v>
      </c>
      <c r="P2017" s="690">
        <v>4098008</v>
      </c>
      <c r="Q2017" s="690"/>
      <c r="R2017" s="691">
        <f t="shared" si="262"/>
        <v>4098008</v>
      </c>
      <c r="S2017" s="692">
        <f t="shared" si="263"/>
        <v>13197965</v>
      </c>
      <c r="T2017" s="693">
        <f t="shared" si="264"/>
        <v>16518494</v>
      </c>
      <c r="U2017" s="1035"/>
      <c r="V2017" s="690"/>
      <c r="W2017" s="1025"/>
      <c r="X2017" s="1030"/>
      <c r="Y2017" s="694">
        <f t="shared" si="265"/>
        <v>0</v>
      </c>
      <c r="Z2017" s="690"/>
      <c r="AA2017" s="690"/>
      <c r="AB2017" s="695">
        <f t="shared" si="266"/>
        <v>0</v>
      </c>
      <c r="AC2017" s="1035"/>
      <c r="AD2017" s="690"/>
      <c r="AE2017" s="1025"/>
      <c r="AF2017" s="1030"/>
      <c r="AG2017" s="690"/>
      <c r="AH2017" s="690"/>
      <c r="AI2017" s="696">
        <f t="shared" si="267"/>
        <v>13197965</v>
      </c>
      <c r="AJ2017" s="697">
        <f t="shared" si="268"/>
        <v>16518494</v>
      </c>
    </row>
    <row r="2018" spans="1:36" s="700" customFormat="1" ht="12.75" customHeight="1">
      <c r="A2018" s="789" t="s">
        <v>213</v>
      </c>
      <c r="B2018" s="789" t="s">
        <v>392</v>
      </c>
      <c r="C2018" s="793" t="s">
        <v>1248</v>
      </c>
      <c r="D2018" s="793"/>
      <c r="E2018" s="791">
        <v>198491</v>
      </c>
      <c r="F2018" s="792">
        <v>9</v>
      </c>
      <c r="G2018" s="1025"/>
      <c r="H2018" s="690"/>
      <c r="I2018" s="1030">
        <v>237352</v>
      </c>
      <c r="J2018" s="690">
        <v>241954</v>
      </c>
      <c r="K2018" s="1030"/>
      <c r="L2018" s="690"/>
      <c r="M2018" s="1025"/>
      <c r="N2018" s="1030"/>
      <c r="O2018" s="692">
        <f t="shared" si="261"/>
        <v>0</v>
      </c>
      <c r="P2018" s="690"/>
      <c r="Q2018" s="690"/>
      <c r="R2018" s="691">
        <f t="shared" si="262"/>
        <v>0</v>
      </c>
      <c r="S2018" s="692">
        <f t="shared" si="263"/>
        <v>237352</v>
      </c>
      <c r="T2018" s="693">
        <f t="shared" si="264"/>
        <v>241954</v>
      </c>
      <c r="U2018" s="1035"/>
      <c r="V2018" s="690"/>
      <c r="W2018" s="1025"/>
      <c r="X2018" s="1030"/>
      <c r="Y2018" s="694">
        <f t="shared" si="265"/>
        <v>0</v>
      </c>
      <c r="Z2018" s="690"/>
      <c r="AA2018" s="690"/>
      <c r="AB2018" s="695">
        <f t="shared" si="266"/>
        <v>0</v>
      </c>
      <c r="AC2018" s="1035"/>
      <c r="AD2018" s="690"/>
      <c r="AE2018" s="1025"/>
      <c r="AF2018" s="1030"/>
      <c r="AG2018" s="690"/>
      <c r="AH2018" s="690"/>
      <c r="AI2018" s="696">
        <f t="shared" si="267"/>
        <v>237352</v>
      </c>
      <c r="AJ2018" s="697">
        <f t="shared" si="268"/>
        <v>241954</v>
      </c>
    </row>
    <row r="2019" spans="1:36" s="700" customFormat="1" ht="12.75" customHeight="1">
      <c r="A2019" s="789" t="s">
        <v>213</v>
      </c>
      <c r="B2019" s="789" t="s">
        <v>394</v>
      </c>
      <c r="C2019" s="793" t="s">
        <v>451</v>
      </c>
      <c r="D2019" s="793"/>
      <c r="E2019" s="791">
        <v>198491</v>
      </c>
      <c r="F2019" s="792">
        <v>9</v>
      </c>
      <c r="G2019" s="1025"/>
      <c r="H2019" s="690"/>
      <c r="I2019" s="1030">
        <v>140906</v>
      </c>
      <c r="J2019" s="690">
        <v>149969</v>
      </c>
      <c r="K2019" s="1030"/>
      <c r="L2019" s="690"/>
      <c r="M2019" s="1025"/>
      <c r="N2019" s="1030"/>
      <c r="O2019" s="692">
        <f t="shared" si="261"/>
        <v>0</v>
      </c>
      <c r="P2019" s="690"/>
      <c r="Q2019" s="690"/>
      <c r="R2019" s="691">
        <f t="shared" si="262"/>
        <v>0</v>
      </c>
      <c r="S2019" s="692">
        <f t="shared" si="263"/>
        <v>140906</v>
      </c>
      <c r="T2019" s="693">
        <f t="shared" si="264"/>
        <v>149969</v>
      </c>
      <c r="U2019" s="1035"/>
      <c r="V2019" s="690"/>
      <c r="W2019" s="1025"/>
      <c r="X2019" s="1030"/>
      <c r="Y2019" s="694">
        <f t="shared" si="265"/>
        <v>0</v>
      </c>
      <c r="Z2019" s="690"/>
      <c r="AA2019" s="690"/>
      <c r="AB2019" s="695">
        <f t="shared" si="266"/>
        <v>0</v>
      </c>
      <c r="AC2019" s="1035"/>
      <c r="AD2019" s="690"/>
      <c r="AE2019" s="1025"/>
      <c r="AF2019" s="1030"/>
      <c r="AG2019" s="690"/>
      <c r="AH2019" s="690"/>
      <c r="AI2019" s="696">
        <f t="shared" si="267"/>
        <v>140906</v>
      </c>
      <c r="AJ2019" s="697">
        <f t="shared" si="268"/>
        <v>149969</v>
      </c>
    </row>
    <row r="2020" spans="1:36" s="700" customFormat="1" ht="12.75" customHeight="1">
      <c r="A2020" s="789" t="s">
        <v>213</v>
      </c>
      <c r="B2020" s="789" t="s">
        <v>403</v>
      </c>
      <c r="C2020" s="793" t="s">
        <v>386</v>
      </c>
      <c r="D2020" s="793"/>
      <c r="E2020" s="791">
        <v>198491</v>
      </c>
      <c r="F2020" s="792">
        <v>9</v>
      </c>
      <c r="G2020" s="1025"/>
      <c r="H2020" s="690"/>
      <c r="I2020" s="1030">
        <v>814426</v>
      </c>
      <c r="J2020" s="690">
        <v>579784</v>
      </c>
      <c r="K2020" s="1030"/>
      <c r="L2020" s="690"/>
      <c r="M2020" s="1025">
        <v>107589</v>
      </c>
      <c r="N2020" s="1030"/>
      <c r="O2020" s="692">
        <f t="shared" si="261"/>
        <v>107589</v>
      </c>
      <c r="P2020" s="690">
        <v>140483</v>
      </c>
      <c r="Q2020" s="690"/>
      <c r="R2020" s="691">
        <f t="shared" si="262"/>
        <v>140483</v>
      </c>
      <c r="S2020" s="692">
        <f t="shared" si="263"/>
        <v>922015</v>
      </c>
      <c r="T2020" s="693">
        <f t="shared" si="264"/>
        <v>720267</v>
      </c>
      <c r="U2020" s="1035"/>
      <c r="V2020" s="690"/>
      <c r="W2020" s="1025"/>
      <c r="X2020" s="1030"/>
      <c r="Y2020" s="694">
        <f t="shared" si="265"/>
        <v>0</v>
      </c>
      <c r="Z2020" s="690"/>
      <c r="AA2020" s="690"/>
      <c r="AB2020" s="695">
        <f t="shared" si="266"/>
        <v>0</v>
      </c>
      <c r="AC2020" s="1035"/>
      <c r="AD2020" s="690"/>
      <c r="AE2020" s="1025"/>
      <c r="AF2020" s="1030"/>
      <c r="AG2020" s="690"/>
      <c r="AH2020" s="690"/>
      <c r="AI2020" s="696">
        <f t="shared" si="267"/>
        <v>922015</v>
      </c>
      <c r="AJ2020" s="697">
        <f t="shared" si="268"/>
        <v>720267</v>
      </c>
    </row>
    <row r="2021" spans="1:36" s="700" customFormat="1" ht="12.75" customHeight="1">
      <c r="A2021" s="789" t="s">
        <v>213</v>
      </c>
      <c r="B2021" s="789" t="s">
        <v>392</v>
      </c>
      <c r="C2021" s="1078" t="s">
        <v>1269</v>
      </c>
      <c r="D2021" s="1079" t="s">
        <v>1967</v>
      </c>
      <c r="E2021" s="791">
        <v>198570</v>
      </c>
      <c r="F2021" s="1080">
        <v>8</v>
      </c>
      <c r="G2021" s="1025">
        <v>18511892</v>
      </c>
      <c r="H2021" s="690">
        <v>21681388</v>
      </c>
      <c r="I2021" s="1030"/>
      <c r="J2021" s="690"/>
      <c r="K2021" s="1162">
        <v>4185329</v>
      </c>
      <c r="L2021" s="1163">
        <v>4288723</v>
      </c>
      <c r="M2021" s="1025">
        <v>5896804</v>
      </c>
      <c r="N2021" s="1030"/>
      <c r="O2021" s="692">
        <f t="shared" si="261"/>
        <v>5896804</v>
      </c>
      <c r="P2021" s="690">
        <v>8199925</v>
      </c>
      <c r="Q2021" s="690"/>
      <c r="R2021" s="691">
        <f t="shared" si="262"/>
        <v>8199925</v>
      </c>
      <c r="S2021" s="692">
        <f t="shared" si="263"/>
        <v>28594025</v>
      </c>
      <c r="T2021" s="693">
        <f t="shared" si="264"/>
        <v>34170036</v>
      </c>
      <c r="U2021" s="1035"/>
      <c r="V2021" s="690"/>
      <c r="W2021" s="1025"/>
      <c r="X2021" s="1030"/>
      <c r="Y2021" s="694">
        <f t="shared" si="265"/>
        <v>0</v>
      </c>
      <c r="Z2021" s="690"/>
      <c r="AA2021" s="690"/>
      <c r="AB2021" s="695">
        <f t="shared" si="266"/>
        <v>0</v>
      </c>
      <c r="AC2021" s="1035"/>
      <c r="AD2021" s="690"/>
      <c r="AE2021" s="1025"/>
      <c r="AF2021" s="1030"/>
      <c r="AG2021" s="690"/>
      <c r="AH2021" s="690"/>
      <c r="AI2021" s="696">
        <f t="shared" si="267"/>
        <v>28594025</v>
      </c>
      <c r="AJ2021" s="697">
        <f t="shared" si="268"/>
        <v>34170036</v>
      </c>
    </row>
    <row r="2022" spans="1:36" s="700" customFormat="1" ht="12.75" customHeight="1">
      <c r="A2022" s="789" t="s">
        <v>213</v>
      </c>
      <c r="B2022" s="789" t="s">
        <v>392</v>
      </c>
      <c r="C2022" s="793" t="s">
        <v>1248</v>
      </c>
      <c r="D2022" s="793"/>
      <c r="E2022" s="791">
        <v>198570</v>
      </c>
      <c r="F2022" s="1080">
        <v>8</v>
      </c>
      <c r="G2022" s="1025"/>
      <c r="H2022" s="690"/>
      <c r="I2022" s="1030">
        <v>242516</v>
      </c>
      <c r="J2022" s="690">
        <v>244182</v>
      </c>
      <c r="K2022" s="1030"/>
      <c r="L2022" s="690"/>
      <c r="M2022" s="1025"/>
      <c r="N2022" s="1030"/>
      <c r="O2022" s="692">
        <f t="shared" si="261"/>
        <v>0</v>
      </c>
      <c r="P2022" s="690"/>
      <c r="Q2022" s="690"/>
      <c r="R2022" s="691">
        <f t="shared" si="262"/>
        <v>0</v>
      </c>
      <c r="S2022" s="692">
        <f t="shared" si="263"/>
        <v>242516</v>
      </c>
      <c r="T2022" s="693">
        <f t="shared" si="264"/>
        <v>244182</v>
      </c>
      <c r="U2022" s="1035"/>
      <c r="V2022" s="690"/>
      <c r="W2022" s="1025"/>
      <c r="X2022" s="1030"/>
      <c r="Y2022" s="694">
        <f t="shared" si="265"/>
        <v>0</v>
      </c>
      <c r="Z2022" s="690"/>
      <c r="AA2022" s="690"/>
      <c r="AB2022" s="695">
        <f t="shared" si="266"/>
        <v>0</v>
      </c>
      <c r="AC2022" s="1035"/>
      <c r="AD2022" s="690"/>
      <c r="AE2022" s="1025"/>
      <c r="AF2022" s="1030"/>
      <c r="AG2022" s="690"/>
      <c r="AH2022" s="690"/>
      <c r="AI2022" s="696">
        <f t="shared" si="267"/>
        <v>242516</v>
      </c>
      <c r="AJ2022" s="697">
        <f t="shared" si="268"/>
        <v>244182</v>
      </c>
    </row>
    <row r="2023" spans="1:36" s="700" customFormat="1" ht="12.75" customHeight="1">
      <c r="A2023" s="789" t="s">
        <v>213</v>
      </c>
      <c r="B2023" s="789" t="s">
        <v>394</v>
      </c>
      <c r="C2023" s="793" t="s">
        <v>451</v>
      </c>
      <c r="D2023" s="793"/>
      <c r="E2023" s="791">
        <v>198570</v>
      </c>
      <c r="F2023" s="1080">
        <v>8</v>
      </c>
      <c r="G2023" s="1025"/>
      <c r="H2023" s="690"/>
      <c r="I2023" s="1030">
        <v>158006</v>
      </c>
      <c r="J2023" s="690">
        <v>165883</v>
      </c>
      <c r="K2023" s="1030"/>
      <c r="L2023" s="690"/>
      <c r="M2023" s="1025"/>
      <c r="N2023" s="1030"/>
      <c r="O2023" s="692">
        <f t="shared" si="261"/>
        <v>0</v>
      </c>
      <c r="P2023" s="690"/>
      <c r="Q2023" s="690"/>
      <c r="R2023" s="691">
        <f t="shared" si="262"/>
        <v>0</v>
      </c>
      <c r="S2023" s="692">
        <f t="shared" si="263"/>
        <v>158006</v>
      </c>
      <c r="T2023" s="693">
        <f t="shared" si="264"/>
        <v>165883</v>
      </c>
      <c r="U2023" s="1035"/>
      <c r="V2023" s="690"/>
      <c r="W2023" s="1025"/>
      <c r="X2023" s="1030"/>
      <c r="Y2023" s="694">
        <f t="shared" si="265"/>
        <v>0</v>
      </c>
      <c r="Z2023" s="690"/>
      <c r="AA2023" s="690"/>
      <c r="AB2023" s="695">
        <f t="shared" si="266"/>
        <v>0</v>
      </c>
      <c r="AC2023" s="1035"/>
      <c r="AD2023" s="690"/>
      <c r="AE2023" s="1025"/>
      <c r="AF2023" s="1030"/>
      <c r="AG2023" s="690"/>
      <c r="AH2023" s="690"/>
      <c r="AI2023" s="696">
        <f t="shared" si="267"/>
        <v>158006</v>
      </c>
      <c r="AJ2023" s="697">
        <f t="shared" si="268"/>
        <v>165883</v>
      </c>
    </row>
    <row r="2024" spans="1:36" s="700" customFormat="1" ht="12.75" customHeight="1">
      <c r="A2024" s="789" t="s">
        <v>213</v>
      </c>
      <c r="B2024" s="789" t="s">
        <v>403</v>
      </c>
      <c r="C2024" s="793" t="s">
        <v>386</v>
      </c>
      <c r="D2024" s="793"/>
      <c r="E2024" s="791">
        <v>198570</v>
      </c>
      <c r="F2024" s="1080">
        <v>8</v>
      </c>
      <c r="G2024" s="1025"/>
      <c r="H2024" s="690"/>
      <c r="I2024" s="1030">
        <v>914483</v>
      </c>
      <c r="J2024" s="690">
        <v>1030775</v>
      </c>
      <c r="K2024" s="1030"/>
      <c r="L2024" s="690"/>
      <c r="M2024" s="1025">
        <v>188378</v>
      </c>
      <c r="N2024" s="1030"/>
      <c r="O2024" s="692">
        <f t="shared" si="261"/>
        <v>188378</v>
      </c>
      <c r="P2024" s="690">
        <v>252663</v>
      </c>
      <c r="Q2024" s="690"/>
      <c r="R2024" s="691">
        <f t="shared" si="262"/>
        <v>252663</v>
      </c>
      <c r="S2024" s="692">
        <f t="shared" si="263"/>
        <v>1102861</v>
      </c>
      <c r="T2024" s="693">
        <f t="shared" si="264"/>
        <v>1283438</v>
      </c>
      <c r="U2024" s="1035"/>
      <c r="V2024" s="690"/>
      <c r="W2024" s="1025"/>
      <c r="X2024" s="1030"/>
      <c r="Y2024" s="694">
        <f t="shared" si="265"/>
        <v>0</v>
      </c>
      <c r="Z2024" s="690"/>
      <c r="AA2024" s="690"/>
      <c r="AB2024" s="695">
        <f t="shared" si="266"/>
        <v>0</v>
      </c>
      <c r="AC2024" s="1035"/>
      <c r="AD2024" s="690"/>
      <c r="AE2024" s="1025"/>
      <c r="AF2024" s="1030"/>
      <c r="AG2024" s="690"/>
      <c r="AH2024" s="690"/>
      <c r="AI2024" s="696">
        <f t="shared" si="267"/>
        <v>1102861</v>
      </c>
      <c r="AJ2024" s="697">
        <f t="shared" si="268"/>
        <v>1283438</v>
      </c>
    </row>
    <row r="2025" spans="1:36" s="700" customFormat="1" ht="12.75" customHeight="1">
      <c r="A2025" s="789" t="s">
        <v>213</v>
      </c>
      <c r="B2025" s="789" t="s">
        <v>392</v>
      </c>
      <c r="C2025" s="930" t="s">
        <v>1270</v>
      </c>
      <c r="D2025" s="930"/>
      <c r="E2025" s="791">
        <v>198668</v>
      </c>
      <c r="F2025" s="792">
        <v>9</v>
      </c>
      <c r="G2025" s="1025">
        <v>7721339</v>
      </c>
      <c r="H2025" s="690">
        <v>7984709</v>
      </c>
      <c r="I2025" s="1030"/>
      <c r="J2025" s="690"/>
      <c r="K2025" s="1162">
        <v>2494929</v>
      </c>
      <c r="L2025" s="1163">
        <v>2449116</v>
      </c>
      <c r="M2025" s="1025">
        <v>1819134</v>
      </c>
      <c r="N2025" s="1030"/>
      <c r="O2025" s="692">
        <f t="shared" si="261"/>
        <v>1819134</v>
      </c>
      <c r="P2025" s="690">
        <v>2409231</v>
      </c>
      <c r="Q2025" s="690"/>
      <c r="R2025" s="691">
        <f t="shared" si="262"/>
        <v>2409231</v>
      </c>
      <c r="S2025" s="692">
        <f t="shared" si="263"/>
        <v>12035402</v>
      </c>
      <c r="T2025" s="693">
        <f t="shared" si="264"/>
        <v>12843056</v>
      </c>
      <c r="U2025" s="1035"/>
      <c r="V2025" s="690"/>
      <c r="W2025" s="1025"/>
      <c r="X2025" s="1030"/>
      <c r="Y2025" s="694">
        <f t="shared" si="265"/>
        <v>0</v>
      </c>
      <c r="Z2025" s="690"/>
      <c r="AA2025" s="690"/>
      <c r="AB2025" s="695">
        <f t="shared" si="266"/>
        <v>0</v>
      </c>
      <c r="AC2025" s="1035"/>
      <c r="AD2025" s="690"/>
      <c r="AE2025" s="1025"/>
      <c r="AF2025" s="1030"/>
      <c r="AG2025" s="690"/>
      <c r="AH2025" s="690"/>
      <c r="AI2025" s="696">
        <f t="shared" si="267"/>
        <v>12035402</v>
      </c>
      <c r="AJ2025" s="697">
        <f t="shared" si="268"/>
        <v>12843056</v>
      </c>
    </row>
    <row r="2026" spans="1:36" s="700" customFormat="1" ht="12.75" customHeight="1">
      <c r="A2026" s="789" t="s">
        <v>213</v>
      </c>
      <c r="B2026" s="789" t="s">
        <v>392</v>
      </c>
      <c r="C2026" s="793" t="s">
        <v>1248</v>
      </c>
      <c r="D2026" s="793"/>
      <c r="E2026" s="791">
        <v>198668</v>
      </c>
      <c r="F2026" s="792">
        <v>9</v>
      </c>
      <c r="G2026" s="1025"/>
      <c r="H2026" s="690"/>
      <c r="I2026" s="1030">
        <v>52196</v>
      </c>
      <c r="J2026" s="690">
        <v>69401</v>
      </c>
      <c r="K2026" s="1030"/>
      <c r="L2026" s="690"/>
      <c r="M2026" s="1025"/>
      <c r="N2026" s="1030"/>
      <c r="O2026" s="692">
        <f t="shared" si="261"/>
        <v>0</v>
      </c>
      <c r="P2026" s="690"/>
      <c r="Q2026" s="690"/>
      <c r="R2026" s="691">
        <f t="shared" si="262"/>
        <v>0</v>
      </c>
      <c r="S2026" s="692">
        <f t="shared" si="263"/>
        <v>52196</v>
      </c>
      <c r="T2026" s="693">
        <f t="shared" si="264"/>
        <v>69401</v>
      </c>
      <c r="U2026" s="1035"/>
      <c r="V2026" s="690"/>
      <c r="W2026" s="1025"/>
      <c r="X2026" s="1030"/>
      <c r="Y2026" s="694">
        <f t="shared" si="265"/>
        <v>0</v>
      </c>
      <c r="Z2026" s="690"/>
      <c r="AA2026" s="690"/>
      <c r="AB2026" s="695">
        <f t="shared" si="266"/>
        <v>0</v>
      </c>
      <c r="AC2026" s="1035"/>
      <c r="AD2026" s="690"/>
      <c r="AE2026" s="1025"/>
      <c r="AF2026" s="1030"/>
      <c r="AG2026" s="690"/>
      <c r="AH2026" s="690"/>
      <c r="AI2026" s="696">
        <f t="shared" si="267"/>
        <v>52196</v>
      </c>
      <c r="AJ2026" s="697">
        <f t="shared" si="268"/>
        <v>69401</v>
      </c>
    </row>
    <row r="2027" spans="1:36" s="700" customFormat="1" ht="12.75" customHeight="1">
      <c r="A2027" s="789" t="s">
        <v>213</v>
      </c>
      <c r="B2027" s="789" t="s">
        <v>394</v>
      </c>
      <c r="C2027" s="793" t="s">
        <v>451</v>
      </c>
      <c r="D2027" s="793"/>
      <c r="E2027" s="791">
        <v>198668</v>
      </c>
      <c r="F2027" s="792">
        <v>9</v>
      </c>
      <c r="G2027" s="1025"/>
      <c r="H2027" s="690"/>
      <c r="I2027" s="1030">
        <v>136806</v>
      </c>
      <c r="J2027" s="690">
        <v>147010</v>
      </c>
      <c r="K2027" s="1030"/>
      <c r="L2027" s="690"/>
      <c r="M2027" s="1025"/>
      <c r="N2027" s="1030"/>
      <c r="O2027" s="692">
        <f t="shared" si="261"/>
        <v>0</v>
      </c>
      <c r="P2027" s="690"/>
      <c r="Q2027" s="690"/>
      <c r="R2027" s="691">
        <f t="shared" si="262"/>
        <v>0</v>
      </c>
      <c r="S2027" s="692">
        <f t="shared" si="263"/>
        <v>136806</v>
      </c>
      <c r="T2027" s="693">
        <f t="shared" si="264"/>
        <v>147010</v>
      </c>
      <c r="U2027" s="1035"/>
      <c r="V2027" s="690"/>
      <c r="W2027" s="1025"/>
      <c r="X2027" s="1030"/>
      <c r="Y2027" s="694">
        <f t="shared" si="265"/>
        <v>0</v>
      </c>
      <c r="Z2027" s="690"/>
      <c r="AA2027" s="690"/>
      <c r="AB2027" s="695">
        <f t="shared" si="266"/>
        <v>0</v>
      </c>
      <c r="AC2027" s="1035"/>
      <c r="AD2027" s="690"/>
      <c r="AE2027" s="1025"/>
      <c r="AF2027" s="1030"/>
      <c r="AG2027" s="690"/>
      <c r="AH2027" s="690"/>
      <c r="AI2027" s="696">
        <f t="shared" si="267"/>
        <v>136806</v>
      </c>
      <c r="AJ2027" s="697">
        <f t="shared" si="268"/>
        <v>147010</v>
      </c>
    </row>
    <row r="2028" spans="1:36" s="700" customFormat="1" ht="12.75" customHeight="1">
      <c r="A2028" s="789" t="s">
        <v>213</v>
      </c>
      <c r="B2028" s="789" t="s">
        <v>403</v>
      </c>
      <c r="C2028" s="793" t="s">
        <v>386</v>
      </c>
      <c r="D2028" s="793"/>
      <c r="E2028" s="791">
        <v>198668</v>
      </c>
      <c r="F2028" s="792">
        <v>9</v>
      </c>
      <c r="G2028" s="1025"/>
      <c r="H2028" s="690"/>
      <c r="I2028" s="1030">
        <v>533460</v>
      </c>
      <c r="J2028" s="690">
        <v>572617</v>
      </c>
      <c r="K2028" s="1030"/>
      <c r="L2028" s="690"/>
      <c r="M2028" s="1025">
        <v>74299</v>
      </c>
      <c r="N2028" s="1030"/>
      <c r="O2028" s="692">
        <f t="shared" si="261"/>
        <v>74299</v>
      </c>
      <c r="P2028" s="690">
        <v>112081</v>
      </c>
      <c r="Q2028" s="690"/>
      <c r="R2028" s="691">
        <f t="shared" si="262"/>
        <v>112081</v>
      </c>
      <c r="S2028" s="692">
        <f t="shared" si="263"/>
        <v>607759</v>
      </c>
      <c r="T2028" s="693">
        <f t="shared" si="264"/>
        <v>684698</v>
      </c>
      <c r="U2028" s="1035"/>
      <c r="V2028" s="690"/>
      <c r="W2028" s="1025"/>
      <c r="X2028" s="1030"/>
      <c r="Y2028" s="694">
        <f t="shared" si="265"/>
        <v>0</v>
      </c>
      <c r="Z2028" s="690"/>
      <c r="AA2028" s="690"/>
      <c r="AB2028" s="695">
        <f t="shared" si="266"/>
        <v>0</v>
      </c>
      <c r="AC2028" s="1035"/>
      <c r="AD2028" s="690"/>
      <c r="AE2028" s="1025"/>
      <c r="AF2028" s="1030"/>
      <c r="AG2028" s="690"/>
      <c r="AH2028" s="690"/>
      <c r="AI2028" s="696">
        <f t="shared" si="267"/>
        <v>607759</v>
      </c>
      <c r="AJ2028" s="697">
        <f t="shared" si="268"/>
        <v>684698</v>
      </c>
    </row>
    <row r="2029" spans="1:36" s="700" customFormat="1" ht="12.75" customHeight="1">
      <c r="A2029" s="789" t="s">
        <v>213</v>
      </c>
      <c r="B2029" s="789" t="s">
        <v>392</v>
      </c>
      <c r="C2029" s="930" t="s">
        <v>1271</v>
      </c>
      <c r="D2029" s="930"/>
      <c r="E2029" s="791">
        <v>198710</v>
      </c>
      <c r="F2029" s="792">
        <v>9</v>
      </c>
      <c r="G2029" s="1025">
        <v>8979499</v>
      </c>
      <c r="H2029" s="690">
        <v>10326478</v>
      </c>
      <c r="I2029" s="1030"/>
      <c r="J2029" s="690"/>
      <c r="K2029" s="1162">
        <v>2034715</v>
      </c>
      <c r="L2029" s="1163">
        <v>2011362</v>
      </c>
      <c r="M2029" s="1025">
        <v>2223687</v>
      </c>
      <c r="N2029" s="1030"/>
      <c r="O2029" s="692">
        <f t="shared" si="261"/>
        <v>2223687</v>
      </c>
      <c r="P2029" s="690">
        <v>2950761</v>
      </c>
      <c r="Q2029" s="690"/>
      <c r="R2029" s="691">
        <f t="shared" si="262"/>
        <v>2950761</v>
      </c>
      <c r="S2029" s="692">
        <f t="shared" si="263"/>
        <v>13237901</v>
      </c>
      <c r="T2029" s="693">
        <f t="shared" si="264"/>
        <v>15288601</v>
      </c>
      <c r="U2029" s="1035"/>
      <c r="V2029" s="690"/>
      <c r="W2029" s="1025"/>
      <c r="X2029" s="1030"/>
      <c r="Y2029" s="694">
        <f t="shared" si="265"/>
        <v>0</v>
      </c>
      <c r="Z2029" s="690"/>
      <c r="AA2029" s="690"/>
      <c r="AB2029" s="695">
        <f t="shared" si="266"/>
        <v>0</v>
      </c>
      <c r="AC2029" s="1035"/>
      <c r="AD2029" s="690"/>
      <c r="AE2029" s="1025"/>
      <c r="AF2029" s="1030"/>
      <c r="AG2029" s="690"/>
      <c r="AH2029" s="690"/>
      <c r="AI2029" s="696">
        <f t="shared" si="267"/>
        <v>13237901</v>
      </c>
      <c r="AJ2029" s="697">
        <f t="shared" si="268"/>
        <v>15288601</v>
      </c>
    </row>
    <row r="2030" spans="1:36" s="700" customFormat="1" ht="12.75" customHeight="1">
      <c r="A2030" s="789" t="s">
        <v>213</v>
      </c>
      <c r="B2030" s="789" t="s">
        <v>392</v>
      </c>
      <c r="C2030" s="793" t="s">
        <v>1248</v>
      </c>
      <c r="D2030" s="793"/>
      <c r="E2030" s="791">
        <v>198710</v>
      </c>
      <c r="F2030" s="792">
        <v>9</v>
      </c>
      <c r="G2030" s="1025"/>
      <c r="H2030" s="690"/>
      <c r="I2030" s="1030">
        <v>63635</v>
      </c>
      <c r="J2030" s="690">
        <v>64468</v>
      </c>
      <c r="K2030" s="1030"/>
      <c r="L2030" s="690"/>
      <c r="M2030" s="1025"/>
      <c r="N2030" s="1030"/>
      <c r="O2030" s="692">
        <f t="shared" si="261"/>
        <v>0</v>
      </c>
      <c r="P2030" s="690"/>
      <c r="Q2030" s="690"/>
      <c r="R2030" s="691">
        <f t="shared" si="262"/>
        <v>0</v>
      </c>
      <c r="S2030" s="692">
        <f t="shared" si="263"/>
        <v>63635</v>
      </c>
      <c r="T2030" s="693">
        <f t="shared" si="264"/>
        <v>64468</v>
      </c>
      <c r="U2030" s="1035"/>
      <c r="V2030" s="690"/>
      <c r="W2030" s="1025"/>
      <c r="X2030" s="1030"/>
      <c r="Y2030" s="694">
        <f t="shared" si="265"/>
        <v>0</v>
      </c>
      <c r="Z2030" s="690"/>
      <c r="AA2030" s="690"/>
      <c r="AB2030" s="695">
        <f t="shared" si="266"/>
        <v>0</v>
      </c>
      <c r="AC2030" s="1035"/>
      <c r="AD2030" s="690"/>
      <c r="AE2030" s="1025"/>
      <c r="AF2030" s="1030"/>
      <c r="AG2030" s="690"/>
      <c r="AH2030" s="690"/>
      <c r="AI2030" s="696">
        <f t="shared" si="267"/>
        <v>63635</v>
      </c>
      <c r="AJ2030" s="697">
        <f t="shared" si="268"/>
        <v>64468</v>
      </c>
    </row>
    <row r="2031" spans="1:36" s="700" customFormat="1" ht="12.75" customHeight="1">
      <c r="A2031" s="789" t="s">
        <v>213</v>
      </c>
      <c r="B2031" s="789" t="s">
        <v>394</v>
      </c>
      <c r="C2031" s="793" t="s">
        <v>451</v>
      </c>
      <c r="D2031" s="793"/>
      <c r="E2031" s="791">
        <v>198710</v>
      </c>
      <c r="F2031" s="792">
        <v>9</v>
      </c>
      <c r="G2031" s="1025"/>
      <c r="H2031" s="690"/>
      <c r="I2031" s="1030">
        <v>136106</v>
      </c>
      <c r="J2031" s="690">
        <v>144582</v>
      </c>
      <c r="K2031" s="1030"/>
      <c r="L2031" s="690"/>
      <c r="M2031" s="1025"/>
      <c r="N2031" s="1030"/>
      <c r="O2031" s="692">
        <f t="shared" si="261"/>
        <v>0</v>
      </c>
      <c r="P2031" s="690"/>
      <c r="Q2031" s="690"/>
      <c r="R2031" s="691">
        <f t="shared" si="262"/>
        <v>0</v>
      </c>
      <c r="S2031" s="692">
        <f t="shared" si="263"/>
        <v>136106</v>
      </c>
      <c r="T2031" s="693">
        <f t="shared" si="264"/>
        <v>144582</v>
      </c>
      <c r="U2031" s="1035"/>
      <c r="V2031" s="690"/>
      <c r="W2031" s="1025"/>
      <c r="X2031" s="1030"/>
      <c r="Y2031" s="694">
        <f t="shared" si="265"/>
        <v>0</v>
      </c>
      <c r="Z2031" s="690"/>
      <c r="AA2031" s="690"/>
      <c r="AB2031" s="695">
        <f t="shared" si="266"/>
        <v>0</v>
      </c>
      <c r="AC2031" s="1035"/>
      <c r="AD2031" s="690"/>
      <c r="AE2031" s="1025"/>
      <c r="AF2031" s="1030"/>
      <c r="AG2031" s="690"/>
      <c r="AH2031" s="690"/>
      <c r="AI2031" s="696">
        <f t="shared" si="267"/>
        <v>136106</v>
      </c>
      <c r="AJ2031" s="697">
        <f t="shared" si="268"/>
        <v>144582</v>
      </c>
    </row>
    <row r="2032" spans="1:36" s="700" customFormat="1" ht="12.75" customHeight="1">
      <c r="A2032" s="789" t="s">
        <v>213</v>
      </c>
      <c r="B2032" s="789" t="s">
        <v>403</v>
      </c>
      <c r="C2032" s="793" t="s">
        <v>386</v>
      </c>
      <c r="D2032" s="793"/>
      <c r="E2032" s="791">
        <v>198710</v>
      </c>
      <c r="F2032" s="792">
        <v>9</v>
      </c>
      <c r="G2032" s="1025"/>
      <c r="H2032" s="690"/>
      <c r="I2032" s="1030">
        <v>583441</v>
      </c>
      <c r="J2032" s="690">
        <v>645900</v>
      </c>
      <c r="K2032" s="1030"/>
      <c r="L2032" s="690"/>
      <c r="M2032" s="1025">
        <v>101400</v>
      </c>
      <c r="N2032" s="1030"/>
      <c r="O2032" s="692">
        <f t="shared" si="261"/>
        <v>101400</v>
      </c>
      <c r="P2032" s="690">
        <v>160324</v>
      </c>
      <c r="Q2032" s="690"/>
      <c r="R2032" s="691">
        <f t="shared" si="262"/>
        <v>160324</v>
      </c>
      <c r="S2032" s="692">
        <f t="shared" si="263"/>
        <v>684841</v>
      </c>
      <c r="T2032" s="693">
        <f t="shared" si="264"/>
        <v>806224</v>
      </c>
      <c r="U2032" s="1035"/>
      <c r="V2032" s="690"/>
      <c r="W2032" s="1025"/>
      <c r="X2032" s="1030"/>
      <c r="Y2032" s="694">
        <f t="shared" si="265"/>
        <v>0</v>
      </c>
      <c r="Z2032" s="690"/>
      <c r="AA2032" s="690"/>
      <c r="AB2032" s="695">
        <f t="shared" si="266"/>
        <v>0</v>
      </c>
      <c r="AC2032" s="1035"/>
      <c r="AD2032" s="690"/>
      <c r="AE2032" s="1025"/>
      <c r="AF2032" s="1030"/>
      <c r="AG2032" s="690"/>
      <c r="AH2032" s="690"/>
      <c r="AI2032" s="696">
        <f t="shared" si="267"/>
        <v>684841</v>
      </c>
      <c r="AJ2032" s="697">
        <f t="shared" si="268"/>
        <v>806224</v>
      </c>
    </row>
    <row r="2033" spans="1:36" s="700" customFormat="1" ht="12.75" customHeight="1">
      <c r="A2033" s="789" t="s">
        <v>213</v>
      </c>
      <c r="B2033" s="789" t="s">
        <v>392</v>
      </c>
      <c r="C2033" s="930" t="s">
        <v>1272</v>
      </c>
      <c r="D2033" s="930"/>
      <c r="E2033" s="791">
        <v>198774</v>
      </c>
      <c r="F2033" s="792">
        <v>9</v>
      </c>
      <c r="G2033" s="1025">
        <v>16185769</v>
      </c>
      <c r="H2033" s="690">
        <v>15705461</v>
      </c>
      <c r="I2033" s="1030"/>
      <c r="J2033" s="690"/>
      <c r="K2033" s="1162">
        <v>3874661</v>
      </c>
      <c r="L2033" s="1163">
        <v>3723631</v>
      </c>
      <c r="M2033" s="1025">
        <v>3394188</v>
      </c>
      <c r="N2033" s="1030"/>
      <c r="O2033" s="692">
        <f t="shared" si="261"/>
        <v>3394188</v>
      </c>
      <c r="P2033" s="690">
        <v>4753949</v>
      </c>
      <c r="Q2033" s="690"/>
      <c r="R2033" s="691">
        <f t="shared" si="262"/>
        <v>4753949</v>
      </c>
      <c r="S2033" s="692">
        <f t="shared" si="263"/>
        <v>23454618</v>
      </c>
      <c r="T2033" s="693">
        <f t="shared" si="264"/>
        <v>24183041</v>
      </c>
      <c r="U2033" s="1035"/>
      <c r="V2033" s="690"/>
      <c r="W2033" s="1025"/>
      <c r="X2033" s="1030"/>
      <c r="Y2033" s="694">
        <f t="shared" si="265"/>
        <v>0</v>
      </c>
      <c r="Z2033" s="690"/>
      <c r="AA2033" s="690"/>
      <c r="AB2033" s="695">
        <f t="shared" si="266"/>
        <v>0</v>
      </c>
      <c r="AC2033" s="1035"/>
      <c r="AD2033" s="690"/>
      <c r="AE2033" s="1025"/>
      <c r="AF2033" s="1030"/>
      <c r="AG2033" s="690"/>
      <c r="AH2033" s="690"/>
      <c r="AI2033" s="696">
        <f t="shared" si="267"/>
        <v>23454618</v>
      </c>
      <c r="AJ2033" s="697">
        <f t="shared" si="268"/>
        <v>24183041</v>
      </c>
    </row>
    <row r="2034" spans="1:36" s="700" customFormat="1" ht="12.75" customHeight="1">
      <c r="A2034" s="789" t="s">
        <v>213</v>
      </c>
      <c r="B2034" s="789" t="s">
        <v>392</v>
      </c>
      <c r="C2034" s="793" t="s">
        <v>1248</v>
      </c>
      <c r="D2034" s="793"/>
      <c r="E2034" s="791">
        <v>198774</v>
      </c>
      <c r="F2034" s="792">
        <v>9</v>
      </c>
      <c r="G2034" s="1025"/>
      <c r="H2034" s="690"/>
      <c r="I2034" s="1030">
        <v>216311</v>
      </c>
      <c r="J2034" s="690">
        <v>208561</v>
      </c>
      <c r="K2034" s="1030"/>
      <c r="L2034" s="690"/>
      <c r="M2034" s="1025"/>
      <c r="N2034" s="1030"/>
      <c r="O2034" s="692">
        <f t="shared" si="261"/>
        <v>0</v>
      </c>
      <c r="P2034" s="690"/>
      <c r="Q2034" s="690"/>
      <c r="R2034" s="691">
        <f t="shared" si="262"/>
        <v>0</v>
      </c>
      <c r="S2034" s="692">
        <f t="shared" si="263"/>
        <v>216311</v>
      </c>
      <c r="T2034" s="693">
        <f t="shared" si="264"/>
        <v>208561</v>
      </c>
      <c r="U2034" s="1035"/>
      <c r="V2034" s="690"/>
      <c r="W2034" s="1025"/>
      <c r="X2034" s="1030"/>
      <c r="Y2034" s="694">
        <f t="shared" si="265"/>
        <v>0</v>
      </c>
      <c r="Z2034" s="690"/>
      <c r="AA2034" s="690"/>
      <c r="AB2034" s="695">
        <f t="shared" si="266"/>
        <v>0</v>
      </c>
      <c r="AC2034" s="1035"/>
      <c r="AD2034" s="690"/>
      <c r="AE2034" s="1025"/>
      <c r="AF2034" s="1030"/>
      <c r="AG2034" s="690"/>
      <c r="AH2034" s="690"/>
      <c r="AI2034" s="696">
        <f t="shared" si="267"/>
        <v>216311</v>
      </c>
      <c r="AJ2034" s="697">
        <f t="shared" si="268"/>
        <v>208561</v>
      </c>
    </row>
    <row r="2035" spans="1:36" s="700" customFormat="1" ht="12.75" customHeight="1">
      <c r="A2035" s="789" t="s">
        <v>213</v>
      </c>
      <c r="B2035" s="789" t="s">
        <v>394</v>
      </c>
      <c r="C2035" s="793" t="s">
        <v>451</v>
      </c>
      <c r="D2035" s="793"/>
      <c r="E2035" s="791">
        <v>198774</v>
      </c>
      <c r="F2035" s="792">
        <v>9</v>
      </c>
      <c r="G2035" s="1025"/>
      <c r="H2035" s="690"/>
      <c r="I2035" s="1030">
        <v>143606</v>
      </c>
      <c r="J2035" s="690">
        <v>150420</v>
      </c>
      <c r="K2035" s="1030"/>
      <c r="L2035" s="690"/>
      <c r="M2035" s="1025"/>
      <c r="N2035" s="1030"/>
      <c r="O2035" s="692">
        <f t="shared" si="261"/>
        <v>0</v>
      </c>
      <c r="P2035" s="690"/>
      <c r="Q2035" s="690"/>
      <c r="R2035" s="691">
        <f t="shared" si="262"/>
        <v>0</v>
      </c>
      <c r="S2035" s="692">
        <f t="shared" si="263"/>
        <v>143606</v>
      </c>
      <c r="T2035" s="693">
        <f t="shared" si="264"/>
        <v>150420</v>
      </c>
      <c r="U2035" s="1035"/>
      <c r="V2035" s="690"/>
      <c r="W2035" s="1025"/>
      <c r="X2035" s="1030"/>
      <c r="Y2035" s="694">
        <f t="shared" si="265"/>
        <v>0</v>
      </c>
      <c r="Z2035" s="690"/>
      <c r="AA2035" s="690"/>
      <c r="AB2035" s="695">
        <f t="shared" si="266"/>
        <v>0</v>
      </c>
      <c r="AC2035" s="1035"/>
      <c r="AD2035" s="690"/>
      <c r="AE2035" s="1025"/>
      <c r="AF2035" s="1030"/>
      <c r="AG2035" s="690"/>
      <c r="AH2035" s="690"/>
      <c r="AI2035" s="696">
        <f t="shared" si="267"/>
        <v>143606</v>
      </c>
      <c r="AJ2035" s="697">
        <f t="shared" si="268"/>
        <v>150420</v>
      </c>
    </row>
    <row r="2036" spans="1:36" s="700" customFormat="1" ht="12.75" customHeight="1">
      <c r="A2036" s="789" t="s">
        <v>213</v>
      </c>
      <c r="B2036" s="789" t="s">
        <v>403</v>
      </c>
      <c r="C2036" s="793" t="s">
        <v>386</v>
      </c>
      <c r="D2036" s="793"/>
      <c r="E2036" s="791">
        <v>198774</v>
      </c>
      <c r="F2036" s="792">
        <v>9</v>
      </c>
      <c r="G2036" s="1025"/>
      <c r="H2036" s="690"/>
      <c r="I2036" s="1030">
        <v>1130494</v>
      </c>
      <c r="J2036" s="690">
        <v>1048436</v>
      </c>
      <c r="K2036" s="1030"/>
      <c r="L2036" s="690"/>
      <c r="M2036" s="1025">
        <v>256976</v>
      </c>
      <c r="N2036" s="1030"/>
      <c r="O2036" s="692">
        <f t="shared" si="261"/>
        <v>256976</v>
      </c>
      <c r="P2036" s="690">
        <v>556353</v>
      </c>
      <c r="Q2036" s="690"/>
      <c r="R2036" s="691">
        <f t="shared" si="262"/>
        <v>556353</v>
      </c>
      <c r="S2036" s="692">
        <f t="shared" si="263"/>
        <v>1387470</v>
      </c>
      <c r="T2036" s="693">
        <f t="shared" si="264"/>
        <v>1604789</v>
      </c>
      <c r="U2036" s="1035"/>
      <c r="V2036" s="690"/>
      <c r="W2036" s="1025"/>
      <c r="X2036" s="1030"/>
      <c r="Y2036" s="694">
        <f t="shared" si="265"/>
        <v>0</v>
      </c>
      <c r="Z2036" s="690"/>
      <c r="AA2036" s="690"/>
      <c r="AB2036" s="695">
        <f t="shared" si="266"/>
        <v>0</v>
      </c>
      <c r="AC2036" s="1035"/>
      <c r="AD2036" s="690"/>
      <c r="AE2036" s="1025"/>
      <c r="AF2036" s="1030"/>
      <c r="AG2036" s="690"/>
      <c r="AH2036" s="690"/>
      <c r="AI2036" s="696">
        <f t="shared" si="267"/>
        <v>1387470</v>
      </c>
      <c r="AJ2036" s="697">
        <f t="shared" si="268"/>
        <v>1604789</v>
      </c>
    </row>
    <row r="2037" spans="1:36" s="700" customFormat="1" ht="12.75" customHeight="1">
      <c r="A2037" s="789" t="s">
        <v>213</v>
      </c>
      <c r="B2037" s="789" t="s">
        <v>392</v>
      </c>
      <c r="C2037" s="930" t="s">
        <v>1273</v>
      </c>
      <c r="D2037" s="930"/>
      <c r="E2037" s="791">
        <v>198817</v>
      </c>
      <c r="F2037" s="792">
        <v>9</v>
      </c>
      <c r="G2037" s="1025">
        <v>12446527</v>
      </c>
      <c r="H2037" s="690">
        <v>13621804</v>
      </c>
      <c r="I2037" s="1030"/>
      <c r="J2037" s="690"/>
      <c r="K2037" s="1162">
        <v>2361956</v>
      </c>
      <c r="L2037" s="1163">
        <v>2485231</v>
      </c>
      <c r="M2037" s="1025">
        <v>3045194</v>
      </c>
      <c r="N2037" s="1030"/>
      <c r="O2037" s="692">
        <f t="shared" si="261"/>
        <v>3045194</v>
      </c>
      <c r="P2037" s="690">
        <v>3934632</v>
      </c>
      <c r="Q2037" s="690"/>
      <c r="R2037" s="691">
        <f t="shared" si="262"/>
        <v>3934632</v>
      </c>
      <c r="S2037" s="692">
        <f t="shared" si="263"/>
        <v>17853677</v>
      </c>
      <c r="T2037" s="693">
        <f t="shared" si="264"/>
        <v>20041667</v>
      </c>
      <c r="U2037" s="1035"/>
      <c r="V2037" s="690"/>
      <c r="W2037" s="1025"/>
      <c r="X2037" s="1030"/>
      <c r="Y2037" s="694">
        <f t="shared" si="265"/>
        <v>0</v>
      </c>
      <c r="Z2037" s="690"/>
      <c r="AA2037" s="690"/>
      <c r="AB2037" s="695">
        <f t="shared" si="266"/>
        <v>0</v>
      </c>
      <c r="AC2037" s="1035"/>
      <c r="AD2037" s="690"/>
      <c r="AE2037" s="1025"/>
      <c r="AF2037" s="1030"/>
      <c r="AG2037" s="690"/>
      <c r="AH2037" s="690"/>
      <c r="AI2037" s="696">
        <f t="shared" si="267"/>
        <v>17853677</v>
      </c>
      <c r="AJ2037" s="697">
        <f t="shared" si="268"/>
        <v>20041667</v>
      </c>
    </row>
    <row r="2038" spans="1:36" s="700" customFormat="1" ht="12.75" customHeight="1">
      <c r="A2038" s="789" t="s">
        <v>213</v>
      </c>
      <c r="B2038" s="789" t="s">
        <v>392</v>
      </c>
      <c r="C2038" s="793" t="s">
        <v>1248</v>
      </c>
      <c r="D2038" s="793"/>
      <c r="E2038" s="791">
        <v>198817</v>
      </c>
      <c r="F2038" s="792">
        <v>9</v>
      </c>
      <c r="G2038" s="1025"/>
      <c r="H2038" s="690"/>
      <c r="I2038" s="1030">
        <v>130456</v>
      </c>
      <c r="J2038" s="690">
        <v>160617</v>
      </c>
      <c r="K2038" s="1030"/>
      <c r="L2038" s="690"/>
      <c r="M2038" s="1025"/>
      <c r="N2038" s="1030"/>
      <c r="O2038" s="692">
        <f t="shared" si="261"/>
        <v>0</v>
      </c>
      <c r="P2038" s="690"/>
      <c r="Q2038" s="690"/>
      <c r="R2038" s="691">
        <f t="shared" si="262"/>
        <v>0</v>
      </c>
      <c r="S2038" s="692">
        <f t="shared" si="263"/>
        <v>130456</v>
      </c>
      <c r="T2038" s="693">
        <f t="shared" si="264"/>
        <v>160617</v>
      </c>
      <c r="U2038" s="1035"/>
      <c r="V2038" s="690"/>
      <c r="W2038" s="1025"/>
      <c r="X2038" s="1030"/>
      <c r="Y2038" s="694">
        <f t="shared" si="265"/>
        <v>0</v>
      </c>
      <c r="Z2038" s="690"/>
      <c r="AA2038" s="690"/>
      <c r="AB2038" s="695">
        <f t="shared" si="266"/>
        <v>0</v>
      </c>
      <c r="AC2038" s="1035"/>
      <c r="AD2038" s="690"/>
      <c r="AE2038" s="1025"/>
      <c r="AF2038" s="1030"/>
      <c r="AG2038" s="690"/>
      <c r="AH2038" s="690"/>
      <c r="AI2038" s="696">
        <f t="shared" si="267"/>
        <v>130456</v>
      </c>
      <c r="AJ2038" s="697">
        <f t="shared" si="268"/>
        <v>160617</v>
      </c>
    </row>
    <row r="2039" spans="1:36" s="700" customFormat="1" ht="12.75" customHeight="1">
      <c r="A2039" s="789" t="s">
        <v>213</v>
      </c>
      <c r="B2039" s="789" t="s">
        <v>394</v>
      </c>
      <c r="C2039" s="793" t="s">
        <v>451</v>
      </c>
      <c r="D2039" s="793"/>
      <c r="E2039" s="791">
        <v>198817</v>
      </c>
      <c r="F2039" s="792">
        <v>9</v>
      </c>
      <c r="G2039" s="1025"/>
      <c r="H2039" s="690"/>
      <c r="I2039" s="1030">
        <v>141306</v>
      </c>
      <c r="J2039" s="690">
        <v>148603</v>
      </c>
      <c r="K2039" s="1030"/>
      <c r="L2039" s="690"/>
      <c r="M2039" s="1025"/>
      <c r="N2039" s="1030"/>
      <c r="O2039" s="692">
        <f t="shared" si="261"/>
        <v>0</v>
      </c>
      <c r="P2039" s="690"/>
      <c r="Q2039" s="690"/>
      <c r="R2039" s="691">
        <f t="shared" si="262"/>
        <v>0</v>
      </c>
      <c r="S2039" s="692">
        <f t="shared" si="263"/>
        <v>141306</v>
      </c>
      <c r="T2039" s="693">
        <f t="shared" si="264"/>
        <v>148603</v>
      </c>
      <c r="U2039" s="1035"/>
      <c r="V2039" s="690"/>
      <c r="W2039" s="1025"/>
      <c r="X2039" s="1030"/>
      <c r="Y2039" s="694">
        <f t="shared" si="265"/>
        <v>0</v>
      </c>
      <c r="Z2039" s="690"/>
      <c r="AA2039" s="690"/>
      <c r="AB2039" s="695">
        <f t="shared" si="266"/>
        <v>0</v>
      </c>
      <c r="AC2039" s="1035"/>
      <c r="AD2039" s="690"/>
      <c r="AE2039" s="1025"/>
      <c r="AF2039" s="1030"/>
      <c r="AG2039" s="690"/>
      <c r="AH2039" s="690"/>
      <c r="AI2039" s="696">
        <f t="shared" si="267"/>
        <v>141306</v>
      </c>
      <c r="AJ2039" s="697">
        <f t="shared" si="268"/>
        <v>148603</v>
      </c>
    </row>
    <row r="2040" spans="1:36" s="700" customFormat="1" ht="12.75" customHeight="1">
      <c r="A2040" s="789" t="s">
        <v>213</v>
      </c>
      <c r="B2040" s="789" t="s">
        <v>403</v>
      </c>
      <c r="C2040" s="793" t="s">
        <v>386</v>
      </c>
      <c r="D2040" s="793"/>
      <c r="E2040" s="791">
        <v>198817</v>
      </c>
      <c r="F2040" s="792">
        <v>9</v>
      </c>
      <c r="G2040" s="1025"/>
      <c r="H2040" s="690"/>
      <c r="I2040" s="1030">
        <v>1764976</v>
      </c>
      <c r="J2040" s="690">
        <v>1965288</v>
      </c>
      <c r="K2040" s="1030"/>
      <c r="L2040" s="690"/>
      <c r="M2040" s="1025">
        <v>203085</v>
      </c>
      <c r="N2040" s="1030"/>
      <c r="O2040" s="692">
        <f t="shared" si="261"/>
        <v>203085</v>
      </c>
      <c r="P2040" s="690">
        <v>319220</v>
      </c>
      <c r="Q2040" s="690"/>
      <c r="R2040" s="691">
        <f t="shared" si="262"/>
        <v>319220</v>
      </c>
      <c r="S2040" s="692">
        <f t="shared" si="263"/>
        <v>1968061</v>
      </c>
      <c r="T2040" s="693">
        <f t="shared" si="264"/>
        <v>2284508</v>
      </c>
      <c r="U2040" s="1035"/>
      <c r="V2040" s="690"/>
      <c r="W2040" s="1025"/>
      <c r="X2040" s="1030"/>
      <c r="Y2040" s="694">
        <f t="shared" si="265"/>
        <v>0</v>
      </c>
      <c r="Z2040" s="690"/>
      <c r="AA2040" s="690"/>
      <c r="AB2040" s="695">
        <f t="shared" si="266"/>
        <v>0</v>
      </c>
      <c r="AC2040" s="1035"/>
      <c r="AD2040" s="690"/>
      <c r="AE2040" s="1025"/>
      <c r="AF2040" s="1030"/>
      <c r="AG2040" s="690"/>
      <c r="AH2040" s="690"/>
      <c r="AI2040" s="696">
        <f t="shared" si="267"/>
        <v>1968061</v>
      </c>
      <c r="AJ2040" s="697">
        <f t="shared" si="268"/>
        <v>2284508</v>
      </c>
    </row>
    <row r="2041" spans="1:36" s="700" customFormat="1" ht="12.75" customHeight="1">
      <c r="A2041" s="789" t="s">
        <v>213</v>
      </c>
      <c r="B2041" s="789" t="s">
        <v>392</v>
      </c>
      <c r="C2041" s="1078" t="s">
        <v>1274</v>
      </c>
      <c r="D2041" s="1079" t="s">
        <v>1969</v>
      </c>
      <c r="E2041" s="791">
        <v>198914</v>
      </c>
      <c r="F2041" s="1080">
        <v>10</v>
      </c>
      <c r="G2041" s="1025">
        <v>8138480</v>
      </c>
      <c r="H2041" s="690">
        <v>7366003</v>
      </c>
      <c r="I2041" s="1030"/>
      <c r="J2041" s="690"/>
      <c r="K2041" s="1162">
        <v>778460</v>
      </c>
      <c r="L2041" s="1163">
        <v>792131</v>
      </c>
      <c r="M2041" s="1025">
        <v>897246</v>
      </c>
      <c r="N2041" s="1030"/>
      <c r="O2041" s="692">
        <f t="shared" si="261"/>
        <v>897246</v>
      </c>
      <c r="P2041" s="690">
        <v>1173285</v>
      </c>
      <c r="Q2041" s="690"/>
      <c r="R2041" s="691">
        <f t="shared" si="262"/>
        <v>1173285</v>
      </c>
      <c r="S2041" s="692">
        <f t="shared" si="263"/>
        <v>9814186</v>
      </c>
      <c r="T2041" s="693">
        <f t="shared" si="264"/>
        <v>9331419</v>
      </c>
      <c r="U2041" s="1035"/>
      <c r="V2041" s="690"/>
      <c r="W2041" s="1025"/>
      <c r="X2041" s="1030"/>
      <c r="Y2041" s="694">
        <f t="shared" si="265"/>
        <v>0</v>
      </c>
      <c r="Z2041" s="690"/>
      <c r="AA2041" s="690"/>
      <c r="AB2041" s="695">
        <f t="shared" si="266"/>
        <v>0</v>
      </c>
      <c r="AC2041" s="1035"/>
      <c r="AD2041" s="690"/>
      <c r="AE2041" s="1025"/>
      <c r="AF2041" s="1030"/>
      <c r="AG2041" s="690"/>
      <c r="AH2041" s="690"/>
      <c r="AI2041" s="696">
        <f t="shared" si="267"/>
        <v>9814186</v>
      </c>
      <c r="AJ2041" s="697">
        <f t="shared" si="268"/>
        <v>9331419</v>
      </c>
    </row>
    <row r="2042" spans="1:36" s="700" customFormat="1" ht="12.75" customHeight="1">
      <c r="A2042" s="789" t="s">
        <v>213</v>
      </c>
      <c r="B2042" s="789" t="s">
        <v>392</v>
      </c>
      <c r="C2042" s="793" t="s">
        <v>1248</v>
      </c>
      <c r="D2042" s="793"/>
      <c r="E2042" s="791">
        <v>198914</v>
      </c>
      <c r="F2042" s="1080">
        <v>10</v>
      </c>
      <c r="G2042" s="1025"/>
      <c r="H2042" s="690"/>
      <c r="I2042" s="1030">
        <v>80111</v>
      </c>
      <c r="J2042" s="690">
        <v>70408</v>
      </c>
      <c r="K2042" s="1030"/>
      <c r="L2042" s="690"/>
      <c r="M2042" s="1025"/>
      <c r="N2042" s="1030"/>
      <c r="O2042" s="692">
        <f t="shared" si="261"/>
        <v>0</v>
      </c>
      <c r="P2042" s="690"/>
      <c r="Q2042" s="690"/>
      <c r="R2042" s="691">
        <f t="shared" si="262"/>
        <v>0</v>
      </c>
      <c r="S2042" s="692">
        <f t="shared" si="263"/>
        <v>80111</v>
      </c>
      <c r="T2042" s="693">
        <f t="shared" si="264"/>
        <v>70408</v>
      </c>
      <c r="U2042" s="1035"/>
      <c r="V2042" s="690"/>
      <c r="W2042" s="1025"/>
      <c r="X2042" s="1030"/>
      <c r="Y2042" s="694">
        <f t="shared" si="265"/>
        <v>0</v>
      </c>
      <c r="Z2042" s="690"/>
      <c r="AA2042" s="690"/>
      <c r="AB2042" s="695">
        <f t="shared" si="266"/>
        <v>0</v>
      </c>
      <c r="AC2042" s="1035"/>
      <c r="AD2042" s="690"/>
      <c r="AE2042" s="1025"/>
      <c r="AF2042" s="1030"/>
      <c r="AG2042" s="690"/>
      <c r="AH2042" s="690"/>
      <c r="AI2042" s="696">
        <f t="shared" si="267"/>
        <v>80111</v>
      </c>
      <c r="AJ2042" s="697">
        <f t="shared" si="268"/>
        <v>70408</v>
      </c>
    </row>
    <row r="2043" spans="1:36" s="700" customFormat="1" ht="12.75" customHeight="1">
      <c r="A2043" s="789" t="s">
        <v>213</v>
      </c>
      <c r="B2043" s="789" t="s">
        <v>394</v>
      </c>
      <c r="C2043" s="793" t="s">
        <v>451</v>
      </c>
      <c r="D2043" s="793"/>
      <c r="E2043" s="791">
        <v>198914</v>
      </c>
      <c r="F2043" s="1080">
        <v>10</v>
      </c>
      <c r="G2043" s="1025"/>
      <c r="H2043" s="690"/>
      <c r="I2043" s="1030">
        <v>141306</v>
      </c>
      <c r="J2043" s="690">
        <v>148679</v>
      </c>
      <c r="K2043" s="1030"/>
      <c r="L2043" s="690"/>
      <c r="M2043" s="1025"/>
      <c r="N2043" s="1030"/>
      <c r="O2043" s="692">
        <f t="shared" si="261"/>
        <v>0</v>
      </c>
      <c r="P2043" s="690"/>
      <c r="Q2043" s="690"/>
      <c r="R2043" s="691">
        <f t="shared" si="262"/>
        <v>0</v>
      </c>
      <c r="S2043" s="692">
        <f t="shared" si="263"/>
        <v>141306</v>
      </c>
      <c r="T2043" s="693">
        <f t="shared" si="264"/>
        <v>148679</v>
      </c>
      <c r="U2043" s="1035"/>
      <c r="V2043" s="690"/>
      <c r="W2043" s="1025"/>
      <c r="X2043" s="1030"/>
      <c r="Y2043" s="694">
        <f t="shared" si="265"/>
        <v>0</v>
      </c>
      <c r="Z2043" s="690"/>
      <c r="AA2043" s="690"/>
      <c r="AB2043" s="695">
        <f t="shared" si="266"/>
        <v>0</v>
      </c>
      <c r="AC2043" s="1035"/>
      <c r="AD2043" s="690"/>
      <c r="AE2043" s="1025"/>
      <c r="AF2043" s="1030"/>
      <c r="AG2043" s="690"/>
      <c r="AH2043" s="690"/>
      <c r="AI2043" s="696">
        <f t="shared" si="267"/>
        <v>141306</v>
      </c>
      <c r="AJ2043" s="697">
        <f t="shared" si="268"/>
        <v>148679</v>
      </c>
    </row>
    <row r="2044" spans="1:36" s="700" customFormat="1" ht="12.75" customHeight="1">
      <c r="A2044" s="789" t="s">
        <v>213</v>
      </c>
      <c r="B2044" s="789" t="s">
        <v>403</v>
      </c>
      <c r="C2044" s="793" t="s">
        <v>386</v>
      </c>
      <c r="D2044" s="793"/>
      <c r="E2044" s="791">
        <v>198914</v>
      </c>
      <c r="F2044" s="1080">
        <v>10</v>
      </c>
      <c r="G2044" s="1025"/>
      <c r="H2044" s="690"/>
      <c r="I2044" s="1030">
        <v>968236</v>
      </c>
      <c r="J2044" s="690">
        <v>993986</v>
      </c>
      <c r="K2044" s="1030"/>
      <c r="L2044" s="690"/>
      <c r="M2044" s="1025">
        <v>90155</v>
      </c>
      <c r="N2044" s="1030"/>
      <c r="O2044" s="692">
        <f t="shared" si="261"/>
        <v>90155</v>
      </c>
      <c r="P2044" s="690">
        <v>147177</v>
      </c>
      <c r="Q2044" s="690"/>
      <c r="R2044" s="691">
        <f t="shared" si="262"/>
        <v>147177</v>
      </c>
      <c r="S2044" s="692">
        <f t="shared" si="263"/>
        <v>1058391</v>
      </c>
      <c r="T2044" s="693">
        <f t="shared" si="264"/>
        <v>1141163</v>
      </c>
      <c r="U2044" s="1035"/>
      <c r="V2044" s="690"/>
      <c r="W2044" s="1025"/>
      <c r="X2044" s="1030"/>
      <c r="Y2044" s="694">
        <f t="shared" si="265"/>
        <v>0</v>
      </c>
      <c r="Z2044" s="690"/>
      <c r="AA2044" s="690"/>
      <c r="AB2044" s="695">
        <f t="shared" si="266"/>
        <v>0</v>
      </c>
      <c r="AC2044" s="1035"/>
      <c r="AD2044" s="690"/>
      <c r="AE2044" s="1025"/>
      <c r="AF2044" s="1030"/>
      <c r="AG2044" s="690"/>
      <c r="AH2044" s="690"/>
      <c r="AI2044" s="696">
        <f t="shared" si="267"/>
        <v>1058391</v>
      </c>
      <c r="AJ2044" s="697">
        <f t="shared" si="268"/>
        <v>1141163</v>
      </c>
    </row>
    <row r="2045" spans="1:36" s="700" customFormat="1" ht="12.75" customHeight="1">
      <c r="A2045" s="789" t="s">
        <v>213</v>
      </c>
      <c r="B2045" s="789" t="s">
        <v>392</v>
      </c>
      <c r="C2045" s="930" t="s">
        <v>1275</v>
      </c>
      <c r="D2045" s="930"/>
      <c r="E2045" s="791">
        <v>198987</v>
      </c>
      <c r="F2045" s="792">
        <v>9</v>
      </c>
      <c r="G2045" s="1025">
        <v>9896981</v>
      </c>
      <c r="H2045" s="690">
        <v>11159577</v>
      </c>
      <c r="I2045" s="1030"/>
      <c r="J2045" s="690"/>
      <c r="K2045" s="1162">
        <v>2443025</v>
      </c>
      <c r="L2045" s="1163">
        <v>2430473</v>
      </c>
      <c r="M2045" s="1025">
        <v>2604241</v>
      </c>
      <c r="N2045" s="1030"/>
      <c r="O2045" s="692">
        <f t="shared" si="261"/>
        <v>2604241</v>
      </c>
      <c r="P2045" s="690">
        <v>3764722</v>
      </c>
      <c r="Q2045" s="690"/>
      <c r="R2045" s="691">
        <f t="shared" si="262"/>
        <v>3764722</v>
      </c>
      <c r="S2045" s="692">
        <f t="shared" si="263"/>
        <v>14944247</v>
      </c>
      <c r="T2045" s="693">
        <f t="shared" si="264"/>
        <v>17354772</v>
      </c>
      <c r="U2045" s="1035"/>
      <c r="V2045" s="690"/>
      <c r="W2045" s="1025"/>
      <c r="X2045" s="1030"/>
      <c r="Y2045" s="694">
        <f t="shared" si="265"/>
        <v>0</v>
      </c>
      <c r="Z2045" s="690"/>
      <c r="AA2045" s="690"/>
      <c r="AB2045" s="695">
        <f t="shared" si="266"/>
        <v>0</v>
      </c>
      <c r="AC2045" s="1035"/>
      <c r="AD2045" s="690"/>
      <c r="AE2045" s="1025"/>
      <c r="AF2045" s="1030"/>
      <c r="AG2045" s="690"/>
      <c r="AH2045" s="690"/>
      <c r="AI2045" s="696">
        <f t="shared" si="267"/>
        <v>14944247</v>
      </c>
      <c r="AJ2045" s="697">
        <f t="shared" si="268"/>
        <v>17354772</v>
      </c>
    </row>
    <row r="2046" spans="1:36" s="700" customFormat="1" ht="12.75" customHeight="1">
      <c r="A2046" s="789" t="s">
        <v>213</v>
      </c>
      <c r="B2046" s="789" t="s">
        <v>392</v>
      </c>
      <c r="C2046" s="793" t="s">
        <v>1248</v>
      </c>
      <c r="D2046" s="793"/>
      <c r="E2046" s="791">
        <v>198987</v>
      </c>
      <c r="F2046" s="792">
        <v>9</v>
      </c>
      <c r="G2046" s="1025"/>
      <c r="H2046" s="690"/>
      <c r="I2046" s="1030">
        <v>129559</v>
      </c>
      <c r="J2046" s="690">
        <v>143074</v>
      </c>
      <c r="K2046" s="1030"/>
      <c r="L2046" s="690"/>
      <c r="M2046" s="1025"/>
      <c r="N2046" s="1030"/>
      <c r="O2046" s="692">
        <f t="shared" si="261"/>
        <v>0</v>
      </c>
      <c r="P2046" s="690"/>
      <c r="Q2046" s="690"/>
      <c r="R2046" s="691">
        <f t="shared" si="262"/>
        <v>0</v>
      </c>
      <c r="S2046" s="692">
        <f t="shared" si="263"/>
        <v>129559</v>
      </c>
      <c r="T2046" s="693">
        <f t="shared" si="264"/>
        <v>143074</v>
      </c>
      <c r="U2046" s="1035"/>
      <c r="V2046" s="690"/>
      <c r="W2046" s="1025"/>
      <c r="X2046" s="1030"/>
      <c r="Y2046" s="694">
        <f t="shared" si="265"/>
        <v>0</v>
      </c>
      <c r="Z2046" s="690"/>
      <c r="AA2046" s="690"/>
      <c r="AB2046" s="695">
        <f t="shared" si="266"/>
        <v>0</v>
      </c>
      <c r="AC2046" s="1035"/>
      <c r="AD2046" s="690"/>
      <c r="AE2046" s="1025"/>
      <c r="AF2046" s="1030"/>
      <c r="AG2046" s="690"/>
      <c r="AH2046" s="690"/>
      <c r="AI2046" s="696">
        <f t="shared" si="267"/>
        <v>129559</v>
      </c>
      <c r="AJ2046" s="697">
        <f t="shared" si="268"/>
        <v>143074</v>
      </c>
    </row>
    <row r="2047" spans="1:36" s="700" customFormat="1" ht="12.75" customHeight="1">
      <c r="A2047" s="789" t="s">
        <v>213</v>
      </c>
      <c r="B2047" s="789" t="s">
        <v>394</v>
      </c>
      <c r="C2047" s="793" t="s">
        <v>451</v>
      </c>
      <c r="D2047" s="793"/>
      <c r="E2047" s="791">
        <v>198987</v>
      </c>
      <c r="F2047" s="792">
        <v>9</v>
      </c>
      <c r="G2047" s="1025"/>
      <c r="H2047" s="690"/>
      <c r="I2047" s="1030">
        <v>153806</v>
      </c>
      <c r="J2047" s="690">
        <v>160648</v>
      </c>
      <c r="K2047" s="1030"/>
      <c r="L2047" s="690"/>
      <c r="M2047" s="1025"/>
      <c r="N2047" s="1030"/>
      <c r="O2047" s="692">
        <f t="shared" si="261"/>
        <v>0</v>
      </c>
      <c r="P2047" s="690"/>
      <c r="Q2047" s="690"/>
      <c r="R2047" s="691">
        <f t="shared" si="262"/>
        <v>0</v>
      </c>
      <c r="S2047" s="692">
        <f t="shared" si="263"/>
        <v>153806</v>
      </c>
      <c r="T2047" s="693">
        <f t="shared" si="264"/>
        <v>160648</v>
      </c>
      <c r="U2047" s="1035"/>
      <c r="V2047" s="690"/>
      <c r="W2047" s="1025"/>
      <c r="X2047" s="1030"/>
      <c r="Y2047" s="694">
        <f t="shared" si="265"/>
        <v>0</v>
      </c>
      <c r="Z2047" s="690"/>
      <c r="AA2047" s="690"/>
      <c r="AB2047" s="695">
        <f t="shared" si="266"/>
        <v>0</v>
      </c>
      <c r="AC2047" s="1035"/>
      <c r="AD2047" s="690"/>
      <c r="AE2047" s="1025"/>
      <c r="AF2047" s="1030"/>
      <c r="AG2047" s="690"/>
      <c r="AH2047" s="690"/>
      <c r="AI2047" s="696">
        <f t="shared" si="267"/>
        <v>153806</v>
      </c>
      <c r="AJ2047" s="697">
        <f t="shared" si="268"/>
        <v>160648</v>
      </c>
    </row>
    <row r="2048" spans="1:36" s="700" customFormat="1" ht="12.75" customHeight="1">
      <c r="A2048" s="789" t="s">
        <v>213</v>
      </c>
      <c r="B2048" s="789" t="s">
        <v>403</v>
      </c>
      <c r="C2048" s="793" t="s">
        <v>386</v>
      </c>
      <c r="D2048" s="793"/>
      <c r="E2048" s="791">
        <v>198987</v>
      </c>
      <c r="F2048" s="792">
        <v>9</v>
      </c>
      <c r="G2048" s="1025"/>
      <c r="H2048" s="690"/>
      <c r="I2048" s="1030">
        <v>779893</v>
      </c>
      <c r="J2048" s="690">
        <v>916374</v>
      </c>
      <c r="K2048" s="1030"/>
      <c r="L2048" s="690"/>
      <c r="M2048" s="1025">
        <v>136193</v>
      </c>
      <c r="N2048" s="1030"/>
      <c r="O2048" s="692">
        <f t="shared" si="261"/>
        <v>136193</v>
      </c>
      <c r="P2048" s="690">
        <v>221825</v>
      </c>
      <c r="Q2048" s="690"/>
      <c r="R2048" s="691">
        <f t="shared" si="262"/>
        <v>221825</v>
      </c>
      <c r="S2048" s="692">
        <f t="shared" si="263"/>
        <v>916086</v>
      </c>
      <c r="T2048" s="693">
        <f t="shared" si="264"/>
        <v>1138199</v>
      </c>
      <c r="U2048" s="1035"/>
      <c r="V2048" s="690"/>
      <c r="W2048" s="1025"/>
      <c r="X2048" s="1030"/>
      <c r="Y2048" s="694">
        <f t="shared" si="265"/>
        <v>0</v>
      </c>
      <c r="Z2048" s="690"/>
      <c r="AA2048" s="690"/>
      <c r="AB2048" s="695">
        <f t="shared" si="266"/>
        <v>0</v>
      </c>
      <c r="AC2048" s="1035"/>
      <c r="AD2048" s="690"/>
      <c r="AE2048" s="1025"/>
      <c r="AF2048" s="1030"/>
      <c r="AG2048" s="690"/>
      <c r="AH2048" s="690"/>
      <c r="AI2048" s="696">
        <f t="shared" si="267"/>
        <v>916086</v>
      </c>
      <c r="AJ2048" s="697">
        <f t="shared" si="268"/>
        <v>1138199</v>
      </c>
    </row>
    <row r="2049" spans="1:36" s="700" customFormat="1" ht="12.75" customHeight="1">
      <c r="A2049" s="789" t="s">
        <v>213</v>
      </c>
      <c r="B2049" s="789" t="s">
        <v>392</v>
      </c>
      <c r="C2049" s="930" t="s">
        <v>1276</v>
      </c>
      <c r="D2049" s="930"/>
      <c r="E2049" s="791">
        <v>199087</v>
      </c>
      <c r="F2049" s="792">
        <v>9</v>
      </c>
      <c r="G2049" s="1025">
        <v>9638112</v>
      </c>
      <c r="H2049" s="690">
        <v>10001186</v>
      </c>
      <c r="I2049" s="1030"/>
      <c r="J2049" s="690"/>
      <c r="K2049" s="1162">
        <v>1675180</v>
      </c>
      <c r="L2049" s="1163">
        <v>1675180</v>
      </c>
      <c r="M2049" s="1025">
        <v>2450470</v>
      </c>
      <c r="N2049" s="1030"/>
      <c r="O2049" s="692">
        <f t="shared" si="261"/>
        <v>2450470</v>
      </c>
      <c r="P2049" s="690">
        <v>3336205</v>
      </c>
      <c r="Q2049" s="690"/>
      <c r="R2049" s="691">
        <f t="shared" si="262"/>
        <v>3336205</v>
      </c>
      <c r="S2049" s="692">
        <f t="shared" si="263"/>
        <v>13763762</v>
      </c>
      <c r="T2049" s="693">
        <f t="shared" si="264"/>
        <v>15012571</v>
      </c>
      <c r="U2049" s="1035"/>
      <c r="V2049" s="690"/>
      <c r="W2049" s="1025"/>
      <c r="X2049" s="1030"/>
      <c r="Y2049" s="694">
        <f t="shared" si="265"/>
        <v>0</v>
      </c>
      <c r="Z2049" s="690"/>
      <c r="AA2049" s="690"/>
      <c r="AB2049" s="695">
        <f t="shared" si="266"/>
        <v>0</v>
      </c>
      <c r="AC2049" s="1035"/>
      <c r="AD2049" s="690"/>
      <c r="AE2049" s="1025"/>
      <c r="AF2049" s="1030"/>
      <c r="AG2049" s="690"/>
      <c r="AH2049" s="690"/>
      <c r="AI2049" s="696">
        <f t="shared" si="267"/>
        <v>13763762</v>
      </c>
      <c r="AJ2049" s="697">
        <f t="shared" si="268"/>
        <v>15012571</v>
      </c>
    </row>
    <row r="2050" spans="1:36" s="700" customFormat="1" ht="12.75" customHeight="1">
      <c r="A2050" s="789" t="s">
        <v>213</v>
      </c>
      <c r="B2050" s="789" t="s">
        <v>392</v>
      </c>
      <c r="C2050" s="793" t="s">
        <v>1248</v>
      </c>
      <c r="D2050" s="793"/>
      <c r="E2050" s="791">
        <v>199087</v>
      </c>
      <c r="F2050" s="792">
        <v>9</v>
      </c>
      <c r="G2050" s="1025"/>
      <c r="H2050" s="690"/>
      <c r="I2050" s="1030">
        <v>114130</v>
      </c>
      <c r="J2050" s="690">
        <v>94647</v>
      </c>
      <c r="K2050" s="1030"/>
      <c r="L2050" s="690"/>
      <c r="M2050" s="1025"/>
      <c r="N2050" s="1030"/>
      <c r="O2050" s="692">
        <f t="shared" si="261"/>
        <v>0</v>
      </c>
      <c r="P2050" s="690"/>
      <c r="Q2050" s="690"/>
      <c r="R2050" s="691">
        <f t="shared" si="262"/>
        <v>0</v>
      </c>
      <c r="S2050" s="692">
        <f t="shared" si="263"/>
        <v>114130</v>
      </c>
      <c r="T2050" s="693">
        <f t="shared" si="264"/>
        <v>94647</v>
      </c>
      <c r="U2050" s="1035"/>
      <c r="V2050" s="690"/>
      <c r="W2050" s="1025"/>
      <c r="X2050" s="1030"/>
      <c r="Y2050" s="694">
        <f t="shared" si="265"/>
        <v>0</v>
      </c>
      <c r="Z2050" s="690"/>
      <c r="AA2050" s="690"/>
      <c r="AB2050" s="695">
        <f t="shared" si="266"/>
        <v>0</v>
      </c>
      <c r="AC2050" s="1035"/>
      <c r="AD2050" s="690"/>
      <c r="AE2050" s="1025"/>
      <c r="AF2050" s="1030"/>
      <c r="AG2050" s="690"/>
      <c r="AH2050" s="690"/>
      <c r="AI2050" s="696">
        <f t="shared" si="267"/>
        <v>114130</v>
      </c>
      <c r="AJ2050" s="697">
        <f t="shared" si="268"/>
        <v>94647</v>
      </c>
    </row>
    <row r="2051" spans="1:36" s="700" customFormat="1" ht="12.75" customHeight="1">
      <c r="A2051" s="789" t="s">
        <v>213</v>
      </c>
      <c r="B2051" s="789" t="s">
        <v>394</v>
      </c>
      <c r="C2051" s="793" t="s">
        <v>451</v>
      </c>
      <c r="D2051" s="793"/>
      <c r="E2051" s="791">
        <v>199087</v>
      </c>
      <c r="F2051" s="792">
        <v>9</v>
      </c>
      <c r="G2051" s="1025"/>
      <c r="H2051" s="690"/>
      <c r="I2051" s="1030">
        <v>138506</v>
      </c>
      <c r="J2051" s="690">
        <v>157689</v>
      </c>
      <c r="K2051" s="1030"/>
      <c r="L2051" s="690"/>
      <c r="M2051" s="1025"/>
      <c r="N2051" s="1030"/>
      <c r="O2051" s="692">
        <f t="shared" si="261"/>
        <v>0</v>
      </c>
      <c r="P2051" s="690"/>
      <c r="Q2051" s="690"/>
      <c r="R2051" s="691">
        <f t="shared" si="262"/>
        <v>0</v>
      </c>
      <c r="S2051" s="692">
        <f t="shared" si="263"/>
        <v>138506</v>
      </c>
      <c r="T2051" s="693">
        <f t="shared" si="264"/>
        <v>157689</v>
      </c>
      <c r="U2051" s="1035"/>
      <c r="V2051" s="690"/>
      <c r="W2051" s="1025"/>
      <c r="X2051" s="1030"/>
      <c r="Y2051" s="694">
        <f t="shared" si="265"/>
        <v>0</v>
      </c>
      <c r="Z2051" s="690"/>
      <c r="AA2051" s="690"/>
      <c r="AB2051" s="695">
        <f t="shared" si="266"/>
        <v>0</v>
      </c>
      <c r="AC2051" s="1035"/>
      <c r="AD2051" s="690"/>
      <c r="AE2051" s="1025"/>
      <c r="AF2051" s="1030"/>
      <c r="AG2051" s="690"/>
      <c r="AH2051" s="690"/>
      <c r="AI2051" s="696">
        <f t="shared" si="267"/>
        <v>138506</v>
      </c>
      <c r="AJ2051" s="697">
        <f t="shared" si="268"/>
        <v>157689</v>
      </c>
    </row>
    <row r="2052" spans="1:36" s="700" customFormat="1" ht="12.75" customHeight="1">
      <c r="A2052" s="789" t="s">
        <v>213</v>
      </c>
      <c r="B2052" s="789" t="s">
        <v>403</v>
      </c>
      <c r="C2052" s="793" t="s">
        <v>386</v>
      </c>
      <c r="D2052" s="793"/>
      <c r="E2052" s="791">
        <v>199087</v>
      </c>
      <c r="F2052" s="792">
        <v>9</v>
      </c>
      <c r="G2052" s="1025"/>
      <c r="H2052" s="690"/>
      <c r="I2052" s="1030">
        <v>935027</v>
      </c>
      <c r="J2052" s="690">
        <v>851591</v>
      </c>
      <c r="K2052" s="1030"/>
      <c r="L2052" s="690"/>
      <c r="M2052" s="1025">
        <v>120399</v>
      </c>
      <c r="N2052" s="1030"/>
      <c r="O2052" s="692">
        <f t="shared" si="261"/>
        <v>120399</v>
      </c>
      <c r="P2052" s="690">
        <v>212507</v>
      </c>
      <c r="Q2052" s="690"/>
      <c r="R2052" s="691">
        <f t="shared" si="262"/>
        <v>212507</v>
      </c>
      <c r="S2052" s="692">
        <f t="shared" si="263"/>
        <v>1055426</v>
      </c>
      <c r="T2052" s="693">
        <f t="shared" si="264"/>
        <v>1064098</v>
      </c>
      <c r="U2052" s="1035"/>
      <c r="V2052" s="690"/>
      <c r="W2052" s="1025"/>
      <c r="X2052" s="1030"/>
      <c r="Y2052" s="694">
        <f t="shared" si="265"/>
        <v>0</v>
      </c>
      <c r="Z2052" s="690"/>
      <c r="AA2052" s="690"/>
      <c r="AB2052" s="695">
        <f t="shared" si="266"/>
        <v>0</v>
      </c>
      <c r="AC2052" s="1035"/>
      <c r="AD2052" s="690"/>
      <c r="AE2052" s="1025"/>
      <c r="AF2052" s="1030"/>
      <c r="AG2052" s="690"/>
      <c r="AH2052" s="690"/>
      <c r="AI2052" s="696">
        <f t="shared" si="267"/>
        <v>1055426</v>
      </c>
      <c r="AJ2052" s="697">
        <f t="shared" si="268"/>
        <v>1064098</v>
      </c>
    </row>
    <row r="2053" spans="1:36" s="700" customFormat="1" ht="12.75" customHeight="1">
      <c r="A2053" s="789" t="s">
        <v>213</v>
      </c>
      <c r="B2053" s="789" t="s">
        <v>392</v>
      </c>
      <c r="C2053" s="1078" t="s">
        <v>1277</v>
      </c>
      <c r="D2053" s="1079" t="s">
        <v>1969</v>
      </c>
      <c r="E2053" s="791">
        <v>199324</v>
      </c>
      <c r="F2053" s="1080">
        <v>10</v>
      </c>
      <c r="G2053" s="1025">
        <v>11587101</v>
      </c>
      <c r="H2053" s="690">
        <v>10960205</v>
      </c>
      <c r="I2053" s="1030"/>
      <c r="J2053" s="690"/>
      <c r="K2053" s="1162">
        <v>1218416</v>
      </c>
      <c r="L2053" s="1163">
        <v>1216429</v>
      </c>
      <c r="M2053" s="1025">
        <v>1887667</v>
      </c>
      <c r="N2053" s="1030"/>
      <c r="O2053" s="692">
        <f t="shared" si="261"/>
        <v>1887667</v>
      </c>
      <c r="P2053" s="690">
        <v>2554538</v>
      </c>
      <c r="Q2053" s="690"/>
      <c r="R2053" s="691">
        <f t="shared" si="262"/>
        <v>2554538</v>
      </c>
      <c r="S2053" s="692">
        <f t="shared" si="263"/>
        <v>14693184</v>
      </c>
      <c r="T2053" s="693">
        <f t="shared" si="264"/>
        <v>14731172</v>
      </c>
      <c r="U2053" s="1035"/>
      <c r="V2053" s="690"/>
      <c r="W2053" s="1025"/>
      <c r="X2053" s="1030"/>
      <c r="Y2053" s="694">
        <f t="shared" si="265"/>
        <v>0</v>
      </c>
      <c r="Z2053" s="690"/>
      <c r="AA2053" s="690"/>
      <c r="AB2053" s="695">
        <f t="shared" si="266"/>
        <v>0</v>
      </c>
      <c r="AC2053" s="1035"/>
      <c r="AD2053" s="690"/>
      <c r="AE2053" s="1025"/>
      <c r="AF2053" s="1030"/>
      <c r="AG2053" s="690"/>
      <c r="AH2053" s="690"/>
      <c r="AI2053" s="696">
        <f t="shared" si="267"/>
        <v>14693184</v>
      </c>
      <c r="AJ2053" s="697">
        <f t="shared" si="268"/>
        <v>14731172</v>
      </c>
    </row>
    <row r="2054" spans="1:36" s="700" customFormat="1" ht="12.75" customHeight="1">
      <c r="A2054" s="789" t="s">
        <v>213</v>
      </c>
      <c r="B2054" s="789" t="s">
        <v>392</v>
      </c>
      <c r="C2054" s="793" t="s">
        <v>1248</v>
      </c>
      <c r="D2054" s="793"/>
      <c r="E2054" s="791">
        <v>199324</v>
      </c>
      <c r="F2054" s="1080">
        <v>10</v>
      </c>
      <c r="G2054" s="1025"/>
      <c r="H2054" s="690"/>
      <c r="I2054" s="1030">
        <v>60294</v>
      </c>
      <c r="J2054" s="690">
        <v>69666</v>
      </c>
      <c r="K2054" s="1030"/>
      <c r="L2054" s="690"/>
      <c r="M2054" s="1025"/>
      <c r="N2054" s="1030"/>
      <c r="O2054" s="692">
        <f t="shared" si="261"/>
        <v>0</v>
      </c>
      <c r="P2054" s="690"/>
      <c r="Q2054" s="690"/>
      <c r="R2054" s="691">
        <f t="shared" si="262"/>
        <v>0</v>
      </c>
      <c r="S2054" s="692">
        <f t="shared" si="263"/>
        <v>60294</v>
      </c>
      <c r="T2054" s="693">
        <f t="shared" si="264"/>
        <v>69666</v>
      </c>
      <c r="U2054" s="1035"/>
      <c r="V2054" s="690"/>
      <c r="W2054" s="1025"/>
      <c r="X2054" s="1030"/>
      <c r="Y2054" s="694">
        <f t="shared" si="265"/>
        <v>0</v>
      </c>
      <c r="Z2054" s="690"/>
      <c r="AA2054" s="690"/>
      <c r="AB2054" s="695">
        <f t="shared" si="266"/>
        <v>0</v>
      </c>
      <c r="AC2054" s="1035"/>
      <c r="AD2054" s="690"/>
      <c r="AE2054" s="1025"/>
      <c r="AF2054" s="1030"/>
      <c r="AG2054" s="690"/>
      <c r="AH2054" s="690"/>
      <c r="AI2054" s="696">
        <f t="shared" si="267"/>
        <v>60294</v>
      </c>
      <c r="AJ2054" s="697">
        <f t="shared" si="268"/>
        <v>69666</v>
      </c>
    </row>
    <row r="2055" spans="1:36" s="700" customFormat="1" ht="12.75" customHeight="1">
      <c r="A2055" s="789" t="s">
        <v>213</v>
      </c>
      <c r="B2055" s="789" t="s">
        <v>394</v>
      </c>
      <c r="C2055" s="793" t="s">
        <v>451</v>
      </c>
      <c r="D2055" s="793"/>
      <c r="E2055" s="791">
        <v>199324</v>
      </c>
      <c r="F2055" s="1080">
        <v>10</v>
      </c>
      <c r="G2055" s="1025"/>
      <c r="H2055" s="690"/>
      <c r="I2055" s="1030">
        <v>138806</v>
      </c>
      <c r="J2055" s="690">
        <v>146327</v>
      </c>
      <c r="K2055" s="1030"/>
      <c r="L2055" s="690"/>
      <c r="M2055" s="1025"/>
      <c r="N2055" s="1030"/>
      <c r="O2055" s="692">
        <f t="shared" si="261"/>
        <v>0</v>
      </c>
      <c r="P2055" s="690"/>
      <c r="Q2055" s="690"/>
      <c r="R2055" s="691">
        <f t="shared" si="262"/>
        <v>0</v>
      </c>
      <c r="S2055" s="692">
        <f t="shared" si="263"/>
        <v>138806</v>
      </c>
      <c r="T2055" s="693">
        <f t="shared" si="264"/>
        <v>146327</v>
      </c>
      <c r="U2055" s="1035"/>
      <c r="V2055" s="690"/>
      <c r="W2055" s="1025"/>
      <c r="X2055" s="1030"/>
      <c r="Y2055" s="694">
        <f t="shared" si="265"/>
        <v>0</v>
      </c>
      <c r="Z2055" s="690"/>
      <c r="AA2055" s="690"/>
      <c r="AB2055" s="695">
        <f t="shared" si="266"/>
        <v>0</v>
      </c>
      <c r="AC2055" s="1035"/>
      <c r="AD2055" s="690"/>
      <c r="AE2055" s="1025"/>
      <c r="AF2055" s="1030"/>
      <c r="AG2055" s="690"/>
      <c r="AH2055" s="690"/>
      <c r="AI2055" s="696">
        <f t="shared" si="267"/>
        <v>138806</v>
      </c>
      <c r="AJ2055" s="697">
        <f t="shared" si="268"/>
        <v>146327</v>
      </c>
    </row>
    <row r="2056" spans="1:36" s="700" customFormat="1" ht="12.75" customHeight="1">
      <c r="A2056" s="789" t="s">
        <v>213</v>
      </c>
      <c r="B2056" s="789" t="s">
        <v>403</v>
      </c>
      <c r="C2056" s="793" t="s">
        <v>386</v>
      </c>
      <c r="D2056" s="793"/>
      <c r="E2056" s="791">
        <v>199324</v>
      </c>
      <c r="F2056" s="1080">
        <v>10</v>
      </c>
      <c r="G2056" s="1025"/>
      <c r="H2056" s="690"/>
      <c r="I2056" s="1030">
        <v>719343</v>
      </c>
      <c r="J2056" s="690">
        <v>798609</v>
      </c>
      <c r="K2056" s="1030"/>
      <c r="L2056" s="690"/>
      <c r="M2056" s="1025">
        <v>125591</v>
      </c>
      <c r="N2056" s="1030"/>
      <c r="O2056" s="692">
        <f t="shared" si="261"/>
        <v>125591</v>
      </c>
      <c r="P2056" s="690">
        <v>226956</v>
      </c>
      <c r="Q2056" s="690"/>
      <c r="R2056" s="691">
        <f t="shared" si="262"/>
        <v>226956</v>
      </c>
      <c r="S2056" s="692">
        <f t="shared" si="263"/>
        <v>844934</v>
      </c>
      <c r="T2056" s="693">
        <f t="shared" si="264"/>
        <v>1025565</v>
      </c>
      <c r="U2056" s="1035"/>
      <c r="V2056" s="690"/>
      <c r="W2056" s="1025"/>
      <c r="X2056" s="1030"/>
      <c r="Y2056" s="694">
        <f t="shared" si="265"/>
        <v>0</v>
      </c>
      <c r="Z2056" s="690"/>
      <c r="AA2056" s="690"/>
      <c r="AB2056" s="695">
        <f t="shared" si="266"/>
        <v>0</v>
      </c>
      <c r="AC2056" s="1035"/>
      <c r="AD2056" s="690"/>
      <c r="AE2056" s="1025"/>
      <c r="AF2056" s="1030"/>
      <c r="AG2056" s="690"/>
      <c r="AH2056" s="690"/>
      <c r="AI2056" s="696">
        <f t="shared" si="267"/>
        <v>844934</v>
      </c>
      <c r="AJ2056" s="697">
        <f t="shared" si="268"/>
        <v>1025565</v>
      </c>
    </row>
    <row r="2057" spans="1:36" s="700" customFormat="1" ht="12.75" customHeight="1">
      <c r="A2057" s="789" t="s">
        <v>213</v>
      </c>
      <c r="B2057" s="789" t="s">
        <v>392</v>
      </c>
      <c r="C2057" s="930" t="s">
        <v>1278</v>
      </c>
      <c r="D2057" s="930"/>
      <c r="E2057" s="791">
        <v>199421</v>
      </c>
      <c r="F2057" s="792">
        <v>9</v>
      </c>
      <c r="G2057" s="1025">
        <v>9324008</v>
      </c>
      <c r="H2057" s="690">
        <v>10351636</v>
      </c>
      <c r="I2057" s="1030"/>
      <c r="J2057" s="690"/>
      <c r="K2057" s="1162">
        <v>2315000</v>
      </c>
      <c r="L2057" s="1163">
        <v>2308000</v>
      </c>
      <c r="M2057" s="1025">
        <v>2447519</v>
      </c>
      <c r="N2057" s="1030"/>
      <c r="O2057" s="692">
        <f t="shared" si="261"/>
        <v>2447519</v>
      </c>
      <c r="P2057" s="690">
        <v>3426687</v>
      </c>
      <c r="Q2057" s="690"/>
      <c r="R2057" s="691">
        <f t="shared" si="262"/>
        <v>3426687</v>
      </c>
      <c r="S2057" s="692">
        <f t="shared" si="263"/>
        <v>14086527</v>
      </c>
      <c r="T2057" s="693">
        <f t="shared" si="264"/>
        <v>16086323</v>
      </c>
      <c r="U2057" s="1035"/>
      <c r="V2057" s="690"/>
      <c r="W2057" s="1025"/>
      <c r="X2057" s="1030"/>
      <c r="Y2057" s="694">
        <f t="shared" si="265"/>
        <v>0</v>
      </c>
      <c r="Z2057" s="690"/>
      <c r="AA2057" s="690"/>
      <c r="AB2057" s="695">
        <f t="shared" si="266"/>
        <v>0</v>
      </c>
      <c r="AC2057" s="1035"/>
      <c r="AD2057" s="690"/>
      <c r="AE2057" s="1025"/>
      <c r="AF2057" s="1030"/>
      <c r="AG2057" s="690"/>
      <c r="AH2057" s="690"/>
      <c r="AI2057" s="696">
        <f t="shared" si="267"/>
        <v>14086527</v>
      </c>
      <c r="AJ2057" s="697">
        <f t="shared" si="268"/>
        <v>16086323</v>
      </c>
    </row>
    <row r="2058" spans="1:36" s="700" customFormat="1" ht="12.75" customHeight="1">
      <c r="A2058" s="789" t="s">
        <v>213</v>
      </c>
      <c r="B2058" s="789" t="s">
        <v>392</v>
      </c>
      <c r="C2058" s="793" t="s">
        <v>1248</v>
      </c>
      <c r="D2058" s="793"/>
      <c r="E2058" s="791">
        <v>199421</v>
      </c>
      <c r="F2058" s="792">
        <v>9</v>
      </c>
      <c r="G2058" s="1025"/>
      <c r="H2058" s="690"/>
      <c r="I2058" s="1030">
        <v>62896</v>
      </c>
      <c r="J2058" s="690">
        <v>49814</v>
      </c>
      <c r="K2058" s="1030"/>
      <c r="L2058" s="690"/>
      <c r="M2058" s="1025"/>
      <c r="N2058" s="1030"/>
      <c r="O2058" s="692">
        <f t="shared" ref="O2058:O2121" si="269">SUM(M2058:N2058)</f>
        <v>0</v>
      </c>
      <c r="P2058" s="690"/>
      <c r="Q2058" s="690"/>
      <c r="R2058" s="691">
        <f t="shared" ref="R2058:R2121" si="270">SUM(P2058:Q2058)</f>
        <v>0</v>
      </c>
      <c r="S2058" s="692">
        <f t="shared" ref="S2058:S2121" si="271">SUM(G2058,I2058,K2058,M2058)</f>
        <v>62896</v>
      </c>
      <c r="T2058" s="693">
        <f t="shared" ref="T2058:T2121" si="272">SUM(H2058,J2058,L2058,P2058)</f>
        <v>49814</v>
      </c>
      <c r="U2058" s="1035"/>
      <c r="V2058" s="690"/>
      <c r="W2058" s="1025"/>
      <c r="X2058" s="1030"/>
      <c r="Y2058" s="694">
        <f t="shared" ref="Y2058:Y2121" si="273">SUM(W2058:X2058)</f>
        <v>0</v>
      </c>
      <c r="Z2058" s="690"/>
      <c r="AA2058" s="690"/>
      <c r="AB2058" s="695">
        <f t="shared" ref="AB2058:AB2121" si="274">SUM(Z2058:AA2058)</f>
        <v>0</v>
      </c>
      <c r="AC2058" s="1035"/>
      <c r="AD2058" s="690"/>
      <c r="AE2058" s="1025"/>
      <c r="AF2058" s="1030"/>
      <c r="AG2058" s="690"/>
      <c r="AH2058" s="690"/>
      <c r="AI2058" s="696">
        <f t="shared" ref="AI2058:AI2121" si="275">SUM(S2058,U2058,W2058,AC2058,AE2058)</f>
        <v>62896</v>
      </c>
      <c r="AJ2058" s="697">
        <f t="shared" ref="AJ2058:AJ2121" si="276">SUM(T2058,V2058,Z2058,AD2058,AG2058)</f>
        <v>49814</v>
      </c>
    </row>
    <row r="2059" spans="1:36" s="700" customFormat="1" ht="12.75" customHeight="1">
      <c r="A2059" s="789" t="s">
        <v>213</v>
      </c>
      <c r="B2059" s="789" t="s">
        <v>394</v>
      </c>
      <c r="C2059" s="793" t="s">
        <v>451</v>
      </c>
      <c r="D2059" s="793"/>
      <c r="E2059" s="791">
        <v>199421</v>
      </c>
      <c r="F2059" s="792">
        <v>9</v>
      </c>
      <c r="G2059" s="1025"/>
      <c r="H2059" s="690"/>
      <c r="I2059" s="1030">
        <v>157506</v>
      </c>
      <c r="J2059" s="690">
        <v>167173</v>
      </c>
      <c r="K2059" s="1030"/>
      <c r="L2059" s="690"/>
      <c r="M2059" s="1025"/>
      <c r="N2059" s="1030"/>
      <c r="O2059" s="692">
        <f t="shared" si="269"/>
        <v>0</v>
      </c>
      <c r="P2059" s="690"/>
      <c r="Q2059" s="690"/>
      <c r="R2059" s="691">
        <f t="shared" si="270"/>
        <v>0</v>
      </c>
      <c r="S2059" s="692">
        <f t="shared" si="271"/>
        <v>157506</v>
      </c>
      <c r="T2059" s="693">
        <f t="shared" si="272"/>
        <v>167173</v>
      </c>
      <c r="U2059" s="1035"/>
      <c r="V2059" s="690"/>
      <c r="W2059" s="1025"/>
      <c r="X2059" s="1030"/>
      <c r="Y2059" s="694">
        <f t="shared" si="273"/>
        <v>0</v>
      </c>
      <c r="Z2059" s="690"/>
      <c r="AA2059" s="690"/>
      <c r="AB2059" s="695">
        <f t="shared" si="274"/>
        <v>0</v>
      </c>
      <c r="AC2059" s="1035"/>
      <c r="AD2059" s="690"/>
      <c r="AE2059" s="1025"/>
      <c r="AF2059" s="1030"/>
      <c r="AG2059" s="690"/>
      <c r="AH2059" s="690"/>
      <c r="AI2059" s="696">
        <f t="shared" si="275"/>
        <v>157506</v>
      </c>
      <c r="AJ2059" s="697">
        <f t="shared" si="276"/>
        <v>167173</v>
      </c>
    </row>
    <row r="2060" spans="1:36" s="700" customFormat="1" ht="12.75" customHeight="1">
      <c r="A2060" s="789" t="s">
        <v>213</v>
      </c>
      <c r="B2060" s="789" t="s">
        <v>403</v>
      </c>
      <c r="C2060" s="793" t="s">
        <v>386</v>
      </c>
      <c r="D2060" s="793"/>
      <c r="E2060" s="791">
        <v>199421</v>
      </c>
      <c r="F2060" s="792">
        <v>9</v>
      </c>
      <c r="G2060" s="1025"/>
      <c r="H2060" s="690"/>
      <c r="I2060" s="1030">
        <v>891893</v>
      </c>
      <c r="J2060" s="690">
        <v>896076</v>
      </c>
      <c r="K2060" s="1030"/>
      <c r="L2060" s="690"/>
      <c r="M2060" s="1025">
        <v>213933</v>
      </c>
      <c r="N2060" s="1030"/>
      <c r="O2060" s="692">
        <f t="shared" si="269"/>
        <v>213933</v>
      </c>
      <c r="P2060" s="690">
        <v>360685</v>
      </c>
      <c r="Q2060" s="690"/>
      <c r="R2060" s="691">
        <f t="shared" si="270"/>
        <v>360685</v>
      </c>
      <c r="S2060" s="692">
        <f t="shared" si="271"/>
        <v>1105826</v>
      </c>
      <c r="T2060" s="693">
        <f t="shared" si="272"/>
        <v>1256761</v>
      </c>
      <c r="U2060" s="1035"/>
      <c r="V2060" s="690"/>
      <c r="W2060" s="1025"/>
      <c r="X2060" s="1030"/>
      <c r="Y2060" s="694">
        <f t="shared" si="273"/>
        <v>0</v>
      </c>
      <c r="Z2060" s="690"/>
      <c r="AA2060" s="690"/>
      <c r="AB2060" s="695">
        <f t="shared" si="274"/>
        <v>0</v>
      </c>
      <c r="AC2060" s="1035"/>
      <c r="AD2060" s="690"/>
      <c r="AE2060" s="1025"/>
      <c r="AF2060" s="1030"/>
      <c r="AG2060" s="690"/>
      <c r="AH2060" s="690"/>
      <c r="AI2060" s="696">
        <f t="shared" si="275"/>
        <v>1105826</v>
      </c>
      <c r="AJ2060" s="697">
        <f t="shared" si="276"/>
        <v>1256761</v>
      </c>
    </row>
    <row r="2061" spans="1:36" s="700" customFormat="1" ht="12.75" customHeight="1">
      <c r="A2061" s="789" t="s">
        <v>213</v>
      </c>
      <c r="B2061" s="789" t="s">
        <v>392</v>
      </c>
      <c r="C2061" s="1078" t="s">
        <v>1279</v>
      </c>
      <c r="D2061" s="1079" t="s">
        <v>1969</v>
      </c>
      <c r="E2061" s="791">
        <v>199449</v>
      </c>
      <c r="F2061" s="1080">
        <v>10</v>
      </c>
      <c r="G2061" s="1025">
        <v>8628222</v>
      </c>
      <c r="H2061" s="690">
        <v>8452422</v>
      </c>
      <c r="I2061" s="1030"/>
      <c r="J2061" s="690"/>
      <c r="K2061" s="1162">
        <v>1172645</v>
      </c>
      <c r="L2061" s="1163">
        <v>1172645</v>
      </c>
      <c r="M2061" s="1025">
        <v>1624070</v>
      </c>
      <c r="N2061" s="1030"/>
      <c r="O2061" s="692">
        <f t="shared" si="269"/>
        <v>1624070</v>
      </c>
      <c r="P2061" s="690">
        <v>2338662</v>
      </c>
      <c r="Q2061" s="690"/>
      <c r="R2061" s="691">
        <f t="shared" si="270"/>
        <v>2338662</v>
      </c>
      <c r="S2061" s="692">
        <f t="shared" si="271"/>
        <v>11424937</v>
      </c>
      <c r="T2061" s="693">
        <f t="shared" si="272"/>
        <v>11963729</v>
      </c>
      <c r="U2061" s="1035"/>
      <c r="V2061" s="690"/>
      <c r="W2061" s="1025"/>
      <c r="X2061" s="1030"/>
      <c r="Y2061" s="694">
        <f t="shared" si="273"/>
        <v>0</v>
      </c>
      <c r="Z2061" s="690"/>
      <c r="AA2061" s="690"/>
      <c r="AB2061" s="695">
        <f t="shared" si="274"/>
        <v>0</v>
      </c>
      <c r="AC2061" s="1035"/>
      <c r="AD2061" s="690"/>
      <c r="AE2061" s="1025"/>
      <c r="AF2061" s="1030"/>
      <c r="AG2061" s="690"/>
      <c r="AH2061" s="690"/>
      <c r="AI2061" s="696">
        <f t="shared" si="275"/>
        <v>11424937</v>
      </c>
      <c r="AJ2061" s="697">
        <f t="shared" si="276"/>
        <v>11963729</v>
      </c>
    </row>
    <row r="2062" spans="1:36" s="700" customFormat="1" ht="12.75" customHeight="1">
      <c r="A2062" s="789" t="s">
        <v>213</v>
      </c>
      <c r="B2062" s="789" t="s">
        <v>392</v>
      </c>
      <c r="C2062" s="793" t="s">
        <v>1248</v>
      </c>
      <c r="D2062" s="793"/>
      <c r="E2062" s="791">
        <v>199449</v>
      </c>
      <c r="F2062" s="1080">
        <v>10</v>
      </c>
      <c r="G2062" s="1025"/>
      <c r="H2062" s="690"/>
      <c r="I2062" s="1030">
        <v>167171</v>
      </c>
      <c r="J2062" s="690">
        <v>159930</v>
      </c>
      <c r="K2062" s="1030"/>
      <c r="L2062" s="690"/>
      <c r="M2062" s="1025"/>
      <c r="N2062" s="1030"/>
      <c r="O2062" s="692">
        <f t="shared" si="269"/>
        <v>0</v>
      </c>
      <c r="P2062" s="690"/>
      <c r="Q2062" s="690"/>
      <c r="R2062" s="691">
        <f t="shared" si="270"/>
        <v>0</v>
      </c>
      <c r="S2062" s="692">
        <f t="shared" si="271"/>
        <v>167171</v>
      </c>
      <c r="T2062" s="693">
        <f t="shared" si="272"/>
        <v>159930</v>
      </c>
      <c r="U2062" s="1035"/>
      <c r="V2062" s="690"/>
      <c r="W2062" s="1025"/>
      <c r="X2062" s="1030"/>
      <c r="Y2062" s="694">
        <f t="shared" si="273"/>
        <v>0</v>
      </c>
      <c r="Z2062" s="690"/>
      <c r="AA2062" s="690"/>
      <c r="AB2062" s="695">
        <f t="shared" si="274"/>
        <v>0</v>
      </c>
      <c r="AC2062" s="1035"/>
      <c r="AD2062" s="690"/>
      <c r="AE2062" s="1025"/>
      <c r="AF2062" s="1030"/>
      <c r="AG2062" s="690"/>
      <c r="AH2062" s="690"/>
      <c r="AI2062" s="696">
        <f t="shared" si="275"/>
        <v>167171</v>
      </c>
      <c r="AJ2062" s="697">
        <f t="shared" si="276"/>
        <v>159930</v>
      </c>
    </row>
    <row r="2063" spans="1:36" s="700" customFormat="1" ht="12.75" customHeight="1">
      <c r="A2063" s="789" t="s">
        <v>213</v>
      </c>
      <c r="B2063" s="789" t="s">
        <v>394</v>
      </c>
      <c r="C2063" s="793" t="s">
        <v>451</v>
      </c>
      <c r="D2063" s="793"/>
      <c r="E2063" s="791">
        <v>199449</v>
      </c>
      <c r="F2063" s="1080">
        <v>10</v>
      </c>
      <c r="G2063" s="1025"/>
      <c r="H2063" s="690"/>
      <c r="I2063" s="1030">
        <v>137406</v>
      </c>
      <c r="J2063" s="690">
        <v>149434</v>
      </c>
      <c r="K2063" s="1030"/>
      <c r="L2063" s="690"/>
      <c r="M2063" s="1025"/>
      <c r="N2063" s="1030"/>
      <c r="O2063" s="692">
        <f t="shared" si="269"/>
        <v>0</v>
      </c>
      <c r="P2063" s="690"/>
      <c r="Q2063" s="690"/>
      <c r="R2063" s="691">
        <f t="shared" si="270"/>
        <v>0</v>
      </c>
      <c r="S2063" s="692">
        <f t="shared" si="271"/>
        <v>137406</v>
      </c>
      <c r="T2063" s="693">
        <f t="shared" si="272"/>
        <v>149434</v>
      </c>
      <c r="U2063" s="1035"/>
      <c r="V2063" s="690"/>
      <c r="W2063" s="1025"/>
      <c r="X2063" s="1030"/>
      <c r="Y2063" s="694">
        <f t="shared" si="273"/>
        <v>0</v>
      </c>
      <c r="Z2063" s="690"/>
      <c r="AA2063" s="690"/>
      <c r="AB2063" s="695">
        <f t="shared" si="274"/>
        <v>0</v>
      </c>
      <c r="AC2063" s="1035"/>
      <c r="AD2063" s="690"/>
      <c r="AE2063" s="1025"/>
      <c r="AF2063" s="1030"/>
      <c r="AG2063" s="690"/>
      <c r="AH2063" s="690"/>
      <c r="AI2063" s="696">
        <f t="shared" si="275"/>
        <v>137406</v>
      </c>
      <c r="AJ2063" s="697">
        <f t="shared" si="276"/>
        <v>149434</v>
      </c>
    </row>
    <row r="2064" spans="1:36" s="700" customFormat="1" ht="12.75" customHeight="1">
      <c r="A2064" s="789" t="s">
        <v>213</v>
      </c>
      <c r="B2064" s="789" t="s">
        <v>403</v>
      </c>
      <c r="C2064" s="793" t="s">
        <v>386</v>
      </c>
      <c r="D2064" s="793"/>
      <c r="E2064" s="791">
        <v>199449</v>
      </c>
      <c r="F2064" s="1080">
        <v>10</v>
      </c>
      <c r="G2064" s="1025"/>
      <c r="H2064" s="690"/>
      <c r="I2064" s="1030">
        <v>740394</v>
      </c>
      <c r="J2064" s="690">
        <v>744277</v>
      </c>
      <c r="K2064" s="1030"/>
      <c r="L2064" s="690"/>
      <c r="M2064" s="1025">
        <v>60070</v>
      </c>
      <c r="N2064" s="1030"/>
      <c r="O2064" s="692">
        <f t="shared" si="269"/>
        <v>60070</v>
      </c>
      <c r="P2064" s="690">
        <v>103444</v>
      </c>
      <c r="Q2064" s="690"/>
      <c r="R2064" s="691">
        <f t="shared" si="270"/>
        <v>103444</v>
      </c>
      <c r="S2064" s="692">
        <f t="shared" si="271"/>
        <v>800464</v>
      </c>
      <c r="T2064" s="693">
        <f t="shared" si="272"/>
        <v>847721</v>
      </c>
      <c r="U2064" s="1035"/>
      <c r="V2064" s="690"/>
      <c r="W2064" s="1025"/>
      <c r="X2064" s="1030"/>
      <c r="Y2064" s="694">
        <f t="shared" si="273"/>
        <v>0</v>
      </c>
      <c r="Z2064" s="690"/>
      <c r="AA2064" s="690"/>
      <c r="AB2064" s="695">
        <f t="shared" si="274"/>
        <v>0</v>
      </c>
      <c r="AC2064" s="1035"/>
      <c r="AD2064" s="690"/>
      <c r="AE2064" s="1025"/>
      <c r="AF2064" s="1030"/>
      <c r="AG2064" s="690"/>
      <c r="AH2064" s="690"/>
      <c r="AI2064" s="696">
        <f t="shared" si="275"/>
        <v>800464</v>
      </c>
      <c r="AJ2064" s="697">
        <f t="shared" si="276"/>
        <v>847721</v>
      </c>
    </row>
    <row r="2065" spans="1:36" s="700" customFormat="1" ht="12.75" customHeight="1">
      <c r="A2065" s="789" t="s">
        <v>213</v>
      </c>
      <c r="B2065" s="789" t="s">
        <v>392</v>
      </c>
      <c r="C2065" s="930" t="s">
        <v>1280</v>
      </c>
      <c r="D2065" s="930"/>
      <c r="E2065" s="791">
        <v>199476</v>
      </c>
      <c r="F2065" s="792">
        <v>9</v>
      </c>
      <c r="G2065" s="1025">
        <v>13883352</v>
      </c>
      <c r="H2065" s="690">
        <v>13899252</v>
      </c>
      <c r="I2065" s="1030"/>
      <c r="J2065" s="690"/>
      <c r="K2065" s="1162">
        <v>1900000</v>
      </c>
      <c r="L2065" s="1163">
        <v>1900000</v>
      </c>
      <c r="M2065" s="1025">
        <v>2566330</v>
      </c>
      <c r="N2065" s="1030"/>
      <c r="O2065" s="692">
        <f t="shared" si="269"/>
        <v>2566330</v>
      </c>
      <c r="P2065" s="690">
        <v>3144069</v>
      </c>
      <c r="Q2065" s="690"/>
      <c r="R2065" s="691">
        <f t="shared" si="270"/>
        <v>3144069</v>
      </c>
      <c r="S2065" s="692">
        <f t="shared" si="271"/>
        <v>18349682</v>
      </c>
      <c r="T2065" s="693">
        <f t="shared" si="272"/>
        <v>18943321</v>
      </c>
      <c r="U2065" s="1035"/>
      <c r="V2065" s="690"/>
      <c r="W2065" s="1025"/>
      <c r="X2065" s="1030"/>
      <c r="Y2065" s="694">
        <f t="shared" si="273"/>
        <v>0</v>
      </c>
      <c r="Z2065" s="690"/>
      <c r="AA2065" s="690"/>
      <c r="AB2065" s="695">
        <f t="shared" si="274"/>
        <v>0</v>
      </c>
      <c r="AC2065" s="1035"/>
      <c r="AD2065" s="690"/>
      <c r="AE2065" s="1025"/>
      <c r="AF2065" s="1030"/>
      <c r="AG2065" s="690"/>
      <c r="AH2065" s="690"/>
      <c r="AI2065" s="696">
        <f t="shared" si="275"/>
        <v>18349682</v>
      </c>
      <c r="AJ2065" s="697">
        <f t="shared" si="276"/>
        <v>18943321</v>
      </c>
    </row>
    <row r="2066" spans="1:36" s="700" customFormat="1" ht="12.75" customHeight="1">
      <c r="A2066" s="789" t="s">
        <v>213</v>
      </c>
      <c r="B2066" s="789" t="s">
        <v>392</v>
      </c>
      <c r="C2066" s="793" t="s">
        <v>1248</v>
      </c>
      <c r="D2066" s="793"/>
      <c r="E2066" s="791">
        <v>199476</v>
      </c>
      <c r="F2066" s="792">
        <v>9</v>
      </c>
      <c r="G2066" s="1025"/>
      <c r="H2066" s="690"/>
      <c r="I2066" s="1030">
        <v>93779</v>
      </c>
      <c r="J2066" s="690">
        <v>77253</v>
      </c>
      <c r="K2066" s="1030"/>
      <c r="L2066" s="690"/>
      <c r="M2066" s="1025"/>
      <c r="N2066" s="1030"/>
      <c r="O2066" s="692">
        <f t="shared" si="269"/>
        <v>0</v>
      </c>
      <c r="P2066" s="690"/>
      <c r="Q2066" s="690"/>
      <c r="R2066" s="691">
        <f t="shared" si="270"/>
        <v>0</v>
      </c>
      <c r="S2066" s="692">
        <f t="shared" si="271"/>
        <v>93779</v>
      </c>
      <c r="T2066" s="693">
        <f t="shared" si="272"/>
        <v>77253</v>
      </c>
      <c r="U2066" s="1035"/>
      <c r="V2066" s="690"/>
      <c r="W2066" s="1025"/>
      <c r="X2066" s="1030"/>
      <c r="Y2066" s="694">
        <f t="shared" si="273"/>
        <v>0</v>
      </c>
      <c r="Z2066" s="690"/>
      <c r="AA2066" s="690"/>
      <c r="AB2066" s="695">
        <f t="shared" si="274"/>
        <v>0</v>
      </c>
      <c r="AC2066" s="1035"/>
      <c r="AD2066" s="690"/>
      <c r="AE2066" s="1025"/>
      <c r="AF2066" s="1030"/>
      <c r="AG2066" s="690"/>
      <c r="AH2066" s="690"/>
      <c r="AI2066" s="696">
        <f t="shared" si="275"/>
        <v>93779</v>
      </c>
      <c r="AJ2066" s="697">
        <f t="shared" si="276"/>
        <v>77253</v>
      </c>
    </row>
    <row r="2067" spans="1:36" s="700" customFormat="1" ht="12.75" customHeight="1">
      <c r="A2067" s="789" t="s">
        <v>213</v>
      </c>
      <c r="B2067" s="789" t="s">
        <v>394</v>
      </c>
      <c r="C2067" s="793" t="s">
        <v>451</v>
      </c>
      <c r="D2067" s="793"/>
      <c r="E2067" s="791">
        <v>199476</v>
      </c>
      <c r="F2067" s="792">
        <v>9</v>
      </c>
      <c r="G2067" s="1025"/>
      <c r="H2067" s="690"/>
      <c r="I2067" s="1030">
        <v>143306</v>
      </c>
      <c r="J2067" s="690">
        <v>152165</v>
      </c>
      <c r="K2067" s="1030"/>
      <c r="L2067" s="690"/>
      <c r="M2067" s="1025"/>
      <c r="N2067" s="1030"/>
      <c r="O2067" s="692">
        <f t="shared" si="269"/>
        <v>0</v>
      </c>
      <c r="P2067" s="690"/>
      <c r="Q2067" s="690"/>
      <c r="R2067" s="691">
        <f t="shared" si="270"/>
        <v>0</v>
      </c>
      <c r="S2067" s="692">
        <f t="shared" si="271"/>
        <v>143306</v>
      </c>
      <c r="T2067" s="693">
        <f t="shared" si="272"/>
        <v>152165</v>
      </c>
      <c r="U2067" s="1035"/>
      <c r="V2067" s="690"/>
      <c r="W2067" s="1025"/>
      <c r="X2067" s="1030"/>
      <c r="Y2067" s="694">
        <f t="shared" si="273"/>
        <v>0</v>
      </c>
      <c r="Z2067" s="690"/>
      <c r="AA2067" s="690"/>
      <c r="AB2067" s="695">
        <f t="shared" si="274"/>
        <v>0</v>
      </c>
      <c r="AC2067" s="1035"/>
      <c r="AD2067" s="690"/>
      <c r="AE2067" s="1025"/>
      <c r="AF2067" s="1030"/>
      <c r="AG2067" s="690"/>
      <c r="AH2067" s="690"/>
      <c r="AI2067" s="696">
        <f t="shared" si="275"/>
        <v>143306</v>
      </c>
      <c r="AJ2067" s="697">
        <f t="shared" si="276"/>
        <v>152165</v>
      </c>
    </row>
    <row r="2068" spans="1:36" s="700" customFormat="1" ht="12.75" customHeight="1">
      <c r="A2068" s="789" t="s">
        <v>213</v>
      </c>
      <c r="B2068" s="789" t="s">
        <v>403</v>
      </c>
      <c r="C2068" s="793" t="s">
        <v>386</v>
      </c>
      <c r="D2068" s="793"/>
      <c r="E2068" s="791">
        <v>199476</v>
      </c>
      <c r="F2068" s="792">
        <v>9</v>
      </c>
      <c r="G2068" s="1025"/>
      <c r="H2068" s="690"/>
      <c r="I2068" s="1030">
        <v>1633760</v>
      </c>
      <c r="J2068" s="690">
        <v>1463676</v>
      </c>
      <c r="K2068" s="1030"/>
      <c r="L2068" s="690"/>
      <c r="M2068" s="1025">
        <v>131091</v>
      </c>
      <c r="N2068" s="1030"/>
      <c r="O2068" s="692">
        <f t="shared" si="269"/>
        <v>131091</v>
      </c>
      <c r="P2068" s="690">
        <v>211585</v>
      </c>
      <c r="Q2068" s="690"/>
      <c r="R2068" s="691">
        <f t="shared" si="270"/>
        <v>211585</v>
      </c>
      <c r="S2068" s="692">
        <f t="shared" si="271"/>
        <v>1764851</v>
      </c>
      <c r="T2068" s="693">
        <f t="shared" si="272"/>
        <v>1675261</v>
      </c>
      <c r="U2068" s="1035"/>
      <c r="V2068" s="690"/>
      <c r="W2068" s="1025"/>
      <c r="X2068" s="1030"/>
      <c r="Y2068" s="694">
        <f t="shared" si="273"/>
        <v>0</v>
      </c>
      <c r="Z2068" s="690"/>
      <c r="AA2068" s="690"/>
      <c r="AB2068" s="695">
        <f t="shared" si="274"/>
        <v>0</v>
      </c>
      <c r="AC2068" s="1035"/>
      <c r="AD2068" s="690"/>
      <c r="AE2068" s="1025"/>
      <c r="AF2068" s="1030"/>
      <c r="AG2068" s="690"/>
      <c r="AH2068" s="690"/>
      <c r="AI2068" s="696">
        <f t="shared" si="275"/>
        <v>1764851</v>
      </c>
      <c r="AJ2068" s="697">
        <f t="shared" si="276"/>
        <v>1675261</v>
      </c>
    </row>
    <row r="2069" spans="1:36" s="700" customFormat="1" ht="12.75" customHeight="1">
      <c r="A2069" s="789" t="s">
        <v>213</v>
      </c>
      <c r="B2069" s="789" t="s">
        <v>392</v>
      </c>
      <c r="C2069" s="1078" t="s">
        <v>1281</v>
      </c>
      <c r="D2069" s="1079" t="s">
        <v>1969</v>
      </c>
      <c r="E2069" s="791">
        <v>199485</v>
      </c>
      <c r="F2069" s="1080">
        <v>10</v>
      </c>
      <c r="G2069" s="1025">
        <v>7651927</v>
      </c>
      <c r="H2069" s="690">
        <v>8417369</v>
      </c>
      <c r="I2069" s="1030"/>
      <c r="J2069" s="690"/>
      <c r="K2069" s="1162">
        <v>2244378</v>
      </c>
      <c r="L2069" s="1163">
        <v>2359880</v>
      </c>
      <c r="M2069" s="1025">
        <v>2335609</v>
      </c>
      <c r="N2069" s="1030"/>
      <c r="O2069" s="692">
        <f t="shared" si="269"/>
        <v>2335609</v>
      </c>
      <c r="P2069" s="690">
        <v>3083740</v>
      </c>
      <c r="Q2069" s="690"/>
      <c r="R2069" s="691">
        <f t="shared" si="270"/>
        <v>3083740</v>
      </c>
      <c r="S2069" s="692">
        <f t="shared" si="271"/>
        <v>12231914</v>
      </c>
      <c r="T2069" s="693">
        <f t="shared" si="272"/>
        <v>13860989</v>
      </c>
      <c r="U2069" s="1035"/>
      <c r="V2069" s="690"/>
      <c r="W2069" s="1025"/>
      <c r="X2069" s="1030"/>
      <c r="Y2069" s="694">
        <f t="shared" si="273"/>
        <v>0</v>
      </c>
      <c r="Z2069" s="690"/>
      <c r="AA2069" s="690"/>
      <c r="AB2069" s="695">
        <f t="shared" si="274"/>
        <v>0</v>
      </c>
      <c r="AC2069" s="1035"/>
      <c r="AD2069" s="690"/>
      <c r="AE2069" s="1025"/>
      <c r="AF2069" s="1030"/>
      <c r="AG2069" s="690"/>
      <c r="AH2069" s="690"/>
      <c r="AI2069" s="696">
        <f t="shared" si="275"/>
        <v>12231914</v>
      </c>
      <c r="AJ2069" s="697">
        <f t="shared" si="276"/>
        <v>13860989</v>
      </c>
    </row>
    <row r="2070" spans="1:36" s="700" customFormat="1" ht="12.75" customHeight="1">
      <c r="A2070" s="789" t="s">
        <v>213</v>
      </c>
      <c r="B2070" s="789" t="s">
        <v>392</v>
      </c>
      <c r="C2070" s="793" t="s">
        <v>1248</v>
      </c>
      <c r="D2070" s="793"/>
      <c r="E2070" s="791">
        <v>199485</v>
      </c>
      <c r="F2070" s="1080">
        <v>10</v>
      </c>
      <c r="G2070" s="1025"/>
      <c r="H2070" s="690"/>
      <c r="I2070" s="1030">
        <v>121994</v>
      </c>
      <c r="J2070" s="690">
        <v>102111</v>
      </c>
      <c r="K2070" s="1030"/>
      <c r="L2070" s="690"/>
      <c r="M2070" s="1025"/>
      <c r="N2070" s="1030"/>
      <c r="O2070" s="692">
        <f t="shared" si="269"/>
        <v>0</v>
      </c>
      <c r="P2070" s="690"/>
      <c r="Q2070" s="690"/>
      <c r="R2070" s="691">
        <f t="shared" si="270"/>
        <v>0</v>
      </c>
      <c r="S2070" s="692">
        <f t="shared" si="271"/>
        <v>121994</v>
      </c>
      <c r="T2070" s="693">
        <f t="shared" si="272"/>
        <v>102111</v>
      </c>
      <c r="U2070" s="1035"/>
      <c r="V2070" s="690"/>
      <c r="W2070" s="1025"/>
      <c r="X2070" s="1030"/>
      <c r="Y2070" s="694">
        <f t="shared" si="273"/>
        <v>0</v>
      </c>
      <c r="Z2070" s="690"/>
      <c r="AA2070" s="690"/>
      <c r="AB2070" s="695">
        <f t="shared" si="274"/>
        <v>0</v>
      </c>
      <c r="AC2070" s="1035"/>
      <c r="AD2070" s="690"/>
      <c r="AE2070" s="1025"/>
      <c r="AF2070" s="1030"/>
      <c r="AG2070" s="690"/>
      <c r="AH2070" s="690"/>
      <c r="AI2070" s="696">
        <f t="shared" si="275"/>
        <v>121994</v>
      </c>
      <c r="AJ2070" s="697">
        <f t="shared" si="276"/>
        <v>102111</v>
      </c>
    </row>
    <row r="2071" spans="1:36" s="700" customFormat="1" ht="12.75" customHeight="1">
      <c r="A2071" s="789" t="s">
        <v>213</v>
      </c>
      <c r="B2071" s="789" t="s">
        <v>394</v>
      </c>
      <c r="C2071" s="793" t="s">
        <v>451</v>
      </c>
      <c r="D2071" s="793"/>
      <c r="E2071" s="791">
        <v>199485</v>
      </c>
      <c r="F2071" s="1080">
        <v>10</v>
      </c>
      <c r="G2071" s="1025"/>
      <c r="H2071" s="690"/>
      <c r="I2071" s="1030">
        <v>142306</v>
      </c>
      <c r="J2071" s="690">
        <v>149206</v>
      </c>
      <c r="K2071" s="1030"/>
      <c r="L2071" s="690"/>
      <c r="M2071" s="1025"/>
      <c r="N2071" s="1030"/>
      <c r="O2071" s="692">
        <f t="shared" si="269"/>
        <v>0</v>
      </c>
      <c r="P2071" s="690"/>
      <c r="Q2071" s="690"/>
      <c r="R2071" s="691">
        <f t="shared" si="270"/>
        <v>0</v>
      </c>
      <c r="S2071" s="692">
        <f t="shared" si="271"/>
        <v>142306</v>
      </c>
      <c r="T2071" s="693">
        <f t="shared" si="272"/>
        <v>149206</v>
      </c>
      <c r="U2071" s="1035"/>
      <c r="V2071" s="690"/>
      <c r="W2071" s="1025"/>
      <c r="X2071" s="1030"/>
      <c r="Y2071" s="694">
        <f t="shared" si="273"/>
        <v>0</v>
      </c>
      <c r="Z2071" s="690"/>
      <c r="AA2071" s="690"/>
      <c r="AB2071" s="695">
        <f t="shared" si="274"/>
        <v>0</v>
      </c>
      <c r="AC2071" s="1035"/>
      <c r="AD2071" s="690"/>
      <c r="AE2071" s="1025"/>
      <c r="AF2071" s="1030"/>
      <c r="AG2071" s="690"/>
      <c r="AH2071" s="690"/>
      <c r="AI2071" s="696">
        <f t="shared" si="275"/>
        <v>142306</v>
      </c>
      <c r="AJ2071" s="697">
        <f t="shared" si="276"/>
        <v>149206</v>
      </c>
    </row>
    <row r="2072" spans="1:36" s="700" customFormat="1" ht="12.75" customHeight="1">
      <c r="A2072" s="789" t="s">
        <v>213</v>
      </c>
      <c r="B2072" s="789" t="s">
        <v>403</v>
      </c>
      <c r="C2072" s="793" t="s">
        <v>386</v>
      </c>
      <c r="D2072" s="793"/>
      <c r="E2072" s="791">
        <v>199485</v>
      </c>
      <c r="F2072" s="1080">
        <v>10</v>
      </c>
      <c r="G2072" s="1025"/>
      <c r="H2072" s="690"/>
      <c r="I2072" s="1030">
        <v>774093</v>
      </c>
      <c r="J2072" s="690">
        <v>784635</v>
      </c>
      <c r="K2072" s="1030"/>
      <c r="L2072" s="690"/>
      <c r="M2072" s="1025">
        <v>139028</v>
      </c>
      <c r="N2072" s="1030"/>
      <c r="O2072" s="692">
        <f t="shared" si="269"/>
        <v>139028</v>
      </c>
      <c r="P2072" s="690">
        <v>175720</v>
      </c>
      <c r="Q2072" s="690"/>
      <c r="R2072" s="691">
        <f t="shared" si="270"/>
        <v>175720</v>
      </c>
      <c r="S2072" s="692">
        <f t="shared" si="271"/>
        <v>913121</v>
      </c>
      <c r="T2072" s="693">
        <f t="shared" si="272"/>
        <v>960355</v>
      </c>
      <c r="U2072" s="1035"/>
      <c r="V2072" s="690"/>
      <c r="W2072" s="1025"/>
      <c r="X2072" s="1030"/>
      <c r="Y2072" s="694">
        <f t="shared" si="273"/>
        <v>0</v>
      </c>
      <c r="Z2072" s="690"/>
      <c r="AA2072" s="690"/>
      <c r="AB2072" s="695">
        <f t="shared" si="274"/>
        <v>0</v>
      </c>
      <c r="AC2072" s="1035"/>
      <c r="AD2072" s="690"/>
      <c r="AE2072" s="1025"/>
      <c r="AF2072" s="1030"/>
      <c r="AG2072" s="690"/>
      <c r="AH2072" s="690"/>
      <c r="AI2072" s="696">
        <f t="shared" si="275"/>
        <v>913121</v>
      </c>
      <c r="AJ2072" s="697">
        <f t="shared" si="276"/>
        <v>960355</v>
      </c>
    </row>
    <row r="2073" spans="1:36" s="700" customFormat="1" ht="12.75" customHeight="1">
      <c r="A2073" s="789" t="s">
        <v>213</v>
      </c>
      <c r="B2073" s="789" t="s">
        <v>392</v>
      </c>
      <c r="C2073" s="930" t="s">
        <v>1282</v>
      </c>
      <c r="D2073" s="930"/>
      <c r="E2073" s="791">
        <v>199634</v>
      </c>
      <c r="F2073" s="792">
        <v>9</v>
      </c>
      <c r="G2073" s="1025">
        <v>14212853</v>
      </c>
      <c r="H2073" s="690">
        <v>14220826</v>
      </c>
      <c r="I2073" s="1030"/>
      <c r="J2073" s="690"/>
      <c r="K2073" s="1162">
        <v>4529021</v>
      </c>
      <c r="L2073" s="1163">
        <v>4444237</v>
      </c>
      <c r="M2073" s="1025">
        <v>3827916</v>
      </c>
      <c r="N2073" s="1030"/>
      <c r="O2073" s="692">
        <f t="shared" si="269"/>
        <v>3827916</v>
      </c>
      <c r="P2073" s="690">
        <v>4877203</v>
      </c>
      <c r="Q2073" s="690"/>
      <c r="R2073" s="691">
        <f t="shared" si="270"/>
        <v>4877203</v>
      </c>
      <c r="S2073" s="692">
        <f t="shared" si="271"/>
        <v>22569790</v>
      </c>
      <c r="T2073" s="693">
        <f t="shared" si="272"/>
        <v>23542266</v>
      </c>
      <c r="U2073" s="1035"/>
      <c r="V2073" s="690"/>
      <c r="W2073" s="1025"/>
      <c r="X2073" s="1030"/>
      <c r="Y2073" s="694">
        <f t="shared" si="273"/>
        <v>0</v>
      </c>
      <c r="Z2073" s="690"/>
      <c r="AA2073" s="690"/>
      <c r="AB2073" s="695">
        <f t="shared" si="274"/>
        <v>0</v>
      </c>
      <c r="AC2073" s="1035"/>
      <c r="AD2073" s="690"/>
      <c r="AE2073" s="1025"/>
      <c r="AF2073" s="1030"/>
      <c r="AG2073" s="690"/>
      <c r="AH2073" s="690"/>
      <c r="AI2073" s="696">
        <f t="shared" si="275"/>
        <v>22569790</v>
      </c>
      <c r="AJ2073" s="697">
        <f t="shared" si="276"/>
        <v>23542266</v>
      </c>
    </row>
    <row r="2074" spans="1:36" s="700" customFormat="1" ht="12.75" customHeight="1">
      <c r="A2074" s="789" t="s">
        <v>213</v>
      </c>
      <c r="B2074" s="789" t="s">
        <v>392</v>
      </c>
      <c r="C2074" s="793" t="s">
        <v>1248</v>
      </c>
      <c r="D2074" s="793"/>
      <c r="E2074" s="791">
        <v>199634</v>
      </c>
      <c r="F2074" s="792">
        <v>9</v>
      </c>
      <c r="G2074" s="1025"/>
      <c r="H2074" s="690"/>
      <c r="I2074" s="1030">
        <v>490064</v>
      </c>
      <c r="J2074" s="690">
        <v>509743</v>
      </c>
      <c r="K2074" s="1030"/>
      <c r="L2074" s="690"/>
      <c r="M2074" s="1025"/>
      <c r="N2074" s="1030"/>
      <c r="O2074" s="692">
        <f t="shared" si="269"/>
        <v>0</v>
      </c>
      <c r="P2074" s="690"/>
      <c r="Q2074" s="690"/>
      <c r="R2074" s="691">
        <f t="shared" si="270"/>
        <v>0</v>
      </c>
      <c r="S2074" s="692">
        <f t="shared" si="271"/>
        <v>490064</v>
      </c>
      <c r="T2074" s="693">
        <f t="shared" si="272"/>
        <v>509743</v>
      </c>
      <c r="U2074" s="1035"/>
      <c r="V2074" s="690"/>
      <c r="W2074" s="1025"/>
      <c r="X2074" s="1030"/>
      <c r="Y2074" s="694">
        <f t="shared" si="273"/>
        <v>0</v>
      </c>
      <c r="Z2074" s="690"/>
      <c r="AA2074" s="690"/>
      <c r="AB2074" s="695">
        <f t="shared" si="274"/>
        <v>0</v>
      </c>
      <c r="AC2074" s="1035"/>
      <c r="AD2074" s="690"/>
      <c r="AE2074" s="1025"/>
      <c r="AF2074" s="1030"/>
      <c r="AG2074" s="690"/>
      <c r="AH2074" s="690"/>
      <c r="AI2074" s="696">
        <f t="shared" si="275"/>
        <v>490064</v>
      </c>
      <c r="AJ2074" s="697">
        <f t="shared" si="276"/>
        <v>509743</v>
      </c>
    </row>
    <row r="2075" spans="1:36" s="700" customFormat="1" ht="12.75" customHeight="1">
      <c r="A2075" s="789" t="s">
        <v>213</v>
      </c>
      <c r="B2075" s="789" t="s">
        <v>394</v>
      </c>
      <c r="C2075" s="793" t="s">
        <v>451</v>
      </c>
      <c r="D2075" s="793"/>
      <c r="E2075" s="791">
        <v>199634</v>
      </c>
      <c r="F2075" s="792">
        <v>9</v>
      </c>
      <c r="G2075" s="1025"/>
      <c r="H2075" s="690"/>
      <c r="I2075" s="1030">
        <v>142906</v>
      </c>
      <c r="J2075" s="690">
        <v>150269</v>
      </c>
      <c r="K2075" s="1030"/>
      <c r="L2075" s="690"/>
      <c r="M2075" s="1025"/>
      <c r="N2075" s="1030"/>
      <c r="O2075" s="692">
        <f t="shared" si="269"/>
        <v>0</v>
      </c>
      <c r="P2075" s="690"/>
      <c r="Q2075" s="690"/>
      <c r="R2075" s="691">
        <f t="shared" si="270"/>
        <v>0</v>
      </c>
      <c r="S2075" s="692">
        <f t="shared" si="271"/>
        <v>142906</v>
      </c>
      <c r="T2075" s="693">
        <f t="shared" si="272"/>
        <v>150269</v>
      </c>
      <c r="U2075" s="1035"/>
      <c r="V2075" s="690"/>
      <c r="W2075" s="1025"/>
      <c r="X2075" s="1030"/>
      <c r="Y2075" s="694">
        <f t="shared" si="273"/>
        <v>0</v>
      </c>
      <c r="Z2075" s="690"/>
      <c r="AA2075" s="690"/>
      <c r="AB2075" s="695">
        <f t="shared" si="274"/>
        <v>0</v>
      </c>
      <c r="AC2075" s="1035"/>
      <c r="AD2075" s="690"/>
      <c r="AE2075" s="1025"/>
      <c r="AF2075" s="1030"/>
      <c r="AG2075" s="690"/>
      <c r="AH2075" s="690"/>
      <c r="AI2075" s="696">
        <f t="shared" si="275"/>
        <v>142906</v>
      </c>
      <c r="AJ2075" s="697">
        <f t="shared" si="276"/>
        <v>150269</v>
      </c>
    </row>
    <row r="2076" spans="1:36" s="700" customFormat="1" ht="12.75" customHeight="1">
      <c r="A2076" s="789" t="s">
        <v>213</v>
      </c>
      <c r="B2076" s="789" t="s">
        <v>403</v>
      </c>
      <c r="C2076" s="793" t="s">
        <v>386</v>
      </c>
      <c r="D2076" s="793"/>
      <c r="E2076" s="791">
        <v>199634</v>
      </c>
      <c r="F2076" s="792">
        <v>9</v>
      </c>
      <c r="G2076" s="1025"/>
      <c r="H2076" s="690"/>
      <c r="I2076" s="1030">
        <v>905133</v>
      </c>
      <c r="J2076" s="690">
        <v>768237</v>
      </c>
      <c r="K2076" s="1030"/>
      <c r="L2076" s="690"/>
      <c r="M2076" s="1025">
        <v>96929</v>
      </c>
      <c r="N2076" s="1030"/>
      <c r="O2076" s="692">
        <f t="shared" si="269"/>
        <v>96929</v>
      </c>
      <c r="P2076" s="690">
        <v>150622</v>
      </c>
      <c r="Q2076" s="690"/>
      <c r="R2076" s="691">
        <f t="shared" si="270"/>
        <v>150622</v>
      </c>
      <c r="S2076" s="692">
        <f t="shared" si="271"/>
        <v>1002062</v>
      </c>
      <c r="T2076" s="693">
        <f t="shared" si="272"/>
        <v>918859</v>
      </c>
      <c r="U2076" s="1035"/>
      <c r="V2076" s="690"/>
      <c r="W2076" s="1025"/>
      <c r="X2076" s="1030"/>
      <c r="Y2076" s="694">
        <f t="shared" si="273"/>
        <v>0</v>
      </c>
      <c r="Z2076" s="690"/>
      <c r="AA2076" s="690"/>
      <c r="AB2076" s="695">
        <f t="shared" si="274"/>
        <v>0</v>
      </c>
      <c r="AC2076" s="1035"/>
      <c r="AD2076" s="690"/>
      <c r="AE2076" s="1025"/>
      <c r="AF2076" s="1030"/>
      <c r="AG2076" s="690"/>
      <c r="AH2076" s="690"/>
      <c r="AI2076" s="696">
        <f t="shared" si="275"/>
        <v>1002062</v>
      </c>
      <c r="AJ2076" s="697">
        <f t="shared" si="276"/>
        <v>918859</v>
      </c>
    </row>
    <row r="2077" spans="1:36" s="700" customFormat="1" ht="12.75" customHeight="1">
      <c r="A2077" s="789" t="s">
        <v>213</v>
      </c>
      <c r="B2077" s="789" t="s">
        <v>392</v>
      </c>
      <c r="C2077" s="1078" t="s">
        <v>1283</v>
      </c>
      <c r="D2077" s="1079" t="s">
        <v>1969</v>
      </c>
      <c r="E2077" s="791">
        <v>197850</v>
      </c>
      <c r="F2077" s="1080">
        <v>10</v>
      </c>
      <c r="G2077" s="1025">
        <v>9308073</v>
      </c>
      <c r="H2077" s="690">
        <v>10028170</v>
      </c>
      <c r="I2077" s="1030"/>
      <c r="J2077" s="690"/>
      <c r="K2077" s="1162">
        <v>1672463</v>
      </c>
      <c r="L2077" s="1163">
        <v>1660629</v>
      </c>
      <c r="M2077" s="1025">
        <v>1971265</v>
      </c>
      <c r="N2077" s="1030"/>
      <c r="O2077" s="692">
        <f t="shared" si="269"/>
        <v>1971265</v>
      </c>
      <c r="P2077" s="690">
        <v>2542686</v>
      </c>
      <c r="Q2077" s="690"/>
      <c r="R2077" s="691">
        <f t="shared" si="270"/>
        <v>2542686</v>
      </c>
      <c r="S2077" s="692">
        <f t="shared" si="271"/>
        <v>12951801</v>
      </c>
      <c r="T2077" s="693">
        <f t="shared" si="272"/>
        <v>14231485</v>
      </c>
      <c r="U2077" s="1035"/>
      <c r="V2077" s="690"/>
      <c r="W2077" s="1025"/>
      <c r="X2077" s="1030"/>
      <c r="Y2077" s="694">
        <f t="shared" si="273"/>
        <v>0</v>
      </c>
      <c r="Z2077" s="690"/>
      <c r="AA2077" s="690"/>
      <c r="AB2077" s="695">
        <f t="shared" si="274"/>
        <v>0</v>
      </c>
      <c r="AC2077" s="1035"/>
      <c r="AD2077" s="690"/>
      <c r="AE2077" s="1025"/>
      <c r="AF2077" s="1030"/>
      <c r="AG2077" s="690"/>
      <c r="AH2077" s="690"/>
      <c r="AI2077" s="696">
        <f t="shared" si="275"/>
        <v>12951801</v>
      </c>
      <c r="AJ2077" s="697">
        <f t="shared" si="276"/>
        <v>14231485</v>
      </c>
    </row>
    <row r="2078" spans="1:36" s="700" customFormat="1" ht="12.75" customHeight="1">
      <c r="A2078" s="789" t="s">
        <v>213</v>
      </c>
      <c r="B2078" s="789" t="s">
        <v>392</v>
      </c>
      <c r="C2078" s="793" t="s">
        <v>1248</v>
      </c>
      <c r="D2078" s="793"/>
      <c r="E2078" s="791">
        <v>197850</v>
      </c>
      <c r="F2078" s="1080">
        <v>10</v>
      </c>
      <c r="G2078" s="1025"/>
      <c r="H2078" s="690"/>
      <c r="I2078" s="1030">
        <v>142596</v>
      </c>
      <c r="J2078" s="690">
        <v>135900</v>
      </c>
      <c r="K2078" s="1030"/>
      <c r="L2078" s="690"/>
      <c r="M2078" s="1025"/>
      <c r="N2078" s="1030"/>
      <c r="O2078" s="692">
        <f t="shared" si="269"/>
        <v>0</v>
      </c>
      <c r="P2078" s="690"/>
      <c r="Q2078" s="690"/>
      <c r="R2078" s="691">
        <f t="shared" si="270"/>
        <v>0</v>
      </c>
      <c r="S2078" s="692">
        <f t="shared" si="271"/>
        <v>142596</v>
      </c>
      <c r="T2078" s="693">
        <f t="shared" si="272"/>
        <v>135900</v>
      </c>
      <c r="U2078" s="1035"/>
      <c r="V2078" s="690"/>
      <c r="W2078" s="1025"/>
      <c r="X2078" s="1030"/>
      <c r="Y2078" s="694">
        <f t="shared" si="273"/>
        <v>0</v>
      </c>
      <c r="Z2078" s="690"/>
      <c r="AA2078" s="690"/>
      <c r="AB2078" s="695">
        <f t="shared" si="274"/>
        <v>0</v>
      </c>
      <c r="AC2078" s="1035"/>
      <c r="AD2078" s="690"/>
      <c r="AE2078" s="1025"/>
      <c r="AF2078" s="1030"/>
      <c r="AG2078" s="690"/>
      <c r="AH2078" s="690"/>
      <c r="AI2078" s="696">
        <f t="shared" si="275"/>
        <v>142596</v>
      </c>
      <c r="AJ2078" s="697">
        <f t="shared" si="276"/>
        <v>135900</v>
      </c>
    </row>
    <row r="2079" spans="1:36" s="700" customFormat="1" ht="12.75" customHeight="1">
      <c r="A2079" s="789" t="s">
        <v>213</v>
      </c>
      <c r="B2079" s="789" t="s">
        <v>394</v>
      </c>
      <c r="C2079" s="793" t="s">
        <v>451</v>
      </c>
      <c r="D2079" s="793"/>
      <c r="E2079" s="791">
        <v>197850</v>
      </c>
      <c r="F2079" s="1080">
        <v>10</v>
      </c>
      <c r="G2079" s="1025"/>
      <c r="H2079" s="690"/>
      <c r="I2079" s="1030">
        <v>151306</v>
      </c>
      <c r="J2079" s="690">
        <v>157234</v>
      </c>
      <c r="K2079" s="1030"/>
      <c r="L2079" s="690"/>
      <c r="M2079" s="1025"/>
      <c r="N2079" s="1030"/>
      <c r="O2079" s="692">
        <f t="shared" si="269"/>
        <v>0</v>
      </c>
      <c r="P2079" s="690"/>
      <c r="Q2079" s="690"/>
      <c r="R2079" s="691">
        <f t="shared" si="270"/>
        <v>0</v>
      </c>
      <c r="S2079" s="692">
        <f t="shared" si="271"/>
        <v>151306</v>
      </c>
      <c r="T2079" s="693">
        <f t="shared" si="272"/>
        <v>157234</v>
      </c>
      <c r="U2079" s="1035"/>
      <c r="V2079" s="690"/>
      <c r="W2079" s="1025"/>
      <c r="X2079" s="1030"/>
      <c r="Y2079" s="694">
        <f t="shared" si="273"/>
        <v>0</v>
      </c>
      <c r="Z2079" s="690"/>
      <c r="AA2079" s="690"/>
      <c r="AB2079" s="695">
        <f t="shared" si="274"/>
        <v>0</v>
      </c>
      <c r="AC2079" s="1035"/>
      <c r="AD2079" s="690"/>
      <c r="AE2079" s="1025"/>
      <c r="AF2079" s="1030"/>
      <c r="AG2079" s="690"/>
      <c r="AH2079" s="690"/>
      <c r="AI2079" s="696">
        <f t="shared" si="275"/>
        <v>151306</v>
      </c>
      <c r="AJ2079" s="697">
        <f t="shared" si="276"/>
        <v>157234</v>
      </c>
    </row>
    <row r="2080" spans="1:36" s="700" customFormat="1" ht="12.75" customHeight="1">
      <c r="A2080" s="789" t="s">
        <v>213</v>
      </c>
      <c r="B2080" s="789" t="s">
        <v>403</v>
      </c>
      <c r="C2080" s="793" t="s">
        <v>386</v>
      </c>
      <c r="D2080" s="793"/>
      <c r="E2080" s="791">
        <v>197850</v>
      </c>
      <c r="F2080" s="1080">
        <v>10</v>
      </c>
      <c r="G2080" s="1025"/>
      <c r="H2080" s="690"/>
      <c r="I2080" s="1030">
        <v>1432645</v>
      </c>
      <c r="J2080" s="690">
        <v>1346453</v>
      </c>
      <c r="K2080" s="1030"/>
      <c r="L2080" s="690"/>
      <c r="M2080" s="1025">
        <v>89346</v>
      </c>
      <c r="N2080" s="1030"/>
      <c r="O2080" s="692">
        <f t="shared" si="269"/>
        <v>89346</v>
      </c>
      <c r="P2080" s="690">
        <v>201503</v>
      </c>
      <c r="Q2080" s="690"/>
      <c r="R2080" s="691">
        <f t="shared" si="270"/>
        <v>201503</v>
      </c>
      <c r="S2080" s="692">
        <f t="shared" si="271"/>
        <v>1521991</v>
      </c>
      <c r="T2080" s="693">
        <f t="shared" si="272"/>
        <v>1547956</v>
      </c>
      <c r="U2080" s="1035"/>
      <c r="V2080" s="690"/>
      <c r="W2080" s="1025"/>
      <c r="X2080" s="1030"/>
      <c r="Y2080" s="694">
        <f t="shared" si="273"/>
        <v>0</v>
      </c>
      <c r="Z2080" s="690"/>
      <c r="AA2080" s="690"/>
      <c r="AB2080" s="695">
        <f t="shared" si="274"/>
        <v>0</v>
      </c>
      <c r="AC2080" s="1035"/>
      <c r="AD2080" s="690"/>
      <c r="AE2080" s="1025"/>
      <c r="AF2080" s="1030"/>
      <c r="AG2080" s="690"/>
      <c r="AH2080" s="690"/>
      <c r="AI2080" s="696">
        <f t="shared" si="275"/>
        <v>1521991</v>
      </c>
      <c r="AJ2080" s="697">
        <f t="shared" si="276"/>
        <v>1547956</v>
      </c>
    </row>
    <row r="2081" spans="1:36" s="700" customFormat="1" ht="12.75" customHeight="1">
      <c r="A2081" s="789" t="s">
        <v>213</v>
      </c>
      <c r="B2081" s="789" t="s">
        <v>392</v>
      </c>
      <c r="C2081" s="1078" t="s">
        <v>1284</v>
      </c>
      <c r="D2081" s="1079" t="s">
        <v>1969</v>
      </c>
      <c r="E2081" s="791">
        <v>199722</v>
      </c>
      <c r="F2081" s="1080">
        <v>10</v>
      </c>
      <c r="G2081" s="1025">
        <v>9693171</v>
      </c>
      <c r="H2081" s="690">
        <v>9851608</v>
      </c>
      <c r="I2081" s="1030"/>
      <c r="J2081" s="690"/>
      <c r="K2081" s="1162">
        <v>1115426</v>
      </c>
      <c r="L2081" s="1163">
        <v>1148889</v>
      </c>
      <c r="M2081" s="1025">
        <v>2000485</v>
      </c>
      <c r="N2081" s="1030"/>
      <c r="O2081" s="692">
        <f t="shared" si="269"/>
        <v>2000485</v>
      </c>
      <c r="P2081" s="690">
        <v>2700885</v>
      </c>
      <c r="Q2081" s="690"/>
      <c r="R2081" s="691">
        <f t="shared" si="270"/>
        <v>2700885</v>
      </c>
      <c r="S2081" s="692">
        <f t="shared" si="271"/>
        <v>12809082</v>
      </c>
      <c r="T2081" s="693">
        <f t="shared" si="272"/>
        <v>13701382</v>
      </c>
      <c r="U2081" s="1035"/>
      <c r="V2081" s="690"/>
      <c r="W2081" s="1025"/>
      <c r="X2081" s="1030"/>
      <c r="Y2081" s="694">
        <f t="shared" si="273"/>
        <v>0</v>
      </c>
      <c r="Z2081" s="690"/>
      <c r="AA2081" s="690"/>
      <c r="AB2081" s="695">
        <f t="shared" si="274"/>
        <v>0</v>
      </c>
      <c r="AC2081" s="1035"/>
      <c r="AD2081" s="690"/>
      <c r="AE2081" s="1025"/>
      <c r="AF2081" s="1030"/>
      <c r="AG2081" s="690"/>
      <c r="AH2081" s="690"/>
      <c r="AI2081" s="696">
        <f t="shared" si="275"/>
        <v>12809082</v>
      </c>
      <c r="AJ2081" s="697">
        <f t="shared" si="276"/>
        <v>13701382</v>
      </c>
    </row>
    <row r="2082" spans="1:36" s="700" customFormat="1" ht="12.75" customHeight="1">
      <c r="A2082" s="789" t="s">
        <v>213</v>
      </c>
      <c r="B2082" s="789" t="s">
        <v>392</v>
      </c>
      <c r="C2082" s="793" t="s">
        <v>1248</v>
      </c>
      <c r="D2082" s="793"/>
      <c r="E2082" s="791">
        <v>199722</v>
      </c>
      <c r="F2082" s="1080">
        <v>10</v>
      </c>
      <c r="G2082" s="1025"/>
      <c r="H2082" s="690"/>
      <c r="I2082" s="1030">
        <v>149807</v>
      </c>
      <c r="J2082" s="690">
        <v>136237</v>
      </c>
      <c r="K2082" s="1030"/>
      <c r="L2082" s="690"/>
      <c r="M2082" s="1025"/>
      <c r="N2082" s="1030"/>
      <c r="O2082" s="692">
        <f t="shared" si="269"/>
        <v>0</v>
      </c>
      <c r="P2082" s="690"/>
      <c r="Q2082" s="690"/>
      <c r="R2082" s="691">
        <f t="shared" si="270"/>
        <v>0</v>
      </c>
      <c r="S2082" s="692">
        <f t="shared" si="271"/>
        <v>149807</v>
      </c>
      <c r="T2082" s="693">
        <f t="shared" si="272"/>
        <v>136237</v>
      </c>
      <c r="U2082" s="1035"/>
      <c r="V2082" s="690"/>
      <c r="W2082" s="1025"/>
      <c r="X2082" s="1030"/>
      <c r="Y2082" s="694">
        <f t="shared" si="273"/>
        <v>0</v>
      </c>
      <c r="Z2082" s="690"/>
      <c r="AA2082" s="690"/>
      <c r="AB2082" s="695">
        <f t="shared" si="274"/>
        <v>0</v>
      </c>
      <c r="AC2082" s="1035"/>
      <c r="AD2082" s="690"/>
      <c r="AE2082" s="1025"/>
      <c r="AF2082" s="1030"/>
      <c r="AG2082" s="690"/>
      <c r="AH2082" s="690"/>
      <c r="AI2082" s="696">
        <f t="shared" si="275"/>
        <v>149807</v>
      </c>
      <c r="AJ2082" s="697">
        <f t="shared" si="276"/>
        <v>136237</v>
      </c>
    </row>
    <row r="2083" spans="1:36" s="700" customFormat="1" ht="12.75" customHeight="1">
      <c r="A2083" s="789" t="s">
        <v>213</v>
      </c>
      <c r="B2083" s="789" t="s">
        <v>394</v>
      </c>
      <c r="C2083" s="793" t="s">
        <v>451</v>
      </c>
      <c r="D2083" s="793"/>
      <c r="E2083" s="791">
        <v>199722</v>
      </c>
      <c r="F2083" s="1080">
        <v>10</v>
      </c>
      <c r="G2083" s="1025"/>
      <c r="H2083" s="690"/>
      <c r="I2083" s="1030">
        <v>141406</v>
      </c>
      <c r="J2083" s="690">
        <v>150424</v>
      </c>
      <c r="K2083" s="1030"/>
      <c r="L2083" s="690"/>
      <c r="M2083" s="1025"/>
      <c r="N2083" s="1030"/>
      <c r="O2083" s="692">
        <f t="shared" si="269"/>
        <v>0</v>
      </c>
      <c r="P2083" s="690"/>
      <c r="Q2083" s="690"/>
      <c r="R2083" s="691">
        <f t="shared" si="270"/>
        <v>0</v>
      </c>
      <c r="S2083" s="692">
        <f t="shared" si="271"/>
        <v>141406</v>
      </c>
      <c r="T2083" s="693">
        <f t="shared" si="272"/>
        <v>150424</v>
      </c>
      <c r="U2083" s="1035"/>
      <c r="V2083" s="690"/>
      <c r="W2083" s="1025"/>
      <c r="X2083" s="1030"/>
      <c r="Y2083" s="694">
        <f t="shared" si="273"/>
        <v>0</v>
      </c>
      <c r="Z2083" s="690"/>
      <c r="AA2083" s="690"/>
      <c r="AB2083" s="695">
        <f t="shared" si="274"/>
        <v>0</v>
      </c>
      <c r="AC2083" s="1035"/>
      <c r="AD2083" s="690"/>
      <c r="AE2083" s="1025"/>
      <c r="AF2083" s="1030"/>
      <c r="AG2083" s="690"/>
      <c r="AH2083" s="690"/>
      <c r="AI2083" s="696">
        <f t="shared" si="275"/>
        <v>141406</v>
      </c>
      <c r="AJ2083" s="697">
        <f t="shared" si="276"/>
        <v>150424</v>
      </c>
    </row>
    <row r="2084" spans="1:36" s="700" customFormat="1" ht="12.75" customHeight="1">
      <c r="A2084" s="789" t="s">
        <v>213</v>
      </c>
      <c r="B2084" s="789" t="s">
        <v>403</v>
      </c>
      <c r="C2084" s="793" t="s">
        <v>386</v>
      </c>
      <c r="D2084" s="793"/>
      <c r="E2084" s="791">
        <v>199722</v>
      </c>
      <c r="F2084" s="1080">
        <v>10</v>
      </c>
      <c r="G2084" s="1025"/>
      <c r="H2084" s="690"/>
      <c r="I2084" s="1030">
        <v>1124399</v>
      </c>
      <c r="J2084" s="690">
        <v>1038091</v>
      </c>
      <c r="K2084" s="1030"/>
      <c r="L2084" s="690"/>
      <c r="M2084" s="1025">
        <v>180060</v>
      </c>
      <c r="N2084" s="1030"/>
      <c r="O2084" s="692">
        <f t="shared" si="269"/>
        <v>180060</v>
      </c>
      <c r="P2084" s="690">
        <v>233491</v>
      </c>
      <c r="Q2084" s="690"/>
      <c r="R2084" s="691">
        <f t="shared" si="270"/>
        <v>233491</v>
      </c>
      <c r="S2084" s="692">
        <f t="shared" si="271"/>
        <v>1304459</v>
      </c>
      <c r="T2084" s="693">
        <f t="shared" si="272"/>
        <v>1271582</v>
      </c>
      <c r="U2084" s="1035"/>
      <c r="V2084" s="690"/>
      <c r="W2084" s="1025"/>
      <c r="X2084" s="1030"/>
      <c r="Y2084" s="694">
        <f t="shared" si="273"/>
        <v>0</v>
      </c>
      <c r="Z2084" s="690"/>
      <c r="AA2084" s="690"/>
      <c r="AB2084" s="695">
        <f t="shared" si="274"/>
        <v>0</v>
      </c>
      <c r="AC2084" s="1035"/>
      <c r="AD2084" s="690"/>
      <c r="AE2084" s="1025"/>
      <c r="AF2084" s="1030"/>
      <c r="AG2084" s="690"/>
      <c r="AH2084" s="690"/>
      <c r="AI2084" s="696">
        <f t="shared" si="275"/>
        <v>1304459</v>
      </c>
      <c r="AJ2084" s="697">
        <f t="shared" si="276"/>
        <v>1271582</v>
      </c>
    </row>
    <row r="2085" spans="1:36" s="700" customFormat="1" ht="12.75" customHeight="1">
      <c r="A2085" s="789" t="s">
        <v>213</v>
      </c>
      <c r="B2085" s="789" t="s">
        <v>392</v>
      </c>
      <c r="C2085" s="1078" t="s">
        <v>1285</v>
      </c>
      <c r="D2085" s="1079" t="s">
        <v>1969</v>
      </c>
      <c r="E2085" s="791">
        <v>199731</v>
      </c>
      <c r="F2085" s="1080">
        <v>10</v>
      </c>
      <c r="G2085" s="1025">
        <v>8722715</v>
      </c>
      <c r="H2085" s="690">
        <v>8917828</v>
      </c>
      <c r="I2085" s="1030"/>
      <c r="J2085" s="690"/>
      <c r="K2085" s="1162">
        <v>1932407</v>
      </c>
      <c r="L2085" s="1163">
        <v>1928097</v>
      </c>
      <c r="M2085" s="1025">
        <v>2301895</v>
      </c>
      <c r="N2085" s="1030"/>
      <c r="O2085" s="692">
        <f t="shared" si="269"/>
        <v>2301895</v>
      </c>
      <c r="P2085" s="690">
        <v>2964089</v>
      </c>
      <c r="Q2085" s="690"/>
      <c r="R2085" s="691">
        <f t="shared" si="270"/>
        <v>2964089</v>
      </c>
      <c r="S2085" s="692">
        <f t="shared" si="271"/>
        <v>12957017</v>
      </c>
      <c r="T2085" s="693">
        <f t="shared" si="272"/>
        <v>13810014</v>
      </c>
      <c r="U2085" s="1035"/>
      <c r="V2085" s="690"/>
      <c r="W2085" s="1025"/>
      <c r="X2085" s="1030"/>
      <c r="Y2085" s="694">
        <f t="shared" si="273"/>
        <v>0</v>
      </c>
      <c r="Z2085" s="690"/>
      <c r="AA2085" s="690"/>
      <c r="AB2085" s="695">
        <f t="shared" si="274"/>
        <v>0</v>
      </c>
      <c r="AC2085" s="1035"/>
      <c r="AD2085" s="690"/>
      <c r="AE2085" s="1025"/>
      <c r="AF2085" s="1030"/>
      <c r="AG2085" s="690"/>
      <c r="AH2085" s="690"/>
      <c r="AI2085" s="696">
        <f t="shared" si="275"/>
        <v>12957017</v>
      </c>
      <c r="AJ2085" s="697">
        <f t="shared" si="276"/>
        <v>13810014</v>
      </c>
    </row>
    <row r="2086" spans="1:36" s="700" customFormat="1" ht="12.75" customHeight="1">
      <c r="A2086" s="789" t="s">
        <v>213</v>
      </c>
      <c r="B2086" s="789" t="s">
        <v>392</v>
      </c>
      <c r="C2086" s="793" t="s">
        <v>1248</v>
      </c>
      <c r="D2086" s="793"/>
      <c r="E2086" s="791">
        <v>199731</v>
      </c>
      <c r="F2086" s="1080">
        <v>10</v>
      </c>
      <c r="G2086" s="1025"/>
      <c r="H2086" s="690"/>
      <c r="I2086" s="1030">
        <v>195456</v>
      </c>
      <c r="J2086" s="690">
        <v>177337</v>
      </c>
      <c r="K2086" s="1030"/>
      <c r="L2086" s="690"/>
      <c r="M2086" s="1025"/>
      <c r="N2086" s="1030"/>
      <c r="O2086" s="692">
        <f t="shared" si="269"/>
        <v>0</v>
      </c>
      <c r="P2086" s="690"/>
      <c r="Q2086" s="690"/>
      <c r="R2086" s="691">
        <f t="shared" si="270"/>
        <v>0</v>
      </c>
      <c r="S2086" s="692">
        <f t="shared" si="271"/>
        <v>195456</v>
      </c>
      <c r="T2086" s="693">
        <f t="shared" si="272"/>
        <v>177337</v>
      </c>
      <c r="U2086" s="1035"/>
      <c r="V2086" s="690"/>
      <c r="W2086" s="1025"/>
      <c r="X2086" s="1030"/>
      <c r="Y2086" s="694">
        <f t="shared" si="273"/>
        <v>0</v>
      </c>
      <c r="Z2086" s="690"/>
      <c r="AA2086" s="690"/>
      <c r="AB2086" s="695">
        <f t="shared" si="274"/>
        <v>0</v>
      </c>
      <c r="AC2086" s="1035"/>
      <c r="AD2086" s="690"/>
      <c r="AE2086" s="1025"/>
      <c r="AF2086" s="1030"/>
      <c r="AG2086" s="690"/>
      <c r="AH2086" s="690"/>
      <c r="AI2086" s="696">
        <f t="shared" si="275"/>
        <v>195456</v>
      </c>
      <c r="AJ2086" s="697">
        <f t="shared" si="276"/>
        <v>177337</v>
      </c>
    </row>
    <row r="2087" spans="1:36" s="700" customFormat="1" ht="12.75" customHeight="1">
      <c r="A2087" s="789" t="s">
        <v>213</v>
      </c>
      <c r="B2087" s="789" t="s">
        <v>394</v>
      </c>
      <c r="C2087" s="793" t="s">
        <v>451</v>
      </c>
      <c r="D2087" s="793"/>
      <c r="E2087" s="791">
        <v>199731</v>
      </c>
      <c r="F2087" s="1080">
        <v>10</v>
      </c>
      <c r="G2087" s="1025"/>
      <c r="H2087" s="690"/>
      <c r="I2087" s="1030">
        <v>138306</v>
      </c>
      <c r="J2087" s="690">
        <v>144734</v>
      </c>
      <c r="K2087" s="1030"/>
      <c r="L2087" s="690"/>
      <c r="M2087" s="1025"/>
      <c r="N2087" s="1030"/>
      <c r="O2087" s="692">
        <f t="shared" si="269"/>
        <v>0</v>
      </c>
      <c r="P2087" s="690"/>
      <c r="Q2087" s="690"/>
      <c r="R2087" s="691">
        <f t="shared" si="270"/>
        <v>0</v>
      </c>
      <c r="S2087" s="692">
        <f t="shared" si="271"/>
        <v>138306</v>
      </c>
      <c r="T2087" s="693">
        <f t="shared" si="272"/>
        <v>144734</v>
      </c>
      <c r="U2087" s="1035"/>
      <c r="V2087" s="690"/>
      <c r="W2087" s="1025"/>
      <c r="X2087" s="1030"/>
      <c r="Y2087" s="694">
        <f t="shared" si="273"/>
        <v>0</v>
      </c>
      <c r="Z2087" s="690"/>
      <c r="AA2087" s="690"/>
      <c r="AB2087" s="695">
        <f t="shared" si="274"/>
        <v>0</v>
      </c>
      <c r="AC2087" s="1035"/>
      <c r="AD2087" s="690"/>
      <c r="AE2087" s="1025"/>
      <c r="AF2087" s="1030"/>
      <c r="AG2087" s="690"/>
      <c r="AH2087" s="690"/>
      <c r="AI2087" s="696">
        <f t="shared" si="275"/>
        <v>138306</v>
      </c>
      <c r="AJ2087" s="697">
        <f t="shared" si="276"/>
        <v>144734</v>
      </c>
    </row>
    <row r="2088" spans="1:36" s="700" customFormat="1" ht="12.75" customHeight="1">
      <c r="A2088" s="789" t="s">
        <v>213</v>
      </c>
      <c r="B2088" s="789" t="s">
        <v>403</v>
      </c>
      <c r="C2088" s="793" t="s">
        <v>386</v>
      </c>
      <c r="D2088" s="793"/>
      <c r="E2088" s="791">
        <v>199731</v>
      </c>
      <c r="F2088" s="1080">
        <v>10</v>
      </c>
      <c r="G2088" s="1025"/>
      <c r="H2088" s="690"/>
      <c r="I2088" s="1030">
        <v>1185827</v>
      </c>
      <c r="J2088" s="690">
        <v>1241096</v>
      </c>
      <c r="K2088" s="1030"/>
      <c r="L2088" s="690"/>
      <c r="M2088" s="1025">
        <v>201643</v>
      </c>
      <c r="N2088" s="1030"/>
      <c r="O2088" s="692">
        <f t="shared" si="269"/>
        <v>201643</v>
      </c>
      <c r="P2088" s="690">
        <v>268214</v>
      </c>
      <c r="Q2088" s="690"/>
      <c r="R2088" s="691">
        <f t="shared" si="270"/>
        <v>268214</v>
      </c>
      <c r="S2088" s="692">
        <f t="shared" si="271"/>
        <v>1387470</v>
      </c>
      <c r="T2088" s="693">
        <f t="shared" si="272"/>
        <v>1509310</v>
      </c>
      <c r="U2088" s="1035"/>
      <c r="V2088" s="690"/>
      <c r="W2088" s="1025"/>
      <c r="X2088" s="1030"/>
      <c r="Y2088" s="694">
        <f t="shared" si="273"/>
        <v>0</v>
      </c>
      <c r="Z2088" s="690"/>
      <c r="AA2088" s="690"/>
      <c r="AB2088" s="695">
        <f t="shared" si="274"/>
        <v>0</v>
      </c>
      <c r="AC2088" s="1035"/>
      <c r="AD2088" s="690"/>
      <c r="AE2088" s="1025"/>
      <c r="AF2088" s="1030"/>
      <c r="AG2088" s="690"/>
      <c r="AH2088" s="690"/>
      <c r="AI2088" s="696">
        <f t="shared" si="275"/>
        <v>1387470</v>
      </c>
      <c r="AJ2088" s="697">
        <f t="shared" si="276"/>
        <v>1509310</v>
      </c>
    </row>
    <row r="2089" spans="1:36" s="700" customFormat="1" ht="12.75" customHeight="1">
      <c r="A2089" s="789" t="s">
        <v>213</v>
      </c>
      <c r="B2089" s="789" t="s">
        <v>392</v>
      </c>
      <c r="C2089" s="930" t="s">
        <v>1286</v>
      </c>
      <c r="D2089" s="930"/>
      <c r="E2089" s="791">
        <v>199740</v>
      </c>
      <c r="F2089" s="792">
        <v>9</v>
      </c>
      <c r="G2089" s="1025">
        <v>9879196</v>
      </c>
      <c r="H2089" s="690">
        <v>10488768</v>
      </c>
      <c r="I2089" s="1030"/>
      <c r="J2089" s="690"/>
      <c r="K2089" s="1162">
        <v>1326357</v>
      </c>
      <c r="L2089" s="1163">
        <v>1274830</v>
      </c>
      <c r="M2089" s="1025">
        <v>2493565</v>
      </c>
      <c r="N2089" s="1030"/>
      <c r="O2089" s="692">
        <f t="shared" si="269"/>
        <v>2493565</v>
      </c>
      <c r="P2089" s="690">
        <v>3562827</v>
      </c>
      <c r="Q2089" s="690"/>
      <c r="R2089" s="691">
        <f t="shared" si="270"/>
        <v>3562827</v>
      </c>
      <c r="S2089" s="692">
        <f t="shared" si="271"/>
        <v>13699118</v>
      </c>
      <c r="T2089" s="693">
        <f t="shared" si="272"/>
        <v>15326425</v>
      </c>
      <c r="U2089" s="1035"/>
      <c r="V2089" s="690"/>
      <c r="W2089" s="1025"/>
      <c r="X2089" s="1030"/>
      <c r="Y2089" s="694">
        <f t="shared" si="273"/>
        <v>0</v>
      </c>
      <c r="Z2089" s="690"/>
      <c r="AA2089" s="690"/>
      <c r="AB2089" s="695">
        <f t="shared" si="274"/>
        <v>0</v>
      </c>
      <c r="AC2089" s="1035"/>
      <c r="AD2089" s="690"/>
      <c r="AE2089" s="1025"/>
      <c r="AF2089" s="1030"/>
      <c r="AG2089" s="690"/>
      <c r="AH2089" s="690"/>
      <c r="AI2089" s="696">
        <f t="shared" si="275"/>
        <v>13699118</v>
      </c>
      <c r="AJ2089" s="697">
        <f t="shared" si="276"/>
        <v>15326425</v>
      </c>
    </row>
    <row r="2090" spans="1:36" s="700" customFormat="1" ht="12.75" customHeight="1">
      <c r="A2090" s="789" t="s">
        <v>213</v>
      </c>
      <c r="B2090" s="789" t="s">
        <v>392</v>
      </c>
      <c r="C2090" s="793" t="s">
        <v>1248</v>
      </c>
      <c r="D2090" s="793"/>
      <c r="E2090" s="791">
        <v>199740</v>
      </c>
      <c r="F2090" s="792">
        <v>9</v>
      </c>
      <c r="G2090" s="1025"/>
      <c r="H2090" s="690"/>
      <c r="I2090" s="1030">
        <v>209928</v>
      </c>
      <c r="J2090" s="690">
        <v>206445</v>
      </c>
      <c r="K2090" s="1030"/>
      <c r="L2090" s="690"/>
      <c r="M2090" s="1025"/>
      <c r="N2090" s="1030"/>
      <c r="O2090" s="692">
        <f t="shared" si="269"/>
        <v>0</v>
      </c>
      <c r="P2090" s="690"/>
      <c r="Q2090" s="690"/>
      <c r="R2090" s="691">
        <f t="shared" si="270"/>
        <v>0</v>
      </c>
      <c r="S2090" s="692">
        <f t="shared" si="271"/>
        <v>209928</v>
      </c>
      <c r="T2090" s="693">
        <f t="shared" si="272"/>
        <v>206445</v>
      </c>
      <c r="U2090" s="1035"/>
      <c r="V2090" s="690"/>
      <c r="W2090" s="1025"/>
      <c r="X2090" s="1030"/>
      <c r="Y2090" s="694">
        <f t="shared" si="273"/>
        <v>0</v>
      </c>
      <c r="Z2090" s="690"/>
      <c r="AA2090" s="690"/>
      <c r="AB2090" s="695">
        <f t="shared" si="274"/>
        <v>0</v>
      </c>
      <c r="AC2090" s="1035"/>
      <c r="AD2090" s="690"/>
      <c r="AE2090" s="1025"/>
      <c r="AF2090" s="1030"/>
      <c r="AG2090" s="690"/>
      <c r="AH2090" s="690"/>
      <c r="AI2090" s="696">
        <f t="shared" si="275"/>
        <v>209928</v>
      </c>
      <c r="AJ2090" s="697">
        <f t="shared" si="276"/>
        <v>206445</v>
      </c>
    </row>
    <row r="2091" spans="1:36" s="700" customFormat="1" ht="12.75" customHeight="1">
      <c r="A2091" s="789" t="s">
        <v>213</v>
      </c>
      <c r="B2091" s="789" t="s">
        <v>394</v>
      </c>
      <c r="C2091" s="793" t="s">
        <v>451</v>
      </c>
      <c r="D2091" s="793"/>
      <c r="E2091" s="791">
        <v>199740</v>
      </c>
      <c r="F2091" s="792">
        <v>9</v>
      </c>
      <c r="G2091" s="1025"/>
      <c r="H2091" s="690"/>
      <c r="I2091" s="1030">
        <v>133206</v>
      </c>
      <c r="J2091" s="690">
        <v>142610</v>
      </c>
      <c r="K2091" s="1030"/>
      <c r="L2091" s="690"/>
      <c r="M2091" s="1025"/>
      <c r="N2091" s="1030"/>
      <c r="O2091" s="692">
        <f t="shared" si="269"/>
        <v>0</v>
      </c>
      <c r="P2091" s="690"/>
      <c r="Q2091" s="690"/>
      <c r="R2091" s="691">
        <f t="shared" si="270"/>
        <v>0</v>
      </c>
      <c r="S2091" s="692">
        <f t="shared" si="271"/>
        <v>133206</v>
      </c>
      <c r="T2091" s="693">
        <f t="shared" si="272"/>
        <v>142610</v>
      </c>
      <c r="U2091" s="1035"/>
      <c r="V2091" s="690"/>
      <c r="W2091" s="1025"/>
      <c r="X2091" s="1030"/>
      <c r="Y2091" s="694">
        <f t="shared" si="273"/>
        <v>0</v>
      </c>
      <c r="Z2091" s="690"/>
      <c r="AA2091" s="690"/>
      <c r="AB2091" s="695">
        <f t="shared" si="274"/>
        <v>0</v>
      </c>
      <c r="AC2091" s="1035"/>
      <c r="AD2091" s="690"/>
      <c r="AE2091" s="1025"/>
      <c r="AF2091" s="1030"/>
      <c r="AG2091" s="690"/>
      <c r="AH2091" s="690"/>
      <c r="AI2091" s="696">
        <f t="shared" si="275"/>
        <v>133206</v>
      </c>
      <c r="AJ2091" s="697">
        <f t="shared" si="276"/>
        <v>142610</v>
      </c>
    </row>
    <row r="2092" spans="1:36" s="700" customFormat="1" ht="12.75" customHeight="1">
      <c r="A2092" s="789" t="s">
        <v>213</v>
      </c>
      <c r="B2092" s="789" t="s">
        <v>403</v>
      </c>
      <c r="C2092" s="793" t="s">
        <v>386</v>
      </c>
      <c r="D2092" s="793"/>
      <c r="E2092" s="791">
        <v>199740</v>
      </c>
      <c r="F2092" s="792">
        <v>9</v>
      </c>
      <c r="G2092" s="1025"/>
      <c r="H2092" s="690"/>
      <c r="I2092" s="1030">
        <v>1018651</v>
      </c>
      <c r="J2092" s="690">
        <v>672005</v>
      </c>
      <c r="K2092" s="1030"/>
      <c r="L2092" s="690"/>
      <c r="M2092" s="1025">
        <v>164256</v>
      </c>
      <c r="N2092" s="1030"/>
      <c r="O2092" s="692">
        <f t="shared" si="269"/>
        <v>164256</v>
      </c>
      <c r="P2092" s="690">
        <v>448410</v>
      </c>
      <c r="Q2092" s="690"/>
      <c r="R2092" s="691">
        <f t="shared" si="270"/>
        <v>448410</v>
      </c>
      <c r="S2092" s="692">
        <f t="shared" si="271"/>
        <v>1182907</v>
      </c>
      <c r="T2092" s="693">
        <f t="shared" si="272"/>
        <v>1120415</v>
      </c>
      <c r="U2092" s="1035"/>
      <c r="V2092" s="690"/>
      <c r="W2092" s="1025"/>
      <c r="X2092" s="1030"/>
      <c r="Y2092" s="694">
        <f t="shared" si="273"/>
        <v>0</v>
      </c>
      <c r="Z2092" s="690"/>
      <c r="AA2092" s="690"/>
      <c r="AB2092" s="695">
        <f t="shared" si="274"/>
        <v>0</v>
      </c>
      <c r="AC2092" s="1035"/>
      <c r="AD2092" s="690"/>
      <c r="AE2092" s="1025"/>
      <c r="AF2092" s="1030"/>
      <c r="AG2092" s="690"/>
      <c r="AH2092" s="690"/>
      <c r="AI2092" s="696">
        <f t="shared" si="275"/>
        <v>1182907</v>
      </c>
      <c r="AJ2092" s="697">
        <f t="shared" si="276"/>
        <v>1120415</v>
      </c>
    </row>
    <row r="2093" spans="1:36" s="700" customFormat="1" ht="12.75" customHeight="1">
      <c r="A2093" s="789" t="s">
        <v>213</v>
      </c>
      <c r="B2093" s="789" t="s">
        <v>392</v>
      </c>
      <c r="C2093" s="930" t="s">
        <v>1287</v>
      </c>
      <c r="D2093" s="930"/>
      <c r="E2093" s="791">
        <v>199768</v>
      </c>
      <c r="F2093" s="792">
        <v>9</v>
      </c>
      <c r="G2093" s="1025">
        <v>12158138</v>
      </c>
      <c r="H2093" s="690">
        <v>11953476</v>
      </c>
      <c r="I2093" s="1030"/>
      <c r="J2093" s="690"/>
      <c r="K2093" s="1162">
        <v>2503797</v>
      </c>
      <c r="L2093" s="1163">
        <v>2563817</v>
      </c>
      <c r="M2093" s="1025">
        <v>3194960</v>
      </c>
      <c r="N2093" s="1030"/>
      <c r="O2093" s="692">
        <f t="shared" si="269"/>
        <v>3194960</v>
      </c>
      <c r="P2093" s="690">
        <v>3878296</v>
      </c>
      <c r="Q2093" s="690"/>
      <c r="R2093" s="691">
        <f t="shared" si="270"/>
        <v>3878296</v>
      </c>
      <c r="S2093" s="692">
        <f t="shared" si="271"/>
        <v>17856895</v>
      </c>
      <c r="T2093" s="693">
        <f t="shared" si="272"/>
        <v>18395589</v>
      </c>
      <c r="U2093" s="1035"/>
      <c r="V2093" s="690"/>
      <c r="W2093" s="1025"/>
      <c r="X2093" s="1030"/>
      <c r="Y2093" s="694">
        <f t="shared" si="273"/>
        <v>0</v>
      </c>
      <c r="Z2093" s="690"/>
      <c r="AA2093" s="690"/>
      <c r="AB2093" s="695">
        <f t="shared" si="274"/>
        <v>0</v>
      </c>
      <c r="AC2093" s="1035"/>
      <c r="AD2093" s="690"/>
      <c r="AE2093" s="1025"/>
      <c r="AF2093" s="1030"/>
      <c r="AG2093" s="690"/>
      <c r="AH2093" s="690"/>
      <c r="AI2093" s="696">
        <f t="shared" si="275"/>
        <v>17856895</v>
      </c>
      <c r="AJ2093" s="697">
        <f t="shared" si="276"/>
        <v>18395589</v>
      </c>
    </row>
    <row r="2094" spans="1:36" s="700" customFormat="1" ht="12.75" customHeight="1">
      <c r="A2094" s="789" t="s">
        <v>213</v>
      </c>
      <c r="B2094" s="789" t="s">
        <v>392</v>
      </c>
      <c r="C2094" s="793" t="s">
        <v>1248</v>
      </c>
      <c r="D2094" s="793"/>
      <c r="E2094" s="791">
        <v>199768</v>
      </c>
      <c r="F2094" s="792">
        <v>9</v>
      </c>
      <c r="G2094" s="1025"/>
      <c r="H2094" s="690"/>
      <c r="I2094" s="1030">
        <v>149994</v>
      </c>
      <c r="J2094" s="690">
        <v>132038</v>
      </c>
      <c r="K2094" s="1030"/>
      <c r="L2094" s="690"/>
      <c r="M2094" s="1025"/>
      <c r="N2094" s="1030"/>
      <c r="O2094" s="692">
        <f t="shared" si="269"/>
        <v>0</v>
      </c>
      <c r="P2094" s="690"/>
      <c r="Q2094" s="690"/>
      <c r="R2094" s="691">
        <f t="shared" si="270"/>
        <v>0</v>
      </c>
      <c r="S2094" s="692">
        <f t="shared" si="271"/>
        <v>149994</v>
      </c>
      <c r="T2094" s="693">
        <f t="shared" si="272"/>
        <v>132038</v>
      </c>
      <c r="U2094" s="1035"/>
      <c r="V2094" s="690"/>
      <c r="W2094" s="1025"/>
      <c r="X2094" s="1030"/>
      <c r="Y2094" s="694">
        <f t="shared" si="273"/>
        <v>0</v>
      </c>
      <c r="Z2094" s="690"/>
      <c r="AA2094" s="690"/>
      <c r="AB2094" s="695">
        <f t="shared" si="274"/>
        <v>0</v>
      </c>
      <c r="AC2094" s="1035"/>
      <c r="AD2094" s="690"/>
      <c r="AE2094" s="1025"/>
      <c r="AF2094" s="1030"/>
      <c r="AG2094" s="690"/>
      <c r="AH2094" s="690"/>
      <c r="AI2094" s="696">
        <f t="shared" si="275"/>
        <v>149994</v>
      </c>
      <c r="AJ2094" s="697">
        <f t="shared" si="276"/>
        <v>132038</v>
      </c>
    </row>
    <row r="2095" spans="1:36" s="700" customFormat="1" ht="12.75" customHeight="1">
      <c r="A2095" s="789" t="s">
        <v>213</v>
      </c>
      <c r="B2095" s="789" t="s">
        <v>394</v>
      </c>
      <c r="C2095" s="793" t="s">
        <v>451</v>
      </c>
      <c r="D2095" s="793"/>
      <c r="E2095" s="791">
        <v>199768</v>
      </c>
      <c r="F2095" s="792">
        <v>9</v>
      </c>
      <c r="G2095" s="1025"/>
      <c r="H2095" s="690"/>
      <c r="I2095" s="1030">
        <v>139506</v>
      </c>
      <c r="J2095" s="690">
        <v>145565</v>
      </c>
      <c r="K2095" s="1030"/>
      <c r="L2095" s="690"/>
      <c r="M2095" s="1025"/>
      <c r="N2095" s="1030"/>
      <c r="O2095" s="692">
        <f t="shared" si="269"/>
        <v>0</v>
      </c>
      <c r="P2095" s="690"/>
      <c r="Q2095" s="690"/>
      <c r="R2095" s="691">
        <f t="shared" si="270"/>
        <v>0</v>
      </c>
      <c r="S2095" s="692">
        <f t="shared" si="271"/>
        <v>139506</v>
      </c>
      <c r="T2095" s="693">
        <f t="shared" si="272"/>
        <v>145565</v>
      </c>
      <c r="U2095" s="1035"/>
      <c r="V2095" s="690"/>
      <c r="W2095" s="1025"/>
      <c r="X2095" s="1030"/>
      <c r="Y2095" s="694">
        <f t="shared" si="273"/>
        <v>0</v>
      </c>
      <c r="Z2095" s="690"/>
      <c r="AA2095" s="690"/>
      <c r="AB2095" s="695">
        <f t="shared" si="274"/>
        <v>0</v>
      </c>
      <c r="AC2095" s="1035"/>
      <c r="AD2095" s="690"/>
      <c r="AE2095" s="1025"/>
      <c r="AF2095" s="1030"/>
      <c r="AG2095" s="690"/>
      <c r="AH2095" s="690"/>
      <c r="AI2095" s="696">
        <f t="shared" si="275"/>
        <v>139506</v>
      </c>
      <c r="AJ2095" s="697">
        <f t="shared" si="276"/>
        <v>145565</v>
      </c>
    </row>
    <row r="2096" spans="1:36" s="700" customFormat="1" ht="12.75" customHeight="1">
      <c r="A2096" s="789" t="s">
        <v>213</v>
      </c>
      <c r="B2096" s="789" t="s">
        <v>403</v>
      </c>
      <c r="C2096" s="793" t="s">
        <v>386</v>
      </c>
      <c r="D2096" s="793"/>
      <c r="E2096" s="791">
        <v>199768</v>
      </c>
      <c r="F2096" s="792">
        <v>9</v>
      </c>
      <c r="G2096" s="1025"/>
      <c r="H2096" s="690"/>
      <c r="I2096" s="1030">
        <v>1276280</v>
      </c>
      <c r="J2096" s="690">
        <v>1216234</v>
      </c>
      <c r="K2096" s="1030"/>
      <c r="L2096" s="690"/>
      <c r="M2096" s="1025">
        <v>155660</v>
      </c>
      <c r="N2096" s="1030"/>
      <c r="O2096" s="692">
        <f t="shared" si="269"/>
        <v>155660</v>
      </c>
      <c r="P2096" s="690">
        <v>304442</v>
      </c>
      <c r="Q2096" s="690"/>
      <c r="R2096" s="691">
        <f t="shared" si="270"/>
        <v>304442</v>
      </c>
      <c r="S2096" s="692">
        <f t="shared" si="271"/>
        <v>1431940</v>
      </c>
      <c r="T2096" s="693">
        <f t="shared" si="272"/>
        <v>1520676</v>
      </c>
      <c r="U2096" s="1035"/>
      <c r="V2096" s="690"/>
      <c r="W2096" s="1025"/>
      <c r="X2096" s="1030"/>
      <c r="Y2096" s="694">
        <f t="shared" si="273"/>
        <v>0</v>
      </c>
      <c r="Z2096" s="690"/>
      <c r="AA2096" s="690"/>
      <c r="AB2096" s="695">
        <f t="shared" si="274"/>
        <v>0</v>
      </c>
      <c r="AC2096" s="1035"/>
      <c r="AD2096" s="690"/>
      <c r="AE2096" s="1025"/>
      <c r="AF2096" s="1030"/>
      <c r="AG2096" s="690"/>
      <c r="AH2096" s="690"/>
      <c r="AI2096" s="696">
        <f t="shared" si="275"/>
        <v>1431940</v>
      </c>
      <c r="AJ2096" s="697">
        <f t="shared" si="276"/>
        <v>1520676</v>
      </c>
    </row>
    <row r="2097" spans="1:36" s="700" customFormat="1" ht="12.75" customHeight="1">
      <c r="A2097" s="789" t="s">
        <v>213</v>
      </c>
      <c r="B2097" s="789" t="s">
        <v>392</v>
      </c>
      <c r="C2097" s="930" t="s">
        <v>1288</v>
      </c>
      <c r="D2097" s="930"/>
      <c r="E2097" s="791">
        <v>199838</v>
      </c>
      <c r="F2097" s="792">
        <v>9</v>
      </c>
      <c r="G2097" s="1025">
        <v>16814738</v>
      </c>
      <c r="H2097" s="690">
        <v>15430288</v>
      </c>
      <c r="I2097" s="1030"/>
      <c r="J2097" s="690"/>
      <c r="K2097" s="1162">
        <v>2030010</v>
      </c>
      <c r="L2097" s="1163">
        <v>2052220</v>
      </c>
      <c r="M2097" s="1025">
        <v>3786644</v>
      </c>
      <c r="N2097" s="1030"/>
      <c r="O2097" s="692">
        <f t="shared" si="269"/>
        <v>3786644</v>
      </c>
      <c r="P2097" s="690">
        <v>4325631</v>
      </c>
      <c r="Q2097" s="690"/>
      <c r="R2097" s="691">
        <f t="shared" si="270"/>
        <v>4325631</v>
      </c>
      <c r="S2097" s="692">
        <f t="shared" si="271"/>
        <v>22631392</v>
      </c>
      <c r="T2097" s="693">
        <f t="shared" si="272"/>
        <v>21808139</v>
      </c>
      <c r="U2097" s="1035"/>
      <c r="V2097" s="690"/>
      <c r="W2097" s="1025"/>
      <c r="X2097" s="1030"/>
      <c r="Y2097" s="694">
        <f t="shared" si="273"/>
        <v>0</v>
      </c>
      <c r="Z2097" s="690"/>
      <c r="AA2097" s="690"/>
      <c r="AB2097" s="695">
        <f t="shared" si="274"/>
        <v>0</v>
      </c>
      <c r="AC2097" s="1035"/>
      <c r="AD2097" s="690"/>
      <c r="AE2097" s="1025"/>
      <c r="AF2097" s="1030"/>
      <c r="AG2097" s="690"/>
      <c r="AH2097" s="690"/>
      <c r="AI2097" s="696">
        <f t="shared" si="275"/>
        <v>22631392</v>
      </c>
      <c r="AJ2097" s="697">
        <f t="shared" si="276"/>
        <v>21808139</v>
      </c>
    </row>
    <row r="2098" spans="1:36" s="700" customFormat="1" ht="12.75" customHeight="1">
      <c r="A2098" s="789" t="s">
        <v>213</v>
      </c>
      <c r="B2098" s="789" t="s">
        <v>392</v>
      </c>
      <c r="C2098" s="793" t="s">
        <v>1248</v>
      </c>
      <c r="D2098" s="793"/>
      <c r="E2098" s="791">
        <v>199838</v>
      </c>
      <c r="F2098" s="792">
        <v>9</v>
      </c>
      <c r="G2098" s="1025"/>
      <c r="H2098" s="690"/>
      <c r="I2098" s="1030">
        <v>226605</v>
      </c>
      <c r="J2098" s="690">
        <v>210870</v>
      </c>
      <c r="K2098" s="1030"/>
      <c r="L2098" s="690"/>
      <c r="M2098" s="1025"/>
      <c r="N2098" s="1030"/>
      <c r="O2098" s="692">
        <f t="shared" si="269"/>
        <v>0</v>
      </c>
      <c r="P2098" s="690"/>
      <c r="Q2098" s="690"/>
      <c r="R2098" s="691">
        <f t="shared" si="270"/>
        <v>0</v>
      </c>
      <c r="S2098" s="692">
        <f t="shared" si="271"/>
        <v>226605</v>
      </c>
      <c r="T2098" s="693">
        <f t="shared" si="272"/>
        <v>210870</v>
      </c>
      <c r="U2098" s="1035"/>
      <c r="V2098" s="690"/>
      <c r="W2098" s="1025"/>
      <c r="X2098" s="1030"/>
      <c r="Y2098" s="694">
        <f t="shared" si="273"/>
        <v>0</v>
      </c>
      <c r="Z2098" s="690"/>
      <c r="AA2098" s="690"/>
      <c r="AB2098" s="695">
        <f t="shared" si="274"/>
        <v>0</v>
      </c>
      <c r="AC2098" s="1035"/>
      <c r="AD2098" s="690"/>
      <c r="AE2098" s="1025"/>
      <c r="AF2098" s="1030"/>
      <c r="AG2098" s="690"/>
      <c r="AH2098" s="690"/>
      <c r="AI2098" s="696">
        <f t="shared" si="275"/>
        <v>226605</v>
      </c>
      <c r="AJ2098" s="697">
        <f t="shared" si="276"/>
        <v>210870</v>
      </c>
    </row>
    <row r="2099" spans="1:36" s="700" customFormat="1" ht="12.75" customHeight="1">
      <c r="A2099" s="789" t="s">
        <v>213</v>
      </c>
      <c r="B2099" s="789" t="s">
        <v>394</v>
      </c>
      <c r="C2099" s="793" t="s">
        <v>451</v>
      </c>
      <c r="D2099" s="793"/>
      <c r="E2099" s="791">
        <v>199838</v>
      </c>
      <c r="F2099" s="792">
        <v>9</v>
      </c>
      <c r="G2099" s="1025"/>
      <c r="H2099" s="690"/>
      <c r="I2099" s="1030">
        <v>152206</v>
      </c>
      <c r="J2099" s="690">
        <v>161331</v>
      </c>
      <c r="K2099" s="1030"/>
      <c r="L2099" s="690"/>
      <c r="M2099" s="1025"/>
      <c r="N2099" s="1030"/>
      <c r="O2099" s="692">
        <f t="shared" si="269"/>
        <v>0</v>
      </c>
      <c r="P2099" s="690"/>
      <c r="Q2099" s="690"/>
      <c r="R2099" s="691">
        <f t="shared" si="270"/>
        <v>0</v>
      </c>
      <c r="S2099" s="692">
        <f t="shared" si="271"/>
        <v>152206</v>
      </c>
      <c r="T2099" s="693">
        <f t="shared" si="272"/>
        <v>161331</v>
      </c>
      <c r="U2099" s="1035"/>
      <c r="V2099" s="690"/>
      <c r="W2099" s="1025"/>
      <c r="X2099" s="1030"/>
      <c r="Y2099" s="694">
        <f t="shared" si="273"/>
        <v>0</v>
      </c>
      <c r="Z2099" s="690"/>
      <c r="AA2099" s="690"/>
      <c r="AB2099" s="695">
        <f t="shared" si="274"/>
        <v>0</v>
      </c>
      <c r="AC2099" s="1035"/>
      <c r="AD2099" s="690"/>
      <c r="AE2099" s="1025"/>
      <c r="AF2099" s="1030"/>
      <c r="AG2099" s="690"/>
      <c r="AH2099" s="690"/>
      <c r="AI2099" s="696">
        <f t="shared" si="275"/>
        <v>152206</v>
      </c>
      <c r="AJ2099" s="697">
        <f t="shared" si="276"/>
        <v>161331</v>
      </c>
    </row>
    <row r="2100" spans="1:36" s="700" customFormat="1" ht="12.75" customHeight="1">
      <c r="A2100" s="789" t="s">
        <v>213</v>
      </c>
      <c r="B2100" s="789" t="s">
        <v>403</v>
      </c>
      <c r="C2100" s="793" t="s">
        <v>386</v>
      </c>
      <c r="D2100" s="793"/>
      <c r="E2100" s="791">
        <v>199838</v>
      </c>
      <c r="F2100" s="792">
        <v>9</v>
      </c>
      <c r="G2100" s="1025"/>
      <c r="H2100" s="690"/>
      <c r="I2100" s="1030">
        <v>1784848</v>
      </c>
      <c r="J2100" s="690">
        <v>1419505</v>
      </c>
      <c r="K2100" s="1030"/>
      <c r="L2100" s="690"/>
      <c r="M2100" s="1025">
        <v>240211</v>
      </c>
      <c r="N2100" s="1030"/>
      <c r="O2100" s="692">
        <f t="shared" si="269"/>
        <v>240211</v>
      </c>
      <c r="P2100" s="690">
        <v>355782</v>
      </c>
      <c r="Q2100" s="690"/>
      <c r="R2100" s="691">
        <f t="shared" si="270"/>
        <v>355782</v>
      </c>
      <c r="S2100" s="692">
        <f t="shared" si="271"/>
        <v>2025059</v>
      </c>
      <c r="T2100" s="693">
        <f t="shared" si="272"/>
        <v>1775287</v>
      </c>
      <c r="U2100" s="1035"/>
      <c r="V2100" s="690"/>
      <c r="W2100" s="1025"/>
      <c r="X2100" s="1030"/>
      <c r="Y2100" s="694">
        <f t="shared" si="273"/>
        <v>0</v>
      </c>
      <c r="Z2100" s="690"/>
      <c r="AA2100" s="690"/>
      <c r="AB2100" s="695">
        <f t="shared" si="274"/>
        <v>0</v>
      </c>
      <c r="AC2100" s="1035"/>
      <c r="AD2100" s="690"/>
      <c r="AE2100" s="1025"/>
      <c r="AF2100" s="1030"/>
      <c r="AG2100" s="690"/>
      <c r="AH2100" s="690"/>
      <c r="AI2100" s="696">
        <f t="shared" si="275"/>
        <v>2025059</v>
      </c>
      <c r="AJ2100" s="697">
        <f t="shared" si="276"/>
        <v>1775287</v>
      </c>
    </row>
    <row r="2101" spans="1:36" s="700" customFormat="1" ht="12.75" customHeight="1">
      <c r="A2101" s="789" t="s">
        <v>213</v>
      </c>
      <c r="B2101" s="789" t="s">
        <v>392</v>
      </c>
      <c r="C2101" s="930" t="s">
        <v>1289</v>
      </c>
      <c r="D2101" s="930"/>
      <c r="E2101" s="791">
        <v>199892</v>
      </c>
      <c r="F2101" s="792">
        <v>9</v>
      </c>
      <c r="G2101" s="1025">
        <v>12317250</v>
      </c>
      <c r="H2101" s="690">
        <v>12884326</v>
      </c>
      <c r="I2101" s="1030"/>
      <c r="J2101" s="690"/>
      <c r="K2101" s="1162">
        <v>3028684</v>
      </c>
      <c r="L2101" s="1163">
        <v>3028684</v>
      </c>
      <c r="M2101" s="1025">
        <v>3509510</v>
      </c>
      <c r="N2101" s="1030"/>
      <c r="O2101" s="692">
        <f t="shared" si="269"/>
        <v>3509510</v>
      </c>
      <c r="P2101" s="690">
        <v>4454885</v>
      </c>
      <c r="Q2101" s="690"/>
      <c r="R2101" s="691">
        <f t="shared" si="270"/>
        <v>4454885</v>
      </c>
      <c r="S2101" s="692">
        <f t="shared" si="271"/>
        <v>18855444</v>
      </c>
      <c r="T2101" s="693">
        <f t="shared" si="272"/>
        <v>20367895</v>
      </c>
      <c r="U2101" s="1035"/>
      <c r="V2101" s="690"/>
      <c r="W2101" s="1025"/>
      <c r="X2101" s="1030"/>
      <c r="Y2101" s="694">
        <f t="shared" si="273"/>
        <v>0</v>
      </c>
      <c r="Z2101" s="690"/>
      <c r="AA2101" s="690"/>
      <c r="AB2101" s="695">
        <f t="shared" si="274"/>
        <v>0</v>
      </c>
      <c r="AC2101" s="1035"/>
      <c r="AD2101" s="690"/>
      <c r="AE2101" s="1025"/>
      <c r="AF2101" s="1030"/>
      <c r="AG2101" s="690"/>
      <c r="AH2101" s="690"/>
      <c r="AI2101" s="696">
        <f t="shared" si="275"/>
        <v>18855444</v>
      </c>
      <c r="AJ2101" s="697">
        <f t="shared" si="276"/>
        <v>20367895</v>
      </c>
    </row>
    <row r="2102" spans="1:36" s="700" customFormat="1" ht="12.75" customHeight="1">
      <c r="A2102" s="789" t="s">
        <v>213</v>
      </c>
      <c r="B2102" s="789" t="s">
        <v>392</v>
      </c>
      <c r="C2102" s="793" t="s">
        <v>1248</v>
      </c>
      <c r="D2102" s="793"/>
      <c r="E2102" s="791">
        <v>199892</v>
      </c>
      <c r="F2102" s="792">
        <v>9</v>
      </c>
      <c r="G2102" s="1025"/>
      <c r="H2102" s="690"/>
      <c r="I2102" s="1030">
        <v>162321</v>
      </c>
      <c r="J2102" s="690">
        <v>156486</v>
      </c>
      <c r="K2102" s="1030"/>
      <c r="L2102" s="690"/>
      <c r="M2102" s="1025"/>
      <c r="N2102" s="1030"/>
      <c r="O2102" s="692">
        <f t="shared" si="269"/>
        <v>0</v>
      </c>
      <c r="P2102" s="690"/>
      <c r="Q2102" s="690"/>
      <c r="R2102" s="691">
        <f t="shared" si="270"/>
        <v>0</v>
      </c>
      <c r="S2102" s="692">
        <f t="shared" si="271"/>
        <v>162321</v>
      </c>
      <c r="T2102" s="693">
        <f t="shared" si="272"/>
        <v>156486</v>
      </c>
      <c r="U2102" s="1035"/>
      <c r="V2102" s="690"/>
      <c r="W2102" s="1025"/>
      <c r="X2102" s="1030"/>
      <c r="Y2102" s="694">
        <f t="shared" si="273"/>
        <v>0</v>
      </c>
      <c r="Z2102" s="690"/>
      <c r="AA2102" s="690"/>
      <c r="AB2102" s="695">
        <f t="shared" si="274"/>
        <v>0</v>
      </c>
      <c r="AC2102" s="1035"/>
      <c r="AD2102" s="690"/>
      <c r="AE2102" s="1025"/>
      <c r="AF2102" s="1030"/>
      <c r="AG2102" s="690"/>
      <c r="AH2102" s="690"/>
      <c r="AI2102" s="696">
        <f t="shared" si="275"/>
        <v>162321</v>
      </c>
      <c r="AJ2102" s="697">
        <f t="shared" si="276"/>
        <v>156486</v>
      </c>
    </row>
    <row r="2103" spans="1:36" s="700" customFormat="1" ht="12.75" customHeight="1">
      <c r="A2103" s="789" t="s">
        <v>213</v>
      </c>
      <c r="B2103" s="789" t="s">
        <v>394</v>
      </c>
      <c r="C2103" s="793" t="s">
        <v>451</v>
      </c>
      <c r="D2103" s="793"/>
      <c r="E2103" s="791">
        <v>199892</v>
      </c>
      <c r="F2103" s="792">
        <v>9</v>
      </c>
      <c r="G2103" s="1025"/>
      <c r="H2103" s="690"/>
      <c r="I2103" s="1030">
        <v>145906</v>
      </c>
      <c r="J2103" s="690">
        <v>153152</v>
      </c>
      <c r="K2103" s="1030"/>
      <c r="L2103" s="690"/>
      <c r="M2103" s="1025"/>
      <c r="N2103" s="1030"/>
      <c r="O2103" s="692">
        <f t="shared" si="269"/>
        <v>0</v>
      </c>
      <c r="P2103" s="690"/>
      <c r="Q2103" s="690"/>
      <c r="R2103" s="691">
        <f t="shared" si="270"/>
        <v>0</v>
      </c>
      <c r="S2103" s="692">
        <f t="shared" si="271"/>
        <v>145906</v>
      </c>
      <c r="T2103" s="693">
        <f t="shared" si="272"/>
        <v>153152</v>
      </c>
      <c r="U2103" s="1035"/>
      <c r="V2103" s="690"/>
      <c r="W2103" s="1025"/>
      <c r="X2103" s="1030"/>
      <c r="Y2103" s="694">
        <f t="shared" si="273"/>
        <v>0</v>
      </c>
      <c r="Z2103" s="690"/>
      <c r="AA2103" s="690"/>
      <c r="AB2103" s="695">
        <f t="shared" si="274"/>
        <v>0</v>
      </c>
      <c r="AC2103" s="1035"/>
      <c r="AD2103" s="690"/>
      <c r="AE2103" s="1025"/>
      <c r="AF2103" s="1030"/>
      <c r="AG2103" s="690"/>
      <c r="AH2103" s="690"/>
      <c r="AI2103" s="696">
        <f t="shared" si="275"/>
        <v>145906</v>
      </c>
      <c r="AJ2103" s="697">
        <f t="shared" si="276"/>
        <v>153152</v>
      </c>
    </row>
    <row r="2104" spans="1:36" s="700" customFormat="1" ht="12.75" customHeight="1">
      <c r="A2104" s="789" t="s">
        <v>213</v>
      </c>
      <c r="B2104" s="789" t="s">
        <v>403</v>
      </c>
      <c r="C2104" s="793" t="s">
        <v>386</v>
      </c>
      <c r="D2104" s="793"/>
      <c r="E2104" s="791">
        <v>199892</v>
      </c>
      <c r="F2104" s="792">
        <v>9</v>
      </c>
      <c r="G2104" s="1025"/>
      <c r="H2104" s="690"/>
      <c r="I2104" s="1030">
        <v>1474470</v>
      </c>
      <c r="J2104" s="690">
        <v>1285186</v>
      </c>
      <c r="K2104" s="1030"/>
      <c r="L2104" s="690"/>
      <c r="M2104" s="1025">
        <v>163995</v>
      </c>
      <c r="N2104" s="1030"/>
      <c r="O2104" s="692">
        <f t="shared" si="269"/>
        <v>163995</v>
      </c>
      <c r="P2104" s="690">
        <v>301416</v>
      </c>
      <c r="Q2104" s="690"/>
      <c r="R2104" s="691">
        <f t="shared" si="270"/>
        <v>301416</v>
      </c>
      <c r="S2104" s="692">
        <f t="shared" si="271"/>
        <v>1638465</v>
      </c>
      <c r="T2104" s="693">
        <f t="shared" si="272"/>
        <v>1586602</v>
      </c>
      <c r="U2104" s="1035"/>
      <c r="V2104" s="690"/>
      <c r="W2104" s="1025"/>
      <c r="X2104" s="1030"/>
      <c r="Y2104" s="694">
        <f t="shared" si="273"/>
        <v>0</v>
      </c>
      <c r="Z2104" s="690"/>
      <c r="AA2104" s="690"/>
      <c r="AB2104" s="695">
        <f t="shared" si="274"/>
        <v>0</v>
      </c>
      <c r="AC2104" s="1035"/>
      <c r="AD2104" s="690"/>
      <c r="AE2104" s="1025"/>
      <c r="AF2104" s="1030"/>
      <c r="AG2104" s="690"/>
      <c r="AH2104" s="690"/>
      <c r="AI2104" s="696">
        <f t="shared" si="275"/>
        <v>1638465</v>
      </c>
      <c r="AJ2104" s="697">
        <f t="shared" si="276"/>
        <v>1586602</v>
      </c>
    </row>
    <row r="2105" spans="1:36" s="700" customFormat="1" ht="12.75" customHeight="1">
      <c r="A2105" s="789" t="s">
        <v>213</v>
      </c>
      <c r="B2105" s="789" t="s">
        <v>392</v>
      </c>
      <c r="C2105" s="930" t="s">
        <v>1290</v>
      </c>
      <c r="D2105" s="930"/>
      <c r="E2105" s="791">
        <v>199908</v>
      </c>
      <c r="F2105" s="792">
        <v>9</v>
      </c>
      <c r="G2105" s="1025">
        <v>12196647</v>
      </c>
      <c r="H2105" s="690">
        <v>12917961</v>
      </c>
      <c r="I2105" s="1030"/>
      <c r="J2105" s="690"/>
      <c r="K2105" s="1162">
        <v>2225000</v>
      </c>
      <c r="L2105" s="1163">
        <v>2309825</v>
      </c>
      <c r="M2105" s="1025">
        <v>2813294</v>
      </c>
      <c r="N2105" s="1030"/>
      <c r="O2105" s="692">
        <f t="shared" si="269"/>
        <v>2813294</v>
      </c>
      <c r="P2105" s="690">
        <v>3928440</v>
      </c>
      <c r="Q2105" s="690"/>
      <c r="R2105" s="691">
        <f t="shared" si="270"/>
        <v>3928440</v>
      </c>
      <c r="S2105" s="692">
        <f t="shared" si="271"/>
        <v>17234941</v>
      </c>
      <c r="T2105" s="693">
        <f t="shared" si="272"/>
        <v>19156226</v>
      </c>
      <c r="U2105" s="1035"/>
      <c r="V2105" s="690"/>
      <c r="W2105" s="1025"/>
      <c r="X2105" s="1030"/>
      <c r="Y2105" s="694">
        <f t="shared" si="273"/>
        <v>0</v>
      </c>
      <c r="Z2105" s="690"/>
      <c r="AA2105" s="690"/>
      <c r="AB2105" s="695">
        <f t="shared" si="274"/>
        <v>0</v>
      </c>
      <c r="AC2105" s="1035"/>
      <c r="AD2105" s="690"/>
      <c r="AE2105" s="1025"/>
      <c r="AF2105" s="1030"/>
      <c r="AG2105" s="690"/>
      <c r="AH2105" s="690"/>
      <c r="AI2105" s="696">
        <f t="shared" si="275"/>
        <v>17234941</v>
      </c>
      <c r="AJ2105" s="697">
        <f t="shared" si="276"/>
        <v>19156226</v>
      </c>
    </row>
    <row r="2106" spans="1:36" s="700" customFormat="1" ht="12.75" customHeight="1">
      <c r="A2106" s="789" t="s">
        <v>213</v>
      </c>
      <c r="B2106" s="789" t="s">
        <v>392</v>
      </c>
      <c r="C2106" s="793" t="s">
        <v>1248</v>
      </c>
      <c r="D2106" s="793"/>
      <c r="E2106" s="791">
        <v>199908</v>
      </c>
      <c r="F2106" s="792">
        <v>9</v>
      </c>
      <c r="G2106" s="1025"/>
      <c r="H2106" s="690"/>
      <c r="I2106" s="1030">
        <v>166213</v>
      </c>
      <c r="J2106" s="690">
        <v>162055</v>
      </c>
      <c r="K2106" s="1030"/>
      <c r="L2106" s="690"/>
      <c r="M2106" s="1025"/>
      <c r="N2106" s="1030"/>
      <c r="O2106" s="692">
        <f t="shared" si="269"/>
        <v>0</v>
      </c>
      <c r="P2106" s="690"/>
      <c r="Q2106" s="690"/>
      <c r="R2106" s="691">
        <f t="shared" si="270"/>
        <v>0</v>
      </c>
      <c r="S2106" s="692">
        <f t="shared" si="271"/>
        <v>166213</v>
      </c>
      <c r="T2106" s="693">
        <f t="shared" si="272"/>
        <v>162055</v>
      </c>
      <c r="U2106" s="1035"/>
      <c r="V2106" s="690"/>
      <c r="W2106" s="1025"/>
      <c r="X2106" s="1030"/>
      <c r="Y2106" s="694">
        <f t="shared" si="273"/>
        <v>0</v>
      </c>
      <c r="Z2106" s="690"/>
      <c r="AA2106" s="690"/>
      <c r="AB2106" s="695">
        <f t="shared" si="274"/>
        <v>0</v>
      </c>
      <c r="AC2106" s="1035"/>
      <c r="AD2106" s="690"/>
      <c r="AE2106" s="1025"/>
      <c r="AF2106" s="1030"/>
      <c r="AG2106" s="690"/>
      <c r="AH2106" s="690"/>
      <c r="AI2106" s="696">
        <f t="shared" si="275"/>
        <v>166213</v>
      </c>
      <c r="AJ2106" s="697">
        <f t="shared" si="276"/>
        <v>162055</v>
      </c>
    </row>
    <row r="2107" spans="1:36" s="700" customFormat="1" ht="12.75" customHeight="1">
      <c r="A2107" s="789" t="s">
        <v>213</v>
      </c>
      <c r="B2107" s="789" t="s">
        <v>394</v>
      </c>
      <c r="C2107" s="793" t="s">
        <v>451</v>
      </c>
      <c r="D2107" s="793"/>
      <c r="E2107" s="791">
        <v>199908</v>
      </c>
      <c r="F2107" s="792">
        <v>9</v>
      </c>
      <c r="G2107" s="1025"/>
      <c r="H2107" s="690"/>
      <c r="I2107" s="1030">
        <v>142006</v>
      </c>
      <c r="J2107" s="690">
        <v>150724</v>
      </c>
      <c r="K2107" s="1030"/>
      <c r="L2107" s="690"/>
      <c r="M2107" s="1025"/>
      <c r="N2107" s="1030"/>
      <c r="O2107" s="692">
        <f t="shared" si="269"/>
        <v>0</v>
      </c>
      <c r="P2107" s="690"/>
      <c r="Q2107" s="690"/>
      <c r="R2107" s="691">
        <f t="shared" si="270"/>
        <v>0</v>
      </c>
      <c r="S2107" s="692">
        <f t="shared" si="271"/>
        <v>142006</v>
      </c>
      <c r="T2107" s="693">
        <f t="shared" si="272"/>
        <v>150724</v>
      </c>
      <c r="U2107" s="1035"/>
      <c r="V2107" s="690"/>
      <c r="W2107" s="1025"/>
      <c r="X2107" s="1030"/>
      <c r="Y2107" s="694">
        <f t="shared" si="273"/>
        <v>0</v>
      </c>
      <c r="Z2107" s="690"/>
      <c r="AA2107" s="690"/>
      <c r="AB2107" s="695">
        <f t="shared" si="274"/>
        <v>0</v>
      </c>
      <c r="AC2107" s="1035"/>
      <c r="AD2107" s="690"/>
      <c r="AE2107" s="1025"/>
      <c r="AF2107" s="1030"/>
      <c r="AG2107" s="690"/>
      <c r="AH2107" s="690"/>
      <c r="AI2107" s="696">
        <f t="shared" si="275"/>
        <v>142006</v>
      </c>
      <c r="AJ2107" s="697">
        <f t="shared" si="276"/>
        <v>150724</v>
      </c>
    </row>
    <row r="2108" spans="1:36" s="700" customFormat="1" ht="12.75" customHeight="1">
      <c r="A2108" s="789" t="s">
        <v>213</v>
      </c>
      <c r="B2108" s="789" t="s">
        <v>403</v>
      </c>
      <c r="C2108" s="793" t="s">
        <v>386</v>
      </c>
      <c r="D2108" s="793"/>
      <c r="E2108" s="791">
        <v>199908</v>
      </c>
      <c r="F2108" s="792">
        <v>9</v>
      </c>
      <c r="G2108" s="1025"/>
      <c r="H2108" s="690"/>
      <c r="I2108" s="1030">
        <v>1127424</v>
      </c>
      <c r="J2108" s="690">
        <v>1002925</v>
      </c>
      <c r="K2108" s="1030"/>
      <c r="L2108" s="690"/>
      <c r="M2108" s="1025">
        <v>91059</v>
      </c>
      <c r="N2108" s="1030"/>
      <c r="O2108" s="692">
        <f t="shared" si="269"/>
        <v>91059</v>
      </c>
      <c r="P2108" s="690">
        <v>138238</v>
      </c>
      <c r="Q2108" s="690"/>
      <c r="R2108" s="691">
        <f t="shared" si="270"/>
        <v>138238</v>
      </c>
      <c r="S2108" s="692">
        <f t="shared" si="271"/>
        <v>1218483</v>
      </c>
      <c r="T2108" s="693">
        <f t="shared" si="272"/>
        <v>1141163</v>
      </c>
      <c r="U2108" s="1035"/>
      <c r="V2108" s="690"/>
      <c r="W2108" s="1025"/>
      <c r="X2108" s="1030"/>
      <c r="Y2108" s="694">
        <f t="shared" si="273"/>
        <v>0</v>
      </c>
      <c r="Z2108" s="690"/>
      <c r="AA2108" s="690"/>
      <c r="AB2108" s="695">
        <f t="shared" si="274"/>
        <v>0</v>
      </c>
      <c r="AC2108" s="1035"/>
      <c r="AD2108" s="690"/>
      <c r="AE2108" s="1025"/>
      <c r="AF2108" s="1030"/>
      <c r="AG2108" s="690"/>
      <c r="AH2108" s="690"/>
      <c r="AI2108" s="696">
        <f t="shared" si="275"/>
        <v>1218483</v>
      </c>
      <c r="AJ2108" s="697">
        <f t="shared" si="276"/>
        <v>1141163</v>
      </c>
    </row>
    <row r="2109" spans="1:36" s="700" customFormat="1" ht="12.75" customHeight="1">
      <c r="A2109" s="789" t="s">
        <v>213</v>
      </c>
      <c r="B2109" s="789" t="s">
        <v>392</v>
      </c>
      <c r="C2109" s="930" t="s">
        <v>1291</v>
      </c>
      <c r="D2109" s="930"/>
      <c r="E2109" s="791">
        <v>199926</v>
      </c>
      <c r="F2109" s="792">
        <v>9</v>
      </c>
      <c r="G2109" s="1025">
        <v>11158721</v>
      </c>
      <c r="H2109" s="690">
        <v>11594615</v>
      </c>
      <c r="I2109" s="1030"/>
      <c r="J2109" s="690"/>
      <c r="K2109" s="1162">
        <v>3518931</v>
      </c>
      <c r="L2109" s="1163">
        <v>3095129</v>
      </c>
      <c r="M2109" s="1025">
        <v>2752742</v>
      </c>
      <c r="N2109" s="1030"/>
      <c r="O2109" s="692">
        <f t="shared" si="269"/>
        <v>2752742</v>
      </c>
      <c r="P2109" s="690">
        <v>3802106</v>
      </c>
      <c r="Q2109" s="690"/>
      <c r="R2109" s="691">
        <f t="shared" si="270"/>
        <v>3802106</v>
      </c>
      <c r="S2109" s="692">
        <f t="shared" si="271"/>
        <v>17430394</v>
      </c>
      <c r="T2109" s="693">
        <f t="shared" si="272"/>
        <v>18491850</v>
      </c>
      <c r="U2109" s="1035"/>
      <c r="V2109" s="690"/>
      <c r="W2109" s="1025"/>
      <c r="X2109" s="1030"/>
      <c r="Y2109" s="694">
        <f t="shared" si="273"/>
        <v>0</v>
      </c>
      <c r="Z2109" s="690"/>
      <c r="AA2109" s="690"/>
      <c r="AB2109" s="695">
        <f t="shared" si="274"/>
        <v>0</v>
      </c>
      <c r="AC2109" s="1035"/>
      <c r="AD2109" s="690"/>
      <c r="AE2109" s="1025"/>
      <c r="AF2109" s="1030"/>
      <c r="AG2109" s="690"/>
      <c r="AH2109" s="690"/>
      <c r="AI2109" s="696">
        <f t="shared" si="275"/>
        <v>17430394</v>
      </c>
      <c r="AJ2109" s="697">
        <f t="shared" si="276"/>
        <v>18491850</v>
      </c>
    </row>
    <row r="2110" spans="1:36" s="700" customFormat="1" ht="12.75" customHeight="1">
      <c r="A2110" s="789" t="s">
        <v>213</v>
      </c>
      <c r="B2110" s="789" t="s">
        <v>392</v>
      </c>
      <c r="C2110" s="793" t="s">
        <v>1248</v>
      </c>
      <c r="D2110" s="793"/>
      <c r="E2110" s="791">
        <v>199926</v>
      </c>
      <c r="F2110" s="792">
        <v>9</v>
      </c>
      <c r="G2110" s="1025"/>
      <c r="H2110" s="690"/>
      <c r="I2110" s="1030">
        <v>162704</v>
      </c>
      <c r="J2110" s="690">
        <v>191581</v>
      </c>
      <c r="K2110" s="1030"/>
      <c r="L2110" s="690"/>
      <c r="M2110" s="1025"/>
      <c r="N2110" s="1030"/>
      <c r="O2110" s="692">
        <f t="shared" si="269"/>
        <v>0</v>
      </c>
      <c r="P2110" s="690"/>
      <c r="Q2110" s="690"/>
      <c r="R2110" s="691">
        <f t="shared" si="270"/>
        <v>0</v>
      </c>
      <c r="S2110" s="692">
        <f t="shared" si="271"/>
        <v>162704</v>
      </c>
      <c r="T2110" s="693">
        <f t="shared" si="272"/>
        <v>191581</v>
      </c>
      <c r="U2110" s="1035"/>
      <c r="V2110" s="690"/>
      <c r="W2110" s="1025"/>
      <c r="X2110" s="1030"/>
      <c r="Y2110" s="694">
        <f t="shared" si="273"/>
        <v>0</v>
      </c>
      <c r="Z2110" s="690"/>
      <c r="AA2110" s="690"/>
      <c r="AB2110" s="695">
        <f t="shared" si="274"/>
        <v>0</v>
      </c>
      <c r="AC2110" s="1035"/>
      <c r="AD2110" s="690"/>
      <c r="AE2110" s="1025"/>
      <c r="AF2110" s="1030"/>
      <c r="AG2110" s="690"/>
      <c r="AH2110" s="690"/>
      <c r="AI2110" s="696">
        <f t="shared" si="275"/>
        <v>162704</v>
      </c>
      <c r="AJ2110" s="697">
        <f t="shared" si="276"/>
        <v>191581</v>
      </c>
    </row>
    <row r="2111" spans="1:36" s="700" customFormat="1" ht="12.75" customHeight="1">
      <c r="A2111" s="789" t="s">
        <v>213</v>
      </c>
      <c r="B2111" s="789" t="s">
        <v>394</v>
      </c>
      <c r="C2111" s="793" t="s">
        <v>451</v>
      </c>
      <c r="D2111" s="793"/>
      <c r="E2111" s="791">
        <v>199926</v>
      </c>
      <c r="F2111" s="792">
        <v>9</v>
      </c>
      <c r="G2111" s="1025"/>
      <c r="H2111" s="690"/>
      <c r="I2111" s="1030">
        <v>139706</v>
      </c>
      <c r="J2111" s="690">
        <v>146779</v>
      </c>
      <c r="K2111" s="1030"/>
      <c r="L2111" s="690"/>
      <c r="M2111" s="1025"/>
      <c r="N2111" s="1030"/>
      <c r="O2111" s="692">
        <f t="shared" si="269"/>
        <v>0</v>
      </c>
      <c r="P2111" s="690"/>
      <c r="Q2111" s="690"/>
      <c r="R2111" s="691">
        <f t="shared" si="270"/>
        <v>0</v>
      </c>
      <c r="S2111" s="692">
        <f t="shared" si="271"/>
        <v>139706</v>
      </c>
      <c r="T2111" s="693">
        <f t="shared" si="272"/>
        <v>146779</v>
      </c>
      <c r="U2111" s="1035"/>
      <c r="V2111" s="690"/>
      <c r="W2111" s="1025"/>
      <c r="X2111" s="1030"/>
      <c r="Y2111" s="694">
        <f t="shared" si="273"/>
        <v>0</v>
      </c>
      <c r="Z2111" s="690"/>
      <c r="AA2111" s="690"/>
      <c r="AB2111" s="695">
        <f t="shared" si="274"/>
        <v>0</v>
      </c>
      <c r="AC2111" s="1035"/>
      <c r="AD2111" s="690"/>
      <c r="AE2111" s="1025"/>
      <c r="AF2111" s="1030"/>
      <c r="AG2111" s="690"/>
      <c r="AH2111" s="690"/>
      <c r="AI2111" s="696">
        <f t="shared" si="275"/>
        <v>139706</v>
      </c>
      <c r="AJ2111" s="697">
        <f t="shared" si="276"/>
        <v>146779</v>
      </c>
    </row>
    <row r="2112" spans="1:36" s="700" customFormat="1" ht="12.75" customHeight="1">
      <c r="A2112" s="789" t="s">
        <v>213</v>
      </c>
      <c r="B2112" s="789" t="s">
        <v>403</v>
      </c>
      <c r="C2112" s="793" t="s">
        <v>386</v>
      </c>
      <c r="D2112" s="793"/>
      <c r="E2112" s="791">
        <v>199926</v>
      </c>
      <c r="F2112" s="792">
        <v>9</v>
      </c>
      <c r="G2112" s="1025"/>
      <c r="H2112" s="690"/>
      <c r="I2112" s="1030">
        <v>1253336</v>
      </c>
      <c r="J2112" s="690">
        <v>1223952</v>
      </c>
      <c r="K2112" s="1030"/>
      <c r="L2112" s="690"/>
      <c r="M2112" s="1025">
        <v>271133</v>
      </c>
      <c r="N2112" s="1030"/>
      <c r="O2112" s="692">
        <f t="shared" si="269"/>
        <v>271133</v>
      </c>
      <c r="P2112" s="690">
        <v>410390</v>
      </c>
      <c r="Q2112" s="690"/>
      <c r="R2112" s="691">
        <f t="shared" si="270"/>
        <v>410390</v>
      </c>
      <c r="S2112" s="692">
        <f t="shared" si="271"/>
        <v>1524469</v>
      </c>
      <c r="T2112" s="693">
        <f t="shared" si="272"/>
        <v>1634342</v>
      </c>
      <c r="U2112" s="1035"/>
      <c r="V2112" s="690"/>
      <c r="W2112" s="1025"/>
      <c r="X2112" s="1030"/>
      <c r="Y2112" s="694">
        <f t="shared" si="273"/>
        <v>0</v>
      </c>
      <c r="Z2112" s="690"/>
      <c r="AA2112" s="690"/>
      <c r="AB2112" s="695">
        <f t="shared" si="274"/>
        <v>0</v>
      </c>
      <c r="AC2112" s="1035"/>
      <c r="AD2112" s="690"/>
      <c r="AE2112" s="1025"/>
      <c r="AF2112" s="1030"/>
      <c r="AG2112" s="690"/>
      <c r="AH2112" s="690"/>
      <c r="AI2112" s="696">
        <f t="shared" si="275"/>
        <v>1524469</v>
      </c>
      <c r="AJ2112" s="697">
        <f t="shared" si="276"/>
        <v>1634342</v>
      </c>
    </row>
    <row r="2113" spans="1:36" s="700" customFormat="1" ht="12.75" customHeight="1">
      <c r="A2113" s="789" t="s">
        <v>213</v>
      </c>
      <c r="B2113" s="789" t="s">
        <v>392</v>
      </c>
      <c r="C2113" s="1078" t="s">
        <v>1292</v>
      </c>
      <c r="D2113" s="1079" t="s">
        <v>1969</v>
      </c>
      <c r="E2113" s="791">
        <v>199953</v>
      </c>
      <c r="F2113" s="1080">
        <v>10</v>
      </c>
      <c r="G2113" s="1025">
        <v>8080731</v>
      </c>
      <c r="H2113" s="690">
        <v>7839768</v>
      </c>
      <c r="I2113" s="1030"/>
      <c r="J2113" s="690"/>
      <c r="K2113" s="1162">
        <v>1767523</v>
      </c>
      <c r="L2113" s="1163">
        <v>1714497</v>
      </c>
      <c r="M2113" s="1025">
        <v>2094460</v>
      </c>
      <c r="N2113" s="1030"/>
      <c r="O2113" s="692">
        <f t="shared" si="269"/>
        <v>2094460</v>
      </c>
      <c r="P2113" s="690">
        <v>2925489</v>
      </c>
      <c r="Q2113" s="690"/>
      <c r="R2113" s="691">
        <f t="shared" si="270"/>
        <v>2925489</v>
      </c>
      <c r="S2113" s="692">
        <f t="shared" si="271"/>
        <v>11942714</v>
      </c>
      <c r="T2113" s="693">
        <f t="shared" si="272"/>
        <v>12479754</v>
      </c>
      <c r="U2113" s="1035"/>
      <c r="V2113" s="690"/>
      <c r="W2113" s="1025"/>
      <c r="X2113" s="1030"/>
      <c r="Y2113" s="694">
        <f t="shared" si="273"/>
        <v>0</v>
      </c>
      <c r="Z2113" s="690"/>
      <c r="AA2113" s="690"/>
      <c r="AB2113" s="695">
        <f t="shared" si="274"/>
        <v>0</v>
      </c>
      <c r="AC2113" s="1035"/>
      <c r="AD2113" s="690"/>
      <c r="AE2113" s="1025"/>
      <c r="AF2113" s="1030"/>
      <c r="AG2113" s="690"/>
      <c r="AH2113" s="690"/>
      <c r="AI2113" s="696">
        <f t="shared" si="275"/>
        <v>11942714</v>
      </c>
      <c r="AJ2113" s="697">
        <f t="shared" si="276"/>
        <v>12479754</v>
      </c>
    </row>
    <row r="2114" spans="1:36" s="700" customFormat="1" ht="12.75" customHeight="1">
      <c r="A2114" s="789" t="s">
        <v>213</v>
      </c>
      <c r="B2114" s="789" t="s">
        <v>392</v>
      </c>
      <c r="C2114" s="793" t="s">
        <v>1248</v>
      </c>
      <c r="D2114" s="793"/>
      <c r="E2114" s="791">
        <v>199953</v>
      </c>
      <c r="F2114" s="1080">
        <v>10</v>
      </c>
      <c r="G2114" s="1025"/>
      <c r="H2114" s="690"/>
      <c r="I2114" s="1030">
        <v>103516</v>
      </c>
      <c r="J2114" s="690">
        <v>79023</v>
      </c>
      <c r="K2114" s="1030"/>
      <c r="L2114" s="690"/>
      <c r="M2114" s="1025"/>
      <c r="N2114" s="1030"/>
      <c r="O2114" s="692">
        <f t="shared" si="269"/>
        <v>0</v>
      </c>
      <c r="P2114" s="690"/>
      <c r="Q2114" s="690"/>
      <c r="R2114" s="691">
        <f t="shared" si="270"/>
        <v>0</v>
      </c>
      <c r="S2114" s="692">
        <f t="shared" si="271"/>
        <v>103516</v>
      </c>
      <c r="T2114" s="693">
        <f t="shared" si="272"/>
        <v>79023</v>
      </c>
      <c r="U2114" s="1035"/>
      <c r="V2114" s="690"/>
      <c r="W2114" s="1025"/>
      <c r="X2114" s="1030"/>
      <c r="Y2114" s="694">
        <f t="shared" si="273"/>
        <v>0</v>
      </c>
      <c r="Z2114" s="690"/>
      <c r="AA2114" s="690"/>
      <c r="AB2114" s="695">
        <f t="shared" si="274"/>
        <v>0</v>
      </c>
      <c r="AC2114" s="1035"/>
      <c r="AD2114" s="690"/>
      <c r="AE2114" s="1025"/>
      <c r="AF2114" s="1030"/>
      <c r="AG2114" s="690"/>
      <c r="AH2114" s="690"/>
      <c r="AI2114" s="696">
        <f t="shared" si="275"/>
        <v>103516</v>
      </c>
      <c r="AJ2114" s="697">
        <f t="shared" si="276"/>
        <v>79023</v>
      </c>
    </row>
    <row r="2115" spans="1:36" s="700" customFormat="1" ht="12.75" customHeight="1">
      <c r="A2115" s="789" t="s">
        <v>213</v>
      </c>
      <c r="B2115" s="789" t="s">
        <v>394</v>
      </c>
      <c r="C2115" s="793" t="s">
        <v>451</v>
      </c>
      <c r="D2115" s="793"/>
      <c r="E2115" s="791">
        <v>199953</v>
      </c>
      <c r="F2115" s="1080">
        <v>10</v>
      </c>
      <c r="G2115" s="1025"/>
      <c r="H2115" s="690"/>
      <c r="I2115" s="1030">
        <v>154506</v>
      </c>
      <c r="J2115" s="690">
        <v>154821</v>
      </c>
      <c r="K2115" s="1030"/>
      <c r="L2115" s="690"/>
      <c r="M2115" s="1025"/>
      <c r="N2115" s="1030"/>
      <c r="O2115" s="692">
        <f t="shared" si="269"/>
        <v>0</v>
      </c>
      <c r="P2115" s="690"/>
      <c r="Q2115" s="690"/>
      <c r="R2115" s="691">
        <f t="shared" si="270"/>
        <v>0</v>
      </c>
      <c r="S2115" s="692">
        <f t="shared" si="271"/>
        <v>154506</v>
      </c>
      <c r="T2115" s="693">
        <f t="shared" si="272"/>
        <v>154821</v>
      </c>
      <c r="U2115" s="1035"/>
      <c r="V2115" s="690"/>
      <c r="W2115" s="1025"/>
      <c r="X2115" s="1030"/>
      <c r="Y2115" s="694">
        <f t="shared" si="273"/>
        <v>0</v>
      </c>
      <c r="Z2115" s="690"/>
      <c r="AA2115" s="690"/>
      <c r="AB2115" s="695">
        <f t="shared" si="274"/>
        <v>0</v>
      </c>
      <c r="AC2115" s="1035"/>
      <c r="AD2115" s="690"/>
      <c r="AE2115" s="1025"/>
      <c r="AF2115" s="1030"/>
      <c r="AG2115" s="690"/>
      <c r="AH2115" s="690"/>
      <c r="AI2115" s="696">
        <f t="shared" si="275"/>
        <v>154506</v>
      </c>
      <c r="AJ2115" s="697">
        <f t="shared" si="276"/>
        <v>154821</v>
      </c>
    </row>
    <row r="2116" spans="1:36" s="700" customFormat="1" ht="12.75" customHeight="1">
      <c r="A2116" s="789" t="s">
        <v>213</v>
      </c>
      <c r="B2116" s="789" t="s">
        <v>403</v>
      </c>
      <c r="C2116" s="793" t="s">
        <v>386</v>
      </c>
      <c r="D2116" s="793"/>
      <c r="E2116" s="791">
        <v>199953</v>
      </c>
      <c r="F2116" s="1080">
        <v>10</v>
      </c>
      <c r="G2116" s="1025"/>
      <c r="H2116" s="690"/>
      <c r="I2116" s="1030">
        <v>851092</v>
      </c>
      <c r="J2116" s="690">
        <v>691683</v>
      </c>
      <c r="K2116" s="1030"/>
      <c r="L2116" s="690"/>
      <c r="M2116" s="1025">
        <v>177652</v>
      </c>
      <c r="N2116" s="1030"/>
      <c r="O2116" s="692">
        <f t="shared" si="269"/>
        <v>177652</v>
      </c>
      <c r="P2116" s="690">
        <v>322026</v>
      </c>
      <c r="Q2116" s="690"/>
      <c r="R2116" s="691">
        <f t="shared" si="270"/>
        <v>322026</v>
      </c>
      <c r="S2116" s="692">
        <f t="shared" si="271"/>
        <v>1028744</v>
      </c>
      <c r="T2116" s="693">
        <f t="shared" si="272"/>
        <v>1013709</v>
      </c>
      <c r="U2116" s="1035"/>
      <c r="V2116" s="690"/>
      <c r="W2116" s="1025"/>
      <c r="X2116" s="1030"/>
      <c r="Y2116" s="694">
        <f t="shared" si="273"/>
        <v>0</v>
      </c>
      <c r="Z2116" s="690"/>
      <c r="AA2116" s="690"/>
      <c r="AB2116" s="695">
        <f t="shared" si="274"/>
        <v>0</v>
      </c>
      <c r="AC2116" s="1035"/>
      <c r="AD2116" s="690"/>
      <c r="AE2116" s="1025"/>
      <c r="AF2116" s="1030"/>
      <c r="AG2116" s="690"/>
      <c r="AH2116" s="690"/>
      <c r="AI2116" s="696">
        <f t="shared" si="275"/>
        <v>1028744</v>
      </c>
      <c r="AJ2116" s="697">
        <f t="shared" si="276"/>
        <v>1013709</v>
      </c>
    </row>
    <row r="2117" spans="1:36" s="700" customFormat="1" ht="12.75" customHeight="1">
      <c r="A2117" s="789" t="s">
        <v>213</v>
      </c>
      <c r="B2117" s="789" t="s">
        <v>392</v>
      </c>
      <c r="C2117" s="931" t="s">
        <v>1293</v>
      </c>
      <c r="D2117" s="931"/>
      <c r="E2117" s="791">
        <v>197966</v>
      </c>
      <c r="F2117" s="792">
        <v>10</v>
      </c>
      <c r="G2117" s="1025">
        <v>7911575</v>
      </c>
      <c r="H2117" s="690">
        <v>7889894</v>
      </c>
      <c r="I2117" s="1030"/>
      <c r="J2117" s="690"/>
      <c r="K2117" s="1162">
        <v>1945038</v>
      </c>
      <c r="L2117" s="1163">
        <v>1944245</v>
      </c>
      <c r="M2117" s="1025">
        <v>1548976</v>
      </c>
      <c r="N2117" s="1030"/>
      <c r="O2117" s="692">
        <f t="shared" si="269"/>
        <v>1548976</v>
      </c>
      <c r="P2117" s="690">
        <v>2166221</v>
      </c>
      <c r="Q2117" s="690"/>
      <c r="R2117" s="691">
        <f t="shared" si="270"/>
        <v>2166221</v>
      </c>
      <c r="S2117" s="692">
        <f t="shared" si="271"/>
        <v>11405589</v>
      </c>
      <c r="T2117" s="693">
        <f t="shared" si="272"/>
        <v>12000360</v>
      </c>
      <c r="U2117" s="1035"/>
      <c r="V2117" s="690"/>
      <c r="W2117" s="1025"/>
      <c r="X2117" s="1030"/>
      <c r="Y2117" s="694">
        <f t="shared" si="273"/>
        <v>0</v>
      </c>
      <c r="Z2117" s="690"/>
      <c r="AA2117" s="690"/>
      <c r="AB2117" s="695">
        <f t="shared" si="274"/>
        <v>0</v>
      </c>
      <c r="AC2117" s="1035"/>
      <c r="AD2117" s="690"/>
      <c r="AE2117" s="1025"/>
      <c r="AF2117" s="1030"/>
      <c r="AG2117" s="690"/>
      <c r="AH2117" s="690"/>
      <c r="AI2117" s="696">
        <f t="shared" si="275"/>
        <v>11405589</v>
      </c>
      <c r="AJ2117" s="697">
        <f t="shared" si="276"/>
        <v>12000360</v>
      </c>
    </row>
    <row r="2118" spans="1:36" s="700" customFormat="1" ht="12.75" customHeight="1">
      <c r="A2118" s="789" t="s">
        <v>213</v>
      </c>
      <c r="B2118" s="789" t="s">
        <v>392</v>
      </c>
      <c r="C2118" s="793" t="s">
        <v>1248</v>
      </c>
      <c r="D2118" s="793"/>
      <c r="E2118" s="791">
        <v>197966</v>
      </c>
      <c r="F2118" s="792">
        <v>10</v>
      </c>
      <c r="G2118" s="1025"/>
      <c r="H2118" s="690"/>
      <c r="I2118" s="1030">
        <v>125013</v>
      </c>
      <c r="J2118" s="690">
        <v>125343</v>
      </c>
      <c r="K2118" s="1030"/>
      <c r="L2118" s="690"/>
      <c r="M2118" s="1025"/>
      <c r="N2118" s="1030"/>
      <c r="O2118" s="692">
        <f t="shared" si="269"/>
        <v>0</v>
      </c>
      <c r="P2118" s="690"/>
      <c r="Q2118" s="690"/>
      <c r="R2118" s="691">
        <f t="shared" si="270"/>
        <v>0</v>
      </c>
      <c r="S2118" s="692">
        <f t="shared" si="271"/>
        <v>125013</v>
      </c>
      <c r="T2118" s="693">
        <f t="shared" si="272"/>
        <v>125343</v>
      </c>
      <c r="U2118" s="1035"/>
      <c r="V2118" s="690"/>
      <c r="W2118" s="1025"/>
      <c r="X2118" s="1030"/>
      <c r="Y2118" s="694">
        <f t="shared" si="273"/>
        <v>0</v>
      </c>
      <c r="Z2118" s="690"/>
      <c r="AA2118" s="690"/>
      <c r="AB2118" s="695">
        <f t="shared" si="274"/>
        <v>0</v>
      </c>
      <c r="AC2118" s="1035"/>
      <c r="AD2118" s="690"/>
      <c r="AE2118" s="1025"/>
      <c r="AF2118" s="1030"/>
      <c r="AG2118" s="690"/>
      <c r="AH2118" s="690"/>
      <c r="AI2118" s="696">
        <f t="shared" si="275"/>
        <v>125013</v>
      </c>
      <c r="AJ2118" s="697">
        <f t="shared" si="276"/>
        <v>125343</v>
      </c>
    </row>
    <row r="2119" spans="1:36" s="700" customFormat="1" ht="12.75" customHeight="1">
      <c r="A2119" s="789" t="s">
        <v>213</v>
      </c>
      <c r="B2119" s="789" t="s">
        <v>394</v>
      </c>
      <c r="C2119" s="793" t="s">
        <v>451</v>
      </c>
      <c r="D2119" s="793"/>
      <c r="E2119" s="791">
        <v>197966</v>
      </c>
      <c r="F2119" s="792">
        <v>10</v>
      </c>
      <c r="G2119" s="1025"/>
      <c r="H2119" s="690"/>
      <c r="I2119" s="1030">
        <v>136306</v>
      </c>
      <c r="J2119" s="690">
        <v>146858</v>
      </c>
      <c r="K2119" s="1030"/>
      <c r="L2119" s="690"/>
      <c r="M2119" s="1025"/>
      <c r="N2119" s="1030"/>
      <c r="O2119" s="692">
        <f t="shared" si="269"/>
        <v>0</v>
      </c>
      <c r="P2119" s="690"/>
      <c r="Q2119" s="690"/>
      <c r="R2119" s="691">
        <f t="shared" si="270"/>
        <v>0</v>
      </c>
      <c r="S2119" s="692">
        <f t="shared" si="271"/>
        <v>136306</v>
      </c>
      <c r="T2119" s="693">
        <f t="shared" si="272"/>
        <v>146858</v>
      </c>
      <c r="U2119" s="1035"/>
      <c r="V2119" s="690"/>
      <c r="W2119" s="1025"/>
      <c r="X2119" s="1030"/>
      <c r="Y2119" s="694">
        <f t="shared" si="273"/>
        <v>0</v>
      </c>
      <c r="Z2119" s="690"/>
      <c r="AA2119" s="690"/>
      <c r="AB2119" s="695">
        <f t="shared" si="274"/>
        <v>0</v>
      </c>
      <c r="AC2119" s="1035"/>
      <c r="AD2119" s="690"/>
      <c r="AE2119" s="1025"/>
      <c r="AF2119" s="1030"/>
      <c r="AG2119" s="690"/>
      <c r="AH2119" s="690"/>
      <c r="AI2119" s="696">
        <f t="shared" si="275"/>
        <v>136306</v>
      </c>
      <c r="AJ2119" s="697">
        <f t="shared" si="276"/>
        <v>146858</v>
      </c>
    </row>
    <row r="2120" spans="1:36" s="700" customFormat="1" ht="12.75" customHeight="1">
      <c r="A2120" s="789" t="s">
        <v>213</v>
      </c>
      <c r="B2120" s="789" t="s">
        <v>403</v>
      </c>
      <c r="C2120" s="793" t="s">
        <v>386</v>
      </c>
      <c r="D2120" s="793"/>
      <c r="E2120" s="791">
        <v>197966</v>
      </c>
      <c r="F2120" s="792">
        <v>10</v>
      </c>
      <c r="G2120" s="1025"/>
      <c r="H2120" s="690"/>
      <c r="I2120" s="1030">
        <v>540320</v>
      </c>
      <c r="J2120" s="690">
        <v>473034</v>
      </c>
      <c r="K2120" s="1030"/>
      <c r="L2120" s="690"/>
      <c r="M2120" s="1025">
        <v>67439</v>
      </c>
      <c r="N2120" s="1030"/>
      <c r="O2120" s="692">
        <f t="shared" si="269"/>
        <v>67439</v>
      </c>
      <c r="P2120" s="690">
        <v>125706</v>
      </c>
      <c r="Q2120" s="690"/>
      <c r="R2120" s="691">
        <f t="shared" si="270"/>
        <v>125706</v>
      </c>
      <c r="S2120" s="692">
        <f t="shared" si="271"/>
        <v>607759</v>
      </c>
      <c r="T2120" s="693">
        <f t="shared" si="272"/>
        <v>598740</v>
      </c>
      <c r="U2120" s="1035"/>
      <c r="V2120" s="690"/>
      <c r="W2120" s="1025"/>
      <c r="X2120" s="1030"/>
      <c r="Y2120" s="694">
        <f t="shared" si="273"/>
        <v>0</v>
      </c>
      <c r="Z2120" s="690"/>
      <c r="AA2120" s="690"/>
      <c r="AB2120" s="695">
        <f t="shared" si="274"/>
        <v>0</v>
      </c>
      <c r="AC2120" s="1035"/>
      <c r="AD2120" s="690"/>
      <c r="AE2120" s="1025"/>
      <c r="AF2120" s="1030"/>
      <c r="AG2120" s="690"/>
      <c r="AH2120" s="690"/>
      <c r="AI2120" s="696">
        <f t="shared" si="275"/>
        <v>607759</v>
      </c>
      <c r="AJ2120" s="697">
        <f t="shared" si="276"/>
        <v>598740</v>
      </c>
    </row>
    <row r="2121" spans="1:36" s="700" customFormat="1" ht="12.75" customHeight="1">
      <c r="A2121" s="789" t="s">
        <v>213</v>
      </c>
      <c r="B2121" s="789" t="s">
        <v>392</v>
      </c>
      <c r="C2121" s="930" t="s">
        <v>1294</v>
      </c>
      <c r="D2121" s="930"/>
      <c r="E2121" s="791">
        <v>198011</v>
      </c>
      <c r="F2121" s="792">
        <v>10</v>
      </c>
      <c r="G2121" s="1025">
        <v>6241017</v>
      </c>
      <c r="H2121" s="690">
        <v>6663503</v>
      </c>
      <c r="I2121" s="1030"/>
      <c r="J2121" s="690"/>
      <c r="K2121" s="1162">
        <v>798541</v>
      </c>
      <c r="L2121" s="1163">
        <v>657956</v>
      </c>
      <c r="M2121" s="1025">
        <v>1518891</v>
      </c>
      <c r="N2121" s="1030"/>
      <c r="O2121" s="692">
        <f t="shared" si="269"/>
        <v>1518891</v>
      </c>
      <c r="P2121" s="690">
        <v>2325782</v>
      </c>
      <c r="Q2121" s="690"/>
      <c r="R2121" s="691">
        <f t="shared" si="270"/>
        <v>2325782</v>
      </c>
      <c r="S2121" s="692">
        <f t="shared" si="271"/>
        <v>8558449</v>
      </c>
      <c r="T2121" s="693">
        <f t="shared" si="272"/>
        <v>9647241</v>
      </c>
      <c r="U2121" s="1035"/>
      <c r="V2121" s="690"/>
      <c r="W2121" s="1025"/>
      <c r="X2121" s="1030"/>
      <c r="Y2121" s="694">
        <f t="shared" si="273"/>
        <v>0</v>
      </c>
      <c r="Z2121" s="690"/>
      <c r="AA2121" s="690"/>
      <c r="AB2121" s="695">
        <f t="shared" si="274"/>
        <v>0</v>
      </c>
      <c r="AC2121" s="1035"/>
      <c r="AD2121" s="690"/>
      <c r="AE2121" s="1025"/>
      <c r="AF2121" s="1030"/>
      <c r="AG2121" s="690"/>
      <c r="AH2121" s="690"/>
      <c r="AI2121" s="696">
        <f t="shared" si="275"/>
        <v>8558449</v>
      </c>
      <c r="AJ2121" s="697">
        <f t="shared" si="276"/>
        <v>9647241</v>
      </c>
    </row>
    <row r="2122" spans="1:36" s="700" customFormat="1" ht="12.75" customHeight="1">
      <c r="A2122" s="789" t="s">
        <v>213</v>
      </c>
      <c r="B2122" s="789" t="s">
        <v>392</v>
      </c>
      <c r="C2122" s="793" t="s">
        <v>1248</v>
      </c>
      <c r="D2122" s="793"/>
      <c r="E2122" s="791">
        <v>198011</v>
      </c>
      <c r="F2122" s="792">
        <v>10</v>
      </c>
      <c r="G2122" s="1025"/>
      <c r="H2122" s="690"/>
      <c r="I2122" s="1030">
        <v>39107</v>
      </c>
      <c r="J2122" s="690">
        <v>38356</v>
      </c>
      <c r="K2122" s="1030"/>
      <c r="L2122" s="690"/>
      <c r="M2122" s="1025"/>
      <c r="N2122" s="1030"/>
      <c r="O2122" s="692">
        <f t="shared" ref="O2122:O2185" si="277">SUM(M2122:N2122)</f>
        <v>0</v>
      </c>
      <c r="P2122" s="690"/>
      <c r="Q2122" s="690"/>
      <c r="R2122" s="691">
        <f t="shared" ref="R2122:R2185" si="278">SUM(P2122:Q2122)</f>
        <v>0</v>
      </c>
      <c r="S2122" s="692">
        <f t="shared" ref="S2122:S2185" si="279">SUM(G2122,I2122,K2122,M2122)</f>
        <v>39107</v>
      </c>
      <c r="T2122" s="693">
        <f t="shared" ref="T2122:T2185" si="280">SUM(H2122,J2122,L2122,P2122)</f>
        <v>38356</v>
      </c>
      <c r="U2122" s="1035"/>
      <c r="V2122" s="690"/>
      <c r="W2122" s="1025"/>
      <c r="X2122" s="1030"/>
      <c r="Y2122" s="694">
        <f t="shared" ref="Y2122:Y2185" si="281">SUM(W2122:X2122)</f>
        <v>0</v>
      </c>
      <c r="Z2122" s="690"/>
      <c r="AA2122" s="690"/>
      <c r="AB2122" s="695">
        <f t="shared" ref="AB2122:AB2185" si="282">SUM(Z2122:AA2122)</f>
        <v>0</v>
      </c>
      <c r="AC2122" s="1035"/>
      <c r="AD2122" s="690"/>
      <c r="AE2122" s="1025"/>
      <c r="AF2122" s="1030"/>
      <c r="AG2122" s="690"/>
      <c r="AH2122" s="690"/>
      <c r="AI2122" s="696">
        <f t="shared" ref="AI2122:AI2185" si="283">SUM(S2122,U2122,W2122,AC2122,AE2122)</f>
        <v>39107</v>
      </c>
      <c r="AJ2122" s="697">
        <f t="shared" ref="AJ2122:AJ2185" si="284">SUM(T2122,V2122,Z2122,AD2122,AG2122)</f>
        <v>38356</v>
      </c>
    </row>
    <row r="2123" spans="1:36" s="700" customFormat="1" ht="12.75" customHeight="1">
      <c r="A2123" s="789" t="s">
        <v>213</v>
      </c>
      <c r="B2123" s="789" t="s">
        <v>394</v>
      </c>
      <c r="C2123" s="793" t="s">
        <v>451</v>
      </c>
      <c r="D2123" s="793"/>
      <c r="E2123" s="791">
        <v>198011</v>
      </c>
      <c r="F2123" s="792">
        <v>10</v>
      </c>
      <c r="G2123" s="1025"/>
      <c r="H2123" s="690"/>
      <c r="I2123" s="1030">
        <v>135806</v>
      </c>
      <c r="J2123" s="690">
        <v>142530</v>
      </c>
      <c r="K2123" s="1030"/>
      <c r="L2123" s="690"/>
      <c r="M2123" s="1025"/>
      <c r="N2123" s="1030"/>
      <c r="O2123" s="692">
        <f t="shared" si="277"/>
        <v>0</v>
      </c>
      <c r="P2123" s="690"/>
      <c r="Q2123" s="690"/>
      <c r="R2123" s="691">
        <f t="shared" si="278"/>
        <v>0</v>
      </c>
      <c r="S2123" s="692">
        <f t="shared" si="279"/>
        <v>135806</v>
      </c>
      <c r="T2123" s="693">
        <f t="shared" si="280"/>
        <v>142530</v>
      </c>
      <c r="U2123" s="1035"/>
      <c r="V2123" s="690"/>
      <c r="W2123" s="1025"/>
      <c r="X2123" s="1030"/>
      <c r="Y2123" s="694">
        <f t="shared" si="281"/>
        <v>0</v>
      </c>
      <c r="Z2123" s="690"/>
      <c r="AA2123" s="690"/>
      <c r="AB2123" s="695">
        <f t="shared" si="282"/>
        <v>0</v>
      </c>
      <c r="AC2123" s="1035"/>
      <c r="AD2123" s="690"/>
      <c r="AE2123" s="1025"/>
      <c r="AF2123" s="1030"/>
      <c r="AG2123" s="690"/>
      <c r="AH2123" s="690"/>
      <c r="AI2123" s="696">
        <f t="shared" si="283"/>
        <v>135806</v>
      </c>
      <c r="AJ2123" s="697">
        <f t="shared" si="284"/>
        <v>142530</v>
      </c>
    </row>
    <row r="2124" spans="1:36" s="700" customFormat="1" ht="12.75" customHeight="1">
      <c r="A2124" s="789" t="s">
        <v>213</v>
      </c>
      <c r="B2124" s="789" t="s">
        <v>403</v>
      </c>
      <c r="C2124" s="793" t="s">
        <v>386</v>
      </c>
      <c r="D2124" s="793"/>
      <c r="E2124" s="791">
        <v>198011</v>
      </c>
      <c r="F2124" s="792">
        <v>10</v>
      </c>
      <c r="G2124" s="1025"/>
      <c r="H2124" s="690"/>
      <c r="I2124" s="1030">
        <v>463583</v>
      </c>
      <c r="J2124" s="690">
        <v>428020</v>
      </c>
      <c r="K2124" s="1030"/>
      <c r="L2124" s="690"/>
      <c r="M2124" s="1025">
        <v>40413</v>
      </c>
      <c r="N2124" s="1030"/>
      <c r="O2124" s="692">
        <f t="shared" si="277"/>
        <v>40413</v>
      </c>
      <c r="P2124" s="690">
        <v>120331</v>
      </c>
      <c r="Q2124" s="690"/>
      <c r="R2124" s="691">
        <f t="shared" si="278"/>
        <v>120331</v>
      </c>
      <c r="S2124" s="692">
        <f t="shared" si="279"/>
        <v>503996</v>
      </c>
      <c r="T2124" s="693">
        <f t="shared" si="280"/>
        <v>548351</v>
      </c>
      <c r="U2124" s="1035"/>
      <c r="V2124" s="690"/>
      <c r="W2124" s="1025"/>
      <c r="X2124" s="1030"/>
      <c r="Y2124" s="694">
        <f t="shared" si="281"/>
        <v>0</v>
      </c>
      <c r="Z2124" s="690"/>
      <c r="AA2124" s="690"/>
      <c r="AB2124" s="695">
        <f t="shared" si="282"/>
        <v>0</v>
      </c>
      <c r="AC2124" s="1035"/>
      <c r="AD2124" s="690"/>
      <c r="AE2124" s="1025"/>
      <c r="AF2124" s="1030"/>
      <c r="AG2124" s="690"/>
      <c r="AH2124" s="690"/>
      <c r="AI2124" s="696">
        <f t="shared" si="283"/>
        <v>503996</v>
      </c>
      <c r="AJ2124" s="697">
        <f t="shared" si="284"/>
        <v>548351</v>
      </c>
    </row>
    <row r="2125" spans="1:36" s="700" customFormat="1" ht="12.75" customHeight="1">
      <c r="A2125" s="789" t="s">
        <v>213</v>
      </c>
      <c r="B2125" s="789" t="s">
        <v>392</v>
      </c>
      <c r="C2125" s="930" t="s">
        <v>1295</v>
      </c>
      <c r="D2125" s="930"/>
      <c r="E2125" s="791">
        <v>198084</v>
      </c>
      <c r="F2125" s="792">
        <v>10</v>
      </c>
      <c r="G2125" s="1025">
        <v>6856979</v>
      </c>
      <c r="H2125" s="690">
        <v>7135532</v>
      </c>
      <c r="I2125" s="1030"/>
      <c r="J2125" s="690"/>
      <c r="K2125" s="1162">
        <v>3435831</v>
      </c>
      <c r="L2125" s="1163">
        <v>3435831</v>
      </c>
      <c r="M2125" s="1025">
        <v>1325808</v>
      </c>
      <c r="N2125" s="1030"/>
      <c r="O2125" s="692">
        <f t="shared" si="277"/>
        <v>1325808</v>
      </c>
      <c r="P2125" s="690">
        <v>1652352</v>
      </c>
      <c r="Q2125" s="690"/>
      <c r="R2125" s="691">
        <f t="shared" si="278"/>
        <v>1652352</v>
      </c>
      <c r="S2125" s="692">
        <f t="shared" si="279"/>
        <v>11618618</v>
      </c>
      <c r="T2125" s="693">
        <f t="shared" si="280"/>
        <v>12223715</v>
      </c>
      <c r="U2125" s="1035"/>
      <c r="V2125" s="690"/>
      <c r="W2125" s="1025"/>
      <c r="X2125" s="1030"/>
      <c r="Y2125" s="694">
        <f t="shared" si="281"/>
        <v>0</v>
      </c>
      <c r="Z2125" s="690"/>
      <c r="AA2125" s="690"/>
      <c r="AB2125" s="695">
        <f t="shared" si="282"/>
        <v>0</v>
      </c>
      <c r="AC2125" s="1035"/>
      <c r="AD2125" s="690"/>
      <c r="AE2125" s="1025"/>
      <c r="AF2125" s="1030"/>
      <c r="AG2125" s="690"/>
      <c r="AH2125" s="690"/>
      <c r="AI2125" s="696">
        <f t="shared" si="283"/>
        <v>11618618</v>
      </c>
      <c r="AJ2125" s="697">
        <f t="shared" si="284"/>
        <v>12223715</v>
      </c>
    </row>
    <row r="2126" spans="1:36" s="700" customFormat="1" ht="12.75" customHeight="1">
      <c r="A2126" s="789" t="s">
        <v>213</v>
      </c>
      <c r="B2126" s="789" t="s">
        <v>392</v>
      </c>
      <c r="C2126" s="793" t="s">
        <v>1248</v>
      </c>
      <c r="D2126" s="793"/>
      <c r="E2126" s="791">
        <v>198084</v>
      </c>
      <c r="F2126" s="792">
        <v>10</v>
      </c>
      <c r="G2126" s="1025"/>
      <c r="H2126" s="690"/>
      <c r="I2126" s="1030">
        <v>49280</v>
      </c>
      <c r="J2126" s="690">
        <v>57610</v>
      </c>
      <c r="K2126" s="1030"/>
      <c r="L2126" s="690"/>
      <c r="M2126" s="1025"/>
      <c r="N2126" s="1030"/>
      <c r="O2126" s="692">
        <f t="shared" si="277"/>
        <v>0</v>
      </c>
      <c r="P2126" s="690"/>
      <c r="Q2126" s="690"/>
      <c r="R2126" s="691">
        <f t="shared" si="278"/>
        <v>0</v>
      </c>
      <c r="S2126" s="692">
        <f t="shared" si="279"/>
        <v>49280</v>
      </c>
      <c r="T2126" s="693">
        <f t="shared" si="280"/>
        <v>57610</v>
      </c>
      <c r="U2126" s="1035"/>
      <c r="V2126" s="690"/>
      <c r="W2126" s="1025"/>
      <c r="X2126" s="1030"/>
      <c r="Y2126" s="694">
        <f t="shared" si="281"/>
        <v>0</v>
      </c>
      <c r="Z2126" s="690"/>
      <c r="AA2126" s="690"/>
      <c r="AB2126" s="695">
        <f t="shared" si="282"/>
        <v>0</v>
      </c>
      <c r="AC2126" s="1035"/>
      <c r="AD2126" s="690"/>
      <c r="AE2126" s="1025"/>
      <c r="AF2126" s="1030"/>
      <c r="AG2126" s="690"/>
      <c r="AH2126" s="690"/>
      <c r="AI2126" s="696">
        <f t="shared" si="283"/>
        <v>49280</v>
      </c>
      <c r="AJ2126" s="697">
        <f t="shared" si="284"/>
        <v>57610</v>
      </c>
    </row>
    <row r="2127" spans="1:36" s="700" customFormat="1" ht="12.75" customHeight="1">
      <c r="A2127" s="789" t="s">
        <v>213</v>
      </c>
      <c r="B2127" s="789" t="s">
        <v>394</v>
      </c>
      <c r="C2127" s="793" t="s">
        <v>451</v>
      </c>
      <c r="D2127" s="793"/>
      <c r="E2127" s="791">
        <v>198084</v>
      </c>
      <c r="F2127" s="792">
        <v>10</v>
      </c>
      <c r="G2127" s="1025"/>
      <c r="H2127" s="690"/>
      <c r="I2127" s="1030">
        <v>133106</v>
      </c>
      <c r="J2127" s="690">
        <v>145720</v>
      </c>
      <c r="K2127" s="1030"/>
      <c r="L2127" s="690"/>
      <c r="M2127" s="1025"/>
      <c r="N2127" s="1030"/>
      <c r="O2127" s="692">
        <f t="shared" si="277"/>
        <v>0</v>
      </c>
      <c r="P2127" s="690"/>
      <c r="Q2127" s="690"/>
      <c r="R2127" s="691">
        <f t="shared" si="278"/>
        <v>0</v>
      </c>
      <c r="S2127" s="692">
        <f t="shared" si="279"/>
        <v>133106</v>
      </c>
      <c r="T2127" s="693">
        <f t="shared" si="280"/>
        <v>145720</v>
      </c>
      <c r="U2127" s="1035"/>
      <c r="V2127" s="690"/>
      <c r="W2127" s="1025"/>
      <c r="X2127" s="1030"/>
      <c r="Y2127" s="694">
        <f t="shared" si="281"/>
        <v>0</v>
      </c>
      <c r="Z2127" s="690"/>
      <c r="AA2127" s="690"/>
      <c r="AB2127" s="695">
        <f t="shared" si="282"/>
        <v>0</v>
      </c>
      <c r="AC2127" s="1035"/>
      <c r="AD2127" s="690"/>
      <c r="AE2127" s="1025"/>
      <c r="AF2127" s="1030"/>
      <c r="AG2127" s="690"/>
      <c r="AH2127" s="690"/>
      <c r="AI2127" s="696">
        <f t="shared" si="283"/>
        <v>133106</v>
      </c>
      <c r="AJ2127" s="697">
        <f t="shared" si="284"/>
        <v>145720</v>
      </c>
    </row>
    <row r="2128" spans="1:36" s="700" customFormat="1" ht="12.75" customHeight="1">
      <c r="A2128" s="789" t="s">
        <v>213</v>
      </c>
      <c r="B2128" s="789" t="s">
        <v>403</v>
      </c>
      <c r="C2128" s="793" t="s">
        <v>386</v>
      </c>
      <c r="D2128" s="793"/>
      <c r="E2128" s="791">
        <v>198084</v>
      </c>
      <c r="F2128" s="792">
        <v>10</v>
      </c>
      <c r="G2128" s="1025"/>
      <c r="H2128" s="690"/>
      <c r="I2128" s="1030">
        <v>690922</v>
      </c>
      <c r="J2128" s="690">
        <v>818555</v>
      </c>
      <c r="K2128" s="1030"/>
      <c r="L2128" s="690"/>
      <c r="M2128" s="1025">
        <v>136224</v>
      </c>
      <c r="N2128" s="1030"/>
      <c r="O2128" s="692">
        <f t="shared" si="277"/>
        <v>136224</v>
      </c>
      <c r="P2128" s="690">
        <v>156621</v>
      </c>
      <c r="Q2128" s="690"/>
      <c r="R2128" s="691">
        <f t="shared" si="278"/>
        <v>156621</v>
      </c>
      <c r="S2128" s="692">
        <f t="shared" si="279"/>
        <v>827146</v>
      </c>
      <c r="T2128" s="693">
        <f t="shared" si="280"/>
        <v>975176</v>
      </c>
      <c r="U2128" s="1035"/>
      <c r="V2128" s="690"/>
      <c r="W2128" s="1025"/>
      <c r="X2128" s="1030"/>
      <c r="Y2128" s="694">
        <f t="shared" si="281"/>
        <v>0</v>
      </c>
      <c r="Z2128" s="690"/>
      <c r="AA2128" s="690"/>
      <c r="AB2128" s="695">
        <f t="shared" si="282"/>
        <v>0</v>
      </c>
      <c r="AC2128" s="1035"/>
      <c r="AD2128" s="690"/>
      <c r="AE2128" s="1025"/>
      <c r="AF2128" s="1030"/>
      <c r="AG2128" s="690"/>
      <c r="AH2128" s="690"/>
      <c r="AI2128" s="696">
        <f t="shared" si="283"/>
        <v>827146</v>
      </c>
      <c r="AJ2128" s="697">
        <f t="shared" si="284"/>
        <v>975176</v>
      </c>
    </row>
    <row r="2129" spans="1:36" s="700" customFormat="1" ht="12.75" customHeight="1">
      <c r="A2129" s="789" t="s">
        <v>213</v>
      </c>
      <c r="B2129" s="789" t="s">
        <v>392</v>
      </c>
      <c r="C2129" s="931" t="s">
        <v>1296</v>
      </c>
      <c r="D2129" s="931"/>
      <c r="E2129" s="791">
        <v>198206</v>
      </c>
      <c r="F2129" s="792">
        <v>10</v>
      </c>
      <c r="G2129" s="1025">
        <v>6932452</v>
      </c>
      <c r="H2129" s="690">
        <v>7174922</v>
      </c>
      <c r="I2129" s="1030"/>
      <c r="J2129" s="690"/>
      <c r="K2129" s="1162">
        <v>2025000</v>
      </c>
      <c r="L2129" s="1163">
        <v>2043000</v>
      </c>
      <c r="M2129" s="1025">
        <v>1536671</v>
      </c>
      <c r="N2129" s="1030"/>
      <c r="O2129" s="692">
        <f t="shared" si="277"/>
        <v>1536671</v>
      </c>
      <c r="P2129" s="690">
        <v>2138488</v>
      </c>
      <c r="Q2129" s="690"/>
      <c r="R2129" s="691">
        <f t="shared" si="278"/>
        <v>2138488</v>
      </c>
      <c r="S2129" s="692">
        <f t="shared" si="279"/>
        <v>10494123</v>
      </c>
      <c r="T2129" s="693">
        <f t="shared" si="280"/>
        <v>11356410</v>
      </c>
      <c r="U2129" s="1035"/>
      <c r="V2129" s="690"/>
      <c r="W2129" s="1025"/>
      <c r="X2129" s="1030"/>
      <c r="Y2129" s="694">
        <f t="shared" si="281"/>
        <v>0</v>
      </c>
      <c r="Z2129" s="690"/>
      <c r="AA2129" s="690"/>
      <c r="AB2129" s="695">
        <f t="shared" si="282"/>
        <v>0</v>
      </c>
      <c r="AC2129" s="1035"/>
      <c r="AD2129" s="690"/>
      <c r="AE2129" s="1025"/>
      <c r="AF2129" s="1030"/>
      <c r="AG2129" s="690"/>
      <c r="AH2129" s="690"/>
      <c r="AI2129" s="696">
        <f t="shared" si="283"/>
        <v>10494123</v>
      </c>
      <c r="AJ2129" s="697">
        <f t="shared" si="284"/>
        <v>11356410</v>
      </c>
    </row>
    <row r="2130" spans="1:36" s="700" customFormat="1" ht="12.75" customHeight="1">
      <c r="A2130" s="789" t="s">
        <v>213</v>
      </c>
      <c r="B2130" s="789" t="s">
        <v>392</v>
      </c>
      <c r="C2130" s="793" t="s">
        <v>1248</v>
      </c>
      <c r="D2130" s="793"/>
      <c r="E2130" s="791">
        <v>198206</v>
      </c>
      <c r="F2130" s="792">
        <v>10</v>
      </c>
      <c r="G2130" s="1025"/>
      <c r="H2130" s="690"/>
      <c r="I2130" s="1030">
        <v>129648</v>
      </c>
      <c r="J2130" s="690">
        <v>124502</v>
      </c>
      <c r="K2130" s="1030"/>
      <c r="L2130" s="690"/>
      <c r="M2130" s="1025"/>
      <c r="N2130" s="1030"/>
      <c r="O2130" s="692">
        <f t="shared" si="277"/>
        <v>0</v>
      </c>
      <c r="P2130" s="690"/>
      <c r="Q2130" s="690"/>
      <c r="R2130" s="691">
        <f t="shared" si="278"/>
        <v>0</v>
      </c>
      <c r="S2130" s="692">
        <f t="shared" si="279"/>
        <v>129648</v>
      </c>
      <c r="T2130" s="693">
        <f t="shared" si="280"/>
        <v>124502</v>
      </c>
      <c r="U2130" s="1035"/>
      <c r="V2130" s="690"/>
      <c r="W2130" s="1025"/>
      <c r="X2130" s="1030"/>
      <c r="Y2130" s="694">
        <f t="shared" si="281"/>
        <v>0</v>
      </c>
      <c r="Z2130" s="690"/>
      <c r="AA2130" s="690"/>
      <c r="AB2130" s="695">
        <f t="shared" si="282"/>
        <v>0</v>
      </c>
      <c r="AC2130" s="1035"/>
      <c r="AD2130" s="690"/>
      <c r="AE2130" s="1025"/>
      <c r="AF2130" s="1030"/>
      <c r="AG2130" s="690"/>
      <c r="AH2130" s="690"/>
      <c r="AI2130" s="696">
        <f t="shared" si="283"/>
        <v>129648</v>
      </c>
      <c r="AJ2130" s="697">
        <f t="shared" si="284"/>
        <v>124502</v>
      </c>
    </row>
    <row r="2131" spans="1:36" s="700" customFormat="1" ht="12.75" customHeight="1">
      <c r="A2131" s="789" t="s">
        <v>213</v>
      </c>
      <c r="B2131" s="789" t="s">
        <v>394</v>
      </c>
      <c r="C2131" s="793" t="s">
        <v>451</v>
      </c>
      <c r="D2131" s="793"/>
      <c r="E2131" s="791">
        <v>198206</v>
      </c>
      <c r="F2131" s="792">
        <v>10</v>
      </c>
      <c r="G2131" s="1025"/>
      <c r="H2131" s="690"/>
      <c r="I2131" s="1030">
        <v>145506</v>
      </c>
      <c r="J2131" s="690">
        <v>151941</v>
      </c>
      <c r="K2131" s="1030"/>
      <c r="L2131" s="690"/>
      <c r="M2131" s="1025"/>
      <c r="N2131" s="1030"/>
      <c r="O2131" s="692">
        <f t="shared" si="277"/>
        <v>0</v>
      </c>
      <c r="P2131" s="690"/>
      <c r="Q2131" s="690"/>
      <c r="R2131" s="691">
        <f t="shared" si="278"/>
        <v>0</v>
      </c>
      <c r="S2131" s="692">
        <f t="shared" si="279"/>
        <v>145506</v>
      </c>
      <c r="T2131" s="693">
        <f t="shared" si="280"/>
        <v>151941</v>
      </c>
      <c r="U2131" s="1035"/>
      <c r="V2131" s="690"/>
      <c r="W2131" s="1025"/>
      <c r="X2131" s="1030"/>
      <c r="Y2131" s="694">
        <f t="shared" si="281"/>
        <v>0</v>
      </c>
      <c r="Z2131" s="690"/>
      <c r="AA2131" s="690"/>
      <c r="AB2131" s="695">
        <f t="shared" si="282"/>
        <v>0</v>
      </c>
      <c r="AC2131" s="1035"/>
      <c r="AD2131" s="690"/>
      <c r="AE2131" s="1025"/>
      <c r="AF2131" s="1030"/>
      <c r="AG2131" s="690"/>
      <c r="AH2131" s="690"/>
      <c r="AI2131" s="696">
        <f t="shared" si="283"/>
        <v>145506</v>
      </c>
      <c r="AJ2131" s="697">
        <f t="shared" si="284"/>
        <v>151941</v>
      </c>
    </row>
    <row r="2132" spans="1:36" s="700" customFormat="1" ht="12.75" customHeight="1">
      <c r="A2132" s="789" t="s">
        <v>213</v>
      </c>
      <c r="B2132" s="789" t="s">
        <v>403</v>
      </c>
      <c r="C2132" s="793" t="s">
        <v>386</v>
      </c>
      <c r="D2132" s="793"/>
      <c r="E2132" s="791">
        <v>198206</v>
      </c>
      <c r="F2132" s="792">
        <v>10</v>
      </c>
      <c r="G2132" s="1025"/>
      <c r="H2132" s="690"/>
      <c r="I2132" s="1030">
        <v>825134</v>
      </c>
      <c r="J2132" s="690">
        <v>806732</v>
      </c>
      <c r="K2132" s="1030"/>
      <c r="L2132" s="690"/>
      <c r="M2132" s="1025">
        <v>141352</v>
      </c>
      <c r="N2132" s="1030"/>
      <c r="O2132" s="692">
        <f t="shared" si="277"/>
        <v>141352</v>
      </c>
      <c r="P2132" s="690">
        <v>257366</v>
      </c>
      <c r="Q2132" s="690"/>
      <c r="R2132" s="691">
        <f t="shared" si="278"/>
        <v>257366</v>
      </c>
      <c r="S2132" s="692">
        <f t="shared" si="279"/>
        <v>966486</v>
      </c>
      <c r="T2132" s="693">
        <f t="shared" si="280"/>
        <v>1064098</v>
      </c>
      <c r="U2132" s="1035"/>
      <c r="V2132" s="690"/>
      <c r="W2132" s="1025"/>
      <c r="X2132" s="1030"/>
      <c r="Y2132" s="694">
        <f t="shared" si="281"/>
        <v>0</v>
      </c>
      <c r="Z2132" s="690"/>
      <c r="AA2132" s="690"/>
      <c r="AB2132" s="695">
        <f t="shared" si="282"/>
        <v>0</v>
      </c>
      <c r="AC2132" s="1035"/>
      <c r="AD2132" s="690"/>
      <c r="AE2132" s="1025"/>
      <c r="AF2132" s="1030"/>
      <c r="AG2132" s="690"/>
      <c r="AH2132" s="690"/>
      <c r="AI2132" s="696">
        <f t="shared" si="283"/>
        <v>966486</v>
      </c>
      <c r="AJ2132" s="697">
        <f t="shared" si="284"/>
        <v>1064098</v>
      </c>
    </row>
    <row r="2133" spans="1:36" s="700" customFormat="1" ht="12.75" customHeight="1">
      <c r="A2133" s="789" t="s">
        <v>213</v>
      </c>
      <c r="B2133" s="789" t="s">
        <v>392</v>
      </c>
      <c r="C2133" s="930" t="s">
        <v>1297</v>
      </c>
      <c r="D2133" s="930"/>
      <c r="E2133" s="791">
        <v>198640</v>
      </c>
      <c r="F2133" s="792">
        <v>10</v>
      </c>
      <c r="G2133" s="1025">
        <v>6695794</v>
      </c>
      <c r="H2133" s="690">
        <v>7096189</v>
      </c>
      <c r="I2133" s="1030"/>
      <c r="J2133" s="690"/>
      <c r="K2133" s="1162">
        <v>984703</v>
      </c>
      <c r="L2133" s="1163">
        <v>955522</v>
      </c>
      <c r="M2133" s="1025">
        <v>1348700</v>
      </c>
      <c r="N2133" s="1030"/>
      <c r="O2133" s="692">
        <f t="shared" si="277"/>
        <v>1348700</v>
      </c>
      <c r="P2133" s="690">
        <v>2007403</v>
      </c>
      <c r="Q2133" s="690"/>
      <c r="R2133" s="691">
        <f t="shared" si="278"/>
        <v>2007403</v>
      </c>
      <c r="S2133" s="692">
        <f t="shared" si="279"/>
        <v>9029197</v>
      </c>
      <c r="T2133" s="693">
        <f t="shared" si="280"/>
        <v>10059114</v>
      </c>
      <c r="U2133" s="1035"/>
      <c r="V2133" s="690"/>
      <c r="W2133" s="1025"/>
      <c r="X2133" s="1030"/>
      <c r="Y2133" s="694">
        <f t="shared" si="281"/>
        <v>0</v>
      </c>
      <c r="Z2133" s="690"/>
      <c r="AA2133" s="690"/>
      <c r="AB2133" s="695">
        <f t="shared" si="282"/>
        <v>0</v>
      </c>
      <c r="AC2133" s="1035"/>
      <c r="AD2133" s="690"/>
      <c r="AE2133" s="1025"/>
      <c r="AF2133" s="1030"/>
      <c r="AG2133" s="690"/>
      <c r="AH2133" s="690"/>
      <c r="AI2133" s="696">
        <f t="shared" si="283"/>
        <v>9029197</v>
      </c>
      <c r="AJ2133" s="697">
        <f t="shared" si="284"/>
        <v>10059114</v>
      </c>
    </row>
    <row r="2134" spans="1:36" s="700" customFormat="1" ht="12.75" customHeight="1">
      <c r="A2134" s="789" t="s">
        <v>213</v>
      </c>
      <c r="B2134" s="789" t="s">
        <v>392</v>
      </c>
      <c r="C2134" s="793" t="s">
        <v>1248</v>
      </c>
      <c r="D2134" s="793"/>
      <c r="E2134" s="791">
        <v>198640</v>
      </c>
      <c r="F2134" s="792">
        <v>10</v>
      </c>
      <c r="G2134" s="1025"/>
      <c r="H2134" s="690"/>
      <c r="I2134" s="1030">
        <v>117200</v>
      </c>
      <c r="J2134" s="690">
        <v>110492</v>
      </c>
      <c r="K2134" s="1030"/>
      <c r="L2134" s="690"/>
      <c r="M2134" s="1025"/>
      <c r="N2134" s="1030"/>
      <c r="O2134" s="692">
        <f t="shared" si="277"/>
        <v>0</v>
      </c>
      <c r="P2134" s="690"/>
      <c r="Q2134" s="690"/>
      <c r="R2134" s="691">
        <f t="shared" si="278"/>
        <v>0</v>
      </c>
      <c r="S2134" s="692">
        <f t="shared" si="279"/>
        <v>117200</v>
      </c>
      <c r="T2134" s="693">
        <f t="shared" si="280"/>
        <v>110492</v>
      </c>
      <c r="U2134" s="1035"/>
      <c r="V2134" s="690"/>
      <c r="W2134" s="1025"/>
      <c r="X2134" s="1030"/>
      <c r="Y2134" s="694">
        <f t="shared" si="281"/>
        <v>0</v>
      </c>
      <c r="Z2134" s="690"/>
      <c r="AA2134" s="690"/>
      <c r="AB2134" s="695">
        <f t="shared" si="282"/>
        <v>0</v>
      </c>
      <c r="AC2134" s="1035"/>
      <c r="AD2134" s="690"/>
      <c r="AE2134" s="1025"/>
      <c r="AF2134" s="1030"/>
      <c r="AG2134" s="690"/>
      <c r="AH2134" s="690"/>
      <c r="AI2134" s="696">
        <f t="shared" si="283"/>
        <v>117200</v>
      </c>
      <c r="AJ2134" s="697">
        <f t="shared" si="284"/>
        <v>110492</v>
      </c>
    </row>
    <row r="2135" spans="1:36" s="700" customFormat="1" ht="12.75" customHeight="1">
      <c r="A2135" s="789" t="s">
        <v>213</v>
      </c>
      <c r="B2135" s="789" t="s">
        <v>394</v>
      </c>
      <c r="C2135" s="793" t="s">
        <v>451</v>
      </c>
      <c r="D2135" s="793"/>
      <c r="E2135" s="791">
        <v>198640</v>
      </c>
      <c r="F2135" s="792">
        <v>10</v>
      </c>
      <c r="G2135" s="1025"/>
      <c r="H2135" s="690"/>
      <c r="I2135" s="1030">
        <v>141906</v>
      </c>
      <c r="J2135" s="690">
        <v>149969</v>
      </c>
      <c r="K2135" s="1030"/>
      <c r="L2135" s="690"/>
      <c r="M2135" s="1025"/>
      <c r="N2135" s="1030"/>
      <c r="O2135" s="692">
        <f t="shared" si="277"/>
        <v>0</v>
      </c>
      <c r="P2135" s="690"/>
      <c r="Q2135" s="690"/>
      <c r="R2135" s="691">
        <f t="shared" si="278"/>
        <v>0</v>
      </c>
      <c r="S2135" s="692">
        <f t="shared" si="279"/>
        <v>141906</v>
      </c>
      <c r="T2135" s="693">
        <f t="shared" si="280"/>
        <v>149969</v>
      </c>
      <c r="U2135" s="1035"/>
      <c r="V2135" s="690"/>
      <c r="W2135" s="1025"/>
      <c r="X2135" s="1030"/>
      <c r="Y2135" s="694">
        <f t="shared" si="281"/>
        <v>0</v>
      </c>
      <c r="Z2135" s="690"/>
      <c r="AA2135" s="690"/>
      <c r="AB2135" s="695">
        <f t="shared" si="282"/>
        <v>0</v>
      </c>
      <c r="AC2135" s="1035"/>
      <c r="AD2135" s="690"/>
      <c r="AE2135" s="1025"/>
      <c r="AF2135" s="1030"/>
      <c r="AG2135" s="690"/>
      <c r="AH2135" s="690"/>
      <c r="AI2135" s="696">
        <f t="shared" si="283"/>
        <v>141906</v>
      </c>
      <c r="AJ2135" s="697">
        <f t="shared" si="284"/>
        <v>149969</v>
      </c>
    </row>
    <row r="2136" spans="1:36" s="700" customFormat="1" ht="12.75" customHeight="1">
      <c r="A2136" s="789" t="s">
        <v>213</v>
      </c>
      <c r="B2136" s="789" t="s">
        <v>403</v>
      </c>
      <c r="C2136" s="793" t="s">
        <v>386</v>
      </c>
      <c r="D2136" s="793"/>
      <c r="E2136" s="791">
        <v>198640</v>
      </c>
      <c r="F2136" s="792">
        <v>10</v>
      </c>
      <c r="G2136" s="1025"/>
      <c r="H2136" s="690"/>
      <c r="I2136" s="1030">
        <v>622221</v>
      </c>
      <c r="J2136" s="690">
        <v>607623</v>
      </c>
      <c r="K2136" s="1030"/>
      <c r="L2136" s="690"/>
      <c r="M2136" s="1025">
        <v>86338</v>
      </c>
      <c r="N2136" s="1030"/>
      <c r="O2136" s="692">
        <f t="shared" si="277"/>
        <v>86338</v>
      </c>
      <c r="P2136" s="690">
        <v>106715</v>
      </c>
      <c r="Q2136" s="690"/>
      <c r="R2136" s="691">
        <f t="shared" si="278"/>
        <v>106715</v>
      </c>
      <c r="S2136" s="692">
        <f t="shared" si="279"/>
        <v>708559</v>
      </c>
      <c r="T2136" s="693">
        <f t="shared" si="280"/>
        <v>714338</v>
      </c>
      <c r="U2136" s="1035"/>
      <c r="V2136" s="690"/>
      <c r="W2136" s="1025"/>
      <c r="X2136" s="1030"/>
      <c r="Y2136" s="694">
        <f t="shared" si="281"/>
        <v>0</v>
      </c>
      <c r="Z2136" s="690"/>
      <c r="AA2136" s="690"/>
      <c r="AB2136" s="695">
        <f t="shared" si="282"/>
        <v>0</v>
      </c>
      <c r="AC2136" s="1035"/>
      <c r="AD2136" s="690"/>
      <c r="AE2136" s="1025"/>
      <c r="AF2136" s="1030"/>
      <c r="AG2136" s="690"/>
      <c r="AH2136" s="690"/>
      <c r="AI2136" s="696">
        <f t="shared" si="283"/>
        <v>708559</v>
      </c>
      <c r="AJ2136" s="697">
        <f t="shared" si="284"/>
        <v>714338</v>
      </c>
    </row>
    <row r="2137" spans="1:36" s="700" customFormat="1" ht="12.75" customHeight="1">
      <c r="A2137" s="789" t="s">
        <v>213</v>
      </c>
      <c r="B2137" s="789" t="s">
        <v>392</v>
      </c>
      <c r="C2137" s="930" t="s">
        <v>1298</v>
      </c>
      <c r="D2137" s="930"/>
      <c r="E2137" s="791">
        <v>198729</v>
      </c>
      <c r="F2137" s="792">
        <v>10</v>
      </c>
      <c r="G2137" s="1025">
        <v>5656020</v>
      </c>
      <c r="H2137" s="690">
        <v>6042017</v>
      </c>
      <c r="I2137" s="1030"/>
      <c r="J2137" s="690"/>
      <c r="K2137" s="1162">
        <v>1362585</v>
      </c>
      <c r="L2137" s="1163">
        <v>1362585</v>
      </c>
      <c r="M2137" s="1025">
        <v>1109324</v>
      </c>
      <c r="N2137" s="1030"/>
      <c r="O2137" s="692">
        <f t="shared" si="277"/>
        <v>1109324</v>
      </c>
      <c r="P2137" s="690">
        <v>1616630</v>
      </c>
      <c r="Q2137" s="690"/>
      <c r="R2137" s="691">
        <f t="shared" si="278"/>
        <v>1616630</v>
      </c>
      <c r="S2137" s="692">
        <f t="shared" si="279"/>
        <v>8127929</v>
      </c>
      <c r="T2137" s="693">
        <f t="shared" si="280"/>
        <v>9021232</v>
      </c>
      <c r="U2137" s="1035"/>
      <c r="V2137" s="690"/>
      <c r="W2137" s="1025"/>
      <c r="X2137" s="1030"/>
      <c r="Y2137" s="694">
        <f t="shared" si="281"/>
        <v>0</v>
      </c>
      <c r="Z2137" s="690"/>
      <c r="AA2137" s="690"/>
      <c r="AB2137" s="695">
        <f t="shared" si="282"/>
        <v>0</v>
      </c>
      <c r="AC2137" s="1035"/>
      <c r="AD2137" s="690"/>
      <c r="AE2137" s="1025"/>
      <c r="AF2137" s="1030"/>
      <c r="AG2137" s="690"/>
      <c r="AH2137" s="690"/>
      <c r="AI2137" s="696">
        <f t="shared" si="283"/>
        <v>8127929</v>
      </c>
      <c r="AJ2137" s="697">
        <f t="shared" si="284"/>
        <v>9021232</v>
      </c>
    </row>
    <row r="2138" spans="1:36" s="700" customFormat="1" ht="12.75" customHeight="1">
      <c r="A2138" s="789" t="s">
        <v>213</v>
      </c>
      <c r="B2138" s="789" t="s">
        <v>392</v>
      </c>
      <c r="C2138" s="793" t="s">
        <v>1248</v>
      </c>
      <c r="D2138" s="793"/>
      <c r="E2138" s="791">
        <v>198729</v>
      </c>
      <c r="F2138" s="792">
        <v>10</v>
      </c>
      <c r="G2138" s="1025"/>
      <c r="H2138" s="690"/>
      <c r="I2138" s="1030">
        <v>71700</v>
      </c>
      <c r="J2138" s="690">
        <v>64967</v>
      </c>
      <c r="K2138" s="1030"/>
      <c r="L2138" s="690"/>
      <c r="M2138" s="1025"/>
      <c r="N2138" s="1030"/>
      <c r="O2138" s="692">
        <f t="shared" si="277"/>
        <v>0</v>
      </c>
      <c r="P2138" s="690"/>
      <c r="Q2138" s="690"/>
      <c r="R2138" s="691">
        <f t="shared" si="278"/>
        <v>0</v>
      </c>
      <c r="S2138" s="692">
        <f t="shared" si="279"/>
        <v>71700</v>
      </c>
      <c r="T2138" s="693">
        <f t="shared" si="280"/>
        <v>64967</v>
      </c>
      <c r="U2138" s="1035"/>
      <c r="V2138" s="690"/>
      <c r="W2138" s="1025"/>
      <c r="X2138" s="1030"/>
      <c r="Y2138" s="694">
        <f t="shared" si="281"/>
        <v>0</v>
      </c>
      <c r="Z2138" s="690"/>
      <c r="AA2138" s="690"/>
      <c r="AB2138" s="695">
        <f t="shared" si="282"/>
        <v>0</v>
      </c>
      <c r="AC2138" s="1035"/>
      <c r="AD2138" s="690"/>
      <c r="AE2138" s="1025"/>
      <c r="AF2138" s="1030"/>
      <c r="AG2138" s="690"/>
      <c r="AH2138" s="690"/>
      <c r="AI2138" s="696">
        <f t="shared" si="283"/>
        <v>71700</v>
      </c>
      <c r="AJ2138" s="697">
        <f t="shared" si="284"/>
        <v>64967</v>
      </c>
    </row>
    <row r="2139" spans="1:36" s="700" customFormat="1" ht="12.75" customHeight="1">
      <c r="A2139" s="789" t="s">
        <v>213</v>
      </c>
      <c r="B2139" s="789" t="s">
        <v>394</v>
      </c>
      <c r="C2139" s="793" t="s">
        <v>451</v>
      </c>
      <c r="D2139" s="793"/>
      <c r="E2139" s="791">
        <v>198729</v>
      </c>
      <c r="F2139" s="792">
        <v>10</v>
      </c>
      <c r="G2139" s="1025"/>
      <c r="H2139" s="690"/>
      <c r="I2139" s="1030">
        <v>143306</v>
      </c>
      <c r="J2139" s="690">
        <v>152165</v>
      </c>
      <c r="K2139" s="1030"/>
      <c r="L2139" s="690"/>
      <c r="M2139" s="1025"/>
      <c r="N2139" s="1030"/>
      <c r="O2139" s="692">
        <f t="shared" si="277"/>
        <v>0</v>
      </c>
      <c r="P2139" s="690"/>
      <c r="Q2139" s="690"/>
      <c r="R2139" s="691">
        <f t="shared" si="278"/>
        <v>0</v>
      </c>
      <c r="S2139" s="692">
        <f t="shared" si="279"/>
        <v>143306</v>
      </c>
      <c r="T2139" s="693">
        <f t="shared" si="280"/>
        <v>152165</v>
      </c>
      <c r="U2139" s="1035"/>
      <c r="V2139" s="690"/>
      <c r="W2139" s="1025"/>
      <c r="X2139" s="1030"/>
      <c r="Y2139" s="694">
        <f t="shared" si="281"/>
        <v>0</v>
      </c>
      <c r="Z2139" s="690"/>
      <c r="AA2139" s="690"/>
      <c r="AB2139" s="695">
        <f t="shared" si="282"/>
        <v>0</v>
      </c>
      <c r="AC2139" s="1035"/>
      <c r="AD2139" s="690"/>
      <c r="AE2139" s="1025"/>
      <c r="AF2139" s="1030"/>
      <c r="AG2139" s="690"/>
      <c r="AH2139" s="690"/>
      <c r="AI2139" s="696">
        <f t="shared" si="283"/>
        <v>143306</v>
      </c>
      <c r="AJ2139" s="697">
        <f t="shared" si="284"/>
        <v>152165</v>
      </c>
    </row>
    <row r="2140" spans="1:36" s="700" customFormat="1" ht="12.75" customHeight="1">
      <c r="A2140" s="789" t="s">
        <v>213</v>
      </c>
      <c r="B2140" s="789" t="s">
        <v>403</v>
      </c>
      <c r="C2140" s="793" t="s">
        <v>386</v>
      </c>
      <c r="D2140" s="793"/>
      <c r="E2140" s="791">
        <v>198729</v>
      </c>
      <c r="F2140" s="792">
        <v>10</v>
      </c>
      <c r="G2140" s="1025"/>
      <c r="H2140" s="690"/>
      <c r="I2140" s="1030">
        <v>649802</v>
      </c>
      <c r="J2140" s="690">
        <v>567289</v>
      </c>
      <c r="K2140" s="1030"/>
      <c r="L2140" s="690"/>
      <c r="M2140" s="1025">
        <v>52827</v>
      </c>
      <c r="N2140" s="1030"/>
      <c r="O2140" s="692">
        <f t="shared" si="277"/>
        <v>52827</v>
      </c>
      <c r="P2140" s="690">
        <v>99625</v>
      </c>
      <c r="Q2140" s="690"/>
      <c r="R2140" s="691">
        <f t="shared" si="278"/>
        <v>99625</v>
      </c>
      <c r="S2140" s="692">
        <f t="shared" si="279"/>
        <v>702629</v>
      </c>
      <c r="T2140" s="693">
        <f t="shared" si="280"/>
        <v>666914</v>
      </c>
      <c r="U2140" s="1035"/>
      <c r="V2140" s="690"/>
      <c r="W2140" s="1025"/>
      <c r="X2140" s="1030"/>
      <c r="Y2140" s="694">
        <f t="shared" si="281"/>
        <v>0</v>
      </c>
      <c r="Z2140" s="690"/>
      <c r="AA2140" s="690"/>
      <c r="AB2140" s="695">
        <f t="shared" si="282"/>
        <v>0</v>
      </c>
      <c r="AC2140" s="1035"/>
      <c r="AD2140" s="690"/>
      <c r="AE2140" s="1025"/>
      <c r="AF2140" s="1030"/>
      <c r="AG2140" s="690"/>
      <c r="AH2140" s="690"/>
      <c r="AI2140" s="696">
        <f t="shared" si="283"/>
        <v>702629</v>
      </c>
      <c r="AJ2140" s="697">
        <f t="shared" si="284"/>
        <v>666914</v>
      </c>
    </row>
    <row r="2141" spans="1:36" s="700" customFormat="1" ht="12.75" customHeight="1">
      <c r="A2141" s="789" t="s">
        <v>213</v>
      </c>
      <c r="B2141" s="789" t="s">
        <v>392</v>
      </c>
      <c r="C2141" s="930" t="s">
        <v>1299</v>
      </c>
      <c r="D2141" s="930"/>
      <c r="E2141" s="791">
        <v>198905</v>
      </c>
      <c r="F2141" s="792">
        <v>10</v>
      </c>
      <c r="G2141" s="1025">
        <v>4338190</v>
      </c>
      <c r="H2141" s="690">
        <v>4537641</v>
      </c>
      <c r="I2141" s="1030"/>
      <c r="J2141" s="690"/>
      <c r="K2141" s="1162">
        <v>891000</v>
      </c>
      <c r="L2141" s="1163">
        <v>891000</v>
      </c>
      <c r="M2141" s="1025">
        <v>609523</v>
      </c>
      <c r="N2141" s="1030"/>
      <c r="O2141" s="692">
        <f t="shared" si="277"/>
        <v>609523</v>
      </c>
      <c r="P2141" s="690">
        <v>906540</v>
      </c>
      <c r="Q2141" s="690"/>
      <c r="R2141" s="691">
        <f t="shared" si="278"/>
        <v>906540</v>
      </c>
      <c r="S2141" s="692">
        <f t="shared" si="279"/>
        <v>5838713</v>
      </c>
      <c r="T2141" s="693">
        <f t="shared" si="280"/>
        <v>6335181</v>
      </c>
      <c r="U2141" s="1035"/>
      <c r="V2141" s="690"/>
      <c r="W2141" s="1025"/>
      <c r="X2141" s="1030"/>
      <c r="Y2141" s="694">
        <f t="shared" si="281"/>
        <v>0</v>
      </c>
      <c r="Z2141" s="690"/>
      <c r="AA2141" s="690"/>
      <c r="AB2141" s="695">
        <f t="shared" si="282"/>
        <v>0</v>
      </c>
      <c r="AC2141" s="1035"/>
      <c r="AD2141" s="690"/>
      <c r="AE2141" s="1025"/>
      <c r="AF2141" s="1030"/>
      <c r="AG2141" s="690"/>
      <c r="AH2141" s="690"/>
      <c r="AI2141" s="696">
        <f t="shared" si="283"/>
        <v>5838713</v>
      </c>
      <c r="AJ2141" s="697">
        <f t="shared" si="284"/>
        <v>6335181</v>
      </c>
    </row>
    <row r="2142" spans="1:36" s="700" customFormat="1" ht="12.75" customHeight="1">
      <c r="A2142" s="789" t="s">
        <v>213</v>
      </c>
      <c r="B2142" s="789" t="s">
        <v>392</v>
      </c>
      <c r="C2142" s="793" t="s">
        <v>1248</v>
      </c>
      <c r="D2142" s="793"/>
      <c r="E2142" s="791">
        <v>198905</v>
      </c>
      <c r="F2142" s="792">
        <v>10</v>
      </c>
      <c r="G2142" s="1025"/>
      <c r="H2142" s="690"/>
      <c r="I2142" s="1030">
        <v>43401</v>
      </c>
      <c r="J2142" s="690">
        <v>54337</v>
      </c>
      <c r="K2142" s="1030"/>
      <c r="L2142" s="690"/>
      <c r="M2142" s="1025"/>
      <c r="N2142" s="1030"/>
      <c r="O2142" s="692">
        <f t="shared" si="277"/>
        <v>0</v>
      </c>
      <c r="P2142" s="690"/>
      <c r="Q2142" s="690"/>
      <c r="R2142" s="691">
        <f t="shared" si="278"/>
        <v>0</v>
      </c>
      <c r="S2142" s="692">
        <f t="shared" si="279"/>
        <v>43401</v>
      </c>
      <c r="T2142" s="693">
        <f t="shared" si="280"/>
        <v>54337</v>
      </c>
      <c r="U2142" s="1035"/>
      <c r="V2142" s="690"/>
      <c r="W2142" s="1025"/>
      <c r="X2142" s="1030"/>
      <c r="Y2142" s="694">
        <f t="shared" si="281"/>
        <v>0</v>
      </c>
      <c r="Z2142" s="690"/>
      <c r="AA2142" s="690"/>
      <c r="AB2142" s="695">
        <f t="shared" si="282"/>
        <v>0</v>
      </c>
      <c r="AC2142" s="1035"/>
      <c r="AD2142" s="690"/>
      <c r="AE2142" s="1025"/>
      <c r="AF2142" s="1030"/>
      <c r="AG2142" s="690"/>
      <c r="AH2142" s="690"/>
      <c r="AI2142" s="696">
        <f t="shared" si="283"/>
        <v>43401</v>
      </c>
      <c r="AJ2142" s="697">
        <f t="shared" si="284"/>
        <v>54337</v>
      </c>
    </row>
    <row r="2143" spans="1:36" s="700" customFormat="1" ht="12.75" customHeight="1">
      <c r="A2143" s="789" t="s">
        <v>213</v>
      </c>
      <c r="B2143" s="789" t="s">
        <v>394</v>
      </c>
      <c r="C2143" s="793" t="s">
        <v>451</v>
      </c>
      <c r="D2143" s="793"/>
      <c r="E2143" s="791">
        <v>198905</v>
      </c>
      <c r="F2143" s="792">
        <v>10</v>
      </c>
      <c r="G2143" s="1025"/>
      <c r="H2143" s="690"/>
      <c r="I2143" s="1030">
        <v>134706</v>
      </c>
      <c r="J2143" s="690">
        <v>143672</v>
      </c>
      <c r="K2143" s="1030"/>
      <c r="L2143" s="690"/>
      <c r="M2143" s="1025"/>
      <c r="N2143" s="1030"/>
      <c r="O2143" s="692">
        <f t="shared" si="277"/>
        <v>0</v>
      </c>
      <c r="P2143" s="690"/>
      <c r="Q2143" s="690"/>
      <c r="R2143" s="691">
        <f t="shared" si="278"/>
        <v>0</v>
      </c>
      <c r="S2143" s="692">
        <f t="shared" si="279"/>
        <v>134706</v>
      </c>
      <c r="T2143" s="693">
        <f t="shared" si="280"/>
        <v>143672</v>
      </c>
      <c r="U2143" s="1035"/>
      <c r="V2143" s="690"/>
      <c r="W2143" s="1025"/>
      <c r="X2143" s="1030"/>
      <c r="Y2143" s="694">
        <f t="shared" si="281"/>
        <v>0</v>
      </c>
      <c r="Z2143" s="690"/>
      <c r="AA2143" s="690"/>
      <c r="AB2143" s="695">
        <f t="shared" si="282"/>
        <v>0</v>
      </c>
      <c r="AC2143" s="1035"/>
      <c r="AD2143" s="690"/>
      <c r="AE2143" s="1025"/>
      <c r="AF2143" s="1030"/>
      <c r="AG2143" s="690"/>
      <c r="AH2143" s="690"/>
      <c r="AI2143" s="696">
        <f t="shared" si="283"/>
        <v>134706</v>
      </c>
      <c r="AJ2143" s="697">
        <f t="shared" si="284"/>
        <v>143672</v>
      </c>
    </row>
    <row r="2144" spans="1:36" s="700" customFormat="1" ht="12.75" customHeight="1">
      <c r="A2144" s="789" t="s">
        <v>213</v>
      </c>
      <c r="B2144" s="789" t="s">
        <v>403</v>
      </c>
      <c r="C2144" s="793" t="s">
        <v>386</v>
      </c>
      <c r="D2144" s="793"/>
      <c r="E2144" s="791">
        <v>198905</v>
      </c>
      <c r="F2144" s="792">
        <v>10</v>
      </c>
      <c r="G2144" s="1025"/>
      <c r="H2144" s="690"/>
      <c r="I2144" s="1030">
        <v>326600</v>
      </c>
      <c r="J2144" s="690">
        <v>399428</v>
      </c>
      <c r="K2144" s="1030"/>
      <c r="L2144" s="690"/>
      <c r="M2144" s="1025">
        <v>67702</v>
      </c>
      <c r="N2144" s="1030"/>
      <c r="O2144" s="692">
        <f t="shared" si="277"/>
        <v>67702</v>
      </c>
      <c r="P2144" s="690">
        <v>95570</v>
      </c>
      <c r="Q2144" s="690"/>
      <c r="R2144" s="691">
        <f t="shared" si="278"/>
        <v>95570</v>
      </c>
      <c r="S2144" s="692">
        <f t="shared" si="279"/>
        <v>394302</v>
      </c>
      <c r="T2144" s="693">
        <f t="shared" si="280"/>
        <v>494998</v>
      </c>
      <c r="U2144" s="1035"/>
      <c r="V2144" s="690"/>
      <c r="W2144" s="1025"/>
      <c r="X2144" s="1030"/>
      <c r="Y2144" s="694">
        <f t="shared" si="281"/>
        <v>0</v>
      </c>
      <c r="Z2144" s="690"/>
      <c r="AA2144" s="690"/>
      <c r="AB2144" s="695">
        <f t="shared" si="282"/>
        <v>0</v>
      </c>
      <c r="AC2144" s="1035"/>
      <c r="AD2144" s="690"/>
      <c r="AE2144" s="1025"/>
      <c r="AF2144" s="1030"/>
      <c r="AG2144" s="690"/>
      <c r="AH2144" s="690"/>
      <c r="AI2144" s="696">
        <f t="shared" si="283"/>
        <v>394302</v>
      </c>
      <c r="AJ2144" s="697">
        <f t="shared" si="284"/>
        <v>494998</v>
      </c>
    </row>
    <row r="2145" spans="1:36" s="700" customFormat="1" ht="12.75" customHeight="1">
      <c r="A2145" s="789" t="s">
        <v>213</v>
      </c>
      <c r="B2145" s="789" t="s">
        <v>392</v>
      </c>
      <c r="C2145" s="930" t="s">
        <v>1300</v>
      </c>
      <c r="D2145" s="930"/>
      <c r="E2145" s="791">
        <v>198923</v>
      </c>
      <c r="F2145" s="792">
        <v>10</v>
      </c>
      <c r="G2145" s="1025">
        <v>6154615</v>
      </c>
      <c r="H2145" s="690">
        <v>6281125</v>
      </c>
      <c r="I2145" s="1030"/>
      <c r="J2145" s="690"/>
      <c r="K2145" s="1162">
        <v>819889</v>
      </c>
      <c r="L2145" s="1163">
        <v>815130</v>
      </c>
      <c r="M2145" s="1025">
        <v>1257863</v>
      </c>
      <c r="N2145" s="1030"/>
      <c r="O2145" s="692">
        <f t="shared" si="277"/>
        <v>1257863</v>
      </c>
      <c r="P2145" s="690">
        <v>1904876</v>
      </c>
      <c r="Q2145" s="690"/>
      <c r="R2145" s="691">
        <f t="shared" si="278"/>
        <v>1904876</v>
      </c>
      <c r="S2145" s="692">
        <f t="shared" si="279"/>
        <v>8232367</v>
      </c>
      <c r="T2145" s="693">
        <f t="shared" si="280"/>
        <v>9001131</v>
      </c>
      <c r="U2145" s="1035"/>
      <c r="V2145" s="690"/>
      <c r="W2145" s="1025"/>
      <c r="X2145" s="1030"/>
      <c r="Y2145" s="694">
        <f t="shared" si="281"/>
        <v>0</v>
      </c>
      <c r="Z2145" s="690"/>
      <c r="AA2145" s="690"/>
      <c r="AB2145" s="695">
        <f t="shared" si="282"/>
        <v>0</v>
      </c>
      <c r="AC2145" s="1035"/>
      <c r="AD2145" s="690"/>
      <c r="AE2145" s="1025"/>
      <c r="AF2145" s="1030"/>
      <c r="AG2145" s="690"/>
      <c r="AH2145" s="690"/>
      <c r="AI2145" s="696">
        <f t="shared" si="283"/>
        <v>8232367</v>
      </c>
      <c r="AJ2145" s="697">
        <f t="shared" si="284"/>
        <v>9001131</v>
      </c>
    </row>
    <row r="2146" spans="1:36" s="700" customFormat="1" ht="12.75" customHeight="1">
      <c r="A2146" s="789" t="s">
        <v>213</v>
      </c>
      <c r="B2146" s="789" t="s">
        <v>392</v>
      </c>
      <c r="C2146" s="793" t="s">
        <v>1248</v>
      </c>
      <c r="D2146" s="793"/>
      <c r="E2146" s="791">
        <v>198923</v>
      </c>
      <c r="F2146" s="792">
        <v>10</v>
      </c>
      <c r="G2146" s="1025"/>
      <c r="H2146" s="690"/>
      <c r="I2146" s="1030">
        <v>91148</v>
      </c>
      <c r="J2146" s="690">
        <v>113970</v>
      </c>
      <c r="K2146" s="1030"/>
      <c r="L2146" s="690"/>
      <c r="M2146" s="1025"/>
      <c r="N2146" s="1030"/>
      <c r="O2146" s="692">
        <f t="shared" si="277"/>
        <v>0</v>
      </c>
      <c r="P2146" s="690"/>
      <c r="Q2146" s="690"/>
      <c r="R2146" s="691">
        <f t="shared" si="278"/>
        <v>0</v>
      </c>
      <c r="S2146" s="692">
        <f t="shared" si="279"/>
        <v>91148</v>
      </c>
      <c r="T2146" s="693">
        <f t="shared" si="280"/>
        <v>113970</v>
      </c>
      <c r="U2146" s="1035"/>
      <c r="V2146" s="690"/>
      <c r="W2146" s="1025"/>
      <c r="X2146" s="1030"/>
      <c r="Y2146" s="694">
        <f t="shared" si="281"/>
        <v>0</v>
      </c>
      <c r="Z2146" s="690"/>
      <c r="AA2146" s="690"/>
      <c r="AB2146" s="695">
        <f t="shared" si="282"/>
        <v>0</v>
      </c>
      <c r="AC2146" s="1035"/>
      <c r="AD2146" s="690"/>
      <c r="AE2146" s="1025"/>
      <c r="AF2146" s="1030"/>
      <c r="AG2146" s="690"/>
      <c r="AH2146" s="690"/>
      <c r="AI2146" s="696">
        <f t="shared" si="283"/>
        <v>91148</v>
      </c>
      <c r="AJ2146" s="697">
        <f t="shared" si="284"/>
        <v>113970</v>
      </c>
    </row>
    <row r="2147" spans="1:36" s="700" customFormat="1" ht="12.75" customHeight="1">
      <c r="A2147" s="789" t="s">
        <v>213</v>
      </c>
      <c r="B2147" s="789" t="s">
        <v>394</v>
      </c>
      <c r="C2147" s="793" t="s">
        <v>451</v>
      </c>
      <c r="D2147" s="793"/>
      <c r="E2147" s="791">
        <v>198923</v>
      </c>
      <c r="F2147" s="792">
        <v>10</v>
      </c>
      <c r="G2147" s="1025"/>
      <c r="H2147" s="690"/>
      <c r="I2147" s="1030">
        <v>139706</v>
      </c>
      <c r="J2147" s="690">
        <v>143972</v>
      </c>
      <c r="K2147" s="1030"/>
      <c r="L2147" s="690"/>
      <c r="M2147" s="1025"/>
      <c r="N2147" s="1030"/>
      <c r="O2147" s="692">
        <f t="shared" si="277"/>
        <v>0</v>
      </c>
      <c r="P2147" s="690"/>
      <c r="Q2147" s="690"/>
      <c r="R2147" s="691">
        <f t="shared" si="278"/>
        <v>0</v>
      </c>
      <c r="S2147" s="692">
        <f t="shared" si="279"/>
        <v>139706</v>
      </c>
      <c r="T2147" s="693">
        <f t="shared" si="280"/>
        <v>143972</v>
      </c>
      <c r="U2147" s="1035"/>
      <c r="V2147" s="690"/>
      <c r="W2147" s="1025"/>
      <c r="X2147" s="1030"/>
      <c r="Y2147" s="694">
        <f t="shared" si="281"/>
        <v>0</v>
      </c>
      <c r="Z2147" s="690"/>
      <c r="AA2147" s="690"/>
      <c r="AB2147" s="695">
        <f t="shared" si="282"/>
        <v>0</v>
      </c>
      <c r="AC2147" s="1035"/>
      <c r="AD2147" s="690"/>
      <c r="AE2147" s="1025"/>
      <c r="AF2147" s="1030"/>
      <c r="AG2147" s="690"/>
      <c r="AH2147" s="690"/>
      <c r="AI2147" s="696">
        <f t="shared" si="283"/>
        <v>139706</v>
      </c>
      <c r="AJ2147" s="697">
        <f t="shared" si="284"/>
        <v>143972</v>
      </c>
    </row>
    <row r="2148" spans="1:36" s="700" customFormat="1" ht="12.75" customHeight="1">
      <c r="A2148" s="789" t="s">
        <v>213</v>
      </c>
      <c r="B2148" s="789" t="s">
        <v>403</v>
      </c>
      <c r="C2148" s="793" t="s">
        <v>386</v>
      </c>
      <c r="D2148" s="793"/>
      <c r="E2148" s="791">
        <v>198923</v>
      </c>
      <c r="F2148" s="792">
        <v>10</v>
      </c>
      <c r="G2148" s="1025"/>
      <c r="H2148" s="690"/>
      <c r="I2148" s="1030">
        <v>510137</v>
      </c>
      <c r="J2148" s="690">
        <v>511987</v>
      </c>
      <c r="K2148" s="1030"/>
      <c r="L2148" s="690"/>
      <c r="M2148" s="1025">
        <v>29435</v>
      </c>
      <c r="N2148" s="1030"/>
      <c r="O2148" s="692">
        <f t="shared" si="277"/>
        <v>29435</v>
      </c>
      <c r="P2148" s="690">
        <v>36364</v>
      </c>
      <c r="Q2148" s="690"/>
      <c r="R2148" s="691">
        <f t="shared" si="278"/>
        <v>36364</v>
      </c>
      <c r="S2148" s="692">
        <f t="shared" si="279"/>
        <v>539572</v>
      </c>
      <c r="T2148" s="693">
        <f t="shared" si="280"/>
        <v>548351</v>
      </c>
      <c r="U2148" s="1035"/>
      <c r="V2148" s="690"/>
      <c r="W2148" s="1025"/>
      <c r="X2148" s="1030"/>
      <c r="Y2148" s="694">
        <f t="shared" si="281"/>
        <v>0</v>
      </c>
      <c r="Z2148" s="690"/>
      <c r="AA2148" s="690"/>
      <c r="AB2148" s="695">
        <f t="shared" si="282"/>
        <v>0</v>
      </c>
      <c r="AC2148" s="1035"/>
      <c r="AD2148" s="690"/>
      <c r="AE2148" s="1025"/>
      <c r="AF2148" s="1030"/>
      <c r="AG2148" s="690"/>
      <c r="AH2148" s="690"/>
      <c r="AI2148" s="696">
        <f t="shared" si="283"/>
        <v>539572</v>
      </c>
      <c r="AJ2148" s="697">
        <f t="shared" si="284"/>
        <v>548351</v>
      </c>
    </row>
    <row r="2149" spans="1:36" s="700" customFormat="1" ht="12.75" customHeight="1">
      <c r="A2149" s="789" t="s">
        <v>213</v>
      </c>
      <c r="B2149" s="789" t="s">
        <v>392</v>
      </c>
      <c r="C2149" s="930" t="s">
        <v>1301</v>
      </c>
      <c r="D2149" s="930"/>
      <c r="E2149" s="791">
        <v>199023</v>
      </c>
      <c r="F2149" s="792">
        <v>10</v>
      </c>
      <c r="G2149" s="1025">
        <v>4559912</v>
      </c>
      <c r="H2149" s="690">
        <v>4360860</v>
      </c>
      <c r="I2149" s="1030"/>
      <c r="J2149" s="690"/>
      <c r="K2149" s="1162">
        <v>900918</v>
      </c>
      <c r="L2149" s="1163">
        <v>800000</v>
      </c>
      <c r="M2149" s="1025">
        <v>859075</v>
      </c>
      <c r="N2149" s="1030"/>
      <c r="O2149" s="692">
        <f t="shared" si="277"/>
        <v>859075</v>
      </c>
      <c r="P2149" s="690">
        <v>1024262</v>
      </c>
      <c r="Q2149" s="690"/>
      <c r="R2149" s="691">
        <f t="shared" si="278"/>
        <v>1024262</v>
      </c>
      <c r="S2149" s="692">
        <f t="shared" si="279"/>
        <v>6319905</v>
      </c>
      <c r="T2149" s="693">
        <f t="shared" si="280"/>
        <v>6185122</v>
      </c>
      <c r="U2149" s="1035"/>
      <c r="V2149" s="690"/>
      <c r="W2149" s="1025"/>
      <c r="X2149" s="1030"/>
      <c r="Y2149" s="694">
        <f t="shared" si="281"/>
        <v>0</v>
      </c>
      <c r="Z2149" s="690"/>
      <c r="AA2149" s="690"/>
      <c r="AB2149" s="695">
        <f t="shared" si="282"/>
        <v>0</v>
      </c>
      <c r="AC2149" s="1035"/>
      <c r="AD2149" s="690"/>
      <c r="AE2149" s="1025"/>
      <c r="AF2149" s="1030"/>
      <c r="AG2149" s="690"/>
      <c r="AH2149" s="690"/>
      <c r="AI2149" s="696">
        <f t="shared" si="283"/>
        <v>6319905</v>
      </c>
      <c r="AJ2149" s="697">
        <f t="shared" si="284"/>
        <v>6185122</v>
      </c>
    </row>
    <row r="2150" spans="1:36" s="700" customFormat="1" ht="12.75" customHeight="1">
      <c r="A2150" s="789" t="s">
        <v>213</v>
      </c>
      <c r="B2150" s="789" t="s">
        <v>392</v>
      </c>
      <c r="C2150" s="793" t="s">
        <v>1248</v>
      </c>
      <c r="D2150" s="793"/>
      <c r="E2150" s="791">
        <v>199023</v>
      </c>
      <c r="F2150" s="792">
        <v>10</v>
      </c>
      <c r="G2150" s="1025"/>
      <c r="H2150" s="690"/>
      <c r="I2150" s="1030">
        <v>72205</v>
      </c>
      <c r="J2150" s="690">
        <v>64489</v>
      </c>
      <c r="K2150" s="1030"/>
      <c r="L2150" s="690"/>
      <c r="M2150" s="1025"/>
      <c r="N2150" s="1030"/>
      <c r="O2150" s="692">
        <f t="shared" si="277"/>
        <v>0</v>
      </c>
      <c r="P2150" s="690"/>
      <c r="Q2150" s="690"/>
      <c r="R2150" s="691">
        <f t="shared" si="278"/>
        <v>0</v>
      </c>
      <c r="S2150" s="692">
        <f t="shared" si="279"/>
        <v>72205</v>
      </c>
      <c r="T2150" s="693">
        <f t="shared" si="280"/>
        <v>64489</v>
      </c>
      <c r="U2150" s="1035"/>
      <c r="V2150" s="690"/>
      <c r="W2150" s="1025"/>
      <c r="X2150" s="1030"/>
      <c r="Y2150" s="694">
        <f t="shared" si="281"/>
        <v>0</v>
      </c>
      <c r="Z2150" s="690"/>
      <c r="AA2150" s="690"/>
      <c r="AB2150" s="695">
        <f t="shared" si="282"/>
        <v>0</v>
      </c>
      <c r="AC2150" s="1035"/>
      <c r="AD2150" s="690"/>
      <c r="AE2150" s="1025"/>
      <c r="AF2150" s="1030"/>
      <c r="AG2150" s="690"/>
      <c r="AH2150" s="690"/>
      <c r="AI2150" s="696">
        <f t="shared" si="283"/>
        <v>72205</v>
      </c>
      <c r="AJ2150" s="697">
        <f t="shared" si="284"/>
        <v>64489</v>
      </c>
    </row>
    <row r="2151" spans="1:36" s="700" customFormat="1" ht="12.75" customHeight="1">
      <c r="A2151" s="789" t="s">
        <v>213</v>
      </c>
      <c r="B2151" s="789" t="s">
        <v>394</v>
      </c>
      <c r="C2151" s="793" t="s">
        <v>451</v>
      </c>
      <c r="D2151" s="793"/>
      <c r="E2151" s="791">
        <v>199023</v>
      </c>
      <c r="F2151" s="792">
        <v>10</v>
      </c>
      <c r="G2151" s="1025"/>
      <c r="H2151" s="690"/>
      <c r="I2151" s="1030">
        <v>136906</v>
      </c>
      <c r="J2151" s="690">
        <v>146175</v>
      </c>
      <c r="K2151" s="1030"/>
      <c r="L2151" s="690"/>
      <c r="M2151" s="1025"/>
      <c r="N2151" s="1030"/>
      <c r="O2151" s="692">
        <f t="shared" si="277"/>
        <v>0</v>
      </c>
      <c r="P2151" s="690"/>
      <c r="Q2151" s="690"/>
      <c r="R2151" s="691">
        <f t="shared" si="278"/>
        <v>0</v>
      </c>
      <c r="S2151" s="692">
        <f t="shared" si="279"/>
        <v>136906</v>
      </c>
      <c r="T2151" s="693">
        <f t="shared" si="280"/>
        <v>146175</v>
      </c>
      <c r="U2151" s="1035"/>
      <c r="V2151" s="690"/>
      <c r="W2151" s="1025"/>
      <c r="X2151" s="1030"/>
      <c r="Y2151" s="694">
        <f t="shared" si="281"/>
        <v>0</v>
      </c>
      <c r="Z2151" s="690"/>
      <c r="AA2151" s="690"/>
      <c r="AB2151" s="695">
        <f t="shared" si="282"/>
        <v>0</v>
      </c>
      <c r="AC2151" s="1035"/>
      <c r="AD2151" s="690"/>
      <c r="AE2151" s="1025"/>
      <c r="AF2151" s="1030"/>
      <c r="AG2151" s="690"/>
      <c r="AH2151" s="690"/>
      <c r="AI2151" s="696">
        <f t="shared" si="283"/>
        <v>136906</v>
      </c>
      <c r="AJ2151" s="697">
        <f t="shared" si="284"/>
        <v>146175</v>
      </c>
    </row>
    <row r="2152" spans="1:36" s="700" customFormat="1" ht="12.75" customHeight="1">
      <c r="A2152" s="789" t="s">
        <v>213</v>
      </c>
      <c r="B2152" s="789" t="s">
        <v>403</v>
      </c>
      <c r="C2152" s="793" t="s">
        <v>386</v>
      </c>
      <c r="D2152" s="793"/>
      <c r="E2152" s="791">
        <v>199023</v>
      </c>
      <c r="F2152" s="792">
        <v>10</v>
      </c>
      <c r="G2152" s="1025"/>
      <c r="H2152" s="690"/>
      <c r="I2152" s="1030">
        <v>435361</v>
      </c>
      <c r="J2152" s="690">
        <v>490698</v>
      </c>
      <c r="K2152" s="1030"/>
      <c r="L2152" s="690"/>
      <c r="M2152" s="1025">
        <v>44917</v>
      </c>
      <c r="N2152" s="1030"/>
      <c r="O2152" s="692">
        <f t="shared" si="277"/>
        <v>44917</v>
      </c>
      <c r="P2152" s="690">
        <v>93222</v>
      </c>
      <c r="Q2152" s="690"/>
      <c r="R2152" s="691">
        <f t="shared" si="278"/>
        <v>93222</v>
      </c>
      <c r="S2152" s="692">
        <f t="shared" si="279"/>
        <v>480278</v>
      </c>
      <c r="T2152" s="693">
        <f t="shared" si="280"/>
        <v>583920</v>
      </c>
      <c r="U2152" s="1035"/>
      <c r="V2152" s="690"/>
      <c r="W2152" s="1025"/>
      <c r="X2152" s="1030"/>
      <c r="Y2152" s="694">
        <f t="shared" si="281"/>
        <v>0</v>
      </c>
      <c r="Z2152" s="690"/>
      <c r="AA2152" s="690"/>
      <c r="AB2152" s="695">
        <f t="shared" si="282"/>
        <v>0</v>
      </c>
      <c r="AC2152" s="1035"/>
      <c r="AD2152" s="690"/>
      <c r="AE2152" s="1025"/>
      <c r="AF2152" s="1030"/>
      <c r="AG2152" s="690"/>
      <c r="AH2152" s="690"/>
      <c r="AI2152" s="696">
        <f t="shared" si="283"/>
        <v>480278</v>
      </c>
      <c r="AJ2152" s="697">
        <f t="shared" si="284"/>
        <v>583920</v>
      </c>
    </row>
    <row r="2153" spans="1:36" s="700" customFormat="1" ht="12.75" customHeight="1">
      <c r="A2153" s="789" t="s">
        <v>213</v>
      </c>
      <c r="B2153" s="789" t="s">
        <v>392</v>
      </c>
      <c r="C2153" s="930" t="s">
        <v>1302</v>
      </c>
      <c r="D2153" s="930"/>
      <c r="E2153" s="791">
        <v>199263</v>
      </c>
      <c r="F2153" s="792">
        <v>10</v>
      </c>
      <c r="G2153" s="1025">
        <v>3640411</v>
      </c>
      <c r="H2153" s="690">
        <v>3566493</v>
      </c>
      <c r="I2153" s="1030"/>
      <c r="J2153" s="690"/>
      <c r="K2153" s="1162">
        <v>520000</v>
      </c>
      <c r="L2153" s="1163">
        <v>519346</v>
      </c>
      <c r="M2153" s="1025">
        <v>306073</v>
      </c>
      <c r="N2153" s="1030"/>
      <c r="O2153" s="692">
        <f t="shared" si="277"/>
        <v>306073</v>
      </c>
      <c r="P2153" s="690">
        <v>452202</v>
      </c>
      <c r="Q2153" s="690"/>
      <c r="R2153" s="691">
        <f t="shared" si="278"/>
        <v>452202</v>
      </c>
      <c r="S2153" s="692">
        <f t="shared" si="279"/>
        <v>4466484</v>
      </c>
      <c r="T2153" s="693">
        <f t="shared" si="280"/>
        <v>4538041</v>
      </c>
      <c r="U2153" s="1035"/>
      <c r="V2153" s="690"/>
      <c r="W2153" s="1025"/>
      <c r="X2153" s="1030"/>
      <c r="Y2153" s="694">
        <f t="shared" si="281"/>
        <v>0</v>
      </c>
      <c r="Z2153" s="690"/>
      <c r="AA2153" s="690"/>
      <c r="AB2153" s="695">
        <f t="shared" si="282"/>
        <v>0</v>
      </c>
      <c r="AC2153" s="1035"/>
      <c r="AD2153" s="690"/>
      <c r="AE2153" s="1025"/>
      <c r="AF2153" s="1030"/>
      <c r="AG2153" s="690"/>
      <c r="AH2153" s="690"/>
      <c r="AI2153" s="696">
        <f t="shared" si="283"/>
        <v>4466484</v>
      </c>
      <c r="AJ2153" s="697">
        <f t="shared" si="284"/>
        <v>4538041</v>
      </c>
    </row>
    <row r="2154" spans="1:36" s="700" customFormat="1" ht="12.75" customHeight="1">
      <c r="A2154" s="789" t="s">
        <v>213</v>
      </c>
      <c r="B2154" s="789" t="s">
        <v>392</v>
      </c>
      <c r="C2154" s="793" t="s">
        <v>1248</v>
      </c>
      <c r="D2154" s="793"/>
      <c r="E2154" s="791">
        <v>199263</v>
      </c>
      <c r="F2154" s="792">
        <v>10</v>
      </c>
      <c r="G2154" s="1025"/>
      <c r="H2154" s="690"/>
      <c r="I2154" s="1030">
        <v>34761</v>
      </c>
      <c r="J2154" s="690">
        <v>34430</v>
      </c>
      <c r="K2154" s="1030"/>
      <c r="L2154" s="690"/>
      <c r="M2154" s="1025"/>
      <c r="N2154" s="1030"/>
      <c r="O2154" s="692">
        <f t="shared" si="277"/>
        <v>0</v>
      </c>
      <c r="P2154" s="690"/>
      <c r="Q2154" s="690"/>
      <c r="R2154" s="691">
        <f t="shared" si="278"/>
        <v>0</v>
      </c>
      <c r="S2154" s="692">
        <f t="shared" si="279"/>
        <v>34761</v>
      </c>
      <c r="T2154" s="693">
        <f t="shared" si="280"/>
        <v>34430</v>
      </c>
      <c r="U2154" s="1035"/>
      <c r="V2154" s="690"/>
      <c r="W2154" s="1025"/>
      <c r="X2154" s="1030"/>
      <c r="Y2154" s="694">
        <f t="shared" si="281"/>
        <v>0</v>
      </c>
      <c r="Z2154" s="690"/>
      <c r="AA2154" s="690"/>
      <c r="AB2154" s="695">
        <f t="shared" si="282"/>
        <v>0</v>
      </c>
      <c r="AC2154" s="1035"/>
      <c r="AD2154" s="690"/>
      <c r="AE2154" s="1025"/>
      <c r="AF2154" s="1030"/>
      <c r="AG2154" s="690"/>
      <c r="AH2154" s="690"/>
      <c r="AI2154" s="696">
        <f t="shared" si="283"/>
        <v>34761</v>
      </c>
      <c r="AJ2154" s="697">
        <f t="shared" si="284"/>
        <v>34430</v>
      </c>
    </row>
    <row r="2155" spans="1:36" s="700" customFormat="1" ht="12.75" customHeight="1">
      <c r="A2155" s="789" t="s">
        <v>213</v>
      </c>
      <c r="B2155" s="789" t="s">
        <v>394</v>
      </c>
      <c r="C2155" s="793" t="s">
        <v>451</v>
      </c>
      <c r="D2155" s="793"/>
      <c r="E2155" s="791">
        <v>199263</v>
      </c>
      <c r="F2155" s="792">
        <v>10</v>
      </c>
      <c r="G2155" s="1025"/>
      <c r="H2155" s="690"/>
      <c r="I2155" s="1030">
        <v>83606</v>
      </c>
      <c r="J2155" s="690">
        <v>93061</v>
      </c>
      <c r="K2155" s="1030"/>
      <c r="L2155" s="690"/>
      <c r="M2155" s="1025"/>
      <c r="N2155" s="1030"/>
      <c r="O2155" s="692">
        <f t="shared" si="277"/>
        <v>0</v>
      </c>
      <c r="P2155" s="690"/>
      <c r="Q2155" s="690"/>
      <c r="R2155" s="691">
        <f t="shared" si="278"/>
        <v>0</v>
      </c>
      <c r="S2155" s="692">
        <f t="shared" si="279"/>
        <v>83606</v>
      </c>
      <c r="T2155" s="693">
        <f t="shared" si="280"/>
        <v>93061</v>
      </c>
      <c r="U2155" s="1035"/>
      <c r="V2155" s="690"/>
      <c r="W2155" s="1025"/>
      <c r="X2155" s="1030"/>
      <c r="Y2155" s="694">
        <f t="shared" si="281"/>
        <v>0</v>
      </c>
      <c r="Z2155" s="690"/>
      <c r="AA2155" s="690"/>
      <c r="AB2155" s="695">
        <f t="shared" si="282"/>
        <v>0</v>
      </c>
      <c r="AC2155" s="1035"/>
      <c r="AD2155" s="690"/>
      <c r="AE2155" s="1025"/>
      <c r="AF2155" s="1030"/>
      <c r="AG2155" s="690"/>
      <c r="AH2155" s="690"/>
      <c r="AI2155" s="696">
        <f t="shared" si="283"/>
        <v>83606</v>
      </c>
      <c r="AJ2155" s="697">
        <f t="shared" si="284"/>
        <v>93061</v>
      </c>
    </row>
    <row r="2156" spans="1:36" s="700" customFormat="1" ht="12.75" customHeight="1">
      <c r="A2156" s="789" t="s">
        <v>213</v>
      </c>
      <c r="B2156" s="789" t="s">
        <v>403</v>
      </c>
      <c r="C2156" s="793" t="s">
        <v>386</v>
      </c>
      <c r="D2156" s="793"/>
      <c r="E2156" s="791">
        <v>199263</v>
      </c>
      <c r="F2156" s="792">
        <v>10</v>
      </c>
      <c r="G2156" s="1025"/>
      <c r="H2156" s="690"/>
      <c r="I2156" s="1030">
        <v>331174</v>
      </c>
      <c r="J2156" s="690">
        <v>227403</v>
      </c>
      <c r="K2156" s="1030"/>
      <c r="L2156" s="690"/>
      <c r="M2156" s="1025">
        <v>24588</v>
      </c>
      <c r="N2156" s="1030"/>
      <c r="O2156" s="692">
        <f t="shared" si="277"/>
        <v>24588</v>
      </c>
      <c r="P2156" s="690">
        <v>51219</v>
      </c>
      <c r="Q2156" s="690"/>
      <c r="R2156" s="691">
        <f t="shared" si="278"/>
        <v>51219</v>
      </c>
      <c r="S2156" s="692">
        <f t="shared" si="279"/>
        <v>355762</v>
      </c>
      <c r="T2156" s="693">
        <f t="shared" si="280"/>
        <v>278622</v>
      </c>
      <c r="U2156" s="1035"/>
      <c r="V2156" s="690"/>
      <c r="W2156" s="1025"/>
      <c r="X2156" s="1030"/>
      <c r="Y2156" s="694">
        <f t="shared" si="281"/>
        <v>0</v>
      </c>
      <c r="Z2156" s="690"/>
      <c r="AA2156" s="690"/>
      <c r="AB2156" s="695">
        <f t="shared" si="282"/>
        <v>0</v>
      </c>
      <c r="AC2156" s="1035"/>
      <c r="AD2156" s="690"/>
      <c r="AE2156" s="1025"/>
      <c r="AF2156" s="1030"/>
      <c r="AG2156" s="690"/>
      <c r="AH2156" s="690"/>
      <c r="AI2156" s="696">
        <f t="shared" si="283"/>
        <v>355762</v>
      </c>
      <c r="AJ2156" s="697">
        <f t="shared" si="284"/>
        <v>278622</v>
      </c>
    </row>
    <row r="2157" spans="1:36" s="700" customFormat="1" ht="12.75" customHeight="1">
      <c r="A2157" s="789" t="s">
        <v>213</v>
      </c>
      <c r="B2157" s="789" t="s">
        <v>392</v>
      </c>
      <c r="C2157" s="930" t="s">
        <v>1303</v>
      </c>
      <c r="D2157" s="930"/>
      <c r="E2157" s="791">
        <v>199467</v>
      </c>
      <c r="F2157" s="792">
        <v>10</v>
      </c>
      <c r="G2157" s="1025">
        <v>4541675</v>
      </c>
      <c r="H2157" s="690">
        <v>4450066</v>
      </c>
      <c r="I2157" s="1030"/>
      <c r="J2157" s="690"/>
      <c r="K2157" s="1162">
        <v>840539</v>
      </c>
      <c r="L2157" s="1163">
        <v>860839</v>
      </c>
      <c r="M2157" s="1025">
        <v>633989</v>
      </c>
      <c r="N2157" s="1030"/>
      <c r="O2157" s="692">
        <f t="shared" si="277"/>
        <v>633989</v>
      </c>
      <c r="P2157" s="690">
        <v>933482</v>
      </c>
      <c r="Q2157" s="690"/>
      <c r="R2157" s="691">
        <f t="shared" si="278"/>
        <v>933482</v>
      </c>
      <c r="S2157" s="692">
        <f t="shared" si="279"/>
        <v>6016203</v>
      </c>
      <c r="T2157" s="693">
        <f t="shared" si="280"/>
        <v>6244387</v>
      </c>
      <c r="U2157" s="1035"/>
      <c r="V2157" s="690"/>
      <c r="W2157" s="1025"/>
      <c r="X2157" s="1030"/>
      <c r="Y2157" s="694">
        <f t="shared" si="281"/>
        <v>0</v>
      </c>
      <c r="Z2157" s="690"/>
      <c r="AA2157" s="690"/>
      <c r="AB2157" s="695">
        <f t="shared" si="282"/>
        <v>0</v>
      </c>
      <c r="AC2157" s="1035"/>
      <c r="AD2157" s="690"/>
      <c r="AE2157" s="1025"/>
      <c r="AF2157" s="1030"/>
      <c r="AG2157" s="690"/>
      <c r="AH2157" s="690"/>
      <c r="AI2157" s="696">
        <f t="shared" si="283"/>
        <v>6016203</v>
      </c>
      <c r="AJ2157" s="697">
        <f t="shared" si="284"/>
        <v>6244387</v>
      </c>
    </row>
    <row r="2158" spans="1:36" s="700" customFormat="1" ht="12.75" customHeight="1">
      <c r="A2158" s="789" t="s">
        <v>213</v>
      </c>
      <c r="B2158" s="789" t="s">
        <v>392</v>
      </c>
      <c r="C2158" s="793" t="s">
        <v>1248</v>
      </c>
      <c r="D2158" s="793"/>
      <c r="E2158" s="791">
        <v>199467</v>
      </c>
      <c r="F2158" s="792">
        <v>10</v>
      </c>
      <c r="G2158" s="1025"/>
      <c r="H2158" s="690"/>
      <c r="I2158" s="1030">
        <v>47135</v>
      </c>
      <c r="J2158" s="690">
        <v>41526</v>
      </c>
      <c r="K2158" s="1030"/>
      <c r="L2158" s="690"/>
      <c r="M2158" s="1025"/>
      <c r="N2158" s="1030"/>
      <c r="O2158" s="692">
        <f t="shared" si="277"/>
        <v>0</v>
      </c>
      <c r="P2158" s="690"/>
      <c r="Q2158" s="690"/>
      <c r="R2158" s="691">
        <f t="shared" si="278"/>
        <v>0</v>
      </c>
      <c r="S2158" s="692">
        <f t="shared" si="279"/>
        <v>47135</v>
      </c>
      <c r="T2158" s="693">
        <f t="shared" si="280"/>
        <v>41526</v>
      </c>
      <c r="U2158" s="1035"/>
      <c r="V2158" s="690"/>
      <c r="W2158" s="1025"/>
      <c r="X2158" s="1030"/>
      <c r="Y2158" s="694">
        <f t="shared" si="281"/>
        <v>0</v>
      </c>
      <c r="Z2158" s="690"/>
      <c r="AA2158" s="690"/>
      <c r="AB2158" s="695">
        <f t="shared" si="282"/>
        <v>0</v>
      </c>
      <c r="AC2158" s="1035"/>
      <c r="AD2158" s="690"/>
      <c r="AE2158" s="1025"/>
      <c r="AF2158" s="1030"/>
      <c r="AG2158" s="690"/>
      <c r="AH2158" s="690"/>
      <c r="AI2158" s="696">
        <f t="shared" si="283"/>
        <v>47135</v>
      </c>
      <c r="AJ2158" s="697">
        <f t="shared" si="284"/>
        <v>41526</v>
      </c>
    </row>
    <row r="2159" spans="1:36" s="700" customFormat="1" ht="12.75" customHeight="1">
      <c r="A2159" s="789" t="s">
        <v>213</v>
      </c>
      <c r="B2159" s="789" t="s">
        <v>394</v>
      </c>
      <c r="C2159" s="793" t="s">
        <v>451</v>
      </c>
      <c r="D2159" s="793"/>
      <c r="E2159" s="791">
        <v>199467</v>
      </c>
      <c r="F2159" s="792">
        <v>10</v>
      </c>
      <c r="G2159" s="1025"/>
      <c r="H2159" s="690"/>
      <c r="I2159" s="1030">
        <v>135106</v>
      </c>
      <c r="J2159" s="690">
        <v>140030</v>
      </c>
      <c r="K2159" s="1030"/>
      <c r="L2159" s="690"/>
      <c r="M2159" s="1025"/>
      <c r="N2159" s="1030"/>
      <c r="O2159" s="692">
        <f t="shared" si="277"/>
        <v>0</v>
      </c>
      <c r="P2159" s="690"/>
      <c r="Q2159" s="690"/>
      <c r="R2159" s="691">
        <f t="shared" si="278"/>
        <v>0</v>
      </c>
      <c r="S2159" s="692">
        <f t="shared" si="279"/>
        <v>135106</v>
      </c>
      <c r="T2159" s="693">
        <f t="shared" si="280"/>
        <v>140030</v>
      </c>
      <c r="U2159" s="1035"/>
      <c r="V2159" s="690"/>
      <c r="W2159" s="1025"/>
      <c r="X2159" s="1030"/>
      <c r="Y2159" s="694">
        <f t="shared" si="281"/>
        <v>0</v>
      </c>
      <c r="Z2159" s="690"/>
      <c r="AA2159" s="690"/>
      <c r="AB2159" s="695">
        <f t="shared" si="282"/>
        <v>0</v>
      </c>
      <c r="AC2159" s="1035"/>
      <c r="AD2159" s="690"/>
      <c r="AE2159" s="1025"/>
      <c r="AF2159" s="1030"/>
      <c r="AG2159" s="690"/>
      <c r="AH2159" s="690"/>
      <c r="AI2159" s="696">
        <f t="shared" si="283"/>
        <v>135106</v>
      </c>
      <c r="AJ2159" s="697">
        <f t="shared" si="284"/>
        <v>140030</v>
      </c>
    </row>
    <row r="2160" spans="1:36" s="700" customFormat="1" ht="12.75" customHeight="1">
      <c r="A2160" s="789" t="s">
        <v>213</v>
      </c>
      <c r="B2160" s="789" t="s">
        <v>403</v>
      </c>
      <c r="C2160" s="793" t="s">
        <v>386</v>
      </c>
      <c r="D2160" s="793"/>
      <c r="E2160" s="791">
        <v>199467</v>
      </c>
      <c r="F2160" s="792">
        <v>10</v>
      </c>
      <c r="G2160" s="1025"/>
      <c r="H2160" s="690"/>
      <c r="I2160" s="1030">
        <v>448827</v>
      </c>
      <c r="J2160" s="690">
        <v>543932</v>
      </c>
      <c r="K2160" s="1030"/>
      <c r="L2160" s="690"/>
      <c r="M2160" s="1025">
        <v>40345</v>
      </c>
      <c r="N2160" s="1030"/>
      <c r="O2160" s="692">
        <f t="shared" si="277"/>
        <v>40345</v>
      </c>
      <c r="P2160" s="690">
        <v>114089</v>
      </c>
      <c r="Q2160" s="690"/>
      <c r="R2160" s="691">
        <f t="shared" si="278"/>
        <v>114089</v>
      </c>
      <c r="S2160" s="692">
        <f t="shared" si="279"/>
        <v>489172</v>
      </c>
      <c r="T2160" s="693">
        <f t="shared" si="280"/>
        <v>658021</v>
      </c>
      <c r="U2160" s="1035"/>
      <c r="V2160" s="690"/>
      <c r="W2160" s="1025"/>
      <c r="X2160" s="1030"/>
      <c r="Y2160" s="694">
        <f t="shared" si="281"/>
        <v>0</v>
      </c>
      <c r="Z2160" s="690"/>
      <c r="AA2160" s="690"/>
      <c r="AB2160" s="695">
        <f t="shared" si="282"/>
        <v>0</v>
      </c>
      <c r="AC2160" s="1035"/>
      <c r="AD2160" s="690"/>
      <c r="AE2160" s="1025"/>
      <c r="AF2160" s="1030"/>
      <c r="AG2160" s="690"/>
      <c r="AH2160" s="690"/>
      <c r="AI2160" s="696">
        <f t="shared" si="283"/>
        <v>489172</v>
      </c>
      <c r="AJ2160" s="697">
        <f t="shared" si="284"/>
        <v>658021</v>
      </c>
    </row>
    <row r="2161" spans="1:36" s="700" customFormat="1" ht="12.75" customHeight="1">
      <c r="A2161" s="789" t="s">
        <v>213</v>
      </c>
      <c r="B2161" s="789" t="s">
        <v>392</v>
      </c>
      <c r="C2161" s="931" t="s">
        <v>1304</v>
      </c>
      <c r="D2161" s="931"/>
      <c r="E2161" s="791">
        <v>199625</v>
      </c>
      <c r="F2161" s="792">
        <v>10</v>
      </c>
      <c r="G2161" s="1025">
        <v>7513104</v>
      </c>
      <c r="H2161" s="690">
        <v>7564032</v>
      </c>
      <c r="I2161" s="1030"/>
      <c r="J2161" s="690"/>
      <c r="K2161" s="1162">
        <v>1116661</v>
      </c>
      <c r="L2161" s="1163">
        <v>1124756</v>
      </c>
      <c r="M2161" s="1025">
        <v>1253877</v>
      </c>
      <c r="N2161" s="1030"/>
      <c r="O2161" s="692">
        <f t="shared" si="277"/>
        <v>1253877</v>
      </c>
      <c r="P2161" s="690">
        <v>1644869</v>
      </c>
      <c r="Q2161" s="690"/>
      <c r="R2161" s="691">
        <f t="shared" si="278"/>
        <v>1644869</v>
      </c>
      <c r="S2161" s="692">
        <f t="shared" si="279"/>
        <v>9883642</v>
      </c>
      <c r="T2161" s="693">
        <f t="shared" si="280"/>
        <v>10333657</v>
      </c>
      <c r="U2161" s="1035"/>
      <c r="V2161" s="690"/>
      <c r="W2161" s="1025"/>
      <c r="X2161" s="1030"/>
      <c r="Y2161" s="694">
        <f t="shared" si="281"/>
        <v>0</v>
      </c>
      <c r="Z2161" s="690"/>
      <c r="AA2161" s="690"/>
      <c r="AB2161" s="695">
        <f t="shared" si="282"/>
        <v>0</v>
      </c>
      <c r="AC2161" s="1035"/>
      <c r="AD2161" s="690"/>
      <c r="AE2161" s="1025"/>
      <c r="AF2161" s="1030"/>
      <c r="AG2161" s="690"/>
      <c r="AH2161" s="690"/>
      <c r="AI2161" s="696">
        <f t="shared" si="283"/>
        <v>9883642</v>
      </c>
      <c r="AJ2161" s="697">
        <f t="shared" si="284"/>
        <v>10333657</v>
      </c>
    </row>
    <row r="2162" spans="1:36" s="700" customFormat="1" ht="12.75" customHeight="1">
      <c r="A2162" s="789" t="s">
        <v>213</v>
      </c>
      <c r="B2162" s="789" t="s">
        <v>392</v>
      </c>
      <c r="C2162" s="793" t="s">
        <v>1248</v>
      </c>
      <c r="D2162" s="793"/>
      <c r="E2162" s="791">
        <v>199625</v>
      </c>
      <c r="F2162" s="792">
        <v>10</v>
      </c>
      <c r="G2162" s="1025"/>
      <c r="H2162" s="690"/>
      <c r="I2162" s="1030">
        <v>65518</v>
      </c>
      <c r="J2162" s="690">
        <v>62262</v>
      </c>
      <c r="K2162" s="1030"/>
      <c r="L2162" s="690"/>
      <c r="M2162" s="1025"/>
      <c r="N2162" s="1030"/>
      <c r="O2162" s="692">
        <f t="shared" si="277"/>
        <v>0</v>
      </c>
      <c r="P2162" s="690"/>
      <c r="Q2162" s="690"/>
      <c r="R2162" s="691">
        <f t="shared" si="278"/>
        <v>0</v>
      </c>
      <c r="S2162" s="692">
        <f t="shared" si="279"/>
        <v>65518</v>
      </c>
      <c r="T2162" s="693">
        <f t="shared" si="280"/>
        <v>62262</v>
      </c>
      <c r="U2162" s="1035"/>
      <c r="V2162" s="690"/>
      <c r="W2162" s="1025"/>
      <c r="X2162" s="1030"/>
      <c r="Y2162" s="694">
        <f t="shared" si="281"/>
        <v>0</v>
      </c>
      <c r="Z2162" s="690"/>
      <c r="AA2162" s="690"/>
      <c r="AB2162" s="695">
        <f t="shared" si="282"/>
        <v>0</v>
      </c>
      <c r="AC2162" s="1035"/>
      <c r="AD2162" s="690"/>
      <c r="AE2162" s="1025"/>
      <c r="AF2162" s="1030"/>
      <c r="AG2162" s="690"/>
      <c r="AH2162" s="690"/>
      <c r="AI2162" s="696">
        <f t="shared" si="283"/>
        <v>65518</v>
      </c>
      <c r="AJ2162" s="697">
        <f t="shared" si="284"/>
        <v>62262</v>
      </c>
    </row>
    <row r="2163" spans="1:36" s="700" customFormat="1" ht="12.75" customHeight="1">
      <c r="A2163" s="789" t="s">
        <v>213</v>
      </c>
      <c r="B2163" s="789" t="s">
        <v>394</v>
      </c>
      <c r="C2163" s="793" t="s">
        <v>451</v>
      </c>
      <c r="D2163" s="793"/>
      <c r="E2163" s="791">
        <v>199625</v>
      </c>
      <c r="F2163" s="792">
        <v>10</v>
      </c>
      <c r="G2163" s="1025"/>
      <c r="H2163" s="690"/>
      <c r="I2163" s="1030">
        <v>133106</v>
      </c>
      <c r="J2163" s="690">
        <v>143368</v>
      </c>
      <c r="K2163" s="1030"/>
      <c r="L2163" s="690"/>
      <c r="M2163" s="1025"/>
      <c r="N2163" s="1030"/>
      <c r="O2163" s="692">
        <f t="shared" si="277"/>
        <v>0</v>
      </c>
      <c r="P2163" s="690"/>
      <c r="Q2163" s="690"/>
      <c r="R2163" s="691">
        <f t="shared" si="278"/>
        <v>0</v>
      </c>
      <c r="S2163" s="692">
        <f t="shared" si="279"/>
        <v>133106</v>
      </c>
      <c r="T2163" s="693">
        <f t="shared" si="280"/>
        <v>143368</v>
      </c>
      <c r="U2163" s="1035"/>
      <c r="V2163" s="690"/>
      <c r="W2163" s="1025"/>
      <c r="X2163" s="1030"/>
      <c r="Y2163" s="694">
        <f t="shared" si="281"/>
        <v>0</v>
      </c>
      <c r="Z2163" s="690"/>
      <c r="AA2163" s="690"/>
      <c r="AB2163" s="695">
        <f t="shared" si="282"/>
        <v>0</v>
      </c>
      <c r="AC2163" s="1035"/>
      <c r="AD2163" s="690"/>
      <c r="AE2163" s="1025"/>
      <c r="AF2163" s="1030"/>
      <c r="AG2163" s="690"/>
      <c r="AH2163" s="690"/>
      <c r="AI2163" s="696">
        <f t="shared" si="283"/>
        <v>133106</v>
      </c>
      <c r="AJ2163" s="697">
        <f t="shared" si="284"/>
        <v>143368</v>
      </c>
    </row>
    <row r="2164" spans="1:36" s="700" customFormat="1" ht="12.75" customHeight="1">
      <c r="A2164" s="789" t="s">
        <v>213</v>
      </c>
      <c r="B2164" s="789" t="s">
        <v>403</v>
      </c>
      <c r="C2164" s="793" t="s">
        <v>386</v>
      </c>
      <c r="D2164" s="793"/>
      <c r="E2164" s="791">
        <v>199625</v>
      </c>
      <c r="F2164" s="792">
        <v>10</v>
      </c>
      <c r="G2164" s="1025"/>
      <c r="H2164" s="690"/>
      <c r="I2164" s="1030">
        <v>994266</v>
      </c>
      <c r="J2164" s="690">
        <v>737223</v>
      </c>
      <c r="K2164" s="1030"/>
      <c r="L2164" s="690"/>
      <c r="M2164" s="1025">
        <v>87842</v>
      </c>
      <c r="N2164" s="1030"/>
      <c r="O2164" s="692">
        <f t="shared" si="277"/>
        <v>87842</v>
      </c>
      <c r="P2164" s="690">
        <v>154959</v>
      </c>
      <c r="Q2164" s="690"/>
      <c r="R2164" s="691">
        <f t="shared" si="278"/>
        <v>154959</v>
      </c>
      <c r="S2164" s="692">
        <f t="shared" si="279"/>
        <v>1082108</v>
      </c>
      <c r="T2164" s="693">
        <f t="shared" si="280"/>
        <v>892182</v>
      </c>
      <c r="U2164" s="1035"/>
      <c r="V2164" s="690"/>
      <c r="W2164" s="1025"/>
      <c r="X2164" s="1030"/>
      <c r="Y2164" s="694">
        <f t="shared" si="281"/>
        <v>0</v>
      </c>
      <c r="Z2164" s="690"/>
      <c r="AA2164" s="690"/>
      <c r="AB2164" s="695">
        <f t="shared" si="282"/>
        <v>0</v>
      </c>
      <c r="AC2164" s="1035"/>
      <c r="AD2164" s="690"/>
      <c r="AE2164" s="1025"/>
      <c r="AF2164" s="1030"/>
      <c r="AG2164" s="690"/>
      <c r="AH2164" s="690"/>
      <c r="AI2164" s="696">
        <f t="shared" si="283"/>
        <v>1082108</v>
      </c>
      <c r="AJ2164" s="697">
        <f t="shared" si="284"/>
        <v>892182</v>
      </c>
    </row>
    <row r="2165" spans="1:36" s="700" customFormat="1" ht="12.75" customHeight="1">
      <c r="A2165" s="789" t="s">
        <v>213</v>
      </c>
      <c r="B2165" s="789" t="s">
        <v>392</v>
      </c>
      <c r="C2165" s="930" t="s">
        <v>1305</v>
      </c>
      <c r="D2165" s="930"/>
      <c r="E2165" s="791">
        <v>199795</v>
      </c>
      <c r="F2165" s="792">
        <v>10</v>
      </c>
      <c r="G2165" s="1025">
        <v>4995321</v>
      </c>
      <c r="H2165" s="690">
        <v>5155481</v>
      </c>
      <c r="I2165" s="1030"/>
      <c r="J2165" s="690"/>
      <c r="K2165" s="1162">
        <v>877569</v>
      </c>
      <c r="L2165" s="1163">
        <v>905733</v>
      </c>
      <c r="M2165" s="1025">
        <v>1100866</v>
      </c>
      <c r="N2165" s="1030"/>
      <c r="O2165" s="692">
        <f t="shared" si="277"/>
        <v>1100866</v>
      </c>
      <c r="P2165" s="690">
        <v>1519632</v>
      </c>
      <c r="Q2165" s="690"/>
      <c r="R2165" s="691">
        <f t="shared" si="278"/>
        <v>1519632</v>
      </c>
      <c r="S2165" s="692">
        <f t="shared" si="279"/>
        <v>6973756</v>
      </c>
      <c r="T2165" s="693">
        <f t="shared" si="280"/>
        <v>7580846</v>
      </c>
      <c r="U2165" s="1035"/>
      <c r="V2165" s="690"/>
      <c r="W2165" s="1025"/>
      <c r="X2165" s="1030"/>
      <c r="Y2165" s="694">
        <f t="shared" si="281"/>
        <v>0</v>
      </c>
      <c r="Z2165" s="690"/>
      <c r="AA2165" s="690"/>
      <c r="AB2165" s="695">
        <f t="shared" si="282"/>
        <v>0</v>
      </c>
      <c r="AC2165" s="1035"/>
      <c r="AD2165" s="690"/>
      <c r="AE2165" s="1025"/>
      <c r="AF2165" s="1030"/>
      <c r="AG2165" s="690"/>
      <c r="AH2165" s="690"/>
      <c r="AI2165" s="696">
        <f t="shared" si="283"/>
        <v>6973756</v>
      </c>
      <c r="AJ2165" s="697">
        <f t="shared" si="284"/>
        <v>7580846</v>
      </c>
    </row>
    <row r="2166" spans="1:36" s="700" customFormat="1" ht="12.75" customHeight="1">
      <c r="A2166" s="789" t="s">
        <v>213</v>
      </c>
      <c r="B2166" s="789" t="s">
        <v>392</v>
      </c>
      <c r="C2166" s="793" t="s">
        <v>1248</v>
      </c>
      <c r="D2166" s="793"/>
      <c r="E2166" s="791">
        <v>199795</v>
      </c>
      <c r="F2166" s="792">
        <v>10</v>
      </c>
      <c r="G2166" s="1025"/>
      <c r="H2166" s="690"/>
      <c r="I2166" s="1030">
        <v>44210</v>
      </c>
      <c r="J2166" s="690">
        <v>47266</v>
      </c>
      <c r="K2166" s="1030"/>
      <c r="L2166" s="690"/>
      <c r="M2166" s="1025"/>
      <c r="N2166" s="1030"/>
      <c r="O2166" s="692">
        <f t="shared" si="277"/>
        <v>0</v>
      </c>
      <c r="P2166" s="690"/>
      <c r="Q2166" s="690"/>
      <c r="R2166" s="691">
        <f t="shared" si="278"/>
        <v>0</v>
      </c>
      <c r="S2166" s="692">
        <f t="shared" si="279"/>
        <v>44210</v>
      </c>
      <c r="T2166" s="693">
        <f t="shared" si="280"/>
        <v>47266</v>
      </c>
      <c r="U2166" s="1035"/>
      <c r="V2166" s="690"/>
      <c r="W2166" s="1025"/>
      <c r="X2166" s="1030"/>
      <c r="Y2166" s="694">
        <f t="shared" si="281"/>
        <v>0</v>
      </c>
      <c r="Z2166" s="690"/>
      <c r="AA2166" s="690"/>
      <c r="AB2166" s="695">
        <f t="shared" si="282"/>
        <v>0</v>
      </c>
      <c r="AC2166" s="1035"/>
      <c r="AD2166" s="690"/>
      <c r="AE2166" s="1025"/>
      <c r="AF2166" s="1030"/>
      <c r="AG2166" s="690"/>
      <c r="AH2166" s="690"/>
      <c r="AI2166" s="696">
        <f t="shared" si="283"/>
        <v>44210</v>
      </c>
      <c r="AJ2166" s="697">
        <f t="shared" si="284"/>
        <v>47266</v>
      </c>
    </row>
    <row r="2167" spans="1:36" s="700" customFormat="1" ht="12.75" customHeight="1">
      <c r="A2167" s="789" t="s">
        <v>213</v>
      </c>
      <c r="B2167" s="789" t="s">
        <v>394</v>
      </c>
      <c r="C2167" s="793" t="s">
        <v>451</v>
      </c>
      <c r="D2167" s="793"/>
      <c r="E2167" s="791">
        <v>199795</v>
      </c>
      <c r="F2167" s="792">
        <v>10</v>
      </c>
      <c r="G2167" s="1025"/>
      <c r="H2167" s="690"/>
      <c r="I2167" s="1030">
        <v>142506</v>
      </c>
      <c r="J2167" s="690">
        <v>147920</v>
      </c>
      <c r="K2167" s="1030"/>
      <c r="L2167" s="690"/>
      <c r="M2167" s="1025"/>
      <c r="N2167" s="1030"/>
      <c r="O2167" s="692">
        <f t="shared" si="277"/>
        <v>0</v>
      </c>
      <c r="P2167" s="690"/>
      <c r="Q2167" s="690"/>
      <c r="R2167" s="691">
        <f t="shared" si="278"/>
        <v>0</v>
      </c>
      <c r="S2167" s="692">
        <f t="shared" si="279"/>
        <v>142506</v>
      </c>
      <c r="T2167" s="693">
        <f t="shared" si="280"/>
        <v>147920</v>
      </c>
      <c r="U2167" s="1035"/>
      <c r="V2167" s="690"/>
      <c r="W2167" s="1025"/>
      <c r="X2167" s="1030"/>
      <c r="Y2167" s="694">
        <f t="shared" si="281"/>
        <v>0</v>
      </c>
      <c r="Z2167" s="690"/>
      <c r="AA2167" s="690"/>
      <c r="AB2167" s="695">
        <f t="shared" si="282"/>
        <v>0</v>
      </c>
      <c r="AC2167" s="1035"/>
      <c r="AD2167" s="690"/>
      <c r="AE2167" s="1025"/>
      <c r="AF2167" s="1030"/>
      <c r="AG2167" s="690"/>
      <c r="AH2167" s="690"/>
      <c r="AI2167" s="696">
        <f t="shared" si="283"/>
        <v>142506</v>
      </c>
      <c r="AJ2167" s="697">
        <f t="shared" si="284"/>
        <v>147920</v>
      </c>
    </row>
    <row r="2168" spans="1:36" s="700" customFormat="1" ht="12.75" customHeight="1">
      <c r="A2168" s="789" t="s">
        <v>213</v>
      </c>
      <c r="B2168" s="789" t="s">
        <v>403</v>
      </c>
      <c r="C2168" s="793" t="s">
        <v>386</v>
      </c>
      <c r="D2168" s="793"/>
      <c r="E2168" s="791">
        <v>199795</v>
      </c>
      <c r="F2168" s="792">
        <v>10</v>
      </c>
      <c r="G2168" s="1025"/>
      <c r="H2168" s="690"/>
      <c r="I2168" s="1030">
        <v>566580</v>
      </c>
      <c r="J2168" s="690">
        <v>457837</v>
      </c>
      <c r="K2168" s="1030"/>
      <c r="L2168" s="690"/>
      <c r="M2168" s="1025">
        <v>70826</v>
      </c>
      <c r="N2168" s="1030"/>
      <c r="O2168" s="692">
        <f t="shared" si="277"/>
        <v>70826</v>
      </c>
      <c r="P2168" s="690">
        <v>123119</v>
      </c>
      <c r="Q2168" s="690"/>
      <c r="R2168" s="691">
        <f t="shared" si="278"/>
        <v>123119</v>
      </c>
      <c r="S2168" s="692">
        <f t="shared" si="279"/>
        <v>637406</v>
      </c>
      <c r="T2168" s="693">
        <f t="shared" si="280"/>
        <v>580956</v>
      </c>
      <c r="U2168" s="1035"/>
      <c r="V2168" s="690"/>
      <c r="W2168" s="1025"/>
      <c r="X2168" s="1030"/>
      <c r="Y2168" s="694">
        <f t="shared" si="281"/>
        <v>0</v>
      </c>
      <c r="Z2168" s="690"/>
      <c r="AA2168" s="690"/>
      <c r="AB2168" s="695">
        <f t="shared" si="282"/>
        <v>0</v>
      </c>
      <c r="AC2168" s="1035"/>
      <c r="AD2168" s="690"/>
      <c r="AE2168" s="1025"/>
      <c r="AF2168" s="1030"/>
      <c r="AG2168" s="690"/>
      <c r="AH2168" s="690"/>
      <c r="AI2168" s="696">
        <f t="shared" si="283"/>
        <v>637406</v>
      </c>
      <c r="AJ2168" s="697">
        <f t="shared" si="284"/>
        <v>580956</v>
      </c>
    </row>
    <row r="2169" spans="1:36" s="700" customFormat="1" ht="12.75" customHeight="1">
      <c r="A2169" s="789" t="s">
        <v>213</v>
      </c>
      <c r="B2169" s="789" t="s">
        <v>407</v>
      </c>
      <c r="C2169" s="802" t="s">
        <v>20</v>
      </c>
      <c r="D2169" s="802"/>
      <c r="E2169" s="798"/>
      <c r="F2169" s="799"/>
      <c r="G2169" s="1025"/>
      <c r="H2169" s="690"/>
      <c r="I2169" s="1030"/>
      <c r="J2169" s="690"/>
      <c r="K2169" s="1030"/>
      <c r="L2169" s="690"/>
      <c r="M2169" s="1025"/>
      <c r="N2169" s="1030"/>
      <c r="O2169" s="692">
        <f t="shared" si="277"/>
        <v>0</v>
      </c>
      <c r="P2169" s="690"/>
      <c r="Q2169" s="690"/>
      <c r="R2169" s="691">
        <f t="shared" si="278"/>
        <v>0</v>
      </c>
      <c r="S2169" s="692">
        <f t="shared" si="279"/>
        <v>0</v>
      </c>
      <c r="T2169" s="693">
        <f t="shared" si="280"/>
        <v>0</v>
      </c>
      <c r="U2169" s="1035"/>
      <c r="V2169" s="690"/>
      <c r="W2169" s="1025"/>
      <c r="X2169" s="1030"/>
      <c r="Y2169" s="694">
        <f t="shared" si="281"/>
        <v>0</v>
      </c>
      <c r="Z2169" s="690"/>
      <c r="AA2169" s="690"/>
      <c r="AB2169" s="695">
        <f t="shared" si="282"/>
        <v>0</v>
      </c>
      <c r="AC2169" s="1035"/>
      <c r="AD2169" s="690"/>
      <c r="AE2169" s="1025"/>
      <c r="AF2169" s="1030"/>
      <c r="AG2169" s="690"/>
      <c r="AH2169" s="690"/>
      <c r="AI2169" s="696">
        <f t="shared" si="283"/>
        <v>0</v>
      </c>
      <c r="AJ2169" s="697">
        <f t="shared" si="284"/>
        <v>0</v>
      </c>
    </row>
    <row r="2170" spans="1:36" s="700" customFormat="1" ht="12.75" customHeight="1">
      <c r="A2170" s="789" t="s">
        <v>213</v>
      </c>
      <c r="B2170" s="789" t="s">
        <v>407</v>
      </c>
      <c r="C2170" s="794" t="s">
        <v>1306</v>
      </c>
      <c r="D2170" s="794"/>
      <c r="E2170" s="798"/>
      <c r="F2170" s="792"/>
      <c r="G2170" s="1025"/>
      <c r="H2170" s="690"/>
      <c r="I2170" s="1030">
        <v>1138504</v>
      </c>
      <c r="J2170" s="690">
        <v>649378</v>
      </c>
      <c r="K2170" s="1030"/>
      <c r="L2170" s="690"/>
      <c r="M2170" s="1025"/>
      <c r="N2170" s="1030"/>
      <c r="O2170" s="692">
        <f t="shared" si="277"/>
        <v>0</v>
      </c>
      <c r="P2170" s="690"/>
      <c r="Q2170" s="690"/>
      <c r="R2170" s="691">
        <f t="shared" si="278"/>
        <v>0</v>
      </c>
      <c r="S2170" s="692">
        <f t="shared" si="279"/>
        <v>1138504</v>
      </c>
      <c r="T2170" s="693">
        <f t="shared" si="280"/>
        <v>649378</v>
      </c>
      <c r="U2170" s="1035"/>
      <c r="V2170" s="690"/>
      <c r="W2170" s="1025"/>
      <c r="X2170" s="1030"/>
      <c r="Y2170" s="694">
        <f t="shared" si="281"/>
        <v>0</v>
      </c>
      <c r="Z2170" s="690"/>
      <c r="AA2170" s="690"/>
      <c r="AB2170" s="695">
        <f t="shared" si="282"/>
        <v>0</v>
      </c>
      <c r="AC2170" s="1035"/>
      <c r="AD2170" s="690"/>
      <c r="AE2170" s="1025"/>
      <c r="AF2170" s="1030"/>
      <c r="AG2170" s="690"/>
      <c r="AH2170" s="690"/>
      <c r="AI2170" s="696">
        <f t="shared" si="283"/>
        <v>1138504</v>
      </c>
      <c r="AJ2170" s="697">
        <f t="shared" si="284"/>
        <v>649378</v>
      </c>
    </row>
    <row r="2171" spans="1:36" s="700" customFormat="1" ht="12.75" customHeight="1">
      <c r="A2171" s="789" t="s">
        <v>213</v>
      </c>
      <c r="B2171" s="789" t="s">
        <v>407</v>
      </c>
      <c r="C2171" s="794" t="s">
        <v>1307</v>
      </c>
      <c r="D2171" s="794"/>
      <c r="E2171" s="798"/>
      <c r="F2171" s="792"/>
      <c r="G2171" s="1025"/>
      <c r="H2171" s="690"/>
      <c r="I2171" s="1030">
        <v>12638207</v>
      </c>
      <c r="J2171" s="690">
        <v>17229879</v>
      </c>
      <c r="K2171" s="1030"/>
      <c r="L2171" s="690"/>
      <c r="M2171" s="1025"/>
      <c r="N2171" s="1030"/>
      <c r="O2171" s="692">
        <f t="shared" si="277"/>
        <v>0</v>
      </c>
      <c r="P2171" s="690"/>
      <c r="Q2171" s="690"/>
      <c r="R2171" s="691">
        <f t="shared" si="278"/>
        <v>0</v>
      </c>
      <c r="S2171" s="692">
        <f t="shared" si="279"/>
        <v>12638207</v>
      </c>
      <c r="T2171" s="693">
        <f t="shared" si="280"/>
        <v>17229879</v>
      </c>
      <c r="U2171" s="1035"/>
      <c r="V2171" s="690"/>
      <c r="W2171" s="1025"/>
      <c r="X2171" s="1030"/>
      <c r="Y2171" s="694">
        <f t="shared" si="281"/>
        <v>0</v>
      </c>
      <c r="Z2171" s="690"/>
      <c r="AA2171" s="690"/>
      <c r="AB2171" s="695">
        <f t="shared" si="282"/>
        <v>0</v>
      </c>
      <c r="AC2171" s="1035"/>
      <c r="AD2171" s="690"/>
      <c r="AE2171" s="1025"/>
      <c r="AF2171" s="1030"/>
      <c r="AG2171" s="690"/>
      <c r="AH2171" s="690"/>
      <c r="AI2171" s="696">
        <f t="shared" si="283"/>
        <v>12638207</v>
      </c>
      <c r="AJ2171" s="697">
        <f t="shared" si="284"/>
        <v>17229879</v>
      </c>
    </row>
    <row r="2172" spans="1:36" s="700" customFormat="1" ht="12.75" customHeight="1">
      <c r="A2172" s="789" t="s">
        <v>213</v>
      </c>
      <c r="B2172" s="789" t="s">
        <v>409</v>
      </c>
      <c r="C2172" s="802" t="s">
        <v>157</v>
      </c>
      <c r="D2172" s="802"/>
      <c r="E2172" s="791"/>
      <c r="F2172" s="792"/>
      <c r="G2172" s="1025"/>
      <c r="H2172" s="690"/>
      <c r="I2172" s="1030"/>
      <c r="J2172" s="690"/>
      <c r="K2172" s="1030"/>
      <c r="L2172" s="690"/>
      <c r="M2172" s="1025"/>
      <c r="N2172" s="1030"/>
      <c r="O2172" s="692">
        <f t="shared" si="277"/>
        <v>0</v>
      </c>
      <c r="P2172" s="690"/>
      <c r="Q2172" s="690"/>
      <c r="R2172" s="691">
        <f t="shared" si="278"/>
        <v>0</v>
      </c>
      <c r="S2172" s="692">
        <f t="shared" si="279"/>
        <v>0</v>
      </c>
      <c r="T2172" s="693">
        <f t="shared" si="280"/>
        <v>0</v>
      </c>
      <c r="U2172" s="1035"/>
      <c r="V2172" s="690"/>
      <c r="W2172" s="1025"/>
      <c r="X2172" s="1030"/>
      <c r="Y2172" s="694">
        <f t="shared" si="281"/>
        <v>0</v>
      </c>
      <c r="Z2172" s="690"/>
      <c r="AA2172" s="690"/>
      <c r="AB2172" s="695">
        <f t="shared" si="282"/>
        <v>0</v>
      </c>
      <c r="AC2172" s="1035"/>
      <c r="AD2172" s="690"/>
      <c r="AE2172" s="1025"/>
      <c r="AF2172" s="1030"/>
      <c r="AG2172" s="690"/>
      <c r="AH2172" s="690"/>
      <c r="AI2172" s="696">
        <f t="shared" si="283"/>
        <v>0</v>
      </c>
      <c r="AJ2172" s="697">
        <f t="shared" si="284"/>
        <v>0</v>
      </c>
    </row>
    <row r="2173" spans="1:36" s="700" customFormat="1" ht="12.75" customHeight="1">
      <c r="A2173" s="789" t="s">
        <v>213</v>
      </c>
      <c r="B2173" s="789" t="s">
        <v>411</v>
      </c>
      <c r="C2173" s="793" t="s">
        <v>199</v>
      </c>
      <c r="D2173" s="793"/>
      <c r="E2173" s="791"/>
      <c r="F2173" s="792"/>
      <c r="G2173" s="1025"/>
      <c r="H2173" s="690"/>
      <c r="I2173" s="1030"/>
      <c r="J2173" s="690"/>
      <c r="K2173" s="1030"/>
      <c r="L2173" s="690"/>
      <c r="M2173" s="1025"/>
      <c r="N2173" s="1030"/>
      <c r="O2173" s="692">
        <f t="shared" si="277"/>
        <v>0</v>
      </c>
      <c r="P2173" s="690"/>
      <c r="Q2173" s="690"/>
      <c r="R2173" s="691">
        <f t="shared" si="278"/>
        <v>0</v>
      </c>
      <c r="S2173" s="692">
        <f t="shared" si="279"/>
        <v>0</v>
      </c>
      <c r="T2173" s="693">
        <f t="shared" si="280"/>
        <v>0</v>
      </c>
      <c r="U2173" s="1035"/>
      <c r="V2173" s="690"/>
      <c r="W2173" s="1025"/>
      <c r="X2173" s="1030"/>
      <c r="Y2173" s="694">
        <f t="shared" si="281"/>
        <v>0</v>
      </c>
      <c r="Z2173" s="690"/>
      <c r="AA2173" s="690"/>
      <c r="AB2173" s="695">
        <f t="shared" si="282"/>
        <v>0</v>
      </c>
      <c r="AC2173" s="1035"/>
      <c r="AD2173" s="690"/>
      <c r="AE2173" s="1025"/>
      <c r="AF2173" s="1030"/>
      <c r="AG2173" s="690"/>
      <c r="AH2173" s="690"/>
      <c r="AI2173" s="696">
        <f t="shared" si="283"/>
        <v>0</v>
      </c>
      <c r="AJ2173" s="697">
        <f t="shared" si="284"/>
        <v>0</v>
      </c>
    </row>
    <row r="2174" spans="1:36" s="700" customFormat="1" ht="12.75" customHeight="1">
      <c r="A2174" s="789" t="s">
        <v>213</v>
      </c>
      <c r="B2174" s="789" t="s">
        <v>411</v>
      </c>
      <c r="C2174" s="794" t="s">
        <v>1308</v>
      </c>
      <c r="D2174" s="794"/>
      <c r="E2174" s="791"/>
      <c r="F2174" s="792"/>
      <c r="G2174" s="1025"/>
      <c r="H2174" s="690"/>
      <c r="I2174" s="1030"/>
      <c r="J2174" s="690"/>
      <c r="K2174" s="1030"/>
      <c r="L2174" s="690"/>
      <c r="M2174" s="1025"/>
      <c r="N2174" s="1030"/>
      <c r="O2174" s="692">
        <f t="shared" si="277"/>
        <v>0</v>
      </c>
      <c r="P2174" s="690"/>
      <c r="Q2174" s="690"/>
      <c r="R2174" s="691">
        <f t="shared" si="278"/>
        <v>0</v>
      </c>
      <c r="S2174" s="692">
        <f t="shared" si="279"/>
        <v>0</v>
      </c>
      <c r="T2174" s="693">
        <f t="shared" si="280"/>
        <v>0</v>
      </c>
      <c r="U2174" s="1035">
        <v>25361508</v>
      </c>
      <c r="V2174" s="690">
        <v>24379094</v>
      </c>
      <c r="W2174" s="1025"/>
      <c r="X2174" s="1030"/>
      <c r="Y2174" s="694">
        <f t="shared" si="281"/>
        <v>0</v>
      </c>
      <c r="Z2174" s="690"/>
      <c r="AA2174" s="690"/>
      <c r="AB2174" s="695">
        <f t="shared" si="282"/>
        <v>0</v>
      </c>
      <c r="AC2174" s="1035"/>
      <c r="AD2174" s="690"/>
      <c r="AE2174" s="1025"/>
      <c r="AF2174" s="1030"/>
      <c r="AG2174" s="690"/>
      <c r="AH2174" s="690"/>
      <c r="AI2174" s="696">
        <f t="shared" si="283"/>
        <v>25361508</v>
      </c>
      <c r="AJ2174" s="697">
        <f t="shared" si="284"/>
        <v>24379094</v>
      </c>
    </row>
    <row r="2175" spans="1:36" s="700" customFormat="1" ht="12.75" customHeight="1">
      <c r="A2175" s="714" t="s">
        <v>214</v>
      </c>
      <c r="B2175" s="686" t="s">
        <v>392</v>
      </c>
      <c r="C2175" s="687" t="s">
        <v>1309</v>
      </c>
      <c r="D2175" s="687"/>
      <c r="E2175" s="933">
        <v>207388</v>
      </c>
      <c r="F2175" s="689">
        <v>1</v>
      </c>
      <c r="G2175" s="1025">
        <v>123808252</v>
      </c>
      <c r="H2175" s="690">
        <f>118822176-1652194</f>
        <v>117169982</v>
      </c>
      <c r="I2175" s="1030"/>
      <c r="J2175" s="690"/>
      <c r="K2175" s="1030"/>
      <c r="L2175" s="690"/>
      <c r="M2175" s="1025">
        <v>155070298</v>
      </c>
      <c r="N2175" s="1030"/>
      <c r="O2175" s="692">
        <f t="shared" si="277"/>
        <v>155070298</v>
      </c>
      <c r="P2175" s="690">
        <v>167966501</v>
      </c>
      <c r="Q2175" s="690"/>
      <c r="R2175" s="691">
        <f t="shared" si="278"/>
        <v>167966501</v>
      </c>
      <c r="S2175" s="692">
        <f t="shared" si="279"/>
        <v>278878550</v>
      </c>
      <c r="T2175" s="693">
        <f t="shared" si="280"/>
        <v>285136483</v>
      </c>
      <c r="U2175" s="1035"/>
      <c r="V2175" s="690"/>
      <c r="W2175" s="1025"/>
      <c r="X2175" s="1030"/>
      <c r="Y2175" s="694">
        <f t="shared" si="281"/>
        <v>0</v>
      </c>
      <c r="Z2175" s="690"/>
      <c r="AA2175" s="690"/>
      <c r="AB2175" s="695">
        <f t="shared" si="282"/>
        <v>0</v>
      </c>
      <c r="AC2175" s="1035"/>
      <c r="AD2175" s="690"/>
      <c r="AE2175" s="1025"/>
      <c r="AF2175" s="1030"/>
      <c r="AG2175" s="690"/>
      <c r="AH2175" s="690"/>
      <c r="AI2175" s="696">
        <f t="shared" si="283"/>
        <v>278878550</v>
      </c>
      <c r="AJ2175" s="697">
        <f t="shared" si="284"/>
        <v>285136483</v>
      </c>
    </row>
    <row r="2176" spans="1:36" s="700" customFormat="1" ht="12.75" customHeight="1">
      <c r="A2176" s="714" t="s">
        <v>214</v>
      </c>
      <c r="B2176" s="686" t="s">
        <v>408</v>
      </c>
      <c r="C2176" s="701" t="s">
        <v>88</v>
      </c>
      <c r="D2176" s="701"/>
      <c r="E2176" s="933">
        <v>207388</v>
      </c>
      <c r="F2176" s="689">
        <v>1</v>
      </c>
      <c r="G2176" s="1025"/>
      <c r="H2176" s="690"/>
      <c r="I2176" s="1030"/>
      <c r="J2176" s="690"/>
      <c r="K2176" s="1030"/>
      <c r="L2176" s="690"/>
      <c r="M2176" s="1025"/>
      <c r="N2176" s="1030"/>
      <c r="O2176" s="692">
        <f t="shared" si="277"/>
        <v>0</v>
      </c>
      <c r="P2176" s="690"/>
      <c r="Q2176" s="690"/>
      <c r="R2176" s="691">
        <f t="shared" si="278"/>
        <v>0</v>
      </c>
      <c r="S2176" s="692">
        <f t="shared" si="279"/>
        <v>0</v>
      </c>
      <c r="T2176" s="693">
        <f t="shared" si="280"/>
        <v>0</v>
      </c>
      <c r="U2176" s="1035"/>
      <c r="V2176" s="690"/>
      <c r="W2176" s="1025"/>
      <c r="X2176" s="1030"/>
      <c r="Y2176" s="694">
        <f t="shared" si="281"/>
        <v>0</v>
      </c>
      <c r="Z2176" s="690"/>
      <c r="AA2176" s="690"/>
      <c r="AB2176" s="695">
        <f t="shared" si="282"/>
        <v>0</v>
      </c>
      <c r="AC2176" s="1035">
        <v>11120425</v>
      </c>
      <c r="AD2176" s="690">
        <v>10561605</v>
      </c>
      <c r="AE2176" s="1025">
        <v>5991340</v>
      </c>
      <c r="AF2176" s="1030"/>
      <c r="AG2176" s="690">
        <v>6717462</v>
      </c>
      <c r="AH2176" s="690"/>
      <c r="AI2176" s="696">
        <f t="shared" si="283"/>
        <v>17111765</v>
      </c>
      <c r="AJ2176" s="697">
        <f t="shared" si="284"/>
        <v>17279067</v>
      </c>
    </row>
    <row r="2177" spans="1:36" s="700" customFormat="1" ht="12.75" customHeight="1">
      <c r="A2177" s="714" t="s">
        <v>214</v>
      </c>
      <c r="B2177" s="686" t="s">
        <v>408</v>
      </c>
      <c r="C2177" s="699" t="s">
        <v>1310</v>
      </c>
      <c r="D2177" s="699"/>
      <c r="E2177" s="933">
        <v>207389</v>
      </c>
      <c r="F2177" s="689">
        <v>1</v>
      </c>
      <c r="G2177" s="1025"/>
      <c r="H2177" s="690"/>
      <c r="I2177" s="1030"/>
      <c r="J2177" s="690"/>
      <c r="K2177" s="1030"/>
      <c r="L2177" s="690"/>
      <c r="M2177" s="1025"/>
      <c r="N2177" s="1030"/>
      <c r="O2177" s="692">
        <f t="shared" si="277"/>
        <v>0</v>
      </c>
      <c r="P2177" s="690"/>
      <c r="Q2177" s="690"/>
      <c r="R2177" s="691">
        <f t="shared" si="278"/>
        <v>0</v>
      </c>
      <c r="S2177" s="692">
        <f t="shared" si="279"/>
        <v>0</v>
      </c>
      <c r="T2177" s="693">
        <f t="shared" si="280"/>
        <v>0</v>
      </c>
      <c r="U2177" s="1035"/>
      <c r="V2177" s="690"/>
      <c r="W2177" s="1025"/>
      <c r="X2177" s="1030"/>
      <c r="Y2177" s="694">
        <f t="shared" si="281"/>
        <v>0</v>
      </c>
      <c r="Z2177" s="690"/>
      <c r="AA2177" s="690"/>
      <c r="AB2177" s="695">
        <f t="shared" si="282"/>
        <v>0</v>
      </c>
      <c r="AC2177" s="1035">
        <v>14448536</v>
      </c>
      <c r="AD2177" s="690">
        <v>13721226</v>
      </c>
      <c r="AE2177" s="1025">
        <v>8032341</v>
      </c>
      <c r="AF2177" s="1030"/>
      <c r="AG2177" s="690">
        <v>8360423</v>
      </c>
      <c r="AH2177" s="690"/>
      <c r="AI2177" s="696">
        <f t="shared" si="283"/>
        <v>22480877</v>
      </c>
      <c r="AJ2177" s="697">
        <f t="shared" si="284"/>
        <v>22081649</v>
      </c>
    </row>
    <row r="2178" spans="1:36" s="700" customFormat="1" ht="12.75" customHeight="1">
      <c r="A2178" s="714" t="s">
        <v>214</v>
      </c>
      <c r="B2178" s="686" t="s">
        <v>396</v>
      </c>
      <c r="C2178" s="699" t="s">
        <v>385</v>
      </c>
      <c r="D2178" s="699"/>
      <c r="E2178" s="933">
        <v>207388</v>
      </c>
      <c r="F2178" s="689">
        <v>1</v>
      </c>
      <c r="G2178" s="1025"/>
      <c r="H2178" s="690"/>
      <c r="I2178" s="1030">
        <v>29755007</v>
      </c>
      <c r="J2178" s="690">
        <v>28260752</v>
      </c>
      <c r="K2178" s="1030"/>
      <c r="L2178" s="690"/>
      <c r="M2178" s="1025"/>
      <c r="N2178" s="1030"/>
      <c r="O2178" s="692">
        <f t="shared" si="277"/>
        <v>0</v>
      </c>
      <c r="P2178" s="690"/>
      <c r="Q2178" s="690"/>
      <c r="R2178" s="691">
        <f t="shared" si="278"/>
        <v>0</v>
      </c>
      <c r="S2178" s="692">
        <f t="shared" si="279"/>
        <v>29755007</v>
      </c>
      <c r="T2178" s="693">
        <f t="shared" si="280"/>
        <v>28260752</v>
      </c>
      <c r="U2178" s="1035"/>
      <c r="V2178" s="690"/>
      <c r="W2178" s="1025"/>
      <c r="X2178" s="1030"/>
      <c r="Y2178" s="694">
        <f t="shared" si="281"/>
        <v>0</v>
      </c>
      <c r="Z2178" s="690"/>
      <c r="AA2178" s="690"/>
      <c r="AB2178" s="695">
        <f t="shared" si="282"/>
        <v>0</v>
      </c>
      <c r="AC2178" s="1035"/>
      <c r="AD2178" s="690"/>
      <c r="AE2178" s="1025"/>
      <c r="AF2178" s="1030"/>
      <c r="AG2178" s="690"/>
      <c r="AH2178" s="690"/>
      <c r="AI2178" s="696">
        <f t="shared" si="283"/>
        <v>29755007</v>
      </c>
      <c r="AJ2178" s="697">
        <f t="shared" si="284"/>
        <v>28260752</v>
      </c>
    </row>
    <row r="2179" spans="1:36" s="700" customFormat="1" ht="12.75" customHeight="1">
      <c r="A2179" s="714" t="s">
        <v>214</v>
      </c>
      <c r="B2179" s="686" t="s">
        <v>397</v>
      </c>
      <c r="C2179" s="699" t="s">
        <v>384</v>
      </c>
      <c r="D2179" s="699"/>
      <c r="E2179" s="933">
        <v>207388</v>
      </c>
      <c r="F2179" s="689">
        <v>1</v>
      </c>
      <c r="G2179" s="1025"/>
      <c r="H2179" s="690"/>
      <c r="I2179" s="1030">
        <v>27229189</v>
      </c>
      <c r="J2179" s="690">
        <v>25861086</v>
      </c>
      <c r="K2179" s="1030"/>
      <c r="L2179" s="690"/>
      <c r="M2179" s="1025"/>
      <c r="N2179" s="1030"/>
      <c r="O2179" s="692">
        <f t="shared" si="277"/>
        <v>0</v>
      </c>
      <c r="P2179" s="690"/>
      <c r="Q2179" s="690"/>
      <c r="R2179" s="691">
        <f t="shared" si="278"/>
        <v>0</v>
      </c>
      <c r="S2179" s="692">
        <f t="shared" si="279"/>
        <v>27229189</v>
      </c>
      <c r="T2179" s="693">
        <f t="shared" si="280"/>
        <v>25861086</v>
      </c>
      <c r="U2179" s="1035"/>
      <c r="V2179" s="690"/>
      <c r="W2179" s="1025"/>
      <c r="X2179" s="1030"/>
      <c r="Y2179" s="694">
        <f t="shared" si="281"/>
        <v>0</v>
      </c>
      <c r="Z2179" s="690"/>
      <c r="AA2179" s="690"/>
      <c r="AB2179" s="695">
        <f t="shared" si="282"/>
        <v>0</v>
      </c>
      <c r="AC2179" s="1035"/>
      <c r="AD2179" s="690"/>
      <c r="AE2179" s="1025"/>
      <c r="AF2179" s="1030"/>
      <c r="AG2179" s="690"/>
      <c r="AH2179" s="690"/>
      <c r="AI2179" s="696">
        <f t="shared" si="283"/>
        <v>27229189</v>
      </c>
      <c r="AJ2179" s="697">
        <f t="shared" si="284"/>
        <v>25861086</v>
      </c>
    </row>
    <row r="2180" spans="1:36" s="700" customFormat="1" ht="12.75" customHeight="1">
      <c r="A2180" s="714" t="s">
        <v>214</v>
      </c>
      <c r="B2180" s="686" t="s">
        <v>392</v>
      </c>
      <c r="C2180" s="699" t="s">
        <v>1311</v>
      </c>
      <c r="D2180" s="699"/>
      <c r="E2180" s="933">
        <v>207388</v>
      </c>
      <c r="F2180" s="689">
        <v>1</v>
      </c>
      <c r="G2180" s="1025">
        <v>11618196</v>
      </c>
      <c r="H2180" s="690">
        <v>11028277</v>
      </c>
      <c r="I2180" s="1030"/>
      <c r="J2180" s="690"/>
      <c r="K2180" s="1030"/>
      <c r="L2180" s="690"/>
      <c r="M2180" s="1025">
        <v>8341761</v>
      </c>
      <c r="N2180" s="1030"/>
      <c r="O2180" s="692">
        <f t="shared" si="277"/>
        <v>8341761</v>
      </c>
      <c r="P2180" s="690">
        <v>9784999</v>
      </c>
      <c r="Q2180" s="690"/>
      <c r="R2180" s="691">
        <f t="shared" si="278"/>
        <v>9784999</v>
      </c>
      <c r="S2180" s="692">
        <f t="shared" si="279"/>
        <v>19959957</v>
      </c>
      <c r="T2180" s="693">
        <f t="shared" si="280"/>
        <v>20813276</v>
      </c>
      <c r="U2180" s="1035"/>
      <c r="V2180" s="690"/>
      <c r="W2180" s="1025"/>
      <c r="X2180" s="1030"/>
      <c r="Y2180" s="694">
        <f t="shared" si="281"/>
        <v>0</v>
      </c>
      <c r="Z2180" s="690"/>
      <c r="AA2180" s="690"/>
      <c r="AB2180" s="695">
        <f t="shared" si="282"/>
        <v>0</v>
      </c>
      <c r="AC2180" s="1035"/>
      <c r="AD2180" s="690"/>
      <c r="AE2180" s="1025"/>
      <c r="AF2180" s="1030"/>
      <c r="AG2180" s="690"/>
      <c r="AH2180" s="690"/>
      <c r="AI2180" s="696">
        <f t="shared" si="283"/>
        <v>19959957</v>
      </c>
      <c r="AJ2180" s="697">
        <f t="shared" si="284"/>
        <v>20813276</v>
      </c>
    </row>
    <row r="2181" spans="1:36" s="700" customFormat="1" ht="12.75" customHeight="1">
      <c r="A2181" s="714" t="s">
        <v>214</v>
      </c>
      <c r="B2181" s="686" t="s">
        <v>392</v>
      </c>
      <c r="C2181" s="687" t="s">
        <v>1312</v>
      </c>
      <c r="D2181" s="687"/>
      <c r="E2181" s="933">
        <v>207500</v>
      </c>
      <c r="F2181" s="689">
        <v>1</v>
      </c>
      <c r="G2181" s="1025">
        <v>146610846</v>
      </c>
      <c r="H2181" s="690">
        <v>132479112</v>
      </c>
      <c r="I2181" s="1030"/>
      <c r="J2181" s="690"/>
      <c r="K2181" s="1030"/>
      <c r="L2181" s="690"/>
      <c r="M2181" s="1025">
        <v>189486266</v>
      </c>
      <c r="N2181" s="1030"/>
      <c r="O2181" s="692">
        <f t="shared" si="277"/>
        <v>189486266</v>
      </c>
      <c r="P2181" s="690">
        <v>204495829</v>
      </c>
      <c r="Q2181" s="690"/>
      <c r="R2181" s="691">
        <f t="shared" si="278"/>
        <v>204495829</v>
      </c>
      <c r="S2181" s="692">
        <f t="shared" si="279"/>
        <v>336097112</v>
      </c>
      <c r="T2181" s="693">
        <f t="shared" si="280"/>
        <v>336974941</v>
      </c>
      <c r="U2181" s="1035"/>
      <c r="V2181" s="690"/>
      <c r="W2181" s="1025"/>
      <c r="X2181" s="1030"/>
      <c r="Y2181" s="694">
        <f t="shared" si="281"/>
        <v>0</v>
      </c>
      <c r="Z2181" s="690"/>
      <c r="AA2181" s="690"/>
      <c r="AB2181" s="695">
        <f t="shared" si="282"/>
        <v>0</v>
      </c>
      <c r="AC2181" s="1035"/>
      <c r="AD2181" s="690"/>
      <c r="AE2181" s="1025"/>
      <c r="AF2181" s="1030"/>
      <c r="AG2181" s="690"/>
      <c r="AH2181" s="690"/>
      <c r="AI2181" s="696">
        <f t="shared" si="283"/>
        <v>336097112</v>
      </c>
      <c r="AJ2181" s="697">
        <f t="shared" si="284"/>
        <v>336974941</v>
      </c>
    </row>
    <row r="2182" spans="1:36" s="700" customFormat="1" ht="12.75" customHeight="1">
      <c r="A2182" s="714" t="s">
        <v>214</v>
      </c>
      <c r="B2182" s="686" t="s">
        <v>408</v>
      </c>
      <c r="C2182" s="701" t="s">
        <v>1313</v>
      </c>
      <c r="D2182" s="701"/>
      <c r="E2182" s="688">
        <v>207500</v>
      </c>
      <c r="F2182" s="689">
        <v>1</v>
      </c>
      <c r="G2182" s="1025"/>
      <c r="H2182" s="690"/>
      <c r="I2182" s="1030"/>
      <c r="J2182" s="690"/>
      <c r="K2182" s="1030"/>
      <c r="L2182" s="690"/>
      <c r="M2182" s="1025"/>
      <c r="N2182" s="1030"/>
      <c r="O2182" s="692">
        <f t="shared" si="277"/>
        <v>0</v>
      </c>
      <c r="P2182" s="690"/>
      <c r="Q2182" s="690"/>
      <c r="R2182" s="691">
        <f t="shared" si="278"/>
        <v>0</v>
      </c>
      <c r="S2182" s="692">
        <f t="shared" si="279"/>
        <v>0</v>
      </c>
      <c r="T2182" s="693">
        <f t="shared" si="280"/>
        <v>0</v>
      </c>
      <c r="U2182" s="1035"/>
      <c r="V2182" s="690"/>
      <c r="W2182" s="1025"/>
      <c r="X2182" s="1030"/>
      <c r="Y2182" s="694">
        <f t="shared" si="281"/>
        <v>0</v>
      </c>
      <c r="Z2182" s="690"/>
      <c r="AA2182" s="690"/>
      <c r="AB2182" s="695">
        <f t="shared" si="282"/>
        <v>0</v>
      </c>
      <c r="AC2182" s="1035">
        <v>94868845</v>
      </c>
      <c r="AD2182" s="690">
        <v>90258317</v>
      </c>
      <c r="AE2182" s="1025">
        <v>48789528</v>
      </c>
      <c r="AF2182" s="1030"/>
      <c r="AG2182" s="1163">
        <v>51171986</v>
      </c>
      <c r="AH2182" s="690"/>
      <c r="AI2182" s="696">
        <f t="shared" si="283"/>
        <v>143658373</v>
      </c>
      <c r="AJ2182" s="697">
        <f t="shared" si="284"/>
        <v>141430303</v>
      </c>
    </row>
    <row r="2183" spans="1:36" s="700" customFormat="1" ht="12.75" customHeight="1">
      <c r="A2183" s="714" t="s">
        <v>214</v>
      </c>
      <c r="B2183" s="686" t="s">
        <v>392</v>
      </c>
      <c r="C2183" s="701" t="s">
        <v>973</v>
      </c>
      <c r="D2183" s="701"/>
      <c r="E2183" s="933">
        <v>207500</v>
      </c>
      <c r="F2183" s="689">
        <v>1</v>
      </c>
      <c r="G2183" s="1025">
        <v>6102390</v>
      </c>
      <c r="H2183" s="690">
        <v>5795474</v>
      </c>
      <c r="I2183" s="1030"/>
      <c r="J2183" s="690"/>
      <c r="K2183" s="1030"/>
      <c r="L2183" s="690"/>
      <c r="M2183" s="1025">
        <v>8577300</v>
      </c>
      <c r="N2183" s="1030"/>
      <c r="O2183" s="692">
        <f t="shared" si="277"/>
        <v>8577300</v>
      </c>
      <c r="P2183" s="690">
        <v>9504300</v>
      </c>
      <c r="Q2183" s="690"/>
      <c r="R2183" s="691">
        <f t="shared" si="278"/>
        <v>9504300</v>
      </c>
      <c r="S2183" s="692">
        <f t="shared" si="279"/>
        <v>14679690</v>
      </c>
      <c r="T2183" s="693">
        <f t="shared" si="280"/>
        <v>15299774</v>
      </c>
      <c r="U2183" s="1035"/>
      <c r="V2183" s="690"/>
      <c r="W2183" s="1025"/>
      <c r="X2183" s="1030"/>
      <c r="Y2183" s="694">
        <f t="shared" si="281"/>
        <v>0</v>
      </c>
      <c r="Z2183" s="690"/>
      <c r="AA2183" s="690"/>
      <c r="AB2183" s="695">
        <f t="shared" si="282"/>
        <v>0</v>
      </c>
      <c r="AC2183" s="1035"/>
      <c r="AD2183" s="690"/>
      <c r="AE2183" s="1025"/>
      <c r="AF2183" s="1030"/>
      <c r="AG2183" s="690"/>
      <c r="AH2183" s="690"/>
      <c r="AI2183" s="696">
        <f t="shared" si="283"/>
        <v>14679690</v>
      </c>
      <c r="AJ2183" s="697">
        <f t="shared" si="284"/>
        <v>15299774</v>
      </c>
    </row>
    <row r="2184" spans="1:36" s="700" customFormat="1" ht="12.75" customHeight="1">
      <c r="A2184" s="714" t="s">
        <v>214</v>
      </c>
      <c r="B2184" s="686" t="s">
        <v>392</v>
      </c>
      <c r="C2184" s="687" t="s">
        <v>1314</v>
      </c>
      <c r="D2184" s="687"/>
      <c r="E2184" s="933">
        <v>206941</v>
      </c>
      <c r="F2184" s="689">
        <v>3</v>
      </c>
      <c r="G2184" s="1025">
        <v>54052605</v>
      </c>
      <c r="H2184" s="690">
        <v>51603513</v>
      </c>
      <c r="I2184" s="1030"/>
      <c r="J2184" s="690"/>
      <c r="K2184" s="1030"/>
      <c r="L2184" s="690"/>
      <c r="M2184" s="1025">
        <v>58309012</v>
      </c>
      <c r="N2184" s="1030"/>
      <c r="O2184" s="692">
        <f t="shared" si="277"/>
        <v>58309012</v>
      </c>
      <c r="P2184" s="690">
        <v>66085204</v>
      </c>
      <c r="Q2184" s="690"/>
      <c r="R2184" s="691">
        <f t="shared" si="278"/>
        <v>66085204</v>
      </c>
      <c r="S2184" s="692">
        <f t="shared" si="279"/>
        <v>112361617</v>
      </c>
      <c r="T2184" s="693">
        <f t="shared" si="280"/>
        <v>117688717</v>
      </c>
      <c r="U2184" s="1035"/>
      <c r="V2184" s="690"/>
      <c r="W2184" s="1025"/>
      <c r="X2184" s="1030"/>
      <c r="Y2184" s="694">
        <f t="shared" si="281"/>
        <v>0</v>
      </c>
      <c r="Z2184" s="690"/>
      <c r="AA2184" s="690"/>
      <c r="AB2184" s="695">
        <f t="shared" si="282"/>
        <v>0</v>
      </c>
      <c r="AC2184" s="1035"/>
      <c r="AD2184" s="690"/>
      <c r="AE2184" s="1025"/>
      <c r="AF2184" s="1030"/>
      <c r="AG2184" s="690"/>
      <c r="AH2184" s="690"/>
      <c r="AI2184" s="696">
        <f t="shared" si="283"/>
        <v>112361617</v>
      </c>
      <c r="AJ2184" s="697">
        <f t="shared" si="284"/>
        <v>117688717</v>
      </c>
    </row>
    <row r="2185" spans="1:36" s="700" customFormat="1" ht="12.75" customHeight="1">
      <c r="A2185" s="714" t="s">
        <v>214</v>
      </c>
      <c r="B2185" s="686" t="s">
        <v>392</v>
      </c>
      <c r="C2185" s="687" t="s">
        <v>1315</v>
      </c>
      <c r="D2185" s="687"/>
      <c r="E2185" s="933">
        <v>207263</v>
      </c>
      <c r="F2185" s="689">
        <v>3</v>
      </c>
      <c r="G2185" s="1025">
        <v>37501199</v>
      </c>
      <c r="H2185" s="690">
        <v>35973522</v>
      </c>
      <c r="I2185" s="1030"/>
      <c r="J2185" s="690"/>
      <c r="K2185" s="1030"/>
      <c r="L2185" s="690"/>
      <c r="M2185" s="1025">
        <v>30064994</v>
      </c>
      <c r="N2185" s="1030"/>
      <c r="O2185" s="692">
        <f t="shared" si="277"/>
        <v>30064994</v>
      </c>
      <c r="P2185" s="690">
        <v>34996695</v>
      </c>
      <c r="Q2185" s="690"/>
      <c r="R2185" s="691">
        <f t="shared" si="278"/>
        <v>34996695</v>
      </c>
      <c r="S2185" s="692">
        <f t="shared" si="279"/>
        <v>67566193</v>
      </c>
      <c r="T2185" s="693">
        <f t="shared" si="280"/>
        <v>70970217</v>
      </c>
      <c r="U2185" s="1035"/>
      <c r="V2185" s="690"/>
      <c r="W2185" s="1025"/>
      <c r="X2185" s="1030"/>
      <c r="Y2185" s="694">
        <f t="shared" si="281"/>
        <v>0</v>
      </c>
      <c r="Z2185" s="690"/>
      <c r="AA2185" s="690"/>
      <c r="AB2185" s="695">
        <f t="shared" si="282"/>
        <v>0</v>
      </c>
      <c r="AC2185" s="1035"/>
      <c r="AD2185" s="690"/>
      <c r="AE2185" s="1025"/>
      <c r="AF2185" s="1030"/>
      <c r="AG2185" s="690"/>
      <c r="AH2185" s="690"/>
      <c r="AI2185" s="696">
        <f t="shared" si="283"/>
        <v>67566193</v>
      </c>
      <c r="AJ2185" s="697">
        <f t="shared" si="284"/>
        <v>70970217</v>
      </c>
    </row>
    <row r="2186" spans="1:36" s="700" customFormat="1" ht="12.75" customHeight="1">
      <c r="A2186" s="714" t="s">
        <v>214</v>
      </c>
      <c r="B2186" s="686" t="s">
        <v>392</v>
      </c>
      <c r="C2186" s="687" t="s">
        <v>1316</v>
      </c>
      <c r="D2186" s="687"/>
      <c r="E2186" s="933">
        <v>206914</v>
      </c>
      <c r="F2186" s="689">
        <v>5</v>
      </c>
      <c r="G2186" s="1025">
        <v>22134416</v>
      </c>
      <c r="H2186" s="690">
        <v>21133212</v>
      </c>
      <c r="I2186" s="1030"/>
      <c r="J2186" s="690"/>
      <c r="K2186" s="1030"/>
      <c r="L2186" s="690"/>
      <c r="M2186" s="1025">
        <v>19830000</v>
      </c>
      <c r="N2186" s="1030"/>
      <c r="O2186" s="692">
        <f t="shared" ref="O2186:O2249" si="285">SUM(M2186:N2186)</f>
        <v>19830000</v>
      </c>
      <c r="P2186" s="690">
        <v>22461155</v>
      </c>
      <c r="Q2186" s="690"/>
      <c r="R2186" s="691">
        <f t="shared" ref="R2186:R2249" si="286">SUM(P2186:Q2186)</f>
        <v>22461155</v>
      </c>
      <c r="S2186" s="692">
        <f t="shared" ref="S2186:S2249" si="287">SUM(G2186,I2186,K2186,M2186)</f>
        <v>41964416</v>
      </c>
      <c r="T2186" s="693">
        <f t="shared" ref="T2186:T2249" si="288">SUM(H2186,J2186,L2186,P2186)</f>
        <v>43594367</v>
      </c>
      <c r="U2186" s="1035"/>
      <c r="V2186" s="690"/>
      <c r="W2186" s="1025"/>
      <c r="X2186" s="1030"/>
      <c r="Y2186" s="694">
        <f t="shared" ref="Y2186:Y2249" si="289">SUM(W2186:X2186)</f>
        <v>0</v>
      </c>
      <c r="Z2186" s="690"/>
      <c r="AA2186" s="690"/>
      <c r="AB2186" s="695">
        <f t="shared" ref="AB2186:AB2249" si="290">SUM(Z2186:AA2186)</f>
        <v>0</v>
      </c>
      <c r="AC2186" s="1035"/>
      <c r="AD2186" s="690"/>
      <c r="AE2186" s="1025"/>
      <c r="AF2186" s="1030"/>
      <c r="AG2186" s="690"/>
      <c r="AH2186" s="690"/>
      <c r="AI2186" s="696">
        <f t="shared" ref="AI2186:AI2249" si="291">SUM(S2186,U2186,W2186,AC2186,AE2186)</f>
        <v>41964416</v>
      </c>
      <c r="AJ2186" s="697">
        <f t="shared" ref="AJ2186:AJ2249" si="292">SUM(T2186,V2186,Z2186,AD2186,AG2186)</f>
        <v>43594367</v>
      </c>
    </row>
    <row r="2187" spans="1:36" s="700" customFormat="1" ht="12.75" customHeight="1">
      <c r="A2187" s="714" t="s">
        <v>214</v>
      </c>
      <c r="B2187" s="686" t="s">
        <v>392</v>
      </c>
      <c r="C2187" s="687" t="s">
        <v>1317</v>
      </c>
      <c r="D2187" s="687"/>
      <c r="E2187" s="933">
        <v>207041</v>
      </c>
      <c r="F2187" s="689">
        <v>5</v>
      </c>
      <c r="G2187" s="1025">
        <v>17992303</v>
      </c>
      <c r="H2187" s="690">
        <v>17084643</v>
      </c>
      <c r="I2187" s="1030"/>
      <c r="J2187" s="690"/>
      <c r="K2187" s="1030"/>
      <c r="L2187" s="690"/>
      <c r="M2187" s="1025">
        <v>15149384</v>
      </c>
      <c r="N2187" s="1030"/>
      <c r="O2187" s="692">
        <f t="shared" si="285"/>
        <v>15149384</v>
      </c>
      <c r="P2187" s="690">
        <v>16712316</v>
      </c>
      <c r="Q2187" s="690"/>
      <c r="R2187" s="691">
        <f t="shared" si="286"/>
        <v>16712316</v>
      </c>
      <c r="S2187" s="692">
        <f t="shared" si="287"/>
        <v>33141687</v>
      </c>
      <c r="T2187" s="693">
        <f t="shared" si="288"/>
        <v>33796959</v>
      </c>
      <c r="U2187" s="1035"/>
      <c r="V2187" s="690"/>
      <c r="W2187" s="1025"/>
      <c r="X2187" s="1030"/>
      <c r="Y2187" s="694">
        <f t="shared" si="289"/>
        <v>0</v>
      </c>
      <c r="Z2187" s="690"/>
      <c r="AA2187" s="690"/>
      <c r="AB2187" s="695">
        <f t="shared" si="290"/>
        <v>0</v>
      </c>
      <c r="AC2187" s="1035"/>
      <c r="AD2187" s="690"/>
      <c r="AE2187" s="1025"/>
      <c r="AF2187" s="1030"/>
      <c r="AG2187" s="690"/>
      <c r="AH2187" s="690"/>
      <c r="AI2187" s="696">
        <f t="shared" si="291"/>
        <v>33141687</v>
      </c>
      <c r="AJ2187" s="697">
        <f t="shared" si="292"/>
        <v>33796959</v>
      </c>
    </row>
    <row r="2188" spans="1:36" s="700" customFormat="1" ht="12.75" customHeight="1">
      <c r="A2188" s="714" t="s">
        <v>214</v>
      </c>
      <c r="B2188" s="686" t="s">
        <v>392</v>
      </c>
      <c r="C2188" s="687" t="s">
        <v>1318</v>
      </c>
      <c r="D2188" s="687"/>
      <c r="E2188" s="933">
        <v>207209</v>
      </c>
      <c r="F2188" s="689">
        <v>5</v>
      </c>
      <c r="G2188" s="1025">
        <v>21081939</v>
      </c>
      <c r="H2188" s="690">
        <v>20068838</v>
      </c>
      <c r="I2188" s="1030"/>
      <c r="J2188" s="690"/>
      <c r="K2188" s="1030"/>
      <c r="L2188" s="690"/>
      <c r="M2188" s="1025">
        <v>11737498</v>
      </c>
      <c r="N2188" s="1030"/>
      <c r="O2188" s="692">
        <f t="shared" si="285"/>
        <v>11737498</v>
      </c>
      <c r="P2188" s="690">
        <v>12575334</v>
      </c>
      <c r="Q2188" s="690"/>
      <c r="R2188" s="691">
        <f t="shared" si="286"/>
        <v>12575334</v>
      </c>
      <c r="S2188" s="692">
        <f t="shared" si="287"/>
        <v>32819437</v>
      </c>
      <c r="T2188" s="693">
        <f t="shared" si="288"/>
        <v>32644172</v>
      </c>
      <c r="U2188" s="1035"/>
      <c r="V2188" s="690"/>
      <c r="W2188" s="1025"/>
      <c r="X2188" s="1030"/>
      <c r="Y2188" s="694">
        <f t="shared" si="289"/>
        <v>0</v>
      </c>
      <c r="Z2188" s="690"/>
      <c r="AA2188" s="690"/>
      <c r="AB2188" s="695">
        <f t="shared" si="290"/>
        <v>0</v>
      </c>
      <c r="AC2188" s="1035"/>
      <c r="AD2188" s="690"/>
      <c r="AE2188" s="1025"/>
      <c r="AF2188" s="1030"/>
      <c r="AG2188" s="690"/>
      <c r="AH2188" s="690"/>
      <c r="AI2188" s="696">
        <f t="shared" si="291"/>
        <v>32819437</v>
      </c>
      <c r="AJ2188" s="697">
        <f t="shared" si="292"/>
        <v>32644172</v>
      </c>
    </row>
    <row r="2189" spans="1:36" s="700" customFormat="1" ht="12.75" customHeight="1">
      <c r="A2189" s="714" t="s">
        <v>214</v>
      </c>
      <c r="B2189" s="686" t="s">
        <v>392</v>
      </c>
      <c r="C2189" s="687" t="s">
        <v>1319</v>
      </c>
      <c r="D2189" s="687"/>
      <c r="E2189" s="933">
        <v>207306</v>
      </c>
      <c r="F2189" s="689">
        <v>5</v>
      </c>
      <c r="G2189" s="1025">
        <v>10416110</v>
      </c>
      <c r="H2189" s="690">
        <v>9890351</v>
      </c>
      <c r="I2189" s="1030"/>
      <c r="J2189" s="690"/>
      <c r="K2189" s="1030"/>
      <c r="L2189" s="690"/>
      <c r="M2189" s="1025">
        <v>9332960</v>
      </c>
      <c r="N2189" s="1030"/>
      <c r="O2189" s="692">
        <f t="shared" si="285"/>
        <v>9332960</v>
      </c>
      <c r="P2189" s="690">
        <v>10553366</v>
      </c>
      <c r="Q2189" s="690"/>
      <c r="R2189" s="691">
        <f t="shared" si="286"/>
        <v>10553366</v>
      </c>
      <c r="S2189" s="692">
        <f t="shared" si="287"/>
        <v>19749070</v>
      </c>
      <c r="T2189" s="693">
        <f t="shared" si="288"/>
        <v>20443717</v>
      </c>
      <c r="U2189" s="1035"/>
      <c r="V2189" s="690"/>
      <c r="W2189" s="1025"/>
      <c r="X2189" s="1030"/>
      <c r="Y2189" s="694">
        <f t="shared" si="289"/>
        <v>0</v>
      </c>
      <c r="Z2189" s="690"/>
      <c r="AA2189" s="690"/>
      <c r="AB2189" s="695">
        <f t="shared" si="290"/>
        <v>0</v>
      </c>
      <c r="AC2189" s="1035"/>
      <c r="AD2189" s="690"/>
      <c r="AE2189" s="1025"/>
      <c r="AF2189" s="1030"/>
      <c r="AG2189" s="690"/>
      <c r="AH2189" s="690"/>
      <c r="AI2189" s="696">
        <f t="shared" si="291"/>
        <v>19749070</v>
      </c>
      <c r="AJ2189" s="697">
        <f t="shared" si="292"/>
        <v>20443717</v>
      </c>
    </row>
    <row r="2190" spans="1:36" s="700" customFormat="1" ht="12.75" customHeight="1">
      <c r="A2190" s="714" t="s">
        <v>214</v>
      </c>
      <c r="B2190" s="686" t="s">
        <v>392</v>
      </c>
      <c r="C2190" s="813" t="s">
        <v>1320</v>
      </c>
      <c r="D2190" s="1082" t="s">
        <v>1933</v>
      </c>
      <c r="E2190" s="933">
        <v>207847</v>
      </c>
      <c r="F2190" s="689">
        <v>5</v>
      </c>
      <c r="G2190" s="1025">
        <v>19252364</v>
      </c>
      <c r="H2190" s="690">
        <v>18278177</v>
      </c>
      <c r="I2190" s="1030"/>
      <c r="J2190" s="690"/>
      <c r="K2190" s="1030"/>
      <c r="L2190" s="690"/>
      <c r="M2190" s="1025">
        <v>19780330</v>
      </c>
      <c r="N2190" s="1030"/>
      <c r="O2190" s="692">
        <f t="shared" si="285"/>
        <v>19780330</v>
      </c>
      <c r="P2190" s="690">
        <v>22550874</v>
      </c>
      <c r="Q2190" s="690"/>
      <c r="R2190" s="691">
        <f t="shared" si="286"/>
        <v>22550874</v>
      </c>
      <c r="S2190" s="692">
        <f t="shared" si="287"/>
        <v>39032694</v>
      </c>
      <c r="T2190" s="693">
        <f t="shared" si="288"/>
        <v>40829051</v>
      </c>
      <c r="U2190" s="1035"/>
      <c r="V2190" s="690"/>
      <c r="W2190" s="1025"/>
      <c r="X2190" s="1030"/>
      <c r="Y2190" s="694">
        <f t="shared" si="289"/>
        <v>0</v>
      </c>
      <c r="Z2190" s="690"/>
      <c r="AA2190" s="690"/>
      <c r="AB2190" s="695">
        <f t="shared" si="290"/>
        <v>0</v>
      </c>
      <c r="AC2190" s="1035"/>
      <c r="AD2190" s="690"/>
      <c r="AE2190" s="1025"/>
      <c r="AF2190" s="1030"/>
      <c r="AG2190" s="690"/>
      <c r="AH2190" s="690"/>
      <c r="AI2190" s="696">
        <f t="shared" si="291"/>
        <v>39032694</v>
      </c>
      <c r="AJ2190" s="697">
        <f t="shared" si="292"/>
        <v>40829051</v>
      </c>
    </row>
    <row r="2191" spans="1:36" s="700" customFormat="1" ht="12.75" customHeight="1">
      <c r="A2191" s="714" t="s">
        <v>214</v>
      </c>
      <c r="B2191" s="686" t="s">
        <v>392</v>
      </c>
      <c r="C2191" s="687" t="s">
        <v>1321</v>
      </c>
      <c r="D2191" s="687"/>
      <c r="E2191" s="933">
        <v>207865</v>
      </c>
      <c r="F2191" s="689">
        <v>5</v>
      </c>
      <c r="G2191" s="1025">
        <v>23297756</v>
      </c>
      <c r="H2191" s="690">
        <v>22121485</v>
      </c>
      <c r="I2191" s="1030"/>
      <c r="J2191" s="690"/>
      <c r="K2191" s="1030"/>
      <c r="L2191" s="690"/>
      <c r="M2191" s="1025">
        <v>20469075</v>
      </c>
      <c r="N2191" s="1030"/>
      <c r="O2191" s="692">
        <f t="shared" si="285"/>
        <v>20469075</v>
      </c>
      <c r="P2191" s="690">
        <v>21926180</v>
      </c>
      <c r="Q2191" s="690"/>
      <c r="R2191" s="691">
        <f t="shared" si="286"/>
        <v>21926180</v>
      </c>
      <c r="S2191" s="692">
        <f t="shared" si="287"/>
        <v>43766831</v>
      </c>
      <c r="T2191" s="693">
        <f t="shared" si="288"/>
        <v>44047665</v>
      </c>
      <c r="U2191" s="1035"/>
      <c r="V2191" s="690"/>
      <c r="W2191" s="1025"/>
      <c r="X2191" s="1030"/>
      <c r="Y2191" s="694">
        <f t="shared" si="289"/>
        <v>0</v>
      </c>
      <c r="Z2191" s="690"/>
      <c r="AA2191" s="690"/>
      <c r="AB2191" s="695">
        <f t="shared" si="290"/>
        <v>0</v>
      </c>
      <c r="AC2191" s="1035"/>
      <c r="AD2191" s="690"/>
      <c r="AE2191" s="1025"/>
      <c r="AF2191" s="1030"/>
      <c r="AG2191" s="690"/>
      <c r="AH2191" s="690"/>
      <c r="AI2191" s="696">
        <f t="shared" si="291"/>
        <v>43766831</v>
      </c>
      <c r="AJ2191" s="697">
        <f t="shared" si="292"/>
        <v>44047665</v>
      </c>
    </row>
    <row r="2192" spans="1:36" s="700" customFormat="1" ht="12.75" customHeight="1">
      <c r="A2192" s="714" t="s">
        <v>214</v>
      </c>
      <c r="B2192" s="686" t="s">
        <v>392</v>
      </c>
      <c r="C2192" s="687" t="s">
        <v>1322</v>
      </c>
      <c r="D2192" s="687"/>
      <c r="E2192" s="933">
        <v>207351</v>
      </c>
      <c r="F2192" s="689">
        <v>6</v>
      </c>
      <c r="G2192" s="1025">
        <v>7278860</v>
      </c>
      <c r="H2192" s="690">
        <v>7044168</v>
      </c>
      <c r="I2192" s="1030"/>
      <c r="J2192" s="690"/>
      <c r="K2192" s="1030"/>
      <c r="L2192" s="690"/>
      <c r="M2192" s="1025">
        <v>7485294</v>
      </c>
      <c r="N2192" s="1030"/>
      <c r="O2192" s="692">
        <f t="shared" si="285"/>
        <v>7485294</v>
      </c>
      <c r="P2192" s="690">
        <v>8359222</v>
      </c>
      <c r="Q2192" s="690"/>
      <c r="R2192" s="691">
        <f t="shared" si="286"/>
        <v>8359222</v>
      </c>
      <c r="S2192" s="692">
        <f t="shared" si="287"/>
        <v>14764154</v>
      </c>
      <c r="T2192" s="693">
        <f t="shared" si="288"/>
        <v>15403390</v>
      </c>
      <c r="U2192" s="1035"/>
      <c r="V2192" s="690"/>
      <c r="W2192" s="1025"/>
      <c r="X2192" s="1030"/>
      <c r="Y2192" s="694">
        <f t="shared" si="289"/>
        <v>0</v>
      </c>
      <c r="Z2192" s="690"/>
      <c r="AA2192" s="690"/>
      <c r="AB2192" s="695">
        <f t="shared" si="290"/>
        <v>0</v>
      </c>
      <c r="AC2192" s="1035"/>
      <c r="AD2192" s="690"/>
      <c r="AE2192" s="1025"/>
      <c r="AF2192" s="1030"/>
      <c r="AG2192" s="690"/>
      <c r="AH2192" s="690"/>
      <c r="AI2192" s="696">
        <f t="shared" si="291"/>
        <v>14764154</v>
      </c>
      <c r="AJ2192" s="697">
        <f t="shared" si="292"/>
        <v>15403390</v>
      </c>
    </row>
    <row r="2193" spans="1:36" s="700" customFormat="1" ht="12.75" customHeight="1">
      <c r="A2193" s="714" t="s">
        <v>214</v>
      </c>
      <c r="B2193" s="686" t="s">
        <v>392</v>
      </c>
      <c r="C2193" s="687" t="s">
        <v>1323</v>
      </c>
      <c r="D2193" s="687"/>
      <c r="E2193" s="933">
        <v>207661</v>
      </c>
      <c r="F2193" s="689">
        <v>6</v>
      </c>
      <c r="G2193" s="1025">
        <v>14276551</v>
      </c>
      <c r="H2193" s="690">
        <v>13500702</v>
      </c>
      <c r="I2193" s="1030"/>
      <c r="J2193" s="690"/>
      <c r="K2193" s="1030"/>
      <c r="L2193" s="690"/>
      <c r="M2193" s="1025">
        <v>12262529</v>
      </c>
      <c r="N2193" s="1030"/>
      <c r="O2193" s="692">
        <f t="shared" si="285"/>
        <v>12262529</v>
      </c>
      <c r="P2193" s="690">
        <v>13843327</v>
      </c>
      <c r="Q2193" s="690"/>
      <c r="R2193" s="691">
        <f t="shared" si="286"/>
        <v>13843327</v>
      </c>
      <c r="S2193" s="692">
        <f t="shared" si="287"/>
        <v>26539080</v>
      </c>
      <c r="T2193" s="693">
        <f t="shared" si="288"/>
        <v>27344029</v>
      </c>
      <c r="U2193" s="1035"/>
      <c r="V2193" s="690"/>
      <c r="W2193" s="1025"/>
      <c r="X2193" s="1030"/>
      <c r="Y2193" s="694">
        <f t="shared" si="289"/>
        <v>0</v>
      </c>
      <c r="Z2193" s="690"/>
      <c r="AA2193" s="690"/>
      <c r="AB2193" s="695">
        <f t="shared" si="290"/>
        <v>0</v>
      </c>
      <c r="AC2193" s="1035"/>
      <c r="AD2193" s="690"/>
      <c r="AE2193" s="1025"/>
      <c r="AF2193" s="1030"/>
      <c r="AG2193" s="690"/>
      <c r="AH2193" s="690"/>
      <c r="AI2193" s="696">
        <f t="shared" si="291"/>
        <v>26539080</v>
      </c>
      <c r="AJ2193" s="697">
        <f t="shared" si="292"/>
        <v>27344029</v>
      </c>
    </row>
    <row r="2194" spans="1:36" s="700" customFormat="1" ht="12.75" customHeight="1">
      <c r="A2194" s="714" t="s">
        <v>214</v>
      </c>
      <c r="B2194" s="686" t="s">
        <v>392</v>
      </c>
      <c r="C2194" s="687" t="s">
        <v>1324</v>
      </c>
      <c r="D2194" s="687"/>
      <c r="E2194" s="933">
        <v>207722</v>
      </c>
      <c r="F2194" s="689">
        <v>6</v>
      </c>
      <c r="G2194" s="1025">
        <v>7171229</v>
      </c>
      <c r="H2194" s="690">
        <v>7250249</v>
      </c>
      <c r="I2194" s="1030"/>
      <c r="J2194" s="690"/>
      <c r="K2194" s="1030"/>
      <c r="L2194" s="690"/>
      <c r="M2194" s="1025">
        <v>4183899</v>
      </c>
      <c r="N2194" s="1030"/>
      <c r="O2194" s="692">
        <f t="shared" si="285"/>
        <v>4183899</v>
      </c>
      <c r="P2194" s="690">
        <v>4336155</v>
      </c>
      <c r="Q2194" s="690"/>
      <c r="R2194" s="691">
        <f t="shared" si="286"/>
        <v>4336155</v>
      </c>
      <c r="S2194" s="692">
        <f t="shared" si="287"/>
        <v>11355128</v>
      </c>
      <c r="T2194" s="693">
        <f t="shared" si="288"/>
        <v>11586404</v>
      </c>
      <c r="U2194" s="1035"/>
      <c r="V2194" s="690"/>
      <c r="W2194" s="1025"/>
      <c r="X2194" s="1030"/>
      <c r="Y2194" s="694">
        <f t="shared" si="289"/>
        <v>0</v>
      </c>
      <c r="Z2194" s="690"/>
      <c r="AA2194" s="690"/>
      <c r="AB2194" s="695">
        <f t="shared" si="290"/>
        <v>0</v>
      </c>
      <c r="AC2194" s="1035"/>
      <c r="AD2194" s="690"/>
      <c r="AE2194" s="1025"/>
      <c r="AF2194" s="1030"/>
      <c r="AG2194" s="690"/>
      <c r="AH2194" s="690"/>
      <c r="AI2194" s="696">
        <f t="shared" si="291"/>
        <v>11355128</v>
      </c>
      <c r="AJ2194" s="697">
        <f t="shared" si="292"/>
        <v>11586404</v>
      </c>
    </row>
    <row r="2195" spans="1:36" s="700" customFormat="1" ht="12.75" customHeight="1">
      <c r="A2195" s="714" t="s">
        <v>214</v>
      </c>
      <c r="B2195" s="686" t="s">
        <v>392</v>
      </c>
      <c r="C2195" s="687" t="s">
        <v>1325</v>
      </c>
      <c r="D2195" s="687"/>
      <c r="E2195" s="933">
        <v>207564</v>
      </c>
      <c r="F2195" s="689">
        <v>7</v>
      </c>
      <c r="G2195" s="1025">
        <v>14784510</v>
      </c>
      <c r="H2195" s="690">
        <v>14038755</v>
      </c>
      <c r="I2195" s="1030"/>
      <c r="J2195" s="690"/>
      <c r="K2195" s="1030"/>
      <c r="L2195" s="690"/>
      <c r="M2195" s="1025">
        <v>9252731</v>
      </c>
      <c r="N2195" s="1030"/>
      <c r="O2195" s="692">
        <f t="shared" si="285"/>
        <v>9252731</v>
      </c>
      <c r="P2195" s="690">
        <v>10881606</v>
      </c>
      <c r="Q2195" s="690"/>
      <c r="R2195" s="691">
        <f t="shared" si="286"/>
        <v>10881606</v>
      </c>
      <c r="S2195" s="692">
        <f t="shared" si="287"/>
        <v>24037241</v>
      </c>
      <c r="T2195" s="693">
        <f t="shared" si="288"/>
        <v>24920361</v>
      </c>
      <c r="U2195" s="1035"/>
      <c r="V2195" s="690"/>
      <c r="W2195" s="1025"/>
      <c r="X2195" s="1030"/>
      <c r="Y2195" s="694">
        <f t="shared" si="289"/>
        <v>0</v>
      </c>
      <c r="Z2195" s="690"/>
      <c r="AA2195" s="690"/>
      <c r="AB2195" s="695">
        <f t="shared" si="290"/>
        <v>0</v>
      </c>
      <c r="AC2195" s="1035"/>
      <c r="AD2195" s="690"/>
      <c r="AE2195" s="1025"/>
      <c r="AF2195" s="1030"/>
      <c r="AG2195" s="690"/>
      <c r="AH2195" s="690"/>
      <c r="AI2195" s="696">
        <f t="shared" si="291"/>
        <v>24037241</v>
      </c>
      <c r="AJ2195" s="697">
        <f t="shared" si="292"/>
        <v>24920361</v>
      </c>
    </row>
    <row r="2196" spans="1:36" s="700" customFormat="1" ht="12.75" customHeight="1">
      <c r="A2196" s="714" t="s">
        <v>214</v>
      </c>
      <c r="B2196" s="686" t="s">
        <v>392</v>
      </c>
      <c r="C2196" s="687" t="s">
        <v>1326</v>
      </c>
      <c r="D2196" s="687"/>
      <c r="E2196" s="933">
        <v>207449</v>
      </c>
      <c r="F2196" s="689">
        <v>8</v>
      </c>
      <c r="G2196" s="1025">
        <v>25459475</v>
      </c>
      <c r="H2196" s="690">
        <v>24166772</v>
      </c>
      <c r="I2196" s="1030"/>
      <c r="J2196" s="690"/>
      <c r="K2196" s="1030">
        <v>5200000</v>
      </c>
      <c r="L2196" s="690">
        <v>5200000</v>
      </c>
      <c r="M2196" s="1025">
        <v>19297286</v>
      </c>
      <c r="N2196" s="1030"/>
      <c r="O2196" s="692">
        <f t="shared" si="285"/>
        <v>19297286</v>
      </c>
      <c r="P2196" s="690">
        <v>23221238</v>
      </c>
      <c r="Q2196" s="690"/>
      <c r="R2196" s="691">
        <f t="shared" si="286"/>
        <v>23221238</v>
      </c>
      <c r="S2196" s="692">
        <f t="shared" si="287"/>
        <v>49956761</v>
      </c>
      <c r="T2196" s="693">
        <f t="shared" si="288"/>
        <v>52588010</v>
      </c>
      <c r="U2196" s="1035"/>
      <c r="V2196" s="690"/>
      <c r="W2196" s="1025"/>
      <c r="X2196" s="1030"/>
      <c r="Y2196" s="694">
        <f t="shared" si="289"/>
        <v>0</v>
      </c>
      <c r="Z2196" s="690"/>
      <c r="AA2196" s="690"/>
      <c r="AB2196" s="695">
        <f t="shared" si="290"/>
        <v>0</v>
      </c>
      <c r="AC2196" s="1035"/>
      <c r="AD2196" s="690"/>
      <c r="AE2196" s="1025"/>
      <c r="AF2196" s="1030"/>
      <c r="AG2196" s="690"/>
      <c r="AH2196" s="690"/>
      <c r="AI2196" s="696">
        <f t="shared" si="291"/>
        <v>49956761</v>
      </c>
      <c r="AJ2196" s="697">
        <f t="shared" si="292"/>
        <v>52588010</v>
      </c>
    </row>
    <row r="2197" spans="1:36" s="700" customFormat="1" ht="12.75" customHeight="1">
      <c r="A2197" s="714" t="s">
        <v>214</v>
      </c>
      <c r="B2197" s="686" t="s">
        <v>392</v>
      </c>
      <c r="C2197" s="687" t="s">
        <v>1327</v>
      </c>
      <c r="D2197" s="687"/>
      <c r="E2197" s="933">
        <v>207935</v>
      </c>
      <c r="F2197" s="689">
        <v>8</v>
      </c>
      <c r="G2197" s="1025">
        <v>36418422</v>
      </c>
      <c r="H2197" s="690">
        <v>35273086</v>
      </c>
      <c r="I2197" s="1030"/>
      <c r="J2197" s="690"/>
      <c r="K2197" s="1030">
        <v>34389536</v>
      </c>
      <c r="L2197" s="690">
        <v>34389536</v>
      </c>
      <c r="M2197" s="1025">
        <v>30061645</v>
      </c>
      <c r="N2197" s="1030"/>
      <c r="O2197" s="692">
        <f t="shared" si="285"/>
        <v>30061645</v>
      </c>
      <c r="P2197" s="690">
        <v>35359373</v>
      </c>
      <c r="Q2197" s="690"/>
      <c r="R2197" s="691">
        <f t="shared" si="286"/>
        <v>35359373</v>
      </c>
      <c r="S2197" s="692">
        <f t="shared" si="287"/>
        <v>100869603</v>
      </c>
      <c r="T2197" s="693">
        <f t="shared" si="288"/>
        <v>105021995</v>
      </c>
      <c r="U2197" s="1035"/>
      <c r="V2197" s="690"/>
      <c r="W2197" s="1025"/>
      <c r="X2197" s="1030"/>
      <c r="Y2197" s="694">
        <f t="shared" si="289"/>
        <v>0</v>
      </c>
      <c r="Z2197" s="690"/>
      <c r="AA2197" s="690"/>
      <c r="AB2197" s="695">
        <f t="shared" si="290"/>
        <v>0</v>
      </c>
      <c r="AC2197" s="1035"/>
      <c r="AD2197" s="690"/>
      <c r="AE2197" s="1025"/>
      <c r="AF2197" s="1030"/>
      <c r="AG2197" s="690"/>
      <c r="AH2197" s="690"/>
      <c r="AI2197" s="696">
        <f t="shared" si="291"/>
        <v>100869603</v>
      </c>
      <c r="AJ2197" s="697">
        <f t="shared" si="292"/>
        <v>105021995</v>
      </c>
    </row>
    <row r="2198" spans="1:36" s="700" customFormat="1" ht="12.75" customHeight="1">
      <c r="A2198" s="714" t="s">
        <v>214</v>
      </c>
      <c r="B2198" s="686" t="s">
        <v>392</v>
      </c>
      <c r="C2198" s="687" t="s">
        <v>1328</v>
      </c>
      <c r="D2198" s="687"/>
      <c r="E2198" s="933">
        <v>207281</v>
      </c>
      <c r="F2198" s="689">
        <v>9</v>
      </c>
      <c r="G2198" s="1025">
        <v>10294639</v>
      </c>
      <c r="H2198" s="690">
        <v>9738698</v>
      </c>
      <c r="I2198" s="1030"/>
      <c r="J2198" s="690"/>
      <c r="K2198" s="1030"/>
      <c r="L2198" s="690"/>
      <c r="M2198" s="1025">
        <v>11571940</v>
      </c>
      <c r="N2198" s="1030"/>
      <c r="O2198" s="692">
        <f t="shared" si="285"/>
        <v>11571940</v>
      </c>
      <c r="P2198" s="690">
        <v>12124913</v>
      </c>
      <c r="Q2198" s="690"/>
      <c r="R2198" s="691">
        <f t="shared" si="286"/>
        <v>12124913</v>
      </c>
      <c r="S2198" s="692">
        <f t="shared" si="287"/>
        <v>21866579</v>
      </c>
      <c r="T2198" s="693">
        <f t="shared" si="288"/>
        <v>21863611</v>
      </c>
      <c r="U2198" s="1035"/>
      <c r="V2198" s="690"/>
      <c r="W2198" s="1025"/>
      <c r="X2198" s="1030"/>
      <c r="Y2198" s="694">
        <f t="shared" si="289"/>
        <v>0</v>
      </c>
      <c r="Z2198" s="690"/>
      <c r="AA2198" s="690"/>
      <c r="AB2198" s="695">
        <f t="shared" si="290"/>
        <v>0</v>
      </c>
      <c r="AC2198" s="1035"/>
      <c r="AD2198" s="690"/>
      <c r="AE2198" s="1025"/>
      <c r="AF2198" s="1030"/>
      <c r="AG2198" s="690"/>
      <c r="AH2198" s="690"/>
      <c r="AI2198" s="696">
        <f t="shared" si="291"/>
        <v>21866579</v>
      </c>
      <c r="AJ2198" s="697">
        <f t="shared" si="292"/>
        <v>21863611</v>
      </c>
    </row>
    <row r="2199" spans="1:36" s="700" customFormat="1" ht="12.75" customHeight="1">
      <c r="A2199" s="714" t="s">
        <v>214</v>
      </c>
      <c r="B2199" s="686" t="s">
        <v>392</v>
      </c>
      <c r="C2199" s="813" t="s">
        <v>1329</v>
      </c>
      <c r="D2199" s="1082" t="s">
        <v>1970</v>
      </c>
      <c r="E2199" s="933">
        <v>207397</v>
      </c>
      <c r="F2199" s="689">
        <v>9</v>
      </c>
      <c r="G2199" s="1025">
        <v>11404027</v>
      </c>
      <c r="H2199" s="690">
        <v>10821529</v>
      </c>
      <c r="I2199" s="1030"/>
      <c r="J2199" s="690"/>
      <c r="K2199" s="1030"/>
      <c r="L2199" s="690"/>
      <c r="M2199" s="1025">
        <v>11484772</v>
      </c>
      <c r="N2199" s="1030"/>
      <c r="O2199" s="692">
        <f t="shared" si="285"/>
        <v>11484772</v>
      </c>
      <c r="P2199" s="690">
        <v>14340477</v>
      </c>
      <c r="Q2199" s="690"/>
      <c r="R2199" s="691">
        <f t="shared" si="286"/>
        <v>14340477</v>
      </c>
      <c r="S2199" s="692">
        <f t="shared" si="287"/>
        <v>22888799</v>
      </c>
      <c r="T2199" s="693">
        <f t="shared" si="288"/>
        <v>25162006</v>
      </c>
      <c r="U2199" s="1035"/>
      <c r="V2199" s="690"/>
      <c r="W2199" s="1025"/>
      <c r="X2199" s="1030"/>
      <c r="Y2199" s="694">
        <f t="shared" si="289"/>
        <v>0</v>
      </c>
      <c r="Z2199" s="690"/>
      <c r="AA2199" s="690"/>
      <c r="AB2199" s="695">
        <f t="shared" si="290"/>
        <v>0</v>
      </c>
      <c r="AC2199" s="1035"/>
      <c r="AD2199" s="690"/>
      <c r="AE2199" s="1025"/>
      <c r="AF2199" s="1030"/>
      <c r="AG2199" s="690"/>
      <c r="AH2199" s="690"/>
      <c r="AI2199" s="696">
        <f t="shared" si="291"/>
        <v>22888799</v>
      </c>
      <c r="AJ2199" s="697">
        <f t="shared" si="292"/>
        <v>25162006</v>
      </c>
    </row>
    <row r="2200" spans="1:36" s="700" customFormat="1" ht="12.75" customHeight="1">
      <c r="A2200" s="714" t="s">
        <v>214</v>
      </c>
      <c r="B2200" s="686" t="s">
        <v>392</v>
      </c>
      <c r="C2200" s="813" t="s">
        <v>1330</v>
      </c>
      <c r="D2200" s="1082" t="s">
        <v>1971</v>
      </c>
      <c r="E2200" s="933">
        <v>207670</v>
      </c>
      <c r="F2200" s="689">
        <v>9</v>
      </c>
      <c r="G2200" s="1025">
        <v>21329814</v>
      </c>
      <c r="H2200" s="690">
        <v>20249901</v>
      </c>
      <c r="I2200" s="1030"/>
      <c r="J2200" s="690"/>
      <c r="K2200" s="1030">
        <v>1900000</v>
      </c>
      <c r="L2200" s="690">
        <v>1330000</v>
      </c>
      <c r="M2200" s="1025">
        <v>13270335</v>
      </c>
      <c r="N2200" s="1030"/>
      <c r="O2200" s="692">
        <f t="shared" si="285"/>
        <v>13270335</v>
      </c>
      <c r="P2200" s="690">
        <v>13780335</v>
      </c>
      <c r="Q2200" s="690"/>
      <c r="R2200" s="691">
        <f t="shared" si="286"/>
        <v>13780335</v>
      </c>
      <c r="S2200" s="692">
        <f t="shared" si="287"/>
        <v>36500149</v>
      </c>
      <c r="T2200" s="693">
        <f t="shared" si="288"/>
        <v>35360236</v>
      </c>
      <c r="U2200" s="1035"/>
      <c r="V2200" s="690"/>
      <c r="W2200" s="1025"/>
      <c r="X2200" s="1030"/>
      <c r="Y2200" s="694">
        <f t="shared" si="289"/>
        <v>0</v>
      </c>
      <c r="Z2200" s="690"/>
      <c r="AA2200" s="690"/>
      <c r="AB2200" s="695">
        <f t="shared" si="290"/>
        <v>0</v>
      </c>
      <c r="AC2200" s="1035"/>
      <c r="AD2200" s="690"/>
      <c r="AE2200" s="1025"/>
      <c r="AF2200" s="1030"/>
      <c r="AG2200" s="690"/>
      <c r="AH2200" s="690"/>
      <c r="AI2200" s="696">
        <f t="shared" si="291"/>
        <v>36500149</v>
      </c>
      <c r="AJ2200" s="697">
        <f t="shared" si="292"/>
        <v>35360236</v>
      </c>
    </row>
    <row r="2201" spans="1:36" s="700" customFormat="1" ht="12.75" customHeight="1">
      <c r="A2201" s="714" t="s">
        <v>214</v>
      </c>
      <c r="B2201" s="686" t="s">
        <v>392</v>
      </c>
      <c r="C2201" s="813" t="s">
        <v>1331</v>
      </c>
      <c r="D2201" s="1082" t="s">
        <v>1972</v>
      </c>
      <c r="E2201" s="933">
        <v>206923</v>
      </c>
      <c r="F2201" s="689">
        <v>10</v>
      </c>
      <c r="G2201" s="1025">
        <v>6570181</v>
      </c>
      <c r="H2201" s="690">
        <v>6140570</v>
      </c>
      <c r="I2201" s="1030"/>
      <c r="J2201" s="690"/>
      <c r="K2201" s="1030"/>
      <c r="L2201" s="690"/>
      <c r="M2201" s="1025">
        <v>4003179</v>
      </c>
      <c r="N2201" s="1030"/>
      <c r="O2201" s="692">
        <f t="shared" si="285"/>
        <v>4003179</v>
      </c>
      <c r="P2201" s="690">
        <v>4466015</v>
      </c>
      <c r="Q2201" s="690"/>
      <c r="R2201" s="691">
        <f t="shared" si="286"/>
        <v>4466015</v>
      </c>
      <c r="S2201" s="692">
        <f t="shared" si="287"/>
        <v>10573360</v>
      </c>
      <c r="T2201" s="693">
        <f t="shared" si="288"/>
        <v>10606585</v>
      </c>
      <c r="U2201" s="1035"/>
      <c r="V2201" s="690"/>
      <c r="W2201" s="1025"/>
      <c r="X2201" s="1030"/>
      <c r="Y2201" s="694">
        <f t="shared" si="289"/>
        <v>0</v>
      </c>
      <c r="Z2201" s="690"/>
      <c r="AA2201" s="690"/>
      <c r="AB2201" s="695">
        <f t="shared" si="290"/>
        <v>0</v>
      </c>
      <c r="AC2201" s="1035"/>
      <c r="AD2201" s="690"/>
      <c r="AE2201" s="1025"/>
      <c r="AF2201" s="1030"/>
      <c r="AG2201" s="690"/>
      <c r="AH2201" s="690"/>
      <c r="AI2201" s="696">
        <f t="shared" si="291"/>
        <v>10573360</v>
      </c>
      <c r="AJ2201" s="697">
        <f t="shared" si="292"/>
        <v>10606585</v>
      </c>
    </row>
    <row r="2202" spans="1:36" s="700" customFormat="1" ht="12.75" customHeight="1">
      <c r="A2202" s="714" t="s">
        <v>214</v>
      </c>
      <c r="B2202" s="686" t="s">
        <v>392</v>
      </c>
      <c r="C2202" s="687" t="s">
        <v>1332</v>
      </c>
      <c r="D2202" s="687"/>
      <c r="E2202" s="933">
        <v>206996</v>
      </c>
      <c r="F2202" s="689">
        <v>10</v>
      </c>
      <c r="G2202" s="1025">
        <v>6966462</v>
      </c>
      <c r="H2202" s="690">
        <v>6613051</v>
      </c>
      <c r="I2202" s="1030"/>
      <c r="J2202" s="690"/>
      <c r="K2202" s="1030"/>
      <c r="L2202" s="690"/>
      <c r="M2202" s="1025">
        <v>3604218</v>
      </c>
      <c r="N2202" s="1030"/>
      <c r="O2202" s="692">
        <f t="shared" si="285"/>
        <v>3604218</v>
      </c>
      <c r="P2202" s="690">
        <v>4356308</v>
      </c>
      <c r="Q2202" s="690"/>
      <c r="R2202" s="691">
        <f t="shared" si="286"/>
        <v>4356308</v>
      </c>
      <c r="S2202" s="692">
        <f t="shared" si="287"/>
        <v>10570680</v>
      </c>
      <c r="T2202" s="693">
        <f t="shared" si="288"/>
        <v>10969359</v>
      </c>
      <c r="U2202" s="1035"/>
      <c r="V2202" s="690"/>
      <c r="W2202" s="1025"/>
      <c r="X2202" s="1030"/>
      <c r="Y2202" s="694">
        <f t="shared" si="289"/>
        <v>0</v>
      </c>
      <c r="Z2202" s="690"/>
      <c r="AA2202" s="690"/>
      <c r="AB2202" s="695">
        <f t="shared" si="290"/>
        <v>0</v>
      </c>
      <c r="AC2202" s="1035"/>
      <c r="AD2202" s="690"/>
      <c r="AE2202" s="1025"/>
      <c r="AF2202" s="1030"/>
      <c r="AG2202" s="690"/>
      <c r="AH2202" s="690"/>
      <c r="AI2202" s="696">
        <f t="shared" si="291"/>
        <v>10570680</v>
      </c>
      <c r="AJ2202" s="697">
        <f t="shared" si="292"/>
        <v>10969359</v>
      </c>
    </row>
    <row r="2203" spans="1:36" s="700" customFormat="1" ht="12.75" customHeight="1">
      <c r="A2203" s="714" t="s">
        <v>214</v>
      </c>
      <c r="B2203" s="686" t="s">
        <v>392</v>
      </c>
      <c r="C2203" s="687" t="s">
        <v>1333</v>
      </c>
      <c r="D2203" s="687"/>
      <c r="E2203" s="933">
        <v>207050</v>
      </c>
      <c r="F2203" s="689">
        <v>10</v>
      </c>
      <c r="G2203" s="1025">
        <v>6662105</v>
      </c>
      <c r="H2203" s="690">
        <v>6325989</v>
      </c>
      <c r="I2203" s="1030"/>
      <c r="J2203" s="690"/>
      <c r="K2203" s="1030"/>
      <c r="L2203" s="690"/>
      <c r="M2203" s="1025">
        <v>3134041</v>
      </c>
      <c r="N2203" s="1030"/>
      <c r="O2203" s="692">
        <f t="shared" si="285"/>
        <v>3134041</v>
      </c>
      <c r="P2203" s="690">
        <v>3693262</v>
      </c>
      <c r="Q2203" s="690"/>
      <c r="R2203" s="691">
        <f t="shared" si="286"/>
        <v>3693262</v>
      </c>
      <c r="S2203" s="692">
        <f t="shared" si="287"/>
        <v>9796146</v>
      </c>
      <c r="T2203" s="693">
        <f t="shared" si="288"/>
        <v>10019251</v>
      </c>
      <c r="U2203" s="1035"/>
      <c r="V2203" s="690"/>
      <c r="W2203" s="1025"/>
      <c r="X2203" s="1030"/>
      <c r="Y2203" s="694">
        <f t="shared" si="289"/>
        <v>0</v>
      </c>
      <c r="Z2203" s="690"/>
      <c r="AA2203" s="690"/>
      <c r="AB2203" s="695">
        <f t="shared" si="290"/>
        <v>0</v>
      </c>
      <c r="AC2203" s="1035"/>
      <c r="AD2203" s="690"/>
      <c r="AE2203" s="1025"/>
      <c r="AF2203" s="1030"/>
      <c r="AG2203" s="690"/>
      <c r="AH2203" s="690"/>
      <c r="AI2203" s="696">
        <f t="shared" si="291"/>
        <v>9796146</v>
      </c>
      <c r="AJ2203" s="697">
        <f t="shared" si="292"/>
        <v>10019251</v>
      </c>
    </row>
    <row r="2204" spans="1:36" s="700" customFormat="1" ht="12.75" customHeight="1">
      <c r="A2204" s="714" t="s">
        <v>214</v>
      </c>
      <c r="B2204" s="686" t="s">
        <v>392</v>
      </c>
      <c r="C2204" s="813" t="s">
        <v>1334</v>
      </c>
      <c r="D2204" s="1082" t="s">
        <v>1972</v>
      </c>
      <c r="E2204" s="933">
        <v>207236</v>
      </c>
      <c r="F2204" s="689">
        <v>10</v>
      </c>
      <c r="G2204" s="1025">
        <v>5892808</v>
      </c>
      <c r="H2204" s="690">
        <v>5588404</v>
      </c>
      <c r="I2204" s="1030"/>
      <c r="J2204" s="690"/>
      <c r="K2204" s="1030"/>
      <c r="L2204" s="690"/>
      <c r="M2204" s="1025">
        <v>4700109</v>
      </c>
      <c r="N2204" s="1030"/>
      <c r="O2204" s="692">
        <f t="shared" si="285"/>
        <v>4700109</v>
      </c>
      <c r="P2204" s="690">
        <v>4744617</v>
      </c>
      <c r="Q2204" s="690"/>
      <c r="R2204" s="691">
        <f t="shared" si="286"/>
        <v>4744617</v>
      </c>
      <c r="S2204" s="692">
        <f t="shared" si="287"/>
        <v>10592917</v>
      </c>
      <c r="T2204" s="693">
        <f t="shared" si="288"/>
        <v>10333021</v>
      </c>
      <c r="U2204" s="1035"/>
      <c r="V2204" s="690"/>
      <c r="W2204" s="1025"/>
      <c r="X2204" s="1030"/>
      <c r="Y2204" s="694">
        <f t="shared" si="289"/>
        <v>0</v>
      </c>
      <c r="Z2204" s="690"/>
      <c r="AA2204" s="690"/>
      <c r="AB2204" s="695">
        <f t="shared" si="290"/>
        <v>0</v>
      </c>
      <c r="AC2204" s="1035"/>
      <c r="AD2204" s="690"/>
      <c r="AE2204" s="1025"/>
      <c r="AF2204" s="1030"/>
      <c r="AG2204" s="690"/>
      <c r="AH2204" s="690"/>
      <c r="AI2204" s="696">
        <f t="shared" si="291"/>
        <v>10592917</v>
      </c>
      <c r="AJ2204" s="697">
        <f t="shared" si="292"/>
        <v>10333021</v>
      </c>
    </row>
    <row r="2205" spans="1:36" s="700" customFormat="1" ht="12.75" customHeight="1">
      <c r="A2205" s="714" t="s">
        <v>214</v>
      </c>
      <c r="B2205" s="686" t="s">
        <v>392</v>
      </c>
      <c r="C2205" s="687" t="s">
        <v>1335</v>
      </c>
      <c r="D2205" s="687"/>
      <c r="E2205" s="933">
        <v>207290</v>
      </c>
      <c r="F2205" s="689">
        <v>10</v>
      </c>
      <c r="G2205" s="1025">
        <v>9141095</v>
      </c>
      <c r="H2205" s="690">
        <v>8680214</v>
      </c>
      <c r="I2205" s="1030"/>
      <c r="J2205" s="690"/>
      <c r="K2205" s="1030"/>
      <c r="L2205" s="690"/>
      <c r="M2205" s="1025">
        <v>4590050</v>
      </c>
      <c r="N2205" s="1030"/>
      <c r="O2205" s="692">
        <f t="shared" si="285"/>
        <v>4590050</v>
      </c>
      <c r="P2205" s="690">
        <v>5832961</v>
      </c>
      <c r="Q2205" s="690"/>
      <c r="R2205" s="691">
        <f t="shared" si="286"/>
        <v>5832961</v>
      </c>
      <c r="S2205" s="692">
        <f t="shared" si="287"/>
        <v>13731145</v>
      </c>
      <c r="T2205" s="693">
        <f t="shared" si="288"/>
        <v>14513175</v>
      </c>
      <c r="U2205" s="1035"/>
      <c r="V2205" s="690"/>
      <c r="W2205" s="1025"/>
      <c r="X2205" s="1030"/>
      <c r="Y2205" s="694">
        <f t="shared" si="289"/>
        <v>0</v>
      </c>
      <c r="Z2205" s="690"/>
      <c r="AA2205" s="690"/>
      <c r="AB2205" s="695">
        <f t="shared" si="290"/>
        <v>0</v>
      </c>
      <c r="AC2205" s="1035"/>
      <c r="AD2205" s="690"/>
      <c r="AE2205" s="1025"/>
      <c r="AF2205" s="1030"/>
      <c r="AG2205" s="690"/>
      <c r="AH2205" s="690"/>
      <c r="AI2205" s="696">
        <f t="shared" si="291"/>
        <v>13731145</v>
      </c>
      <c r="AJ2205" s="697">
        <f t="shared" si="292"/>
        <v>14513175</v>
      </c>
    </row>
    <row r="2206" spans="1:36" s="700" customFormat="1" ht="12.75" customHeight="1">
      <c r="A2206" s="714" t="s">
        <v>214</v>
      </c>
      <c r="B2206" s="686" t="s">
        <v>392</v>
      </c>
      <c r="C2206" s="687" t="s">
        <v>1336</v>
      </c>
      <c r="D2206" s="687"/>
      <c r="E2206" s="933">
        <v>207069</v>
      </c>
      <c r="F2206" s="689">
        <v>10</v>
      </c>
      <c r="G2206" s="1025">
        <v>6099780</v>
      </c>
      <c r="H2206" s="690">
        <v>6280171</v>
      </c>
      <c r="I2206" s="1030"/>
      <c r="J2206" s="690"/>
      <c r="K2206" s="1030"/>
      <c r="L2206" s="690"/>
      <c r="M2206" s="1025">
        <v>3399068</v>
      </c>
      <c r="N2206" s="1030"/>
      <c r="O2206" s="692">
        <f t="shared" si="285"/>
        <v>3399068</v>
      </c>
      <c r="P2206" s="690">
        <v>4265433</v>
      </c>
      <c r="Q2206" s="690"/>
      <c r="R2206" s="691">
        <f t="shared" si="286"/>
        <v>4265433</v>
      </c>
      <c r="S2206" s="692">
        <f t="shared" si="287"/>
        <v>9498848</v>
      </c>
      <c r="T2206" s="693">
        <f t="shared" si="288"/>
        <v>10545604</v>
      </c>
      <c r="U2206" s="1035"/>
      <c r="V2206" s="690"/>
      <c r="W2206" s="1025"/>
      <c r="X2206" s="1030"/>
      <c r="Y2206" s="694">
        <f t="shared" si="289"/>
        <v>0</v>
      </c>
      <c r="Z2206" s="690"/>
      <c r="AA2206" s="690"/>
      <c r="AB2206" s="695">
        <f t="shared" si="290"/>
        <v>0</v>
      </c>
      <c r="AC2206" s="1035"/>
      <c r="AD2206" s="690"/>
      <c r="AE2206" s="1025"/>
      <c r="AF2206" s="1030"/>
      <c r="AG2206" s="690"/>
      <c r="AH2206" s="690"/>
      <c r="AI2206" s="696">
        <f t="shared" si="291"/>
        <v>9498848</v>
      </c>
      <c r="AJ2206" s="697">
        <f t="shared" si="292"/>
        <v>10545604</v>
      </c>
    </row>
    <row r="2207" spans="1:36" s="700" customFormat="1" ht="12.75" customHeight="1">
      <c r="A2207" s="714" t="s">
        <v>214</v>
      </c>
      <c r="B2207" s="686" t="s">
        <v>392</v>
      </c>
      <c r="C2207" s="687" t="s">
        <v>1337</v>
      </c>
      <c r="D2207" s="687"/>
      <c r="E2207" s="933">
        <v>207740</v>
      </c>
      <c r="F2207" s="689">
        <v>10</v>
      </c>
      <c r="G2207" s="1025">
        <v>6122559</v>
      </c>
      <c r="H2207" s="690">
        <v>5812091</v>
      </c>
      <c r="I2207" s="1030"/>
      <c r="J2207" s="690"/>
      <c r="K2207" s="1030"/>
      <c r="L2207" s="690"/>
      <c r="M2207" s="1025">
        <v>3844528</v>
      </c>
      <c r="N2207" s="1030"/>
      <c r="O2207" s="692">
        <f t="shared" si="285"/>
        <v>3844528</v>
      </c>
      <c r="P2207" s="690">
        <v>4363533</v>
      </c>
      <c r="Q2207" s="690"/>
      <c r="R2207" s="691">
        <f t="shared" si="286"/>
        <v>4363533</v>
      </c>
      <c r="S2207" s="692">
        <f t="shared" si="287"/>
        <v>9967087</v>
      </c>
      <c r="T2207" s="693">
        <f t="shared" si="288"/>
        <v>10175624</v>
      </c>
      <c r="U2207" s="1035"/>
      <c r="V2207" s="690"/>
      <c r="W2207" s="1025"/>
      <c r="X2207" s="1030"/>
      <c r="Y2207" s="694">
        <f t="shared" si="289"/>
        <v>0</v>
      </c>
      <c r="Z2207" s="690"/>
      <c r="AA2207" s="690"/>
      <c r="AB2207" s="695">
        <f t="shared" si="290"/>
        <v>0</v>
      </c>
      <c r="AC2207" s="1035"/>
      <c r="AD2207" s="690"/>
      <c r="AE2207" s="1025"/>
      <c r="AF2207" s="1030"/>
      <c r="AG2207" s="690"/>
      <c r="AH2207" s="690"/>
      <c r="AI2207" s="696">
        <f t="shared" si="291"/>
        <v>9967087</v>
      </c>
      <c r="AJ2207" s="697">
        <f t="shared" si="292"/>
        <v>10175624</v>
      </c>
    </row>
    <row r="2208" spans="1:36" s="700" customFormat="1" ht="12.75" customHeight="1">
      <c r="A2208" s="714" t="s">
        <v>214</v>
      </c>
      <c r="B2208" s="686" t="s">
        <v>392</v>
      </c>
      <c r="C2208" s="687" t="s">
        <v>1338</v>
      </c>
      <c r="D2208" s="687"/>
      <c r="E2208" s="688">
        <v>208035</v>
      </c>
      <c r="F2208" s="689">
        <v>10</v>
      </c>
      <c r="G2208" s="1025">
        <v>5556026</v>
      </c>
      <c r="H2208" s="690">
        <v>5592907</v>
      </c>
      <c r="I2208" s="1030"/>
      <c r="J2208" s="690"/>
      <c r="K2208" s="1030"/>
      <c r="L2208" s="690"/>
      <c r="M2208" s="1025">
        <v>4210000</v>
      </c>
      <c r="N2208" s="1030"/>
      <c r="O2208" s="692">
        <f t="shared" si="285"/>
        <v>4210000</v>
      </c>
      <c r="P2208" s="690">
        <v>6065500</v>
      </c>
      <c r="Q2208" s="690"/>
      <c r="R2208" s="691">
        <f t="shared" si="286"/>
        <v>6065500</v>
      </c>
      <c r="S2208" s="692">
        <f t="shared" si="287"/>
        <v>9766026</v>
      </c>
      <c r="T2208" s="693">
        <f t="shared" si="288"/>
        <v>11658407</v>
      </c>
      <c r="U2208" s="1035"/>
      <c r="V2208" s="690"/>
      <c r="W2208" s="1025"/>
      <c r="X2208" s="1030"/>
      <c r="Y2208" s="694">
        <f t="shared" si="289"/>
        <v>0</v>
      </c>
      <c r="Z2208" s="690"/>
      <c r="AA2208" s="690"/>
      <c r="AB2208" s="695">
        <f t="shared" si="290"/>
        <v>0</v>
      </c>
      <c r="AC2208" s="1035"/>
      <c r="AD2208" s="690"/>
      <c r="AE2208" s="1025"/>
      <c r="AF2208" s="1030"/>
      <c r="AG2208" s="690"/>
      <c r="AH2208" s="690"/>
      <c r="AI2208" s="696">
        <f t="shared" si="291"/>
        <v>9766026</v>
      </c>
      <c r="AJ2208" s="697">
        <f t="shared" si="292"/>
        <v>11658407</v>
      </c>
    </row>
    <row r="2209" spans="1:36" s="700" customFormat="1" ht="12.75" customHeight="1">
      <c r="A2209" s="714" t="s">
        <v>214</v>
      </c>
      <c r="B2209" s="686" t="s">
        <v>401</v>
      </c>
      <c r="C2209" s="707" t="s">
        <v>838</v>
      </c>
      <c r="D2209" s="707"/>
      <c r="E2209" s="688"/>
      <c r="F2209" s="689"/>
      <c r="G2209" s="1025"/>
      <c r="H2209" s="690"/>
      <c r="I2209" s="1030"/>
      <c r="J2209" s="690"/>
      <c r="K2209" s="1030"/>
      <c r="L2209" s="690"/>
      <c r="M2209" s="1025"/>
      <c r="N2209" s="1030"/>
      <c r="O2209" s="692">
        <f t="shared" si="285"/>
        <v>0</v>
      </c>
      <c r="P2209" s="690"/>
      <c r="Q2209" s="690"/>
      <c r="R2209" s="691">
        <f t="shared" si="286"/>
        <v>0</v>
      </c>
      <c r="S2209" s="692">
        <f t="shared" si="287"/>
        <v>0</v>
      </c>
      <c r="T2209" s="693">
        <f t="shared" si="288"/>
        <v>0</v>
      </c>
      <c r="U2209" s="1035"/>
      <c r="V2209" s="690"/>
      <c r="W2209" s="1025"/>
      <c r="X2209" s="1030"/>
      <c r="Y2209" s="694">
        <f t="shared" si="289"/>
        <v>0</v>
      </c>
      <c r="Z2209" s="690"/>
      <c r="AA2209" s="690"/>
      <c r="AB2209" s="695">
        <f t="shared" si="290"/>
        <v>0</v>
      </c>
      <c r="AC2209" s="1035"/>
      <c r="AD2209" s="690"/>
      <c r="AE2209" s="1025"/>
      <c r="AF2209" s="1030"/>
      <c r="AG2209" s="690"/>
      <c r="AH2209" s="690"/>
      <c r="AI2209" s="696">
        <f t="shared" si="291"/>
        <v>0</v>
      </c>
      <c r="AJ2209" s="697">
        <f t="shared" si="292"/>
        <v>0</v>
      </c>
    </row>
    <row r="2210" spans="1:36" s="700" customFormat="1" ht="12.75" customHeight="1">
      <c r="A2210" s="714" t="s">
        <v>214</v>
      </c>
      <c r="B2210" s="714" t="s">
        <v>402</v>
      </c>
      <c r="C2210" s="699" t="s">
        <v>451</v>
      </c>
      <c r="D2210" s="699"/>
      <c r="E2210" s="688"/>
      <c r="F2210" s="689"/>
      <c r="G2210" s="1025"/>
      <c r="H2210" s="690"/>
      <c r="I2210" s="1030"/>
      <c r="J2210" s="690"/>
      <c r="K2210" s="1030"/>
      <c r="L2210" s="690"/>
      <c r="M2210" s="1025"/>
      <c r="N2210" s="1030"/>
      <c r="O2210" s="692">
        <f t="shared" si="285"/>
        <v>0</v>
      </c>
      <c r="P2210" s="690"/>
      <c r="Q2210" s="690"/>
      <c r="R2210" s="691">
        <f t="shared" si="286"/>
        <v>0</v>
      </c>
      <c r="S2210" s="692">
        <f t="shared" si="287"/>
        <v>0</v>
      </c>
      <c r="T2210" s="693">
        <f t="shared" si="288"/>
        <v>0</v>
      </c>
      <c r="U2210" s="1035"/>
      <c r="V2210" s="690"/>
      <c r="W2210" s="1025"/>
      <c r="X2210" s="1030"/>
      <c r="Y2210" s="694">
        <f t="shared" si="289"/>
        <v>0</v>
      </c>
      <c r="Z2210" s="690"/>
      <c r="AA2210" s="690"/>
      <c r="AB2210" s="695">
        <f t="shared" si="290"/>
        <v>0</v>
      </c>
      <c r="AC2210" s="1035"/>
      <c r="AD2210" s="690"/>
      <c r="AE2210" s="1025"/>
      <c r="AF2210" s="1030"/>
      <c r="AG2210" s="690"/>
      <c r="AH2210" s="690"/>
      <c r="AI2210" s="696">
        <f t="shared" si="291"/>
        <v>0</v>
      </c>
      <c r="AJ2210" s="697">
        <f t="shared" si="292"/>
        <v>0</v>
      </c>
    </row>
    <row r="2211" spans="1:36" s="700" customFormat="1" ht="12.75" customHeight="1">
      <c r="A2211" s="714" t="s">
        <v>214</v>
      </c>
      <c r="B2211" s="714" t="s">
        <v>402</v>
      </c>
      <c r="C2211" s="701" t="s">
        <v>1339</v>
      </c>
      <c r="D2211" s="701"/>
      <c r="E2211" s="688"/>
      <c r="F2211" s="689"/>
      <c r="G2211" s="1025"/>
      <c r="H2211" s="690"/>
      <c r="I2211" s="1030">
        <v>100348</v>
      </c>
      <c r="J2211" s="690">
        <v>98570</v>
      </c>
      <c r="K2211" s="1030"/>
      <c r="L2211" s="690"/>
      <c r="M2211" s="1025"/>
      <c r="N2211" s="1030"/>
      <c r="O2211" s="692">
        <f t="shared" si="285"/>
        <v>0</v>
      </c>
      <c r="P2211" s="690"/>
      <c r="Q2211" s="690"/>
      <c r="R2211" s="691">
        <f t="shared" si="286"/>
        <v>0</v>
      </c>
      <c r="S2211" s="692">
        <f t="shared" si="287"/>
        <v>100348</v>
      </c>
      <c r="T2211" s="693">
        <f t="shared" si="288"/>
        <v>98570</v>
      </c>
      <c r="U2211" s="1035"/>
      <c r="V2211" s="690"/>
      <c r="W2211" s="1025"/>
      <c r="X2211" s="1030"/>
      <c r="Y2211" s="694">
        <f t="shared" si="289"/>
        <v>0</v>
      </c>
      <c r="Z2211" s="690"/>
      <c r="AA2211" s="690"/>
      <c r="AB2211" s="695">
        <f t="shared" si="290"/>
        <v>0</v>
      </c>
      <c r="AC2211" s="1035"/>
      <c r="AD2211" s="690"/>
      <c r="AE2211" s="1025"/>
      <c r="AF2211" s="1030"/>
      <c r="AG2211" s="690"/>
      <c r="AH2211" s="690"/>
      <c r="AI2211" s="696">
        <f t="shared" si="291"/>
        <v>100348</v>
      </c>
      <c r="AJ2211" s="697">
        <f t="shared" si="292"/>
        <v>98570</v>
      </c>
    </row>
    <row r="2212" spans="1:36" s="700" customFormat="1" ht="12.75" customHeight="1">
      <c r="A2212" s="714" t="s">
        <v>214</v>
      </c>
      <c r="B2212" s="714" t="s">
        <v>431</v>
      </c>
      <c r="C2212" s="707" t="s">
        <v>1340</v>
      </c>
      <c r="D2212" s="707"/>
      <c r="E2212" s="688"/>
      <c r="F2212" s="689"/>
      <c r="G2212" s="1025"/>
      <c r="H2212" s="690"/>
      <c r="I2212" s="1030"/>
      <c r="J2212" s="690"/>
      <c r="K2212" s="1030"/>
      <c r="L2212" s="690"/>
      <c r="M2212" s="1025"/>
      <c r="N2212" s="1030"/>
      <c r="O2212" s="692">
        <f t="shared" si="285"/>
        <v>0</v>
      </c>
      <c r="P2212" s="690"/>
      <c r="Q2212" s="690"/>
      <c r="R2212" s="691">
        <f t="shared" si="286"/>
        <v>0</v>
      </c>
      <c r="S2212" s="692">
        <f t="shared" si="287"/>
        <v>0</v>
      </c>
      <c r="T2212" s="693">
        <f t="shared" si="288"/>
        <v>0</v>
      </c>
      <c r="U2212" s="1035"/>
      <c r="V2212" s="690"/>
      <c r="W2212" s="1025"/>
      <c r="X2212" s="1030"/>
      <c r="Y2212" s="694">
        <f t="shared" si="289"/>
        <v>0</v>
      </c>
      <c r="Z2212" s="690"/>
      <c r="AA2212" s="690"/>
      <c r="AB2212" s="695">
        <f t="shared" si="290"/>
        <v>0</v>
      </c>
      <c r="AC2212" s="1035"/>
      <c r="AD2212" s="690"/>
      <c r="AE2212" s="1025"/>
      <c r="AF2212" s="1030"/>
      <c r="AG2212" s="690"/>
      <c r="AH2212" s="690"/>
      <c r="AI2212" s="696">
        <f t="shared" si="291"/>
        <v>0</v>
      </c>
      <c r="AJ2212" s="697">
        <f t="shared" si="292"/>
        <v>0</v>
      </c>
    </row>
    <row r="2213" spans="1:36" s="700" customFormat="1" ht="12.75" customHeight="1">
      <c r="A2213" s="714" t="s">
        <v>214</v>
      </c>
      <c r="B2213" s="714" t="s">
        <v>431</v>
      </c>
      <c r="C2213" s="701" t="s">
        <v>1341</v>
      </c>
      <c r="D2213" s="701"/>
      <c r="E2213" s="688"/>
      <c r="F2213" s="689"/>
      <c r="G2213" s="1025"/>
      <c r="H2213" s="690"/>
      <c r="I2213" s="1030">
        <v>723982</v>
      </c>
      <c r="J2213" s="690">
        <v>680063</v>
      </c>
      <c r="K2213" s="1030"/>
      <c r="L2213" s="690"/>
      <c r="M2213" s="1025"/>
      <c r="N2213" s="1030"/>
      <c r="O2213" s="692">
        <f t="shared" si="285"/>
        <v>0</v>
      </c>
      <c r="P2213" s="690"/>
      <c r="Q2213" s="690"/>
      <c r="R2213" s="691">
        <f t="shared" si="286"/>
        <v>0</v>
      </c>
      <c r="S2213" s="692">
        <f t="shared" si="287"/>
        <v>723982</v>
      </c>
      <c r="T2213" s="693">
        <f t="shared" si="288"/>
        <v>680063</v>
      </c>
      <c r="U2213" s="1035"/>
      <c r="V2213" s="690"/>
      <c r="W2213" s="1025"/>
      <c r="X2213" s="1030"/>
      <c r="Y2213" s="694">
        <f t="shared" si="289"/>
        <v>0</v>
      </c>
      <c r="Z2213" s="690"/>
      <c r="AA2213" s="690"/>
      <c r="AB2213" s="695">
        <f t="shared" si="290"/>
        <v>0</v>
      </c>
      <c r="AC2213" s="1035"/>
      <c r="AD2213" s="690"/>
      <c r="AE2213" s="1025"/>
      <c r="AF2213" s="1030"/>
      <c r="AG2213" s="690"/>
      <c r="AH2213" s="690"/>
      <c r="AI2213" s="696">
        <f t="shared" si="291"/>
        <v>723982</v>
      </c>
      <c r="AJ2213" s="697">
        <f t="shared" si="292"/>
        <v>680063</v>
      </c>
    </row>
    <row r="2214" spans="1:36" s="700" customFormat="1" ht="12.75" customHeight="1">
      <c r="A2214" s="714" t="s">
        <v>214</v>
      </c>
      <c r="B2214" s="714" t="s">
        <v>431</v>
      </c>
      <c r="C2214" s="701" t="s">
        <v>1342</v>
      </c>
      <c r="D2214" s="701"/>
      <c r="E2214" s="688"/>
      <c r="F2214" s="689"/>
      <c r="G2214" s="1025"/>
      <c r="H2214" s="690"/>
      <c r="I2214" s="1030">
        <v>27038</v>
      </c>
      <c r="J2214" s="690">
        <v>26559</v>
      </c>
      <c r="K2214" s="1030"/>
      <c r="L2214" s="690"/>
      <c r="M2214" s="1025"/>
      <c r="N2214" s="1030"/>
      <c r="O2214" s="692">
        <f t="shared" si="285"/>
        <v>0</v>
      </c>
      <c r="P2214" s="690"/>
      <c r="Q2214" s="690"/>
      <c r="R2214" s="691">
        <f t="shared" si="286"/>
        <v>0</v>
      </c>
      <c r="S2214" s="692">
        <f t="shared" si="287"/>
        <v>27038</v>
      </c>
      <c r="T2214" s="693">
        <f t="shared" si="288"/>
        <v>26559</v>
      </c>
      <c r="U2214" s="1035"/>
      <c r="V2214" s="690"/>
      <c r="W2214" s="1025"/>
      <c r="X2214" s="1030"/>
      <c r="Y2214" s="694">
        <f t="shared" si="289"/>
        <v>0</v>
      </c>
      <c r="Z2214" s="690"/>
      <c r="AA2214" s="690"/>
      <c r="AB2214" s="695">
        <f t="shared" si="290"/>
        <v>0</v>
      </c>
      <c r="AC2214" s="1035"/>
      <c r="AD2214" s="690"/>
      <c r="AE2214" s="1025"/>
      <c r="AF2214" s="1030"/>
      <c r="AG2214" s="690"/>
      <c r="AH2214" s="690"/>
      <c r="AI2214" s="696">
        <f t="shared" si="291"/>
        <v>27038</v>
      </c>
      <c r="AJ2214" s="697">
        <f t="shared" si="292"/>
        <v>26559</v>
      </c>
    </row>
    <row r="2215" spans="1:36" s="700" customFormat="1" ht="12.75" customHeight="1">
      <c r="A2215" s="714" t="s">
        <v>214</v>
      </c>
      <c r="B2215" s="714" t="s">
        <v>431</v>
      </c>
      <c r="C2215" s="701" t="s">
        <v>1343</v>
      </c>
      <c r="D2215" s="701"/>
      <c r="E2215" s="688"/>
      <c r="F2215" s="689"/>
      <c r="G2215" s="1025"/>
      <c r="H2215" s="690"/>
      <c r="I2215" s="1030">
        <v>1666222</v>
      </c>
      <c r="J2215" s="690">
        <v>1652194</v>
      </c>
      <c r="K2215" s="1030"/>
      <c r="L2215" s="690"/>
      <c r="M2215" s="1025"/>
      <c r="N2215" s="1030"/>
      <c r="O2215" s="692">
        <f t="shared" si="285"/>
        <v>0</v>
      </c>
      <c r="P2215" s="690"/>
      <c r="Q2215" s="690"/>
      <c r="R2215" s="691">
        <f t="shared" si="286"/>
        <v>0</v>
      </c>
      <c r="S2215" s="692">
        <f t="shared" si="287"/>
        <v>1666222</v>
      </c>
      <c r="T2215" s="693">
        <f t="shared" si="288"/>
        <v>1652194</v>
      </c>
      <c r="U2215" s="1035"/>
      <c r="V2215" s="690"/>
      <c r="W2215" s="1025"/>
      <c r="X2215" s="1030"/>
      <c r="Y2215" s="694">
        <f t="shared" si="289"/>
        <v>0</v>
      </c>
      <c r="Z2215" s="690"/>
      <c r="AA2215" s="690"/>
      <c r="AB2215" s="695">
        <f t="shared" si="290"/>
        <v>0</v>
      </c>
      <c r="AC2215" s="1035"/>
      <c r="AD2215" s="690"/>
      <c r="AE2215" s="1025"/>
      <c r="AF2215" s="1030"/>
      <c r="AG2215" s="690"/>
      <c r="AH2215" s="690"/>
      <c r="AI2215" s="696">
        <f t="shared" si="291"/>
        <v>1666222</v>
      </c>
      <c r="AJ2215" s="697">
        <f t="shared" si="292"/>
        <v>1652194</v>
      </c>
    </row>
    <row r="2216" spans="1:36" s="700" customFormat="1" ht="12.75" customHeight="1">
      <c r="A2216" s="714" t="s">
        <v>214</v>
      </c>
      <c r="B2216" s="714" t="s">
        <v>431</v>
      </c>
      <c r="C2216" s="701" t="s">
        <v>1344</v>
      </c>
      <c r="D2216" s="701"/>
      <c r="E2216" s="688"/>
      <c r="F2216" s="689"/>
      <c r="G2216" s="1025"/>
      <c r="H2216" s="690"/>
      <c r="I2216" s="1030">
        <v>305882</v>
      </c>
      <c r="J2216" s="690">
        <v>300463</v>
      </c>
      <c r="K2216" s="1030"/>
      <c r="L2216" s="690"/>
      <c r="M2216" s="1025"/>
      <c r="N2216" s="1030"/>
      <c r="O2216" s="692">
        <f t="shared" si="285"/>
        <v>0</v>
      </c>
      <c r="P2216" s="690"/>
      <c r="Q2216" s="690"/>
      <c r="R2216" s="691">
        <f t="shared" si="286"/>
        <v>0</v>
      </c>
      <c r="S2216" s="692">
        <f t="shared" si="287"/>
        <v>305882</v>
      </c>
      <c r="T2216" s="693">
        <f t="shared" si="288"/>
        <v>300463</v>
      </c>
      <c r="U2216" s="1035"/>
      <c r="V2216" s="690"/>
      <c r="W2216" s="1025"/>
      <c r="X2216" s="1030"/>
      <c r="Y2216" s="694">
        <f t="shared" si="289"/>
        <v>0</v>
      </c>
      <c r="Z2216" s="690"/>
      <c r="AA2216" s="690"/>
      <c r="AB2216" s="695">
        <f t="shared" si="290"/>
        <v>0</v>
      </c>
      <c r="AC2216" s="1035"/>
      <c r="AD2216" s="690"/>
      <c r="AE2216" s="1025"/>
      <c r="AF2216" s="1030"/>
      <c r="AG2216" s="690"/>
      <c r="AH2216" s="690"/>
      <c r="AI2216" s="696">
        <f t="shared" si="291"/>
        <v>305882</v>
      </c>
      <c r="AJ2216" s="697">
        <f t="shared" si="292"/>
        <v>300463</v>
      </c>
    </row>
    <row r="2217" spans="1:36" s="700" customFormat="1" ht="12.75" customHeight="1">
      <c r="A2217" s="714" t="s">
        <v>214</v>
      </c>
      <c r="B2217" s="714" t="s">
        <v>431</v>
      </c>
      <c r="C2217" s="701" t="s">
        <v>1345</v>
      </c>
      <c r="D2217" s="701"/>
      <c r="E2217" s="688"/>
      <c r="F2217" s="689"/>
      <c r="G2217" s="1025"/>
      <c r="H2217" s="690"/>
      <c r="I2217" s="1030">
        <v>8604500</v>
      </c>
      <c r="J2217" s="690">
        <v>8049149</v>
      </c>
      <c r="K2217" s="1030"/>
      <c r="L2217" s="690"/>
      <c r="M2217" s="1025"/>
      <c r="N2217" s="1030"/>
      <c r="O2217" s="692">
        <f t="shared" si="285"/>
        <v>0</v>
      </c>
      <c r="P2217" s="690"/>
      <c r="Q2217" s="690"/>
      <c r="R2217" s="691">
        <f t="shared" si="286"/>
        <v>0</v>
      </c>
      <c r="S2217" s="692">
        <f t="shared" si="287"/>
        <v>8604500</v>
      </c>
      <c r="T2217" s="693">
        <f t="shared" si="288"/>
        <v>8049149</v>
      </c>
      <c r="U2217" s="1035"/>
      <c r="V2217" s="690"/>
      <c r="W2217" s="1025"/>
      <c r="X2217" s="1030"/>
      <c r="Y2217" s="694">
        <f t="shared" si="289"/>
        <v>0</v>
      </c>
      <c r="Z2217" s="690"/>
      <c r="AA2217" s="690"/>
      <c r="AB2217" s="695">
        <f t="shared" si="290"/>
        <v>0</v>
      </c>
      <c r="AC2217" s="1035"/>
      <c r="AD2217" s="690"/>
      <c r="AE2217" s="1025"/>
      <c r="AF2217" s="1030"/>
      <c r="AG2217" s="690"/>
      <c r="AH2217" s="690"/>
      <c r="AI2217" s="696">
        <f t="shared" si="291"/>
        <v>8604500</v>
      </c>
      <c r="AJ2217" s="697">
        <f t="shared" si="292"/>
        <v>8049149</v>
      </c>
    </row>
    <row r="2218" spans="1:36" s="700" customFormat="1" ht="12.75" customHeight="1">
      <c r="A2218" s="714" t="s">
        <v>214</v>
      </c>
      <c r="B2218" s="714" t="s">
        <v>431</v>
      </c>
      <c r="C2218" s="701" t="s">
        <v>1346</v>
      </c>
      <c r="D2218" s="701"/>
      <c r="E2218" s="688"/>
      <c r="F2218" s="689"/>
      <c r="G2218" s="1025"/>
      <c r="H2218" s="690"/>
      <c r="I2218" s="1030">
        <v>418372</v>
      </c>
      <c r="J2218" s="690">
        <v>410960</v>
      </c>
      <c r="K2218" s="1030"/>
      <c r="L2218" s="690"/>
      <c r="M2218" s="1025"/>
      <c r="N2218" s="1030"/>
      <c r="O2218" s="692">
        <f t="shared" si="285"/>
        <v>0</v>
      </c>
      <c r="P2218" s="690"/>
      <c r="Q2218" s="690"/>
      <c r="R2218" s="691">
        <f t="shared" si="286"/>
        <v>0</v>
      </c>
      <c r="S2218" s="692">
        <f t="shared" si="287"/>
        <v>418372</v>
      </c>
      <c r="T2218" s="693">
        <f t="shared" si="288"/>
        <v>410960</v>
      </c>
      <c r="U2218" s="1035"/>
      <c r="V2218" s="690"/>
      <c r="W2218" s="1025"/>
      <c r="X2218" s="1030"/>
      <c r="Y2218" s="694">
        <f t="shared" si="289"/>
        <v>0</v>
      </c>
      <c r="Z2218" s="690"/>
      <c r="AA2218" s="690"/>
      <c r="AB2218" s="695">
        <f t="shared" si="290"/>
        <v>0</v>
      </c>
      <c r="AC2218" s="1035"/>
      <c r="AD2218" s="690"/>
      <c r="AE2218" s="1025"/>
      <c r="AF2218" s="1030"/>
      <c r="AG2218" s="690"/>
      <c r="AH2218" s="690"/>
      <c r="AI2218" s="696">
        <f t="shared" si="291"/>
        <v>418372</v>
      </c>
      <c r="AJ2218" s="697">
        <f t="shared" si="292"/>
        <v>410960</v>
      </c>
    </row>
    <row r="2219" spans="1:36" s="700" customFormat="1" ht="12.75" customHeight="1">
      <c r="A2219" s="714" t="s">
        <v>214</v>
      </c>
      <c r="B2219" s="714" t="s">
        <v>431</v>
      </c>
      <c r="C2219" s="701" t="s">
        <v>1347</v>
      </c>
      <c r="D2219" s="701"/>
      <c r="E2219" s="688"/>
      <c r="F2219" s="689"/>
      <c r="G2219" s="1025"/>
      <c r="H2219" s="690"/>
      <c r="I2219" s="1030">
        <v>3145116</v>
      </c>
      <c r="J2219" s="690">
        <v>3089398</v>
      </c>
      <c r="K2219" s="1030"/>
      <c r="L2219" s="690"/>
      <c r="M2219" s="1025"/>
      <c r="N2219" s="1030"/>
      <c r="O2219" s="692">
        <f t="shared" si="285"/>
        <v>0</v>
      </c>
      <c r="P2219" s="690"/>
      <c r="Q2219" s="690"/>
      <c r="R2219" s="691">
        <f t="shared" si="286"/>
        <v>0</v>
      </c>
      <c r="S2219" s="692">
        <f t="shared" si="287"/>
        <v>3145116</v>
      </c>
      <c r="T2219" s="693">
        <f t="shared" si="288"/>
        <v>3089398</v>
      </c>
      <c r="U2219" s="1035"/>
      <c r="V2219" s="690"/>
      <c r="W2219" s="1025"/>
      <c r="X2219" s="1030"/>
      <c r="Y2219" s="694">
        <f t="shared" si="289"/>
        <v>0</v>
      </c>
      <c r="Z2219" s="690"/>
      <c r="AA2219" s="690"/>
      <c r="AB2219" s="695">
        <f t="shared" si="290"/>
        <v>0</v>
      </c>
      <c r="AC2219" s="1035"/>
      <c r="AD2219" s="690"/>
      <c r="AE2219" s="1025"/>
      <c r="AF2219" s="1030"/>
      <c r="AG2219" s="690"/>
      <c r="AH2219" s="690"/>
      <c r="AI2219" s="696">
        <f t="shared" si="291"/>
        <v>3145116</v>
      </c>
      <c r="AJ2219" s="697">
        <f t="shared" si="292"/>
        <v>3089398</v>
      </c>
    </row>
    <row r="2220" spans="1:36" s="700" customFormat="1" ht="12.75" customHeight="1">
      <c r="A2220" s="714" t="s">
        <v>214</v>
      </c>
      <c r="B2220" s="714" t="s">
        <v>431</v>
      </c>
      <c r="C2220" s="701" t="s">
        <v>1348</v>
      </c>
      <c r="D2220" s="701"/>
      <c r="E2220" s="688"/>
      <c r="F2220" s="689"/>
      <c r="G2220" s="1025"/>
      <c r="H2220" s="690"/>
      <c r="I2220" s="1030">
        <v>1174710</v>
      </c>
      <c r="J2220" s="690">
        <v>1153899</v>
      </c>
      <c r="K2220" s="1030"/>
      <c r="L2220" s="690"/>
      <c r="M2220" s="1025"/>
      <c r="N2220" s="1030"/>
      <c r="O2220" s="692">
        <f t="shared" si="285"/>
        <v>0</v>
      </c>
      <c r="P2220" s="690"/>
      <c r="Q2220" s="690"/>
      <c r="R2220" s="691">
        <f t="shared" si="286"/>
        <v>0</v>
      </c>
      <c r="S2220" s="692">
        <f t="shared" si="287"/>
        <v>1174710</v>
      </c>
      <c r="T2220" s="693">
        <f t="shared" si="288"/>
        <v>1153899</v>
      </c>
      <c r="U2220" s="1035"/>
      <c r="V2220" s="690"/>
      <c r="W2220" s="1025"/>
      <c r="X2220" s="1030"/>
      <c r="Y2220" s="694">
        <f t="shared" si="289"/>
        <v>0</v>
      </c>
      <c r="Z2220" s="690"/>
      <c r="AA2220" s="690"/>
      <c r="AB2220" s="695">
        <f t="shared" si="290"/>
        <v>0</v>
      </c>
      <c r="AC2220" s="1035"/>
      <c r="AD2220" s="690"/>
      <c r="AE2220" s="1025"/>
      <c r="AF2220" s="1030"/>
      <c r="AG2220" s="690"/>
      <c r="AH2220" s="690"/>
      <c r="AI2220" s="696">
        <f t="shared" si="291"/>
        <v>1174710</v>
      </c>
      <c r="AJ2220" s="697">
        <f t="shared" si="292"/>
        <v>1153899</v>
      </c>
    </row>
    <row r="2221" spans="1:36" s="700" customFormat="1" ht="12.75" customHeight="1">
      <c r="A2221" s="714" t="s">
        <v>214</v>
      </c>
      <c r="B2221" s="714" t="s">
        <v>431</v>
      </c>
      <c r="C2221" s="701" t="s">
        <v>1349</v>
      </c>
      <c r="D2221" s="701"/>
      <c r="E2221" s="688"/>
      <c r="F2221" s="689"/>
      <c r="G2221" s="1025"/>
      <c r="H2221" s="690"/>
      <c r="I2221" s="1030">
        <v>73229</v>
      </c>
      <c r="J2221" s="690">
        <v>71932</v>
      </c>
      <c r="K2221" s="1030"/>
      <c r="L2221" s="690"/>
      <c r="M2221" s="1025"/>
      <c r="N2221" s="1030"/>
      <c r="O2221" s="692">
        <f t="shared" si="285"/>
        <v>0</v>
      </c>
      <c r="P2221" s="690"/>
      <c r="Q2221" s="690"/>
      <c r="R2221" s="691">
        <f t="shared" si="286"/>
        <v>0</v>
      </c>
      <c r="S2221" s="692">
        <f t="shared" si="287"/>
        <v>73229</v>
      </c>
      <c r="T2221" s="693">
        <f t="shared" si="288"/>
        <v>71932</v>
      </c>
      <c r="U2221" s="1035"/>
      <c r="V2221" s="690"/>
      <c r="W2221" s="1025"/>
      <c r="X2221" s="1030"/>
      <c r="Y2221" s="694">
        <f t="shared" si="289"/>
        <v>0</v>
      </c>
      <c r="Z2221" s="690"/>
      <c r="AA2221" s="690"/>
      <c r="AB2221" s="695">
        <f t="shared" si="290"/>
        <v>0</v>
      </c>
      <c r="AC2221" s="1035"/>
      <c r="AD2221" s="690"/>
      <c r="AE2221" s="1025"/>
      <c r="AF2221" s="1030"/>
      <c r="AG2221" s="690"/>
      <c r="AH2221" s="690"/>
      <c r="AI2221" s="696">
        <f t="shared" si="291"/>
        <v>73229</v>
      </c>
      <c r="AJ2221" s="697">
        <f t="shared" si="292"/>
        <v>71932</v>
      </c>
    </row>
    <row r="2222" spans="1:36" s="700" customFormat="1" ht="12.75" customHeight="1">
      <c r="A2222" s="714" t="s">
        <v>214</v>
      </c>
      <c r="B2222" s="714" t="s">
        <v>409</v>
      </c>
      <c r="C2222" s="707" t="s">
        <v>157</v>
      </c>
      <c r="D2222" s="707"/>
      <c r="E2222" s="688"/>
      <c r="F2222" s="689"/>
      <c r="G2222" s="1025"/>
      <c r="H2222" s="690"/>
      <c r="I2222" s="1030"/>
      <c r="J2222" s="690"/>
      <c r="K2222" s="1030"/>
      <c r="L2222" s="690"/>
      <c r="M2222" s="1025"/>
      <c r="N2222" s="1030"/>
      <c r="O2222" s="692">
        <f t="shared" si="285"/>
        <v>0</v>
      </c>
      <c r="P2222" s="690"/>
      <c r="Q2222" s="690"/>
      <c r="R2222" s="691">
        <f t="shared" si="286"/>
        <v>0</v>
      </c>
      <c r="S2222" s="692">
        <f t="shared" si="287"/>
        <v>0</v>
      </c>
      <c r="T2222" s="693">
        <f t="shared" si="288"/>
        <v>0</v>
      </c>
      <c r="U2222" s="1035"/>
      <c r="V2222" s="690"/>
      <c r="W2222" s="1025"/>
      <c r="X2222" s="1030"/>
      <c r="Y2222" s="694">
        <f t="shared" si="289"/>
        <v>0</v>
      </c>
      <c r="Z2222" s="690"/>
      <c r="AA2222" s="690"/>
      <c r="AB2222" s="695">
        <f t="shared" si="290"/>
        <v>0</v>
      </c>
      <c r="AC2222" s="1035"/>
      <c r="AD2222" s="690"/>
      <c r="AE2222" s="1025"/>
      <c r="AF2222" s="1030"/>
      <c r="AG2222" s="690"/>
      <c r="AH2222" s="690"/>
      <c r="AI2222" s="696">
        <f t="shared" si="291"/>
        <v>0</v>
      </c>
      <c r="AJ2222" s="697">
        <f t="shared" si="292"/>
        <v>0</v>
      </c>
    </row>
    <row r="2223" spans="1:36" s="700" customFormat="1" ht="12.75" customHeight="1">
      <c r="A2223" s="714" t="s">
        <v>214</v>
      </c>
      <c r="B2223" s="714" t="s">
        <v>410</v>
      </c>
      <c r="C2223" s="699" t="s">
        <v>200</v>
      </c>
      <c r="D2223" s="699"/>
      <c r="E2223" s="688"/>
      <c r="F2223" s="689"/>
      <c r="G2223" s="1025"/>
      <c r="H2223" s="690"/>
      <c r="I2223" s="1030"/>
      <c r="J2223" s="690"/>
      <c r="K2223" s="1030"/>
      <c r="L2223" s="690"/>
      <c r="M2223" s="1025"/>
      <c r="N2223" s="1030"/>
      <c r="O2223" s="692">
        <f t="shared" si="285"/>
        <v>0</v>
      </c>
      <c r="P2223" s="690"/>
      <c r="Q2223" s="690"/>
      <c r="R2223" s="691">
        <f t="shared" si="286"/>
        <v>0</v>
      </c>
      <c r="S2223" s="692">
        <f t="shared" si="287"/>
        <v>0</v>
      </c>
      <c r="T2223" s="693">
        <f t="shared" si="288"/>
        <v>0</v>
      </c>
      <c r="U2223" s="1035"/>
      <c r="V2223" s="690"/>
      <c r="W2223" s="1025"/>
      <c r="X2223" s="1030"/>
      <c r="Y2223" s="694">
        <f t="shared" si="289"/>
        <v>0</v>
      </c>
      <c r="Z2223" s="690"/>
      <c r="AA2223" s="690"/>
      <c r="AB2223" s="695">
        <f t="shared" si="290"/>
        <v>0</v>
      </c>
      <c r="AC2223" s="1035"/>
      <c r="AD2223" s="690"/>
      <c r="AE2223" s="1025"/>
      <c r="AF2223" s="1030"/>
      <c r="AG2223" s="690"/>
      <c r="AH2223" s="690"/>
      <c r="AI2223" s="696">
        <f t="shared" si="291"/>
        <v>0</v>
      </c>
      <c r="AJ2223" s="697">
        <f t="shared" si="292"/>
        <v>0</v>
      </c>
    </row>
    <row r="2224" spans="1:36" s="700" customFormat="1" ht="12.75" customHeight="1">
      <c r="A2224" s="714" t="s">
        <v>214</v>
      </c>
      <c r="B2224" s="714" t="s">
        <v>410</v>
      </c>
      <c r="C2224" s="701" t="s">
        <v>1350</v>
      </c>
      <c r="D2224" s="701"/>
      <c r="E2224" s="688"/>
      <c r="F2224" s="689"/>
      <c r="G2224" s="1025"/>
      <c r="H2224" s="690"/>
      <c r="I2224" s="1030"/>
      <c r="J2224" s="690"/>
      <c r="K2224" s="1030"/>
      <c r="L2224" s="690"/>
      <c r="M2224" s="1025"/>
      <c r="N2224" s="1030"/>
      <c r="O2224" s="692">
        <f t="shared" si="285"/>
        <v>0</v>
      </c>
      <c r="P2224" s="690"/>
      <c r="Q2224" s="690"/>
      <c r="R2224" s="691">
        <f t="shared" si="286"/>
        <v>0</v>
      </c>
      <c r="S2224" s="692">
        <f t="shared" si="287"/>
        <v>0</v>
      </c>
      <c r="T2224" s="693">
        <f t="shared" si="288"/>
        <v>0</v>
      </c>
      <c r="U2224" s="1035">
        <v>10822435</v>
      </c>
      <c r="V2224" s="690">
        <f>7193982+1611362+1197671+648572</f>
        <v>10651587</v>
      </c>
      <c r="W2224" s="1025"/>
      <c r="X2224" s="1030"/>
      <c r="Y2224" s="694">
        <f t="shared" si="289"/>
        <v>0</v>
      </c>
      <c r="Z2224" s="690"/>
      <c r="AA2224" s="690"/>
      <c r="AB2224" s="695">
        <f t="shared" si="290"/>
        <v>0</v>
      </c>
      <c r="AC2224" s="1035"/>
      <c r="AD2224" s="690"/>
      <c r="AE2224" s="1025"/>
      <c r="AF2224" s="1030"/>
      <c r="AG2224" s="690"/>
      <c r="AH2224" s="690"/>
      <c r="AI2224" s="696">
        <f t="shared" si="291"/>
        <v>10822435</v>
      </c>
      <c r="AJ2224" s="697">
        <f t="shared" si="292"/>
        <v>10651587</v>
      </c>
    </row>
    <row r="2225" spans="1:36" s="700" customFormat="1" ht="12.75" customHeight="1">
      <c r="A2225" s="714" t="s">
        <v>214</v>
      </c>
      <c r="B2225" s="714" t="s">
        <v>410</v>
      </c>
      <c r="C2225" s="701" t="s">
        <v>1351</v>
      </c>
      <c r="D2225" s="701"/>
      <c r="E2225" s="688"/>
      <c r="F2225" s="689"/>
      <c r="G2225" s="1025"/>
      <c r="H2225" s="690"/>
      <c r="I2225" s="1030"/>
      <c r="J2225" s="690"/>
      <c r="K2225" s="1030"/>
      <c r="L2225" s="690"/>
      <c r="M2225" s="1025"/>
      <c r="N2225" s="1030"/>
      <c r="O2225" s="692">
        <f t="shared" si="285"/>
        <v>0</v>
      </c>
      <c r="P2225" s="690"/>
      <c r="Q2225" s="690"/>
      <c r="R2225" s="691">
        <f t="shared" si="286"/>
        <v>0</v>
      </c>
      <c r="S2225" s="692">
        <f t="shared" si="287"/>
        <v>0</v>
      </c>
      <c r="T2225" s="693">
        <f t="shared" si="288"/>
        <v>0</v>
      </c>
      <c r="U2225" s="1035"/>
      <c r="V2225" s="690"/>
      <c r="W2225" s="1025"/>
      <c r="X2225" s="1030"/>
      <c r="Y2225" s="694">
        <f t="shared" si="289"/>
        <v>0</v>
      </c>
      <c r="Z2225" s="690"/>
      <c r="AA2225" s="690"/>
      <c r="AB2225" s="695">
        <f t="shared" si="290"/>
        <v>0</v>
      </c>
      <c r="AC2225" s="1035"/>
      <c r="AD2225" s="690"/>
      <c r="AE2225" s="1025"/>
      <c r="AF2225" s="1030"/>
      <c r="AG2225" s="690"/>
      <c r="AH2225" s="690"/>
      <c r="AI2225" s="696">
        <f t="shared" si="291"/>
        <v>0</v>
      </c>
      <c r="AJ2225" s="697">
        <f t="shared" si="292"/>
        <v>0</v>
      </c>
    </row>
    <row r="2226" spans="1:36" s="700" customFormat="1" ht="12.75" customHeight="1">
      <c r="A2226" s="714" t="s">
        <v>214</v>
      </c>
      <c r="B2226" s="714" t="s">
        <v>411</v>
      </c>
      <c r="C2226" s="699" t="s">
        <v>199</v>
      </c>
      <c r="D2226" s="699"/>
      <c r="E2226" s="688"/>
      <c r="F2226" s="689"/>
      <c r="G2226" s="1025"/>
      <c r="H2226" s="690"/>
      <c r="I2226" s="1030"/>
      <c r="J2226" s="690"/>
      <c r="K2226" s="1030"/>
      <c r="L2226" s="690"/>
      <c r="M2226" s="1025"/>
      <c r="N2226" s="1030"/>
      <c r="O2226" s="692">
        <f t="shared" si="285"/>
        <v>0</v>
      </c>
      <c r="P2226" s="690"/>
      <c r="Q2226" s="690"/>
      <c r="R2226" s="691">
        <f t="shared" si="286"/>
        <v>0</v>
      </c>
      <c r="S2226" s="692">
        <f t="shared" si="287"/>
        <v>0</v>
      </c>
      <c r="T2226" s="693">
        <f t="shared" si="288"/>
        <v>0</v>
      </c>
      <c r="U2226" s="1035"/>
      <c r="V2226" s="690"/>
      <c r="W2226" s="1025"/>
      <c r="X2226" s="1030"/>
      <c r="Y2226" s="694">
        <f t="shared" si="289"/>
        <v>0</v>
      </c>
      <c r="Z2226" s="690"/>
      <c r="AA2226" s="690"/>
      <c r="AB2226" s="695">
        <f t="shared" si="290"/>
        <v>0</v>
      </c>
      <c r="AC2226" s="1035"/>
      <c r="AD2226" s="690"/>
      <c r="AE2226" s="1025"/>
      <c r="AF2226" s="1030"/>
      <c r="AG2226" s="690"/>
      <c r="AH2226" s="690"/>
      <c r="AI2226" s="696">
        <f t="shared" si="291"/>
        <v>0</v>
      </c>
      <c r="AJ2226" s="697">
        <f t="shared" si="292"/>
        <v>0</v>
      </c>
    </row>
    <row r="2227" spans="1:36" s="700" customFormat="1" ht="12.75" customHeight="1">
      <c r="A2227" s="714" t="s">
        <v>214</v>
      </c>
      <c r="B2227" s="714" t="s">
        <v>412</v>
      </c>
      <c r="C2227" s="699" t="s">
        <v>198</v>
      </c>
      <c r="D2227" s="699"/>
      <c r="E2227" s="688"/>
      <c r="F2227" s="689"/>
      <c r="G2227" s="1025"/>
      <c r="H2227" s="690"/>
      <c r="I2227" s="1030"/>
      <c r="J2227" s="690"/>
      <c r="K2227" s="1030"/>
      <c r="L2227" s="690"/>
      <c r="M2227" s="1025"/>
      <c r="N2227" s="1030"/>
      <c r="O2227" s="692">
        <f t="shared" si="285"/>
        <v>0</v>
      </c>
      <c r="P2227" s="690"/>
      <c r="Q2227" s="690"/>
      <c r="R2227" s="691">
        <f t="shared" si="286"/>
        <v>0</v>
      </c>
      <c r="S2227" s="692">
        <f t="shared" si="287"/>
        <v>0</v>
      </c>
      <c r="T2227" s="693">
        <f t="shared" si="288"/>
        <v>0</v>
      </c>
      <c r="U2227" s="1035"/>
      <c r="V2227" s="690"/>
      <c r="W2227" s="1025"/>
      <c r="X2227" s="1030"/>
      <c r="Y2227" s="694">
        <f t="shared" si="289"/>
        <v>0</v>
      </c>
      <c r="Z2227" s="690"/>
      <c r="AA2227" s="690"/>
      <c r="AB2227" s="695">
        <f t="shared" si="290"/>
        <v>0</v>
      </c>
      <c r="AC2227" s="1035"/>
      <c r="AD2227" s="690"/>
      <c r="AE2227" s="1025"/>
      <c r="AF2227" s="1030"/>
      <c r="AG2227" s="690"/>
      <c r="AH2227" s="690"/>
      <c r="AI2227" s="696">
        <f t="shared" si="291"/>
        <v>0</v>
      </c>
      <c r="AJ2227" s="697">
        <f t="shared" si="292"/>
        <v>0</v>
      </c>
    </row>
    <row r="2228" spans="1:36" s="700" customFormat="1" ht="12.75" customHeight="1">
      <c r="A2228" s="714" t="s">
        <v>214</v>
      </c>
      <c r="B2228" s="714" t="s">
        <v>412</v>
      </c>
      <c r="C2228" s="701" t="s">
        <v>1352</v>
      </c>
      <c r="D2228" s="701"/>
      <c r="E2228" s="688"/>
      <c r="F2228" s="689"/>
      <c r="G2228" s="1025"/>
      <c r="H2228" s="690"/>
      <c r="I2228" s="1030"/>
      <c r="J2228" s="690"/>
      <c r="K2228" s="1030"/>
      <c r="L2228" s="690"/>
      <c r="M2228" s="1025"/>
      <c r="N2228" s="1030"/>
      <c r="O2228" s="692">
        <f t="shared" si="285"/>
        <v>0</v>
      </c>
      <c r="P2228" s="690"/>
      <c r="Q2228" s="690"/>
      <c r="R2228" s="691">
        <f t="shared" si="286"/>
        <v>0</v>
      </c>
      <c r="S2228" s="692">
        <f t="shared" si="287"/>
        <v>0</v>
      </c>
      <c r="T2228" s="693">
        <f t="shared" si="288"/>
        <v>0</v>
      </c>
      <c r="U2228" s="1035"/>
      <c r="V2228" s="690"/>
      <c r="W2228" s="1025"/>
      <c r="X2228" s="1030"/>
      <c r="Y2228" s="694">
        <f t="shared" si="289"/>
        <v>0</v>
      </c>
      <c r="Z2228" s="690"/>
      <c r="AA2228" s="690"/>
      <c r="AB2228" s="695">
        <f t="shared" si="290"/>
        <v>0</v>
      </c>
      <c r="AC2228" s="1035"/>
      <c r="AD2228" s="690"/>
      <c r="AE2228" s="1025"/>
      <c r="AF2228" s="1030"/>
      <c r="AG2228" s="690"/>
      <c r="AH2228" s="690"/>
      <c r="AI2228" s="696">
        <f t="shared" si="291"/>
        <v>0</v>
      </c>
      <c r="AJ2228" s="697">
        <f t="shared" si="292"/>
        <v>0</v>
      </c>
    </row>
    <row r="2229" spans="1:36" s="700" customFormat="1" ht="12.75" customHeight="1">
      <c r="A2229" s="714" t="s">
        <v>214</v>
      </c>
      <c r="B2229" s="714" t="s">
        <v>413</v>
      </c>
      <c r="C2229" s="699" t="s">
        <v>632</v>
      </c>
      <c r="D2229" s="699"/>
      <c r="E2229" s="688"/>
      <c r="F2229" s="689"/>
      <c r="G2229" s="1025"/>
      <c r="H2229" s="690"/>
      <c r="I2229" s="1030"/>
      <c r="J2229" s="690"/>
      <c r="K2229" s="1030"/>
      <c r="L2229" s="690"/>
      <c r="M2229" s="1025"/>
      <c r="N2229" s="1030"/>
      <c r="O2229" s="692">
        <f t="shared" si="285"/>
        <v>0</v>
      </c>
      <c r="P2229" s="690"/>
      <c r="Q2229" s="690"/>
      <c r="R2229" s="691">
        <f t="shared" si="286"/>
        <v>0</v>
      </c>
      <c r="S2229" s="692">
        <f t="shared" si="287"/>
        <v>0</v>
      </c>
      <c r="T2229" s="693">
        <f t="shared" si="288"/>
        <v>0</v>
      </c>
      <c r="U2229" s="1035"/>
      <c r="V2229" s="690"/>
      <c r="W2229" s="1025"/>
      <c r="X2229" s="1030"/>
      <c r="Y2229" s="694">
        <f t="shared" si="289"/>
        <v>0</v>
      </c>
      <c r="Z2229" s="690"/>
      <c r="AA2229" s="690"/>
      <c r="AB2229" s="695">
        <f t="shared" si="290"/>
        <v>0</v>
      </c>
      <c r="AC2229" s="1035"/>
      <c r="AD2229" s="690"/>
      <c r="AE2229" s="1025"/>
      <c r="AF2229" s="1030"/>
      <c r="AG2229" s="690"/>
      <c r="AH2229" s="690"/>
      <c r="AI2229" s="696">
        <f t="shared" si="291"/>
        <v>0</v>
      </c>
      <c r="AJ2229" s="697">
        <f t="shared" si="292"/>
        <v>0</v>
      </c>
    </row>
    <row r="2230" spans="1:36" s="700" customFormat="1" ht="12.75" customHeight="1">
      <c r="A2230" s="714" t="s">
        <v>214</v>
      </c>
      <c r="B2230" s="686" t="s">
        <v>414</v>
      </c>
      <c r="C2230" s="707" t="s">
        <v>160</v>
      </c>
      <c r="D2230" s="707"/>
      <c r="E2230" s="688"/>
      <c r="F2230" s="689"/>
      <c r="G2230" s="1025"/>
      <c r="H2230" s="690"/>
      <c r="I2230" s="1030"/>
      <c r="J2230" s="690"/>
      <c r="K2230" s="1030"/>
      <c r="L2230" s="690"/>
      <c r="M2230" s="1025"/>
      <c r="N2230" s="1030"/>
      <c r="O2230" s="692">
        <f t="shared" si="285"/>
        <v>0</v>
      </c>
      <c r="P2230" s="690"/>
      <c r="Q2230" s="690"/>
      <c r="R2230" s="691">
        <f t="shared" si="286"/>
        <v>0</v>
      </c>
      <c r="S2230" s="692">
        <f t="shared" si="287"/>
        <v>0</v>
      </c>
      <c r="T2230" s="693">
        <f t="shared" si="288"/>
        <v>0</v>
      </c>
      <c r="U2230" s="1035"/>
      <c r="V2230" s="690"/>
      <c r="W2230" s="1025"/>
      <c r="X2230" s="1030"/>
      <c r="Y2230" s="694">
        <f t="shared" si="289"/>
        <v>0</v>
      </c>
      <c r="Z2230" s="690"/>
      <c r="AA2230" s="690"/>
      <c r="AB2230" s="695">
        <f t="shared" si="290"/>
        <v>0</v>
      </c>
      <c r="AC2230" s="1035"/>
      <c r="AD2230" s="690"/>
      <c r="AE2230" s="1025"/>
      <c r="AF2230" s="1030"/>
      <c r="AG2230" s="690"/>
      <c r="AH2230" s="690"/>
      <c r="AI2230" s="696">
        <f t="shared" si="291"/>
        <v>0</v>
      </c>
      <c r="AJ2230" s="697">
        <f t="shared" si="292"/>
        <v>0</v>
      </c>
    </row>
    <row r="2231" spans="1:36" s="700" customFormat="1" ht="12.75" customHeight="1">
      <c r="A2231" s="714" t="s">
        <v>214</v>
      </c>
      <c r="B2231" s="686" t="s">
        <v>415</v>
      </c>
      <c r="C2231" s="707" t="s">
        <v>165</v>
      </c>
      <c r="D2231" s="707"/>
      <c r="E2231" s="688"/>
      <c r="F2231" s="689"/>
      <c r="G2231" s="1025"/>
      <c r="H2231" s="690"/>
      <c r="I2231" s="1030"/>
      <c r="J2231" s="690"/>
      <c r="K2231" s="1030"/>
      <c r="L2231" s="690"/>
      <c r="M2231" s="1025"/>
      <c r="N2231" s="1030"/>
      <c r="O2231" s="692">
        <f t="shared" si="285"/>
        <v>0</v>
      </c>
      <c r="P2231" s="690"/>
      <c r="Q2231" s="690"/>
      <c r="R2231" s="691">
        <f t="shared" si="286"/>
        <v>0</v>
      </c>
      <c r="S2231" s="692">
        <f t="shared" si="287"/>
        <v>0</v>
      </c>
      <c r="T2231" s="693">
        <f t="shared" si="288"/>
        <v>0</v>
      </c>
      <c r="U2231" s="1035"/>
      <c r="V2231" s="690"/>
      <c r="W2231" s="1025"/>
      <c r="X2231" s="1030"/>
      <c r="Y2231" s="694">
        <f t="shared" si="289"/>
        <v>0</v>
      </c>
      <c r="Z2231" s="690"/>
      <c r="AA2231" s="690"/>
      <c r="AB2231" s="695">
        <f t="shared" si="290"/>
        <v>0</v>
      </c>
      <c r="AC2231" s="1035"/>
      <c r="AD2231" s="690"/>
      <c r="AE2231" s="1025"/>
      <c r="AF2231" s="1030"/>
      <c r="AG2231" s="690"/>
      <c r="AH2231" s="690"/>
      <c r="AI2231" s="696">
        <f t="shared" si="291"/>
        <v>0</v>
      </c>
      <c r="AJ2231" s="697">
        <f t="shared" si="292"/>
        <v>0</v>
      </c>
    </row>
    <row r="2232" spans="1:36" s="700" customFormat="1" ht="12.75" customHeight="1">
      <c r="A2232" s="714" t="s">
        <v>214</v>
      </c>
      <c r="B2232" s="686" t="s">
        <v>416</v>
      </c>
      <c r="C2232" s="699" t="s">
        <v>166</v>
      </c>
      <c r="D2232" s="699"/>
      <c r="E2232" s="688"/>
      <c r="F2232" s="689"/>
      <c r="G2232" s="1025"/>
      <c r="H2232" s="690"/>
      <c r="I2232" s="1030"/>
      <c r="J2232" s="690"/>
      <c r="K2232" s="1030"/>
      <c r="L2232" s="690"/>
      <c r="M2232" s="1025"/>
      <c r="N2232" s="1030"/>
      <c r="O2232" s="692">
        <f t="shared" si="285"/>
        <v>0</v>
      </c>
      <c r="P2232" s="690"/>
      <c r="Q2232" s="690"/>
      <c r="R2232" s="691">
        <f t="shared" si="286"/>
        <v>0</v>
      </c>
      <c r="S2232" s="692">
        <f t="shared" si="287"/>
        <v>0</v>
      </c>
      <c r="T2232" s="693">
        <f t="shared" si="288"/>
        <v>0</v>
      </c>
      <c r="U2232" s="1035"/>
      <c r="V2232" s="690"/>
      <c r="W2232" s="1025"/>
      <c r="X2232" s="1030"/>
      <c r="Y2232" s="694">
        <f t="shared" si="289"/>
        <v>0</v>
      </c>
      <c r="Z2232" s="690"/>
      <c r="AA2232" s="690"/>
      <c r="AB2232" s="695">
        <f t="shared" si="290"/>
        <v>0</v>
      </c>
      <c r="AC2232" s="1035"/>
      <c r="AD2232" s="690"/>
      <c r="AE2232" s="1025"/>
      <c r="AF2232" s="1030"/>
      <c r="AG2232" s="690"/>
      <c r="AH2232" s="690"/>
      <c r="AI2232" s="696">
        <f t="shared" si="291"/>
        <v>0</v>
      </c>
      <c r="AJ2232" s="697">
        <f t="shared" si="292"/>
        <v>0</v>
      </c>
    </row>
    <row r="2233" spans="1:36" s="700" customFormat="1" ht="12.75" customHeight="1">
      <c r="A2233" s="714" t="s">
        <v>214</v>
      </c>
      <c r="B2233" s="686" t="s">
        <v>417</v>
      </c>
      <c r="C2233" s="699" t="s">
        <v>168</v>
      </c>
      <c r="D2233" s="699"/>
      <c r="E2233" s="688"/>
      <c r="F2233" s="689"/>
      <c r="G2233" s="1025"/>
      <c r="H2233" s="690"/>
      <c r="I2233" s="1030"/>
      <c r="J2233" s="690"/>
      <c r="K2233" s="1030"/>
      <c r="L2233" s="690"/>
      <c r="M2233" s="1025"/>
      <c r="N2233" s="1030"/>
      <c r="O2233" s="692">
        <f t="shared" si="285"/>
        <v>0</v>
      </c>
      <c r="P2233" s="690"/>
      <c r="Q2233" s="690"/>
      <c r="R2233" s="691">
        <f t="shared" si="286"/>
        <v>0</v>
      </c>
      <c r="S2233" s="692">
        <f t="shared" si="287"/>
        <v>0</v>
      </c>
      <c r="T2233" s="693">
        <f t="shared" si="288"/>
        <v>0</v>
      </c>
      <c r="U2233" s="1035"/>
      <c r="V2233" s="690"/>
      <c r="W2233" s="1025"/>
      <c r="X2233" s="1030"/>
      <c r="Y2233" s="694">
        <f t="shared" si="289"/>
        <v>0</v>
      </c>
      <c r="Z2233" s="690"/>
      <c r="AA2233" s="690"/>
      <c r="AB2233" s="695">
        <f t="shared" si="290"/>
        <v>0</v>
      </c>
      <c r="AC2233" s="1035"/>
      <c r="AD2233" s="690"/>
      <c r="AE2233" s="1025"/>
      <c r="AF2233" s="1030"/>
      <c r="AG2233" s="690"/>
      <c r="AH2233" s="690"/>
      <c r="AI2233" s="696">
        <f t="shared" si="291"/>
        <v>0</v>
      </c>
      <c r="AJ2233" s="697">
        <f t="shared" si="292"/>
        <v>0</v>
      </c>
    </row>
    <row r="2234" spans="1:36" s="700" customFormat="1" ht="12.75" customHeight="1">
      <c r="A2234" s="714" t="s">
        <v>214</v>
      </c>
      <c r="B2234" s="686" t="s">
        <v>418</v>
      </c>
      <c r="C2234" s="699" t="s">
        <v>197</v>
      </c>
      <c r="D2234" s="699"/>
      <c r="E2234" s="688"/>
      <c r="F2234" s="689"/>
      <c r="G2234" s="1025"/>
      <c r="H2234" s="690"/>
      <c r="I2234" s="1030"/>
      <c r="J2234" s="690"/>
      <c r="K2234" s="1030"/>
      <c r="L2234" s="690"/>
      <c r="M2234" s="1025"/>
      <c r="N2234" s="1030"/>
      <c r="O2234" s="692">
        <f t="shared" si="285"/>
        <v>0</v>
      </c>
      <c r="P2234" s="690"/>
      <c r="Q2234" s="690"/>
      <c r="R2234" s="691">
        <f t="shared" si="286"/>
        <v>0</v>
      </c>
      <c r="S2234" s="692">
        <f t="shared" si="287"/>
        <v>0</v>
      </c>
      <c r="T2234" s="693">
        <f t="shared" si="288"/>
        <v>0</v>
      </c>
      <c r="U2234" s="1035"/>
      <c r="V2234" s="690"/>
      <c r="W2234" s="1025"/>
      <c r="X2234" s="1030"/>
      <c r="Y2234" s="694">
        <f t="shared" si="289"/>
        <v>0</v>
      </c>
      <c r="Z2234" s="690"/>
      <c r="AA2234" s="690"/>
      <c r="AB2234" s="695">
        <f t="shared" si="290"/>
        <v>0</v>
      </c>
      <c r="AC2234" s="1035"/>
      <c r="AD2234" s="690"/>
      <c r="AE2234" s="1025"/>
      <c r="AF2234" s="1030"/>
      <c r="AG2234" s="690"/>
      <c r="AH2234" s="690"/>
      <c r="AI2234" s="696">
        <f t="shared" si="291"/>
        <v>0</v>
      </c>
      <c r="AJ2234" s="697">
        <f t="shared" si="292"/>
        <v>0</v>
      </c>
    </row>
    <row r="2235" spans="1:36" s="700" customFormat="1" ht="12.75" customHeight="1">
      <c r="A2235" s="714" t="s">
        <v>214</v>
      </c>
      <c r="B2235" s="686" t="s">
        <v>419</v>
      </c>
      <c r="C2235" s="707" t="s">
        <v>50</v>
      </c>
      <c r="D2235" s="707"/>
      <c r="E2235" s="688"/>
      <c r="F2235" s="689"/>
      <c r="G2235" s="1025"/>
      <c r="H2235" s="690"/>
      <c r="I2235" s="1030"/>
      <c r="J2235" s="690"/>
      <c r="K2235" s="1030"/>
      <c r="L2235" s="690"/>
      <c r="M2235" s="1025"/>
      <c r="N2235" s="1030"/>
      <c r="O2235" s="692">
        <f t="shared" si="285"/>
        <v>0</v>
      </c>
      <c r="P2235" s="690"/>
      <c r="Q2235" s="690"/>
      <c r="R2235" s="691">
        <f t="shared" si="286"/>
        <v>0</v>
      </c>
      <c r="S2235" s="692">
        <f t="shared" si="287"/>
        <v>0</v>
      </c>
      <c r="T2235" s="693">
        <f t="shared" si="288"/>
        <v>0</v>
      </c>
      <c r="U2235" s="1035"/>
      <c r="V2235" s="690"/>
      <c r="W2235" s="1025"/>
      <c r="X2235" s="1030"/>
      <c r="Y2235" s="694">
        <f t="shared" si="289"/>
        <v>0</v>
      </c>
      <c r="Z2235" s="690"/>
      <c r="AA2235" s="690"/>
      <c r="AB2235" s="695">
        <f t="shared" si="290"/>
        <v>0</v>
      </c>
      <c r="AC2235" s="1035"/>
      <c r="AD2235" s="690"/>
      <c r="AE2235" s="1025"/>
      <c r="AF2235" s="1030"/>
      <c r="AG2235" s="690"/>
      <c r="AH2235" s="690"/>
      <c r="AI2235" s="696">
        <f t="shared" si="291"/>
        <v>0</v>
      </c>
      <c r="AJ2235" s="697">
        <f t="shared" si="292"/>
        <v>0</v>
      </c>
    </row>
    <row r="2236" spans="1:36" s="700" customFormat="1" ht="12.75" customHeight="1">
      <c r="A2236" s="714" t="s">
        <v>214</v>
      </c>
      <c r="B2236" s="686" t="s">
        <v>420</v>
      </c>
      <c r="C2236" s="711" t="s">
        <v>51</v>
      </c>
      <c r="D2236" s="711"/>
      <c r="E2236" s="688"/>
      <c r="F2236" s="689"/>
      <c r="G2236" s="1025"/>
      <c r="H2236" s="690"/>
      <c r="I2236" s="1030"/>
      <c r="J2236" s="690"/>
      <c r="K2236" s="1030"/>
      <c r="L2236" s="690"/>
      <c r="M2236" s="1025"/>
      <c r="N2236" s="1030"/>
      <c r="O2236" s="692">
        <f t="shared" si="285"/>
        <v>0</v>
      </c>
      <c r="P2236" s="690"/>
      <c r="Q2236" s="690"/>
      <c r="R2236" s="691">
        <f t="shared" si="286"/>
        <v>0</v>
      </c>
      <c r="S2236" s="692">
        <f t="shared" si="287"/>
        <v>0</v>
      </c>
      <c r="T2236" s="693">
        <f t="shared" si="288"/>
        <v>0</v>
      </c>
      <c r="U2236" s="1035"/>
      <c r="V2236" s="690"/>
      <c r="W2236" s="1025"/>
      <c r="X2236" s="1030"/>
      <c r="Y2236" s="694">
        <f t="shared" si="289"/>
        <v>0</v>
      </c>
      <c r="Z2236" s="690"/>
      <c r="AA2236" s="690"/>
      <c r="AB2236" s="695">
        <f t="shared" si="290"/>
        <v>0</v>
      </c>
      <c r="AC2236" s="1035"/>
      <c r="AD2236" s="690"/>
      <c r="AE2236" s="1025"/>
      <c r="AF2236" s="1030"/>
      <c r="AG2236" s="690"/>
      <c r="AH2236" s="690"/>
      <c r="AI2236" s="696">
        <f t="shared" si="291"/>
        <v>0</v>
      </c>
      <c r="AJ2236" s="697">
        <f t="shared" si="292"/>
        <v>0</v>
      </c>
    </row>
    <row r="2237" spans="1:36" s="700" customFormat="1" ht="12.75" customHeight="1">
      <c r="A2237" s="714" t="s">
        <v>214</v>
      </c>
      <c r="B2237" s="686" t="s">
        <v>420</v>
      </c>
      <c r="C2237" s="934" t="s">
        <v>1353</v>
      </c>
      <c r="D2237" s="934"/>
      <c r="E2237" s="688"/>
      <c r="F2237" s="689"/>
      <c r="G2237" s="1025"/>
      <c r="H2237" s="690"/>
      <c r="I2237" s="1030"/>
      <c r="J2237" s="690"/>
      <c r="K2237" s="1030"/>
      <c r="L2237" s="690"/>
      <c r="M2237" s="1025"/>
      <c r="N2237" s="1030"/>
      <c r="O2237" s="692">
        <f t="shared" si="285"/>
        <v>0</v>
      </c>
      <c r="P2237" s="690"/>
      <c r="Q2237" s="690"/>
      <c r="R2237" s="691">
        <f t="shared" si="286"/>
        <v>0</v>
      </c>
      <c r="S2237" s="692">
        <f t="shared" si="287"/>
        <v>0</v>
      </c>
      <c r="T2237" s="693">
        <f t="shared" si="288"/>
        <v>0</v>
      </c>
      <c r="U2237" s="1035">
        <v>54000000</v>
      </c>
      <c r="V2237" s="690">
        <v>57000000</v>
      </c>
      <c r="W2237" s="1025"/>
      <c r="X2237" s="1030"/>
      <c r="Y2237" s="694">
        <f t="shared" si="289"/>
        <v>0</v>
      </c>
      <c r="Z2237" s="690"/>
      <c r="AA2237" s="690"/>
      <c r="AB2237" s="695">
        <f t="shared" si="290"/>
        <v>0</v>
      </c>
      <c r="AC2237" s="1035"/>
      <c r="AD2237" s="690"/>
      <c r="AE2237" s="1025"/>
      <c r="AF2237" s="1030"/>
      <c r="AG2237" s="690"/>
      <c r="AH2237" s="690"/>
      <c r="AI2237" s="696">
        <f t="shared" si="291"/>
        <v>54000000</v>
      </c>
      <c r="AJ2237" s="697">
        <f t="shared" si="292"/>
        <v>57000000</v>
      </c>
    </row>
    <row r="2238" spans="1:36" s="700" customFormat="1" ht="12.75" customHeight="1">
      <c r="A2238" s="714" t="s">
        <v>214</v>
      </c>
      <c r="B2238" s="714" t="s">
        <v>442</v>
      </c>
      <c r="C2238" s="713" t="s">
        <v>443</v>
      </c>
      <c r="D2238" s="713"/>
      <c r="E2238" s="708"/>
      <c r="F2238" s="709"/>
      <c r="G2238" s="1025"/>
      <c r="H2238" s="690"/>
      <c r="I2238" s="1030"/>
      <c r="J2238" s="690"/>
      <c r="K2238" s="1030"/>
      <c r="L2238" s="690"/>
      <c r="M2238" s="1025"/>
      <c r="N2238" s="1030"/>
      <c r="O2238" s="692">
        <f t="shared" si="285"/>
        <v>0</v>
      </c>
      <c r="P2238" s="690"/>
      <c r="Q2238" s="690"/>
      <c r="R2238" s="691">
        <f t="shared" si="286"/>
        <v>0</v>
      </c>
      <c r="S2238" s="692">
        <f t="shared" si="287"/>
        <v>0</v>
      </c>
      <c r="T2238" s="693">
        <f t="shared" si="288"/>
        <v>0</v>
      </c>
      <c r="U2238" s="1035"/>
      <c r="V2238" s="690"/>
      <c r="W2238" s="1025"/>
      <c r="X2238" s="1030"/>
      <c r="Y2238" s="694">
        <f t="shared" si="289"/>
        <v>0</v>
      </c>
      <c r="Z2238" s="690"/>
      <c r="AA2238" s="690"/>
      <c r="AB2238" s="695">
        <f t="shared" si="290"/>
        <v>0</v>
      </c>
      <c r="AC2238" s="1035"/>
      <c r="AD2238" s="690"/>
      <c r="AE2238" s="1025"/>
      <c r="AF2238" s="1030"/>
      <c r="AG2238" s="690"/>
      <c r="AH2238" s="690"/>
      <c r="AI2238" s="696">
        <f t="shared" si="291"/>
        <v>0</v>
      </c>
      <c r="AJ2238" s="697">
        <f t="shared" si="292"/>
        <v>0</v>
      </c>
    </row>
    <row r="2239" spans="1:36" s="700" customFormat="1" ht="12.75" customHeight="1">
      <c r="A2239" s="714" t="s">
        <v>214</v>
      </c>
      <c r="B2239" s="714" t="s">
        <v>379</v>
      </c>
      <c r="C2239" s="713" t="s">
        <v>377</v>
      </c>
      <c r="D2239" s="713"/>
      <c r="E2239" s="708"/>
      <c r="F2239" s="709"/>
      <c r="G2239" s="1025"/>
      <c r="H2239" s="690"/>
      <c r="I2239" s="1030"/>
      <c r="J2239" s="690"/>
      <c r="K2239" s="1030"/>
      <c r="L2239" s="690"/>
      <c r="M2239" s="1025"/>
      <c r="N2239" s="1030"/>
      <c r="O2239" s="692">
        <f t="shared" si="285"/>
        <v>0</v>
      </c>
      <c r="P2239" s="690"/>
      <c r="Q2239" s="690"/>
      <c r="R2239" s="691">
        <f t="shared" si="286"/>
        <v>0</v>
      </c>
      <c r="S2239" s="692">
        <f t="shared" si="287"/>
        <v>0</v>
      </c>
      <c r="T2239" s="693">
        <f t="shared" si="288"/>
        <v>0</v>
      </c>
      <c r="U2239" s="1035"/>
      <c r="V2239" s="690"/>
      <c r="W2239" s="1025"/>
      <c r="X2239" s="1030"/>
      <c r="Y2239" s="694">
        <f t="shared" si="289"/>
        <v>0</v>
      </c>
      <c r="Z2239" s="690"/>
      <c r="AA2239" s="690"/>
      <c r="AB2239" s="695">
        <f t="shared" si="290"/>
        <v>0</v>
      </c>
      <c r="AC2239" s="1035"/>
      <c r="AD2239" s="690"/>
      <c r="AE2239" s="1025"/>
      <c r="AF2239" s="1030"/>
      <c r="AG2239" s="690"/>
      <c r="AH2239" s="690"/>
      <c r="AI2239" s="696">
        <f t="shared" si="291"/>
        <v>0</v>
      </c>
      <c r="AJ2239" s="697">
        <f t="shared" si="292"/>
        <v>0</v>
      </c>
    </row>
    <row r="2240" spans="1:36" s="700" customFormat="1" ht="12.75" customHeight="1">
      <c r="A2240" s="714" t="s">
        <v>214</v>
      </c>
      <c r="B2240" s="714" t="s">
        <v>295</v>
      </c>
      <c r="C2240" s="713" t="s">
        <v>53</v>
      </c>
      <c r="D2240" s="713"/>
      <c r="E2240" s="708"/>
      <c r="F2240" s="709"/>
      <c r="G2240" s="1025"/>
      <c r="H2240" s="690"/>
      <c r="I2240" s="1030"/>
      <c r="J2240" s="690"/>
      <c r="K2240" s="1030"/>
      <c r="L2240" s="690"/>
      <c r="M2240" s="1025"/>
      <c r="N2240" s="1030"/>
      <c r="O2240" s="692">
        <f t="shared" si="285"/>
        <v>0</v>
      </c>
      <c r="P2240" s="690"/>
      <c r="Q2240" s="690"/>
      <c r="R2240" s="691">
        <f t="shared" si="286"/>
        <v>0</v>
      </c>
      <c r="S2240" s="692">
        <f t="shared" si="287"/>
        <v>0</v>
      </c>
      <c r="T2240" s="693">
        <f t="shared" si="288"/>
        <v>0</v>
      </c>
      <c r="U2240" s="1035"/>
      <c r="V2240" s="690"/>
      <c r="W2240" s="1025"/>
      <c r="X2240" s="1030"/>
      <c r="Y2240" s="694">
        <f t="shared" si="289"/>
        <v>0</v>
      </c>
      <c r="Z2240" s="690"/>
      <c r="AA2240" s="690"/>
      <c r="AB2240" s="695">
        <f t="shared" si="290"/>
        <v>0</v>
      </c>
      <c r="AC2240" s="1035"/>
      <c r="AD2240" s="690"/>
      <c r="AE2240" s="1025"/>
      <c r="AF2240" s="1030"/>
      <c r="AG2240" s="690"/>
      <c r="AH2240" s="690"/>
      <c r="AI2240" s="696">
        <f t="shared" si="291"/>
        <v>0</v>
      </c>
      <c r="AJ2240" s="697">
        <f t="shared" si="292"/>
        <v>0</v>
      </c>
    </row>
    <row r="2241" spans="1:36" s="700" customFormat="1" ht="12.75" customHeight="1">
      <c r="A2241" s="714" t="s">
        <v>214</v>
      </c>
      <c r="B2241" s="714" t="s">
        <v>296</v>
      </c>
      <c r="C2241" s="713" t="s">
        <v>443</v>
      </c>
      <c r="D2241" s="713"/>
      <c r="E2241" s="708"/>
      <c r="F2241" s="709"/>
      <c r="G2241" s="1025"/>
      <c r="H2241" s="690"/>
      <c r="I2241" s="1030"/>
      <c r="J2241" s="690"/>
      <c r="K2241" s="1030"/>
      <c r="L2241" s="690"/>
      <c r="M2241" s="1025"/>
      <c r="N2241" s="1030"/>
      <c r="O2241" s="692">
        <f t="shared" si="285"/>
        <v>0</v>
      </c>
      <c r="P2241" s="690"/>
      <c r="Q2241" s="690"/>
      <c r="R2241" s="691">
        <f t="shared" si="286"/>
        <v>0</v>
      </c>
      <c r="S2241" s="692">
        <f t="shared" si="287"/>
        <v>0</v>
      </c>
      <c r="T2241" s="693">
        <f t="shared" si="288"/>
        <v>0</v>
      </c>
      <c r="U2241" s="1035"/>
      <c r="V2241" s="690"/>
      <c r="W2241" s="1025"/>
      <c r="X2241" s="1030"/>
      <c r="Y2241" s="694">
        <f t="shared" si="289"/>
        <v>0</v>
      </c>
      <c r="Z2241" s="690"/>
      <c r="AA2241" s="690"/>
      <c r="AB2241" s="695">
        <f t="shared" si="290"/>
        <v>0</v>
      </c>
      <c r="AC2241" s="1035"/>
      <c r="AD2241" s="690"/>
      <c r="AE2241" s="1025"/>
      <c r="AF2241" s="1030"/>
      <c r="AG2241" s="690"/>
      <c r="AH2241" s="690"/>
      <c r="AI2241" s="696">
        <f t="shared" si="291"/>
        <v>0</v>
      </c>
      <c r="AJ2241" s="697">
        <f t="shared" si="292"/>
        <v>0</v>
      </c>
    </row>
    <row r="2242" spans="1:36" s="700" customFormat="1" ht="12.75" customHeight="1">
      <c r="A2242" s="714" t="s">
        <v>214</v>
      </c>
      <c r="B2242" s="714" t="s">
        <v>379</v>
      </c>
      <c r="C2242" s="713" t="s">
        <v>377</v>
      </c>
      <c r="D2242" s="713"/>
      <c r="E2242" s="708"/>
      <c r="F2242" s="709"/>
      <c r="G2242" s="1025"/>
      <c r="H2242" s="690"/>
      <c r="I2242" s="1030"/>
      <c r="J2242" s="690"/>
      <c r="K2242" s="1030"/>
      <c r="L2242" s="690"/>
      <c r="M2242" s="1025"/>
      <c r="N2242" s="1030"/>
      <c r="O2242" s="692">
        <f t="shared" si="285"/>
        <v>0</v>
      </c>
      <c r="P2242" s="690"/>
      <c r="Q2242" s="690"/>
      <c r="R2242" s="691">
        <f t="shared" si="286"/>
        <v>0</v>
      </c>
      <c r="S2242" s="692">
        <f t="shared" si="287"/>
        <v>0</v>
      </c>
      <c r="T2242" s="693">
        <f t="shared" si="288"/>
        <v>0</v>
      </c>
      <c r="U2242" s="1035"/>
      <c r="V2242" s="690"/>
      <c r="W2242" s="1025"/>
      <c r="X2242" s="1030"/>
      <c r="Y2242" s="694">
        <f t="shared" si="289"/>
        <v>0</v>
      </c>
      <c r="Z2242" s="690"/>
      <c r="AA2242" s="690"/>
      <c r="AB2242" s="695">
        <f t="shared" si="290"/>
        <v>0</v>
      </c>
      <c r="AC2242" s="1035"/>
      <c r="AD2242" s="690"/>
      <c r="AE2242" s="1025"/>
      <c r="AF2242" s="1030"/>
      <c r="AG2242" s="690"/>
      <c r="AH2242" s="690"/>
      <c r="AI2242" s="696">
        <f t="shared" si="291"/>
        <v>0</v>
      </c>
      <c r="AJ2242" s="697">
        <f t="shared" si="292"/>
        <v>0</v>
      </c>
    </row>
    <row r="2243" spans="1:36" s="700" customFormat="1" ht="12.75" customHeight="1">
      <c r="A2243" s="714" t="s">
        <v>214</v>
      </c>
      <c r="B2243" s="714" t="s">
        <v>279</v>
      </c>
      <c r="C2243" s="713" t="s">
        <v>54</v>
      </c>
      <c r="D2243" s="713"/>
      <c r="E2243" s="708"/>
      <c r="F2243" s="709"/>
      <c r="G2243" s="1025"/>
      <c r="H2243" s="690"/>
      <c r="I2243" s="1030"/>
      <c r="J2243" s="690"/>
      <c r="K2243" s="1030"/>
      <c r="L2243" s="690"/>
      <c r="M2243" s="1025"/>
      <c r="N2243" s="1030"/>
      <c r="O2243" s="692">
        <f t="shared" si="285"/>
        <v>0</v>
      </c>
      <c r="P2243" s="690"/>
      <c r="Q2243" s="690"/>
      <c r="R2243" s="691">
        <f t="shared" si="286"/>
        <v>0</v>
      </c>
      <c r="S2243" s="692">
        <f t="shared" si="287"/>
        <v>0</v>
      </c>
      <c r="T2243" s="693">
        <f t="shared" si="288"/>
        <v>0</v>
      </c>
      <c r="U2243" s="1035"/>
      <c r="V2243" s="690"/>
      <c r="W2243" s="1025"/>
      <c r="X2243" s="1030"/>
      <c r="Y2243" s="694">
        <f t="shared" si="289"/>
        <v>0</v>
      </c>
      <c r="Z2243" s="690"/>
      <c r="AA2243" s="690"/>
      <c r="AB2243" s="695">
        <f t="shared" si="290"/>
        <v>0</v>
      </c>
      <c r="AC2243" s="1035"/>
      <c r="AD2243" s="690"/>
      <c r="AE2243" s="1025"/>
      <c r="AF2243" s="1030"/>
      <c r="AG2243" s="690"/>
      <c r="AH2243" s="690"/>
      <c r="AI2243" s="696">
        <f t="shared" si="291"/>
        <v>0</v>
      </c>
      <c r="AJ2243" s="697">
        <f t="shared" si="292"/>
        <v>0</v>
      </c>
    </row>
    <row r="2244" spans="1:36" s="700" customFormat="1" ht="12.75" customHeight="1">
      <c r="A2244" s="714" t="s">
        <v>214</v>
      </c>
      <c r="B2244" s="714" t="s">
        <v>317</v>
      </c>
      <c r="C2244" s="713" t="s">
        <v>443</v>
      </c>
      <c r="D2244" s="713"/>
      <c r="E2244" s="708"/>
      <c r="F2244" s="709"/>
      <c r="G2244" s="1025"/>
      <c r="H2244" s="690"/>
      <c r="I2244" s="1030"/>
      <c r="J2244" s="690"/>
      <c r="K2244" s="1030"/>
      <c r="L2244" s="690"/>
      <c r="M2244" s="1025"/>
      <c r="N2244" s="1030"/>
      <c r="O2244" s="692">
        <f t="shared" si="285"/>
        <v>0</v>
      </c>
      <c r="P2244" s="690"/>
      <c r="Q2244" s="690"/>
      <c r="R2244" s="691">
        <f t="shared" si="286"/>
        <v>0</v>
      </c>
      <c r="S2244" s="692">
        <f t="shared" si="287"/>
        <v>0</v>
      </c>
      <c r="T2244" s="693">
        <f t="shared" si="288"/>
        <v>0</v>
      </c>
      <c r="U2244" s="1035"/>
      <c r="V2244" s="690"/>
      <c r="W2244" s="1025"/>
      <c r="X2244" s="1030"/>
      <c r="Y2244" s="694">
        <f t="shared" si="289"/>
        <v>0</v>
      </c>
      <c r="Z2244" s="690"/>
      <c r="AA2244" s="690"/>
      <c r="AB2244" s="695">
        <f t="shared" si="290"/>
        <v>0</v>
      </c>
      <c r="AC2244" s="1035"/>
      <c r="AD2244" s="690"/>
      <c r="AE2244" s="1025"/>
      <c r="AF2244" s="1030"/>
      <c r="AG2244" s="690"/>
      <c r="AH2244" s="690"/>
      <c r="AI2244" s="696">
        <f t="shared" si="291"/>
        <v>0</v>
      </c>
      <c r="AJ2244" s="697">
        <f t="shared" si="292"/>
        <v>0</v>
      </c>
    </row>
    <row r="2245" spans="1:36" s="700" customFormat="1" ht="12.75" customHeight="1">
      <c r="A2245" s="714" t="s">
        <v>214</v>
      </c>
      <c r="B2245" s="714" t="s">
        <v>379</v>
      </c>
      <c r="C2245" s="713" t="s">
        <v>377</v>
      </c>
      <c r="D2245" s="713"/>
      <c r="E2245" s="708"/>
      <c r="F2245" s="709"/>
      <c r="G2245" s="1025"/>
      <c r="H2245" s="690"/>
      <c r="I2245" s="1030"/>
      <c r="J2245" s="690"/>
      <c r="K2245" s="1030"/>
      <c r="L2245" s="690"/>
      <c r="M2245" s="1025"/>
      <c r="N2245" s="1030"/>
      <c r="O2245" s="692">
        <f t="shared" si="285"/>
        <v>0</v>
      </c>
      <c r="P2245" s="690"/>
      <c r="Q2245" s="690"/>
      <c r="R2245" s="691">
        <f t="shared" si="286"/>
        <v>0</v>
      </c>
      <c r="S2245" s="692">
        <f t="shared" si="287"/>
        <v>0</v>
      </c>
      <c r="T2245" s="693">
        <f t="shared" si="288"/>
        <v>0</v>
      </c>
      <c r="U2245" s="1035"/>
      <c r="V2245" s="690"/>
      <c r="W2245" s="1025"/>
      <c r="X2245" s="1030"/>
      <c r="Y2245" s="694">
        <f t="shared" si="289"/>
        <v>0</v>
      </c>
      <c r="Z2245" s="690"/>
      <c r="AA2245" s="690"/>
      <c r="AB2245" s="695">
        <f t="shared" si="290"/>
        <v>0</v>
      </c>
      <c r="AC2245" s="1035"/>
      <c r="AD2245" s="690"/>
      <c r="AE2245" s="1025"/>
      <c r="AF2245" s="1030"/>
      <c r="AG2245" s="690"/>
      <c r="AH2245" s="690"/>
      <c r="AI2245" s="696">
        <f t="shared" si="291"/>
        <v>0</v>
      </c>
      <c r="AJ2245" s="697">
        <f t="shared" si="292"/>
        <v>0</v>
      </c>
    </row>
    <row r="2246" spans="1:36" s="700" customFormat="1" ht="12.75" customHeight="1">
      <c r="A2246" s="714" t="s">
        <v>214</v>
      </c>
      <c r="B2246" s="686" t="s">
        <v>420</v>
      </c>
      <c r="C2246" s="712" t="s">
        <v>1354</v>
      </c>
      <c r="D2246" s="712"/>
      <c r="E2246" s="688"/>
      <c r="F2246" s="689"/>
      <c r="G2246" s="1025"/>
      <c r="H2246" s="690"/>
      <c r="I2246" s="1030"/>
      <c r="J2246" s="690"/>
      <c r="K2246" s="1030"/>
      <c r="L2246" s="690"/>
      <c r="M2246" s="1025"/>
      <c r="N2246" s="1030"/>
      <c r="O2246" s="692">
        <f t="shared" si="285"/>
        <v>0</v>
      </c>
      <c r="P2246" s="690"/>
      <c r="Q2246" s="690"/>
      <c r="R2246" s="691">
        <f t="shared" si="286"/>
        <v>0</v>
      </c>
      <c r="S2246" s="692">
        <f t="shared" si="287"/>
        <v>0</v>
      </c>
      <c r="T2246" s="693">
        <f t="shared" si="288"/>
        <v>0</v>
      </c>
      <c r="U2246" s="1035">
        <v>40000</v>
      </c>
      <c r="V2246" s="690">
        <v>39291</v>
      </c>
      <c r="W2246" s="1025"/>
      <c r="X2246" s="1030"/>
      <c r="Y2246" s="694">
        <f t="shared" si="289"/>
        <v>0</v>
      </c>
      <c r="Z2246" s="690"/>
      <c r="AA2246" s="690"/>
      <c r="AB2246" s="695">
        <f t="shared" si="290"/>
        <v>0</v>
      </c>
      <c r="AC2246" s="1035"/>
      <c r="AD2246" s="690"/>
      <c r="AE2246" s="1025"/>
      <c r="AF2246" s="1030"/>
      <c r="AG2246" s="690"/>
      <c r="AH2246" s="690"/>
      <c r="AI2246" s="696">
        <f t="shared" si="291"/>
        <v>40000</v>
      </c>
      <c r="AJ2246" s="697">
        <f t="shared" si="292"/>
        <v>39291</v>
      </c>
    </row>
    <row r="2247" spans="1:36" s="700" customFormat="1" ht="12.75" customHeight="1">
      <c r="A2247" s="714" t="s">
        <v>214</v>
      </c>
      <c r="B2247" s="714" t="s">
        <v>442</v>
      </c>
      <c r="C2247" s="713" t="s">
        <v>443</v>
      </c>
      <c r="D2247" s="713"/>
      <c r="E2247" s="708"/>
      <c r="F2247" s="709"/>
      <c r="G2247" s="1025"/>
      <c r="H2247" s="690"/>
      <c r="I2247" s="1030"/>
      <c r="J2247" s="690"/>
      <c r="K2247" s="1030"/>
      <c r="L2247" s="690"/>
      <c r="M2247" s="1025"/>
      <c r="N2247" s="1030"/>
      <c r="O2247" s="692">
        <f t="shared" si="285"/>
        <v>0</v>
      </c>
      <c r="P2247" s="690"/>
      <c r="Q2247" s="690"/>
      <c r="R2247" s="691">
        <f t="shared" si="286"/>
        <v>0</v>
      </c>
      <c r="S2247" s="692">
        <f t="shared" si="287"/>
        <v>0</v>
      </c>
      <c r="T2247" s="693">
        <f t="shared" si="288"/>
        <v>0</v>
      </c>
      <c r="U2247" s="1035"/>
      <c r="V2247" s="690"/>
      <c r="W2247" s="1025"/>
      <c r="X2247" s="1030"/>
      <c r="Y2247" s="694">
        <f t="shared" si="289"/>
        <v>0</v>
      </c>
      <c r="Z2247" s="690"/>
      <c r="AA2247" s="690"/>
      <c r="AB2247" s="695">
        <f t="shared" si="290"/>
        <v>0</v>
      </c>
      <c r="AC2247" s="1035"/>
      <c r="AD2247" s="690"/>
      <c r="AE2247" s="1025"/>
      <c r="AF2247" s="1030"/>
      <c r="AG2247" s="690"/>
      <c r="AH2247" s="690"/>
      <c r="AI2247" s="696">
        <f t="shared" si="291"/>
        <v>0</v>
      </c>
      <c r="AJ2247" s="697">
        <f t="shared" si="292"/>
        <v>0</v>
      </c>
    </row>
    <row r="2248" spans="1:36" s="700" customFormat="1" ht="12.75" customHeight="1">
      <c r="A2248" s="714" t="s">
        <v>214</v>
      </c>
      <c r="B2248" s="714" t="s">
        <v>379</v>
      </c>
      <c r="C2248" s="713" t="s">
        <v>377</v>
      </c>
      <c r="D2248" s="713"/>
      <c r="E2248" s="708"/>
      <c r="F2248" s="709"/>
      <c r="G2248" s="1025"/>
      <c r="H2248" s="690"/>
      <c r="I2248" s="1030"/>
      <c r="J2248" s="690"/>
      <c r="K2248" s="1030"/>
      <c r="L2248" s="690"/>
      <c r="M2248" s="1025"/>
      <c r="N2248" s="1030"/>
      <c r="O2248" s="692">
        <f t="shared" si="285"/>
        <v>0</v>
      </c>
      <c r="P2248" s="690"/>
      <c r="Q2248" s="690"/>
      <c r="R2248" s="691">
        <f t="shared" si="286"/>
        <v>0</v>
      </c>
      <c r="S2248" s="692">
        <f t="shared" si="287"/>
        <v>0</v>
      </c>
      <c r="T2248" s="693">
        <f t="shared" si="288"/>
        <v>0</v>
      </c>
      <c r="U2248" s="1035"/>
      <c r="V2248" s="690"/>
      <c r="W2248" s="1025"/>
      <c r="X2248" s="1030"/>
      <c r="Y2248" s="694">
        <f t="shared" si="289"/>
        <v>0</v>
      </c>
      <c r="Z2248" s="690"/>
      <c r="AA2248" s="690"/>
      <c r="AB2248" s="695">
        <f t="shared" si="290"/>
        <v>0</v>
      </c>
      <c r="AC2248" s="1035"/>
      <c r="AD2248" s="690"/>
      <c r="AE2248" s="1025"/>
      <c r="AF2248" s="1030"/>
      <c r="AG2248" s="690"/>
      <c r="AH2248" s="690"/>
      <c r="AI2248" s="696">
        <f t="shared" si="291"/>
        <v>0</v>
      </c>
      <c r="AJ2248" s="697">
        <f t="shared" si="292"/>
        <v>0</v>
      </c>
    </row>
    <row r="2249" spans="1:36" s="700" customFormat="1" ht="12.75" customHeight="1">
      <c r="A2249" s="714" t="s">
        <v>214</v>
      </c>
      <c r="B2249" s="714" t="s">
        <v>295</v>
      </c>
      <c r="C2249" s="713" t="s">
        <v>53</v>
      </c>
      <c r="D2249" s="713"/>
      <c r="E2249" s="708"/>
      <c r="F2249" s="709"/>
      <c r="G2249" s="1025"/>
      <c r="H2249" s="690"/>
      <c r="I2249" s="1030"/>
      <c r="J2249" s="690"/>
      <c r="K2249" s="1030"/>
      <c r="L2249" s="690"/>
      <c r="M2249" s="1025"/>
      <c r="N2249" s="1030"/>
      <c r="O2249" s="692">
        <f t="shared" si="285"/>
        <v>0</v>
      </c>
      <c r="P2249" s="690"/>
      <c r="Q2249" s="690"/>
      <c r="R2249" s="691">
        <f t="shared" si="286"/>
        <v>0</v>
      </c>
      <c r="S2249" s="692">
        <f t="shared" si="287"/>
        <v>0</v>
      </c>
      <c r="T2249" s="693">
        <f t="shared" si="288"/>
        <v>0</v>
      </c>
      <c r="U2249" s="1035"/>
      <c r="V2249" s="690"/>
      <c r="W2249" s="1025"/>
      <c r="X2249" s="1030"/>
      <c r="Y2249" s="694">
        <f t="shared" si="289"/>
        <v>0</v>
      </c>
      <c r="Z2249" s="690"/>
      <c r="AA2249" s="690"/>
      <c r="AB2249" s="695">
        <f t="shared" si="290"/>
        <v>0</v>
      </c>
      <c r="AC2249" s="1035"/>
      <c r="AD2249" s="690"/>
      <c r="AE2249" s="1025"/>
      <c r="AF2249" s="1030"/>
      <c r="AG2249" s="690"/>
      <c r="AH2249" s="690"/>
      <c r="AI2249" s="696">
        <f t="shared" si="291"/>
        <v>0</v>
      </c>
      <c r="AJ2249" s="697">
        <f t="shared" si="292"/>
        <v>0</v>
      </c>
    </row>
    <row r="2250" spans="1:36" s="700" customFormat="1" ht="12.75" customHeight="1">
      <c r="A2250" s="714" t="s">
        <v>214</v>
      </c>
      <c r="B2250" s="714" t="s">
        <v>296</v>
      </c>
      <c r="C2250" s="713" t="s">
        <v>443</v>
      </c>
      <c r="D2250" s="713"/>
      <c r="E2250" s="708"/>
      <c r="F2250" s="709"/>
      <c r="G2250" s="1025"/>
      <c r="H2250" s="690"/>
      <c r="I2250" s="1030"/>
      <c r="J2250" s="690"/>
      <c r="K2250" s="1030"/>
      <c r="L2250" s="690"/>
      <c r="M2250" s="1025"/>
      <c r="N2250" s="1030"/>
      <c r="O2250" s="692">
        <f t="shared" ref="O2250:O2313" si="293">SUM(M2250:N2250)</f>
        <v>0</v>
      </c>
      <c r="P2250" s="690"/>
      <c r="Q2250" s="690"/>
      <c r="R2250" s="691">
        <f t="shared" ref="R2250:R2313" si="294">SUM(P2250:Q2250)</f>
        <v>0</v>
      </c>
      <c r="S2250" s="692">
        <f t="shared" ref="S2250:S2313" si="295">SUM(G2250,I2250,K2250,M2250)</f>
        <v>0</v>
      </c>
      <c r="T2250" s="693">
        <f t="shared" ref="T2250:T2313" si="296">SUM(H2250,J2250,L2250,P2250)</f>
        <v>0</v>
      </c>
      <c r="U2250" s="1035"/>
      <c r="V2250" s="690"/>
      <c r="W2250" s="1025"/>
      <c r="X2250" s="1030"/>
      <c r="Y2250" s="694">
        <f t="shared" ref="Y2250:Y2313" si="297">SUM(W2250:X2250)</f>
        <v>0</v>
      </c>
      <c r="Z2250" s="690"/>
      <c r="AA2250" s="690"/>
      <c r="AB2250" s="695">
        <f t="shared" ref="AB2250:AB2313" si="298">SUM(Z2250:AA2250)</f>
        <v>0</v>
      </c>
      <c r="AC2250" s="1035"/>
      <c r="AD2250" s="690"/>
      <c r="AE2250" s="1025"/>
      <c r="AF2250" s="1030"/>
      <c r="AG2250" s="690"/>
      <c r="AH2250" s="690"/>
      <c r="AI2250" s="696">
        <f t="shared" ref="AI2250:AI2313" si="299">SUM(S2250,U2250,W2250,AC2250,AE2250)</f>
        <v>0</v>
      </c>
      <c r="AJ2250" s="697">
        <f t="shared" ref="AJ2250:AJ2313" si="300">SUM(T2250,V2250,Z2250,AD2250,AG2250)</f>
        <v>0</v>
      </c>
    </row>
    <row r="2251" spans="1:36" s="700" customFormat="1" ht="12.75" customHeight="1">
      <c r="A2251" s="714" t="s">
        <v>214</v>
      </c>
      <c r="B2251" s="714" t="s">
        <v>379</v>
      </c>
      <c r="C2251" s="713" t="s">
        <v>377</v>
      </c>
      <c r="D2251" s="713"/>
      <c r="E2251" s="708"/>
      <c r="F2251" s="709"/>
      <c r="G2251" s="1025"/>
      <c r="H2251" s="690"/>
      <c r="I2251" s="1030"/>
      <c r="J2251" s="690"/>
      <c r="K2251" s="1030"/>
      <c r="L2251" s="690"/>
      <c r="M2251" s="1025"/>
      <c r="N2251" s="1030"/>
      <c r="O2251" s="692">
        <f t="shared" si="293"/>
        <v>0</v>
      </c>
      <c r="P2251" s="690"/>
      <c r="Q2251" s="690"/>
      <c r="R2251" s="691">
        <f t="shared" si="294"/>
        <v>0</v>
      </c>
      <c r="S2251" s="692">
        <f t="shared" si="295"/>
        <v>0</v>
      </c>
      <c r="T2251" s="693">
        <f t="shared" si="296"/>
        <v>0</v>
      </c>
      <c r="U2251" s="1035"/>
      <c r="V2251" s="690"/>
      <c r="W2251" s="1025"/>
      <c r="X2251" s="1030"/>
      <c r="Y2251" s="694">
        <f t="shared" si="297"/>
        <v>0</v>
      </c>
      <c r="Z2251" s="690"/>
      <c r="AA2251" s="690"/>
      <c r="AB2251" s="695">
        <f t="shared" si="298"/>
        <v>0</v>
      </c>
      <c r="AC2251" s="1035"/>
      <c r="AD2251" s="690"/>
      <c r="AE2251" s="1025"/>
      <c r="AF2251" s="1030"/>
      <c r="AG2251" s="690"/>
      <c r="AH2251" s="690"/>
      <c r="AI2251" s="696">
        <f t="shared" si="299"/>
        <v>0</v>
      </c>
      <c r="AJ2251" s="697">
        <f t="shared" si="300"/>
        <v>0</v>
      </c>
    </row>
    <row r="2252" spans="1:36" s="700" customFormat="1" ht="12.75" customHeight="1">
      <c r="A2252" s="714" t="s">
        <v>214</v>
      </c>
      <c r="B2252" s="714" t="s">
        <v>279</v>
      </c>
      <c r="C2252" s="713" t="s">
        <v>54</v>
      </c>
      <c r="D2252" s="713"/>
      <c r="E2252" s="708"/>
      <c r="F2252" s="709"/>
      <c r="G2252" s="1025"/>
      <c r="H2252" s="690"/>
      <c r="I2252" s="1030"/>
      <c r="J2252" s="690"/>
      <c r="K2252" s="1030"/>
      <c r="L2252" s="690"/>
      <c r="M2252" s="1025"/>
      <c r="N2252" s="1030"/>
      <c r="O2252" s="692">
        <f t="shared" si="293"/>
        <v>0</v>
      </c>
      <c r="P2252" s="690"/>
      <c r="Q2252" s="690"/>
      <c r="R2252" s="691">
        <f t="shared" si="294"/>
        <v>0</v>
      </c>
      <c r="S2252" s="692">
        <f t="shared" si="295"/>
        <v>0</v>
      </c>
      <c r="T2252" s="693">
        <f t="shared" si="296"/>
        <v>0</v>
      </c>
      <c r="U2252" s="1035"/>
      <c r="V2252" s="690"/>
      <c r="W2252" s="1025"/>
      <c r="X2252" s="1030"/>
      <c r="Y2252" s="694">
        <f t="shared" si="297"/>
        <v>0</v>
      </c>
      <c r="Z2252" s="690"/>
      <c r="AA2252" s="690"/>
      <c r="AB2252" s="695">
        <f t="shared" si="298"/>
        <v>0</v>
      </c>
      <c r="AC2252" s="1035"/>
      <c r="AD2252" s="690"/>
      <c r="AE2252" s="1025"/>
      <c r="AF2252" s="1030"/>
      <c r="AG2252" s="690"/>
      <c r="AH2252" s="690"/>
      <c r="AI2252" s="696">
        <f t="shared" si="299"/>
        <v>0</v>
      </c>
      <c r="AJ2252" s="697">
        <f t="shared" si="300"/>
        <v>0</v>
      </c>
    </row>
    <row r="2253" spans="1:36" s="700" customFormat="1" ht="12.75" customHeight="1">
      <c r="A2253" s="714" t="s">
        <v>214</v>
      </c>
      <c r="B2253" s="714" t="s">
        <v>317</v>
      </c>
      <c r="C2253" s="713" t="s">
        <v>443</v>
      </c>
      <c r="D2253" s="713"/>
      <c r="E2253" s="708"/>
      <c r="F2253" s="709"/>
      <c r="G2253" s="1025"/>
      <c r="H2253" s="690"/>
      <c r="I2253" s="1030"/>
      <c r="J2253" s="690"/>
      <c r="K2253" s="1030"/>
      <c r="L2253" s="690"/>
      <c r="M2253" s="1025"/>
      <c r="N2253" s="1030"/>
      <c r="O2253" s="692">
        <f t="shared" si="293"/>
        <v>0</v>
      </c>
      <c r="P2253" s="690"/>
      <c r="Q2253" s="690"/>
      <c r="R2253" s="691">
        <f t="shared" si="294"/>
        <v>0</v>
      </c>
      <c r="S2253" s="692">
        <f t="shared" si="295"/>
        <v>0</v>
      </c>
      <c r="T2253" s="693">
        <f t="shared" si="296"/>
        <v>0</v>
      </c>
      <c r="U2253" s="1035"/>
      <c r="V2253" s="690"/>
      <c r="W2253" s="1025"/>
      <c r="X2253" s="1030"/>
      <c r="Y2253" s="694">
        <f t="shared" si="297"/>
        <v>0</v>
      </c>
      <c r="Z2253" s="690"/>
      <c r="AA2253" s="690"/>
      <c r="AB2253" s="695">
        <f t="shared" si="298"/>
        <v>0</v>
      </c>
      <c r="AC2253" s="1035"/>
      <c r="AD2253" s="690"/>
      <c r="AE2253" s="1025"/>
      <c r="AF2253" s="1030"/>
      <c r="AG2253" s="690"/>
      <c r="AH2253" s="690"/>
      <c r="AI2253" s="696">
        <f t="shared" si="299"/>
        <v>0</v>
      </c>
      <c r="AJ2253" s="697">
        <f t="shared" si="300"/>
        <v>0</v>
      </c>
    </row>
    <row r="2254" spans="1:36" s="700" customFormat="1" ht="12.75" customHeight="1">
      <c r="A2254" s="714" t="s">
        <v>214</v>
      </c>
      <c r="B2254" s="714" t="s">
        <v>379</v>
      </c>
      <c r="C2254" s="713" t="s">
        <v>377</v>
      </c>
      <c r="D2254" s="713"/>
      <c r="E2254" s="708"/>
      <c r="F2254" s="709"/>
      <c r="G2254" s="1025"/>
      <c r="H2254" s="690"/>
      <c r="I2254" s="1030"/>
      <c r="J2254" s="690"/>
      <c r="K2254" s="1030"/>
      <c r="L2254" s="690"/>
      <c r="M2254" s="1025"/>
      <c r="N2254" s="1030"/>
      <c r="O2254" s="692">
        <f t="shared" si="293"/>
        <v>0</v>
      </c>
      <c r="P2254" s="690"/>
      <c r="Q2254" s="690"/>
      <c r="R2254" s="691">
        <f t="shared" si="294"/>
        <v>0</v>
      </c>
      <c r="S2254" s="692">
        <f t="shared" si="295"/>
        <v>0</v>
      </c>
      <c r="T2254" s="693">
        <f t="shared" si="296"/>
        <v>0</v>
      </c>
      <c r="U2254" s="1035"/>
      <c r="V2254" s="690"/>
      <c r="W2254" s="1025"/>
      <c r="X2254" s="1030"/>
      <c r="Y2254" s="694">
        <f t="shared" si="297"/>
        <v>0</v>
      </c>
      <c r="Z2254" s="690"/>
      <c r="AA2254" s="690"/>
      <c r="AB2254" s="695">
        <f t="shared" si="298"/>
        <v>0</v>
      </c>
      <c r="AC2254" s="1035"/>
      <c r="AD2254" s="690"/>
      <c r="AE2254" s="1025"/>
      <c r="AF2254" s="1030"/>
      <c r="AG2254" s="690"/>
      <c r="AH2254" s="690"/>
      <c r="AI2254" s="696">
        <f t="shared" si="299"/>
        <v>0</v>
      </c>
      <c r="AJ2254" s="697">
        <f t="shared" si="300"/>
        <v>0</v>
      </c>
    </row>
    <row r="2255" spans="1:36" s="700" customFormat="1" ht="12.75" customHeight="1">
      <c r="A2255" s="714" t="s">
        <v>214</v>
      </c>
      <c r="B2255" s="686" t="s">
        <v>420</v>
      </c>
      <c r="C2255" s="712" t="s">
        <v>1355</v>
      </c>
      <c r="D2255" s="712"/>
      <c r="E2255" s="688"/>
      <c r="F2255" s="689"/>
      <c r="G2255" s="1025"/>
      <c r="H2255" s="690"/>
      <c r="I2255" s="1030"/>
      <c r="J2255" s="690"/>
      <c r="K2255" s="1030"/>
      <c r="L2255" s="690"/>
      <c r="M2255" s="1025"/>
      <c r="N2255" s="1030"/>
      <c r="O2255" s="692">
        <f t="shared" si="293"/>
        <v>0</v>
      </c>
      <c r="P2255" s="690"/>
      <c r="Q2255" s="690"/>
      <c r="R2255" s="691">
        <f t="shared" si="294"/>
        <v>0</v>
      </c>
      <c r="S2255" s="692">
        <f t="shared" si="295"/>
        <v>0</v>
      </c>
      <c r="T2255" s="693">
        <f t="shared" si="296"/>
        <v>0</v>
      </c>
      <c r="U2255" s="1035">
        <v>100000</v>
      </c>
      <c r="V2255" s="690">
        <v>98228</v>
      </c>
      <c r="W2255" s="1025"/>
      <c r="X2255" s="1030"/>
      <c r="Y2255" s="694">
        <f t="shared" si="297"/>
        <v>0</v>
      </c>
      <c r="Z2255" s="690"/>
      <c r="AA2255" s="690"/>
      <c r="AB2255" s="695">
        <f t="shared" si="298"/>
        <v>0</v>
      </c>
      <c r="AC2255" s="1035"/>
      <c r="AD2255" s="690"/>
      <c r="AE2255" s="1025"/>
      <c r="AF2255" s="1030"/>
      <c r="AG2255" s="690"/>
      <c r="AH2255" s="690"/>
      <c r="AI2255" s="696">
        <f t="shared" si="299"/>
        <v>100000</v>
      </c>
      <c r="AJ2255" s="697">
        <f t="shared" si="300"/>
        <v>98228</v>
      </c>
    </row>
    <row r="2256" spans="1:36" s="700" customFormat="1" ht="12.75" customHeight="1">
      <c r="A2256" s="714" t="s">
        <v>214</v>
      </c>
      <c r="B2256" s="714" t="s">
        <v>442</v>
      </c>
      <c r="C2256" s="713" t="s">
        <v>443</v>
      </c>
      <c r="D2256" s="713"/>
      <c r="E2256" s="708"/>
      <c r="F2256" s="709"/>
      <c r="G2256" s="1025"/>
      <c r="H2256" s="690"/>
      <c r="I2256" s="1030"/>
      <c r="J2256" s="690"/>
      <c r="K2256" s="1030"/>
      <c r="L2256" s="690"/>
      <c r="M2256" s="1025"/>
      <c r="N2256" s="1030"/>
      <c r="O2256" s="692">
        <f t="shared" si="293"/>
        <v>0</v>
      </c>
      <c r="P2256" s="690"/>
      <c r="Q2256" s="690"/>
      <c r="R2256" s="691">
        <f t="shared" si="294"/>
        <v>0</v>
      </c>
      <c r="S2256" s="692">
        <f t="shared" si="295"/>
        <v>0</v>
      </c>
      <c r="T2256" s="693">
        <f t="shared" si="296"/>
        <v>0</v>
      </c>
      <c r="U2256" s="1035"/>
      <c r="V2256" s="690"/>
      <c r="W2256" s="1025"/>
      <c r="X2256" s="1030"/>
      <c r="Y2256" s="694">
        <f t="shared" si="297"/>
        <v>0</v>
      </c>
      <c r="Z2256" s="690"/>
      <c r="AA2256" s="690"/>
      <c r="AB2256" s="695">
        <f t="shared" si="298"/>
        <v>0</v>
      </c>
      <c r="AC2256" s="1035"/>
      <c r="AD2256" s="690"/>
      <c r="AE2256" s="1025"/>
      <c r="AF2256" s="1030"/>
      <c r="AG2256" s="690"/>
      <c r="AH2256" s="690"/>
      <c r="AI2256" s="696">
        <f t="shared" si="299"/>
        <v>0</v>
      </c>
      <c r="AJ2256" s="697">
        <f t="shared" si="300"/>
        <v>0</v>
      </c>
    </row>
    <row r="2257" spans="1:36" s="700" customFormat="1" ht="12.75" customHeight="1">
      <c r="A2257" s="714" t="s">
        <v>214</v>
      </c>
      <c r="B2257" s="714" t="s">
        <v>379</v>
      </c>
      <c r="C2257" s="713" t="s">
        <v>377</v>
      </c>
      <c r="D2257" s="713"/>
      <c r="E2257" s="708"/>
      <c r="F2257" s="709"/>
      <c r="G2257" s="1025"/>
      <c r="H2257" s="690"/>
      <c r="I2257" s="1030"/>
      <c r="J2257" s="690"/>
      <c r="K2257" s="1030"/>
      <c r="L2257" s="690"/>
      <c r="M2257" s="1025"/>
      <c r="N2257" s="1030"/>
      <c r="O2257" s="692">
        <f t="shared" si="293"/>
        <v>0</v>
      </c>
      <c r="P2257" s="690"/>
      <c r="Q2257" s="690"/>
      <c r="R2257" s="691">
        <f t="shared" si="294"/>
        <v>0</v>
      </c>
      <c r="S2257" s="692">
        <f t="shared" si="295"/>
        <v>0</v>
      </c>
      <c r="T2257" s="693">
        <f t="shared" si="296"/>
        <v>0</v>
      </c>
      <c r="U2257" s="1035"/>
      <c r="V2257" s="690"/>
      <c r="W2257" s="1025"/>
      <c r="X2257" s="1030"/>
      <c r="Y2257" s="694">
        <f t="shared" si="297"/>
        <v>0</v>
      </c>
      <c r="Z2257" s="690"/>
      <c r="AA2257" s="690"/>
      <c r="AB2257" s="695">
        <f t="shared" si="298"/>
        <v>0</v>
      </c>
      <c r="AC2257" s="1035"/>
      <c r="AD2257" s="690"/>
      <c r="AE2257" s="1025"/>
      <c r="AF2257" s="1030"/>
      <c r="AG2257" s="690"/>
      <c r="AH2257" s="690"/>
      <c r="AI2257" s="696">
        <f t="shared" si="299"/>
        <v>0</v>
      </c>
      <c r="AJ2257" s="697">
        <f t="shared" si="300"/>
        <v>0</v>
      </c>
    </row>
    <row r="2258" spans="1:36" s="700" customFormat="1" ht="12.75" customHeight="1">
      <c r="A2258" s="714" t="s">
        <v>214</v>
      </c>
      <c r="B2258" s="714" t="s">
        <v>295</v>
      </c>
      <c r="C2258" s="713" t="s">
        <v>53</v>
      </c>
      <c r="D2258" s="713"/>
      <c r="E2258" s="708"/>
      <c r="F2258" s="709"/>
      <c r="G2258" s="1025"/>
      <c r="H2258" s="690"/>
      <c r="I2258" s="1030"/>
      <c r="J2258" s="690"/>
      <c r="K2258" s="1030"/>
      <c r="L2258" s="690"/>
      <c r="M2258" s="1025"/>
      <c r="N2258" s="1030"/>
      <c r="O2258" s="692">
        <f t="shared" si="293"/>
        <v>0</v>
      </c>
      <c r="P2258" s="690"/>
      <c r="Q2258" s="690"/>
      <c r="R2258" s="691">
        <f t="shared" si="294"/>
        <v>0</v>
      </c>
      <c r="S2258" s="692">
        <f t="shared" si="295"/>
        <v>0</v>
      </c>
      <c r="T2258" s="693">
        <f t="shared" si="296"/>
        <v>0</v>
      </c>
      <c r="U2258" s="1035"/>
      <c r="V2258" s="690"/>
      <c r="W2258" s="1025"/>
      <c r="X2258" s="1030"/>
      <c r="Y2258" s="694">
        <f t="shared" si="297"/>
        <v>0</v>
      </c>
      <c r="Z2258" s="690"/>
      <c r="AA2258" s="690"/>
      <c r="AB2258" s="695">
        <f t="shared" si="298"/>
        <v>0</v>
      </c>
      <c r="AC2258" s="1035"/>
      <c r="AD2258" s="690"/>
      <c r="AE2258" s="1025"/>
      <c r="AF2258" s="1030"/>
      <c r="AG2258" s="690"/>
      <c r="AH2258" s="690"/>
      <c r="AI2258" s="696">
        <f t="shared" si="299"/>
        <v>0</v>
      </c>
      <c r="AJ2258" s="697">
        <f t="shared" si="300"/>
        <v>0</v>
      </c>
    </row>
    <row r="2259" spans="1:36" s="700" customFormat="1" ht="12.75" customHeight="1">
      <c r="A2259" s="714" t="s">
        <v>214</v>
      </c>
      <c r="B2259" s="714" t="s">
        <v>296</v>
      </c>
      <c r="C2259" s="713" t="s">
        <v>443</v>
      </c>
      <c r="D2259" s="713"/>
      <c r="E2259" s="708"/>
      <c r="F2259" s="709"/>
      <c r="G2259" s="1025"/>
      <c r="H2259" s="690"/>
      <c r="I2259" s="1030"/>
      <c r="J2259" s="690"/>
      <c r="K2259" s="1030"/>
      <c r="L2259" s="690"/>
      <c r="M2259" s="1025"/>
      <c r="N2259" s="1030"/>
      <c r="O2259" s="692">
        <f t="shared" si="293"/>
        <v>0</v>
      </c>
      <c r="P2259" s="690"/>
      <c r="Q2259" s="690"/>
      <c r="R2259" s="691">
        <f t="shared" si="294"/>
        <v>0</v>
      </c>
      <c r="S2259" s="692">
        <f t="shared" si="295"/>
        <v>0</v>
      </c>
      <c r="T2259" s="693">
        <f t="shared" si="296"/>
        <v>0</v>
      </c>
      <c r="U2259" s="1035"/>
      <c r="V2259" s="690"/>
      <c r="W2259" s="1025"/>
      <c r="X2259" s="1030"/>
      <c r="Y2259" s="694">
        <f t="shared" si="297"/>
        <v>0</v>
      </c>
      <c r="Z2259" s="690"/>
      <c r="AA2259" s="690"/>
      <c r="AB2259" s="695">
        <f t="shared" si="298"/>
        <v>0</v>
      </c>
      <c r="AC2259" s="1035"/>
      <c r="AD2259" s="690"/>
      <c r="AE2259" s="1025"/>
      <c r="AF2259" s="1030"/>
      <c r="AG2259" s="690"/>
      <c r="AH2259" s="690"/>
      <c r="AI2259" s="696">
        <f t="shared" si="299"/>
        <v>0</v>
      </c>
      <c r="AJ2259" s="697">
        <f t="shared" si="300"/>
        <v>0</v>
      </c>
    </row>
    <row r="2260" spans="1:36" s="700" customFormat="1" ht="12.75" customHeight="1">
      <c r="A2260" s="714" t="s">
        <v>214</v>
      </c>
      <c r="B2260" s="714" t="s">
        <v>379</v>
      </c>
      <c r="C2260" s="713" t="s">
        <v>377</v>
      </c>
      <c r="D2260" s="713"/>
      <c r="E2260" s="708"/>
      <c r="F2260" s="709"/>
      <c r="G2260" s="1025"/>
      <c r="H2260" s="690"/>
      <c r="I2260" s="1030"/>
      <c r="J2260" s="690"/>
      <c r="K2260" s="1030"/>
      <c r="L2260" s="690"/>
      <c r="M2260" s="1025"/>
      <c r="N2260" s="1030"/>
      <c r="O2260" s="692">
        <f t="shared" si="293"/>
        <v>0</v>
      </c>
      <c r="P2260" s="690"/>
      <c r="Q2260" s="690"/>
      <c r="R2260" s="691">
        <f t="shared" si="294"/>
        <v>0</v>
      </c>
      <c r="S2260" s="692">
        <f t="shared" si="295"/>
        <v>0</v>
      </c>
      <c r="T2260" s="693">
        <f t="shared" si="296"/>
        <v>0</v>
      </c>
      <c r="U2260" s="1035"/>
      <c r="V2260" s="690"/>
      <c r="W2260" s="1025"/>
      <c r="X2260" s="1030"/>
      <c r="Y2260" s="694">
        <f t="shared" si="297"/>
        <v>0</v>
      </c>
      <c r="Z2260" s="690"/>
      <c r="AA2260" s="690"/>
      <c r="AB2260" s="695">
        <f t="shared" si="298"/>
        <v>0</v>
      </c>
      <c r="AC2260" s="1035"/>
      <c r="AD2260" s="690"/>
      <c r="AE2260" s="1025"/>
      <c r="AF2260" s="1030"/>
      <c r="AG2260" s="690"/>
      <c r="AH2260" s="690"/>
      <c r="AI2260" s="696">
        <f t="shared" si="299"/>
        <v>0</v>
      </c>
      <c r="AJ2260" s="697">
        <f t="shared" si="300"/>
        <v>0</v>
      </c>
    </row>
    <row r="2261" spans="1:36" s="700" customFormat="1" ht="12.75" customHeight="1">
      <c r="A2261" s="714" t="s">
        <v>214</v>
      </c>
      <c r="B2261" s="714" t="s">
        <v>279</v>
      </c>
      <c r="C2261" s="713" t="s">
        <v>54</v>
      </c>
      <c r="D2261" s="713"/>
      <c r="E2261" s="708"/>
      <c r="F2261" s="709"/>
      <c r="G2261" s="1025"/>
      <c r="H2261" s="690"/>
      <c r="I2261" s="1030"/>
      <c r="J2261" s="690"/>
      <c r="K2261" s="1030"/>
      <c r="L2261" s="690"/>
      <c r="M2261" s="1025"/>
      <c r="N2261" s="1030"/>
      <c r="O2261" s="692">
        <f t="shared" si="293"/>
        <v>0</v>
      </c>
      <c r="P2261" s="690"/>
      <c r="Q2261" s="690"/>
      <c r="R2261" s="691">
        <f t="shared" si="294"/>
        <v>0</v>
      </c>
      <c r="S2261" s="692">
        <f t="shared" si="295"/>
        <v>0</v>
      </c>
      <c r="T2261" s="693">
        <f t="shared" si="296"/>
        <v>0</v>
      </c>
      <c r="U2261" s="1035"/>
      <c r="V2261" s="690"/>
      <c r="W2261" s="1025"/>
      <c r="X2261" s="1030"/>
      <c r="Y2261" s="694">
        <f t="shared" si="297"/>
        <v>0</v>
      </c>
      <c r="Z2261" s="690"/>
      <c r="AA2261" s="690"/>
      <c r="AB2261" s="695">
        <f t="shared" si="298"/>
        <v>0</v>
      </c>
      <c r="AC2261" s="1035"/>
      <c r="AD2261" s="690"/>
      <c r="AE2261" s="1025"/>
      <c r="AF2261" s="1030"/>
      <c r="AG2261" s="690"/>
      <c r="AH2261" s="690"/>
      <c r="AI2261" s="696">
        <f t="shared" si="299"/>
        <v>0</v>
      </c>
      <c r="AJ2261" s="697">
        <f t="shared" si="300"/>
        <v>0</v>
      </c>
    </row>
    <row r="2262" spans="1:36" s="700" customFormat="1" ht="12.75" customHeight="1">
      <c r="A2262" s="714" t="s">
        <v>214</v>
      </c>
      <c r="B2262" s="714" t="s">
        <v>317</v>
      </c>
      <c r="C2262" s="713" t="s">
        <v>443</v>
      </c>
      <c r="D2262" s="713"/>
      <c r="E2262" s="708"/>
      <c r="F2262" s="709"/>
      <c r="G2262" s="1025"/>
      <c r="H2262" s="690"/>
      <c r="I2262" s="1030"/>
      <c r="J2262" s="690"/>
      <c r="K2262" s="1030"/>
      <c r="L2262" s="690"/>
      <c r="M2262" s="1025"/>
      <c r="N2262" s="1030"/>
      <c r="O2262" s="692">
        <f t="shared" si="293"/>
        <v>0</v>
      </c>
      <c r="P2262" s="690"/>
      <c r="Q2262" s="690"/>
      <c r="R2262" s="691">
        <f t="shared" si="294"/>
        <v>0</v>
      </c>
      <c r="S2262" s="692">
        <f t="shared" si="295"/>
        <v>0</v>
      </c>
      <c r="T2262" s="693">
        <f t="shared" si="296"/>
        <v>0</v>
      </c>
      <c r="U2262" s="1035"/>
      <c r="V2262" s="690"/>
      <c r="W2262" s="1025"/>
      <c r="X2262" s="1030"/>
      <c r="Y2262" s="694">
        <f t="shared" si="297"/>
        <v>0</v>
      </c>
      <c r="Z2262" s="690"/>
      <c r="AA2262" s="690"/>
      <c r="AB2262" s="695">
        <f t="shared" si="298"/>
        <v>0</v>
      </c>
      <c r="AC2262" s="1035"/>
      <c r="AD2262" s="690"/>
      <c r="AE2262" s="1025"/>
      <c r="AF2262" s="1030"/>
      <c r="AG2262" s="690"/>
      <c r="AH2262" s="690"/>
      <c r="AI2262" s="696">
        <f t="shared" si="299"/>
        <v>0</v>
      </c>
      <c r="AJ2262" s="697">
        <f t="shared" si="300"/>
        <v>0</v>
      </c>
    </row>
    <row r="2263" spans="1:36" s="700" customFormat="1" ht="12.75" customHeight="1">
      <c r="A2263" s="714" t="s">
        <v>214</v>
      </c>
      <c r="B2263" s="714" t="s">
        <v>379</v>
      </c>
      <c r="C2263" s="713" t="s">
        <v>377</v>
      </c>
      <c r="D2263" s="713"/>
      <c r="E2263" s="708"/>
      <c r="F2263" s="709"/>
      <c r="G2263" s="1025"/>
      <c r="H2263" s="690"/>
      <c r="I2263" s="1030"/>
      <c r="J2263" s="690"/>
      <c r="K2263" s="1030"/>
      <c r="L2263" s="690"/>
      <c r="M2263" s="1025"/>
      <c r="N2263" s="1030"/>
      <c r="O2263" s="692">
        <f t="shared" si="293"/>
        <v>0</v>
      </c>
      <c r="P2263" s="690"/>
      <c r="Q2263" s="690"/>
      <c r="R2263" s="691">
        <f t="shared" si="294"/>
        <v>0</v>
      </c>
      <c r="S2263" s="692">
        <f t="shared" si="295"/>
        <v>0</v>
      </c>
      <c r="T2263" s="693">
        <f t="shared" si="296"/>
        <v>0</v>
      </c>
      <c r="U2263" s="1035"/>
      <c r="V2263" s="690"/>
      <c r="W2263" s="1025"/>
      <c r="X2263" s="1030"/>
      <c r="Y2263" s="694">
        <f t="shared" si="297"/>
        <v>0</v>
      </c>
      <c r="Z2263" s="690"/>
      <c r="AA2263" s="690"/>
      <c r="AB2263" s="695">
        <f t="shared" si="298"/>
        <v>0</v>
      </c>
      <c r="AC2263" s="1035"/>
      <c r="AD2263" s="690"/>
      <c r="AE2263" s="1025"/>
      <c r="AF2263" s="1030"/>
      <c r="AG2263" s="690"/>
      <c r="AH2263" s="690"/>
      <c r="AI2263" s="696">
        <f t="shared" si="299"/>
        <v>0</v>
      </c>
      <c r="AJ2263" s="697">
        <f t="shared" si="300"/>
        <v>0</v>
      </c>
    </row>
    <row r="2264" spans="1:36" s="700" customFormat="1" ht="12.75" customHeight="1">
      <c r="A2264" s="714" t="s">
        <v>214</v>
      </c>
      <c r="B2264" s="686" t="s">
        <v>420</v>
      </c>
      <c r="C2264" s="712" t="s">
        <v>1356</v>
      </c>
      <c r="D2264" s="712"/>
      <c r="E2264" s="688"/>
      <c r="F2264" s="689"/>
      <c r="G2264" s="1025"/>
      <c r="H2264" s="690"/>
      <c r="I2264" s="1030"/>
      <c r="J2264" s="690"/>
      <c r="K2264" s="1030"/>
      <c r="L2264" s="690"/>
      <c r="M2264" s="1025"/>
      <c r="N2264" s="1030"/>
      <c r="O2264" s="692">
        <f t="shared" si="293"/>
        <v>0</v>
      </c>
      <c r="P2264" s="690"/>
      <c r="Q2264" s="690"/>
      <c r="R2264" s="691">
        <f t="shared" si="294"/>
        <v>0</v>
      </c>
      <c r="S2264" s="692">
        <f t="shared" si="295"/>
        <v>0</v>
      </c>
      <c r="T2264" s="693">
        <f t="shared" si="296"/>
        <v>0</v>
      </c>
      <c r="U2264" s="1035">
        <v>800229</v>
      </c>
      <c r="V2264" s="690">
        <v>1035823</v>
      </c>
      <c r="W2264" s="1025"/>
      <c r="X2264" s="1030"/>
      <c r="Y2264" s="694">
        <f t="shared" si="297"/>
        <v>0</v>
      </c>
      <c r="Z2264" s="690"/>
      <c r="AA2264" s="690"/>
      <c r="AB2264" s="695">
        <f t="shared" si="298"/>
        <v>0</v>
      </c>
      <c r="AC2264" s="1035"/>
      <c r="AD2264" s="690"/>
      <c r="AE2264" s="1025"/>
      <c r="AF2264" s="1030"/>
      <c r="AG2264" s="690"/>
      <c r="AH2264" s="690"/>
      <c r="AI2264" s="696">
        <f t="shared" si="299"/>
        <v>800229</v>
      </c>
      <c r="AJ2264" s="697">
        <f t="shared" si="300"/>
        <v>1035823</v>
      </c>
    </row>
    <row r="2265" spans="1:36" s="700" customFormat="1" ht="12.75" customHeight="1">
      <c r="A2265" s="714" t="s">
        <v>214</v>
      </c>
      <c r="B2265" s="714" t="s">
        <v>442</v>
      </c>
      <c r="C2265" s="713" t="s">
        <v>443</v>
      </c>
      <c r="D2265" s="713"/>
      <c r="E2265" s="708"/>
      <c r="F2265" s="709"/>
      <c r="G2265" s="1025"/>
      <c r="H2265" s="690"/>
      <c r="I2265" s="1030"/>
      <c r="J2265" s="690"/>
      <c r="K2265" s="1030"/>
      <c r="L2265" s="690"/>
      <c r="M2265" s="1025"/>
      <c r="N2265" s="1030"/>
      <c r="O2265" s="692">
        <f t="shared" si="293"/>
        <v>0</v>
      </c>
      <c r="P2265" s="690"/>
      <c r="Q2265" s="690"/>
      <c r="R2265" s="691">
        <f t="shared" si="294"/>
        <v>0</v>
      </c>
      <c r="S2265" s="692">
        <f t="shared" si="295"/>
        <v>0</v>
      </c>
      <c r="T2265" s="693">
        <f t="shared" si="296"/>
        <v>0</v>
      </c>
      <c r="U2265" s="1035"/>
      <c r="V2265" s="690"/>
      <c r="W2265" s="1025"/>
      <c r="X2265" s="1030"/>
      <c r="Y2265" s="694">
        <f t="shared" si="297"/>
        <v>0</v>
      </c>
      <c r="Z2265" s="690"/>
      <c r="AA2265" s="690"/>
      <c r="AB2265" s="695">
        <f t="shared" si="298"/>
        <v>0</v>
      </c>
      <c r="AC2265" s="1035"/>
      <c r="AD2265" s="690"/>
      <c r="AE2265" s="1025"/>
      <c r="AF2265" s="1030"/>
      <c r="AG2265" s="690"/>
      <c r="AH2265" s="690"/>
      <c r="AI2265" s="696">
        <f t="shared" si="299"/>
        <v>0</v>
      </c>
      <c r="AJ2265" s="697">
        <f t="shared" si="300"/>
        <v>0</v>
      </c>
    </row>
    <row r="2266" spans="1:36" s="700" customFormat="1" ht="12.75" customHeight="1">
      <c r="A2266" s="714" t="s">
        <v>214</v>
      </c>
      <c r="B2266" s="714" t="s">
        <v>379</v>
      </c>
      <c r="C2266" s="713" t="s">
        <v>377</v>
      </c>
      <c r="D2266" s="713"/>
      <c r="E2266" s="708"/>
      <c r="F2266" s="709"/>
      <c r="G2266" s="1025"/>
      <c r="H2266" s="690"/>
      <c r="I2266" s="1030"/>
      <c r="J2266" s="690"/>
      <c r="K2266" s="1030"/>
      <c r="L2266" s="690"/>
      <c r="M2266" s="1025"/>
      <c r="N2266" s="1030"/>
      <c r="O2266" s="692">
        <f t="shared" si="293"/>
        <v>0</v>
      </c>
      <c r="P2266" s="690"/>
      <c r="Q2266" s="690"/>
      <c r="R2266" s="691">
        <f t="shared" si="294"/>
        <v>0</v>
      </c>
      <c r="S2266" s="692">
        <f t="shared" si="295"/>
        <v>0</v>
      </c>
      <c r="T2266" s="693">
        <f t="shared" si="296"/>
        <v>0</v>
      </c>
      <c r="U2266" s="1035"/>
      <c r="V2266" s="690"/>
      <c r="W2266" s="1025"/>
      <c r="X2266" s="1030"/>
      <c r="Y2266" s="694">
        <f t="shared" si="297"/>
        <v>0</v>
      </c>
      <c r="Z2266" s="690"/>
      <c r="AA2266" s="690"/>
      <c r="AB2266" s="695">
        <f t="shared" si="298"/>
        <v>0</v>
      </c>
      <c r="AC2266" s="1035"/>
      <c r="AD2266" s="690"/>
      <c r="AE2266" s="1025"/>
      <c r="AF2266" s="1030"/>
      <c r="AG2266" s="690"/>
      <c r="AH2266" s="690"/>
      <c r="AI2266" s="696">
        <f t="shared" si="299"/>
        <v>0</v>
      </c>
      <c r="AJ2266" s="697">
        <f t="shared" si="300"/>
        <v>0</v>
      </c>
    </row>
    <row r="2267" spans="1:36" s="700" customFormat="1" ht="12.75" customHeight="1">
      <c r="A2267" s="714" t="s">
        <v>214</v>
      </c>
      <c r="B2267" s="714" t="s">
        <v>295</v>
      </c>
      <c r="C2267" s="713" t="s">
        <v>53</v>
      </c>
      <c r="D2267" s="713"/>
      <c r="E2267" s="708"/>
      <c r="F2267" s="709"/>
      <c r="G2267" s="1025"/>
      <c r="H2267" s="690"/>
      <c r="I2267" s="1030"/>
      <c r="J2267" s="690"/>
      <c r="K2267" s="1030"/>
      <c r="L2267" s="690"/>
      <c r="M2267" s="1025"/>
      <c r="N2267" s="1030"/>
      <c r="O2267" s="692">
        <f t="shared" si="293"/>
        <v>0</v>
      </c>
      <c r="P2267" s="690"/>
      <c r="Q2267" s="690"/>
      <c r="R2267" s="691">
        <f t="shared" si="294"/>
        <v>0</v>
      </c>
      <c r="S2267" s="692">
        <f t="shared" si="295"/>
        <v>0</v>
      </c>
      <c r="T2267" s="693">
        <f t="shared" si="296"/>
        <v>0</v>
      </c>
      <c r="U2267" s="1035"/>
      <c r="V2267" s="690"/>
      <c r="W2267" s="1025"/>
      <c r="X2267" s="1030"/>
      <c r="Y2267" s="694">
        <f t="shared" si="297"/>
        <v>0</v>
      </c>
      <c r="Z2267" s="690"/>
      <c r="AA2267" s="690"/>
      <c r="AB2267" s="695">
        <f t="shared" si="298"/>
        <v>0</v>
      </c>
      <c r="AC2267" s="1035"/>
      <c r="AD2267" s="690"/>
      <c r="AE2267" s="1025"/>
      <c r="AF2267" s="1030"/>
      <c r="AG2267" s="690"/>
      <c r="AH2267" s="690"/>
      <c r="AI2267" s="696">
        <f t="shared" si="299"/>
        <v>0</v>
      </c>
      <c r="AJ2267" s="697">
        <f t="shared" si="300"/>
        <v>0</v>
      </c>
    </row>
    <row r="2268" spans="1:36" s="700" customFormat="1" ht="12.75" customHeight="1">
      <c r="A2268" s="714" t="s">
        <v>214</v>
      </c>
      <c r="B2268" s="714" t="s">
        <v>296</v>
      </c>
      <c r="C2268" s="713" t="s">
        <v>443</v>
      </c>
      <c r="D2268" s="713"/>
      <c r="E2268" s="708"/>
      <c r="F2268" s="709"/>
      <c r="G2268" s="1025"/>
      <c r="H2268" s="690"/>
      <c r="I2268" s="1030"/>
      <c r="J2268" s="690"/>
      <c r="K2268" s="1030"/>
      <c r="L2268" s="690"/>
      <c r="M2268" s="1025"/>
      <c r="N2268" s="1030"/>
      <c r="O2268" s="692">
        <f t="shared" si="293"/>
        <v>0</v>
      </c>
      <c r="P2268" s="690"/>
      <c r="Q2268" s="690"/>
      <c r="R2268" s="691">
        <f t="shared" si="294"/>
        <v>0</v>
      </c>
      <c r="S2268" s="692">
        <f t="shared" si="295"/>
        <v>0</v>
      </c>
      <c r="T2268" s="693">
        <f t="shared" si="296"/>
        <v>0</v>
      </c>
      <c r="U2268" s="1035"/>
      <c r="V2268" s="690"/>
      <c r="W2268" s="1025"/>
      <c r="X2268" s="1030"/>
      <c r="Y2268" s="694">
        <f t="shared" si="297"/>
        <v>0</v>
      </c>
      <c r="Z2268" s="690"/>
      <c r="AA2268" s="690"/>
      <c r="AB2268" s="695">
        <f t="shared" si="298"/>
        <v>0</v>
      </c>
      <c r="AC2268" s="1035"/>
      <c r="AD2268" s="690"/>
      <c r="AE2268" s="1025"/>
      <c r="AF2268" s="1030"/>
      <c r="AG2268" s="690"/>
      <c r="AH2268" s="690"/>
      <c r="AI2268" s="696">
        <f t="shared" si="299"/>
        <v>0</v>
      </c>
      <c r="AJ2268" s="697">
        <f t="shared" si="300"/>
        <v>0</v>
      </c>
    </row>
    <row r="2269" spans="1:36" s="700" customFormat="1" ht="12.75" customHeight="1">
      <c r="A2269" s="714" t="s">
        <v>214</v>
      </c>
      <c r="B2269" s="714" t="s">
        <v>379</v>
      </c>
      <c r="C2269" s="713" t="s">
        <v>377</v>
      </c>
      <c r="D2269" s="713"/>
      <c r="E2269" s="708"/>
      <c r="F2269" s="709"/>
      <c r="G2269" s="1025"/>
      <c r="H2269" s="690"/>
      <c r="I2269" s="1030"/>
      <c r="J2269" s="690"/>
      <c r="K2269" s="1030"/>
      <c r="L2269" s="690"/>
      <c r="M2269" s="1025"/>
      <c r="N2269" s="1030"/>
      <c r="O2269" s="692">
        <f t="shared" si="293"/>
        <v>0</v>
      </c>
      <c r="P2269" s="690"/>
      <c r="Q2269" s="690"/>
      <c r="R2269" s="691">
        <f t="shared" si="294"/>
        <v>0</v>
      </c>
      <c r="S2269" s="692">
        <f t="shared" si="295"/>
        <v>0</v>
      </c>
      <c r="T2269" s="693">
        <f t="shared" si="296"/>
        <v>0</v>
      </c>
      <c r="U2269" s="1035"/>
      <c r="V2269" s="690"/>
      <c r="W2269" s="1025"/>
      <c r="X2269" s="1030"/>
      <c r="Y2269" s="694">
        <f t="shared" si="297"/>
        <v>0</v>
      </c>
      <c r="Z2269" s="690"/>
      <c r="AA2269" s="690"/>
      <c r="AB2269" s="695">
        <f t="shared" si="298"/>
        <v>0</v>
      </c>
      <c r="AC2269" s="1035"/>
      <c r="AD2269" s="690"/>
      <c r="AE2269" s="1025"/>
      <c r="AF2269" s="1030"/>
      <c r="AG2269" s="690"/>
      <c r="AH2269" s="690"/>
      <c r="AI2269" s="696">
        <f t="shared" si="299"/>
        <v>0</v>
      </c>
      <c r="AJ2269" s="697">
        <f t="shared" si="300"/>
        <v>0</v>
      </c>
    </row>
    <row r="2270" spans="1:36" s="700" customFormat="1" ht="12.75" customHeight="1">
      <c r="A2270" s="714" t="s">
        <v>214</v>
      </c>
      <c r="B2270" s="714" t="s">
        <v>279</v>
      </c>
      <c r="C2270" s="713" t="s">
        <v>54</v>
      </c>
      <c r="D2270" s="713"/>
      <c r="E2270" s="708"/>
      <c r="F2270" s="709"/>
      <c r="G2270" s="1025"/>
      <c r="H2270" s="690"/>
      <c r="I2270" s="1030"/>
      <c r="J2270" s="690"/>
      <c r="K2270" s="1030"/>
      <c r="L2270" s="690"/>
      <c r="M2270" s="1025"/>
      <c r="N2270" s="1030"/>
      <c r="O2270" s="692">
        <f t="shared" si="293"/>
        <v>0</v>
      </c>
      <c r="P2270" s="690"/>
      <c r="Q2270" s="690"/>
      <c r="R2270" s="691">
        <f t="shared" si="294"/>
        <v>0</v>
      </c>
      <c r="S2270" s="692">
        <f t="shared" si="295"/>
        <v>0</v>
      </c>
      <c r="T2270" s="693">
        <f t="shared" si="296"/>
        <v>0</v>
      </c>
      <c r="U2270" s="1035"/>
      <c r="V2270" s="690"/>
      <c r="W2270" s="1025"/>
      <c r="X2270" s="1030"/>
      <c r="Y2270" s="694">
        <f t="shared" si="297"/>
        <v>0</v>
      </c>
      <c r="Z2270" s="690"/>
      <c r="AA2270" s="690"/>
      <c r="AB2270" s="695">
        <f t="shared" si="298"/>
        <v>0</v>
      </c>
      <c r="AC2270" s="1035"/>
      <c r="AD2270" s="690"/>
      <c r="AE2270" s="1025"/>
      <c r="AF2270" s="1030"/>
      <c r="AG2270" s="690"/>
      <c r="AH2270" s="690"/>
      <c r="AI2270" s="696">
        <f t="shared" si="299"/>
        <v>0</v>
      </c>
      <c r="AJ2270" s="697">
        <f t="shared" si="300"/>
        <v>0</v>
      </c>
    </row>
    <row r="2271" spans="1:36" s="700" customFormat="1" ht="12.75" customHeight="1">
      <c r="A2271" s="714" t="s">
        <v>214</v>
      </c>
      <c r="B2271" s="714" t="s">
        <v>317</v>
      </c>
      <c r="C2271" s="713" t="s">
        <v>443</v>
      </c>
      <c r="D2271" s="713"/>
      <c r="E2271" s="708"/>
      <c r="F2271" s="709"/>
      <c r="G2271" s="1025"/>
      <c r="H2271" s="690"/>
      <c r="I2271" s="1030"/>
      <c r="J2271" s="690"/>
      <c r="K2271" s="1030"/>
      <c r="L2271" s="690"/>
      <c r="M2271" s="1025"/>
      <c r="N2271" s="1030"/>
      <c r="O2271" s="692">
        <f t="shared" si="293"/>
        <v>0</v>
      </c>
      <c r="P2271" s="690"/>
      <c r="Q2271" s="690"/>
      <c r="R2271" s="691">
        <f t="shared" si="294"/>
        <v>0</v>
      </c>
      <c r="S2271" s="692">
        <f t="shared" si="295"/>
        <v>0</v>
      </c>
      <c r="T2271" s="693">
        <f t="shared" si="296"/>
        <v>0</v>
      </c>
      <c r="U2271" s="1035"/>
      <c r="V2271" s="690"/>
      <c r="W2271" s="1025"/>
      <c r="X2271" s="1030"/>
      <c r="Y2271" s="694">
        <f t="shared" si="297"/>
        <v>0</v>
      </c>
      <c r="Z2271" s="690"/>
      <c r="AA2271" s="690"/>
      <c r="AB2271" s="695">
        <f t="shared" si="298"/>
        <v>0</v>
      </c>
      <c r="AC2271" s="1035"/>
      <c r="AD2271" s="690"/>
      <c r="AE2271" s="1025"/>
      <c r="AF2271" s="1030"/>
      <c r="AG2271" s="690"/>
      <c r="AH2271" s="690"/>
      <c r="AI2271" s="696">
        <f t="shared" si="299"/>
        <v>0</v>
      </c>
      <c r="AJ2271" s="697">
        <f t="shared" si="300"/>
        <v>0</v>
      </c>
    </row>
    <row r="2272" spans="1:36" s="700" customFormat="1" ht="12.75" customHeight="1">
      <c r="A2272" s="714" t="s">
        <v>214</v>
      </c>
      <c r="B2272" s="714" t="s">
        <v>379</v>
      </c>
      <c r="C2272" s="713" t="s">
        <v>377</v>
      </c>
      <c r="D2272" s="713"/>
      <c r="E2272" s="708"/>
      <c r="F2272" s="709"/>
      <c r="G2272" s="1025"/>
      <c r="H2272" s="690"/>
      <c r="I2272" s="1030"/>
      <c r="J2272" s="690"/>
      <c r="K2272" s="1030"/>
      <c r="L2272" s="690"/>
      <c r="M2272" s="1025"/>
      <c r="N2272" s="1030"/>
      <c r="O2272" s="692">
        <f t="shared" si="293"/>
        <v>0</v>
      </c>
      <c r="P2272" s="690"/>
      <c r="Q2272" s="690"/>
      <c r="R2272" s="691">
        <f t="shared" si="294"/>
        <v>0</v>
      </c>
      <c r="S2272" s="692">
        <f t="shared" si="295"/>
        <v>0</v>
      </c>
      <c r="T2272" s="693">
        <f t="shared" si="296"/>
        <v>0</v>
      </c>
      <c r="U2272" s="1035"/>
      <c r="V2272" s="690"/>
      <c r="W2272" s="1025"/>
      <c r="X2272" s="1030"/>
      <c r="Y2272" s="694">
        <f t="shared" si="297"/>
        <v>0</v>
      </c>
      <c r="Z2272" s="690"/>
      <c r="AA2272" s="690"/>
      <c r="AB2272" s="695">
        <f t="shared" si="298"/>
        <v>0</v>
      </c>
      <c r="AC2272" s="1035"/>
      <c r="AD2272" s="690"/>
      <c r="AE2272" s="1025"/>
      <c r="AF2272" s="1030"/>
      <c r="AG2272" s="690"/>
      <c r="AH2272" s="690"/>
      <c r="AI2272" s="696">
        <f t="shared" si="299"/>
        <v>0</v>
      </c>
      <c r="AJ2272" s="697">
        <f t="shared" si="300"/>
        <v>0</v>
      </c>
    </row>
    <row r="2273" spans="1:36" s="700" customFormat="1" ht="12.75" customHeight="1">
      <c r="A2273" s="714" t="s">
        <v>214</v>
      </c>
      <c r="B2273" s="686" t="s">
        <v>420</v>
      </c>
      <c r="C2273" s="712" t="s">
        <v>1357</v>
      </c>
      <c r="D2273" s="712"/>
      <c r="E2273" s="688"/>
      <c r="F2273" s="689"/>
      <c r="G2273" s="1025"/>
      <c r="H2273" s="690"/>
      <c r="I2273" s="1030"/>
      <c r="J2273" s="690"/>
      <c r="K2273" s="1030"/>
      <c r="L2273" s="690"/>
      <c r="M2273" s="1025"/>
      <c r="N2273" s="1030"/>
      <c r="O2273" s="692">
        <f t="shared" si="293"/>
        <v>0</v>
      </c>
      <c r="P2273" s="690"/>
      <c r="Q2273" s="690"/>
      <c r="R2273" s="691">
        <f t="shared" si="294"/>
        <v>0</v>
      </c>
      <c r="S2273" s="692">
        <f t="shared" si="295"/>
        <v>0</v>
      </c>
      <c r="T2273" s="693">
        <f t="shared" si="296"/>
        <v>0</v>
      </c>
      <c r="U2273" s="1035">
        <v>18927327</v>
      </c>
      <c r="V2273" s="690">
        <v>18927327</v>
      </c>
      <c r="W2273" s="1025"/>
      <c r="X2273" s="1030"/>
      <c r="Y2273" s="694">
        <f t="shared" si="297"/>
        <v>0</v>
      </c>
      <c r="Z2273" s="690"/>
      <c r="AA2273" s="690"/>
      <c r="AB2273" s="695">
        <f t="shared" si="298"/>
        <v>0</v>
      </c>
      <c r="AC2273" s="1035"/>
      <c r="AD2273" s="690"/>
      <c r="AE2273" s="1025"/>
      <c r="AF2273" s="1030"/>
      <c r="AG2273" s="690"/>
      <c r="AH2273" s="690"/>
      <c r="AI2273" s="696">
        <f t="shared" si="299"/>
        <v>18927327</v>
      </c>
      <c r="AJ2273" s="697">
        <f t="shared" si="300"/>
        <v>18927327</v>
      </c>
    </row>
    <row r="2274" spans="1:36" s="700" customFormat="1" ht="12.75" customHeight="1">
      <c r="A2274" s="714" t="s">
        <v>214</v>
      </c>
      <c r="B2274" s="714" t="s">
        <v>442</v>
      </c>
      <c r="C2274" s="713" t="s">
        <v>443</v>
      </c>
      <c r="D2274" s="713"/>
      <c r="E2274" s="708"/>
      <c r="F2274" s="709"/>
      <c r="G2274" s="1025"/>
      <c r="H2274" s="690"/>
      <c r="I2274" s="1030"/>
      <c r="J2274" s="690"/>
      <c r="K2274" s="1030"/>
      <c r="L2274" s="690"/>
      <c r="M2274" s="1025"/>
      <c r="N2274" s="1030"/>
      <c r="O2274" s="692">
        <f t="shared" si="293"/>
        <v>0</v>
      </c>
      <c r="P2274" s="690"/>
      <c r="Q2274" s="690"/>
      <c r="R2274" s="691">
        <f t="shared" si="294"/>
        <v>0</v>
      </c>
      <c r="S2274" s="692">
        <f t="shared" si="295"/>
        <v>0</v>
      </c>
      <c r="T2274" s="693">
        <f t="shared" si="296"/>
        <v>0</v>
      </c>
      <c r="U2274" s="1035"/>
      <c r="V2274" s="690"/>
      <c r="W2274" s="1025"/>
      <c r="X2274" s="1030"/>
      <c r="Y2274" s="694">
        <f t="shared" si="297"/>
        <v>0</v>
      </c>
      <c r="Z2274" s="690"/>
      <c r="AA2274" s="690"/>
      <c r="AB2274" s="695">
        <f t="shared" si="298"/>
        <v>0</v>
      </c>
      <c r="AC2274" s="1035"/>
      <c r="AD2274" s="690"/>
      <c r="AE2274" s="1025"/>
      <c r="AF2274" s="1030"/>
      <c r="AG2274" s="690"/>
      <c r="AH2274" s="690"/>
      <c r="AI2274" s="696">
        <f t="shared" si="299"/>
        <v>0</v>
      </c>
      <c r="AJ2274" s="697">
        <f t="shared" si="300"/>
        <v>0</v>
      </c>
    </row>
    <row r="2275" spans="1:36" s="700" customFormat="1" ht="12.75" customHeight="1">
      <c r="A2275" s="714" t="s">
        <v>214</v>
      </c>
      <c r="B2275" s="714" t="s">
        <v>379</v>
      </c>
      <c r="C2275" s="713" t="s">
        <v>377</v>
      </c>
      <c r="D2275" s="713"/>
      <c r="E2275" s="708"/>
      <c r="F2275" s="709"/>
      <c r="G2275" s="1025"/>
      <c r="H2275" s="690"/>
      <c r="I2275" s="1030"/>
      <c r="J2275" s="690"/>
      <c r="K2275" s="1030"/>
      <c r="L2275" s="690"/>
      <c r="M2275" s="1025"/>
      <c r="N2275" s="1030"/>
      <c r="O2275" s="692">
        <f t="shared" si="293"/>
        <v>0</v>
      </c>
      <c r="P2275" s="690"/>
      <c r="Q2275" s="690"/>
      <c r="R2275" s="691">
        <f t="shared" si="294"/>
        <v>0</v>
      </c>
      <c r="S2275" s="692">
        <f t="shared" si="295"/>
        <v>0</v>
      </c>
      <c r="T2275" s="693">
        <f t="shared" si="296"/>
        <v>0</v>
      </c>
      <c r="U2275" s="1035"/>
      <c r="V2275" s="690"/>
      <c r="W2275" s="1025"/>
      <c r="X2275" s="1030"/>
      <c r="Y2275" s="694">
        <f t="shared" si="297"/>
        <v>0</v>
      </c>
      <c r="Z2275" s="690"/>
      <c r="AA2275" s="690"/>
      <c r="AB2275" s="695">
        <f t="shared" si="298"/>
        <v>0</v>
      </c>
      <c r="AC2275" s="1035"/>
      <c r="AD2275" s="690"/>
      <c r="AE2275" s="1025"/>
      <c r="AF2275" s="1030"/>
      <c r="AG2275" s="690"/>
      <c r="AH2275" s="690"/>
      <c r="AI2275" s="696">
        <f t="shared" si="299"/>
        <v>0</v>
      </c>
      <c r="AJ2275" s="697">
        <f t="shared" si="300"/>
        <v>0</v>
      </c>
    </row>
    <row r="2276" spans="1:36" s="700" customFormat="1" ht="12.75" customHeight="1">
      <c r="A2276" s="714" t="s">
        <v>214</v>
      </c>
      <c r="B2276" s="714" t="s">
        <v>295</v>
      </c>
      <c r="C2276" s="713" t="s">
        <v>53</v>
      </c>
      <c r="D2276" s="713"/>
      <c r="E2276" s="708"/>
      <c r="F2276" s="709"/>
      <c r="G2276" s="1025"/>
      <c r="H2276" s="690"/>
      <c r="I2276" s="1030"/>
      <c r="J2276" s="690"/>
      <c r="K2276" s="1030"/>
      <c r="L2276" s="690"/>
      <c r="M2276" s="1025"/>
      <c r="N2276" s="1030"/>
      <c r="O2276" s="692">
        <f t="shared" si="293"/>
        <v>0</v>
      </c>
      <c r="P2276" s="690"/>
      <c r="Q2276" s="690"/>
      <c r="R2276" s="691">
        <f t="shared" si="294"/>
        <v>0</v>
      </c>
      <c r="S2276" s="692">
        <f t="shared" si="295"/>
        <v>0</v>
      </c>
      <c r="T2276" s="693">
        <f t="shared" si="296"/>
        <v>0</v>
      </c>
      <c r="U2276" s="1035"/>
      <c r="V2276" s="690"/>
      <c r="W2276" s="1025"/>
      <c r="X2276" s="1030"/>
      <c r="Y2276" s="694">
        <f t="shared" si="297"/>
        <v>0</v>
      </c>
      <c r="Z2276" s="690"/>
      <c r="AA2276" s="690"/>
      <c r="AB2276" s="695">
        <f t="shared" si="298"/>
        <v>0</v>
      </c>
      <c r="AC2276" s="1035"/>
      <c r="AD2276" s="690"/>
      <c r="AE2276" s="1025"/>
      <c r="AF2276" s="1030"/>
      <c r="AG2276" s="690"/>
      <c r="AH2276" s="690"/>
      <c r="AI2276" s="696">
        <f t="shared" si="299"/>
        <v>0</v>
      </c>
      <c r="AJ2276" s="697">
        <f t="shared" si="300"/>
        <v>0</v>
      </c>
    </row>
    <row r="2277" spans="1:36" s="700" customFormat="1" ht="12.75" customHeight="1">
      <c r="A2277" s="714" t="s">
        <v>214</v>
      </c>
      <c r="B2277" s="714" t="s">
        <v>296</v>
      </c>
      <c r="C2277" s="713" t="s">
        <v>443</v>
      </c>
      <c r="D2277" s="713"/>
      <c r="E2277" s="708"/>
      <c r="F2277" s="709"/>
      <c r="G2277" s="1025"/>
      <c r="H2277" s="690"/>
      <c r="I2277" s="1030"/>
      <c r="J2277" s="690"/>
      <c r="K2277" s="1030"/>
      <c r="L2277" s="690"/>
      <c r="M2277" s="1025"/>
      <c r="N2277" s="1030"/>
      <c r="O2277" s="692">
        <f t="shared" si="293"/>
        <v>0</v>
      </c>
      <c r="P2277" s="690"/>
      <c r="Q2277" s="690"/>
      <c r="R2277" s="691">
        <f t="shared" si="294"/>
        <v>0</v>
      </c>
      <c r="S2277" s="692">
        <f t="shared" si="295"/>
        <v>0</v>
      </c>
      <c r="T2277" s="693">
        <f t="shared" si="296"/>
        <v>0</v>
      </c>
      <c r="U2277" s="1035"/>
      <c r="V2277" s="690"/>
      <c r="W2277" s="1025"/>
      <c r="X2277" s="1030"/>
      <c r="Y2277" s="694">
        <f t="shared" si="297"/>
        <v>0</v>
      </c>
      <c r="Z2277" s="690"/>
      <c r="AA2277" s="690"/>
      <c r="AB2277" s="695">
        <f t="shared" si="298"/>
        <v>0</v>
      </c>
      <c r="AC2277" s="1035"/>
      <c r="AD2277" s="690"/>
      <c r="AE2277" s="1025"/>
      <c r="AF2277" s="1030"/>
      <c r="AG2277" s="690"/>
      <c r="AH2277" s="690"/>
      <c r="AI2277" s="696">
        <f t="shared" si="299"/>
        <v>0</v>
      </c>
      <c r="AJ2277" s="697">
        <f t="shared" si="300"/>
        <v>0</v>
      </c>
    </row>
    <row r="2278" spans="1:36" s="700" customFormat="1" ht="12.75" customHeight="1">
      <c r="A2278" s="714" t="s">
        <v>214</v>
      </c>
      <c r="B2278" s="714" t="s">
        <v>379</v>
      </c>
      <c r="C2278" s="713" t="s">
        <v>377</v>
      </c>
      <c r="D2278" s="713"/>
      <c r="E2278" s="708"/>
      <c r="F2278" s="709"/>
      <c r="G2278" s="1025"/>
      <c r="H2278" s="690"/>
      <c r="I2278" s="1030"/>
      <c r="J2278" s="690"/>
      <c r="K2278" s="1030"/>
      <c r="L2278" s="690"/>
      <c r="M2278" s="1025"/>
      <c r="N2278" s="1030"/>
      <c r="O2278" s="692">
        <f t="shared" si="293"/>
        <v>0</v>
      </c>
      <c r="P2278" s="690"/>
      <c r="Q2278" s="690"/>
      <c r="R2278" s="691">
        <f t="shared" si="294"/>
        <v>0</v>
      </c>
      <c r="S2278" s="692">
        <f t="shared" si="295"/>
        <v>0</v>
      </c>
      <c r="T2278" s="693">
        <f t="shared" si="296"/>
        <v>0</v>
      </c>
      <c r="U2278" s="1035"/>
      <c r="V2278" s="690"/>
      <c r="W2278" s="1025"/>
      <c r="X2278" s="1030"/>
      <c r="Y2278" s="694">
        <f t="shared" si="297"/>
        <v>0</v>
      </c>
      <c r="Z2278" s="690"/>
      <c r="AA2278" s="690"/>
      <c r="AB2278" s="695">
        <f t="shared" si="298"/>
        <v>0</v>
      </c>
      <c r="AC2278" s="1035"/>
      <c r="AD2278" s="690"/>
      <c r="AE2278" s="1025"/>
      <c r="AF2278" s="1030"/>
      <c r="AG2278" s="690"/>
      <c r="AH2278" s="690"/>
      <c r="AI2278" s="696">
        <f t="shared" si="299"/>
        <v>0</v>
      </c>
      <c r="AJ2278" s="697">
        <f t="shared" si="300"/>
        <v>0</v>
      </c>
    </row>
    <row r="2279" spans="1:36" s="700" customFormat="1" ht="12.75" customHeight="1">
      <c r="A2279" s="714" t="s">
        <v>214</v>
      </c>
      <c r="B2279" s="714" t="s">
        <v>279</v>
      </c>
      <c r="C2279" s="713" t="s">
        <v>54</v>
      </c>
      <c r="D2279" s="713"/>
      <c r="E2279" s="708"/>
      <c r="F2279" s="709"/>
      <c r="G2279" s="1025"/>
      <c r="H2279" s="690"/>
      <c r="I2279" s="1030"/>
      <c r="J2279" s="690"/>
      <c r="K2279" s="1030"/>
      <c r="L2279" s="690"/>
      <c r="M2279" s="1025"/>
      <c r="N2279" s="1030"/>
      <c r="O2279" s="692">
        <f t="shared" si="293"/>
        <v>0</v>
      </c>
      <c r="P2279" s="690"/>
      <c r="Q2279" s="690"/>
      <c r="R2279" s="691">
        <f t="shared" si="294"/>
        <v>0</v>
      </c>
      <c r="S2279" s="692">
        <f t="shared" si="295"/>
        <v>0</v>
      </c>
      <c r="T2279" s="693">
        <f t="shared" si="296"/>
        <v>0</v>
      </c>
      <c r="U2279" s="1035"/>
      <c r="V2279" s="690"/>
      <c r="W2279" s="1025"/>
      <c r="X2279" s="1030"/>
      <c r="Y2279" s="694">
        <f t="shared" si="297"/>
        <v>0</v>
      </c>
      <c r="Z2279" s="690"/>
      <c r="AA2279" s="690"/>
      <c r="AB2279" s="695">
        <f t="shared" si="298"/>
        <v>0</v>
      </c>
      <c r="AC2279" s="1035"/>
      <c r="AD2279" s="690"/>
      <c r="AE2279" s="1025"/>
      <c r="AF2279" s="1030"/>
      <c r="AG2279" s="690"/>
      <c r="AH2279" s="690"/>
      <c r="AI2279" s="696">
        <f t="shared" si="299"/>
        <v>0</v>
      </c>
      <c r="AJ2279" s="697">
        <f t="shared" si="300"/>
        <v>0</v>
      </c>
    </row>
    <row r="2280" spans="1:36" s="700" customFormat="1" ht="12.75" customHeight="1">
      <c r="A2280" s="714" t="s">
        <v>214</v>
      </c>
      <c r="B2280" s="714" t="s">
        <v>317</v>
      </c>
      <c r="C2280" s="713" t="s">
        <v>443</v>
      </c>
      <c r="D2280" s="713"/>
      <c r="E2280" s="708"/>
      <c r="F2280" s="709"/>
      <c r="G2280" s="1025"/>
      <c r="H2280" s="690"/>
      <c r="I2280" s="1030"/>
      <c r="J2280" s="690"/>
      <c r="K2280" s="1030"/>
      <c r="L2280" s="690"/>
      <c r="M2280" s="1025"/>
      <c r="N2280" s="1030"/>
      <c r="O2280" s="692">
        <f t="shared" si="293"/>
        <v>0</v>
      </c>
      <c r="P2280" s="690"/>
      <c r="Q2280" s="690"/>
      <c r="R2280" s="691">
        <f t="shared" si="294"/>
        <v>0</v>
      </c>
      <c r="S2280" s="692">
        <f t="shared" si="295"/>
        <v>0</v>
      </c>
      <c r="T2280" s="693">
        <f t="shared" si="296"/>
        <v>0</v>
      </c>
      <c r="U2280" s="1035"/>
      <c r="V2280" s="690"/>
      <c r="W2280" s="1025"/>
      <c r="X2280" s="1030"/>
      <c r="Y2280" s="694">
        <f t="shared" si="297"/>
        <v>0</v>
      </c>
      <c r="Z2280" s="690"/>
      <c r="AA2280" s="690"/>
      <c r="AB2280" s="695">
        <f t="shared" si="298"/>
        <v>0</v>
      </c>
      <c r="AC2280" s="1035"/>
      <c r="AD2280" s="690"/>
      <c r="AE2280" s="1025"/>
      <c r="AF2280" s="1030"/>
      <c r="AG2280" s="690"/>
      <c r="AH2280" s="690"/>
      <c r="AI2280" s="696">
        <f t="shared" si="299"/>
        <v>0</v>
      </c>
      <c r="AJ2280" s="697">
        <f t="shared" si="300"/>
        <v>0</v>
      </c>
    </row>
    <row r="2281" spans="1:36" s="700" customFormat="1" ht="12.75" customHeight="1">
      <c r="A2281" s="714" t="s">
        <v>214</v>
      </c>
      <c r="B2281" s="714" t="s">
        <v>379</v>
      </c>
      <c r="C2281" s="713" t="s">
        <v>377</v>
      </c>
      <c r="D2281" s="713"/>
      <c r="E2281" s="708"/>
      <c r="F2281" s="709"/>
      <c r="G2281" s="1025"/>
      <c r="H2281" s="690"/>
      <c r="I2281" s="1030"/>
      <c r="J2281" s="690"/>
      <c r="K2281" s="1030"/>
      <c r="L2281" s="690"/>
      <c r="M2281" s="1025"/>
      <c r="N2281" s="1030"/>
      <c r="O2281" s="692">
        <f t="shared" si="293"/>
        <v>0</v>
      </c>
      <c r="P2281" s="690"/>
      <c r="Q2281" s="690"/>
      <c r="R2281" s="691">
        <f t="shared" si="294"/>
        <v>0</v>
      </c>
      <c r="S2281" s="692">
        <f t="shared" si="295"/>
        <v>0</v>
      </c>
      <c r="T2281" s="693">
        <f t="shared" si="296"/>
        <v>0</v>
      </c>
      <c r="U2281" s="1035"/>
      <c r="V2281" s="690"/>
      <c r="W2281" s="1025"/>
      <c r="X2281" s="1030"/>
      <c r="Y2281" s="694">
        <f t="shared" si="297"/>
        <v>0</v>
      </c>
      <c r="Z2281" s="690"/>
      <c r="AA2281" s="690"/>
      <c r="AB2281" s="695">
        <f t="shared" si="298"/>
        <v>0</v>
      </c>
      <c r="AC2281" s="1035"/>
      <c r="AD2281" s="690"/>
      <c r="AE2281" s="1025"/>
      <c r="AF2281" s="1030"/>
      <c r="AG2281" s="690"/>
      <c r="AH2281" s="690"/>
      <c r="AI2281" s="696">
        <f t="shared" si="299"/>
        <v>0</v>
      </c>
      <c r="AJ2281" s="697">
        <f t="shared" si="300"/>
        <v>0</v>
      </c>
    </row>
    <row r="2282" spans="1:36" s="700" customFormat="1" ht="12.75" customHeight="1">
      <c r="A2282" s="714" t="s">
        <v>214</v>
      </c>
      <c r="B2282" s="714" t="s">
        <v>421</v>
      </c>
      <c r="C2282" s="711" t="s">
        <v>19</v>
      </c>
      <c r="D2282" s="711"/>
      <c r="E2282" s="708"/>
      <c r="F2282" s="709"/>
      <c r="G2282" s="1025"/>
      <c r="H2282" s="690"/>
      <c r="I2282" s="1030"/>
      <c r="J2282" s="690"/>
      <c r="K2282" s="1030"/>
      <c r="L2282" s="690"/>
      <c r="M2282" s="1025"/>
      <c r="N2282" s="1030"/>
      <c r="O2282" s="692">
        <f t="shared" si="293"/>
        <v>0</v>
      </c>
      <c r="P2282" s="690"/>
      <c r="Q2282" s="690"/>
      <c r="R2282" s="691">
        <f t="shared" si="294"/>
        <v>0</v>
      </c>
      <c r="S2282" s="692">
        <f t="shared" si="295"/>
        <v>0</v>
      </c>
      <c r="T2282" s="693">
        <f t="shared" si="296"/>
        <v>0</v>
      </c>
      <c r="U2282" s="1035"/>
      <c r="V2282" s="690"/>
      <c r="W2282" s="1025"/>
      <c r="X2282" s="1030"/>
      <c r="Y2282" s="694">
        <f t="shared" si="297"/>
        <v>0</v>
      </c>
      <c r="Z2282" s="690"/>
      <c r="AA2282" s="690"/>
      <c r="AB2282" s="695">
        <f t="shared" si="298"/>
        <v>0</v>
      </c>
      <c r="AC2282" s="1035"/>
      <c r="AD2282" s="690"/>
      <c r="AE2282" s="1025"/>
      <c r="AF2282" s="1030"/>
      <c r="AG2282" s="690"/>
      <c r="AH2282" s="690"/>
      <c r="AI2282" s="696">
        <f t="shared" si="299"/>
        <v>0</v>
      </c>
      <c r="AJ2282" s="697">
        <f t="shared" si="300"/>
        <v>0</v>
      </c>
    </row>
    <row r="2283" spans="1:36" s="700" customFormat="1" ht="12.75" customHeight="1">
      <c r="A2283" s="714" t="s">
        <v>214</v>
      </c>
      <c r="B2283" s="714" t="s">
        <v>380</v>
      </c>
      <c r="C2283" s="713" t="s">
        <v>443</v>
      </c>
      <c r="D2283" s="713"/>
      <c r="E2283" s="708"/>
      <c r="F2283" s="709"/>
      <c r="G2283" s="1025"/>
      <c r="H2283" s="690"/>
      <c r="I2283" s="1030"/>
      <c r="J2283" s="690"/>
      <c r="K2283" s="1030"/>
      <c r="L2283" s="690"/>
      <c r="M2283" s="1025"/>
      <c r="N2283" s="1030"/>
      <c r="O2283" s="692">
        <f t="shared" si="293"/>
        <v>0</v>
      </c>
      <c r="P2283" s="690"/>
      <c r="Q2283" s="690"/>
      <c r="R2283" s="691">
        <f t="shared" si="294"/>
        <v>0</v>
      </c>
      <c r="S2283" s="692">
        <f t="shared" si="295"/>
        <v>0</v>
      </c>
      <c r="T2283" s="693">
        <f t="shared" si="296"/>
        <v>0</v>
      </c>
      <c r="U2283" s="1035"/>
      <c r="V2283" s="690"/>
      <c r="W2283" s="1025"/>
      <c r="X2283" s="1030"/>
      <c r="Y2283" s="694">
        <f t="shared" si="297"/>
        <v>0</v>
      </c>
      <c r="Z2283" s="690"/>
      <c r="AA2283" s="690"/>
      <c r="AB2283" s="695">
        <f t="shared" si="298"/>
        <v>0</v>
      </c>
      <c r="AC2283" s="1035"/>
      <c r="AD2283" s="690"/>
      <c r="AE2283" s="1025"/>
      <c r="AF2283" s="1030"/>
      <c r="AG2283" s="690"/>
      <c r="AH2283" s="690"/>
      <c r="AI2283" s="696">
        <f t="shared" si="299"/>
        <v>0</v>
      </c>
      <c r="AJ2283" s="697">
        <f t="shared" si="300"/>
        <v>0</v>
      </c>
    </row>
    <row r="2284" spans="1:36" s="700" customFormat="1" ht="12.75" customHeight="1">
      <c r="A2284" s="714" t="s">
        <v>214</v>
      </c>
      <c r="B2284" s="714" t="s">
        <v>381</v>
      </c>
      <c r="C2284" s="713" t="s">
        <v>377</v>
      </c>
      <c r="D2284" s="713"/>
      <c r="E2284" s="708"/>
      <c r="F2284" s="709"/>
      <c r="G2284" s="1025"/>
      <c r="H2284" s="690"/>
      <c r="I2284" s="1030"/>
      <c r="J2284" s="690"/>
      <c r="K2284" s="1030"/>
      <c r="L2284" s="690"/>
      <c r="M2284" s="1025"/>
      <c r="N2284" s="1030"/>
      <c r="O2284" s="692">
        <f t="shared" si="293"/>
        <v>0</v>
      </c>
      <c r="P2284" s="690"/>
      <c r="Q2284" s="690"/>
      <c r="R2284" s="691">
        <f t="shared" si="294"/>
        <v>0</v>
      </c>
      <c r="S2284" s="692">
        <f t="shared" si="295"/>
        <v>0</v>
      </c>
      <c r="T2284" s="693">
        <f t="shared" si="296"/>
        <v>0</v>
      </c>
      <c r="U2284" s="1035"/>
      <c r="V2284" s="690"/>
      <c r="W2284" s="1025"/>
      <c r="X2284" s="1030"/>
      <c r="Y2284" s="694">
        <f t="shared" si="297"/>
        <v>0</v>
      </c>
      <c r="Z2284" s="690"/>
      <c r="AA2284" s="690"/>
      <c r="AB2284" s="695">
        <f t="shared" si="298"/>
        <v>0</v>
      </c>
      <c r="AC2284" s="1035"/>
      <c r="AD2284" s="690"/>
      <c r="AE2284" s="1025"/>
      <c r="AF2284" s="1030"/>
      <c r="AG2284" s="690"/>
      <c r="AH2284" s="690"/>
      <c r="AI2284" s="696">
        <f t="shared" si="299"/>
        <v>0</v>
      </c>
      <c r="AJ2284" s="697">
        <f t="shared" si="300"/>
        <v>0</v>
      </c>
    </row>
    <row r="2285" spans="1:36" s="700" customFormat="1" ht="12.75" customHeight="1">
      <c r="A2285" s="686" t="s">
        <v>214</v>
      </c>
      <c r="B2285" s="714" t="s">
        <v>422</v>
      </c>
      <c r="C2285" s="711" t="s">
        <v>150</v>
      </c>
      <c r="D2285" s="711"/>
      <c r="E2285" s="708"/>
      <c r="F2285" s="709"/>
      <c r="G2285" s="1025"/>
      <c r="H2285" s="690"/>
      <c r="I2285" s="1030"/>
      <c r="J2285" s="690"/>
      <c r="K2285" s="1030"/>
      <c r="L2285" s="690"/>
      <c r="M2285" s="1025"/>
      <c r="N2285" s="1030"/>
      <c r="O2285" s="692">
        <f t="shared" si="293"/>
        <v>0</v>
      </c>
      <c r="P2285" s="690"/>
      <c r="Q2285" s="690"/>
      <c r="R2285" s="691">
        <f t="shared" si="294"/>
        <v>0</v>
      </c>
      <c r="S2285" s="692">
        <f t="shared" si="295"/>
        <v>0</v>
      </c>
      <c r="T2285" s="693">
        <f t="shared" si="296"/>
        <v>0</v>
      </c>
      <c r="U2285" s="1035"/>
      <c r="V2285" s="690"/>
      <c r="W2285" s="1025"/>
      <c r="X2285" s="1030"/>
      <c r="Y2285" s="694">
        <f t="shared" si="297"/>
        <v>0</v>
      </c>
      <c r="Z2285" s="690"/>
      <c r="AA2285" s="690"/>
      <c r="AB2285" s="695">
        <f t="shared" si="298"/>
        <v>0</v>
      </c>
      <c r="AC2285" s="1035"/>
      <c r="AD2285" s="690"/>
      <c r="AE2285" s="1025"/>
      <c r="AF2285" s="1030"/>
      <c r="AG2285" s="690"/>
      <c r="AH2285" s="690"/>
      <c r="AI2285" s="696">
        <f t="shared" si="299"/>
        <v>0</v>
      </c>
      <c r="AJ2285" s="697">
        <f t="shared" si="300"/>
        <v>0</v>
      </c>
    </row>
    <row r="2286" spans="1:36" s="700" customFormat="1" ht="12.75" customHeight="1">
      <c r="A2286" s="686" t="s">
        <v>214</v>
      </c>
      <c r="B2286" s="714" t="s">
        <v>422</v>
      </c>
      <c r="C2286" s="712" t="s">
        <v>1358</v>
      </c>
      <c r="D2286" s="712"/>
      <c r="E2286" s="708"/>
      <c r="F2286" s="709"/>
      <c r="G2286" s="1025"/>
      <c r="H2286" s="690"/>
      <c r="I2286" s="1030"/>
      <c r="J2286" s="690"/>
      <c r="K2286" s="1030"/>
      <c r="L2286" s="690"/>
      <c r="M2286" s="1025"/>
      <c r="N2286" s="1030"/>
      <c r="O2286" s="692">
        <f t="shared" si="293"/>
        <v>0</v>
      </c>
      <c r="P2286" s="690"/>
      <c r="Q2286" s="690"/>
      <c r="R2286" s="691">
        <f t="shared" si="294"/>
        <v>0</v>
      </c>
      <c r="S2286" s="692">
        <f t="shared" si="295"/>
        <v>0</v>
      </c>
      <c r="T2286" s="693">
        <f t="shared" si="296"/>
        <v>0</v>
      </c>
      <c r="U2286" s="1035">
        <v>3828751</v>
      </c>
      <c r="V2286" s="690">
        <v>3578751</v>
      </c>
      <c r="W2286" s="1025"/>
      <c r="X2286" s="1030"/>
      <c r="Y2286" s="694">
        <f t="shared" si="297"/>
        <v>0</v>
      </c>
      <c r="Z2286" s="690"/>
      <c r="AA2286" s="690"/>
      <c r="AB2286" s="695">
        <f t="shared" si="298"/>
        <v>0</v>
      </c>
      <c r="AC2286" s="1035"/>
      <c r="AD2286" s="690"/>
      <c r="AE2286" s="1025"/>
      <c r="AF2286" s="1030"/>
      <c r="AG2286" s="690"/>
      <c r="AH2286" s="690"/>
      <c r="AI2286" s="696">
        <f t="shared" si="299"/>
        <v>3828751</v>
      </c>
      <c r="AJ2286" s="697">
        <f t="shared" si="300"/>
        <v>3578751</v>
      </c>
    </row>
    <row r="2287" spans="1:36" s="700" customFormat="1" ht="12.75" customHeight="1">
      <c r="A2287" s="714" t="s">
        <v>214</v>
      </c>
      <c r="B2287" s="714" t="s">
        <v>382</v>
      </c>
      <c r="C2287" s="713" t="s">
        <v>443</v>
      </c>
      <c r="D2287" s="713"/>
      <c r="E2287" s="708"/>
      <c r="F2287" s="709"/>
      <c r="G2287" s="1025"/>
      <c r="H2287" s="690"/>
      <c r="I2287" s="1030"/>
      <c r="J2287" s="690"/>
      <c r="K2287" s="1030"/>
      <c r="L2287" s="690"/>
      <c r="M2287" s="1025"/>
      <c r="N2287" s="1030"/>
      <c r="O2287" s="692">
        <f t="shared" si="293"/>
        <v>0</v>
      </c>
      <c r="P2287" s="690"/>
      <c r="Q2287" s="690"/>
      <c r="R2287" s="691">
        <f t="shared" si="294"/>
        <v>0</v>
      </c>
      <c r="S2287" s="692">
        <f t="shared" si="295"/>
        <v>0</v>
      </c>
      <c r="T2287" s="693">
        <f t="shared" si="296"/>
        <v>0</v>
      </c>
      <c r="U2287" s="1035"/>
      <c r="V2287" s="690"/>
      <c r="W2287" s="1025"/>
      <c r="X2287" s="1030"/>
      <c r="Y2287" s="694">
        <f t="shared" si="297"/>
        <v>0</v>
      </c>
      <c r="Z2287" s="690"/>
      <c r="AA2287" s="690"/>
      <c r="AB2287" s="695">
        <f t="shared" si="298"/>
        <v>0</v>
      </c>
      <c r="AC2287" s="1035"/>
      <c r="AD2287" s="690"/>
      <c r="AE2287" s="1025"/>
      <c r="AF2287" s="1030"/>
      <c r="AG2287" s="690"/>
      <c r="AH2287" s="690"/>
      <c r="AI2287" s="696">
        <f t="shared" si="299"/>
        <v>0</v>
      </c>
      <c r="AJ2287" s="697">
        <f t="shared" si="300"/>
        <v>0</v>
      </c>
    </row>
    <row r="2288" spans="1:36" s="700" customFormat="1" ht="12.75" customHeight="1">
      <c r="A2288" s="714" t="s">
        <v>214</v>
      </c>
      <c r="B2288" s="714" t="s">
        <v>383</v>
      </c>
      <c r="C2288" s="713" t="s">
        <v>377</v>
      </c>
      <c r="D2288" s="713"/>
      <c r="E2288" s="708"/>
      <c r="F2288" s="709"/>
      <c r="G2288" s="1025"/>
      <c r="H2288" s="690"/>
      <c r="I2288" s="1030"/>
      <c r="J2288" s="690"/>
      <c r="K2288" s="1030"/>
      <c r="L2288" s="690"/>
      <c r="M2288" s="1025"/>
      <c r="N2288" s="1030"/>
      <c r="O2288" s="692">
        <f t="shared" si="293"/>
        <v>0</v>
      </c>
      <c r="P2288" s="690"/>
      <c r="Q2288" s="690"/>
      <c r="R2288" s="691">
        <f t="shared" si="294"/>
        <v>0</v>
      </c>
      <c r="S2288" s="692">
        <f t="shared" si="295"/>
        <v>0</v>
      </c>
      <c r="T2288" s="693">
        <f t="shared" si="296"/>
        <v>0</v>
      </c>
      <c r="U2288" s="1035"/>
      <c r="V2288" s="690"/>
      <c r="W2288" s="1025"/>
      <c r="X2288" s="1030"/>
      <c r="Y2288" s="694">
        <f t="shared" si="297"/>
        <v>0</v>
      </c>
      <c r="Z2288" s="690"/>
      <c r="AA2288" s="690"/>
      <c r="AB2288" s="695">
        <f t="shared" si="298"/>
        <v>0</v>
      </c>
      <c r="AC2288" s="1035"/>
      <c r="AD2288" s="690"/>
      <c r="AE2288" s="1025"/>
      <c r="AF2288" s="1030"/>
      <c r="AG2288" s="690"/>
      <c r="AH2288" s="690"/>
      <c r="AI2288" s="696">
        <f t="shared" si="299"/>
        <v>0</v>
      </c>
      <c r="AJ2288" s="697">
        <f t="shared" si="300"/>
        <v>0</v>
      </c>
    </row>
    <row r="2289" spans="1:36" s="700" customFormat="1" ht="12.75" customHeight="1">
      <c r="A2289" s="826" t="s">
        <v>214</v>
      </c>
      <c r="B2289" s="935" t="s">
        <v>392</v>
      </c>
      <c r="C2289" s="936" t="s">
        <v>1359</v>
      </c>
      <c r="D2289" s="936"/>
      <c r="E2289" s="826">
        <v>365374</v>
      </c>
      <c r="F2289" s="937">
        <v>12</v>
      </c>
      <c r="G2289" s="1025">
        <v>4893789</v>
      </c>
      <c r="H2289" s="690">
        <v>4907799</v>
      </c>
      <c r="I2289" s="1030"/>
      <c r="J2289" s="690"/>
      <c r="K2289" s="1030"/>
      <c r="L2289" s="690"/>
      <c r="M2289" s="1025">
        <v>1015868</v>
      </c>
      <c r="N2289" s="1030"/>
      <c r="O2289" s="692">
        <f t="shared" si="293"/>
        <v>1015868</v>
      </c>
      <c r="P2289" s="690">
        <v>1032782</v>
      </c>
      <c r="Q2289" s="690"/>
      <c r="R2289" s="691">
        <f t="shared" si="294"/>
        <v>1032782</v>
      </c>
      <c r="S2289" s="692">
        <f t="shared" si="295"/>
        <v>5909657</v>
      </c>
      <c r="T2289" s="693">
        <f t="shared" si="296"/>
        <v>5940581</v>
      </c>
      <c r="U2289" s="1035"/>
      <c r="V2289" s="690"/>
      <c r="W2289" s="1025"/>
      <c r="X2289" s="1030"/>
      <c r="Y2289" s="694">
        <f t="shared" si="297"/>
        <v>0</v>
      </c>
      <c r="Z2289" s="690"/>
      <c r="AA2289" s="690"/>
      <c r="AB2289" s="695">
        <f t="shared" si="298"/>
        <v>0</v>
      </c>
      <c r="AC2289" s="1035"/>
      <c r="AD2289" s="690"/>
      <c r="AE2289" s="1025"/>
      <c r="AF2289" s="1030"/>
      <c r="AG2289" s="690"/>
      <c r="AH2289" s="690"/>
      <c r="AI2289" s="696">
        <f t="shared" si="299"/>
        <v>5909657</v>
      </c>
      <c r="AJ2289" s="697">
        <f t="shared" si="300"/>
        <v>5940581</v>
      </c>
    </row>
    <row r="2290" spans="1:36" s="700" customFormat="1" ht="12.75" customHeight="1">
      <c r="A2290" s="826" t="s">
        <v>214</v>
      </c>
      <c r="B2290" s="935" t="s">
        <v>392</v>
      </c>
      <c r="C2290" s="824" t="s">
        <v>1360</v>
      </c>
      <c r="D2290" s="824"/>
      <c r="E2290" s="826">
        <v>245999</v>
      </c>
      <c r="F2290" s="937">
        <v>12</v>
      </c>
      <c r="G2290" s="1025">
        <v>5366038</v>
      </c>
      <c r="H2290" s="690">
        <v>4870830</v>
      </c>
      <c r="I2290" s="1030"/>
      <c r="J2290" s="690"/>
      <c r="K2290" s="1030"/>
      <c r="L2290" s="690"/>
      <c r="M2290" s="1025">
        <v>2595223</v>
      </c>
      <c r="N2290" s="1030"/>
      <c r="O2290" s="692">
        <f t="shared" si="293"/>
        <v>2595223</v>
      </c>
      <c r="P2290" s="690">
        <v>2372508</v>
      </c>
      <c r="Q2290" s="690"/>
      <c r="R2290" s="691">
        <f t="shared" si="294"/>
        <v>2372508</v>
      </c>
      <c r="S2290" s="692">
        <f t="shared" si="295"/>
        <v>7961261</v>
      </c>
      <c r="T2290" s="693">
        <f t="shared" si="296"/>
        <v>7243338</v>
      </c>
      <c r="U2290" s="1035"/>
      <c r="V2290" s="690"/>
      <c r="W2290" s="1025"/>
      <c r="X2290" s="1030"/>
      <c r="Y2290" s="694">
        <f t="shared" si="297"/>
        <v>0</v>
      </c>
      <c r="Z2290" s="690"/>
      <c r="AA2290" s="690"/>
      <c r="AB2290" s="695">
        <f t="shared" si="298"/>
        <v>0</v>
      </c>
      <c r="AC2290" s="1035"/>
      <c r="AD2290" s="690"/>
      <c r="AE2290" s="1025"/>
      <c r="AF2290" s="1030"/>
      <c r="AG2290" s="690"/>
      <c r="AH2290" s="690"/>
      <c r="AI2290" s="696">
        <f t="shared" si="299"/>
        <v>7961261</v>
      </c>
      <c r="AJ2290" s="697">
        <f t="shared" si="300"/>
        <v>7243338</v>
      </c>
    </row>
    <row r="2291" spans="1:36" s="700" customFormat="1" ht="12.75" customHeight="1">
      <c r="A2291" s="826" t="s">
        <v>214</v>
      </c>
      <c r="B2291" s="935" t="s">
        <v>392</v>
      </c>
      <c r="C2291" s="824" t="s">
        <v>1361</v>
      </c>
      <c r="D2291" s="1062" t="s">
        <v>1973</v>
      </c>
      <c r="E2291" s="826">
        <v>364548</v>
      </c>
      <c r="F2291" s="937">
        <v>12</v>
      </c>
      <c r="G2291" s="1025">
        <v>6709340</v>
      </c>
      <c r="H2291" s="690">
        <v>6776007</v>
      </c>
      <c r="I2291" s="1030"/>
      <c r="J2291" s="690"/>
      <c r="K2291" s="1030"/>
      <c r="L2291" s="690"/>
      <c r="M2291" s="1025">
        <v>1915985</v>
      </c>
      <c r="N2291" s="1030"/>
      <c r="O2291" s="692">
        <f t="shared" si="293"/>
        <v>1915985</v>
      </c>
      <c r="P2291" s="690">
        <v>1933246</v>
      </c>
      <c r="Q2291" s="690"/>
      <c r="R2291" s="691">
        <f t="shared" si="294"/>
        <v>1933246</v>
      </c>
      <c r="S2291" s="692">
        <f t="shared" si="295"/>
        <v>8625325</v>
      </c>
      <c r="T2291" s="693">
        <f t="shared" si="296"/>
        <v>8709253</v>
      </c>
      <c r="U2291" s="1035"/>
      <c r="V2291" s="690"/>
      <c r="W2291" s="1025"/>
      <c r="X2291" s="1030"/>
      <c r="Y2291" s="694">
        <f t="shared" si="297"/>
        <v>0</v>
      </c>
      <c r="Z2291" s="690"/>
      <c r="AA2291" s="690"/>
      <c r="AB2291" s="695">
        <f t="shared" si="298"/>
        <v>0</v>
      </c>
      <c r="AC2291" s="1035"/>
      <c r="AD2291" s="690"/>
      <c r="AE2291" s="1025"/>
      <c r="AF2291" s="1030"/>
      <c r="AG2291" s="690"/>
      <c r="AH2291" s="690"/>
      <c r="AI2291" s="696">
        <f t="shared" si="299"/>
        <v>8625325</v>
      </c>
      <c r="AJ2291" s="697">
        <f t="shared" si="300"/>
        <v>8709253</v>
      </c>
    </row>
    <row r="2292" spans="1:36" s="700" customFormat="1" ht="12.75" customHeight="1">
      <c r="A2292" s="826" t="s">
        <v>214</v>
      </c>
      <c r="B2292" s="935" t="s">
        <v>392</v>
      </c>
      <c r="C2292" s="824" t="s">
        <v>1362</v>
      </c>
      <c r="D2292" s="824"/>
      <c r="E2292" s="826">
        <v>363165</v>
      </c>
      <c r="F2292" s="937">
        <v>12</v>
      </c>
      <c r="G2292" s="1025">
        <v>5722012</v>
      </c>
      <c r="H2292" s="690">
        <v>5667435</v>
      </c>
      <c r="I2292" s="1030"/>
      <c r="J2292" s="690"/>
      <c r="K2292" s="1030"/>
      <c r="L2292" s="690"/>
      <c r="M2292" s="1025">
        <v>2761721</v>
      </c>
      <c r="N2292" s="1030"/>
      <c r="O2292" s="692">
        <f t="shared" si="293"/>
        <v>2761721</v>
      </c>
      <c r="P2292" s="690">
        <v>2217610</v>
      </c>
      <c r="Q2292" s="690"/>
      <c r="R2292" s="691">
        <f t="shared" si="294"/>
        <v>2217610</v>
      </c>
      <c r="S2292" s="692">
        <f t="shared" si="295"/>
        <v>8483733</v>
      </c>
      <c r="T2292" s="693">
        <f t="shared" si="296"/>
        <v>7885045</v>
      </c>
      <c r="U2292" s="1035"/>
      <c r="V2292" s="690"/>
      <c r="W2292" s="1025"/>
      <c r="X2292" s="1030"/>
      <c r="Y2292" s="694">
        <f t="shared" si="297"/>
        <v>0</v>
      </c>
      <c r="Z2292" s="690"/>
      <c r="AA2292" s="690"/>
      <c r="AB2292" s="695">
        <f t="shared" si="298"/>
        <v>0</v>
      </c>
      <c r="AC2292" s="1035"/>
      <c r="AD2292" s="690"/>
      <c r="AE2292" s="1025"/>
      <c r="AF2292" s="1030"/>
      <c r="AG2292" s="690"/>
      <c r="AH2292" s="690"/>
      <c r="AI2292" s="696">
        <f t="shared" si="299"/>
        <v>8483733</v>
      </c>
      <c r="AJ2292" s="697">
        <f t="shared" si="300"/>
        <v>7885045</v>
      </c>
    </row>
    <row r="2293" spans="1:36" s="700" customFormat="1" ht="12.75" customHeight="1">
      <c r="A2293" s="826" t="s">
        <v>214</v>
      </c>
      <c r="B2293" s="935" t="s">
        <v>392</v>
      </c>
      <c r="C2293" s="944" t="s">
        <v>1363</v>
      </c>
      <c r="D2293" s="1083" t="s">
        <v>1973</v>
      </c>
      <c r="E2293" s="935">
        <v>261393</v>
      </c>
      <c r="F2293" s="937">
        <v>12</v>
      </c>
      <c r="G2293" s="1025"/>
      <c r="H2293" s="690"/>
      <c r="I2293" s="1030"/>
      <c r="J2293" s="690"/>
      <c r="K2293" s="1030"/>
      <c r="L2293" s="690"/>
      <c r="M2293" s="1025"/>
      <c r="N2293" s="1030"/>
      <c r="O2293" s="692">
        <f t="shared" si="293"/>
        <v>0</v>
      </c>
      <c r="P2293" s="690"/>
      <c r="Q2293" s="690"/>
      <c r="R2293" s="691">
        <f t="shared" si="294"/>
        <v>0</v>
      </c>
      <c r="S2293" s="692">
        <f t="shared" si="295"/>
        <v>0</v>
      </c>
      <c r="T2293" s="693">
        <f t="shared" si="296"/>
        <v>0</v>
      </c>
      <c r="U2293" s="1035"/>
      <c r="V2293" s="690"/>
      <c r="W2293" s="1025"/>
      <c r="X2293" s="1030"/>
      <c r="Y2293" s="694">
        <f t="shared" si="297"/>
        <v>0</v>
      </c>
      <c r="Z2293" s="690"/>
      <c r="AA2293" s="690"/>
      <c r="AB2293" s="695">
        <f t="shared" si="298"/>
        <v>0</v>
      </c>
      <c r="AC2293" s="1035"/>
      <c r="AD2293" s="690"/>
      <c r="AE2293" s="1025"/>
      <c r="AF2293" s="1030"/>
      <c r="AG2293" s="690"/>
      <c r="AH2293" s="690"/>
      <c r="AI2293" s="696">
        <f t="shared" si="299"/>
        <v>0</v>
      </c>
      <c r="AJ2293" s="697">
        <f t="shared" si="300"/>
        <v>0</v>
      </c>
    </row>
    <row r="2294" spans="1:36" s="700" customFormat="1" ht="12.75" customHeight="1">
      <c r="A2294" s="826" t="s">
        <v>214</v>
      </c>
      <c r="B2294" s="935" t="s">
        <v>392</v>
      </c>
      <c r="C2294" s="824" t="s">
        <v>1364</v>
      </c>
      <c r="D2294" s="824"/>
      <c r="E2294" s="826">
        <v>365213</v>
      </c>
      <c r="F2294" s="937">
        <v>13</v>
      </c>
      <c r="G2294" s="1025">
        <v>3803870</v>
      </c>
      <c r="H2294" s="690">
        <v>3871426</v>
      </c>
      <c r="I2294" s="1030"/>
      <c r="J2294" s="690"/>
      <c r="K2294" s="1030"/>
      <c r="L2294" s="690"/>
      <c r="M2294" s="1025">
        <v>798627</v>
      </c>
      <c r="N2294" s="1030"/>
      <c r="O2294" s="692">
        <f t="shared" si="293"/>
        <v>798627</v>
      </c>
      <c r="P2294" s="690">
        <v>882458</v>
      </c>
      <c r="Q2294" s="690"/>
      <c r="R2294" s="691">
        <f t="shared" si="294"/>
        <v>882458</v>
      </c>
      <c r="S2294" s="692">
        <f t="shared" si="295"/>
        <v>4602497</v>
      </c>
      <c r="T2294" s="693">
        <f t="shared" si="296"/>
        <v>4753884</v>
      </c>
      <c r="U2294" s="1035"/>
      <c r="V2294" s="690"/>
      <c r="W2294" s="1025"/>
      <c r="X2294" s="1030"/>
      <c r="Y2294" s="694">
        <f t="shared" si="297"/>
        <v>0</v>
      </c>
      <c r="Z2294" s="690"/>
      <c r="AA2294" s="690"/>
      <c r="AB2294" s="695">
        <f t="shared" si="298"/>
        <v>0</v>
      </c>
      <c r="AC2294" s="1035"/>
      <c r="AD2294" s="690"/>
      <c r="AE2294" s="1025"/>
      <c r="AF2294" s="1030"/>
      <c r="AG2294" s="690"/>
      <c r="AH2294" s="690"/>
      <c r="AI2294" s="696">
        <f t="shared" si="299"/>
        <v>4602497</v>
      </c>
      <c r="AJ2294" s="697">
        <f t="shared" si="300"/>
        <v>4753884</v>
      </c>
    </row>
    <row r="2295" spans="1:36" s="700" customFormat="1" ht="12.75" customHeight="1">
      <c r="A2295" s="826" t="s">
        <v>214</v>
      </c>
      <c r="B2295" s="935" t="s">
        <v>392</v>
      </c>
      <c r="C2295" s="824" t="s">
        <v>1365</v>
      </c>
      <c r="D2295" s="824"/>
      <c r="E2295" s="826">
        <v>364946</v>
      </c>
      <c r="F2295" s="937">
        <v>13</v>
      </c>
      <c r="G2295" s="1025">
        <v>4366381</v>
      </c>
      <c r="H2295" s="690">
        <v>4568938</v>
      </c>
      <c r="I2295" s="1030"/>
      <c r="J2295" s="690"/>
      <c r="K2295" s="1030"/>
      <c r="L2295" s="690"/>
      <c r="M2295" s="1025">
        <v>1132396</v>
      </c>
      <c r="N2295" s="1030"/>
      <c r="O2295" s="692">
        <f t="shared" si="293"/>
        <v>1132396</v>
      </c>
      <c r="P2295" s="690">
        <v>997222</v>
      </c>
      <c r="Q2295" s="690"/>
      <c r="R2295" s="691">
        <f t="shared" si="294"/>
        <v>997222</v>
      </c>
      <c r="S2295" s="692">
        <f t="shared" si="295"/>
        <v>5498777</v>
      </c>
      <c r="T2295" s="693">
        <f t="shared" si="296"/>
        <v>5566160</v>
      </c>
      <c r="U2295" s="1035"/>
      <c r="V2295" s="690"/>
      <c r="W2295" s="1025"/>
      <c r="X2295" s="1030"/>
      <c r="Y2295" s="694">
        <f t="shared" si="297"/>
        <v>0</v>
      </c>
      <c r="Z2295" s="690"/>
      <c r="AA2295" s="690"/>
      <c r="AB2295" s="695">
        <f t="shared" si="298"/>
        <v>0</v>
      </c>
      <c r="AC2295" s="1035"/>
      <c r="AD2295" s="690"/>
      <c r="AE2295" s="1025"/>
      <c r="AF2295" s="1030"/>
      <c r="AG2295" s="690"/>
      <c r="AH2295" s="690"/>
      <c r="AI2295" s="696">
        <f t="shared" si="299"/>
        <v>5498777</v>
      </c>
      <c r="AJ2295" s="697">
        <f t="shared" si="300"/>
        <v>5566160</v>
      </c>
    </row>
    <row r="2296" spans="1:36" s="700" customFormat="1" ht="12.75" customHeight="1">
      <c r="A2296" s="826" t="s">
        <v>214</v>
      </c>
      <c r="B2296" s="935" t="s">
        <v>392</v>
      </c>
      <c r="C2296" s="824" t="s">
        <v>1366</v>
      </c>
      <c r="D2296" s="824"/>
      <c r="E2296" s="826">
        <v>246017</v>
      </c>
      <c r="F2296" s="937">
        <v>13</v>
      </c>
      <c r="G2296" s="1025">
        <v>6655450</v>
      </c>
      <c r="H2296" s="690">
        <v>6479570</v>
      </c>
      <c r="I2296" s="1030"/>
      <c r="J2296" s="690"/>
      <c r="K2296" s="1030"/>
      <c r="L2296" s="690"/>
      <c r="M2296" s="1025">
        <v>1171884</v>
      </c>
      <c r="N2296" s="1030"/>
      <c r="O2296" s="692">
        <f t="shared" si="293"/>
        <v>1171884</v>
      </c>
      <c r="P2296" s="690">
        <v>1318434</v>
      </c>
      <c r="Q2296" s="690"/>
      <c r="R2296" s="691">
        <f t="shared" si="294"/>
        <v>1318434</v>
      </c>
      <c r="S2296" s="692">
        <f t="shared" si="295"/>
        <v>7827334</v>
      </c>
      <c r="T2296" s="693">
        <f t="shared" si="296"/>
        <v>7798004</v>
      </c>
      <c r="U2296" s="1035"/>
      <c r="V2296" s="690"/>
      <c r="W2296" s="1025"/>
      <c r="X2296" s="1030"/>
      <c r="Y2296" s="694">
        <f t="shared" si="297"/>
        <v>0</v>
      </c>
      <c r="Z2296" s="690"/>
      <c r="AA2296" s="690"/>
      <c r="AB2296" s="695">
        <f t="shared" si="298"/>
        <v>0</v>
      </c>
      <c r="AC2296" s="1035"/>
      <c r="AD2296" s="690"/>
      <c r="AE2296" s="1025"/>
      <c r="AF2296" s="1030"/>
      <c r="AG2296" s="690"/>
      <c r="AH2296" s="690"/>
      <c r="AI2296" s="696">
        <f t="shared" si="299"/>
        <v>7827334</v>
      </c>
      <c r="AJ2296" s="697">
        <f t="shared" si="300"/>
        <v>7798004</v>
      </c>
    </row>
    <row r="2297" spans="1:36" s="700" customFormat="1" ht="12.75" customHeight="1">
      <c r="A2297" s="826" t="s">
        <v>214</v>
      </c>
      <c r="B2297" s="935" t="s">
        <v>392</v>
      </c>
      <c r="C2297" s="824" t="s">
        <v>1367</v>
      </c>
      <c r="D2297" s="824"/>
      <c r="E2297" s="826">
        <v>375656</v>
      </c>
      <c r="F2297" s="937">
        <v>13</v>
      </c>
      <c r="G2297" s="1025">
        <v>1044225</v>
      </c>
      <c r="H2297" s="690">
        <v>1225947</v>
      </c>
      <c r="I2297" s="1030"/>
      <c r="J2297" s="690"/>
      <c r="K2297" s="1030"/>
      <c r="L2297" s="690"/>
      <c r="M2297" s="1025">
        <v>189654</v>
      </c>
      <c r="N2297" s="1030"/>
      <c r="O2297" s="692">
        <f t="shared" si="293"/>
        <v>189654</v>
      </c>
      <c r="P2297" s="690">
        <v>200312</v>
      </c>
      <c r="Q2297" s="690"/>
      <c r="R2297" s="691">
        <f t="shared" si="294"/>
        <v>200312</v>
      </c>
      <c r="S2297" s="692">
        <f t="shared" si="295"/>
        <v>1233879</v>
      </c>
      <c r="T2297" s="693">
        <f t="shared" si="296"/>
        <v>1426259</v>
      </c>
      <c r="U2297" s="1035"/>
      <c r="V2297" s="690"/>
      <c r="W2297" s="1025"/>
      <c r="X2297" s="1030"/>
      <c r="Y2297" s="694">
        <f t="shared" si="297"/>
        <v>0</v>
      </c>
      <c r="Z2297" s="690"/>
      <c r="AA2297" s="690"/>
      <c r="AB2297" s="695">
        <f t="shared" si="298"/>
        <v>0</v>
      </c>
      <c r="AC2297" s="1035"/>
      <c r="AD2297" s="690"/>
      <c r="AE2297" s="1025"/>
      <c r="AF2297" s="1030"/>
      <c r="AG2297" s="690"/>
      <c r="AH2297" s="690"/>
      <c r="AI2297" s="696">
        <f t="shared" si="299"/>
        <v>1233879</v>
      </c>
      <c r="AJ2297" s="697">
        <f t="shared" si="300"/>
        <v>1426259</v>
      </c>
    </row>
    <row r="2298" spans="1:36" s="700" customFormat="1" ht="12.75" customHeight="1">
      <c r="A2298" s="826" t="s">
        <v>214</v>
      </c>
      <c r="B2298" s="935" t="s">
        <v>392</v>
      </c>
      <c r="C2298" s="824" t="s">
        <v>1368</v>
      </c>
      <c r="D2298" s="824"/>
      <c r="E2298" s="826">
        <v>418348</v>
      </c>
      <c r="F2298" s="937">
        <v>13</v>
      </c>
      <c r="G2298" s="1025">
        <v>2196093</v>
      </c>
      <c r="H2298" s="690">
        <v>2103639</v>
      </c>
      <c r="I2298" s="1030"/>
      <c r="J2298" s="690"/>
      <c r="K2298" s="1030"/>
      <c r="L2298" s="690"/>
      <c r="M2298" s="1025">
        <v>443075</v>
      </c>
      <c r="N2298" s="1030"/>
      <c r="O2298" s="692">
        <f t="shared" si="293"/>
        <v>443075</v>
      </c>
      <c r="P2298" s="690">
        <v>314732</v>
      </c>
      <c r="Q2298" s="690"/>
      <c r="R2298" s="691">
        <f t="shared" si="294"/>
        <v>314732</v>
      </c>
      <c r="S2298" s="692">
        <f t="shared" si="295"/>
        <v>2639168</v>
      </c>
      <c r="T2298" s="693">
        <f t="shared" si="296"/>
        <v>2418371</v>
      </c>
      <c r="U2298" s="1035"/>
      <c r="V2298" s="690"/>
      <c r="W2298" s="1025"/>
      <c r="X2298" s="1030"/>
      <c r="Y2298" s="694">
        <f t="shared" si="297"/>
        <v>0</v>
      </c>
      <c r="Z2298" s="690"/>
      <c r="AA2298" s="690"/>
      <c r="AB2298" s="695">
        <f t="shared" si="298"/>
        <v>0</v>
      </c>
      <c r="AC2298" s="1035"/>
      <c r="AD2298" s="690"/>
      <c r="AE2298" s="1025"/>
      <c r="AF2298" s="1030"/>
      <c r="AG2298" s="690"/>
      <c r="AH2298" s="690"/>
      <c r="AI2298" s="696">
        <f t="shared" si="299"/>
        <v>2639168</v>
      </c>
      <c r="AJ2298" s="697">
        <f t="shared" si="300"/>
        <v>2418371</v>
      </c>
    </row>
    <row r="2299" spans="1:36" s="700" customFormat="1" ht="12.75" customHeight="1">
      <c r="A2299" s="826" t="s">
        <v>214</v>
      </c>
      <c r="B2299" s="935" t="s">
        <v>392</v>
      </c>
      <c r="C2299" s="824" t="s">
        <v>1369</v>
      </c>
      <c r="D2299" s="824"/>
      <c r="E2299" s="826">
        <v>375683</v>
      </c>
      <c r="F2299" s="937">
        <v>13</v>
      </c>
      <c r="G2299" s="1025">
        <v>3648152</v>
      </c>
      <c r="H2299" s="690">
        <v>3686574</v>
      </c>
      <c r="I2299" s="1030"/>
      <c r="J2299" s="690"/>
      <c r="K2299" s="1030"/>
      <c r="L2299" s="690"/>
      <c r="M2299" s="1025">
        <v>715959</v>
      </c>
      <c r="N2299" s="1030"/>
      <c r="O2299" s="692">
        <f t="shared" si="293"/>
        <v>715959</v>
      </c>
      <c r="P2299" s="690">
        <v>667938</v>
      </c>
      <c r="Q2299" s="690"/>
      <c r="R2299" s="691">
        <f t="shared" si="294"/>
        <v>667938</v>
      </c>
      <c r="S2299" s="692">
        <f t="shared" si="295"/>
        <v>4364111</v>
      </c>
      <c r="T2299" s="693">
        <f t="shared" si="296"/>
        <v>4354512</v>
      </c>
      <c r="U2299" s="1035"/>
      <c r="V2299" s="690"/>
      <c r="W2299" s="1025"/>
      <c r="X2299" s="1030"/>
      <c r="Y2299" s="694">
        <f t="shared" si="297"/>
        <v>0</v>
      </c>
      <c r="Z2299" s="690"/>
      <c r="AA2299" s="690"/>
      <c r="AB2299" s="695">
        <f t="shared" si="298"/>
        <v>0</v>
      </c>
      <c r="AC2299" s="1035"/>
      <c r="AD2299" s="690"/>
      <c r="AE2299" s="1025"/>
      <c r="AF2299" s="1030"/>
      <c r="AG2299" s="690"/>
      <c r="AH2299" s="690"/>
      <c r="AI2299" s="696">
        <f t="shared" si="299"/>
        <v>4364111</v>
      </c>
      <c r="AJ2299" s="697">
        <f t="shared" si="300"/>
        <v>4354512</v>
      </c>
    </row>
    <row r="2300" spans="1:36" s="700" customFormat="1" ht="12.75" customHeight="1">
      <c r="A2300" s="826" t="s">
        <v>214</v>
      </c>
      <c r="B2300" s="935" t="s">
        <v>392</v>
      </c>
      <c r="C2300" s="824" t="s">
        <v>1370</v>
      </c>
      <c r="D2300" s="824"/>
      <c r="E2300" s="826">
        <v>428019</v>
      </c>
      <c r="F2300" s="937">
        <v>13</v>
      </c>
      <c r="G2300" s="1025">
        <v>1359991</v>
      </c>
      <c r="H2300" s="690">
        <v>1302399</v>
      </c>
      <c r="I2300" s="1030"/>
      <c r="J2300" s="690"/>
      <c r="K2300" s="1030"/>
      <c r="L2300" s="690"/>
      <c r="M2300" s="1025">
        <v>287255</v>
      </c>
      <c r="N2300" s="1030"/>
      <c r="O2300" s="692">
        <f t="shared" si="293"/>
        <v>287255</v>
      </c>
      <c r="P2300" s="690">
        <v>317831</v>
      </c>
      <c r="Q2300" s="690"/>
      <c r="R2300" s="691">
        <f t="shared" si="294"/>
        <v>317831</v>
      </c>
      <c r="S2300" s="692">
        <f t="shared" si="295"/>
        <v>1647246</v>
      </c>
      <c r="T2300" s="693">
        <f t="shared" si="296"/>
        <v>1620230</v>
      </c>
      <c r="U2300" s="1035"/>
      <c r="V2300" s="690"/>
      <c r="W2300" s="1025"/>
      <c r="X2300" s="1030"/>
      <c r="Y2300" s="694">
        <f t="shared" si="297"/>
        <v>0</v>
      </c>
      <c r="Z2300" s="690"/>
      <c r="AA2300" s="690"/>
      <c r="AB2300" s="695">
        <f t="shared" si="298"/>
        <v>0</v>
      </c>
      <c r="AC2300" s="1035"/>
      <c r="AD2300" s="690"/>
      <c r="AE2300" s="1025"/>
      <c r="AF2300" s="1030"/>
      <c r="AG2300" s="690"/>
      <c r="AH2300" s="690"/>
      <c r="AI2300" s="696">
        <f t="shared" si="299"/>
        <v>1647246</v>
      </c>
      <c r="AJ2300" s="697">
        <f t="shared" si="300"/>
        <v>1620230</v>
      </c>
    </row>
    <row r="2301" spans="1:36" s="700" customFormat="1" ht="12.75" customHeight="1">
      <c r="A2301" s="826" t="s">
        <v>214</v>
      </c>
      <c r="B2301" s="935" t="s">
        <v>392</v>
      </c>
      <c r="C2301" s="824" t="s">
        <v>1371</v>
      </c>
      <c r="D2301" s="824"/>
      <c r="E2301" s="826">
        <v>208053</v>
      </c>
      <c r="F2301" s="937">
        <v>13</v>
      </c>
      <c r="G2301" s="1025">
        <v>2158663</v>
      </c>
      <c r="H2301" s="690">
        <v>2430087</v>
      </c>
      <c r="I2301" s="1030"/>
      <c r="J2301" s="690"/>
      <c r="K2301" s="1030"/>
      <c r="L2301" s="690"/>
      <c r="M2301" s="1025">
        <v>333760</v>
      </c>
      <c r="N2301" s="1030"/>
      <c r="O2301" s="692">
        <f t="shared" si="293"/>
        <v>333760</v>
      </c>
      <c r="P2301" s="690">
        <v>299272</v>
      </c>
      <c r="Q2301" s="690"/>
      <c r="R2301" s="691">
        <f t="shared" si="294"/>
        <v>299272</v>
      </c>
      <c r="S2301" s="692">
        <f t="shared" si="295"/>
        <v>2492423</v>
      </c>
      <c r="T2301" s="693">
        <f t="shared" si="296"/>
        <v>2729359</v>
      </c>
      <c r="U2301" s="1035"/>
      <c r="V2301" s="690"/>
      <c r="W2301" s="1025"/>
      <c r="X2301" s="1030"/>
      <c r="Y2301" s="694">
        <f t="shared" si="297"/>
        <v>0</v>
      </c>
      <c r="Z2301" s="690"/>
      <c r="AA2301" s="690"/>
      <c r="AB2301" s="695">
        <f t="shared" si="298"/>
        <v>0</v>
      </c>
      <c r="AC2301" s="1035"/>
      <c r="AD2301" s="690"/>
      <c r="AE2301" s="1025"/>
      <c r="AF2301" s="1030"/>
      <c r="AG2301" s="690"/>
      <c r="AH2301" s="690"/>
      <c r="AI2301" s="696">
        <f t="shared" si="299"/>
        <v>2492423</v>
      </c>
      <c r="AJ2301" s="697">
        <f t="shared" si="300"/>
        <v>2729359</v>
      </c>
    </row>
    <row r="2302" spans="1:36" s="700" customFormat="1" ht="12.75" customHeight="1">
      <c r="A2302" s="826" t="s">
        <v>214</v>
      </c>
      <c r="B2302" s="935" t="s">
        <v>392</v>
      </c>
      <c r="C2302" s="939" t="s">
        <v>1372</v>
      </c>
      <c r="D2302" s="939"/>
      <c r="E2302" s="826">
        <v>418296</v>
      </c>
      <c r="F2302" s="937">
        <v>13</v>
      </c>
      <c r="G2302" s="1025"/>
      <c r="H2302" s="690"/>
      <c r="I2302" s="1030"/>
      <c r="J2302" s="690"/>
      <c r="K2302" s="1030"/>
      <c r="L2302" s="690"/>
      <c r="M2302" s="1025">
        <v>676512</v>
      </c>
      <c r="N2302" s="1030"/>
      <c r="O2302" s="692">
        <f t="shared" si="293"/>
        <v>676512</v>
      </c>
      <c r="P2302" s="690"/>
      <c r="Q2302" s="690"/>
      <c r="R2302" s="691">
        <f t="shared" si="294"/>
        <v>0</v>
      </c>
      <c r="S2302" s="692">
        <f t="shared" si="295"/>
        <v>676512</v>
      </c>
      <c r="T2302" s="693">
        <f t="shared" si="296"/>
        <v>0</v>
      </c>
      <c r="U2302" s="1035"/>
      <c r="V2302" s="690"/>
      <c r="W2302" s="1025"/>
      <c r="X2302" s="1030"/>
      <c r="Y2302" s="694">
        <f t="shared" si="297"/>
        <v>0</v>
      </c>
      <c r="Z2302" s="690"/>
      <c r="AA2302" s="690"/>
      <c r="AB2302" s="695">
        <f t="shared" si="298"/>
        <v>0</v>
      </c>
      <c r="AC2302" s="1035"/>
      <c r="AD2302" s="690"/>
      <c r="AE2302" s="1025"/>
      <c r="AF2302" s="1030"/>
      <c r="AG2302" s="690"/>
      <c r="AH2302" s="690"/>
      <c r="AI2302" s="696">
        <f t="shared" si="299"/>
        <v>676512</v>
      </c>
      <c r="AJ2302" s="697">
        <f t="shared" si="300"/>
        <v>0</v>
      </c>
    </row>
    <row r="2303" spans="1:36" s="700" customFormat="1" ht="12.75" customHeight="1">
      <c r="A2303" s="826" t="s">
        <v>214</v>
      </c>
      <c r="B2303" s="935" t="s">
        <v>392</v>
      </c>
      <c r="C2303" s="939" t="s">
        <v>1373</v>
      </c>
      <c r="D2303" s="939"/>
      <c r="E2303" s="826">
        <v>421540</v>
      </c>
      <c r="F2303" s="937">
        <v>13</v>
      </c>
      <c r="G2303" s="1025"/>
      <c r="H2303" s="690"/>
      <c r="I2303" s="1030"/>
      <c r="J2303" s="690"/>
      <c r="K2303" s="1030"/>
      <c r="L2303" s="690"/>
      <c r="M2303" s="1025"/>
      <c r="N2303" s="1030"/>
      <c r="O2303" s="692">
        <f t="shared" si="293"/>
        <v>0</v>
      </c>
      <c r="P2303" s="690"/>
      <c r="Q2303" s="690"/>
      <c r="R2303" s="691">
        <f t="shared" si="294"/>
        <v>0</v>
      </c>
      <c r="S2303" s="692">
        <f t="shared" si="295"/>
        <v>0</v>
      </c>
      <c r="T2303" s="693">
        <f t="shared" si="296"/>
        <v>0</v>
      </c>
      <c r="U2303" s="1035"/>
      <c r="V2303" s="690"/>
      <c r="W2303" s="1025"/>
      <c r="X2303" s="1030"/>
      <c r="Y2303" s="694">
        <f t="shared" si="297"/>
        <v>0</v>
      </c>
      <c r="Z2303" s="690"/>
      <c r="AA2303" s="690"/>
      <c r="AB2303" s="695">
        <f t="shared" si="298"/>
        <v>0</v>
      </c>
      <c r="AC2303" s="1035"/>
      <c r="AD2303" s="690"/>
      <c r="AE2303" s="1025"/>
      <c r="AF2303" s="1030"/>
      <c r="AG2303" s="690"/>
      <c r="AH2303" s="690"/>
      <c r="AI2303" s="696">
        <f t="shared" si="299"/>
        <v>0</v>
      </c>
      <c r="AJ2303" s="697">
        <f t="shared" si="300"/>
        <v>0</v>
      </c>
    </row>
    <row r="2304" spans="1:36" s="700" customFormat="1" ht="12.75" customHeight="1">
      <c r="A2304" s="826" t="s">
        <v>214</v>
      </c>
      <c r="B2304" s="935" t="s">
        <v>392</v>
      </c>
      <c r="C2304" s="939" t="s">
        <v>1374</v>
      </c>
      <c r="D2304" s="939"/>
      <c r="E2304" s="826">
        <v>421559</v>
      </c>
      <c r="F2304" s="937">
        <v>13</v>
      </c>
      <c r="G2304" s="1025"/>
      <c r="H2304" s="690"/>
      <c r="I2304" s="1030"/>
      <c r="J2304" s="690"/>
      <c r="K2304" s="1030"/>
      <c r="L2304" s="690"/>
      <c r="M2304" s="1025"/>
      <c r="N2304" s="1030"/>
      <c r="O2304" s="692">
        <f t="shared" si="293"/>
        <v>0</v>
      </c>
      <c r="P2304" s="690"/>
      <c r="Q2304" s="690"/>
      <c r="R2304" s="691">
        <f t="shared" si="294"/>
        <v>0</v>
      </c>
      <c r="S2304" s="692">
        <f t="shared" si="295"/>
        <v>0</v>
      </c>
      <c r="T2304" s="693">
        <f t="shared" si="296"/>
        <v>0</v>
      </c>
      <c r="U2304" s="1035"/>
      <c r="V2304" s="690"/>
      <c r="W2304" s="1025"/>
      <c r="X2304" s="1030"/>
      <c r="Y2304" s="694">
        <f t="shared" si="297"/>
        <v>0</v>
      </c>
      <c r="Z2304" s="690"/>
      <c r="AA2304" s="690"/>
      <c r="AB2304" s="695">
        <f t="shared" si="298"/>
        <v>0</v>
      </c>
      <c r="AC2304" s="1035"/>
      <c r="AD2304" s="690"/>
      <c r="AE2304" s="1025"/>
      <c r="AF2304" s="1030"/>
      <c r="AG2304" s="690"/>
      <c r="AH2304" s="690"/>
      <c r="AI2304" s="696">
        <f t="shared" si="299"/>
        <v>0</v>
      </c>
      <c r="AJ2304" s="697">
        <f t="shared" si="300"/>
        <v>0</v>
      </c>
    </row>
    <row r="2305" spans="1:36" s="700" customFormat="1" ht="12.75" customHeight="1">
      <c r="A2305" s="826" t="s">
        <v>214</v>
      </c>
      <c r="B2305" s="935" t="s">
        <v>392</v>
      </c>
      <c r="C2305" s="939" t="s">
        <v>1375</v>
      </c>
      <c r="D2305" s="939"/>
      <c r="E2305" s="826">
        <v>208026</v>
      </c>
      <c r="F2305" s="937">
        <v>13</v>
      </c>
      <c r="G2305" s="1025"/>
      <c r="H2305" s="690"/>
      <c r="I2305" s="1030"/>
      <c r="J2305" s="690"/>
      <c r="K2305" s="1030"/>
      <c r="L2305" s="690"/>
      <c r="M2305" s="1025"/>
      <c r="N2305" s="1030"/>
      <c r="O2305" s="692">
        <f t="shared" si="293"/>
        <v>0</v>
      </c>
      <c r="P2305" s="690"/>
      <c r="Q2305" s="690"/>
      <c r="R2305" s="691">
        <f t="shared" si="294"/>
        <v>0</v>
      </c>
      <c r="S2305" s="692">
        <f t="shared" si="295"/>
        <v>0</v>
      </c>
      <c r="T2305" s="693">
        <f t="shared" si="296"/>
        <v>0</v>
      </c>
      <c r="U2305" s="1035"/>
      <c r="V2305" s="690"/>
      <c r="W2305" s="1025"/>
      <c r="X2305" s="1030"/>
      <c r="Y2305" s="694">
        <f t="shared" si="297"/>
        <v>0</v>
      </c>
      <c r="Z2305" s="690"/>
      <c r="AA2305" s="690"/>
      <c r="AB2305" s="695">
        <f t="shared" si="298"/>
        <v>0</v>
      </c>
      <c r="AC2305" s="1035"/>
      <c r="AD2305" s="690"/>
      <c r="AE2305" s="1025"/>
      <c r="AF2305" s="1030"/>
      <c r="AG2305" s="690"/>
      <c r="AH2305" s="690"/>
      <c r="AI2305" s="696">
        <f t="shared" si="299"/>
        <v>0</v>
      </c>
      <c r="AJ2305" s="697">
        <f t="shared" si="300"/>
        <v>0</v>
      </c>
    </row>
    <row r="2306" spans="1:36" s="700" customFormat="1" ht="12.75" customHeight="1">
      <c r="A2306" s="826" t="s">
        <v>214</v>
      </c>
      <c r="B2306" s="935" t="s">
        <v>392</v>
      </c>
      <c r="C2306" s="940" t="s">
        <v>1376</v>
      </c>
      <c r="D2306" s="940"/>
      <c r="E2306" s="826">
        <v>375692</v>
      </c>
      <c r="F2306" s="937">
        <v>13</v>
      </c>
      <c r="G2306" s="1025"/>
      <c r="H2306" s="690"/>
      <c r="I2306" s="1030"/>
      <c r="J2306" s="690"/>
      <c r="K2306" s="1030"/>
      <c r="L2306" s="690"/>
      <c r="M2306" s="1025">
        <v>1949770</v>
      </c>
      <c r="N2306" s="1030"/>
      <c r="O2306" s="692">
        <f t="shared" si="293"/>
        <v>1949770</v>
      </c>
      <c r="P2306" s="690"/>
      <c r="Q2306" s="690"/>
      <c r="R2306" s="691">
        <f t="shared" si="294"/>
        <v>0</v>
      </c>
      <c r="S2306" s="692">
        <f t="shared" si="295"/>
        <v>1949770</v>
      </c>
      <c r="T2306" s="693">
        <f t="shared" si="296"/>
        <v>0</v>
      </c>
      <c r="U2306" s="1035"/>
      <c r="V2306" s="690"/>
      <c r="W2306" s="1025"/>
      <c r="X2306" s="1030"/>
      <c r="Y2306" s="694">
        <f t="shared" si="297"/>
        <v>0</v>
      </c>
      <c r="Z2306" s="690"/>
      <c r="AA2306" s="690"/>
      <c r="AB2306" s="695">
        <f t="shared" si="298"/>
        <v>0</v>
      </c>
      <c r="AC2306" s="1035"/>
      <c r="AD2306" s="690"/>
      <c r="AE2306" s="1025"/>
      <c r="AF2306" s="1030"/>
      <c r="AG2306" s="690"/>
      <c r="AH2306" s="690"/>
      <c r="AI2306" s="696">
        <f t="shared" si="299"/>
        <v>1949770</v>
      </c>
      <c r="AJ2306" s="697">
        <f t="shared" si="300"/>
        <v>0</v>
      </c>
    </row>
    <row r="2307" spans="1:36" s="700" customFormat="1" ht="12.75" customHeight="1">
      <c r="A2307" s="826" t="s">
        <v>214</v>
      </c>
      <c r="B2307" s="935" t="s">
        <v>392</v>
      </c>
      <c r="C2307" s="940" t="s">
        <v>1377</v>
      </c>
      <c r="D2307" s="940"/>
      <c r="E2307" s="826">
        <v>375708</v>
      </c>
      <c r="F2307" s="937">
        <v>13</v>
      </c>
      <c r="G2307" s="1025"/>
      <c r="H2307" s="690"/>
      <c r="I2307" s="1030"/>
      <c r="J2307" s="690"/>
      <c r="K2307" s="1030"/>
      <c r="L2307" s="690"/>
      <c r="M2307" s="1025"/>
      <c r="N2307" s="1030"/>
      <c r="O2307" s="692">
        <f t="shared" si="293"/>
        <v>0</v>
      </c>
      <c r="P2307" s="690"/>
      <c r="Q2307" s="690"/>
      <c r="R2307" s="691">
        <f t="shared" si="294"/>
        <v>0</v>
      </c>
      <c r="S2307" s="692">
        <f t="shared" si="295"/>
        <v>0</v>
      </c>
      <c r="T2307" s="693">
        <f t="shared" si="296"/>
        <v>0</v>
      </c>
      <c r="U2307" s="1035"/>
      <c r="V2307" s="690"/>
      <c r="W2307" s="1025"/>
      <c r="X2307" s="1030"/>
      <c r="Y2307" s="694">
        <f t="shared" si="297"/>
        <v>0</v>
      </c>
      <c r="Z2307" s="690"/>
      <c r="AA2307" s="690"/>
      <c r="AB2307" s="695">
        <f t="shared" si="298"/>
        <v>0</v>
      </c>
      <c r="AC2307" s="1035"/>
      <c r="AD2307" s="690"/>
      <c r="AE2307" s="1025"/>
      <c r="AF2307" s="1030"/>
      <c r="AG2307" s="690"/>
      <c r="AH2307" s="690"/>
      <c r="AI2307" s="696">
        <f t="shared" si="299"/>
        <v>0</v>
      </c>
      <c r="AJ2307" s="697">
        <f t="shared" si="300"/>
        <v>0</v>
      </c>
    </row>
    <row r="2308" spans="1:36" s="700" customFormat="1" ht="12.75" customHeight="1">
      <c r="A2308" s="826" t="s">
        <v>214</v>
      </c>
      <c r="B2308" s="935" t="s">
        <v>392</v>
      </c>
      <c r="C2308" s="940" t="s">
        <v>1378</v>
      </c>
      <c r="D2308" s="940"/>
      <c r="E2308" s="826">
        <v>375717</v>
      </c>
      <c r="F2308" s="937">
        <v>13</v>
      </c>
      <c r="G2308" s="1025"/>
      <c r="H2308" s="690"/>
      <c r="I2308" s="1030"/>
      <c r="J2308" s="690"/>
      <c r="K2308" s="1030"/>
      <c r="L2308" s="690"/>
      <c r="M2308" s="1025"/>
      <c r="N2308" s="1030"/>
      <c r="O2308" s="692">
        <f t="shared" si="293"/>
        <v>0</v>
      </c>
      <c r="P2308" s="690"/>
      <c r="Q2308" s="690"/>
      <c r="R2308" s="691">
        <f t="shared" si="294"/>
        <v>0</v>
      </c>
      <c r="S2308" s="692">
        <f t="shared" si="295"/>
        <v>0</v>
      </c>
      <c r="T2308" s="693">
        <f t="shared" si="296"/>
        <v>0</v>
      </c>
      <c r="U2308" s="1035"/>
      <c r="V2308" s="690"/>
      <c r="W2308" s="1025"/>
      <c r="X2308" s="1030"/>
      <c r="Y2308" s="694">
        <f t="shared" si="297"/>
        <v>0</v>
      </c>
      <c r="Z2308" s="690"/>
      <c r="AA2308" s="690"/>
      <c r="AB2308" s="695">
        <f t="shared" si="298"/>
        <v>0</v>
      </c>
      <c r="AC2308" s="1035"/>
      <c r="AD2308" s="690"/>
      <c r="AE2308" s="1025"/>
      <c r="AF2308" s="1030"/>
      <c r="AG2308" s="690"/>
      <c r="AH2308" s="690"/>
      <c r="AI2308" s="696">
        <f t="shared" si="299"/>
        <v>0</v>
      </c>
      <c r="AJ2308" s="697">
        <f t="shared" si="300"/>
        <v>0</v>
      </c>
    </row>
    <row r="2309" spans="1:36" s="700" customFormat="1" ht="12.75" customHeight="1">
      <c r="A2309" s="826" t="s">
        <v>214</v>
      </c>
      <c r="B2309" s="935" t="s">
        <v>392</v>
      </c>
      <c r="C2309" s="940" t="s">
        <v>1379</v>
      </c>
      <c r="D2309" s="940"/>
      <c r="E2309" s="826">
        <v>375735</v>
      </c>
      <c r="F2309" s="937">
        <v>13</v>
      </c>
      <c r="G2309" s="1025"/>
      <c r="H2309" s="690"/>
      <c r="I2309" s="1030"/>
      <c r="J2309" s="690"/>
      <c r="K2309" s="1030"/>
      <c r="L2309" s="690"/>
      <c r="M2309" s="1025"/>
      <c r="N2309" s="1030"/>
      <c r="O2309" s="692">
        <f t="shared" si="293"/>
        <v>0</v>
      </c>
      <c r="P2309" s="690"/>
      <c r="Q2309" s="690"/>
      <c r="R2309" s="691">
        <f t="shared" si="294"/>
        <v>0</v>
      </c>
      <c r="S2309" s="692">
        <f t="shared" si="295"/>
        <v>0</v>
      </c>
      <c r="T2309" s="693">
        <f t="shared" si="296"/>
        <v>0</v>
      </c>
      <c r="U2309" s="1035"/>
      <c r="V2309" s="690"/>
      <c r="W2309" s="1025"/>
      <c r="X2309" s="1030"/>
      <c r="Y2309" s="694">
        <f t="shared" si="297"/>
        <v>0</v>
      </c>
      <c r="Z2309" s="690"/>
      <c r="AA2309" s="690"/>
      <c r="AB2309" s="695">
        <f t="shared" si="298"/>
        <v>0</v>
      </c>
      <c r="AC2309" s="1035"/>
      <c r="AD2309" s="690"/>
      <c r="AE2309" s="1025"/>
      <c r="AF2309" s="1030"/>
      <c r="AG2309" s="690"/>
      <c r="AH2309" s="690"/>
      <c r="AI2309" s="696">
        <f t="shared" si="299"/>
        <v>0</v>
      </c>
      <c r="AJ2309" s="697">
        <f t="shared" si="300"/>
        <v>0</v>
      </c>
    </row>
    <row r="2310" spans="1:36" s="700" customFormat="1" ht="12.75" customHeight="1">
      <c r="A2310" s="826" t="s">
        <v>214</v>
      </c>
      <c r="B2310" s="935" t="s">
        <v>392</v>
      </c>
      <c r="C2310" s="940" t="s">
        <v>1380</v>
      </c>
      <c r="D2310" s="940"/>
      <c r="E2310" s="826">
        <v>375726</v>
      </c>
      <c r="F2310" s="937">
        <v>13</v>
      </c>
      <c r="G2310" s="1025"/>
      <c r="H2310" s="690"/>
      <c r="I2310" s="1030"/>
      <c r="J2310" s="690"/>
      <c r="K2310" s="1030"/>
      <c r="L2310" s="690"/>
      <c r="M2310" s="1025"/>
      <c r="N2310" s="1030"/>
      <c r="O2310" s="692">
        <f t="shared" si="293"/>
        <v>0</v>
      </c>
      <c r="P2310" s="690"/>
      <c r="Q2310" s="690"/>
      <c r="R2310" s="691">
        <f t="shared" si="294"/>
        <v>0</v>
      </c>
      <c r="S2310" s="692">
        <f t="shared" si="295"/>
        <v>0</v>
      </c>
      <c r="T2310" s="693">
        <f t="shared" si="296"/>
        <v>0</v>
      </c>
      <c r="U2310" s="1035"/>
      <c r="V2310" s="690"/>
      <c r="W2310" s="1025"/>
      <c r="X2310" s="1030"/>
      <c r="Y2310" s="694">
        <f t="shared" si="297"/>
        <v>0</v>
      </c>
      <c r="Z2310" s="690"/>
      <c r="AA2310" s="690"/>
      <c r="AB2310" s="695">
        <f t="shared" si="298"/>
        <v>0</v>
      </c>
      <c r="AC2310" s="1035"/>
      <c r="AD2310" s="690"/>
      <c r="AE2310" s="1025"/>
      <c r="AF2310" s="1030"/>
      <c r="AG2310" s="690"/>
      <c r="AH2310" s="690"/>
      <c r="AI2310" s="696">
        <f t="shared" si="299"/>
        <v>0</v>
      </c>
      <c r="AJ2310" s="697">
        <f t="shared" si="300"/>
        <v>0</v>
      </c>
    </row>
    <row r="2311" spans="1:36" s="700" customFormat="1" ht="12.75" customHeight="1">
      <c r="A2311" s="826" t="s">
        <v>214</v>
      </c>
      <c r="B2311" s="935" t="s">
        <v>392</v>
      </c>
      <c r="C2311" s="940" t="s">
        <v>1381</v>
      </c>
      <c r="D2311" s="940"/>
      <c r="E2311" s="826">
        <v>375744</v>
      </c>
      <c r="F2311" s="937">
        <v>13</v>
      </c>
      <c r="G2311" s="1025"/>
      <c r="H2311" s="690"/>
      <c r="I2311" s="1030"/>
      <c r="J2311" s="690"/>
      <c r="K2311" s="1030"/>
      <c r="L2311" s="690"/>
      <c r="M2311" s="1025"/>
      <c r="N2311" s="1030"/>
      <c r="O2311" s="692">
        <f t="shared" si="293"/>
        <v>0</v>
      </c>
      <c r="P2311" s="690"/>
      <c r="Q2311" s="690"/>
      <c r="R2311" s="691">
        <f t="shared" si="294"/>
        <v>0</v>
      </c>
      <c r="S2311" s="692">
        <f t="shared" si="295"/>
        <v>0</v>
      </c>
      <c r="T2311" s="693">
        <f t="shared" si="296"/>
        <v>0</v>
      </c>
      <c r="U2311" s="1035"/>
      <c r="V2311" s="690"/>
      <c r="W2311" s="1025"/>
      <c r="X2311" s="1030"/>
      <c r="Y2311" s="694">
        <f t="shared" si="297"/>
        <v>0</v>
      </c>
      <c r="Z2311" s="690"/>
      <c r="AA2311" s="690"/>
      <c r="AB2311" s="695">
        <f t="shared" si="298"/>
        <v>0</v>
      </c>
      <c r="AC2311" s="1035"/>
      <c r="AD2311" s="690"/>
      <c r="AE2311" s="1025"/>
      <c r="AF2311" s="1030"/>
      <c r="AG2311" s="690"/>
      <c r="AH2311" s="690"/>
      <c r="AI2311" s="696">
        <f t="shared" si="299"/>
        <v>0</v>
      </c>
      <c r="AJ2311" s="697">
        <f t="shared" si="300"/>
        <v>0</v>
      </c>
    </row>
    <row r="2312" spans="1:36" s="700" customFormat="1" ht="12.75" customHeight="1">
      <c r="A2312" s="826" t="s">
        <v>214</v>
      </c>
      <c r="B2312" s="935" t="s">
        <v>392</v>
      </c>
      <c r="C2312" s="940" t="s">
        <v>1382</v>
      </c>
      <c r="D2312" s="940"/>
      <c r="E2312" s="826">
        <v>375753</v>
      </c>
      <c r="F2312" s="937">
        <v>13</v>
      </c>
      <c r="G2312" s="1025"/>
      <c r="H2312" s="690"/>
      <c r="I2312" s="1030"/>
      <c r="J2312" s="690"/>
      <c r="K2312" s="1030"/>
      <c r="L2312" s="690"/>
      <c r="M2312" s="1025"/>
      <c r="N2312" s="1030"/>
      <c r="O2312" s="692">
        <f t="shared" si="293"/>
        <v>0</v>
      </c>
      <c r="P2312" s="690"/>
      <c r="Q2312" s="690"/>
      <c r="R2312" s="691">
        <f t="shared" si="294"/>
        <v>0</v>
      </c>
      <c r="S2312" s="692">
        <f t="shared" si="295"/>
        <v>0</v>
      </c>
      <c r="T2312" s="693">
        <f t="shared" si="296"/>
        <v>0</v>
      </c>
      <c r="U2312" s="1035"/>
      <c r="V2312" s="690"/>
      <c r="W2312" s="1025"/>
      <c r="X2312" s="1030"/>
      <c r="Y2312" s="694">
        <f t="shared" si="297"/>
        <v>0</v>
      </c>
      <c r="Z2312" s="690"/>
      <c r="AA2312" s="690"/>
      <c r="AB2312" s="695">
        <f t="shared" si="298"/>
        <v>0</v>
      </c>
      <c r="AC2312" s="1035"/>
      <c r="AD2312" s="690"/>
      <c r="AE2312" s="1025"/>
      <c r="AF2312" s="1030"/>
      <c r="AG2312" s="690"/>
      <c r="AH2312" s="690"/>
      <c r="AI2312" s="696">
        <f t="shared" si="299"/>
        <v>0</v>
      </c>
      <c r="AJ2312" s="697">
        <f t="shared" si="300"/>
        <v>0</v>
      </c>
    </row>
    <row r="2313" spans="1:36" s="700" customFormat="1" ht="12.75" customHeight="1">
      <c r="A2313" s="826" t="s">
        <v>214</v>
      </c>
      <c r="B2313" s="935" t="s">
        <v>392</v>
      </c>
      <c r="C2313" s="940" t="s">
        <v>1383</v>
      </c>
      <c r="D2313" s="940"/>
      <c r="E2313" s="826">
        <v>405748</v>
      </c>
      <c r="F2313" s="937">
        <v>13</v>
      </c>
      <c r="G2313" s="1025"/>
      <c r="H2313" s="690"/>
      <c r="I2313" s="1030"/>
      <c r="J2313" s="690"/>
      <c r="K2313" s="1030"/>
      <c r="L2313" s="690"/>
      <c r="M2313" s="1025"/>
      <c r="N2313" s="1030"/>
      <c r="O2313" s="692">
        <f t="shared" si="293"/>
        <v>0</v>
      </c>
      <c r="P2313" s="690"/>
      <c r="Q2313" s="690"/>
      <c r="R2313" s="691">
        <f t="shared" si="294"/>
        <v>0</v>
      </c>
      <c r="S2313" s="692">
        <f t="shared" si="295"/>
        <v>0</v>
      </c>
      <c r="T2313" s="693">
        <f t="shared" si="296"/>
        <v>0</v>
      </c>
      <c r="U2313" s="1035"/>
      <c r="V2313" s="690"/>
      <c r="W2313" s="1025"/>
      <c r="X2313" s="1030"/>
      <c r="Y2313" s="694">
        <f t="shared" si="297"/>
        <v>0</v>
      </c>
      <c r="Z2313" s="690"/>
      <c r="AA2313" s="690"/>
      <c r="AB2313" s="695">
        <f t="shared" si="298"/>
        <v>0</v>
      </c>
      <c r="AC2313" s="1035"/>
      <c r="AD2313" s="690"/>
      <c r="AE2313" s="1025"/>
      <c r="AF2313" s="1030"/>
      <c r="AG2313" s="690"/>
      <c r="AH2313" s="690"/>
      <c r="AI2313" s="696">
        <f t="shared" si="299"/>
        <v>0</v>
      </c>
      <c r="AJ2313" s="697">
        <f t="shared" si="300"/>
        <v>0</v>
      </c>
    </row>
    <row r="2314" spans="1:36" s="700" customFormat="1" ht="12.75" customHeight="1">
      <c r="A2314" s="826" t="s">
        <v>214</v>
      </c>
      <c r="B2314" s="935" t="s">
        <v>392</v>
      </c>
      <c r="C2314" s="940" t="s">
        <v>1384</v>
      </c>
      <c r="D2314" s="940"/>
      <c r="E2314" s="826">
        <v>375762</v>
      </c>
      <c r="F2314" s="937">
        <v>13</v>
      </c>
      <c r="G2314" s="1025"/>
      <c r="H2314" s="690"/>
      <c r="I2314" s="1030"/>
      <c r="J2314" s="690"/>
      <c r="K2314" s="1030"/>
      <c r="L2314" s="690"/>
      <c r="M2314" s="1025"/>
      <c r="N2314" s="1030"/>
      <c r="O2314" s="692">
        <f t="shared" ref="O2314:O2377" si="301">SUM(M2314:N2314)</f>
        <v>0</v>
      </c>
      <c r="P2314" s="690"/>
      <c r="Q2314" s="690"/>
      <c r="R2314" s="691">
        <f t="shared" ref="R2314:R2377" si="302">SUM(P2314:Q2314)</f>
        <v>0</v>
      </c>
      <c r="S2314" s="692">
        <f t="shared" ref="S2314:S2377" si="303">SUM(G2314,I2314,K2314,M2314)</f>
        <v>0</v>
      </c>
      <c r="T2314" s="693">
        <f t="shared" ref="T2314:T2377" si="304">SUM(H2314,J2314,L2314,P2314)</f>
        <v>0</v>
      </c>
      <c r="U2314" s="1035"/>
      <c r="V2314" s="690"/>
      <c r="W2314" s="1025"/>
      <c r="X2314" s="1030"/>
      <c r="Y2314" s="694">
        <f t="shared" ref="Y2314:Y2377" si="305">SUM(W2314:X2314)</f>
        <v>0</v>
      </c>
      <c r="Z2314" s="690"/>
      <c r="AA2314" s="690"/>
      <c r="AB2314" s="695">
        <f t="shared" ref="AB2314:AB2377" si="306">SUM(Z2314:AA2314)</f>
        <v>0</v>
      </c>
      <c r="AC2314" s="1035"/>
      <c r="AD2314" s="690"/>
      <c r="AE2314" s="1025"/>
      <c r="AF2314" s="1030"/>
      <c r="AG2314" s="690"/>
      <c r="AH2314" s="690"/>
      <c r="AI2314" s="696">
        <f t="shared" ref="AI2314:AI2377" si="307">SUM(S2314,U2314,W2314,AC2314,AE2314)</f>
        <v>0</v>
      </c>
      <c r="AJ2314" s="697">
        <f t="shared" ref="AJ2314:AJ2377" si="308">SUM(T2314,V2314,Z2314,AD2314,AG2314)</f>
        <v>0</v>
      </c>
    </row>
    <row r="2315" spans="1:36" s="700" customFormat="1" ht="12.75" customHeight="1">
      <c r="A2315" s="826" t="s">
        <v>214</v>
      </c>
      <c r="B2315" s="935" t="s">
        <v>392</v>
      </c>
      <c r="C2315" s="824" t="s">
        <v>1385</v>
      </c>
      <c r="D2315" s="824"/>
      <c r="E2315" s="826">
        <v>365480</v>
      </c>
      <c r="F2315" s="937">
        <v>13</v>
      </c>
      <c r="G2315" s="1025">
        <v>3309285</v>
      </c>
      <c r="H2315" s="690">
        <v>3427179</v>
      </c>
      <c r="I2315" s="1030"/>
      <c r="J2315" s="690"/>
      <c r="K2315" s="1030"/>
      <c r="L2315" s="690"/>
      <c r="M2315" s="1025">
        <v>775887</v>
      </c>
      <c r="N2315" s="1030"/>
      <c r="O2315" s="692">
        <f t="shared" si="301"/>
        <v>775887</v>
      </c>
      <c r="P2315" s="690">
        <v>588574</v>
      </c>
      <c r="Q2315" s="690"/>
      <c r="R2315" s="691">
        <f t="shared" si="302"/>
        <v>588574</v>
      </c>
      <c r="S2315" s="692">
        <f t="shared" si="303"/>
        <v>4085172</v>
      </c>
      <c r="T2315" s="693">
        <f t="shared" si="304"/>
        <v>4015753</v>
      </c>
      <c r="U2315" s="1035"/>
      <c r="V2315" s="690"/>
      <c r="W2315" s="1025"/>
      <c r="X2315" s="1030"/>
      <c r="Y2315" s="694">
        <f t="shared" si="305"/>
        <v>0</v>
      </c>
      <c r="Z2315" s="690"/>
      <c r="AA2315" s="690"/>
      <c r="AB2315" s="695">
        <f t="shared" si="306"/>
        <v>0</v>
      </c>
      <c r="AC2315" s="1035"/>
      <c r="AD2315" s="690"/>
      <c r="AE2315" s="1025"/>
      <c r="AF2315" s="1030"/>
      <c r="AG2315" s="690"/>
      <c r="AH2315" s="690"/>
      <c r="AI2315" s="696">
        <f t="shared" si="307"/>
        <v>4085172</v>
      </c>
      <c r="AJ2315" s="697">
        <f t="shared" si="308"/>
        <v>4015753</v>
      </c>
    </row>
    <row r="2316" spans="1:36" s="700" customFormat="1" ht="12.75" customHeight="1">
      <c r="A2316" s="826" t="s">
        <v>214</v>
      </c>
      <c r="B2316" s="935" t="s">
        <v>392</v>
      </c>
      <c r="C2316" s="824" t="s">
        <v>1386</v>
      </c>
      <c r="D2316" s="824"/>
      <c r="E2316" s="826">
        <v>418320</v>
      </c>
      <c r="F2316" s="937">
        <v>13</v>
      </c>
      <c r="G2316" s="1025">
        <v>2911377</v>
      </c>
      <c r="H2316" s="690">
        <v>2976968</v>
      </c>
      <c r="I2316" s="1030"/>
      <c r="J2316" s="690"/>
      <c r="K2316" s="1030"/>
      <c r="L2316" s="690"/>
      <c r="M2316" s="1025">
        <v>397857</v>
      </c>
      <c r="N2316" s="1030"/>
      <c r="O2316" s="692">
        <f t="shared" si="301"/>
        <v>397857</v>
      </c>
      <c r="P2316" s="690">
        <v>441678</v>
      </c>
      <c r="Q2316" s="690"/>
      <c r="R2316" s="691">
        <f t="shared" si="302"/>
        <v>441678</v>
      </c>
      <c r="S2316" s="692">
        <f t="shared" si="303"/>
        <v>3309234</v>
      </c>
      <c r="T2316" s="693">
        <f t="shared" si="304"/>
        <v>3418646</v>
      </c>
      <c r="U2316" s="1035"/>
      <c r="V2316" s="690"/>
      <c r="W2316" s="1025"/>
      <c r="X2316" s="1030"/>
      <c r="Y2316" s="694">
        <f t="shared" si="305"/>
        <v>0</v>
      </c>
      <c r="Z2316" s="690"/>
      <c r="AA2316" s="690"/>
      <c r="AB2316" s="695">
        <f t="shared" si="306"/>
        <v>0</v>
      </c>
      <c r="AC2316" s="1035"/>
      <c r="AD2316" s="690"/>
      <c r="AE2316" s="1025"/>
      <c r="AF2316" s="1030"/>
      <c r="AG2316" s="690"/>
      <c r="AH2316" s="690"/>
      <c r="AI2316" s="696">
        <f t="shared" si="307"/>
        <v>3309234</v>
      </c>
      <c r="AJ2316" s="697">
        <f t="shared" si="308"/>
        <v>3418646</v>
      </c>
    </row>
    <row r="2317" spans="1:36" s="700" customFormat="1" ht="12.75" customHeight="1">
      <c r="A2317" s="826" t="s">
        <v>214</v>
      </c>
      <c r="B2317" s="935" t="s">
        <v>392</v>
      </c>
      <c r="C2317" s="824" t="s">
        <v>1387</v>
      </c>
      <c r="D2317" s="824"/>
      <c r="E2317" s="826">
        <v>431017</v>
      </c>
      <c r="F2317" s="937">
        <v>13</v>
      </c>
      <c r="G2317" s="1025">
        <v>2082236</v>
      </c>
      <c r="H2317" s="690">
        <v>1910296</v>
      </c>
      <c r="I2317" s="1030"/>
      <c r="J2317" s="690"/>
      <c r="K2317" s="1030"/>
      <c r="L2317" s="690"/>
      <c r="M2317" s="1025">
        <v>20691</v>
      </c>
      <c r="N2317" s="1030"/>
      <c r="O2317" s="692">
        <f t="shared" si="301"/>
        <v>20691</v>
      </c>
      <c r="P2317" s="690">
        <v>26626</v>
      </c>
      <c r="Q2317" s="690"/>
      <c r="R2317" s="691">
        <f t="shared" si="302"/>
        <v>26626</v>
      </c>
      <c r="S2317" s="692">
        <f t="shared" si="303"/>
        <v>2102927</v>
      </c>
      <c r="T2317" s="693">
        <f t="shared" si="304"/>
        <v>1936922</v>
      </c>
      <c r="U2317" s="1035"/>
      <c r="V2317" s="690"/>
      <c r="W2317" s="1025"/>
      <c r="X2317" s="1030"/>
      <c r="Y2317" s="694">
        <f t="shared" si="305"/>
        <v>0</v>
      </c>
      <c r="Z2317" s="690"/>
      <c r="AA2317" s="690"/>
      <c r="AB2317" s="695">
        <f t="shared" si="306"/>
        <v>0</v>
      </c>
      <c r="AC2317" s="1035"/>
      <c r="AD2317" s="690"/>
      <c r="AE2317" s="1025"/>
      <c r="AF2317" s="1030"/>
      <c r="AG2317" s="690"/>
      <c r="AH2317" s="690"/>
      <c r="AI2317" s="696">
        <f t="shared" si="307"/>
        <v>2102927</v>
      </c>
      <c r="AJ2317" s="697">
        <f t="shared" si="308"/>
        <v>1936922</v>
      </c>
    </row>
    <row r="2318" spans="1:36" s="700" customFormat="1" ht="12.75" customHeight="1">
      <c r="A2318" s="826" t="s">
        <v>214</v>
      </c>
      <c r="B2318" s="935" t="s">
        <v>392</v>
      </c>
      <c r="C2318" s="936" t="s">
        <v>1388</v>
      </c>
      <c r="D2318" s="936"/>
      <c r="E2318" s="826">
        <v>248606</v>
      </c>
      <c r="F2318" s="937">
        <v>13</v>
      </c>
      <c r="G2318" s="1025">
        <v>3950742</v>
      </c>
      <c r="H2318" s="690">
        <v>4021854</v>
      </c>
      <c r="I2318" s="1030"/>
      <c r="J2318" s="690"/>
      <c r="K2318" s="1030"/>
      <c r="L2318" s="690"/>
      <c r="M2318" s="1025">
        <v>1799599</v>
      </c>
      <c r="N2318" s="1030"/>
      <c r="O2318" s="692">
        <f t="shared" si="301"/>
        <v>1799599</v>
      </c>
      <c r="P2318" s="690">
        <v>1823912</v>
      </c>
      <c r="Q2318" s="690"/>
      <c r="R2318" s="691">
        <f t="shared" si="302"/>
        <v>1823912</v>
      </c>
      <c r="S2318" s="692">
        <f t="shared" si="303"/>
        <v>5750341</v>
      </c>
      <c r="T2318" s="693">
        <f t="shared" si="304"/>
        <v>5845766</v>
      </c>
      <c r="U2318" s="1035"/>
      <c r="V2318" s="690"/>
      <c r="W2318" s="1025"/>
      <c r="X2318" s="1030"/>
      <c r="Y2318" s="694">
        <f t="shared" si="305"/>
        <v>0</v>
      </c>
      <c r="Z2318" s="690"/>
      <c r="AA2318" s="690"/>
      <c r="AB2318" s="695">
        <f t="shared" si="306"/>
        <v>0</v>
      </c>
      <c r="AC2318" s="1035"/>
      <c r="AD2318" s="690"/>
      <c r="AE2318" s="1025"/>
      <c r="AF2318" s="1030"/>
      <c r="AG2318" s="690"/>
      <c r="AH2318" s="690"/>
      <c r="AI2318" s="696">
        <f t="shared" si="307"/>
        <v>5750341</v>
      </c>
      <c r="AJ2318" s="697">
        <f t="shared" si="308"/>
        <v>5845766</v>
      </c>
    </row>
    <row r="2319" spans="1:36" s="700" customFormat="1" ht="12.75" customHeight="1">
      <c r="A2319" s="826" t="s">
        <v>214</v>
      </c>
      <c r="B2319" s="935" t="s">
        <v>392</v>
      </c>
      <c r="C2319" s="941" t="s">
        <v>1389</v>
      </c>
      <c r="D2319" s="941"/>
      <c r="E2319" s="826">
        <v>420459</v>
      </c>
      <c r="F2319" s="937">
        <v>13</v>
      </c>
      <c r="G2319" s="1025"/>
      <c r="H2319" s="690"/>
      <c r="I2319" s="1030"/>
      <c r="J2319" s="690"/>
      <c r="K2319" s="1030"/>
      <c r="L2319" s="690"/>
      <c r="M2319" s="1025">
        <v>665073</v>
      </c>
      <c r="N2319" s="1030"/>
      <c r="O2319" s="692">
        <f t="shared" si="301"/>
        <v>665073</v>
      </c>
      <c r="P2319" s="690"/>
      <c r="Q2319" s="690"/>
      <c r="R2319" s="691">
        <f t="shared" si="302"/>
        <v>0</v>
      </c>
      <c r="S2319" s="692">
        <f t="shared" si="303"/>
        <v>665073</v>
      </c>
      <c r="T2319" s="693">
        <f t="shared" si="304"/>
        <v>0</v>
      </c>
      <c r="U2319" s="1035"/>
      <c r="V2319" s="690"/>
      <c r="W2319" s="1025"/>
      <c r="X2319" s="1030"/>
      <c r="Y2319" s="694">
        <f t="shared" si="305"/>
        <v>0</v>
      </c>
      <c r="Z2319" s="690"/>
      <c r="AA2319" s="690"/>
      <c r="AB2319" s="695">
        <f t="shared" si="306"/>
        <v>0</v>
      </c>
      <c r="AC2319" s="1035"/>
      <c r="AD2319" s="690"/>
      <c r="AE2319" s="1025"/>
      <c r="AF2319" s="1030"/>
      <c r="AG2319" s="690"/>
      <c r="AH2319" s="690"/>
      <c r="AI2319" s="696">
        <f t="shared" si="307"/>
        <v>665073</v>
      </c>
      <c r="AJ2319" s="697">
        <f t="shared" si="308"/>
        <v>0</v>
      </c>
    </row>
    <row r="2320" spans="1:36" s="700" customFormat="1" ht="12.75" customHeight="1">
      <c r="A2320" s="826" t="s">
        <v>214</v>
      </c>
      <c r="B2320" s="935" t="s">
        <v>392</v>
      </c>
      <c r="C2320" s="942" t="s">
        <v>1390</v>
      </c>
      <c r="D2320" s="942"/>
      <c r="E2320" s="935">
        <v>432074</v>
      </c>
      <c r="F2320" s="937">
        <v>13</v>
      </c>
      <c r="G2320" s="1025"/>
      <c r="H2320" s="690"/>
      <c r="I2320" s="1030"/>
      <c r="J2320" s="690"/>
      <c r="K2320" s="1030"/>
      <c r="L2320" s="690"/>
      <c r="M2320" s="1025"/>
      <c r="N2320" s="1030"/>
      <c r="O2320" s="692">
        <f t="shared" si="301"/>
        <v>0</v>
      </c>
      <c r="P2320" s="690"/>
      <c r="Q2320" s="690"/>
      <c r="R2320" s="691">
        <f t="shared" si="302"/>
        <v>0</v>
      </c>
      <c r="S2320" s="692">
        <f t="shared" si="303"/>
        <v>0</v>
      </c>
      <c r="T2320" s="693">
        <f t="shared" si="304"/>
        <v>0</v>
      </c>
      <c r="U2320" s="1035"/>
      <c r="V2320" s="690"/>
      <c r="W2320" s="1025"/>
      <c r="X2320" s="1030"/>
      <c r="Y2320" s="694">
        <f t="shared" si="305"/>
        <v>0</v>
      </c>
      <c r="Z2320" s="690"/>
      <c r="AA2320" s="690"/>
      <c r="AB2320" s="695">
        <f t="shared" si="306"/>
        <v>0</v>
      </c>
      <c r="AC2320" s="1035"/>
      <c r="AD2320" s="690"/>
      <c r="AE2320" s="1025"/>
      <c r="AF2320" s="1030"/>
      <c r="AG2320" s="690"/>
      <c r="AH2320" s="690"/>
      <c r="AI2320" s="696">
        <f t="shared" si="307"/>
        <v>0</v>
      </c>
      <c r="AJ2320" s="697">
        <f t="shared" si="308"/>
        <v>0</v>
      </c>
    </row>
    <row r="2321" spans="1:36" s="700" customFormat="1" ht="12.75" customHeight="1">
      <c r="A2321" s="826" t="s">
        <v>214</v>
      </c>
      <c r="B2321" s="935" t="s">
        <v>392</v>
      </c>
      <c r="C2321" s="942" t="s">
        <v>1391</v>
      </c>
      <c r="D2321" s="942"/>
      <c r="E2321" s="935">
        <v>418339</v>
      </c>
      <c r="F2321" s="937">
        <v>13</v>
      </c>
      <c r="G2321" s="1025"/>
      <c r="H2321" s="690"/>
      <c r="I2321" s="1030"/>
      <c r="J2321" s="690"/>
      <c r="K2321" s="1030"/>
      <c r="L2321" s="690"/>
      <c r="M2321" s="1025"/>
      <c r="N2321" s="1030"/>
      <c r="O2321" s="692">
        <f t="shared" si="301"/>
        <v>0</v>
      </c>
      <c r="P2321" s="690"/>
      <c r="Q2321" s="690"/>
      <c r="R2321" s="691">
        <f t="shared" si="302"/>
        <v>0</v>
      </c>
      <c r="S2321" s="692">
        <f t="shared" si="303"/>
        <v>0</v>
      </c>
      <c r="T2321" s="693">
        <f t="shared" si="304"/>
        <v>0</v>
      </c>
      <c r="U2321" s="1035"/>
      <c r="V2321" s="690"/>
      <c r="W2321" s="1025"/>
      <c r="X2321" s="1030"/>
      <c r="Y2321" s="694">
        <f t="shared" si="305"/>
        <v>0</v>
      </c>
      <c r="Z2321" s="690"/>
      <c r="AA2321" s="690"/>
      <c r="AB2321" s="695">
        <f t="shared" si="306"/>
        <v>0</v>
      </c>
      <c r="AC2321" s="1035"/>
      <c r="AD2321" s="690"/>
      <c r="AE2321" s="1025"/>
      <c r="AF2321" s="1030"/>
      <c r="AG2321" s="690"/>
      <c r="AH2321" s="690"/>
      <c r="AI2321" s="696">
        <f t="shared" si="307"/>
        <v>0</v>
      </c>
      <c r="AJ2321" s="697">
        <f t="shared" si="308"/>
        <v>0</v>
      </c>
    </row>
    <row r="2322" spans="1:36" s="700" customFormat="1" ht="12.75" customHeight="1">
      <c r="A2322" s="826" t="s">
        <v>214</v>
      </c>
      <c r="B2322" s="935" t="s">
        <v>392</v>
      </c>
      <c r="C2322" s="943" t="s">
        <v>1392</v>
      </c>
      <c r="D2322" s="943"/>
      <c r="E2322" s="935">
        <v>366623</v>
      </c>
      <c r="F2322" s="937">
        <v>13</v>
      </c>
      <c r="G2322" s="1025"/>
      <c r="H2322" s="690"/>
      <c r="I2322" s="1030"/>
      <c r="J2322" s="690"/>
      <c r="K2322" s="1030"/>
      <c r="L2322" s="690"/>
      <c r="M2322" s="1025"/>
      <c r="N2322" s="1030"/>
      <c r="O2322" s="692">
        <f t="shared" si="301"/>
        <v>0</v>
      </c>
      <c r="P2322" s="690"/>
      <c r="Q2322" s="690"/>
      <c r="R2322" s="691">
        <f t="shared" si="302"/>
        <v>0</v>
      </c>
      <c r="S2322" s="692">
        <f t="shared" si="303"/>
        <v>0</v>
      </c>
      <c r="T2322" s="693">
        <f t="shared" si="304"/>
        <v>0</v>
      </c>
      <c r="U2322" s="1035"/>
      <c r="V2322" s="690"/>
      <c r="W2322" s="1025"/>
      <c r="X2322" s="1030"/>
      <c r="Y2322" s="694">
        <f t="shared" si="305"/>
        <v>0</v>
      </c>
      <c r="Z2322" s="690"/>
      <c r="AA2322" s="690"/>
      <c r="AB2322" s="695">
        <f t="shared" si="306"/>
        <v>0</v>
      </c>
      <c r="AC2322" s="1035"/>
      <c r="AD2322" s="690"/>
      <c r="AE2322" s="1025"/>
      <c r="AF2322" s="1030"/>
      <c r="AG2322" s="690"/>
      <c r="AH2322" s="690"/>
      <c r="AI2322" s="696">
        <f t="shared" si="307"/>
        <v>0</v>
      </c>
      <c r="AJ2322" s="697">
        <f t="shared" si="308"/>
        <v>0</v>
      </c>
    </row>
    <row r="2323" spans="1:36" s="700" customFormat="1" ht="12.75" customHeight="1">
      <c r="A2323" s="826" t="s">
        <v>214</v>
      </c>
      <c r="B2323" s="935" t="s">
        <v>392</v>
      </c>
      <c r="C2323" s="943" t="s">
        <v>1393</v>
      </c>
      <c r="D2323" s="943"/>
      <c r="E2323" s="935">
        <v>407601</v>
      </c>
      <c r="F2323" s="937">
        <v>13</v>
      </c>
      <c r="G2323" s="1025"/>
      <c r="H2323" s="690"/>
      <c r="I2323" s="1030"/>
      <c r="J2323" s="690"/>
      <c r="K2323" s="1030"/>
      <c r="L2323" s="690"/>
      <c r="M2323" s="1025">
        <v>232899</v>
      </c>
      <c r="N2323" s="1030"/>
      <c r="O2323" s="692">
        <f t="shared" si="301"/>
        <v>232899</v>
      </c>
      <c r="P2323" s="690"/>
      <c r="Q2323" s="690"/>
      <c r="R2323" s="691">
        <f t="shared" si="302"/>
        <v>0</v>
      </c>
      <c r="S2323" s="692">
        <f t="shared" si="303"/>
        <v>232899</v>
      </c>
      <c r="T2323" s="693">
        <f t="shared" si="304"/>
        <v>0</v>
      </c>
      <c r="U2323" s="1035"/>
      <c r="V2323" s="690"/>
      <c r="W2323" s="1025"/>
      <c r="X2323" s="1030"/>
      <c r="Y2323" s="694">
        <f t="shared" si="305"/>
        <v>0</v>
      </c>
      <c r="Z2323" s="690"/>
      <c r="AA2323" s="690"/>
      <c r="AB2323" s="695">
        <f t="shared" si="306"/>
        <v>0</v>
      </c>
      <c r="AC2323" s="1035"/>
      <c r="AD2323" s="690"/>
      <c r="AE2323" s="1025"/>
      <c r="AF2323" s="1030"/>
      <c r="AG2323" s="690"/>
      <c r="AH2323" s="690"/>
      <c r="AI2323" s="696">
        <f t="shared" si="307"/>
        <v>232899</v>
      </c>
      <c r="AJ2323" s="697">
        <f t="shared" si="308"/>
        <v>0</v>
      </c>
    </row>
    <row r="2324" spans="1:36" s="700" customFormat="1" ht="12.75" customHeight="1">
      <c r="A2324" s="826" t="s">
        <v>214</v>
      </c>
      <c r="B2324" s="935" t="s">
        <v>392</v>
      </c>
      <c r="C2324" s="944" t="s">
        <v>1394</v>
      </c>
      <c r="D2324" s="944"/>
      <c r="E2324" s="935">
        <v>364627</v>
      </c>
      <c r="F2324" s="937">
        <v>13</v>
      </c>
      <c r="G2324" s="1025">
        <v>2560301</v>
      </c>
      <c r="H2324" s="690">
        <v>2448029</v>
      </c>
      <c r="I2324" s="1030"/>
      <c r="J2324" s="690"/>
      <c r="K2324" s="1030"/>
      <c r="L2324" s="690"/>
      <c r="M2324" s="1025">
        <v>408772</v>
      </c>
      <c r="N2324" s="1030"/>
      <c r="O2324" s="692">
        <f t="shared" si="301"/>
        <v>408772</v>
      </c>
      <c r="P2324" s="690">
        <v>455519</v>
      </c>
      <c r="Q2324" s="690"/>
      <c r="R2324" s="691">
        <f t="shared" si="302"/>
        <v>455519</v>
      </c>
      <c r="S2324" s="692">
        <f t="shared" si="303"/>
        <v>2969073</v>
      </c>
      <c r="T2324" s="693">
        <f t="shared" si="304"/>
        <v>2903548</v>
      </c>
      <c r="U2324" s="1035"/>
      <c r="V2324" s="690"/>
      <c r="W2324" s="1025"/>
      <c r="X2324" s="1030"/>
      <c r="Y2324" s="694">
        <f t="shared" si="305"/>
        <v>0</v>
      </c>
      <c r="Z2324" s="690"/>
      <c r="AA2324" s="690"/>
      <c r="AB2324" s="695">
        <f t="shared" si="306"/>
        <v>0</v>
      </c>
      <c r="AC2324" s="1035"/>
      <c r="AD2324" s="690"/>
      <c r="AE2324" s="1025"/>
      <c r="AF2324" s="1030"/>
      <c r="AG2324" s="690"/>
      <c r="AH2324" s="690"/>
      <c r="AI2324" s="696">
        <f t="shared" si="307"/>
        <v>2969073</v>
      </c>
      <c r="AJ2324" s="697">
        <f t="shared" si="308"/>
        <v>2903548</v>
      </c>
    </row>
    <row r="2325" spans="1:36" s="700" customFormat="1" ht="12.75" customHeight="1">
      <c r="A2325" s="826" t="s">
        <v>214</v>
      </c>
      <c r="B2325" s="935" t="s">
        <v>392</v>
      </c>
      <c r="C2325" s="944" t="s">
        <v>1395</v>
      </c>
      <c r="D2325" s="944"/>
      <c r="E2325" s="935">
        <v>206905</v>
      </c>
      <c r="F2325" s="937">
        <v>13</v>
      </c>
      <c r="G2325" s="1025">
        <v>1650838</v>
      </c>
      <c r="H2325" s="690">
        <v>1644874</v>
      </c>
      <c r="I2325" s="1030"/>
      <c r="J2325" s="690"/>
      <c r="K2325" s="1030"/>
      <c r="L2325" s="690"/>
      <c r="M2325" s="1025">
        <v>561969</v>
      </c>
      <c r="N2325" s="1030"/>
      <c r="O2325" s="692">
        <f t="shared" si="301"/>
        <v>561969</v>
      </c>
      <c r="P2325" s="690">
        <v>480578</v>
      </c>
      <c r="Q2325" s="690"/>
      <c r="R2325" s="691">
        <f t="shared" si="302"/>
        <v>480578</v>
      </c>
      <c r="S2325" s="692">
        <f t="shared" si="303"/>
        <v>2212807</v>
      </c>
      <c r="T2325" s="693">
        <f t="shared" si="304"/>
        <v>2125452</v>
      </c>
      <c r="U2325" s="1035"/>
      <c r="V2325" s="690"/>
      <c r="W2325" s="1025"/>
      <c r="X2325" s="1030"/>
      <c r="Y2325" s="694">
        <f t="shared" si="305"/>
        <v>0</v>
      </c>
      <c r="Z2325" s="690"/>
      <c r="AA2325" s="690"/>
      <c r="AB2325" s="695">
        <f t="shared" si="306"/>
        <v>0</v>
      </c>
      <c r="AC2325" s="1035"/>
      <c r="AD2325" s="690"/>
      <c r="AE2325" s="1025"/>
      <c r="AF2325" s="1030"/>
      <c r="AG2325" s="690"/>
      <c r="AH2325" s="690"/>
      <c r="AI2325" s="696">
        <f t="shared" si="307"/>
        <v>2212807</v>
      </c>
      <c r="AJ2325" s="697">
        <f t="shared" si="308"/>
        <v>2125452</v>
      </c>
    </row>
    <row r="2326" spans="1:36" s="700" customFormat="1" ht="12.75" customHeight="1">
      <c r="A2326" s="826" t="s">
        <v>214</v>
      </c>
      <c r="B2326" s="935" t="s">
        <v>392</v>
      </c>
      <c r="C2326" s="944" t="s">
        <v>1396</v>
      </c>
      <c r="D2326" s="944"/>
      <c r="E2326" s="935">
        <v>250993</v>
      </c>
      <c r="F2326" s="937">
        <v>13</v>
      </c>
      <c r="G2326" s="1025">
        <v>2367496</v>
      </c>
      <c r="H2326" s="690">
        <v>2467330</v>
      </c>
      <c r="I2326" s="1030"/>
      <c r="J2326" s="690"/>
      <c r="K2326" s="1030"/>
      <c r="L2326" s="690"/>
      <c r="M2326" s="1025">
        <v>435282</v>
      </c>
      <c r="N2326" s="1030"/>
      <c r="O2326" s="692">
        <f t="shared" si="301"/>
        <v>435282</v>
      </c>
      <c r="P2326" s="690">
        <v>331430</v>
      </c>
      <c r="Q2326" s="690"/>
      <c r="R2326" s="691">
        <f t="shared" si="302"/>
        <v>331430</v>
      </c>
      <c r="S2326" s="692">
        <f t="shared" si="303"/>
        <v>2802778</v>
      </c>
      <c r="T2326" s="693">
        <f t="shared" si="304"/>
        <v>2798760</v>
      </c>
      <c r="U2326" s="1035"/>
      <c r="V2326" s="690"/>
      <c r="W2326" s="1025"/>
      <c r="X2326" s="1030"/>
      <c r="Y2326" s="694">
        <f t="shared" si="305"/>
        <v>0</v>
      </c>
      <c r="Z2326" s="690"/>
      <c r="AA2326" s="690"/>
      <c r="AB2326" s="695">
        <f t="shared" si="306"/>
        <v>0</v>
      </c>
      <c r="AC2326" s="1035"/>
      <c r="AD2326" s="690"/>
      <c r="AE2326" s="1025"/>
      <c r="AF2326" s="1030"/>
      <c r="AG2326" s="690"/>
      <c r="AH2326" s="690"/>
      <c r="AI2326" s="696">
        <f t="shared" si="307"/>
        <v>2802778</v>
      </c>
      <c r="AJ2326" s="697">
        <f t="shared" si="308"/>
        <v>2798760</v>
      </c>
    </row>
    <row r="2327" spans="1:36" s="700" customFormat="1" ht="12.75" customHeight="1">
      <c r="A2327" s="826" t="s">
        <v>214</v>
      </c>
      <c r="B2327" s="935" t="s">
        <v>392</v>
      </c>
      <c r="C2327" s="944" t="s">
        <v>1397</v>
      </c>
      <c r="D2327" s="944"/>
      <c r="E2327" s="935">
        <v>365198</v>
      </c>
      <c r="F2327" s="937">
        <v>13</v>
      </c>
      <c r="G2327" s="1025">
        <v>2153151</v>
      </c>
      <c r="H2327" s="690">
        <v>2183669</v>
      </c>
      <c r="I2327" s="1030"/>
      <c r="J2327" s="690"/>
      <c r="K2327" s="1030"/>
      <c r="L2327" s="690"/>
      <c r="M2327" s="1025">
        <v>418865</v>
      </c>
      <c r="N2327" s="1030"/>
      <c r="O2327" s="692">
        <f t="shared" si="301"/>
        <v>418865</v>
      </c>
      <c r="P2327" s="690">
        <v>445836</v>
      </c>
      <c r="Q2327" s="690"/>
      <c r="R2327" s="691">
        <f t="shared" si="302"/>
        <v>445836</v>
      </c>
      <c r="S2327" s="692">
        <f t="shared" si="303"/>
        <v>2572016</v>
      </c>
      <c r="T2327" s="693">
        <f t="shared" si="304"/>
        <v>2629505</v>
      </c>
      <c r="U2327" s="1035"/>
      <c r="V2327" s="690"/>
      <c r="W2327" s="1025"/>
      <c r="X2327" s="1030"/>
      <c r="Y2327" s="694">
        <f t="shared" si="305"/>
        <v>0</v>
      </c>
      <c r="Z2327" s="690"/>
      <c r="AA2327" s="690"/>
      <c r="AB2327" s="695">
        <f t="shared" si="306"/>
        <v>0</v>
      </c>
      <c r="AC2327" s="1035"/>
      <c r="AD2327" s="690"/>
      <c r="AE2327" s="1025"/>
      <c r="AF2327" s="1030"/>
      <c r="AG2327" s="690"/>
      <c r="AH2327" s="690"/>
      <c r="AI2327" s="696">
        <f t="shared" si="307"/>
        <v>2572016</v>
      </c>
      <c r="AJ2327" s="697">
        <f t="shared" si="308"/>
        <v>2629505</v>
      </c>
    </row>
    <row r="2328" spans="1:36" s="700" customFormat="1" ht="12.75" customHeight="1">
      <c r="A2328" s="826" t="s">
        <v>214</v>
      </c>
      <c r="B2328" s="935" t="s">
        <v>392</v>
      </c>
      <c r="C2328" s="944" t="s">
        <v>1398</v>
      </c>
      <c r="D2328" s="944"/>
      <c r="E2328" s="935">
        <v>368364</v>
      </c>
      <c r="F2328" s="937">
        <v>13</v>
      </c>
      <c r="G2328" s="1025">
        <v>1783356</v>
      </c>
      <c r="H2328" s="690">
        <v>2027929</v>
      </c>
      <c r="I2328" s="1030"/>
      <c r="J2328" s="690"/>
      <c r="K2328" s="1030"/>
      <c r="L2328" s="690"/>
      <c r="M2328" s="1025">
        <v>319434</v>
      </c>
      <c r="N2328" s="1030"/>
      <c r="O2328" s="692">
        <f t="shared" si="301"/>
        <v>319434</v>
      </c>
      <c r="P2328" s="690">
        <v>304822</v>
      </c>
      <c r="Q2328" s="690"/>
      <c r="R2328" s="691">
        <f t="shared" si="302"/>
        <v>304822</v>
      </c>
      <c r="S2328" s="692">
        <f t="shared" si="303"/>
        <v>2102790</v>
      </c>
      <c r="T2328" s="693">
        <f t="shared" si="304"/>
        <v>2332751</v>
      </c>
      <c r="U2328" s="1035"/>
      <c r="V2328" s="690"/>
      <c r="W2328" s="1025"/>
      <c r="X2328" s="1030"/>
      <c r="Y2328" s="694">
        <f t="shared" si="305"/>
        <v>0</v>
      </c>
      <c r="Z2328" s="690"/>
      <c r="AA2328" s="690"/>
      <c r="AB2328" s="695">
        <f t="shared" si="306"/>
        <v>0</v>
      </c>
      <c r="AC2328" s="1035"/>
      <c r="AD2328" s="690"/>
      <c r="AE2328" s="1025"/>
      <c r="AF2328" s="1030"/>
      <c r="AG2328" s="690"/>
      <c r="AH2328" s="690"/>
      <c r="AI2328" s="696">
        <f t="shared" si="307"/>
        <v>2102790</v>
      </c>
      <c r="AJ2328" s="697">
        <f t="shared" si="308"/>
        <v>2332751</v>
      </c>
    </row>
    <row r="2329" spans="1:36" s="700" customFormat="1" ht="12.75" customHeight="1">
      <c r="A2329" s="826" t="s">
        <v>214</v>
      </c>
      <c r="B2329" s="935" t="s">
        <v>392</v>
      </c>
      <c r="C2329" s="944" t="s">
        <v>1399</v>
      </c>
      <c r="D2329" s="944"/>
      <c r="E2329" s="935">
        <v>418287</v>
      </c>
      <c r="F2329" s="937">
        <v>13</v>
      </c>
      <c r="G2329" s="1025">
        <v>2900506</v>
      </c>
      <c r="H2329" s="690">
        <v>2898676</v>
      </c>
      <c r="I2329" s="1030"/>
      <c r="J2329" s="690"/>
      <c r="K2329" s="1030"/>
      <c r="L2329" s="690"/>
      <c r="M2329" s="1025">
        <v>641217</v>
      </c>
      <c r="N2329" s="1030"/>
      <c r="O2329" s="692">
        <f t="shared" si="301"/>
        <v>641217</v>
      </c>
      <c r="P2329" s="690">
        <v>711175</v>
      </c>
      <c r="Q2329" s="690"/>
      <c r="R2329" s="691">
        <f t="shared" si="302"/>
        <v>711175</v>
      </c>
      <c r="S2329" s="692">
        <f t="shared" si="303"/>
        <v>3541723</v>
      </c>
      <c r="T2329" s="693">
        <f t="shared" si="304"/>
        <v>3609851</v>
      </c>
      <c r="U2329" s="1035"/>
      <c r="V2329" s="690"/>
      <c r="W2329" s="1025"/>
      <c r="X2329" s="1030"/>
      <c r="Y2329" s="694">
        <f t="shared" si="305"/>
        <v>0</v>
      </c>
      <c r="Z2329" s="690"/>
      <c r="AA2329" s="690"/>
      <c r="AB2329" s="695">
        <f t="shared" si="306"/>
        <v>0</v>
      </c>
      <c r="AC2329" s="1035"/>
      <c r="AD2329" s="690"/>
      <c r="AE2329" s="1025"/>
      <c r="AF2329" s="1030"/>
      <c r="AG2329" s="690"/>
      <c r="AH2329" s="690"/>
      <c r="AI2329" s="696">
        <f t="shared" si="307"/>
        <v>3541723</v>
      </c>
      <c r="AJ2329" s="697">
        <f t="shared" si="308"/>
        <v>3609851</v>
      </c>
    </row>
    <row r="2330" spans="1:36" s="700" customFormat="1" ht="12.75" customHeight="1">
      <c r="A2330" s="826" t="s">
        <v>214</v>
      </c>
      <c r="B2330" s="935" t="s">
        <v>392</v>
      </c>
      <c r="C2330" s="938" t="s">
        <v>1400</v>
      </c>
      <c r="D2330" s="938"/>
      <c r="E2330" s="935">
        <v>207607</v>
      </c>
      <c r="F2330" s="937">
        <v>13</v>
      </c>
      <c r="G2330" s="1025"/>
      <c r="H2330" s="690"/>
      <c r="I2330" s="1030"/>
      <c r="J2330" s="690"/>
      <c r="K2330" s="1030"/>
      <c r="L2330" s="690"/>
      <c r="M2330" s="1025">
        <v>3428993</v>
      </c>
      <c r="N2330" s="1030"/>
      <c r="O2330" s="692">
        <f t="shared" si="301"/>
        <v>3428993</v>
      </c>
      <c r="P2330" s="690"/>
      <c r="Q2330" s="690"/>
      <c r="R2330" s="691">
        <f t="shared" si="302"/>
        <v>0</v>
      </c>
      <c r="S2330" s="692">
        <f t="shared" si="303"/>
        <v>3428993</v>
      </c>
      <c r="T2330" s="693">
        <f t="shared" si="304"/>
        <v>0</v>
      </c>
      <c r="U2330" s="1035"/>
      <c r="V2330" s="690"/>
      <c r="W2330" s="1025"/>
      <c r="X2330" s="1030"/>
      <c r="Y2330" s="694">
        <f t="shared" si="305"/>
        <v>0</v>
      </c>
      <c r="Z2330" s="690"/>
      <c r="AA2330" s="690"/>
      <c r="AB2330" s="695">
        <f t="shared" si="306"/>
        <v>0</v>
      </c>
      <c r="AC2330" s="1035"/>
      <c r="AD2330" s="690"/>
      <c r="AE2330" s="1025"/>
      <c r="AF2330" s="1030"/>
      <c r="AG2330" s="690"/>
      <c r="AH2330" s="690"/>
      <c r="AI2330" s="696">
        <f t="shared" si="307"/>
        <v>3428993</v>
      </c>
      <c r="AJ2330" s="697">
        <f t="shared" si="308"/>
        <v>0</v>
      </c>
    </row>
    <row r="2331" spans="1:36" s="700" customFormat="1" ht="12.75" customHeight="1">
      <c r="A2331" s="826" t="s">
        <v>214</v>
      </c>
      <c r="B2331" s="935" t="s">
        <v>392</v>
      </c>
      <c r="C2331" s="944" t="s">
        <v>1401</v>
      </c>
      <c r="D2331" s="944"/>
      <c r="E2331" s="935">
        <v>261375</v>
      </c>
      <c r="F2331" s="937">
        <v>13</v>
      </c>
      <c r="G2331" s="1025"/>
      <c r="H2331" s="690"/>
      <c r="I2331" s="1030"/>
      <c r="J2331" s="690"/>
      <c r="K2331" s="1030"/>
      <c r="L2331" s="690"/>
      <c r="M2331" s="1025"/>
      <c r="N2331" s="1030"/>
      <c r="O2331" s="692">
        <f t="shared" si="301"/>
        <v>0</v>
      </c>
      <c r="P2331" s="690"/>
      <c r="Q2331" s="690"/>
      <c r="R2331" s="691">
        <f t="shared" si="302"/>
        <v>0</v>
      </c>
      <c r="S2331" s="692">
        <f t="shared" si="303"/>
        <v>0</v>
      </c>
      <c r="T2331" s="693">
        <f t="shared" si="304"/>
        <v>0</v>
      </c>
      <c r="U2331" s="1035"/>
      <c r="V2331" s="690"/>
      <c r="W2331" s="1025"/>
      <c r="X2331" s="1030"/>
      <c r="Y2331" s="694">
        <f t="shared" si="305"/>
        <v>0</v>
      </c>
      <c r="Z2331" s="690"/>
      <c r="AA2331" s="690"/>
      <c r="AB2331" s="695">
        <f t="shared" si="306"/>
        <v>0</v>
      </c>
      <c r="AC2331" s="1035"/>
      <c r="AD2331" s="690"/>
      <c r="AE2331" s="1025"/>
      <c r="AF2331" s="1030"/>
      <c r="AG2331" s="690"/>
      <c r="AH2331" s="690"/>
      <c r="AI2331" s="696">
        <f t="shared" si="307"/>
        <v>0</v>
      </c>
      <c r="AJ2331" s="697">
        <f t="shared" si="308"/>
        <v>0</v>
      </c>
    </row>
    <row r="2332" spans="1:36" s="700" customFormat="1" ht="12.75" customHeight="1">
      <c r="A2332" s="826" t="s">
        <v>214</v>
      </c>
      <c r="B2332" s="935" t="s">
        <v>392</v>
      </c>
      <c r="C2332" s="944" t="s">
        <v>1402</v>
      </c>
      <c r="D2332" s="944"/>
      <c r="E2332" s="935">
        <v>261384</v>
      </c>
      <c r="F2332" s="937">
        <v>13</v>
      </c>
      <c r="G2332" s="1025"/>
      <c r="H2332" s="690"/>
      <c r="I2332" s="1030"/>
      <c r="J2332" s="690"/>
      <c r="K2332" s="1030"/>
      <c r="L2332" s="690"/>
      <c r="M2332" s="1025"/>
      <c r="N2332" s="1030"/>
      <c r="O2332" s="692">
        <f t="shared" si="301"/>
        <v>0</v>
      </c>
      <c r="P2332" s="690"/>
      <c r="Q2332" s="690"/>
      <c r="R2332" s="691">
        <f t="shared" si="302"/>
        <v>0</v>
      </c>
      <c r="S2332" s="692">
        <f t="shared" si="303"/>
        <v>0</v>
      </c>
      <c r="T2332" s="693">
        <f t="shared" si="304"/>
        <v>0</v>
      </c>
      <c r="U2332" s="1035"/>
      <c r="V2332" s="690"/>
      <c r="W2332" s="1025"/>
      <c r="X2332" s="1030"/>
      <c r="Y2332" s="694">
        <f t="shared" si="305"/>
        <v>0</v>
      </c>
      <c r="Z2332" s="690"/>
      <c r="AA2332" s="690"/>
      <c r="AB2332" s="695">
        <f t="shared" si="306"/>
        <v>0</v>
      </c>
      <c r="AC2332" s="1035"/>
      <c r="AD2332" s="690"/>
      <c r="AE2332" s="1025"/>
      <c r="AF2332" s="1030"/>
      <c r="AG2332" s="690"/>
      <c r="AH2332" s="690"/>
      <c r="AI2332" s="696">
        <f t="shared" si="307"/>
        <v>0</v>
      </c>
      <c r="AJ2332" s="697">
        <f t="shared" si="308"/>
        <v>0</v>
      </c>
    </row>
    <row r="2333" spans="1:36" s="700" customFormat="1" ht="12.75" customHeight="1">
      <c r="A2333" s="826" t="s">
        <v>214</v>
      </c>
      <c r="B2333" s="935" t="s">
        <v>392</v>
      </c>
      <c r="C2333" s="944" t="s">
        <v>1403</v>
      </c>
      <c r="D2333" s="944"/>
      <c r="E2333" s="935">
        <v>418357</v>
      </c>
      <c r="F2333" s="937">
        <v>13</v>
      </c>
      <c r="G2333" s="1025">
        <v>2056274</v>
      </c>
      <c r="H2333" s="690">
        <v>2255319</v>
      </c>
      <c r="I2333" s="1030"/>
      <c r="J2333" s="690"/>
      <c r="K2333" s="1030"/>
      <c r="L2333" s="690"/>
      <c r="M2333" s="1025">
        <v>250425</v>
      </c>
      <c r="N2333" s="1030"/>
      <c r="O2333" s="692">
        <f t="shared" si="301"/>
        <v>250425</v>
      </c>
      <c r="P2333" s="690">
        <v>161729</v>
      </c>
      <c r="Q2333" s="690"/>
      <c r="R2333" s="691">
        <f t="shared" si="302"/>
        <v>161729</v>
      </c>
      <c r="S2333" s="692">
        <f t="shared" si="303"/>
        <v>2306699</v>
      </c>
      <c r="T2333" s="693">
        <f t="shared" si="304"/>
        <v>2417048</v>
      </c>
      <c r="U2333" s="1035"/>
      <c r="V2333" s="690"/>
      <c r="W2333" s="1025"/>
      <c r="X2333" s="1030"/>
      <c r="Y2333" s="694">
        <f t="shared" si="305"/>
        <v>0</v>
      </c>
      <c r="Z2333" s="690"/>
      <c r="AA2333" s="690"/>
      <c r="AB2333" s="695">
        <f t="shared" si="306"/>
        <v>0</v>
      </c>
      <c r="AC2333" s="1035"/>
      <c r="AD2333" s="690"/>
      <c r="AE2333" s="1025"/>
      <c r="AF2333" s="1030"/>
      <c r="AG2333" s="690"/>
      <c r="AH2333" s="690"/>
      <c r="AI2333" s="696">
        <f t="shared" si="307"/>
        <v>2306699</v>
      </c>
      <c r="AJ2333" s="697">
        <f t="shared" si="308"/>
        <v>2417048</v>
      </c>
    </row>
    <row r="2334" spans="1:36" s="700" customFormat="1" ht="12.75" customHeight="1">
      <c r="A2334" s="826" t="s">
        <v>214</v>
      </c>
      <c r="B2334" s="935" t="s">
        <v>392</v>
      </c>
      <c r="C2334" s="944" t="s">
        <v>1404</v>
      </c>
      <c r="D2334" s="944"/>
      <c r="E2334" s="935">
        <v>418302</v>
      </c>
      <c r="F2334" s="937">
        <v>13</v>
      </c>
      <c r="G2334" s="1025">
        <v>2790738</v>
      </c>
      <c r="H2334" s="690">
        <v>2909234</v>
      </c>
      <c r="I2334" s="1030"/>
      <c r="J2334" s="690"/>
      <c r="K2334" s="1030"/>
      <c r="L2334" s="690"/>
      <c r="M2334" s="1025">
        <v>574569</v>
      </c>
      <c r="N2334" s="1030"/>
      <c r="O2334" s="692">
        <f t="shared" si="301"/>
        <v>574569</v>
      </c>
      <c r="P2334" s="690">
        <v>473356</v>
      </c>
      <c r="Q2334" s="690"/>
      <c r="R2334" s="691">
        <f t="shared" si="302"/>
        <v>473356</v>
      </c>
      <c r="S2334" s="692">
        <f t="shared" si="303"/>
        <v>3365307</v>
      </c>
      <c r="T2334" s="693">
        <f t="shared" si="304"/>
        <v>3382590</v>
      </c>
      <c r="U2334" s="1035"/>
      <c r="V2334" s="690"/>
      <c r="W2334" s="1025"/>
      <c r="X2334" s="1030"/>
      <c r="Y2334" s="694">
        <f t="shared" si="305"/>
        <v>0</v>
      </c>
      <c r="Z2334" s="690"/>
      <c r="AA2334" s="690"/>
      <c r="AB2334" s="695">
        <f t="shared" si="306"/>
        <v>0</v>
      </c>
      <c r="AC2334" s="1035"/>
      <c r="AD2334" s="690"/>
      <c r="AE2334" s="1025"/>
      <c r="AF2334" s="1030"/>
      <c r="AG2334" s="690"/>
      <c r="AH2334" s="690"/>
      <c r="AI2334" s="696">
        <f t="shared" si="307"/>
        <v>3365307</v>
      </c>
      <c r="AJ2334" s="697">
        <f t="shared" si="308"/>
        <v>3382590</v>
      </c>
    </row>
    <row r="2335" spans="1:36" s="700" customFormat="1" ht="12.75" customHeight="1">
      <c r="A2335" s="826" t="s">
        <v>214</v>
      </c>
      <c r="B2335" s="935" t="s">
        <v>392</v>
      </c>
      <c r="C2335" s="945" t="s">
        <v>1405</v>
      </c>
      <c r="D2335" s="1084" t="s">
        <v>1974</v>
      </c>
      <c r="E2335" s="946" t="s">
        <v>1406</v>
      </c>
      <c r="F2335" s="937">
        <v>14</v>
      </c>
      <c r="G2335" s="1025"/>
      <c r="H2335" s="690"/>
      <c r="I2335" s="1030"/>
      <c r="J2335" s="690"/>
      <c r="K2335" s="1030"/>
      <c r="L2335" s="690"/>
      <c r="M2335" s="1025"/>
      <c r="N2335" s="1030"/>
      <c r="O2335" s="692">
        <f t="shared" si="301"/>
        <v>0</v>
      </c>
      <c r="P2335" s="690"/>
      <c r="Q2335" s="690"/>
      <c r="R2335" s="691">
        <f t="shared" si="302"/>
        <v>0</v>
      </c>
      <c r="S2335" s="692">
        <f t="shared" si="303"/>
        <v>0</v>
      </c>
      <c r="T2335" s="693">
        <f t="shared" si="304"/>
        <v>0</v>
      </c>
      <c r="U2335" s="1035"/>
      <c r="V2335" s="690"/>
      <c r="W2335" s="1025"/>
      <c r="X2335" s="1030"/>
      <c r="Y2335" s="694">
        <f t="shared" si="305"/>
        <v>0</v>
      </c>
      <c r="Z2335" s="690"/>
      <c r="AA2335" s="690"/>
      <c r="AB2335" s="695">
        <f t="shared" si="306"/>
        <v>0</v>
      </c>
      <c r="AC2335" s="1035"/>
      <c r="AD2335" s="690"/>
      <c r="AE2335" s="1025"/>
      <c r="AF2335" s="1030"/>
      <c r="AG2335" s="690"/>
      <c r="AH2335" s="690"/>
      <c r="AI2335" s="696">
        <f t="shared" si="307"/>
        <v>0</v>
      </c>
      <c r="AJ2335" s="697">
        <f t="shared" si="308"/>
        <v>0</v>
      </c>
    </row>
    <row r="2336" spans="1:36" s="700" customFormat="1" ht="12.75" customHeight="1">
      <c r="A2336" s="826" t="s">
        <v>214</v>
      </c>
      <c r="B2336" s="935" t="s">
        <v>392</v>
      </c>
      <c r="C2336" s="947" t="s">
        <v>1407</v>
      </c>
      <c r="D2336" s="947"/>
      <c r="E2336" s="826"/>
      <c r="F2336" s="937">
        <v>13</v>
      </c>
      <c r="G2336" s="1025">
        <v>4433862</v>
      </c>
      <c r="H2336" s="690">
        <v>4787942</v>
      </c>
      <c r="I2336" s="1030"/>
      <c r="J2336" s="690"/>
      <c r="K2336" s="1030"/>
      <c r="L2336" s="690"/>
      <c r="M2336" s="1025"/>
      <c r="N2336" s="1030"/>
      <c r="O2336" s="692">
        <f t="shared" si="301"/>
        <v>0</v>
      </c>
      <c r="P2336" s="690">
        <v>853824</v>
      </c>
      <c r="Q2336" s="690"/>
      <c r="R2336" s="691">
        <f t="shared" si="302"/>
        <v>853824</v>
      </c>
      <c r="S2336" s="692">
        <f t="shared" si="303"/>
        <v>4433862</v>
      </c>
      <c r="T2336" s="693">
        <f t="shared" si="304"/>
        <v>5641766</v>
      </c>
      <c r="U2336" s="1035"/>
      <c r="V2336" s="690"/>
      <c r="W2336" s="1025"/>
      <c r="X2336" s="1030"/>
      <c r="Y2336" s="694">
        <f t="shared" si="305"/>
        <v>0</v>
      </c>
      <c r="Z2336" s="690"/>
      <c r="AA2336" s="690"/>
      <c r="AB2336" s="695">
        <f t="shared" si="306"/>
        <v>0</v>
      </c>
      <c r="AC2336" s="1035"/>
      <c r="AD2336" s="690"/>
      <c r="AE2336" s="1025"/>
      <c r="AF2336" s="1030"/>
      <c r="AG2336" s="690"/>
      <c r="AH2336" s="690"/>
      <c r="AI2336" s="696">
        <f t="shared" si="307"/>
        <v>4433862</v>
      </c>
      <c r="AJ2336" s="697">
        <f t="shared" si="308"/>
        <v>5641766</v>
      </c>
    </row>
    <row r="2337" spans="1:36" s="700" customFormat="1" ht="12.75" customHeight="1">
      <c r="A2337" s="826" t="s">
        <v>214</v>
      </c>
      <c r="B2337" s="935" t="s">
        <v>392</v>
      </c>
      <c r="C2337" s="948" t="s">
        <v>1408</v>
      </c>
      <c r="D2337" s="948"/>
      <c r="E2337" s="826"/>
      <c r="F2337" s="937">
        <v>13</v>
      </c>
      <c r="G2337" s="1025">
        <v>8817660</v>
      </c>
      <c r="H2337" s="690">
        <v>8665664</v>
      </c>
      <c r="I2337" s="1030"/>
      <c r="J2337" s="690"/>
      <c r="K2337" s="1030"/>
      <c r="L2337" s="690"/>
      <c r="M2337" s="1025"/>
      <c r="N2337" s="1030"/>
      <c r="O2337" s="692">
        <f t="shared" si="301"/>
        <v>0</v>
      </c>
      <c r="P2337" s="690">
        <v>1961352</v>
      </c>
      <c r="Q2337" s="690"/>
      <c r="R2337" s="691">
        <f t="shared" si="302"/>
        <v>1961352</v>
      </c>
      <c r="S2337" s="692">
        <f t="shared" si="303"/>
        <v>8817660</v>
      </c>
      <c r="T2337" s="693">
        <f t="shared" si="304"/>
        <v>10627016</v>
      </c>
      <c r="U2337" s="1035"/>
      <c r="V2337" s="690"/>
      <c r="W2337" s="1025"/>
      <c r="X2337" s="1030"/>
      <c r="Y2337" s="694">
        <f t="shared" si="305"/>
        <v>0</v>
      </c>
      <c r="Z2337" s="690"/>
      <c r="AA2337" s="690"/>
      <c r="AB2337" s="695">
        <f t="shared" si="306"/>
        <v>0</v>
      </c>
      <c r="AC2337" s="1035"/>
      <c r="AD2337" s="690"/>
      <c r="AE2337" s="1025"/>
      <c r="AF2337" s="1030"/>
      <c r="AG2337" s="690"/>
      <c r="AH2337" s="690"/>
      <c r="AI2337" s="696">
        <f t="shared" si="307"/>
        <v>8817660</v>
      </c>
      <c r="AJ2337" s="697">
        <f t="shared" si="308"/>
        <v>10627016</v>
      </c>
    </row>
    <row r="2338" spans="1:36" s="700" customFormat="1" ht="12.75" customHeight="1">
      <c r="A2338" s="826" t="s">
        <v>214</v>
      </c>
      <c r="B2338" s="935" t="s">
        <v>392</v>
      </c>
      <c r="C2338" s="949" t="s">
        <v>1409</v>
      </c>
      <c r="D2338" s="949"/>
      <c r="E2338" s="935"/>
      <c r="F2338" s="937">
        <v>13</v>
      </c>
      <c r="G2338" s="1025">
        <v>3636194</v>
      </c>
      <c r="H2338" s="690">
        <v>3302688</v>
      </c>
      <c r="I2338" s="1030"/>
      <c r="J2338" s="690"/>
      <c r="K2338" s="1030"/>
      <c r="L2338" s="690"/>
      <c r="M2338" s="1025"/>
      <c r="N2338" s="1030"/>
      <c r="O2338" s="692">
        <f t="shared" si="301"/>
        <v>0</v>
      </c>
      <c r="P2338" s="690">
        <v>766677</v>
      </c>
      <c r="Q2338" s="690"/>
      <c r="R2338" s="691">
        <f t="shared" si="302"/>
        <v>766677</v>
      </c>
      <c r="S2338" s="692">
        <f t="shared" si="303"/>
        <v>3636194</v>
      </c>
      <c r="T2338" s="693">
        <f t="shared" si="304"/>
        <v>4069365</v>
      </c>
      <c r="U2338" s="1035"/>
      <c r="V2338" s="690"/>
      <c r="W2338" s="1025"/>
      <c r="X2338" s="1030"/>
      <c r="Y2338" s="694">
        <f t="shared" si="305"/>
        <v>0</v>
      </c>
      <c r="Z2338" s="690"/>
      <c r="AA2338" s="690"/>
      <c r="AB2338" s="695">
        <f t="shared" si="306"/>
        <v>0</v>
      </c>
      <c r="AC2338" s="1035"/>
      <c r="AD2338" s="690"/>
      <c r="AE2338" s="1025"/>
      <c r="AF2338" s="1030"/>
      <c r="AG2338" s="690"/>
      <c r="AH2338" s="690"/>
      <c r="AI2338" s="696">
        <f t="shared" si="307"/>
        <v>3636194</v>
      </c>
      <c r="AJ2338" s="697">
        <f t="shared" si="308"/>
        <v>4069365</v>
      </c>
    </row>
    <row r="2339" spans="1:36" s="700" customFormat="1" ht="12.75" customHeight="1">
      <c r="A2339" s="826" t="s">
        <v>214</v>
      </c>
      <c r="B2339" s="935" t="s">
        <v>392</v>
      </c>
      <c r="C2339" s="950" t="s">
        <v>1410</v>
      </c>
      <c r="D2339" s="950"/>
      <c r="E2339" s="935"/>
      <c r="F2339" s="937">
        <v>13</v>
      </c>
      <c r="G2339" s="1025">
        <v>1862580</v>
      </c>
      <c r="H2339" s="690">
        <v>1860349</v>
      </c>
      <c r="I2339" s="1030"/>
      <c r="J2339" s="690"/>
      <c r="K2339" s="1030"/>
      <c r="L2339" s="690"/>
      <c r="M2339" s="1025"/>
      <c r="N2339" s="1030"/>
      <c r="O2339" s="692">
        <f t="shared" si="301"/>
        <v>0</v>
      </c>
      <c r="P2339" s="690">
        <v>208936</v>
      </c>
      <c r="Q2339" s="690"/>
      <c r="R2339" s="691">
        <f t="shared" si="302"/>
        <v>208936</v>
      </c>
      <c r="S2339" s="692">
        <f t="shared" si="303"/>
        <v>1862580</v>
      </c>
      <c r="T2339" s="693">
        <f t="shared" si="304"/>
        <v>2069285</v>
      </c>
      <c r="U2339" s="1035"/>
      <c r="V2339" s="690"/>
      <c r="W2339" s="1025"/>
      <c r="X2339" s="1030"/>
      <c r="Y2339" s="694">
        <f t="shared" si="305"/>
        <v>0</v>
      </c>
      <c r="Z2339" s="690"/>
      <c r="AA2339" s="690"/>
      <c r="AB2339" s="695">
        <f t="shared" si="306"/>
        <v>0</v>
      </c>
      <c r="AC2339" s="1035"/>
      <c r="AD2339" s="690"/>
      <c r="AE2339" s="1025"/>
      <c r="AF2339" s="1030"/>
      <c r="AG2339" s="690"/>
      <c r="AH2339" s="690"/>
      <c r="AI2339" s="696">
        <f t="shared" si="307"/>
        <v>1862580</v>
      </c>
      <c r="AJ2339" s="697">
        <f t="shared" si="308"/>
        <v>2069285</v>
      </c>
    </row>
    <row r="2340" spans="1:36" s="700" customFormat="1" ht="12.75" customHeight="1">
      <c r="A2340" s="826" t="s">
        <v>214</v>
      </c>
      <c r="B2340" s="935" t="s">
        <v>392</v>
      </c>
      <c r="C2340" s="951" t="s">
        <v>1411</v>
      </c>
      <c r="D2340" s="951"/>
      <c r="E2340" s="935"/>
      <c r="F2340" s="937">
        <v>13</v>
      </c>
      <c r="G2340" s="1025">
        <v>9573013</v>
      </c>
      <c r="H2340" s="690">
        <v>8176277</v>
      </c>
      <c r="I2340" s="1030"/>
      <c r="J2340" s="690"/>
      <c r="K2340" s="1030"/>
      <c r="L2340" s="690"/>
      <c r="M2340" s="1025"/>
      <c r="N2340" s="1030"/>
      <c r="O2340" s="692">
        <f t="shared" si="301"/>
        <v>0</v>
      </c>
      <c r="P2340" s="690">
        <v>4052220</v>
      </c>
      <c r="Q2340" s="690"/>
      <c r="R2340" s="691">
        <f t="shared" si="302"/>
        <v>4052220</v>
      </c>
      <c r="S2340" s="692">
        <f t="shared" si="303"/>
        <v>9573013</v>
      </c>
      <c r="T2340" s="693">
        <f t="shared" si="304"/>
        <v>12228497</v>
      </c>
      <c r="U2340" s="1035"/>
      <c r="V2340" s="690"/>
      <c r="W2340" s="1025"/>
      <c r="X2340" s="1030"/>
      <c r="Y2340" s="694">
        <f t="shared" si="305"/>
        <v>0</v>
      </c>
      <c r="Z2340" s="690"/>
      <c r="AA2340" s="690"/>
      <c r="AB2340" s="695">
        <f t="shared" si="306"/>
        <v>0</v>
      </c>
      <c r="AC2340" s="1035"/>
      <c r="AD2340" s="690"/>
      <c r="AE2340" s="1025"/>
      <c r="AF2340" s="1030"/>
      <c r="AG2340" s="690"/>
      <c r="AH2340" s="690"/>
      <c r="AI2340" s="696">
        <f t="shared" si="307"/>
        <v>9573013</v>
      </c>
      <c r="AJ2340" s="697">
        <f t="shared" si="308"/>
        <v>12228497</v>
      </c>
    </row>
    <row r="2341" spans="1:36" s="700" customFormat="1" ht="12.75" customHeight="1">
      <c r="A2341" s="826" t="s">
        <v>214</v>
      </c>
      <c r="B2341" s="935" t="s">
        <v>409</v>
      </c>
      <c r="C2341" s="952" t="s">
        <v>157</v>
      </c>
      <c r="D2341" s="952"/>
      <c r="E2341" s="935"/>
      <c r="F2341" s="937"/>
      <c r="G2341" s="1025"/>
      <c r="H2341" s="690"/>
      <c r="I2341" s="1030"/>
      <c r="J2341" s="690"/>
      <c r="K2341" s="1030"/>
      <c r="L2341" s="690"/>
      <c r="M2341" s="1025"/>
      <c r="N2341" s="1030"/>
      <c r="O2341" s="692">
        <f t="shared" si="301"/>
        <v>0</v>
      </c>
      <c r="P2341" s="690"/>
      <c r="Q2341" s="690"/>
      <c r="R2341" s="691">
        <f t="shared" si="302"/>
        <v>0</v>
      </c>
      <c r="S2341" s="692">
        <f t="shared" si="303"/>
        <v>0</v>
      </c>
      <c r="T2341" s="693">
        <f t="shared" si="304"/>
        <v>0</v>
      </c>
      <c r="U2341" s="1035"/>
      <c r="V2341" s="690"/>
      <c r="W2341" s="1025"/>
      <c r="X2341" s="1030"/>
      <c r="Y2341" s="694">
        <f t="shared" si="305"/>
        <v>0</v>
      </c>
      <c r="Z2341" s="690"/>
      <c r="AA2341" s="690"/>
      <c r="AB2341" s="695">
        <f t="shared" si="306"/>
        <v>0</v>
      </c>
      <c r="AC2341" s="1035"/>
      <c r="AD2341" s="690"/>
      <c r="AE2341" s="1025"/>
      <c r="AF2341" s="1030"/>
      <c r="AG2341" s="690"/>
      <c r="AH2341" s="690"/>
      <c r="AI2341" s="696">
        <f t="shared" si="307"/>
        <v>0</v>
      </c>
      <c r="AJ2341" s="697">
        <f t="shared" si="308"/>
        <v>0</v>
      </c>
    </row>
    <row r="2342" spans="1:36" s="700" customFormat="1" ht="12.75" customHeight="1">
      <c r="A2342" s="826" t="s">
        <v>214</v>
      </c>
      <c r="B2342" s="935" t="s">
        <v>411</v>
      </c>
      <c r="C2342" s="953" t="s">
        <v>199</v>
      </c>
      <c r="D2342" s="953"/>
      <c r="E2342" s="935"/>
      <c r="F2342" s="937"/>
      <c r="G2342" s="1025"/>
      <c r="H2342" s="690"/>
      <c r="I2342" s="1030"/>
      <c r="J2342" s="690"/>
      <c r="K2342" s="1030"/>
      <c r="L2342" s="690"/>
      <c r="M2342" s="1025"/>
      <c r="N2342" s="1030"/>
      <c r="O2342" s="692">
        <f t="shared" si="301"/>
        <v>0</v>
      </c>
      <c r="P2342" s="690"/>
      <c r="Q2342" s="690"/>
      <c r="R2342" s="691">
        <f t="shared" si="302"/>
        <v>0</v>
      </c>
      <c r="S2342" s="692">
        <f t="shared" si="303"/>
        <v>0</v>
      </c>
      <c r="T2342" s="693">
        <f t="shared" si="304"/>
        <v>0</v>
      </c>
      <c r="U2342" s="1035"/>
      <c r="V2342" s="690"/>
      <c r="W2342" s="1025"/>
      <c r="X2342" s="1030"/>
      <c r="Y2342" s="694">
        <f t="shared" si="305"/>
        <v>0</v>
      </c>
      <c r="Z2342" s="690"/>
      <c r="AA2342" s="690"/>
      <c r="AB2342" s="695">
        <f t="shared" si="306"/>
        <v>0</v>
      </c>
      <c r="AC2342" s="1035"/>
      <c r="AD2342" s="690"/>
      <c r="AE2342" s="1025"/>
      <c r="AF2342" s="1030"/>
      <c r="AG2342" s="690"/>
      <c r="AH2342" s="690"/>
      <c r="AI2342" s="696">
        <f t="shared" si="307"/>
        <v>0</v>
      </c>
      <c r="AJ2342" s="697">
        <f t="shared" si="308"/>
        <v>0</v>
      </c>
    </row>
    <row r="2343" spans="1:36" s="700" customFormat="1" ht="12.75" customHeight="1">
      <c r="A2343" s="826" t="s">
        <v>214</v>
      </c>
      <c r="B2343" s="935" t="s">
        <v>411</v>
      </c>
      <c r="C2343" s="954" t="s">
        <v>1412</v>
      </c>
      <c r="D2343" s="954"/>
      <c r="E2343" s="935"/>
      <c r="F2343" s="937"/>
      <c r="G2343" s="1025"/>
      <c r="H2343" s="690"/>
      <c r="I2343" s="1030"/>
      <c r="J2343" s="690"/>
      <c r="K2343" s="1030"/>
      <c r="L2343" s="690"/>
      <c r="M2343" s="1025"/>
      <c r="N2343" s="1030"/>
      <c r="O2343" s="692">
        <f t="shared" si="301"/>
        <v>0</v>
      </c>
      <c r="P2343" s="690"/>
      <c r="Q2343" s="690"/>
      <c r="R2343" s="691">
        <f t="shared" si="302"/>
        <v>0</v>
      </c>
      <c r="S2343" s="692">
        <f t="shared" si="303"/>
        <v>0</v>
      </c>
      <c r="T2343" s="693">
        <f t="shared" si="304"/>
        <v>0</v>
      </c>
      <c r="U2343" s="1035"/>
      <c r="V2343" s="690"/>
      <c r="W2343" s="1025"/>
      <c r="X2343" s="1030"/>
      <c r="Y2343" s="694">
        <f t="shared" si="305"/>
        <v>0</v>
      </c>
      <c r="Z2343" s="690"/>
      <c r="AA2343" s="690"/>
      <c r="AB2343" s="695">
        <f t="shared" si="306"/>
        <v>0</v>
      </c>
      <c r="AC2343" s="1035"/>
      <c r="AD2343" s="690"/>
      <c r="AE2343" s="1025"/>
      <c r="AF2343" s="1030"/>
      <c r="AG2343" s="690"/>
      <c r="AH2343" s="690"/>
      <c r="AI2343" s="696">
        <f t="shared" si="307"/>
        <v>0</v>
      </c>
      <c r="AJ2343" s="697">
        <f t="shared" si="308"/>
        <v>0</v>
      </c>
    </row>
    <row r="2344" spans="1:36" s="700" customFormat="1" ht="12.75" customHeight="1">
      <c r="A2344" s="866" t="s">
        <v>206</v>
      </c>
      <c r="B2344" s="866" t="s">
        <v>392</v>
      </c>
      <c r="C2344" s="955" t="s">
        <v>1413</v>
      </c>
      <c r="D2344" s="955"/>
      <c r="E2344" s="956">
        <v>217882</v>
      </c>
      <c r="F2344" s="845">
        <v>1</v>
      </c>
      <c r="G2344" s="1025">
        <f>68418706+77604</f>
        <v>68496310</v>
      </c>
      <c r="H2344" s="690">
        <v>54154702</v>
      </c>
      <c r="I2344" s="1030"/>
      <c r="J2344" s="690"/>
      <c r="K2344" s="1030"/>
      <c r="L2344" s="690"/>
      <c r="M2344" s="1153">
        <v>272006777</v>
      </c>
      <c r="N2344" s="1155">
        <v>21610043</v>
      </c>
      <c r="O2344" s="692">
        <f t="shared" si="301"/>
        <v>293616820</v>
      </c>
      <c r="P2344" s="1153">
        <v>293592965</v>
      </c>
      <c r="Q2344" s="1155">
        <v>22108389</v>
      </c>
      <c r="R2344" s="691">
        <f t="shared" si="302"/>
        <v>315701354</v>
      </c>
      <c r="S2344" s="692">
        <f t="shared" si="303"/>
        <v>340503087</v>
      </c>
      <c r="T2344" s="693">
        <f t="shared" si="304"/>
        <v>347747667</v>
      </c>
      <c r="U2344" s="1035"/>
      <c r="V2344" s="690"/>
      <c r="W2344" s="1025"/>
      <c r="X2344" s="1030"/>
      <c r="Y2344" s="694">
        <f t="shared" si="305"/>
        <v>0</v>
      </c>
      <c r="Z2344" s="690"/>
      <c r="AA2344" s="690"/>
      <c r="AB2344" s="695">
        <f t="shared" si="306"/>
        <v>0</v>
      </c>
      <c r="AC2344" s="1035"/>
      <c r="AD2344" s="690"/>
      <c r="AE2344" s="1025"/>
      <c r="AF2344" s="1030"/>
      <c r="AG2344" s="690"/>
      <c r="AH2344" s="690"/>
      <c r="AI2344" s="696">
        <f t="shared" si="307"/>
        <v>340503087</v>
      </c>
      <c r="AJ2344" s="697">
        <f t="shared" si="308"/>
        <v>347747667</v>
      </c>
    </row>
    <row r="2345" spans="1:36" s="700" customFormat="1" ht="12.75" customHeight="1">
      <c r="A2345" s="866" t="s">
        <v>206</v>
      </c>
      <c r="B2345" s="866" t="s">
        <v>392</v>
      </c>
      <c r="C2345" s="860" t="s">
        <v>1414</v>
      </c>
      <c r="D2345" s="860"/>
      <c r="E2345" s="956">
        <v>217882</v>
      </c>
      <c r="F2345" s="845">
        <v>1</v>
      </c>
      <c r="G2345" s="1025">
        <v>10001822</v>
      </c>
      <c r="H2345" s="690">
        <v>8505147</v>
      </c>
      <c r="I2345" s="1030"/>
      <c r="J2345" s="690"/>
      <c r="K2345" s="1030"/>
      <c r="L2345" s="690"/>
      <c r="M2345" s="1025"/>
      <c r="N2345" s="1030"/>
      <c r="O2345" s="692">
        <f t="shared" si="301"/>
        <v>0</v>
      </c>
      <c r="P2345" s="690"/>
      <c r="Q2345" s="690"/>
      <c r="R2345" s="691">
        <f t="shared" si="302"/>
        <v>0</v>
      </c>
      <c r="S2345" s="692">
        <f t="shared" si="303"/>
        <v>10001822</v>
      </c>
      <c r="T2345" s="693">
        <f t="shared" si="304"/>
        <v>8505147</v>
      </c>
      <c r="U2345" s="1035"/>
      <c r="V2345" s="690"/>
      <c r="W2345" s="1025"/>
      <c r="X2345" s="1030"/>
      <c r="Y2345" s="694">
        <f t="shared" si="305"/>
        <v>0</v>
      </c>
      <c r="Z2345" s="690"/>
      <c r="AA2345" s="690"/>
      <c r="AB2345" s="695">
        <f t="shared" si="306"/>
        <v>0</v>
      </c>
      <c r="AC2345" s="1035"/>
      <c r="AD2345" s="690"/>
      <c r="AE2345" s="1025"/>
      <c r="AF2345" s="1030"/>
      <c r="AG2345" s="690"/>
      <c r="AH2345" s="690"/>
      <c r="AI2345" s="696">
        <f t="shared" si="307"/>
        <v>10001822</v>
      </c>
      <c r="AJ2345" s="697">
        <f t="shared" si="308"/>
        <v>8505147</v>
      </c>
    </row>
    <row r="2346" spans="1:36" s="700" customFormat="1" ht="12.75" customHeight="1">
      <c r="A2346" s="866" t="s">
        <v>206</v>
      </c>
      <c r="B2346" s="866" t="s">
        <v>394</v>
      </c>
      <c r="C2346" s="859" t="s">
        <v>451</v>
      </c>
      <c r="D2346" s="859"/>
      <c r="E2346" s="956">
        <v>217882</v>
      </c>
      <c r="F2346" s="845">
        <v>1</v>
      </c>
      <c r="G2346" s="1025"/>
      <c r="H2346" s="690"/>
      <c r="I2346" s="1030"/>
      <c r="J2346" s="690"/>
      <c r="K2346" s="1030"/>
      <c r="L2346" s="690"/>
      <c r="M2346" s="1025"/>
      <c r="N2346" s="1030"/>
      <c r="O2346" s="692">
        <f t="shared" si="301"/>
        <v>0</v>
      </c>
      <c r="P2346" s="690"/>
      <c r="Q2346" s="690"/>
      <c r="R2346" s="691">
        <f t="shared" si="302"/>
        <v>0</v>
      </c>
      <c r="S2346" s="692">
        <f t="shared" si="303"/>
        <v>0</v>
      </c>
      <c r="T2346" s="693">
        <f t="shared" si="304"/>
        <v>0</v>
      </c>
      <c r="U2346" s="1035"/>
      <c r="V2346" s="690"/>
      <c r="W2346" s="1025"/>
      <c r="X2346" s="1030"/>
      <c r="Y2346" s="694">
        <f t="shared" si="305"/>
        <v>0</v>
      </c>
      <c r="Z2346" s="690"/>
      <c r="AA2346" s="690"/>
      <c r="AB2346" s="695">
        <f t="shared" si="306"/>
        <v>0</v>
      </c>
      <c r="AC2346" s="1035"/>
      <c r="AD2346" s="690"/>
      <c r="AE2346" s="1025"/>
      <c r="AF2346" s="1030"/>
      <c r="AG2346" s="690"/>
      <c r="AH2346" s="690"/>
      <c r="AI2346" s="696">
        <f t="shared" si="307"/>
        <v>0</v>
      </c>
      <c r="AJ2346" s="697">
        <f t="shared" si="308"/>
        <v>0</v>
      </c>
    </row>
    <row r="2347" spans="1:36" s="700" customFormat="1" ht="12.75" customHeight="1">
      <c r="A2347" s="866" t="s">
        <v>206</v>
      </c>
      <c r="B2347" s="866" t="s">
        <v>396</v>
      </c>
      <c r="C2347" s="957" t="s">
        <v>794</v>
      </c>
      <c r="D2347" s="957"/>
      <c r="E2347" s="956">
        <v>217882</v>
      </c>
      <c r="F2347" s="845">
        <v>1</v>
      </c>
      <c r="G2347" s="1025"/>
      <c r="H2347" s="690"/>
      <c r="I2347" s="1030"/>
      <c r="J2347" s="690"/>
      <c r="K2347" s="1030"/>
      <c r="L2347" s="690"/>
      <c r="M2347" s="1025"/>
      <c r="N2347" s="1030"/>
      <c r="O2347" s="692">
        <f t="shared" si="301"/>
        <v>0</v>
      </c>
      <c r="P2347" s="690"/>
      <c r="Q2347" s="690"/>
      <c r="R2347" s="691">
        <f t="shared" si="302"/>
        <v>0</v>
      </c>
      <c r="S2347" s="692">
        <f t="shared" si="303"/>
        <v>0</v>
      </c>
      <c r="T2347" s="693">
        <f t="shared" si="304"/>
        <v>0</v>
      </c>
      <c r="U2347" s="1035"/>
      <c r="V2347" s="690"/>
      <c r="W2347" s="1025"/>
      <c r="X2347" s="1030"/>
      <c r="Y2347" s="694">
        <f t="shared" si="305"/>
        <v>0</v>
      </c>
      <c r="Z2347" s="690"/>
      <c r="AA2347" s="690"/>
      <c r="AB2347" s="695">
        <f t="shared" si="306"/>
        <v>0</v>
      </c>
      <c r="AC2347" s="1035"/>
      <c r="AD2347" s="690"/>
      <c r="AE2347" s="1025"/>
      <c r="AF2347" s="1030"/>
      <c r="AG2347" s="690"/>
      <c r="AH2347" s="690"/>
      <c r="AI2347" s="696">
        <f t="shared" si="307"/>
        <v>0</v>
      </c>
      <c r="AJ2347" s="697">
        <f t="shared" si="308"/>
        <v>0</v>
      </c>
    </row>
    <row r="2348" spans="1:36" s="700" customFormat="1" ht="12.75" customHeight="1">
      <c r="A2348" s="866" t="s">
        <v>206</v>
      </c>
      <c r="B2348" s="866" t="s">
        <v>396</v>
      </c>
      <c r="C2348" s="860" t="s">
        <v>1415</v>
      </c>
      <c r="D2348" s="860"/>
      <c r="E2348" s="956">
        <v>217882</v>
      </c>
      <c r="F2348" s="845">
        <v>1</v>
      </c>
      <c r="G2348" s="1025"/>
      <c r="H2348" s="690"/>
      <c r="I2348" s="1030">
        <v>34864713</v>
      </c>
      <c r="J2348" s="690">
        <v>28214589</v>
      </c>
      <c r="K2348" s="1030"/>
      <c r="L2348" s="690"/>
      <c r="M2348" s="1025"/>
      <c r="N2348" s="1030"/>
      <c r="O2348" s="692">
        <f t="shared" si="301"/>
        <v>0</v>
      </c>
      <c r="P2348" s="690"/>
      <c r="Q2348" s="690"/>
      <c r="R2348" s="691">
        <f t="shared" si="302"/>
        <v>0</v>
      </c>
      <c r="S2348" s="692">
        <f t="shared" si="303"/>
        <v>34864713</v>
      </c>
      <c r="T2348" s="693">
        <f t="shared" si="304"/>
        <v>28214589</v>
      </c>
      <c r="U2348" s="1035"/>
      <c r="V2348" s="690"/>
      <c r="W2348" s="1025"/>
      <c r="X2348" s="1030"/>
      <c r="Y2348" s="694">
        <f t="shared" si="305"/>
        <v>0</v>
      </c>
      <c r="Z2348" s="690"/>
      <c r="AA2348" s="690"/>
      <c r="AB2348" s="695">
        <f t="shared" si="306"/>
        <v>0</v>
      </c>
      <c r="AC2348" s="1035"/>
      <c r="AD2348" s="690"/>
      <c r="AE2348" s="1025"/>
      <c r="AF2348" s="1030"/>
      <c r="AG2348" s="690"/>
      <c r="AH2348" s="690"/>
      <c r="AI2348" s="696">
        <f t="shared" si="307"/>
        <v>34864713</v>
      </c>
      <c r="AJ2348" s="697">
        <f t="shared" si="308"/>
        <v>28214589</v>
      </c>
    </row>
    <row r="2349" spans="1:36" s="700" customFormat="1" ht="12.75" customHeight="1">
      <c r="A2349" s="866" t="s">
        <v>206</v>
      </c>
      <c r="B2349" s="866" t="s">
        <v>396</v>
      </c>
      <c r="C2349" s="860" t="s">
        <v>1416</v>
      </c>
      <c r="D2349" s="860"/>
      <c r="E2349" s="956">
        <v>217882</v>
      </c>
      <c r="F2349" s="845">
        <v>1</v>
      </c>
      <c r="G2349" s="1025"/>
      <c r="H2349" s="690"/>
      <c r="I2349" s="1030"/>
      <c r="J2349" s="690"/>
      <c r="K2349" s="1030"/>
      <c r="L2349" s="690"/>
      <c r="M2349" s="1025"/>
      <c r="N2349" s="1030"/>
      <c r="O2349" s="692">
        <f t="shared" si="301"/>
        <v>0</v>
      </c>
      <c r="P2349" s="690"/>
      <c r="Q2349" s="690"/>
      <c r="R2349" s="691">
        <f t="shared" si="302"/>
        <v>0</v>
      </c>
      <c r="S2349" s="692">
        <f t="shared" si="303"/>
        <v>0</v>
      </c>
      <c r="T2349" s="693">
        <f t="shared" si="304"/>
        <v>0</v>
      </c>
      <c r="U2349" s="1035"/>
      <c r="V2349" s="690"/>
      <c r="W2349" s="1025"/>
      <c r="X2349" s="1030"/>
      <c r="Y2349" s="694">
        <f t="shared" si="305"/>
        <v>0</v>
      </c>
      <c r="Z2349" s="690"/>
      <c r="AA2349" s="690"/>
      <c r="AB2349" s="695">
        <f t="shared" si="306"/>
        <v>0</v>
      </c>
      <c r="AC2349" s="1035"/>
      <c r="AD2349" s="690"/>
      <c r="AE2349" s="1025"/>
      <c r="AF2349" s="1030"/>
      <c r="AG2349" s="690"/>
      <c r="AH2349" s="690"/>
      <c r="AI2349" s="696">
        <f t="shared" si="307"/>
        <v>0</v>
      </c>
      <c r="AJ2349" s="697">
        <f t="shared" si="308"/>
        <v>0</v>
      </c>
    </row>
    <row r="2350" spans="1:36" s="700" customFormat="1" ht="12.75" customHeight="1">
      <c r="A2350" s="866" t="s">
        <v>206</v>
      </c>
      <c r="B2350" s="866" t="s">
        <v>399</v>
      </c>
      <c r="C2350" s="957" t="s">
        <v>1417</v>
      </c>
      <c r="D2350" s="957"/>
      <c r="E2350" s="956">
        <v>217882</v>
      </c>
      <c r="F2350" s="845">
        <v>1</v>
      </c>
      <c r="G2350" s="1025"/>
      <c r="H2350" s="690"/>
      <c r="I2350" s="1030"/>
      <c r="J2350" s="690"/>
      <c r="K2350" s="1030"/>
      <c r="L2350" s="690"/>
      <c r="M2350" s="1025"/>
      <c r="N2350" s="1030"/>
      <c r="O2350" s="692">
        <f t="shared" si="301"/>
        <v>0</v>
      </c>
      <c r="P2350" s="690"/>
      <c r="Q2350" s="690"/>
      <c r="R2350" s="691">
        <f t="shared" si="302"/>
        <v>0</v>
      </c>
      <c r="S2350" s="692">
        <f t="shared" si="303"/>
        <v>0</v>
      </c>
      <c r="T2350" s="693">
        <f t="shared" si="304"/>
        <v>0</v>
      </c>
      <c r="U2350" s="1035"/>
      <c r="V2350" s="690"/>
      <c r="W2350" s="1025"/>
      <c r="X2350" s="1030"/>
      <c r="Y2350" s="694">
        <f t="shared" si="305"/>
        <v>0</v>
      </c>
      <c r="Z2350" s="690"/>
      <c r="AA2350" s="690"/>
      <c r="AB2350" s="695">
        <f t="shared" si="306"/>
        <v>0</v>
      </c>
      <c r="AC2350" s="1035"/>
      <c r="AD2350" s="690"/>
      <c r="AE2350" s="1025"/>
      <c r="AF2350" s="1030"/>
      <c r="AG2350" s="690"/>
      <c r="AH2350" s="690"/>
      <c r="AI2350" s="696">
        <f t="shared" si="307"/>
        <v>0</v>
      </c>
      <c r="AJ2350" s="697">
        <f t="shared" si="308"/>
        <v>0</v>
      </c>
    </row>
    <row r="2351" spans="1:36" s="700" customFormat="1" ht="12.75" customHeight="1">
      <c r="A2351" s="866" t="s">
        <v>206</v>
      </c>
      <c r="B2351" s="866" t="s">
        <v>400</v>
      </c>
      <c r="C2351" s="859" t="s">
        <v>1418</v>
      </c>
      <c r="D2351" s="859"/>
      <c r="E2351" s="956">
        <v>217882</v>
      </c>
      <c r="F2351" s="845">
        <v>1</v>
      </c>
      <c r="G2351" s="1025"/>
      <c r="H2351" s="690"/>
      <c r="I2351" s="1030"/>
      <c r="J2351" s="690"/>
      <c r="K2351" s="1030"/>
      <c r="L2351" s="690"/>
      <c r="M2351" s="1025"/>
      <c r="N2351" s="1030"/>
      <c r="O2351" s="692">
        <f t="shared" si="301"/>
        <v>0</v>
      </c>
      <c r="P2351" s="690"/>
      <c r="Q2351" s="690"/>
      <c r="R2351" s="691">
        <f t="shared" si="302"/>
        <v>0</v>
      </c>
      <c r="S2351" s="692">
        <f t="shared" si="303"/>
        <v>0</v>
      </c>
      <c r="T2351" s="693">
        <f t="shared" si="304"/>
        <v>0</v>
      </c>
      <c r="U2351" s="1035"/>
      <c r="V2351" s="690"/>
      <c r="W2351" s="1025"/>
      <c r="X2351" s="1030"/>
      <c r="Y2351" s="694">
        <f t="shared" si="305"/>
        <v>0</v>
      </c>
      <c r="Z2351" s="690"/>
      <c r="AA2351" s="690"/>
      <c r="AB2351" s="695">
        <f t="shared" si="306"/>
        <v>0</v>
      </c>
      <c r="AC2351" s="1035"/>
      <c r="AD2351" s="690"/>
      <c r="AE2351" s="1025"/>
      <c r="AF2351" s="1030"/>
      <c r="AG2351" s="690"/>
      <c r="AH2351" s="690"/>
      <c r="AI2351" s="696">
        <f t="shared" si="307"/>
        <v>0</v>
      </c>
      <c r="AJ2351" s="697">
        <f t="shared" si="308"/>
        <v>0</v>
      </c>
    </row>
    <row r="2352" spans="1:36" s="700" customFormat="1" ht="12.75" customHeight="1">
      <c r="A2352" s="866" t="s">
        <v>206</v>
      </c>
      <c r="B2352" s="866" t="s">
        <v>400</v>
      </c>
      <c r="C2352" s="860" t="s">
        <v>1419</v>
      </c>
      <c r="D2352" s="860"/>
      <c r="E2352" s="956">
        <v>217882</v>
      </c>
      <c r="F2352" s="845">
        <v>1</v>
      </c>
      <c r="G2352" s="1025"/>
      <c r="H2352" s="690"/>
      <c r="I2352" s="1030" t="s">
        <v>1420</v>
      </c>
      <c r="J2352" s="690">
        <v>0</v>
      </c>
      <c r="K2352" s="1030"/>
      <c r="L2352" s="690"/>
      <c r="M2352" s="1025"/>
      <c r="N2352" s="1030"/>
      <c r="O2352" s="692">
        <f t="shared" si="301"/>
        <v>0</v>
      </c>
      <c r="P2352" s="690"/>
      <c r="Q2352" s="690"/>
      <c r="R2352" s="691">
        <f t="shared" si="302"/>
        <v>0</v>
      </c>
      <c r="S2352" s="692">
        <f t="shared" si="303"/>
        <v>0</v>
      </c>
      <c r="T2352" s="693">
        <f t="shared" si="304"/>
        <v>0</v>
      </c>
      <c r="U2352" s="1035"/>
      <c r="V2352" s="690"/>
      <c r="W2352" s="1025"/>
      <c r="X2352" s="1030"/>
      <c r="Y2352" s="694">
        <f t="shared" si="305"/>
        <v>0</v>
      </c>
      <c r="Z2352" s="690"/>
      <c r="AA2352" s="690"/>
      <c r="AB2352" s="695">
        <f t="shared" si="306"/>
        <v>0</v>
      </c>
      <c r="AC2352" s="1035"/>
      <c r="AD2352" s="690"/>
      <c r="AE2352" s="1025"/>
      <c r="AF2352" s="1030"/>
      <c r="AG2352" s="690"/>
      <c r="AH2352" s="690"/>
      <c r="AI2352" s="696">
        <f t="shared" si="307"/>
        <v>0</v>
      </c>
      <c r="AJ2352" s="697">
        <f t="shared" si="308"/>
        <v>0</v>
      </c>
    </row>
    <row r="2353" spans="1:36" s="700" customFormat="1" ht="12.75" customHeight="1">
      <c r="A2353" s="866" t="s">
        <v>206</v>
      </c>
      <c r="B2353" s="866" t="s">
        <v>400</v>
      </c>
      <c r="C2353" s="860" t="s">
        <v>1421</v>
      </c>
      <c r="D2353" s="860"/>
      <c r="E2353" s="956">
        <v>217882</v>
      </c>
      <c r="F2353" s="845">
        <v>1</v>
      </c>
      <c r="G2353" s="1025"/>
      <c r="H2353" s="690"/>
      <c r="I2353" s="1030">
        <v>56400</v>
      </c>
      <c r="J2353" s="690">
        <v>0</v>
      </c>
      <c r="K2353" s="1030"/>
      <c r="L2353" s="690"/>
      <c r="M2353" s="1025"/>
      <c r="N2353" s="1030"/>
      <c r="O2353" s="692">
        <f t="shared" si="301"/>
        <v>0</v>
      </c>
      <c r="P2353" s="690"/>
      <c r="Q2353" s="690"/>
      <c r="R2353" s="691">
        <f t="shared" si="302"/>
        <v>0</v>
      </c>
      <c r="S2353" s="692">
        <f t="shared" si="303"/>
        <v>56400</v>
      </c>
      <c r="T2353" s="693">
        <f t="shared" si="304"/>
        <v>0</v>
      </c>
      <c r="U2353" s="1035"/>
      <c r="V2353" s="690"/>
      <c r="W2353" s="1025"/>
      <c r="X2353" s="1030"/>
      <c r="Y2353" s="694">
        <f t="shared" si="305"/>
        <v>0</v>
      </c>
      <c r="Z2353" s="690"/>
      <c r="AA2353" s="690"/>
      <c r="AB2353" s="695">
        <f t="shared" si="306"/>
        <v>0</v>
      </c>
      <c r="AC2353" s="1035"/>
      <c r="AD2353" s="690"/>
      <c r="AE2353" s="1025"/>
      <c r="AF2353" s="1030"/>
      <c r="AG2353" s="690"/>
      <c r="AH2353" s="690"/>
      <c r="AI2353" s="696">
        <f t="shared" si="307"/>
        <v>56400</v>
      </c>
      <c r="AJ2353" s="697">
        <f t="shared" si="308"/>
        <v>0</v>
      </c>
    </row>
    <row r="2354" spans="1:36" s="700" customFormat="1" ht="12.75" customHeight="1">
      <c r="A2354" s="866" t="s">
        <v>206</v>
      </c>
      <c r="B2354" s="866" t="s">
        <v>400</v>
      </c>
      <c r="C2354" s="860" t="s">
        <v>1422</v>
      </c>
      <c r="D2354" s="860"/>
      <c r="E2354" s="956">
        <v>217882</v>
      </c>
      <c r="F2354" s="845">
        <v>1</v>
      </c>
      <c r="G2354" s="1025"/>
      <c r="H2354" s="690"/>
      <c r="I2354" s="1030">
        <v>50447</v>
      </c>
      <c r="J2354" s="690">
        <v>0</v>
      </c>
      <c r="K2354" s="1030"/>
      <c r="L2354" s="690"/>
      <c r="M2354" s="1025"/>
      <c r="N2354" s="1030"/>
      <c r="O2354" s="692">
        <f t="shared" si="301"/>
        <v>0</v>
      </c>
      <c r="P2354" s="690"/>
      <c r="Q2354" s="690"/>
      <c r="R2354" s="691">
        <f t="shared" si="302"/>
        <v>0</v>
      </c>
      <c r="S2354" s="692">
        <f t="shared" si="303"/>
        <v>50447</v>
      </c>
      <c r="T2354" s="693">
        <f t="shared" si="304"/>
        <v>0</v>
      </c>
      <c r="U2354" s="1035"/>
      <c r="V2354" s="690"/>
      <c r="W2354" s="1025"/>
      <c r="X2354" s="1030"/>
      <c r="Y2354" s="694">
        <f t="shared" si="305"/>
        <v>0</v>
      </c>
      <c r="Z2354" s="690"/>
      <c r="AA2354" s="690"/>
      <c r="AB2354" s="695">
        <f t="shared" si="306"/>
        <v>0</v>
      </c>
      <c r="AC2354" s="1035"/>
      <c r="AD2354" s="690"/>
      <c r="AE2354" s="1025"/>
      <c r="AF2354" s="1030"/>
      <c r="AG2354" s="690"/>
      <c r="AH2354" s="690"/>
      <c r="AI2354" s="696">
        <f t="shared" si="307"/>
        <v>50447</v>
      </c>
      <c r="AJ2354" s="697">
        <f t="shared" si="308"/>
        <v>0</v>
      </c>
    </row>
    <row r="2355" spans="1:36" s="700" customFormat="1" ht="12.75" customHeight="1">
      <c r="A2355" s="866" t="s">
        <v>206</v>
      </c>
      <c r="B2355" s="866" t="s">
        <v>400</v>
      </c>
      <c r="C2355" s="860" t="s">
        <v>1423</v>
      </c>
      <c r="D2355" s="860"/>
      <c r="E2355" s="956">
        <v>217882</v>
      </c>
      <c r="F2355" s="845">
        <v>1</v>
      </c>
      <c r="G2355" s="1025"/>
      <c r="H2355" s="690"/>
      <c r="I2355" s="1030">
        <v>52584</v>
      </c>
      <c r="J2355" s="690">
        <v>27636</v>
      </c>
      <c r="K2355" s="1030"/>
      <c r="L2355" s="690"/>
      <c r="M2355" s="1025"/>
      <c r="N2355" s="1030"/>
      <c r="O2355" s="692">
        <f t="shared" si="301"/>
        <v>0</v>
      </c>
      <c r="P2355" s="690"/>
      <c r="Q2355" s="690"/>
      <c r="R2355" s="691">
        <f t="shared" si="302"/>
        <v>0</v>
      </c>
      <c r="S2355" s="692">
        <f t="shared" si="303"/>
        <v>52584</v>
      </c>
      <c r="T2355" s="693">
        <f t="shared" si="304"/>
        <v>27636</v>
      </c>
      <c r="U2355" s="1035"/>
      <c r="V2355" s="690"/>
      <c r="W2355" s="1025"/>
      <c r="X2355" s="1030"/>
      <c r="Y2355" s="694">
        <f t="shared" si="305"/>
        <v>0</v>
      </c>
      <c r="Z2355" s="690"/>
      <c r="AA2355" s="690"/>
      <c r="AB2355" s="695">
        <f t="shared" si="306"/>
        <v>0</v>
      </c>
      <c r="AC2355" s="1035"/>
      <c r="AD2355" s="690"/>
      <c r="AE2355" s="1025"/>
      <c r="AF2355" s="1030"/>
      <c r="AG2355" s="690"/>
      <c r="AH2355" s="690"/>
      <c r="AI2355" s="696">
        <f t="shared" si="307"/>
        <v>52584</v>
      </c>
      <c r="AJ2355" s="697">
        <f t="shared" si="308"/>
        <v>27636</v>
      </c>
    </row>
    <row r="2356" spans="1:36" s="700" customFormat="1" ht="12.75" customHeight="1">
      <c r="A2356" s="866" t="s">
        <v>206</v>
      </c>
      <c r="B2356" s="866" t="s">
        <v>400</v>
      </c>
      <c r="C2356" s="958" t="s">
        <v>1424</v>
      </c>
      <c r="D2356" s="958"/>
      <c r="E2356" s="956">
        <v>217882</v>
      </c>
      <c r="F2356" s="845">
        <v>1</v>
      </c>
      <c r="G2356" s="1025"/>
      <c r="H2356" s="690"/>
      <c r="I2356" s="1030"/>
      <c r="J2356" s="690"/>
      <c r="K2356" s="1030"/>
      <c r="L2356" s="690"/>
      <c r="M2356" s="1025"/>
      <c r="N2356" s="1030"/>
      <c r="O2356" s="692">
        <f t="shared" si="301"/>
        <v>0</v>
      </c>
      <c r="P2356" s="690"/>
      <c r="Q2356" s="690"/>
      <c r="R2356" s="691">
        <f t="shared" si="302"/>
        <v>0</v>
      </c>
      <c r="S2356" s="692">
        <f t="shared" si="303"/>
        <v>0</v>
      </c>
      <c r="T2356" s="693">
        <f t="shared" si="304"/>
        <v>0</v>
      </c>
      <c r="U2356" s="1035"/>
      <c r="V2356" s="690"/>
      <c r="W2356" s="1025"/>
      <c r="X2356" s="1030"/>
      <c r="Y2356" s="694">
        <f t="shared" si="305"/>
        <v>0</v>
      </c>
      <c r="Z2356" s="690"/>
      <c r="AA2356" s="690"/>
      <c r="AB2356" s="695">
        <f t="shared" si="306"/>
        <v>0</v>
      </c>
      <c r="AC2356" s="1035"/>
      <c r="AD2356" s="690"/>
      <c r="AE2356" s="1025"/>
      <c r="AF2356" s="1030"/>
      <c r="AG2356" s="690"/>
      <c r="AH2356" s="690"/>
      <c r="AI2356" s="696">
        <f t="shared" si="307"/>
        <v>0</v>
      </c>
      <c r="AJ2356" s="697">
        <f t="shared" si="308"/>
        <v>0</v>
      </c>
    </row>
    <row r="2357" spans="1:36" s="700" customFormat="1" ht="12.75" customHeight="1">
      <c r="A2357" s="866" t="s">
        <v>206</v>
      </c>
      <c r="B2357" s="866" t="s">
        <v>392</v>
      </c>
      <c r="C2357" s="959" t="s">
        <v>1425</v>
      </c>
      <c r="D2357" s="959"/>
      <c r="E2357" s="956">
        <v>218663</v>
      </c>
      <c r="F2357" s="845">
        <v>1</v>
      </c>
      <c r="G2357" s="1025">
        <f>89608535+131003</f>
        <v>89739538</v>
      </c>
      <c r="H2357" s="690">
        <v>65986392</v>
      </c>
      <c r="I2357" s="1030"/>
      <c r="J2357" s="690"/>
      <c r="K2357" s="1030"/>
      <c r="L2357" s="690"/>
      <c r="M2357" s="1153">
        <v>360703281</v>
      </c>
      <c r="N2357" s="1155">
        <v>19374178</v>
      </c>
      <c r="O2357" s="692">
        <f t="shared" si="301"/>
        <v>380077459</v>
      </c>
      <c r="P2357" s="1153">
        <v>401909446</v>
      </c>
      <c r="Q2357" s="1155">
        <v>19864463</v>
      </c>
      <c r="R2357" s="691">
        <f t="shared" si="302"/>
        <v>421773909</v>
      </c>
      <c r="S2357" s="692">
        <f t="shared" si="303"/>
        <v>450442819</v>
      </c>
      <c r="T2357" s="693">
        <f t="shared" si="304"/>
        <v>467895838</v>
      </c>
      <c r="U2357" s="1035"/>
      <c r="V2357" s="690"/>
      <c r="W2357" s="1025"/>
      <c r="X2357" s="1030"/>
      <c r="Y2357" s="694">
        <f t="shared" si="305"/>
        <v>0</v>
      </c>
      <c r="Z2357" s="690"/>
      <c r="AA2357" s="690"/>
      <c r="AB2357" s="695">
        <f t="shared" si="306"/>
        <v>0</v>
      </c>
      <c r="AC2357" s="1035"/>
      <c r="AD2357" s="690"/>
      <c r="AE2357" s="1025"/>
      <c r="AF2357" s="1030"/>
      <c r="AG2357" s="690"/>
      <c r="AH2357" s="690"/>
      <c r="AI2357" s="696">
        <f t="shared" si="307"/>
        <v>450442819</v>
      </c>
      <c r="AJ2357" s="697">
        <f t="shared" si="308"/>
        <v>467895838</v>
      </c>
    </row>
    <row r="2358" spans="1:36" s="700" customFormat="1" ht="12.75" customHeight="1">
      <c r="A2358" s="866" t="s">
        <v>206</v>
      </c>
      <c r="B2358" s="866" t="s">
        <v>392</v>
      </c>
      <c r="C2358" s="860" t="s">
        <v>1414</v>
      </c>
      <c r="D2358" s="860"/>
      <c r="E2358" s="956">
        <v>218663</v>
      </c>
      <c r="F2358" s="845">
        <v>1</v>
      </c>
      <c r="G2358" s="1025">
        <v>18918712</v>
      </c>
      <c r="H2358" s="690">
        <v>17839436</v>
      </c>
      <c r="I2358" s="1030"/>
      <c r="J2358" s="690"/>
      <c r="K2358" s="1030"/>
      <c r="L2358" s="690"/>
      <c r="M2358" s="1025"/>
      <c r="N2358" s="1030"/>
      <c r="O2358" s="692">
        <f t="shared" si="301"/>
        <v>0</v>
      </c>
      <c r="P2358" s="690"/>
      <c r="Q2358" s="690"/>
      <c r="R2358" s="691">
        <f t="shared" si="302"/>
        <v>0</v>
      </c>
      <c r="S2358" s="692">
        <f t="shared" si="303"/>
        <v>18918712</v>
      </c>
      <c r="T2358" s="693">
        <f t="shared" si="304"/>
        <v>17839436</v>
      </c>
      <c r="U2358" s="1035"/>
      <c r="V2358" s="690"/>
      <c r="W2358" s="1025"/>
      <c r="X2358" s="1030"/>
      <c r="Y2358" s="694">
        <f t="shared" si="305"/>
        <v>0</v>
      </c>
      <c r="Z2358" s="690"/>
      <c r="AA2358" s="690"/>
      <c r="AB2358" s="695">
        <f t="shared" si="306"/>
        <v>0</v>
      </c>
      <c r="AC2358" s="1035"/>
      <c r="AD2358" s="690"/>
      <c r="AE2358" s="1025"/>
      <c r="AF2358" s="1030"/>
      <c r="AG2358" s="690"/>
      <c r="AH2358" s="690"/>
      <c r="AI2358" s="696">
        <f t="shared" si="307"/>
        <v>18918712</v>
      </c>
      <c r="AJ2358" s="697">
        <f t="shared" si="308"/>
        <v>17839436</v>
      </c>
    </row>
    <row r="2359" spans="1:36" s="700" customFormat="1" ht="12.75" customHeight="1">
      <c r="A2359" s="866" t="s">
        <v>206</v>
      </c>
      <c r="B2359" s="866" t="s">
        <v>394</v>
      </c>
      <c r="C2359" s="957" t="s">
        <v>451</v>
      </c>
      <c r="D2359" s="957"/>
      <c r="E2359" s="956">
        <v>218663</v>
      </c>
      <c r="F2359" s="845">
        <v>1</v>
      </c>
      <c r="G2359" s="1025"/>
      <c r="H2359" s="690"/>
      <c r="I2359" s="1030"/>
      <c r="J2359" s="690"/>
      <c r="K2359" s="1030"/>
      <c r="L2359" s="690"/>
      <c r="M2359" s="1025"/>
      <c r="N2359" s="1030"/>
      <c r="O2359" s="692">
        <f t="shared" si="301"/>
        <v>0</v>
      </c>
      <c r="P2359" s="690"/>
      <c r="Q2359" s="690"/>
      <c r="R2359" s="691">
        <f t="shared" si="302"/>
        <v>0</v>
      </c>
      <c r="S2359" s="692">
        <f t="shared" si="303"/>
        <v>0</v>
      </c>
      <c r="T2359" s="693">
        <f t="shared" si="304"/>
        <v>0</v>
      </c>
      <c r="U2359" s="1035"/>
      <c r="V2359" s="690"/>
      <c r="W2359" s="1025"/>
      <c r="X2359" s="1030"/>
      <c r="Y2359" s="694">
        <f t="shared" si="305"/>
        <v>0</v>
      </c>
      <c r="Z2359" s="690"/>
      <c r="AA2359" s="690"/>
      <c r="AB2359" s="695">
        <f t="shared" si="306"/>
        <v>0</v>
      </c>
      <c r="AC2359" s="1035"/>
      <c r="AD2359" s="690"/>
      <c r="AE2359" s="1025"/>
      <c r="AF2359" s="1030"/>
      <c r="AG2359" s="690"/>
      <c r="AH2359" s="690"/>
      <c r="AI2359" s="696">
        <f t="shared" si="307"/>
        <v>0</v>
      </c>
      <c r="AJ2359" s="697">
        <f t="shared" si="308"/>
        <v>0</v>
      </c>
    </row>
    <row r="2360" spans="1:36" s="700" customFormat="1" ht="12.75" customHeight="1">
      <c r="A2360" s="866" t="s">
        <v>206</v>
      </c>
      <c r="B2360" s="866" t="s">
        <v>394</v>
      </c>
      <c r="C2360" s="860" t="s">
        <v>1426</v>
      </c>
      <c r="D2360" s="860"/>
      <c r="E2360" s="956">
        <v>218663</v>
      </c>
      <c r="F2360" s="845">
        <v>1</v>
      </c>
      <c r="G2360" s="1025"/>
      <c r="H2360" s="690"/>
      <c r="I2360" s="1030">
        <v>662179</v>
      </c>
      <c r="J2360" s="690">
        <v>0</v>
      </c>
      <c r="K2360" s="1030"/>
      <c r="L2360" s="690"/>
      <c r="M2360" s="1025"/>
      <c r="N2360" s="1030"/>
      <c r="O2360" s="692">
        <f t="shared" si="301"/>
        <v>0</v>
      </c>
      <c r="P2360" s="690"/>
      <c r="Q2360" s="690"/>
      <c r="R2360" s="691">
        <f t="shared" si="302"/>
        <v>0</v>
      </c>
      <c r="S2360" s="692">
        <f t="shared" si="303"/>
        <v>662179</v>
      </c>
      <c r="T2360" s="693">
        <f t="shared" si="304"/>
        <v>0</v>
      </c>
      <c r="U2360" s="1035"/>
      <c r="V2360" s="690"/>
      <c r="W2360" s="1025"/>
      <c r="X2360" s="1030"/>
      <c r="Y2360" s="694">
        <f t="shared" si="305"/>
        <v>0</v>
      </c>
      <c r="Z2360" s="690"/>
      <c r="AA2360" s="690"/>
      <c r="AB2360" s="695">
        <f t="shared" si="306"/>
        <v>0</v>
      </c>
      <c r="AC2360" s="1035"/>
      <c r="AD2360" s="690"/>
      <c r="AE2360" s="1025"/>
      <c r="AF2360" s="1030"/>
      <c r="AG2360" s="690"/>
      <c r="AH2360" s="690"/>
      <c r="AI2360" s="696">
        <f t="shared" si="307"/>
        <v>662179</v>
      </c>
      <c r="AJ2360" s="697">
        <f t="shared" si="308"/>
        <v>0</v>
      </c>
    </row>
    <row r="2361" spans="1:36" s="700" customFormat="1" ht="12.75" customHeight="1">
      <c r="A2361" s="866" t="s">
        <v>206</v>
      </c>
      <c r="B2361" s="866" t="s">
        <v>394</v>
      </c>
      <c r="C2361" s="860" t="s">
        <v>1427</v>
      </c>
      <c r="D2361" s="860"/>
      <c r="E2361" s="956">
        <v>218663</v>
      </c>
      <c r="F2361" s="845">
        <v>1</v>
      </c>
      <c r="G2361" s="1025"/>
      <c r="H2361" s="690"/>
      <c r="I2361" s="1030">
        <v>273486</v>
      </c>
      <c r="J2361" s="690">
        <v>0</v>
      </c>
      <c r="K2361" s="1030"/>
      <c r="L2361" s="690"/>
      <c r="M2361" s="1025"/>
      <c r="N2361" s="1030"/>
      <c r="O2361" s="692">
        <f t="shared" si="301"/>
        <v>0</v>
      </c>
      <c r="P2361" s="690"/>
      <c r="Q2361" s="690"/>
      <c r="R2361" s="691">
        <f t="shared" si="302"/>
        <v>0</v>
      </c>
      <c r="S2361" s="692">
        <f t="shared" si="303"/>
        <v>273486</v>
      </c>
      <c r="T2361" s="693">
        <f t="shared" si="304"/>
        <v>0</v>
      </c>
      <c r="U2361" s="1035"/>
      <c r="V2361" s="690"/>
      <c r="W2361" s="1025"/>
      <c r="X2361" s="1030"/>
      <c r="Y2361" s="694">
        <f t="shared" si="305"/>
        <v>0</v>
      </c>
      <c r="Z2361" s="690"/>
      <c r="AA2361" s="690"/>
      <c r="AB2361" s="695">
        <f t="shared" si="306"/>
        <v>0</v>
      </c>
      <c r="AC2361" s="1035"/>
      <c r="AD2361" s="690"/>
      <c r="AE2361" s="1025"/>
      <c r="AF2361" s="1030"/>
      <c r="AG2361" s="690"/>
      <c r="AH2361" s="690"/>
      <c r="AI2361" s="696">
        <f t="shared" si="307"/>
        <v>273486</v>
      </c>
      <c r="AJ2361" s="697">
        <f t="shared" si="308"/>
        <v>0</v>
      </c>
    </row>
    <row r="2362" spans="1:36" s="700" customFormat="1" ht="12.75" customHeight="1">
      <c r="A2362" s="866" t="s">
        <v>206</v>
      </c>
      <c r="B2362" s="866" t="s">
        <v>394</v>
      </c>
      <c r="C2362" s="860" t="s">
        <v>1428</v>
      </c>
      <c r="D2362" s="860"/>
      <c r="E2362" s="956">
        <v>218663</v>
      </c>
      <c r="F2362" s="845">
        <v>1</v>
      </c>
      <c r="G2362" s="1025"/>
      <c r="H2362" s="690"/>
      <c r="I2362" s="1030">
        <v>176763</v>
      </c>
      <c r="J2362" s="690">
        <v>176763</v>
      </c>
      <c r="K2362" s="1030"/>
      <c r="L2362" s="690"/>
      <c r="M2362" s="1025"/>
      <c r="N2362" s="1030"/>
      <c r="O2362" s="692">
        <f t="shared" si="301"/>
        <v>0</v>
      </c>
      <c r="P2362" s="690"/>
      <c r="Q2362" s="690"/>
      <c r="R2362" s="691">
        <f t="shared" si="302"/>
        <v>0</v>
      </c>
      <c r="S2362" s="692">
        <f t="shared" si="303"/>
        <v>176763</v>
      </c>
      <c r="T2362" s="693">
        <f t="shared" si="304"/>
        <v>176763</v>
      </c>
      <c r="U2362" s="1035"/>
      <c r="V2362" s="690"/>
      <c r="W2362" s="1025"/>
      <c r="X2362" s="1030"/>
      <c r="Y2362" s="694">
        <f t="shared" si="305"/>
        <v>0</v>
      </c>
      <c r="Z2362" s="690"/>
      <c r="AA2362" s="690"/>
      <c r="AB2362" s="695">
        <f t="shared" si="306"/>
        <v>0</v>
      </c>
      <c r="AC2362" s="1035"/>
      <c r="AD2362" s="690"/>
      <c r="AE2362" s="1025"/>
      <c r="AF2362" s="1030"/>
      <c r="AG2362" s="690"/>
      <c r="AH2362" s="690"/>
      <c r="AI2362" s="696">
        <f t="shared" si="307"/>
        <v>176763</v>
      </c>
      <c r="AJ2362" s="697">
        <f t="shared" si="308"/>
        <v>176763</v>
      </c>
    </row>
    <row r="2363" spans="1:36" s="700" customFormat="1" ht="12.75" customHeight="1">
      <c r="A2363" s="866" t="s">
        <v>206</v>
      </c>
      <c r="B2363" s="866" t="s">
        <v>394</v>
      </c>
      <c r="C2363" s="860" t="s">
        <v>1429</v>
      </c>
      <c r="D2363" s="860"/>
      <c r="E2363" s="956">
        <v>218663</v>
      </c>
      <c r="F2363" s="845">
        <v>1</v>
      </c>
      <c r="G2363" s="1025"/>
      <c r="H2363" s="690"/>
      <c r="I2363" s="1030">
        <v>141410</v>
      </c>
      <c r="J2363" s="690">
        <v>0</v>
      </c>
      <c r="K2363" s="1030"/>
      <c r="L2363" s="690"/>
      <c r="M2363" s="1025"/>
      <c r="N2363" s="1030"/>
      <c r="O2363" s="692">
        <f t="shared" si="301"/>
        <v>0</v>
      </c>
      <c r="P2363" s="690"/>
      <c r="Q2363" s="690"/>
      <c r="R2363" s="691">
        <f t="shared" si="302"/>
        <v>0</v>
      </c>
      <c r="S2363" s="692">
        <f t="shared" si="303"/>
        <v>141410</v>
      </c>
      <c r="T2363" s="693">
        <f t="shared" si="304"/>
        <v>0</v>
      </c>
      <c r="U2363" s="1035"/>
      <c r="V2363" s="690"/>
      <c r="W2363" s="1025"/>
      <c r="X2363" s="1030"/>
      <c r="Y2363" s="694">
        <f t="shared" si="305"/>
        <v>0</v>
      </c>
      <c r="Z2363" s="690"/>
      <c r="AA2363" s="690"/>
      <c r="AB2363" s="695">
        <f t="shared" si="306"/>
        <v>0</v>
      </c>
      <c r="AC2363" s="1035"/>
      <c r="AD2363" s="690"/>
      <c r="AE2363" s="1025"/>
      <c r="AF2363" s="1030"/>
      <c r="AG2363" s="690"/>
      <c r="AH2363" s="690"/>
      <c r="AI2363" s="696">
        <f t="shared" si="307"/>
        <v>141410</v>
      </c>
      <c r="AJ2363" s="697">
        <f t="shared" si="308"/>
        <v>0</v>
      </c>
    </row>
    <row r="2364" spans="1:36" s="700" customFormat="1" ht="12.75" customHeight="1">
      <c r="A2364" s="866" t="s">
        <v>206</v>
      </c>
      <c r="B2364" s="866" t="s">
        <v>399</v>
      </c>
      <c r="C2364" s="957" t="s">
        <v>441</v>
      </c>
      <c r="D2364" s="957"/>
      <c r="E2364" s="956">
        <v>218663</v>
      </c>
      <c r="F2364" s="845">
        <v>1</v>
      </c>
      <c r="G2364" s="1025"/>
      <c r="H2364" s="690"/>
      <c r="I2364" s="1030"/>
      <c r="J2364" s="690"/>
      <c r="K2364" s="1030"/>
      <c r="L2364" s="690"/>
      <c r="M2364" s="1025"/>
      <c r="N2364" s="1030"/>
      <c r="O2364" s="692">
        <f t="shared" si="301"/>
        <v>0</v>
      </c>
      <c r="P2364" s="690"/>
      <c r="Q2364" s="690"/>
      <c r="R2364" s="691">
        <f t="shared" si="302"/>
        <v>0</v>
      </c>
      <c r="S2364" s="692">
        <f t="shared" si="303"/>
        <v>0</v>
      </c>
      <c r="T2364" s="693">
        <f t="shared" si="304"/>
        <v>0</v>
      </c>
      <c r="U2364" s="1035"/>
      <c r="V2364" s="690"/>
      <c r="W2364" s="1025"/>
      <c r="X2364" s="1030"/>
      <c r="Y2364" s="694">
        <f t="shared" si="305"/>
        <v>0</v>
      </c>
      <c r="Z2364" s="690"/>
      <c r="AA2364" s="690"/>
      <c r="AB2364" s="695">
        <f t="shared" si="306"/>
        <v>0</v>
      </c>
      <c r="AC2364" s="1035"/>
      <c r="AD2364" s="690"/>
      <c r="AE2364" s="1025"/>
      <c r="AF2364" s="1030"/>
      <c r="AG2364" s="690"/>
      <c r="AH2364" s="690"/>
      <c r="AI2364" s="696">
        <f t="shared" si="307"/>
        <v>0</v>
      </c>
      <c r="AJ2364" s="697">
        <f t="shared" si="308"/>
        <v>0</v>
      </c>
    </row>
    <row r="2365" spans="1:36" s="700" customFormat="1" ht="12.75" customHeight="1">
      <c r="A2365" s="866" t="s">
        <v>206</v>
      </c>
      <c r="B2365" s="866" t="s">
        <v>399</v>
      </c>
      <c r="C2365" s="860" t="s">
        <v>1430</v>
      </c>
      <c r="D2365" s="860"/>
      <c r="E2365" s="956">
        <v>218663</v>
      </c>
      <c r="F2365" s="845">
        <v>1</v>
      </c>
      <c r="G2365" s="1025"/>
      <c r="H2365" s="690"/>
      <c r="I2365" s="1030">
        <v>707054</v>
      </c>
      <c r="J2365" s="690">
        <v>0</v>
      </c>
      <c r="K2365" s="1030"/>
      <c r="L2365" s="690"/>
      <c r="M2365" s="1025"/>
      <c r="N2365" s="1030"/>
      <c r="O2365" s="692">
        <f t="shared" si="301"/>
        <v>0</v>
      </c>
      <c r="P2365" s="690"/>
      <c r="Q2365" s="690"/>
      <c r="R2365" s="691">
        <f t="shared" si="302"/>
        <v>0</v>
      </c>
      <c r="S2365" s="692">
        <f t="shared" si="303"/>
        <v>707054</v>
      </c>
      <c r="T2365" s="693">
        <f t="shared" si="304"/>
        <v>0</v>
      </c>
      <c r="U2365" s="1035"/>
      <c r="V2365" s="690"/>
      <c r="W2365" s="1025"/>
      <c r="X2365" s="1030"/>
      <c r="Y2365" s="694">
        <f t="shared" si="305"/>
        <v>0</v>
      </c>
      <c r="Z2365" s="690"/>
      <c r="AA2365" s="690"/>
      <c r="AB2365" s="695">
        <f t="shared" si="306"/>
        <v>0</v>
      </c>
      <c r="AC2365" s="1035"/>
      <c r="AD2365" s="690"/>
      <c r="AE2365" s="1025"/>
      <c r="AF2365" s="1030"/>
      <c r="AG2365" s="690"/>
      <c r="AH2365" s="690"/>
      <c r="AI2365" s="696">
        <f t="shared" si="307"/>
        <v>707054</v>
      </c>
      <c r="AJ2365" s="697">
        <f t="shared" si="308"/>
        <v>0</v>
      </c>
    </row>
    <row r="2366" spans="1:36" s="700" customFormat="1" ht="12.75" customHeight="1">
      <c r="A2366" s="866" t="s">
        <v>206</v>
      </c>
      <c r="B2366" s="866" t="s">
        <v>399</v>
      </c>
      <c r="C2366" s="860" t="s">
        <v>1431</v>
      </c>
      <c r="D2366" s="860"/>
      <c r="E2366" s="956">
        <v>218663</v>
      </c>
      <c r="F2366" s="845">
        <v>1</v>
      </c>
      <c r="G2366" s="1025"/>
      <c r="H2366" s="690"/>
      <c r="I2366" s="1030">
        <v>707054</v>
      </c>
      <c r="J2366" s="690">
        <v>0</v>
      </c>
      <c r="K2366" s="1030"/>
      <c r="L2366" s="690"/>
      <c r="M2366" s="1025"/>
      <c r="N2366" s="1030"/>
      <c r="O2366" s="692">
        <f t="shared" si="301"/>
        <v>0</v>
      </c>
      <c r="P2366" s="690"/>
      <c r="Q2366" s="690"/>
      <c r="R2366" s="691">
        <f t="shared" si="302"/>
        <v>0</v>
      </c>
      <c r="S2366" s="692">
        <f t="shared" si="303"/>
        <v>707054</v>
      </c>
      <c r="T2366" s="693">
        <f t="shared" si="304"/>
        <v>0</v>
      </c>
      <c r="U2366" s="1035"/>
      <c r="V2366" s="690"/>
      <c r="W2366" s="1025"/>
      <c r="X2366" s="1030"/>
      <c r="Y2366" s="694">
        <f t="shared" si="305"/>
        <v>0</v>
      </c>
      <c r="Z2366" s="690"/>
      <c r="AA2366" s="690"/>
      <c r="AB2366" s="695">
        <f t="shared" si="306"/>
        <v>0</v>
      </c>
      <c r="AC2366" s="1035"/>
      <c r="AD2366" s="690"/>
      <c r="AE2366" s="1025"/>
      <c r="AF2366" s="1030"/>
      <c r="AG2366" s="690"/>
      <c r="AH2366" s="690"/>
      <c r="AI2366" s="696">
        <f t="shared" si="307"/>
        <v>707054</v>
      </c>
      <c r="AJ2366" s="697">
        <f t="shared" si="308"/>
        <v>0</v>
      </c>
    </row>
    <row r="2367" spans="1:36" s="700" customFormat="1" ht="12.75" customHeight="1">
      <c r="A2367" s="866" t="s">
        <v>206</v>
      </c>
      <c r="B2367" s="866" t="s">
        <v>400</v>
      </c>
      <c r="C2367" s="859" t="s">
        <v>1418</v>
      </c>
      <c r="D2367" s="859"/>
      <c r="E2367" s="956">
        <v>218663</v>
      </c>
      <c r="F2367" s="845">
        <v>1</v>
      </c>
      <c r="G2367" s="1025"/>
      <c r="H2367" s="690"/>
      <c r="I2367" s="1030"/>
      <c r="J2367" s="690"/>
      <c r="K2367" s="1030"/>
      <c r="L2367" s="690"/>
      <c r="M2367" s="1025"/>
      <c r="N2367" s="1030"/>
      <c r="O2367" s="692">
        <f t="shared" si="301"/>
        <v>0</v>
      </c>
      <c r="P2367" s="690"/>
      <c r="Q2367" s="690"/>
      <c r="R2367" s="691">
        <f t="shared" si="302"/>
        <v>0</v>
      </c>
      <c r="S2367" s="692">
        <f t="shared" si="303"/>
        <v>0</v>
      </c>
      <c r="T2367" s="693">
        <f t="shared" si="304"/>
        <v>0</v>
      </c>
      <c r="U2367" s="1035"/>
      <c r="V2367" s="690"/>
      <c r="W2367" s="1025"/>
      <c r="X2367" s="1030"/>
      <c r="Y2367" s="694">
        <f t="shared" si="305"/>
        <v>0</v>
      </c>
      <c r="Z2367" s="690"/>
      <c r="AA2367" s="690"/>
      <c r="AB2367" s="695">
        <f t="shared" si="306"/>
        <v>0</v>
      </c>
      <c r="AC2367" s="1035"/>
      <c r="AD2367" s="690"/>
      <c r="AE2367" s="1025"/>
      <c r="AF2367" s="1030"/>
      <c r="AG2367" s="690"/>
      <c r="AH2367" s="690"/>
      <c r="AI2367" s="696">
        <f t="shared" si="307"/>
        <v>0</v>
      </c>
      <c r="AJ2367" s="697">
        <f t="shared" si="308"/>
        <v>0</v>
      </c>
    </row>
    <row r="2368" spans="1:36" s="700" customFormat="1" ht="12.75" customHeight="1">
      <c r="A2368" s="866" t="s">
        <v>206</v>
      </c>
      <c r="B2368" s="866" t="s">
        <v>400</v>
      </c>
      <c r="C2368" s="860" t="s">
        <v>1419</v>
      </c>
      <c r="D2368" s="860"/>
      <c r="E2368" s="956">
        <v>218663</v>
      </c>
      <c r="F2368" s="845">
        <v>1</v>
      </c>
      <c r="G2368" s="1025"/>
      <c r="H2368" s="690"/>
      <c r="I2368" s="1030" t="s">
        <v>1420</v>
      </c>
      <c r="J2368" s="690">
        <v>0</v>
      </c>
      <c r="K2368" s="1030"/>
      <c r="L2368" s="690"/>
      <c r="M2368" s="1025"/>
      <c r="N2368" s="1030"/>
      <c r="O2368" s="692">
        <f t="shared" si="301"/>
        <v>0</v>
      </c>
      <c r="P2368" s="690"/>
      <c r="Q2368" s="690"/>
      <c r="R2368" s="691">
        <f t="shared" si="302"/>
        <v>0</v>
      </c>
      <c r="S2368" s="692">
        <f t="shared" si="303"/>
        <v>0</v>
      </c>
      <c r="T2368" s="693">
        <f t="shared" si="304"/>
        <v>0</v>
      </c>
      <c r="U2368" s="1035"/>
      <c r="V2368" s="690"/>
      <c r="W2368" s="1025"/>
      <c r="X2368" s="1030"/>
      <c r="Y2368" s="694">
        <f t="shared" si="305"/>
        <v>0</v>
      </c>
      <c r="Z2368" s="690"/>
      <c r="AA2368" s="690"/>
      <c r="AB2368" s="695">
        <f t="shared" si="306"/>
        <v>0</v>
      </c>
      <c r="AC2368" s="1035"/>
      <c r="AD2368" s="690"/>
      <c r="AE2368" s="1025"/>
      <c r="AF2368" s="1030"/>
      <c r="AG2368" s="690"/>
      <c r="AH2368" s="690"/>
      <c r="AI2368" s="696">
        <f t="shared" si="307"/>
        <v>0</v>
      </c>
      <c r="AJ2368" s="697">
        <f t="shared" si="308"/>
        <v>0</v>
      </c>
    </row>
    <row r="2369" spans="1:36" s="700" customFormat="1" ht="12.75" customHeight="1">
      <c r="A2369" s="866" t="s">
        <v>206</v>
      </c>
      <c r="B2369" s="866" t="s">
        <v>400</v>
      </c>
      <c r="C2369" s="860" t="s">
        <v>1421</v>
      </c>
      <c r="D2369" s="860"/>
      <c r="E2369" s="956">
        <v>218663</v>
      </c>
      <c r="F2369" s="845">
        <v>1</v>
      </c>
      <c r="G2369" s="1025"/>
      <c r="H2369" s="690"/>
      <c r="I2369" s="1030">
        <v>131514</v>
      </c>
      <c r="J2369" s="690">
        <v>0</v>
      </c>
      <c r="K2369" s="1030"/>
      <c r="L2369" s="690"/>
      <c r="M2369" s="1025"/>
      <c r="N2369" s="1030"/>
      <c r="O2369" s="692">
        <f t="shared" si="301"/>
        <v>0</v>
      </c>
      <c r="P2369" s="690"/>
      <c r="Q2369" s="690"/>
      <c r="R2369" s="691">
        <f t="shared" si="302"/>
        <v>0</v>
      </c>
      <c r="S2369" s="692">
        <f t="shared" si="303"/>
        <v>131514</v>
      </c>
      <c r="T2369" s="693">
        <f t="shared" si="304"/>
        <v>0</v>
      </c>
      <c r="U2369" s="1035"/>
      <c r="V2369" s="690"/>
      <c r="W2369" s="1025"/>
      <c r="X2369" s="1030"/>
      <c r="Y2369" s="694">
        <f t="shared" si="305"/>
        <v>0</v>
      </c>
      <c r="Z2369" s="690"/>
      <c r="AA2369" s="690"/>
      <c r="AB2369" s="695">
        <f t="shared" si="306"/>
        <v>0</v>
      </c>
      <c r="AC2369" s="1035"/>
      <c r="AD2369" s="690"/>
      <c r="AE2369" s="1025"/>
      <c r="AF2369" s="1030"/>
      <c r="AG2369" s="690"/>
      <c r="AH2369" s="690"/>
      <c r="AI2369" s="696">
        <f t="shared" si="307"/>
        <v>131514</v>
      </c>
      <c r="AJ2369" s="697">
        <f t="shared" si="308"/>
        <v>0</v>
      </c>
    </row>
    <row r="2370" spans="1:36" s="700" customFormat="1" ht="12.75" customHeight="1">
      <c r="A2370" s="866" t="s">
        <v>206</v>
      </c>
      <c r="B2370" s="866" t="s">
        <v>400</v>
      </c>
      <c r="C2370" s="860" t="s">
        <v>1422</v>
      </c>
      <c r="D2370" s="860"/>
      <c r="E2370" s="956">
        <v>218663</v>
      </c>
      <c r="F2370" s="845">
        <v>1</v>
      </c>
      <c r="G2370" s="1025"/>
      <c r="H2370" s="690"/>
      <c r="I2370" s="1030">
        <v>59251</v>
      </c>
      <c r="J2370" s="690">
        <v>0</v>
      </c>
      <c r="K2370" s="1030"/>
      <c r="L2370" s="690"/>
      <c r="M2370" s="1025"/>
      <c r="N2370" s="1030"/>
      <c r="O2370" s="692">
        <f t="shared" si="301"/>
        <v>0</v>
      </c>
      <c r="P2370" s="690"/>
      <c r="Q2370" s="690"/>
      <c r="R2370" s="691">
        <f t="shared" si="302"/>
        <v>0</v>
      </c>
      <c r="S2370" s="692">
        <f t="shared" si="303"/>
        <v>59251</v>
      </c>
      <c r="T2370" s="693">
        <f t="shared" si="304"/>
        <v>0</v>
      </c>
      <c r="U2370" s="1035"/>
      <c r="V2370" s="690"/>
      <c r="W2370" s="1025"/>
      <c r="X2370" s="1030"/>
      <c r="Y2370" s="694">
        <f t="shared" si="305"/>
        <v>0</v>
      </c>
      <c r="Z2370" s="690"/>
      <c r="AA2370" s="690"/>
      <c r="AB2370" s="695">
        <f t="shared" si="306"/>
        <v>0</v>
      </c>
      <c r="AC2370" s="1035"/>
      <c r="AD2370" s="690"/>
      <c r="AE2370" s="1025"/>
      <c r="AF2370" s="1030"/>
      <c r="AG2370" s="690"/>
      <c r="AH2370" s="690"/>
      <c r="AI2370" s="696">
        <f t="shared" si="307"/>
        <v>59251</v>
      </c>
      <c r="AJ2370" s="697">
        <f t="shared" si="308"/>
        <v>0</v>
      </c>
    </row>
    <row r="2371" spans="1:36" s="700" customFormat="1" ht="12.75" customHeight="1">
      <c r="A2371" s="866" t="s">
        <v>206</v>
      </c>
      <c r="B2371" s="866" t="s">
        <v>400</v>
      </c>
      <c r="C2371" s="860" t="s">
        <v>1423</v>
      </c>
      <c r="D2371" s="860"/>
      <c r="E2371" s="956">
        <v>218663</v>
      </c>
      <c r="F2371" s="845">
        <v>1</v>
      </c>
      <c r="G2371" s="1025"/>
      <c r="H2371" s="690"/>
      <c r="I2371" s="1030">
        <v>66216</v>
      </c>
      <c r="J2371" s="690">
        <v>30679</v>
      </c>
      <c r="K2371" s="1030"/>
      <c r="L2371" s="690"/>
      <c r="M2371" s="1025"/>
      <c r="N2371" s="1030"/>
      <c r="O2371" s="692">
        <f t="shared" si="301"/>
        <v>0</v>
      </c>
      <c r="P2371" s="690"/>
      <c r="Q2371" s="690"/>
      <c r="R2371" s="691">
        <f t="shared" si="302"/>
        <v>0</v>
      </c>
      <c r="S2371" s="692">
        <f t="shared" si="303"/>
        <v>66216</v>
      </c>
      <c r="T2371" s="693">
        <f t="shared" si="304"/>
        <v>30679</v>
      </c>
      <c r="U2371" s="1035"/>
      <c r="V2371" s="690"/>
      <c r="W2371" s="1025"/>
      <c r="X2371" s="1030"/>
      <c r="Y2371" s="694">
        <f t="shared" si="305"/>
        <v>0</v>
      </c>
      <c r="Z2371" s="690"/>
      <c r="AA2371" s="690"/>
      <c r="AB2371" s="695">
        <f t="shared" si="306"/>
        <v>0</v>
      </c>
      <c r="AC2371" s="1035"/>
      <c r="AD2371" s="690"/>
      <c r="AE2371" s="1025"/>
      <c r="AF2371" s="1030"/>
      <c r="AG2371" s="690"/>
      <c r="AH2371" s="690"/>
      <c r="AI2371" s="696">
        <f t="shared" si="307"/>
        <v>66216</v>
      </c>
      <c r="AJ2371" s="697">
        <f t="shared" si="308"/>
        <v>30679</v>
      </c>
    </row>
    <row r="2372" spans="1:36" s="700" customFormat="1" ht="12.75" customHeight="1">
      <c r="A2372" s="866" t="s">
        <v>206</v>
      </c>
      <c r="B2372" s="866" t="s">
        <v>400</v>
      </c>
      <c r="C2372" s="860" t="s">
        <v>1432</v>
      </c>
      <c r="D2372" s="860"/>
      <c r="E2372" s="956">
        <v>218663</v>
      </c>
      <c r="F2372" s="845">
        <v>1</v>
      </c>
      <c r="G2372" s="1025"/>
      <c r="H2372" s="690"/>
      <c r="I2372" s="1030"/>
      <c r="J2372" s="690"/>
      <c r="K2372" s="1030"/>
      <c r="L2372" s="690"/>
      <c r="M2372" s="1025"/>
      <c r="N2372" s="1030"/>
      <c r="O2372" s="692">
        <f t="shared" si="301"/>
        <v>0</v>
      </c>
      <c r="P2372" s="690"/>
      <c r="Q2372" s="690"/>
      <c r="R2372" s="691">
        <f t="shared" si="302"/>
        <v>0</v>
      </c>
      <c r="S2372" s="692">
        <f t="shared" si="303"/>
        <v>0</v>
      </c>
      <c r="T2372" s="693">
        <f t="shared" si="304"/>
        <v>0</v>
      </c>
      <c r="U2372" s="1035"/>
      <c r="V2372" s="690"/>
      <c r="W2372" s="1025"/>
      <c r="X2372" s="1030"/>
      <c r="Y2372" s="694">
        <f t="shared" si="305"/>
        <v>0</v>
      </c>
      <c r="Z2372" s="690"/>
      <c r="AA2372" s="690"/>
      <c r="AB2372" s="695">
        <f t="shared" si="306"/>
        <v>0</v>
      </c>
      <c r="AC2372" s="1035"/>
      <c r="AD2372" s="690"/>
      <c r="AE2372" s="1025"/>
      <c r="AF2372" s="1030"/>
      <c r="AG2372" s="690"/>
      <c r="AH2372" s="690"/>
      <c r="AI2372" s="696">
        <f t="shared" si="307"/>
        <v>0</v>
      </c>
      <c r="AJ2372" s="697">
        <f t="shared" si="308"/>
        <v>0</v>
      </c>
    </row>
    <row r="2373" spans="1:36" s="700" customFormat="1" ht="12.75" customHeight="1">
      <c r="A2373" s="866" t="s">
        <v>206</v>
      </c>
      <c r="B2373" s="866" t="s">
        <v>400</v>
      </c>
      <c r="C2373" s="958" t="s">
        <v>1433</v>
      </c>
      <c r="D2373" s="958"/>
      <c r="E2373" s="956">
        <v>218663</v>
      </c>
      <c r="F2373" s="845">
        <v>1</v>
      </c>
      <c r="G2373" s="1025"/>
      <c r="H2373" s="690"/>
      <c r="I2373" s="1030">
        <v>344074</v>
      </c>
      <c r="J2373" s="690">
        <v>344074</v>
      </c>
      <c r="K2373" s="1030"/>
      <c r="L2373" s="690"/>
      <c r="M2373" s="1025"/>
      <c r="N2373" s="1030"/>
      <c r="O2373" s="692">
        <f t="shared" si="301"/>
        <v>0</v>
      </c>
      <c r="P2373" s="690"/>
      <c r="Q2373" s="690"/>
      <c r="R2373" s="691">
        <f t="shared" si="302"/>
        <v>0</v>
      </c>
      <c r="S2373" s="692">
        <f t="shared" si="303"/>
        <v>344074</v>
      </c>
      <c r="T2373" s="693">
        <f t="shared" si="304"/>
        <v>344074</v>
      </c>
      <c r="U2373" s="1035"/>
      <c r="V2373" s="690"/>
      <c r="W2373" s="1025"/>
      <c r="X2373" s="1030"/>
      <c r="Y2373" s="694">
        <f t="shared" si="305"/>
        <v>0</v>
      </c>
      <c r="Z2373" s="690"/>
      <c r="AA2373" s="690"/>
      <c r="AB2373" s="695">
        <f t="shared" si="306"/>
        <v>0</v>
      </c>
      <c r="AC2373" s="1035"/>
      <c r="AD2373" s="690"/>
      <c r="AE2373" s="1025"/>
      <c r="AF2373" s="1030"/>
      <c r="AG2373" s="690"/>
      <c r="AH2373" s="690"/>
      <c r="AI2373" s="696">
        <f t="shared" si="307"/>
        <v>344074</v>
      </c>
      <c r="AJ2373" s="697">
        <f t="shared" si="308"/>
        <v>344074</v>
      </c>
    </row>
    <row r="2374" spans="1:36" s="700" customFormat="1" ht="12.75" customHeight="1">
      <c r="A2374" s="866" t="s">
        <v>206</v>
      </c>
      <c r="B2374" s="866" t="s">
        <v>400</v>
      </c>
      <c r="C2374" s="958" t="s">
        <v>1434</v>
      </c>
      <c r="D2374" s="958"/>
      <c r="E2374" s="956">
        <v>218663</v>
      </c>
      <c r="F2374" s="845">
        <v>1</v>
      </c>
      <c r="G2374" s="1025"/>
      <c r="H2374" s="690"/>
      <c r="I2374" s="1030">
        <v>178805</v>
      </c>
      <c r="J2374" s="690">
        <v>0</v>
      </c>
      <c r="K2374" s="1030"/>
      <c r="L2374" s="690"/>
      <c r="M2374" s="1025"/>
      <c r="N2374" s="1030"/>
      <c r="O2374" s="692">
        <f t="shared" si="301"/>
        <v>0</v>
      </c>
      <c r="P2374" s="690"/>
      <c r="Q2374" s="690"/>
      <c r="R2374" s="691">
        <f t="shared" si="302"/>
        <v>0</v>
      </c>
      <c r="S2374" s="692">
        <f t="shared" si="303"/>
        <v>178805</v>
      </c>
      <c r="T2374" s="693">
        <f t="shared" si="304"/>
        <v>0</v>
      </c>
      <c r="U2374" s="1035"/>
      <c r="V2374" s="690"/>
      <c r="W2374" s="1025"/>
      <c r="X2374" s="1030"/>
      <c r="Y2374" s="694">
        <f t="shared" si="305"/>
        <v>0</v>
      </c>
      <c r="Z2374" s="690"/>
      <c r="AA2374" s="690"/>
      <c r="AB2374" s="695">
        <f t="shared" si="306"/>
        <v>0</v>
      </c>
      <c r="AC2374" s="1035"/>
      <c r="AD2374" s="690"/>
      <c r="AE2374" s="1025"/>
      <c r="AF2374" s="1030"/>
      <c r="AG2374" s="690"/>
      <c r="AH2374" s="690"/>
      <c r="AI2374" s="696">
        <f t="shared" si="307"/>
        <v>178805</v>
      </c>
      <c r="AJ2374" s="697">
        <f t="shared" si="308"/>
        <v>0</v>
      </c>
    </row>
    <row r="2375" spans="1:36" s="700" customFormat="1" ht="12.75" customHeight="1">
      <c r="A2375" s="866" t="s">
        <v>206</v>
      </c>
      <c r="B2375" s="866" t="s">
        <v>400</v>
      </c>
      <c r="C2375" s="958" t="s">
        <v>1435</v>
      </c>
      <c r="D2375" s="958"/>
      <c r="E2375" s="956">
        <v>218663</v>
      </c>
      <c r="F2375" s="845">
        <v>1</v>
      </c>
      <c r="G2375" s="1025"/>
      <c r="H2375" s="690"/>
      <c r="I2375" s="1030"/>
      <c r="J2375" s="690"/>
      <c r="K2375" s="1030"/>
      <c r="L2375" s="690"/>
      <c r="M2375" s="1025"/>
      <c r="N2375" s="1030"/>
      <c r="O2375" s="692">
        <f t="shared" si="301"/>
        <v>0</v>
      </c>
      <c r="P2375" s="690"/>
      <c r="Q2375" s="690"/>
      <c r="R2375" s="691">
        <f t="shared" si="302"/>
        <v>0</v>
      </c>
      <c r="S2375" s="692">
        <f t="shared" si="303"/>
        <v>0</v>
      </c>
      <c r="T2375" s="693">
        <f t="shared" si="304"/>
        <v>0</v>
      </c>
      <c r="U2375" s="1035"/>
      <c r="V2375" s="690"/>
      <c r="W2375" s="1025"/>
      <c r="X2375" s="1030"/>
      <c r="Y2375" s="694">
        <f t="shared" si="305"/>
        <v>0</v>
      </c>
      <c r="Z2375" s="690"/>
      <c r="AA2375" s="690"/>
      <c r="AB2375" s="695">
        <f t="shared" si="306"/>
        <v>0</v>
      </c>
      <c r="AC2375" s="1035"/>
      <c r="AD2375" s="690"/>
      <c r="AE2375" s="1025"/>
      <c r="AF2375" s="1030"/>
      <c r="AG2375" s="690"/>
      <c r="AH2375" s="690"/>
      <c r="AI2375" s="696">
        <f t="shared" si="307"/>
        <v>0</v>
      </c>
      <c r="AJ2375" s="697">
        <f t="shared" si="308"/>
        <v>0</v>
      </c>
    </row>
    <row r="2376" spans="1:36" s="700" customFormat="1" ht="12.75" customHeight="1">
      <c r="A2376" s="866" t="s">
        <v>206</v>
      </c>
      <c r="B2376" s="866" t="s">
        <v>408</v>
      </c>
      <c r="C2376" s="859" t="s">
        <v>965</v>
      </c>
      <c r="D2376" s="859"/>
      <c r="E2376" s="956">
        <v>218663</v>
      </c>
      <c r="F2376" s="845">
        <v>1</v>
      </c>
      <c r="G2376" s="1025"/>
      <c r="H2376" s="690"/>
      <c r="I2376" s="1030"/>
      <c r="J2376" s="690"/>
      <c r="K2376" s="1030"/>
      <c r="L2376" s="690"/>
      <c r="M2376" s="1025"/>
      <c r="N2376" s="1030"/>
      <c r="O2376" s="692">
        <f t="shared" si="301"/>
        <v>0</v>
      </c>
      <c r="P2376" s="690"/>
      <c r="Q2376" s="690"/>
      <c r="R2376" s="691">
        <f t="shared" si="302"/>
        <v>0</v>
      </c>
      <c r="S2376" s="692">
        <f t="shared" si="303"/>
        <v>0</v>
      </c>
      <c r="T2376" s="693">
        <f t="shared" si="304"/>
        <v>0</v>
      </c>
      <c r="U2376" s="1035"/>
      <c r="V2376" s="690"/>
      <c r="W2376" s="1025"/>
      <c r="X2376" s="1030"/>
      <c r="Y2376" s="694">
        <f t="shared" si="305"/>
        <v>0</v>
      </c>
      <c r="Z2376" s="690"/>
      <c r="AA2376" s="690"/>
      <c r="AB2376" s="695">
        <f t="shared" si="306"/>
        <v>0</v>
      </c>
      <c r="AC2376" s="1035"/>
      <c r="AD2376" s="690"/>
      <c r="AE2376" s="1025"/>
      <c r="AF2376" s="1030"/>
      <c r="AG2376" s="690"/>
      <c r="AH2376" s="690"/>
      <c r="AI2376" s="696">
        <f t="shared" si="307"/>
        <v>0</v>
      </c>
      <c r="AJ2376" s="697">
        <f t="shared" si="308"/>
        <v>0</v>
      </c>
    </row>
    <row r="2377" spans="1:36" s="700" customFormat="1" ht="12.75" customHeight="1">
      <c r="A2377" s="866" t="s">
        <v>206</v>
      </c>
      <c r="B2377" s="866" t="s">
        <v>408</v>
      </c>
      <c r="C2377" s="860" t="s">
        <v>1436</v>
      </c>
      <c r="D2377" s="860"/>
      <c r="E2377" s="956">
        <v>218663</v>
      </c>
      <c r="F2377" s="845">
        <v>1</v>
      </c>
      <c r="G2377" s="1025"/>
      <c r="H2377" s="796"/>
      <c r="I2377" s="1030"/>
      <c r="J2377" s="690"/>
      <c r="K2377" s="1030"/>
      <c r="L2377" s="690"/>
      <c r="M2377" s="1025"/>
      <c r="N2377" s="1030"/>
      <c r="O2377" s="692">
        <f t="shared" si="301"/>
        <v>0</v>
      </c>
      <c r="P2377" s="690"/>
      <c r="Q2377" s="690"/>
      <c r="R2377" s="691">
        <f t="shared" si="302"/>
        <v>0</v>
      </c>
      <c r="S2377" s="692">
        <f t="shared" si="303"/>
        <v>0</v>
      </c>
      <c r="T2377" s="693">
        <f t="shared" si="304"/>
        <v>0</v>
      </c>
      <c r="U2377" s="1035"/>
      <c r="V2377" s="690"/>
      <c r="W2377" s="1025"/>
      <c r="X2377" s="1030"/>
      <c r="Y2377" s="694">
        <f t="shared" si="305"/>
        <v>0</v>
      </c>
      <c r="Z2377" s="690"/>
      <c r="AA2377" s="690"/>
      <c r="AB2377" s="695">
        <f t="shared" si="306"/>
        <v>0</v>
      </c>
      <c r="AC2377" s="1035">
        <v>12750000</v>
      </c>
      <c r="AD2377" s="690">
        <v>12750000</v>
      </c>
      <c r="AE2377" s="1153">
        <v>11990303</v>
      </c>
      <c r="AF2377" s="1155">
        <v>804771</v>
      </c>
      <c r="AG2377" s="1159">
        <v>12106904</v>
      </c>
      <c r="AH2377" s="1160">
        <v>774205</v>
      </c>
      <c r="AI2377" s="696">
        <f t="shared" si="307"/>
        <v>24740303</v>
      </c>
      <c r="AJ2377" s="697">
        <f t="shared" si="308"/>
        <v>24856904</v>
      </c>
    </row>
    <row r="2378" spans="1:36" s="700" customFormat="1" ht="12.75" customHeight="1">
      <c r="A2378" s="866" t="s">
        <v>206</v>
      </c>
      <c r="B2378" s="866" t="s">
        <v>408</v>
      </c>
      <c r="C2378" s="860" t="s">
        <v>1437</v>
      </c>
      <c r="D2378" s="860"/>
      <c r="E2378" s="956">
        <v>218663</v>
      </c>
      <c r="F2378" s="845">
        <v>1</v>
      </c>
      <c r="G2378" s="1025"/>
      <c r="H2378" s="796"/>
      <c r="I2378" s="1030"/>
      <c r="J2378" s="690"/>
      <c r="K2378" s="1030"/>
      <c r="L2378" s="690"/>
      <c r="M2378" s="1025"/>
      <c r="N2378" s="1030"/>
      <c r="O2378" s="692">
        <f t="shared" ref="O2378:O2442" si="309">SUM(M2378:N2378)</f>
        <v>0</v>
      </c>
      <c r="P2378" s="690"/>
      <c r="Q2378" s="690"/>
      <c r="R2378" s="691">
        <f t="shared" ref="R2378:R2442" si="310">SUM(P2378:Q2378)</f>
        <v>0</v>
      </c>
      <c r="S2378" s="692">
        <f t="shared" ref="S2378:S2442" si="311">SUM(G2378,I2378,K2378,M2378)</f>
        <v>0</v>
      </c>
      <c r="T2378" s="693">
        <f t="shared" ref="T2378:T2442" si="312">SUM(H2378,J2378,L2378,P2378)</f>
        <v>0</v>
      </c>
      <c r="U2378" s="1035"/>
      <c r="V2378" s="690"/>
      <c r="W2378" s="1025"/>
      <c r="X2378" s="1030"/>
      <c r="Y2378" s="694">
        <f t="shared" ref="Y2378:Y2442" si="313">SUM(W2378:X2378)</f>
        <v>0</v>
      </c>
      <c r="Z2378" s="690"/>
      <c r="AA2378" s="690"/>
      <c r="AB2378" s="695">
        <f t="shared" ref="AB2378:AB2442" si="314">SUM(Z2378:AA2378)</f>
        <v>0</v>
      </c>
      <c r="AC2378" s="1035">
        <v>3121729</v>
      </c>
      <c r="AD2378" s="690">
        <v>3121729</v>
      </c>
      <c r="AE2378" s="1025"/>
      <c r="AF2378" s="1030"/>
      <c r="AG2378" s="690"/>
      <c r="AH2378" s="690"/>
      <c r="AI2378" s="696">
        <f t="shared" ref="AI2378:AI2442" si="315">SUM(S2378,U2378,W2378,AC2378,AE2378)</f>
        <v>3121729</v>
      </c>
      <c r="AJ2378" s="697">
        <f t="shared" ref="AJ2378:AJ2442" si="316">SUM(T2378,V2378,Z2378,AD2378,AG2378)</f>
        <v>3121729</v>
      </c>
    </row>
    <row r="2379" spans="1:36" s="700" customFormat="1" ht="12.75" customHeight="1">
      <c r="A2379" s="866" t="s">
        <v>206</v>
      </c>
      <c r="B2379" s="866" t="s">
        <v>408</v>
      </c>
      <c r="C2379" s="860" t="s">
        <v>1438</v>
      </c>
      <c r="D2379" s="860"/>
      <c r="E2379" s="956">
        <v>218663</v>
      </c>
      <c r="F2379" s="845">
        <v>1</v>
      </c>
      <c r="G2379" s="1025"/>
      <c r="H2379" s="796"/>
      <c r="I2379" s="1030"/>
      <c r="J2379" s="690"/>
      <c r="K2379" s="1030"/>
      <c r="L2379" s="690"/>
      <c r="M2379" s="1025"/>
      <c r="N2379" s="1030"/>
      <c r="O2379" s="692">
        <f t="shared" si="309"/>
        <v>0</v>
      </c>
      <c r="P2379" s="690"/>
      <c r="Q2379" s="690"/>
      <c r="R2379" s="691">
        <f t="shared" si="310"/>
        <v>0</v>
      </c>
      <c r="S2379" s="692">
        <f t="shared" si="311"/>
        <v>0</v>
      </c>
      <c r="T2379" s="693">
        <f t="shared" si="312"/>
        <v>0</v>
      </c>
      <c r="U2379" s="1035"/>
      <c r="V2379" s="690"/>
      <c r="W2379" s="1025"/>
      <c r="X2379" s="1030"/>
      <c r="Y2379" s="694">
        <f t="shared" si="313"/>
        <v>0</v>
      </c>
      <c r="Z2379" s="690"/>
      <c r="AA2379" s="690"/>
      <c r="AB2379" s="695">
        <f t="shared" si="314"/>
        <v>0</v>
      </c>
      <c r="AC2379" s="1035">
        <v>800000</v>
      </c>
      <c r="AD2379" s="690">
        <v>800000</v>
      </c>
      <c r="AE2379" s="1025"/>
      <c r="AF2379" s="1030"/>
      <c r="AG2379" s="690"/>
      <c r="AH2379" s="690"/>
      <c r="AI2379" s="696">
        <f t="shared" si="315"/>
        <v>800000</v>
      </c>
      <c r="AJ2379" s="697">
        <f t="shared" si="316"/>
        <v>800000</v>
      </c>
    </row>
    <row r="2380" spans="1:36" s="700" customFormat="1" ht="12.75" customHeight="1">
      <c r="A2380" s="866" t="s">
        <v>206</v>
      </c>
      <c r="B2380" s="866" t="s">
        <v>408</v>
      </c>
      <c r="C2380" s="860" t="s">
        <v>1439</v>
      </c>
      <c r="D2380" s="860"/>
      <c r="E2380" s="956">
        <v>218663</v>
      </c>
      <c r="F2380" s="845">
        <v>1</v>
      </c>
      <c r="G2380" s="1025"/>
      <c r="H2380" s="690"/>
      <c r="I2380" s="1030"/>
      <c r="J2380" s="690"/>
      <c r="K2380" s="1030"/>
      <c r="L2380" s="690"/>
      <c r="M2380" s="1025"/>
      <c r="N2380" s="1030"/>
      <c r="O2380" s="692">
        <f t="shared" si="309"/>
        <v>0</v>
      </c>
      <c r="P2380" s="690"/>
      <c r="Q2380" s="690"/>
      <c r="R2380" s="691">
        <f t="shared" si="310"/>
        <v>0</v>
      </c>
      <c r="S2380" s="692">
        <f t="shared" si="311"/>
        <v>0</v>
      </c>
      <c r="T2380" s="693">
        <f t="shared" si="312"/>
        <v>0</v>
      </c>
      <c r="U2380" s="1035"/>
      <c r="V2380" s="690"/>
      <c r="W2380" s="1025"/>
      <c r="X2380" s="1030"/>
      <c r="Y2380" s="694">
        <f t="shared" si="313"/>
        <v>0</v>
      </c>
      <c r="Z2380" s="690"/>
      <c r="AA2380" s="690"/>
      <c r="AB2380" s="695">
        <f t="shared" si="314"/>
        <v>0</v>
      </c>
      <c r="AC2380" s="1035">
        <v>14008</v>
      </c>
      <c r="AD2380" s="690">
        <v>0</v>
      </c>
      <c r="AE2380" s="1025"/>
      <c r="AF2380" s="1030"/>
      <c r="AG2380" s="690"/>
      <c r="AH2380" s="690"/>
      <c r="AI2380" s="696">
        <f t="shared" si="315"/>
        <v>14008</v>
      </c>
      <c r="AJ2380" s="697">
        <f t="shared" si="316"/>
        <v>0</v>
      </c>
    </row>
    <row r="2381" spans="1:36" s="700" customFormat="1" ht="12.75" customHeight="1">
      <c r="A2381" s="866" t="s">
        <v>206</v>
      </c>
      <c r="B2381" s="866" t="s">
        <v>408</v>
      </c>
      <c r="C2381" s="860" t="s">
        <v>1440</v>
      </c>
      <c r="D2381" s="860"/>
      <c r="E2381" s="956">
        <v>218663</v>
      </c>
      <c r="F2381" s="845">
        <v>1</v>
      </c>
      <c r="G2381" s="1025"/>
      <c r="H2381" s="690"/>
      <c r="I2381" s="1030"/>
      <c r="J2381" s="690"/>
      <c r="K2381" s="1030"/>
      <c r="L2381" s="690"/>
      <c r="M2381" s="1025"/>
      <c r="N2381" s="1030"/>
      <c r="O2381" s="692">
        <f t="shared" si="309"/>
        <v>0</v>
      </c>
      <c r="P2381" s="690"/>
      <c r="Q2381" s="690"/>
      <c r="R2381" s="691">
        <f t="shared" si="310"/>
        <v>0</v>
      </c>
      <c r="S2381" s="692">
        <f t="shared" si="311"/>
        <v>0</v>
      </c>
      <c r="T2381" s="693">
        <f t="shared" si="312"/>
        <v>0</v>
      </c>
      <c r="U2381" s="1035"/>
      <c r="V2381" s="690"/>
      <c r="W2381" s="1025"/>
      <c r="X2381" s="1030"/>
      <c r="Y2381" s="694">
        <f t="shared" si="313"/>
        <v>0</v>
      </c>
      <c r="Z2381" s="690"/>
      <c r="AA2381" s="690"/>
      <c r="AB2381" s="695">
        <f t="shared" si="314"/>
        <v>0</v>
      </c>
      <c r="AC2381" s="1035">
        <v>3000000</v>
      </c>
      <c r="AD2381" s="690">
        <v>0</v>
      </c>
      <c r="AE2381" s="1025"/>
      <c r="AF2381" s="1030"/>
      <c r="AG2381" s="690"/>
      <c r="AH2381" s="690"/>
      <c r="AI2381" s="696">
        <f t="shared" si="315"/>
        <v>3000000</v>
      </c>
      <c r="AJ2381" s="697">
        <f t="shared" si="316"/>
        <v>0</v>
      </c>
    </row>
    <row r="2382" spans="1:36" s="700" customFormat="1" ht="12.75" customHeight="1">
      <c r="A2382" s="866" t="s">
        <v>206</v>
      </c>
      <c r="B2382" s="866" t="s">
        <v>392</v>
      </c>
      <c r="C2382" s="955" t="s">
        <v>1441</v>
      </c>
      <c r="D2382" s="955"/>
      <c r="E2382" s="956">
        <v>218964</v>
      </c>
      <c r="F2382" s="845">
        <v>3</v>
      </c>
      <c r="G2382" s="1025">
        <v>13384409</v>
      </c>
      <c r="H2382" s="690">
        <v>10693726</v>
      </c>
      <c r="I2382" s="1030"/>
      <c r="J2382" s="690"/>
      <c r="K2382" s="1030"/>
      <c r="L2382" s="690"/>
      <c r="M2382" s="1153">
        <v>60247764</v>
      </c>
      <c r="N2382" s="1155">
        <v>6859321</v>
      </c>
      <c r="O2382" s="692">
        <f t="shared" si="309"/>
        <v>67107085</v>
      </c>
      <c r="P2382" s="1153">
        <v>62751677</v>
      </c>
      <c r="Q2382" s="1155">
        <v>6685615</v>
      </c>
      <c r="R2382" s="691">
        <f t="shared" si="310"/>
        <v>69437292</v>
      </c>
      <c r="S2382" s="692">
        <f t="shared" si="311"/>
        <v>73632173</v>
      </c>
      <c r="T2382" s="693">
        <f t="shared" si="312"/>
        <v>73445403</v>
      </c>
      <c r="U2382" s="1035"/>
      <c r="V2382" s="690"/>
      <c r="W2382" s="1025"/>
      <c r="X2382" s="1030"/>
      <c r="Y2382" s="694">
        <f t="shared" si="313"/>
        <v>0</v>
      </c>
      <c r="Z2382" s="690"/>
      <c r="AA2382" s="690"/>
      <c r="AB2382" s="695">
        <f t="shared" si="314"/>
        <v>0</v>
      </c>
      <c r="AC2382" s="1035"/>
      <c r="AD2382" s="690"/>
      <c r="AE2382" s="1025"/>
      <c r="AF2382" s="1030"/>
      <c r="AG2382" s="690"/>
      <c r="AH2382" s="690"/>
      <c r="AI2382" s="696">
        <f t="shared" si="315"/>
        <v>73632173</v>
      </c>
      <c r="AJ2382" s="697">
        <f t="shared" si="316"/>
        <v>73445403</v>
      </c>
    </row>
    <row r="2383" spans="1:36" s="700" customFormat="1" ht="12.75" customHeight="1">
      <c r="A2383" s="866" t="s">
        <v>206</v>
      </c>
      <c r="B2383" s="866" t="s">
        <v>392</v>
      </c>
      <c r="C2383" s="860" t="s">
        <v>1414</v>
      </c>
      <c r="D2383" s="860"/>
      <c r="E2383" s="956">
        <v>218964</v>
      </c>
      <c r="F2383" s="845">
        <v>3</v>
      </c>
      <c r="G2383" s="1025">
        <v>2878365</v>
      </c>
      <c r="H2383" s="690">
        <v>2318191</v>
      </c>
      <c r="I2383" s="1030"/>
      <c r="J2383" s="690"/>
      <c r="K2383" s="1030"/>
      <c r="L2383" s="690"/>
      <c r="M2383" s="1156"/>
      <c r="N2383" s="1157"/>
      <c r="O2383" s="692">
        <f t="shared" si="309"/>
        <v>0</v>
      </c>
      <c r="P2383" s="690"/>
      <c r="Q2383" s="690"/>
      <c r="R2383" s="691">
        <f t="shared" si="310"/>
        <v>0</v>
      </c>
      <c r="S2383" s="692">
        <f t="shared" si="311"/>
        <v>2878365</v>
      </c>
      <c r="T2383" s="693">
        <f t="shared" si="312"/>
        <v>2318191</v>
      </c>
      <c r="U2383" s="1035"/>
      <c r="V2383" s="690"/>
      <c r="W2383" s="1025"/>
      <c r="X2383" s="1030"/>
      <c r="Y2383" s="694">
        <f t="shared" si="313"/>
        <v>0</v>
      </c>
      <c r="Z2383" s="690"/>
      <c r="AA2383" s="690"/>
      <c r="AB2383" s="695">
        <f t="shared" si="314"/>
        <v>0</v>
      </c>
      <c r="AC2383" s="1035"/>
      <c r="AD2383" s="690"/>
      <c r="AE2383" s="1025"/>
      <c r="AF2383" s="1030"/>
      <c r="AG2383" s="690"/>
      <c r="AH2383" s="690"/>
      <c r="AI2383" s="696">
        <f t="shared" si="315"/>
        <v>2878365</v>
      </c>
      <c r="AJ2383" s="697">
        <f t="shared" si="316"/>
        <v>2318191</v>
      </c>
    </row>
    <row r="2384" spans="1:36" s="700" customFormat="1" ht="12.75" customHeight="1">
      <c r="A2384" s="866" t="s">
        <v>206</v>
      </c>
      <c r="B2384" s="866" t="s">
        <v>400</v>
      </c>
      <c r="C2384" s="859" t="s">
        <v>1418</v>
      </c>
      <c r="D2384" s="859"/>
      <c r="E2384" s="956">
        <v>218964</v>
      </c>
      <c r="F2384" s="845">
        <v>3</v>
      </c>
      <c r="G2384" s="1025"/>
      <c r="H2384" s="690"/>
      <c r="I2384" s="1030"/>
      <c r="J2384" s="690"/>
      <c r="K2384" s="1030"/>
      <c r="L2384" s="690"/>
      <c r="M2384" s="1156"/>
      <c r="N2384" s="1157"/>
      <c r="O2384" s="692">
        <f t="shared" si="309"/>
        <v>0</v>
      </c>
      <c r="P2384" s="690"/>
      <c r="Q2384" s="690"/>
      <c r="R2384" s="691">
        <f t="shared" si="310"/>
        <v>0</v>
      </c>
      <c r="S2384" s="692">
        <f t="shared" si="311"/>
        <v>0</v>
      </c>
      <c r="T2384" s="693">
        <f t="shared" si="312"/>
        <v>0</v>
      </c>
      <c r="U2384" s="1035"/>
      <c r="V2384" s="690"/>
      <c r="W2384" s="1025"/>
      <c r="X2384" s="1030"/>
      <c r="Y2384" s="694">
        <f t="shared" si="313"/>
        <v>0</v>
      </c>
      <c r="Z2384" s="690"/>
      <c r="AA2384" s="690"/>
      <c r="AB2384" s="695">
        <f t="shared" si="314"/>
        <v>0</v>
      </c>
      <c r="AC2384" s="1035"/>
      <c r="AD2384" s="690"/>
      <c r="AE2384" s="1025"/>
      <c r="AF2384" s="1030"/>
      <c r="AG2384" s="690"/>
      <c r="AH2384" s="690"/>
      <c r="AI2384" s="696">
        <f t="shared" si="315"/>
        <v>0</v>
      </c>
      <c r="AJ2384" s="697">
        <f t="shared" si="316"/>
        <v>0</v>
      </c>
    </row>
    <row r="2385" spans="1:36" s="700" customFormat="1" ht="12.75" customHeight="1">
      <c r="A2385" s="866" t="s">
        <v>206</v>
      </c>
      <c r="B2385" s="866" t="s">
        <v>400</v>
      </c>
      <c r="C2385" s="860" t="s">
        <v>1422</v>
      </c>
      <c r="D2385" s="860"/>
      <c r="E2385" s="956">
        <v>218964</v>
      </c>
      <c r="F2385" s="845">
        <v>3</v>
      </c>
      <c r="G2385" s="1025"/>
      <c r="H2385" s="690"/>
      <c r="I2385" s="1030">
        <v>11202</v>
      </c>
      <c r="J2385" s="690">
        <v>0</v>
      </c>
      <c r="K2385" s="1030"/>
      <c r="L2385" s="690"/>
      <c r="M2385" s="1156"/>
      <c r="N2385" s="1157"/>
      <c r="O2385" s="692">
        <f t="shared" si="309"/>
        <v>0</v>
      </c>
      <c r="P2385" s="690"/>
      <c r="Q2385" s="690"/>
      <c r="R2385" s="691">
        <f t="shared" si="310"/>
        <v>0</v>
      </c>
      <c r="S2385" s="692">
        <f t="shared" si="311"/>
        <v>11202</v>
      </c>
      <c r="T2385" s="693">
        <f t="shared" si="312"/>
        <v>0</v>
      </c>
      <c r="U2385" s="1035"/>
      <c r="V2385" s="690"/>
      <c r="W2385" s="1025"/>
      <c r="X2385" s="1030"/>
      <c r="Y2385" s="694">
        <f t="shared" si="313"/>
        <v>0</v>
      </c>
      <c r="Z2385" s="690"/>
      <c r="AA2385" s="690"/>
      <c r="AB2385" s="695">
        <f t="shared" si="314"/>
        <v>0</v>
      </c>
      <c r="AC2385" s="1035"/>
      <c r="AD2385" s="690"/>
      <c r="AE2385" s="1025"/>
      <c r="AF2385" s="1030"/>
      <c r="AG2385" s="690"/>
      <c r="AH2385" s="690"/>
      <c r="AI2385" s="696">
        <f t="shared" si="315"/>
        <v>11202</v>
      </c>
      <c r="AJ2385" s="697">
        <f t="shared" si="316"/>
        <v>0</v>
      </c>
    </row>
    <row r="2386" spans="1:36" s="700" customFormat="1" ht="12.75" customHeight="1">
      <c r="A2386" s="866" t="s">
        <v>206</v>
      </c>
      <c r="B2386" s="866" t="s">
        <v>400</v>
      </c>
      <c r="C2386" s="860" t="s">
        <v>1423</v>
      </c>
      <c r="D2386" s="860"/>
      <c r="E2386" s="956">
        <v>218964</v>
      </c>
      <c r="F2386" s="845">
        <v>3</v>
      </c>
      <c r="G2386" s="1025"/>
      <c r="H2386" s="690"/>
      <c r="I2386" s="1030">
        <v>18390</v>
      </c>
      <c r="J2386" s="690">
        <v>8829</v>
      </c>
      <c r="K2386" s="1030"/>
      <c r="L2386" s="690"/>
      <c r="M2386" s="1156"/>
      <c r="N2386" s="1157"/>
      <c r="O2386" s="692">
        <f t="shared" si="309"/>
        <v>0</v>
      </c>
      <c r="P2386" s="690"/>
      <c r="Q2386" s="690"/>
      <c r="R2386" s="691">
        <f t="shared" si="310"/>
        <v>0</v>
      </c>
      <c r="S2386" s="692">
        <f t="shared" si="311"/>
        <v>18390</v>
      </c>
      <c r="T2386" s="693">
        <f t="shared" si="312"/>
        <v>8829</v>
      </c>
      <c r="U2386" s="1035"/>
      <c r="V2386" s="690"/>
      <c r="W2386" s="1025"/>
      <c r="X2386" s="1030"/>
      <c r="Y2386" s="694">
        <f t="shared" si="313"/>
        <v>0</v>
      </c>
      <c r="Z2386" s="690"/>
      <c r="AA2386" s="690"/>
      <c r="AB2386" s="695">
        <f t="shared" si="314"/>
        <v>0</v>
      </c>
      <c r="AC2386" s="1035"/>
      <c r="AD2386" s="690"/>
      <c r="AE2386" s="1025"/>
      <c r="AF2386" s="1030"/>
      <c r="AG2386" s="690"/>
      <c r="AH2386" s="690"/>
      <c r="AI2386" s="696">
        <f t="shared" si="315"/>
        <v>18390</v>
      </c>
      <c r="AJ2386" s="697">
        <f t="shared" si="316"/>
        <v>8829</v>
      </c>
    </row>
    <row r="2387" spans="1:36" s="700" customFormat="1" ht="12.75" customHeight="1">
      <c r="A2387" s="866" t="s">
        <v>206</v>
      </c>
      <c r="B2387" s="866" t="s">
        <v>400</v>
      </c>
      <c r="C2387" s="860" t="s">
        <v>1442</v>
      </c>
      <c r="D2387" s="860"/>
      <c r="E2387" s="956">
        <v>218964</v>
      </c>
      <c r="F2387" s="845">
        <v>3</v>
      </c>
      <c r="G2387" s="1025"/>
      <c r="H2387" s="690"/>
      <c r="I2387" s="1030">
        <v>695348</v>
      </c>
      <c r="J2387" s="690">
        <v>391159</v>
      </c>
      <c r="K2387" s="1030"/>
      <c r="L2387" s="690"/>
      <c r="M2387" s="1156"/>
      <c r="N2387" s="1157"/>
      <c r="O2387" s="692">
        <f t="shared" si="309"/>
        <v>0</v>
      </c>
      <c r="P2387" s="690"/>
      <c r="Q2387" s="690"/>
      <c r="R2387" s="691">
        <f t="shared" si="310"/>
        <v>0</v>
      </c>
      <c r="S2387" s="692">
        <f t="shared" si="311"/>
        <v>695348</v>
      </c>
      <c r="T2387" s="693">
        <f t="shared" si="312"/>
        <v>391159</v>
      </c>
      <c r="U2387" s="1035"/>
      <c r="V2387" s="690"/>
      <c r="W2387" s="1025"/>
      <c r="X2387" s="1030"/>
      <c r="Y2387" s="694">
        <f t="shared" si="313"/>
        <v>0</v>
      </c>
      <c r="Z2387" s="690"/>
      <c r="AA2387" s="690"/>
      <c r="AB2387" s="695">
        <f t="shared" si="314"/>
        <v>0</v>
      </c>
      <c r="AC2387" s="1035"/>
      <c r="AD2387" s="690"/>
      <c r="AE2387" s="1025"/>
      <c r="AF2387" s="1030"/>
      <c r="AG2387" s="690"/>
      <c r="AH2387" s="690"/>
      <c r="AI2387" s="696">
        <f t="shared" si="315"/>
        <v>695348</v>
      </c>
      <c r="AJ2387" s="697">
        <f t="shared" si="316"/>
        <v>391159</v>
      </c>
    </row>
    <row r="2388" spans="1:36" s="700" customFormat="1" ht="12.75" customHeight="1">
      <c r="A2388" s="866" t="s">
        <v>206</v>
      </c>
      <c r="B2388" s="866" t="s">
        <v>392</v>
      </c>
      <c r="C2388" s="955" t="s">
        <v>1443</v>
      </c>
      <c r="D2388" s="955"/>
      <c r="E2388" s="956">
        <v>217819</v>
      </c>
      <c r="F2388" s="845">
        <v>3</v>
      </c>
      <c r="G2388" s="1025">
        <v>19748698</v>
      </c>
      <c r="H2388" s="690">
        <v>15608636</v>
      </c>
      <c r="I2388" s="1030"/>
      <c r="J2388" s="690"/>
      <c r="K2388" s="1030"/>
      <c r="L2388" s="690"/>
      <c r="M2388" s="1153">
        <v>126031161.65647319</v>
      </c>
      <c r="N2388" s="1155">
        <v>5260742</v>
      </c>
      <c r="O2388" s="692">
        <f t="shared" si="309"/>
        <v>131291903.65647319</v>
      </c>
      <c r="P2388" s="818">
        <v>137129721</v>
      </c>
      <c r="Q2388" s="818">
        <v>5442283</v>
      </c>
      <c r="R2388" s="691">
        <f t="shared" si="310"/>
        <v>142572004</v>
      </c>
      <c r="S2388" s="692">
        <f t="shared" si="311"/>
        <v>145779859.65647319</v>
      </c>
      <c r="T2388" s="693">
        <f t="shared" si="312"/>
        <v>152738357</v>
      </c>
      <c r="U2388" s="1035"/>
      <c r="V2388" s="690"/>
      <c r="W2388" s="1025"/>
      <c r="X2388" s="1030"/>
      <c r="Y2388" s="694">
        <f t="shared" si="313"/>
        <v>0</v>
      </c>
      <c r="Z2388" s="690"/>
      <c r="AA2388" s="690"/>
      <c r="AB2388" s="695">
        <f t="shared" si="314"/>
        <v>0</v>
      </c>
      <c r="AC2388" s="1035"/>
      <c r="AD2388" s="690"/>
      <c r="AE2388" s="1025"/>
      <c r="AF2388" s="1030"/>
      <c r="AG2388" s="690"/>
      <c r="AH2388" s="690"/>
      <c r="AI2388" s="696">
        <f t="shared" si="315"/>
        <v>145779859.65647319</v>
      </c>
      <c r="AJ2388" s="697">
        <f t="shared" si="316"/>
        <v>152738357</v>
      </c>
    </row>
    <row r="2389" spans="1:36" s="700" customFormat="1" ht="12.75" customHeight="1">
      <c r="A2389" s="866" t="s">
        <v>206</v>
      </c>
      <c r="B2389" s="866" t="s">
        <v>392</v>
      </c>
      <c r="C2389" s="860" t="s">
        <v>1414</v>
      </c>
      <c r="D2389" s="860"/>
      <c r="E2389" s="956">
        <v>217819</v>
      </c>
      <c r="F2389" s="845">
        <v>3</v>
      </c>
      <c r="G2389" s="1025">
        <v>4003809</v>
      </c>
      <c r="H2389" s="690">
        <v>3364108</v>
      </c>
      <c r="I2389" s="1030"/>
      <c r="J2389" s="690"/>
      <c r="K2389" s="1030"/>
      <c r="L2389" s="690"/>
      <c r="M2389" s="1156"/>
      <c r="N2389" s="1157"/>
      <c r="O2389" s="692">
        <f t="shared" si="309"/>
        <v>0</v>
      </c>
      <c r="P2389" s="690"/>
      <c r="Q2389" s="690"/>
      <c r="R2389" s="691">
        <f t="shared" si="310"/>
        <v>0</v>
      </c>
      <c r="S2389" s="692">
        <f t="shared" si="311"/>
        <v>4003809</v>
      </c>
      <c r="T2389" s="693">
        <f t="shared" si="312"/>
        <v>3364108</v>
      </c>
      <c r="U2389" s="1035"/>
      <c r="V2389" s="690"/>
      <c r="W2389" s="1025"/>
      <c r="X2389" s="1030"/>
      <c r="Y2389" s="694">
        <f t="shared" si="313"/>
        <v>0</v>
      </c>
      <c r="Z2389" s="690"/>
      <c r="AA2389" s="690"/>
      <c r="AB2389" s="695">
        <f t="shared" si="314"/>
        <v>0</v>
      </c>
      <c r="AC2389" s="1035"/>
      <c r="AD2389" s="690"/>
      <c r="AE2389" s="1025"/>
      <c r="AF2389" s="1030"/>
      <c r="AG2389" s="690"/>
      <c r="AH2389" s="690"/>
      <c r="AI2389" s="696">
        <f t="shared" si="315"/>
        <v>4003809</v>
      </c>
      <c r="AJ2389" s="697">
        <f t="shared" si="316"/>
        <v>3364108</v>
      </c>
    </row>
    <row r="2390" spans="1:36" s="700" customFormat="1" ht="12.75" customHeight="1">
      <c r="A2390" s="866" t="s">
        <v>206</v>
      </c>
      <c r="B2390" s="866" t="s">
        <v>394</v>
      </c>
      <c r="C2390" s="957" t="s">
        <v>451</v>
      </c>
      <c r="D2390" s="957"/>
      <c r="E2390" s="956">
        <v>217819</v>
      </c>
      <c r="F2390" s="845">
        <v>3</v>
      </c>
      <c r="G2390" s="1025"/>
      <c r="H2390" s="690"/>
      <c r="I2390" s="1030"/>
      <c r="J2390" s="690"/>
      <c r="K2390" s="1030"/>
      <c r="L2390" s="690"/>
      <c r="M2390" s="1156"/>
      <c r="N2390" s="1157"/>
      <c r="O2390" s="692">
        <f t="shared" si="309"/>
        <v>0</v>
      </c>
      <c r="P2390" s="690"/>
      <c r="Q2390" s="690"/>
      <c r="R2390" s="691">
        <f t="shared" si="310"/>
        <v>0</v>
      </c>
      <c r="S2390" s="692">
        <f t="shared" si="311"/>
        <v>0</v>
      </c>
      <c r="T2390" s="693">
        <f t="shared" si="312"/>
        <v>0</v>
      </c>
      <c r="U2390" s="1035"/>
      <c r="V2390" s="690"/>
      <c r="W2390" s="1025"/>
      <c r="X2390" s="1030"/>
      <c r="Y2390" s="694">
        <f t="shared" si="313"/>
        <v>0</v>
      </c>
      <c r="Z2390" s="690"/>
      <c r="AA2390" s="690"/>
      <c r="AB2390" s="695">
        <f t="shared" si="314"/>
        <v>0</v>
      </c>
      <c r="AC2390" s="1035"/>
      <c r="AD2390" s="690"/>
      <c r="AE2390" s="1025"/>
      <c r="AF2390" s="1030"/>
      <c r="AG2390" s="690"/>
      <c r="AH2390" s="690"/>
      <c r="AI2390" s="696">
        <f t="shared" si="315"/>
        <v>0</v>
      </c>
      <c r="AJ2390" s="697">
        <f t="shared" si="316"/>
        <v>0</v>
      </c>
    </row>
    <row r="2391" spans="1:36" s="700" customFormat="1" ht="12.75" customHeight="1">
      <c r="A2391" s="866" t="s">
        <v>206</v>
      </c>
      <c r="B2391" s="866" t="s">
        <v>399</v>
      </c>
      <c r="C2391" s="957" t="s">
        <v>441</v>
      </c>
      <c r="D2391" s="957"/>
      <c r="E2391" s="956">
        <v>217819</v>
      </c>
      <c r="F2391" s="845">
        <v>3</v>
      </c>
      <c r="G2391" s="1025"/>
      <c r="H2391" s="690"/>
      <c r="I2391" s="1030"/>
      <c r="J2391" s="690"/>
      <c r="K2391" s="1030"/>
      <c r="L2391" s="690"/>
      <c r="M2391" s="1156"/>
      <c r="N2391" s="1157"/>
      <c r="O2391" s="692">
        <f t="shared" si="309"/>
        <v>0</v>
      </c>
      <c r="P2391" s="690"/>
      <c r="Q2391" s="690"/>
      <c r="R2391" s="691">
        <f t="shared" si="310"/>
        <v>0</v>
      </c>
      <c r="S2391" s="692">
        <f t="shared" si="311"/>
        <v>0</v>
      </c>
      <c r="T2391" s="693">
        <f t="shared" si="312"/>
        <v>0</v>
      </c>
      <c r="U2391" s="1035"/>
      <c r="V2391" s="690"/>
      <c r="W2391" s="1025"/>
      <c r="X2391" s="1030"/>
      <c r="Y2391" s="694">
        <f t="shared" si="313"/>
        <v>0</v>
      </c>
      <c r="Z2391" s="690"/>
      <c r="AA2391" s="690"/>
      <c r="AB2391" s="695">
        <f t="shared" si="314"/>
        <v>0</v>
      </c>
      <c r="AC2391" s="1035"/>
      <c r="AD2391" s="690"/>
      <c r="AE2391" s="1025"/>
      <c r="AF2391" s="1030"/>
      <c r="AG2391" s="690"/>
      <c r="AH2391" s="690"/>
      <c r="AI2391" s="696">
        <f t="shared" si="315"/>
        <v>0</v>
      </c>
      <c r="AJ2391" s="697">
        <f t="shared" si="316"/>
        <v>0</v>
      </c>
    </row>
    <row r="2392" spans="1:36" s="700" customFormat="1" ht="12.75" customHeight="1">
      <c r="A2392" s="866" t="s">
        <v>206</v>
      </c>
      <c r="B2392" s="866" t="s">
        <v>400</v>
      </c>
      <c r="C2392" s="859" t="s">
        <v>1418</v>
      </c>
      <c r="D2392" s="859"/>
      <c r="E2392" s="956">
        <v>217819</v>
      </c>
      <c r="F2392" s="845">
        <v>3</v>
      </c>
      <c r="G2392" s="1025"/>
      <c r="H2392" s="690"/>
      <c r="I2392" s="1030"/>
      <c r="J2392" s="690"/>
      <c r="K2392" s="1030"/>
      <c r="L2392" s="690"/>
      <c r="M2392" s="1156"/>
      <c r="N2392" s="1157"/>
      <c r="O2392" s="692">
        <f t="shared" si="309"/>
        <v>0</v>
      </c>
      <c r="P2392" s="690"/>
      <c r="Q2392" s="690"/>
      <c r="R2392" s="691">
        <f t="shared" si="310"/>
        <v>0</v>
      </c>
      <c r="S2392" s="692">
        <f t="shared" si="311"/>
        <v>0</v>
      </c>
      <c r="T2392" s="693">
        <f t="shared" si="312"/>
        <v>0</v>
      </c>
      <c r="U2392" s="1035"/>
      <c r="V2392" s="690"/>
      <c r="W2392" s="1025"/>
      <c r="X2392" s="1030"/>
      <c r="Y2392" s="694">
        <f t="shared" si="313"/>
        <v>0</v>
      </c>
      <c r="Z2392" s="690"/>
      <c r="AA2392" s="690"/>
      <c r="AB2392" s="695">
        <f t="shared" si="314"/>
        <v>0</v>
      </c>
      <c r="AC2392" s="1035"/>
      <c r="AD2392" s="690"/>
      <c r="AE2392" s="1025"/>
      <c r="AF2392" s="1030"/>
      <c r="AG2392" s="690"/>
      <c r="AH2392" s="690"/>
      <c r="AI2392" s="696">
        <f t="shared" si="315"/>
        <v>0</v>
      </c>
      <c r="AJ2392" s="697">
        <f t="shared" si="316"/>
        <v>0</v>
      </c>
    </row>
    <row r="2393" spans="1:36" s="700" customFormat="1" ht="12.75" customHeight="1">
      <c r="A2393" s="866" t="s">
        <v>206</v>
      </c>
      <c r="B2393" s="866" t="s">
        <v>400</v>
      </c>
      <c r="C2393" s="860" t="s">
        <v>1422</v>
      </c>
      <c r="D2393" s="860"/>
      <c r="E2393" s="956">
        <v>217819</v>
      </c>
      <c r="F2393" s="845">
        <v>3</v>
      </c>
      <c r="G2393" s="1025"/>
      <c r="H2393" s="690"/>
      <c r="I2393" s="1030">
        <v>14762</v>
      </c>
      <c r="J2393" s="690">
        <v>0</v>
      </c>
      <c r="K2393" s="1030"/>
      <c r="L2393" s="690"/>
      <c r="M2393" s="1156"/>
      <c r="N2393" s="1157"/>
      <c r="O2393" s="692">
        <f t="shared" si="309"/>
        <v>0</v>
      </c>
      <c r="P2393" s="690"/>
      <c r="Q2393" s="690"/>
      <c r="R2393" s="691">
        <f t="shared" si="310"/>
        <v>0</v>
      </c>
      <c r="S2393" s="692">
        <f t="shared" si="311"/>
        <v>14762</v>
      </c>
      <c r="T2393" s="693">
        <f t="shared" si="312"/>
        <v>0</v>
      </c>
      <c r="U2393" s="1035"/>
      <c r="V2393" s="690"/>
      <c r="W2393" s="1025"/>
      <c r="X2393" s="1030"/>
      <c r="Y2393" s="694">
        <f t="shared" si="313"/>
        <v>0</v>
      </c>
      <c r="Z2393" s="690"/>
      <c r="AA2393" s="690"/>
      <c r="AB2393" s="695">
        <f t="shared" si="314"/>
        <v>0</v>
      </c>
      <c r="AC2393" s="1035"/>
      <c r="AD2393" s="690"/>
      <c r="AE2393" s="1025"/>
      <c r="AF2393" s="1030"/>
      <c r="AG2393" s="690"/>
      <c r="AH2393" s="690"/>
      <c r="AI2393" s="696">
        <f t="shared" si="315"/>
        <v>14762</v>
      </c>
      <c r="AJ2393" s="697">
        <f t="shared" si="316"/>
        <v>0</v>
      </c>
    </row>
    <row r="2394" spans="1:36" s="700" customFormat="1" ht="12.75" customHeight="1">
      <c r="A2394" s="866" t="s">
        <v>206</v>
      </c>
      <c r="B2394" s="866" t="s">
        <v>400</v>
      </c>
      <c r="C2394" s="860" t="s">
        <v>1423</v>
      </c>
      <c r="D2394" s="860"/>
      <c r="E2394" s="956">
        <v>217819</v>
      </c>
      <c r="F2394" s="845">
        <v>3</v>
      </c>
      <c r="G2394" s="1025"/>
      <c r="H2394" s="690"/>
      <c r="I2394" s="1030">
        <v>18424</v>
      </c>
      <c r="J2394" s="690">
        <v>9554</v>
      </c>
      <c r="K2394" s="1030"/>
      <c r="L2394" s="690"/>
      <c r="M2394" s="1156"/>
      <c r="N2394" s="1157"/>
      <c r="O2394" s="692">
        <f t="shared" si="309"/>
        <v>0</v>
      </c>
      <c r="P2394" s="690"/>
      <c r="Q2394" s="690"/>
      <c r="R2394" s="691">
        <f t="shared" si="310"/>
        <v>0</v>
      </c>
      <c r="S2394" s="692">
        <f t="shared" si="311"/>
        <v>18424</v>
      </c>
      <c r="T2394" s="693">
        <f t="shared" si="312"/>
        <v>9554</v>
      </c>
      <c r="U2394" s="1035"/>
      <c r="V2394" s="690"/>
      <c r="W2394" s="1025"/>
      <c r="X2394" s="1030"/>
      <c r="Y2394" s="694">
        <f t="shared" si="313"/>
        <v>0</v>
      </c>
      <c r="Z2394" s="690"/>
      <c r="AA2394" s="690"/>
      <c r="AB2394" s="695">
        <f t="shared" si="314"/>
        <v>0</v>
      </c>
      <c r="AC2394" s="1035"/>
      <c r="AD2394" s="690"/>
      <c r="AE2394" s="1025"/>
      <c r="AF2394" s="1030"/>
      <c r="AG2394" s="690"/>
      <c r="AH2394" s="690"/>
      <c r="AI2394" s="696">
        <f t="shared" si="315"/>
        <v>18424</v>
      </c>
      <c r="AJ2394" s="697">
        <f t="shared" si="316"/>
        <v>9554</v>
      </c>
    </row>
    <row r="2395" spans="1:36" s="700" customFormat="1" ht="12.75" customHeight="1">
      <c r="A2395" s="866" t="s">
        <v>206</v>
      </c>
      <c r="B2395" s="866" t="s">
        <v>400</v>
      </c>
      <c r="C2395" s="860" t="s">
        <v>1442</v>
      </c>
      <c r="D2395" s="860"/>
      <c r="E2395" s="956">
        <v>217819</v>
      </c>
      <c r="F2395" s="845">
        <v>3</v>
      </c>
      <c r="G2395" s="1025"/>
      <c r="H2395" s="690"/>
      <c r="I2395" s="1030">
        <v>1108157</v>
      </c>
      <c r="J2395" s="690">
        <v>628272</v>
      </c>
      <c r="K2395" s="1030"/>
      <c r="L2395" s="690"/>
      <c r="M2395" s="1156"/>
      <c r="N2395" s="1157"/>
      <c r="O2395" s="692">
        <f t="shared" si="309"/>
        <v>0</v>
      </c>
      <c r="P2395" s="690"/>
      <c r="Q2395" s="690"/>
      <c r="R2395" s="691">
        <f t="shared" si="310"/>
        <v>0</v>
      </c>
      <c r="S2395" s="692">
        <f t="shared" si="311"/>
        <v>1108157</v>
      </c>
      <c r="T2395" s="693">
        <f t="shared" si="312"/>
        <v>628272</v>
      </c>
      <c r="U2395" s="1035"/>
      <c r="V2395" s="690"/>
      <c r="W2395" s="1025"/>
      <c r="X2395" s="1030"/>
      <c r="Y2395" s="694">
        <f t="shared" si="313"/>
        <v>0</v>
      </c>
      <c r="Z2395" s="690"/>
      <c r="AA2395" s="690"/>
      <c r="AB2395" s="695">
        <f t="shared" si="314"/>
        <v>0</v>
      </c>
      <c r="AC2395" s="1035"/>
      <c r="AD2395" s="690"/>
      <c r="AE2395" s="1025"/>
      <c r="AF2395" s="1030"/>
      <c r="AG2395" s="690"/>
      <c r="AH2395" s="690"/>
      <c r="AI2395" s="696">
        <f t="shared" si="315"/>
        <v>1108157</v>
      </c>
      <c r="AJ2395" s="697">
        <f t="shared" si="316"/>
        <v>628272</v>
      </c>
    </row>
    <row r="2396" spans="1:36" s="700" customFormat="1" ht="12.75" customHeight="1">
      <c r="A2396" s="866" t="s">
        <v>206</v>
      </c>
      <c r="B2396" s="866" t="s">
        <v>392</v>
      </c>
      <c r="C2396" s="955" t="s">
        <v>1444</v>
      </c>
      <c r="D2396" s="955"/>
      <c r="E2396" s="956">
        <v>217864</v>
      </c>
      <c r="F2396" s="845">
        <v>4</v>
      </c>
      <c r="G2396" s="1025">
        <v>9437317</v>
      </c>
      <c r="H2396" s="690">
        <v>7475357</v>
      </c>
      <c r="I2396" s="1030"/>
      <c r="J2396" s="690"/>
      <c r="K2396" s="1030"/>
      <c r="L2396" s="690"/>
      <c r="M2396" s="1153">
        <v>37953448</v>
      </c>
      <c r="N2396" s="1155">
        <v>681467</v>
      </c>
      <c r="O2396" s="692">
        <f t="shared" si="309"/>
        <v>38634915</v>
      </c>
      <c r="P2396" s="818">
        <v>42355789</v>
      </c>
      <c r="Q2396" s="818">
        <v>686640</v>
      </c>
      <c r="R2396" s="691">
        <f t="shared" si="310"/>
        <v>43042429</v>
      </c>
      <c r="S2396" s="692">
        <f t="shared" si="311"/>
        <v>47390765</v>
      </c>
      <c r="T2396" s="693">
        <f t="shared" si="312"/>
        <v>49831146</v>
      </c>
      <c r="U2396" s="1035"/>
      <c r="V2396" s="690"/>
      <c r="W2396" s="1025"/>
      <c r="X2396" s="1030"/>
      <c r="Y2396" s="694">
        <f t="shared" si="313"/>
        <v>0</v>
      </c>
      <c r="Z2396" s="690"/>
      <c r="AA2396" s="690"/>
      <c r="AB2396" s="695">
        <f t="shared" si="314"/>
        <v>0</v>
      </c>
      <c r="AC2396" s="1035"/>
      <c r="AD2396" s="690"/>
      <c r="AE2396" s="1025"/>
      <c r="AF2396" s="1030"/>
      <c r="AG2396" s="690"/>
      <c r="AH2396" s="690"/>
      <c r="AI2396" s="696">
        <f t="shared" si="315"/>
        <v>47390765</v>
      </c>
      <c r="AJ2396" s="697">
        <f t="shared" si="316"/>
        <v>49831146</v>
      </c>
    </row>
    <row r="2397" spans="1:36" s="700" customFormat="1" ht="12.75" customHeight="1">
      <c r="A2397" s="866" t="s">
        <v>206</v>
      </c>
      <c r="B2397" s="866" t="s">
        <v>392</v>
      </c>
      <c r="C2397" s="860" t="s">
        <v>1414</v>
      </c>
      <c r="D2397" s="860"/>
      <c r="E2397" s="956">
        <v>217864</v>
      </c>
      <c r="F2397" s="845">
        <v>4</v>
      </c>
      <c r="G2397" s="1025">
        <v>1818907</v>
      </c>
      <c r="H2397" s="690">
        <v>1517044</v>
      </c>
      <c r="I2397" s="1030"/>
      <c r="J2397" s="690"/>
      <c r="K2397" s="1030"/>
      <c r="L2397" s="690"/>
      <c r="M2397" s="1156"/>
      <c r="N2397" s="1157"/>
      <c r="O2397" s="692">
        <f t="shared" si="309"/>
        <v>0</v>
      </c>
      <c r="P2397" s="690"/>
      <c r="Q2397" s="690"/>
      <c r="R2397" s="691">
        <f t="shared" si="310"/>
        <v>0</v>
      </c>
      <c r="S2397" s="692">
        <f t="shared" si="311"/>
        <v>1818907</v>
      </c>
      <c r="T2397" s="693">
        <f t="shared" si="312"/>
        <v>1517044</v>
      </c>
      <c r="U2397" s="1035"/>
      <c r="V2397" s="690"/>
      <c r="W2397" s="1025"/>
      <c r="X2397" s="1030"/>
      <c r="Y2397" s="694">
        <f t="shared" si="313"/>
        <v>0</v>
      </c>
      <c r="Z2397" s="690"/>
      <c r="AA2397" s="690"/>
      <c r="AB2397" s="695">
        <f t="shared" si="314"/>
        <v>0</v>
      </c>
      <c r="AC2397" s="1035"/>
      <c r="AD2397" s="690"/>
      <c r="AE2397" s="1025"/>
      <c r="AF2397" s="1030"/>
      <c r="AG2397" s="690"/>
      <c r="AH2397" s="690"/>
      <c r="AI2397" s="696">
        <f t="shared" si="315"/>
        <v>1818907</v>
      </c>
      <c r="AJ2397" s="697">
        <f t="shared" si="316"/>
        <v>1517044</v>
      </c>
    </row>
    <row r="2398" spans="1:36" s="700" customFormat="1" ht="12.75" customHeight="1">
      <c r="A2398" s="866" t="s">
        <v>206</v>
      </c>
      <c r="B2398" s="866" t="s">
        <v>400</v>
      </c>
      <c r="C2398" s="859" t="s">
        <v>1418</v>
      </c>
      <c r="D2398" s="859"/>
      <c r="E2398" s="956">
        <v>217864</v>
      </c>
      <c r="F2398" s="845">
        <v>4</v>
      </c>
      <c r="G2398" s="1025"/>
      <c r="H2398" s="690"/>
      <c r="I2398" s="1030"/>
      <c r="J2398" s="690"/>
      <c r="K2398" s="1030"/>
      <c r="L2398" s="690"/>
      <c r="M2398" s="1156"/>
      <c r="N2398" s="1157"/>
      <c r="O2398" s="692">
        <f t="shared" si="309"/>
        <v>0</v>
      </c>
      <c r="P2398" s="690"/>
      <c r="Q2398" s="690"/>
      <c r="R2398" s="691">
        <f t="shared" si="310"/>
        <v>0</v>
      </c>
      <c r="S2398" s="692">
        <f t="shared" si="311"/>
        <v>0</v>
      </c>
      <c r="T2398" s="693">
        <f t="shared" si="312"/>
        <v>0</v>
      </c>
      <c r="U2398" s="1035"/>
      <c r="V2398" s="690"/>
      <c r="W2398" s="1025"/>
      <c r="X2398" s="1030"/>
      <c r="Y2398" s="694">
        <f t="shared" si="313"/>
        <v>0</v>
      </c>
      <c r="Z2398" s="690"/>
      <c r="AA2398" s="690"/>
      <c r="AB2398" s="695">
        <f t="shared" si="314"/>
        <v>0</v>
      </c>
      <c r="AC2398" s="1035"/>
      <c r="AD2398" s="690"/>
      <c r="AE2398" s="1025"/>
      <c r="AF2398" s="1030"/>
      <c r="AG2398" s="690"/>
      <c r="AH2398" s="690"/>
      <c r="AI2398" s="696">
        <f t="shared" si="315"/>
        <v>0</v>
      </c>
      <c r="AJ2398" s="697">
        <f t="shared" si="316"/>
        <v>0</v>
      </c>
    </row>
    <row r="2399" spans="1:36" s="700" customFormat="1" ht="12.75" customHeight="1">
      <c r="A2399" s="866" t="s">
        <v>206</v>
      </c>
      <c r="B2399" s="866" t="s">
        <v>400</v>
      </c>
      <c r="C2399" s="860" t="s">
        <v>1422</v>
      </c>
      <c r="D2399" s="860"/>
      <c r="E2399" s="956">
        <v>217864</v>
      </c>
      <c r="F2399" s="845">
        <v>4</v>
      </c>
      <c r="G2399" s="1025"/>
      <c r="H2399" s="690"/>
      <c r="I2399" s="1030">
        <v>6223</v>
      </c>
      <c r="J2399" s="690">
        <v>0</v>
      </c>
      <c r="K2399" s="1030"/>
      <c r="L2399" s="690"/>
      <c r="M2399" s="1156"/>
      <c r="N2399" s="1157"/>
      <c r="O2399" s="692">
        <f t="shared" si="309"/>
        <v>0</v>
      </c>
      <c r="P2399" s="690"/>
      <c r="Q2399" s="690"/>
      <c r="R2399" s="691">
        <f t="shared" si="310"/>
        <v>0</v>
      </c>
      <c r="S2399" s="692">
        <f t="shared" si="311"/>
        <v>6223</v>
      </c>
      <c r="T2399" s="693">
        <f t="shared" si="312"/>
        <v>0</v>
      </c>
      <c r="U2399" s="1035"/>
      <c r="V2399" s="690"/>
      <c r="W2399" s="1025"/>
      <c r="X2399" s="1030"/>
      <c r="Y2399" s="694">
        <f t="shared" si="313"/>
        <v>0</v>
      </c>
      <c r="Z2399" s="690"/>
      <c r="AA2399" s="690"/>
      <c r="AB2399" s="695">
        <f t="shared" si="314"/>
        <v>0</v>
      </c>
      <c r="AC2399" s="1035"/>
      <c r="AD2399" s="690"/>
      <c r="AE2399" s="1025"/>
      <c r="AF2399" s="1030"/>
      <c r="AG2399" s="690"/>
      <c r="AH2399" s="690"/>
      <c r="AI2399" s="696">
        <f t="shared" si="315"/>
        <v>6223</v>
      </c>
      <c r="AJ2399" s="697">
        <f t="shared" si="316"/>
        <v>0</v>
      </c>
    </row>
    <row r="2400" spans="1:36" s="700" customFormat="1" ht="12.75" customHeight="1">
      <c r="A2400" s="866" t="s">
        <v>206</v>
      </c>
      <c r="B2400" s="866" t="s">
        <v>400</v>
      </c>
      <c r="C2400" s="860" t="s">
        <v>1423</v>
      </c>
      <c r="D2400" s="860"/>
      <c r="E2400" s="956">
        <v>217864</v>
      </c>
      <c r="F2400" s="845">
        <v>4</v>
      </c>
      <c r="G2400" s="1025"/>
      <c r="H2400" s="690"/>
      <c r="I2400" s="1030">
        <v>16685</v>
      </c>
      <c r="J2400" s="690">
        <v>10020</v>
      </c>
      <c r="K2400" s="1030"/>
      <c r="L2400" s="690"/>
      <c r="M2400" s="1156"/>
      <c r="N2400" s="1157"/>
      <c r="O2400" s="692">
        <f t="shared" si="309"/>
        <v>0</v>
      </c>
      <c r="P2400" s="690"/>
      <c r="Q2400" s="690"/>
      <c r="R2400" s="691">
        <f t="shared" si="310"/>
        <v>0</v>
      </c>
      <c r="S2400" s="692">
        <f t="shared" si="311"/>
        <v>16685</v>
      </c>
      <c r="T2400" s="693">
        <f t="shared" si="312"/>
        <v>10020</v>
      </c>
      <c r="U2400" s="1035"/>
      <c r="V2400" s="690"/>
      <c r="W2400" s="1025"/>
      <c r="X2400" s="1030"/>
      <c r="Y2400" s="694">
        <f t="shared" si="313"/>
        <v>0</v>
      </c>
      <c r="Z2400" s="690"/>
      <c r="AA2400" s="690"/>
      <c r="AB2400" s="695">
        <f t="shared" si="314"/>
        <v>0</v>
      </c>
      <c r="AC2400" s="1035"/>
      <c r="AD2400" s="690"/>
      <c r="AE2400" s="1025"/>
      <c r="AF2400" s="1030"/>
      <c r="AG2400" s="690"/>
      <c r="AH2400" s="690"/>
      <c r="AI2400" s="696">
        <f t="shared" si="315"/>
        <v>16685</v>
      </c>
      <c r="AJ2400" s="697">
        <f t="shared" si="316"/>
        <v>10020</v>
      </c>
    </row>
    <row r="2401" spans="1:36" s="700" customFormat="1" ht="12.75" customHeight="1">
      <c r="A2401" s="866" t="s">
        <v>206</v>
      </c>
      <c r="B2401" s="866" t="s">
        <v>400</v>
      </c>
      <c r="C2401" s="860" t="s">
        <v>1442</v>
      </c>
      <c r="D2401" s="860"/>
      <c r="E2401" s="956">
        <v>217864</v>
      </c>
      <c r="F2401" s="845">
        <v>4</v>
      </c>
      <c r="G2401" s="1025"/>
      <c r="H2401" s="690"/>
      <c r="I2401" s="1030">
        <v>509070</v>
      </c>
      <c r="J2401" s="690">
        <v>288888</v>
      </c>
      <c r="K2401" s="1030"/>
      <c r="L2401" s="690"/>
      <c r="M2401" s="1156"/>
      <c r="N2401" s="1157"/>
      <c r="O2401" s="692">
        <f t="shared" si="309"/>
        <v>0</v>
      </c>
      <c r="P2401" s="690"/>
      <c r="Q2401" s="690"/>
      <c r="R2401" s="691">
        <f t="shared" si="310"/>
        <v>0</v>
      </c>
      <c r="S2401" s="692">
        <f t="shared" si="311"/>
        <v>509070</v>
      </c>
      <c r="T2401" s="693">
        <f t="shared" si="312"/>
        <v>288888</v>
      </c>
      <c r="U2401" s="1035"/>
      <c r="V2401" s="690"/>
      <c r="W2401" s="1025"/>
      <c r="X2401" s="1030"/>
      <c r="Y2401" s="694">
        <f t="shared" si="313"/>
        <v>0</v>
      </c>
      <c r="Z2401" s="690"/>
      <c r="AA2401" s="690"/>
      <c r="AB2401" s="695">
        <f t="shared" si="314"/>
        <v>0</v>
      </c>
      <c r="AC2401" s="1035"/>
      <c r="AD2401" s="690"/>
      <c r="AE2401" s="1025"/>
      <c r="AF2401" s="1030"/>
      <c r="AG2401" s="690"/>
      <c r="AH2401" s="690"/>
      <c r="AI2401" s="696">
        <f t="shared" si="315"/>
        <v>509070</v>
      </c>
      <c r="AJ2401" s="697">
        <f t="shared" si="316"/>
        <v>288888</v>
      </c>
    </row>
    <row r="2402" spans="1:36" s="700" customFormat="1" ht="12.75" customHeight="1">
      <c r="A2402" s="866" t="s">
        <v>206</v>
      </c>
      <c r="B2402" s="866" t="s">
        <v>392</v>
      </c>
      <c r="C2402" s="955" t="s">
        <v>1462</v>
      </c>
      <c r="D2402" s="955"/>
      <c r="E2402" s="956">
        <v>218724</v>
      </c>
      <c r="F2402" s="845">
        <v>5</v>
      </c>
      <c r="G2402" s="1025">
        <v>9612649</v>
      </c>
      <c r="H2402" s="690">
        <v>7458788</v>
      </c>
      <c r="I2402" s="1030"/>
      <c r="J2402" s="690"/>
      <c r="K2402" s="1030">
        <v>209658</v>
      </c>
      <c r="L2402" s="690">
        <v>224737</v>
      </c>
      <c r="M2402" s="1153">
        <v>93401968</v>
      </c>
      <c r="N2402" s="1155">
        <v>7092913</v>
      </c>
      <c r="O2402" s="692">
        <f t="shared" ref="O2402:O2408" si="317">SUM(M2402:N2402)</f>
        <v>100494881</v>
      </c>
      <c r="P2402" s="818">
        <v>104603689</v>
      </c>
      <c r="Q2402" s="818">
        <v>7320182</v>
      </c>
      <c r="R2402" s="691">
        <f t="shared" ref="R2402:R2408" si="318">SUM(P2402:Q2402)</f>
        <v>111923871</v>
      </c>
      <c r="S2402" s="692">
        <f t="shared" ref="S2402:S2408" si="319">SUM(G2402,I2402,K2402,M2402)</f>
        <v>103224275</v>
      </c>
      <c r="T2402" s="693">
        <f t="shared" ref="T2402:T2408" si="320">SUM(H2402,J2402,L2402,P2402)</f>
        <v>112287214</v>
      </c>
      <c r="U2402" s="1035"/>
      <c r="V2402" s="690"/>
      <c r="W2402" s="1025"/>
      <c r="X2402" s="1030"/>
      <c r="Y2402" s="694">
        <f t="shared" ref="Y2402:Y2408" si="321">SUM(W2402:X2402)</f>
        <v>0</v>
      </c>
      <c r="Z2402" s="690"/>
      <c r="AA2402" s="690"/>
      <c r="AB2402" s="695">
        <f t="shared" ref="AB2402:AB2408" si="322">SUM(Z2402:AA2402)</f>
        <v>0</v>
      </c>
      <c r="AC2402" s="1035"/>
      <c r="AD2402" s="690"/>
      <c r="AE2402" s="1025"/>
      <c r="AF2402" s="1030"/>
      <c r="AG2402" s="690"/>
      <c r="AH2402" s="690"/>
      <c r="AI2402" s="696">
        <f t="shared" ref="AI2402:AI2408" si="323">SUM(S2402,U2402,W2402,AC2402,AE2402)</f>
        <v>103224275</v>
      </c>
      <c r="AJ2402" s="697">
        <f t="shared" ref="AJ2402:AJ2408" si="324">SUM(T2402,V2402,Z2402,AD2402,AG2402)</f>
        <v>112287214</v>
      </c>
    </row>
    <row r="2403" spans="1:36" s="700" customFormat="1" ht="12.75" customHeight="1">
      <c r="A2403" s="866" t="s">
        <v>206</v>
      </c>
      <c r="B2403" s="866" t="s">
        <v>392</v>
      </c>
      <c r="C2403" s="860" t="s">
        <v>1463</v>
      </c>
      <c r="D2403" s="860"/>
      <c r="E2403" s="956">
        <v>218724</v>
      </c>
      <c r="F2403" s="845">
        <v>5</v>
      </c>
      <c r="G2403" s="1025"/>
      <c r="H2403" s="690"/>
      <c r="I2403" s="1030"/>
      <c r="J2403" s="690"/>
      <c r="K2403" s="1030"/>
      <c r="L2403" s="690"/>
      <c r="M2403" s="1156"/>
      <c r="N2403" s="1157"/>
      <c r="O2403" s="692">
        <f t="shared" si="317"/>
        <v>0</v>
      </c>
      <c r="P2403" s="690"/>
      <c r="Q2403" s="690"/>
      <c r="R2403" s="691">
        <f t="shared" si="318"/>
        <v>0</v>
      </c>
      <c r="S2403" s="692">
        <f t="shared" si="319"/>
        <v>0</v>
      </c>
      <c r="T2403" s="693">
        <f t="shared" si="320"/>
        <v>0</v>
      </c>
      <c r="U2403" s="1035"/>
      <c r="V2403" s="690"/>
      <c r="W2403" s="1025"/>
      <c r="X2403" s="1030"/>
      <c r="Y2403" s="694">
        <f t="shared" si="321"/>
        <v>0</v>
      </c>
      <c r="Z2403" s="690"/>
      <c r="AA2403" s="690"/>
      <c r="AB2403" s="695">
        <f t="shared" si="322"/>
        <v>0</v>
      </c>
      <c r="AC2403" s="1035"/>
      <c r="AD2403" s="690"/>
      <c r="AE2403" s="1025"/>
      <c r="AF2403" s="1030"/>
      <c r="AG2403" s="690"/>
      <c r="AH2403" s="690"/>
      <c r="AI2403" s="696">
        <f t="shared" si="323"/>
        <v>0</v>
      </c>
      <c r="AJ2403" s="697">
        <f t="shared" si="324"/>
        <v>0</v>
      </c>
    </row>
    <row r="2404" spans="1:36" s="700" customFormat="1" ht="12.75" customHeight="1">
      <c r="A2404" s="866" t="s">
        <v>206</v>
      </c>
      <c r="B2404" s="866" t="s">
        <v>392</v>
      </c>
      <c r="C2404" s="860" t="s">
        <v>1414</v>
      </c>
      <c r="D2404" s="860"/>
      <c r="E2404" s="1085">
        <v>218724</v>
      </c>
      <c r="F2404" s="845">
        <v>5</v>
      </c>
      <c r="G2404" s="1025">
        <v>1942680</v>
      </c>
      <c r="H2404" s="690">
        <v>1757169</v>
      </c>
      <c r="I2404" s="1030"/>
      <c r="J2404" s="690"/>
      <c r="K2404" s="1030"/>
      <c r="L2404" s="690"/>
      <c r="M2404" s="1156"/>
      <c r="N2404" s="1157"/>
      <c r="O2404" s="692">
        <f t="shared" si="317"/>
        <v>0</v>
      </c>
      <c r="P2404" s="690"/>
      <c r="Q2404" s="690"/>
      <c r="R2404" s="691">
        <f t="shared" si="318"/>
        <v>0</v>
      </c>
      <c r="S2404" s="692">
        <f t="shared" si="319"/>
        <v>1942680</v>
      </c>
      <c r="T2404" s="693">
        <f t="shared" si="320"/>
        <v>1757169</v>
      </c>
      <c r="U2404" s="1035"/>
      <c r="V2404" s="690"/>
      <c r="W2404" s="1025"/>
      <c r="X2404" s="1030"/>
      <c r="Y2404" s="694">
        <f t="shared" si="321"/>
        <v>0</v>
      </c>
      <c r="Z2404" s="690"/>
      <c r="AA2404" s="690"/>
      <c r="AB2404" s="695">
        <f t="shared" si="322"/>
        <v>0</v>
      </c>
      <c r="AC2404" s="1035"/>
      <c r="AD2404" s="690"/>
      <c r="AE2404" s="1025"/>
      <c r="AF2404" s="1030"/>
      <c r="AG2404" s="690"/>
      <c r="AH2404" s="690"/>
      <c r="AI2404" s="696">
        <f t="shared" si="323"/>
        <v>1942680</v>
      </c>
      <c r="AJ2404" s="697">
        <f t="shared" si="324"/>
        <v>1757169</v>
      </c>
    </row>
    <row r="2405" spans="1:36" s="700" customFormat="1" ht="12.75" customHeight="1">
      <c r="A2405" s="866" t="s">
        <v>206</v>
      </c>
      <c r="B2405" s="866" t="s">
        <v>400</v>
      </c>
      <c r="C2405" s="859" t="s">
        <v>1418</v>
      </c>
      <c r="D2405" s="859"/>
      <c r="E2405" s="1085">
        <v>218724</v>
      </c>
      <c r="F2405" s="845">
        <v>5</v>
      </c>
      <c r="G2405" s="1025"/>
      <c r="H2405" s="690"/>
      <c r="I2405" s="1030"/>
      <c r="J2405" s="690"/>
      <c r="K2405" s="1030"/>
      <c r="L2405" s="690"/>
      <c r="M2405" s="1156"/>
      <c r="N2405" s="1157"/>
      <c r="O2405" s="692">
        <f t="shared" si="317"/>
        <v>0</v>
      </c>
      <c r="P2405" s="690"/>
      <c r="Q2405" s="690"/>
      <c r="R2405" s="691">
        <f t="shared" si="318"/>
        <v>0</v>
      </c>
      <c r="S2405" s="692">
        <f t="shared" si="319"/>
        <v>0</v>
      </c>
      <c r="T2405" s="693">
        <f t="shared" si="320"/>
        <v>0</v>
      </c>
      <c r="U2405" s="1035"/>
      <c r="V2405" s="690"/>
      <c r="W2405" s="1025"/>
      <c r="X2405" s="1030"/>
      <c r="Y2405" s="694">
        <f t="shared" si="321"/>
        <v>0</v>
      </c>
      <c r="Z2405" s="690"/>
      <c r="AA2405" s="690"/>
      <c r="AB2405" s="695">
        <f t="shared" si="322"/>
        <v>0</v>
      </c>
      <c r="AC2405" s="1035"/>
      <c r="AD2405" s="690"/>
      <c r="AE2405" s="1025"/>
      <c r="AF2405" s="1030"/>
      <c r="AG2405" s="690"/>
      <c r="AH2405" s="690"/>
      <c r="AI2405" s="696">
        <f t="shared" si="323"/>
        <v>0</v>
      </c>
      <c r="AJ2405" s="697">
        <f t="shared" si="324"/>
        <v>0</v>
      </c>
    </row>
    <row r="2406" spans="1:36" s="700" customFormat="1" ht="12.75" customHeight="1">
      <c r="A2406" s="866" t="s">
        <v>206</v>
      </c>
      <c r="B2406" s="866" t="s">
        <v>400</v>
      </c>
      <c r="C2406" s="860" t="s">
        <v>1422</v>
      </c>
      <c r="D2406" s="860"/>
      <c r="E2406" s="956">
        <v>218724</v>
      </c>
      <c r="F2406" s="845">
        <v>5</v>
      </c>
      <c r="G2406" s="1025"/>
      <c r="H2406" s="690"/>
      <c r="I2406" s="1030">
        <v>9580</v>
      </c>
      <c r="J2406" s="690">
        <v>0</v>
      </c>
      <c r="K2406" s="1030"/>
      <c r="L2406" s="690"/>
      <c r="M2406" s="1156"/>
      <c r="N2406" s="1157"/>
      <c r="O2406" s="692">
        <f t="shared" si="317"/>
        <v>0</v>
      </c>
      <c r="P2406" s="690"/>
      <c r="Q2406" s="690"/>
      <c r="R2406" s="691">
        <f t="shared" si="318"/>
        <v>0</v>
      </c>
      <c r="S2406" s="692">
        <f t="shared" si="319"/>
        <v>9580</v>
      </c>
      <c r="T2406" s="693">
        <f t="shared" si="320"/>
        <v>0</v>
      </c>
      <c r="U2406" s="1035"/>
      <c r="V2406" s="690"/>
      <c r="W2406" s="1025"/>
      <c r="X2406" s="1030"/>
      <c r="Y2406" s="694">
        <f t="shared" si="321"/>
        <v>0</v>
      </c>
      <c r="Z2406" s="690"/>
      <c r="AA2406" s="690"/>
      <c r="AB2406" s="695">
        <f t="shared" si="322"/>
        <v>0</v>
      </c>
      <c r="AC2406" s="1035"/>
      <c r="AD2406" s="690"/>
      <c r="AE2406" s="1025"/>
      <c r="AF2406" s="1030"/>
      <c r="AG2406" s="690"/>
      <c r="AH2406" s="690"/>
      <c r="AI2406" s="696">
        <f t="shared" si="323"/>
        <v>9580</v>
      </c>
      <c r="AJ2406" s="697">
        <f t="shared" si="324"/>
        <v>0</v>
      </c>
    </row>
    <row r="2407" spans="1:36" s="700" customFormat="1" ht="12.75" customHeight="1">
      <c r="A2407" s="866" t="s">
        <v>206</v>
      </c>
      <c r="B2407" s="866" t="s">
        <v>400</v>
      </c>
      <c r="C2407" s="860" t="s">
        <v>1423</v>
      </c>
      <c r="D2407" s="860"/>
      <c r="E2407" s="956">
        <v>218724</v>
      </c>
      <c r="F2407" s="845">
        <v>5</v>
      </c>
      <c r="G2407" s="1025"/>
      <c r="H2407" s="690"/>
      <c r="I2407" s="1030">
        <v>9841</v>
      </c>
      <c r="J2407" s="690">
        <v>5767</v>
      </c>
      <c r="K2407" s="1030"/>
      <c r="L2407" s="690"/>
      <c r="M2407" s="1156"/>
      <c r="N2407" s="1157"/>
      <c r="O2407" s="692">
        <f t="shared" si="317"/>
        <v>0</v>
      </c>
      <c r="P2407" s="690"/>
      <c r="Q2407" s="690"/>
      <c r="R2407" s="691">
        <f t="shared" si="318"/>
        <v>0</v>
      </c>
      <c r="S2407" s="692">
        <f t="shared" si="319"/>
        <v>9841</v>
      </c>
      <c r="T2407" s="693">
        <f t="shared" si="320"/>
        <v>5767</v>
      </c>
      <c r="U2407" s="1035"/>
      <c r="V2407" s="690"/>
      <c r="W2407" s="1025"/>
      <c r="X2407" s="1030"/>
      <c r="Y2407" s="694">
        <f t="shared" si="321"/>
        <v>0</v>
      </c>
      <c r="Z2407" s="690"/>
      <c r="AA2407" s="690"/>
      <c r="AB2407" s="695">
        <f t="shared" si="322"/>
        <v>0</v>
      </c>
      <c r="AC2407" s="1035"/>
      <c r="AD2407" s="690"/>
      <c r="AE2407" s="1025"/>
      <c r="AF2407" s="1030"/>
      <c r="AG2407" s="690"/>
      <c r="AH2407" s="690"/>
      <c r="AI2407" s="696">
        <f t="shared" si="323"/>
        <v>9841</v>
      </c>
      <c r="AJ2407" s="697">
        <f t="shared" si="324"/>
        <v>5767</v>
      </c>
    </row>
    <row r="2408" spans="1:36" s="700" customFormat="1" ht="12.75" customHeight="1">
      <c r="A2408" s="866" t="s">
        <v>206</v>
      </c>
      <c r="B2408" s="866" t="s">
        <v>400</v>
      </c>
      <c r="C2408" s="860" t="s">
        <v>1442</v>
      </c>
      <c r="D2408" s="860"/>
      <c r="E2408" s="1085">
        <v>218724</v>
      </c>
      <c r="F2408" s="845">
        <v>5</v>
      </c>
      <c r="G2408" s="1025"/>
      <c r="H2408" s="690"/>
      <c r="I2408" s="1030">
        <v>861465</v>
      </c>
      <c r="J2408" s="690">
        <v>497499</v>
      </c>
      <c r="K2408" s="1030"/>
      <c r="L2408" s="690"/>
      <c r="M2408" s="1156"/>
      <c r="N2408" s="1157"/>
      <c r="O2408" s="692">
        <f t="shared" si="317"/>
        <v>0</v>
      </c>
      <c r="P2408" s="690"/>
      <c r="Q2408" s="690"/>
      <c r="R2408" s="691">
        <f t="shared" si="318"/>
        <v>0</v>
      </c>
      <c r="S2408" s="692">
        <f t="shared" si="319"/>
        <v>861465</v>
      </c>
      <c r="T2408" s="693">
        <f t="shared" si="320"/>
        <v>497499</v>
      </c>
      <c r="U2408" s="1035"/>
      <c r="V2408" s="690"/>
      <c r="W2408" s="1025"/>
      <c r="X2408" s="1030"/>
      <c r="Y2408" s="694">
        <f t="shared" si="321"/>
        <v>0</v>
      </c>
      <c r="Z2408" s="690"/>
      <c r="AA2408" s="690"/>
      <c r="AB2408" s="695">
        <f t="shared" si="322"/>
        <v>0</v>
      </c>
      <c r="AC2408" s="1035"/>
      <c r="AD2408" s="690"/>
      <c r="AE2408" s="1025"/>
      <c r="AF2408" s="1030"/>
      <c r="AG2408" s="690"/>
      <c r="AH2408" s="690"/>
      <c r="AI2408" s="696">
        <f t="shared" si="323"/>
        <v>861465</v>
      </c>
      <c r="AJ2408" s="697">
        <f t="shared" si="324"/>
        <v>497499</v>
      </c>
    </row>
    <row r="2409" spans="1:36" s="700" customFormat="1" ht="12.75" customHeight="1">
      <c r="A2409" s="866" t="s">
        <v>206</v>
      </c>
      <c r="B2409" s="866" t="s">
        <v>392</v>
      </c>
      <c r="C2409" s="955" t="s">
        <v>1445</v>
      </c>
      <c r="D2409" s="955"/>
      <c r="E2409" s="956">
        <v>218061</v>
      </c>
      <c r="F2409" s="845">
        <v>5</v>
      </c>
      <c r="G2409" s="1025">
        <f>11069016+5183</f>
        <v>11074199</v>
      </c>
      <c r="H2409" s="690">
        <v>8795988</v>
      </c>
      <c r="I2409" s="1030"/>
      <c r="J2409" s="690"/>
      <c r="K2409" s="1030"/>
      <c r="L2409" s="690"/>
      <c r="M2409" s="1153">
        <v>29907716</v>
      </c>
      <c r="N2409" s="1155">
        <v>0</v>
      </c>
      <c r="O2409" s="692">
        <f t="shared" si="309"/>
        <v>29907716</v>
      </c>
      <c r="P2409" s="818">
        <v>32631218</v>
      </c>
      <c r="Q2409" s="690"/>
      <c r="R2409" s="691">
        <f t="shared" si="310"/>
        <v>32631218</v>
      </c>
      <c r="S2409" s="692">
        <f t="shared" si="311"/>
        <v>40981915</v>
      </c>
      <c r="T2409" s="693">
        <f t="shared" si="312"/>
        <v>41427206</v>
      </c>
      <c r="U2409" s="1035"/>
      <c r="V2409" s="690"/>
      <c r="W2409" s="1025"/>
      <c r="X2409" s="1030"/>
      <c r="Y2409" s="694">
        <f t="shared" si="313"/>
        <v>0</v>
      </c>
      <c r="Z2409" s="690"/>
      <c r="AA2409" s="690"/>
      <c r="AB2409" s="695">
        <f t="shared" si="314"/>
        <v>0</v>
      </c>
      <c r="AC2409" s="1035"/>
      <c r="AD2409" s="690"/>
      <c r="AE2409" s="1025"/>
      <c r="AF2409" s="1030"/>
      <c r="AG2409" s="690"/>
      <c r="AH2409" s="690"/>
      <c r="AI2409" s="696">
        <f t="shared" si="315"/>
        <v>40981915</v>
      </c>
      <c r="AJ2409" s="697">
        <f t="shared" si="316"/>
        <v>41427206</v>
      </c>
    </row>
    <row r="2410" spans="1:36" s="700" customFormat="1" ht="12.75" customHeight="1">
      <c r="A2410" s="866" t="s">
        <v>206</v>
      </c>
      <c r="B2410" s="866" t="s">
        <v>392</v>
      </c>
      <c r="C2410" s="860" t="s">
        <v>1414</v>
      </c>
      <c r="D2410" s="860"/>
      <c r="E2410" s="956">
        <v>218061</v>
      </c>
      <c r="F2410" s="845">
        <v>5</v>
      </c>
      <c r="G2410" s="1025">
        <v>2313879</v>
      </c>
      <c r="H2410" s="690">
        <v>1907062</v>
      </c>
      <c r="I2410" s="1030"/>
      <c r="J2410" s="690"/>
      <c r="K2410" s="1030"/>
      <c r="L2410" s="690"/>
      <c r="M2410" s="1025"/>
      <c r="N2410" s="1030"/>
      <c r="O2410" s="692">
        <f t="shared" si="309"/>
        <v>0</v>
      </c>
      <c r="P2410" s="690"/>
      <c r="Q2410" s="690"/>
      <c r="R2410" s="691">
        <f t="shared" si="310"/>
        <v>0</v>
      </c>
      <c r="S2410" s="692">
        <f t="shared" si="311"/>
        <v>2313879</v>
      </c>
      <c r="T2410" s="693">
        <f t="shared" si="312"/>
        <v>1907062</v>
      </c>
      <c r="U2410" s="1035"/>
      <c r="V2410" s="690"/>
      <c r="W2410" s="1025"/>
      <c r="X2410" s="1030"/>
      <c r="Y2410" s="694">
        <f t="shared" si="313"/>
        <v>0</v>
      </c>
      <c r="Z2410" s="690"/>
      <c r="AA2410" s="690"/>
      <c r="AB2410" s="695">
        <f t="shared" si="314"/>
        <v>0</v>
      </c>
      <c r="AC2410" s="1035"/>
      <c r="AD2410" s="690"/>
      <c r="AE2410" s="1025"/>
      <c r="AF2410" s="1030"/>
      <c r="AG2410" s="690"/>
      <c r="AH2410" s="690"/>
      <c r="AI2410" s="696">
        <f t="shared" si="315"/>
        <v>2313879</v>
      </c>
      <c r="AJ2410" s="697">
        <f t="shared" si="316"/>
        <v>1907062</v>
      </c>
    </row>
    <row r="2411" spans="1:36" s="700" customFormat="1" ht="12.75" customHeight="1">
      <c r="A2411" s="866" t="s">
        <v>206</v>
      </c>
      <c r="B2411" s="866" t="s">
        <v>394</v>
      </c>
      <c r="C2411" s="957" t="s">
        <v>451</v>
      </c>
      <c r="D2411" s="957"/>
      <c r="E2411" s="956">
        <v>218061</v>
      </c>
      <c r="F2411" s="845">
        <v>5</v>
      </c>
      <c r="G2411" s="1025"/>
      <c r="H2411" s="690"/>
      <c r="I2411" s="1030"/>
      <c r="J2411" s="690"/>
      <c r="K2411" s="1030"/>
      <c r="L2411" s="690"/>
      <c r="M2411" s="1025"/>
      <c r="N2411" s="1030"/>
      <c r="O2411" s="692">
        <f t="shared" si="309"/>
        <v>0</v>
      </c>
      <c r="P2411" s="690"/>
      <c r="Q2411" s="690"/>
      <c r="R2411" s="691">
        <f t="shared" si="310"/>
        <v>0</v>
      </c>
      <c r="S2411" s="692">
        <f t="shared" si="311"/>
        <v>0</v>
      </c>
      <c r="T2411" s="693">
        <f t="shared" si="312"/>
        <v>0</v>
      </c>
      <c r="U2411" s="1035"/>
      <c r="V2411" s="690"/>
      <c r="W2411" s="1025"/>
      <c r="X2411" s="1030"/>
      <c r="Y2411" s="694">
        <f t="shared" si="313"/>
        <v>0</v>
      </c>
      <c r="Z2411" s="690"/>
      <c r="AA2411" s="690"/>
      <c r="AB2411" s="695">
        <f t="shared" si="314"/>
        <v>0</v>
      </c>
      <c r="AC2411" s="1035"/>
      <c r="AD2411" s="690"/>
      <c r="AE2411" s="1025"/>
      <c r="AF2411" s="1030"/>
      <c r="AG2411" s="690"/>
      <c r="AH2411" s="690"/>
      <c r="AI2411" s="696">
        <f t="shared" si="315"/>
        <v>0</v>
      </c>
      <c r="AJ2411" s="697">
        <f t="shared" si="316"/>
        <v>0</v>
      </c>
    </row>
    <row r="2412" spans="1:36" s="700" customFormat="1" ht="12.75" customHeight="1">
      <c r="A2412" s="866" t="s">
        <v>206</v>
      </c>
      <c r="B2412" s="866" t="s">
        <v>399</v>
      </c>
      <c r="C2412" s="957" t="s">
        <v>441</v>
      </c>
      <c r="D2412" s="957"/>
      <c r="E2412" s="956">
        <v>218061</v>
      </c>
      <c r="F2412" s="845">
        <v>5</v>
      </c>
      <c r="G2412" s="1025"/>
      <c r="H2412" s="690"/>
      <c r="I2412" s="1030"/>
      <c r="J2412" s="690"/>
      <c r="K2412" s="1030"/>
      <c r="L2412" s="690"/>
      <c r="M2412" s="1025"/>
      <c r="N2412" s="1030"/>
      <c r="O2412" s="692">
        <f t="shared" si="309"/>
        <v>0</v>
      </c>
      <c r="P2412" s="690"/>
      <c r="Q2412" s="690"/>
      <c r="R2412" s="691">
        <f t="shared" si="310"/>
        <v>0</v>
      </c>
      <c r="S2412" s="692">
        <f t="shared" si="311"/>
        <v>0</v>
      </c>
      <c r="T2412" s="693">
        <f t="shared" si="312"/>
        <v>0</v>
      </c>
      <c r="U2412" s="1035"/>
      <c r="V2412" s="690"/>
      <c r="W2412" s="1025"/>
      <c r="X2412" s="1030"/>
      <c r="Y2412" s="694">
        <f t="shared" si="313"/>
        <v>0</v>
      </c>
      <c r="Z2412" s="690"/>
      <c r="AA2412" s="690"/>
      <c r="AB2412" s="695">
        <f t="shared" si="314"/>
        <v>0</v>
      </c>
      <c r="AC2412" s="1035"/>
      <c r="AD2412" s="690"/>
      <c r="AE2412" s="1025"/>
      <c r="AF2412" s="1030"/>
      <c r="AG2412" s="690"/>
      <c r="AH2412" s="690"/>
      <c r="AI2412" s="696">
        <f t="shared" si="315"/>
        <v>0</v>
      </c>
      <c r="AJ2412" s="697">
        <f t="shared" si="316"/>
        <v>0</v>
      </c>
    </row>
    <row r="2413" spans="1:36" s="700" customFormat="1" ht="12.75" customHeight="1">
      <c r="A2413" s="866" t="s">
        <v>206</v>
      </c>
      <c r="B2413" s="866" t="s">
        <v>400</v>
      </c>
      <c r="C2413" s="859" t="s">
        <v>1418</v>
      </c>
      <c r="D2413" s="859"/>
      <c r="E2413" s="956">
        <v>218061</v>
      </c>
      <c r="F2413" s="845">
        <v>5</v>
      </c>
      <c r="G2413" s="1025"/>
      <c r="H2413" s="690"/>
      <c r="I2413" s="1030"/>
      <c r="J2413" s="690"/>
      <c r="K2413" s="1030"/>
      <c r="L2413" s="690"/>
      <c r="M2413" s="1025"/>
      <c r="N2413" s="1030"/>
      <c r="O2413" s="692">
        <f t="shared" si="309"/>
        <v>0</v>
      </c>
      <c r="P2413" s="690"/>
      <c r="Q2413" s="690"/>
      <c r="R2413" s="691">
        <f t="shared" si="310"/>
        <v>0</v>
      </c>
      <c r="S2413" s="692">
        <f t="shared" si="311"/>
        <v>0</v>
      </c>
      <c r="T2413" s="693">
        <f t="shared" si="312"/>
        <v>0</v>
      </c>
      <c r="U2413" s="1035"/>
      <c r="V2413" s="690"/>
      <c r="W2413" s="1025"/>
      <c r="X2413" s="1030"/>
      <c r="Y2413" s="694">
        <f t="shared" si="313"/>
        <v>0</v>
      </c>
      <c r="Z2413" s="690"/>
      <c r="AA2413" s="690"/>
      <c r="AB2413" s="695">
        <f t="shared" si="314"/>
        <v>0</v>
      </c>
      <c r="AC2413" s="1035"/>
      <c r="AD2413" s="690"/>
      <c r="AE2413" s="1025"/>
      <c r="AF2413" s="1030"/>
      <c r="AG2413" s="690"/>
      <c r="AH2413" s="690"/>
      <c r="AI2413" s="696">
        <f t="shared" si="315"/>
        <v>0</v>
      </c>
      <c r="AJ2413" s="697">
        <f t="shared" si="316"/>
        <v>0</v>
      </c>
    </row>
    <row r="2414" spans="1:36" s="700" customFormat="1" ht="12.75" customHeight="1">
      <c r="A2414" s="866" t="s">
        <v>206</v>
      </c>
      <c r="B2414" s="866" t="s">
        <v>400</v>
      </c>
      <c r="C2414" s="860" t="s">
        <v>1422</v>
      </c>
      <c r="D2414" s="860"/>
      <c r="E2414" s="956">
        <v>218061</v>
      </c>
      <c r="F2414" s="845">
        <v>5</v>
      </c>
      <c r="G2414" s="1025"/>
      <c r="H2414" s="690"/>
      <c r="I2414" s="1030">
        <v>8281</v>
      </c>
      <c r="J2414" s="690">
        <v>0</v>
      </c>
      <c r="K2414" s="1030"/>
      <c r="L2414" s="690"/>
      <c r="M2414" s="1025"/>
      <c r="N2414" s="1030"/>
      <c r="O2414" s="692">
        <f t="shared" si="309"/>
        <v>0</v>
      </c>
      <c r="P2414" s="690"/>
      <c r="Q2414" s="690"/>
      <c r="R2414" s="691">
        <f t="shared" si="310"/>
        <v>0</v>
      </c>
      <c r="S2414" s="692">
        <f t="shared" si="311"/>
        <v>8281</v>
      </c>
      <c r="T2414" s="693">
        <f t="shared" si="312"/>
        <v>0</v>
      </c>
      <c r="U2414" s="1035"/>
      <c r="V2414" s="690"/>
      <c r="W2414" s="1025"/>
      <c r="X2414" s="1030"/>
      <c r="Y2414" s="694">
        <f t="shared" si="313"/>
        <v>0</v>
      </c>
      <c r="Z2414" s="690"/>
      <c r="AA2414" s="690"/>
      <c r="AB2414" s="695">
        <f t="shared" si="314"/>
        <v>0</v>
      </c>
      <c r="AC2414" s="1035"/>
      <c r="AD2414" s="690"/>
      <c r="AE2414" s="1025"/>
      <c r="AF2414" s="1030"/>
      <c r="AG2414" s="690"/>
      <c r="AH2414" s="690"/>
      <c r="AI2414" s="696">
        <f t="shared" si="315"/>
        <v>8281</v>
      </c>
      <c r="AJ2414" s="697">
        <f t="shared" si="316"/>
        <v>0</v>
      </c>
    </row>
    <row r="2415" spans="1:36" s="700" customFormat="1" ht="12.75" customHeight="1">
      <c r="A2415" s="866" t="s">
        <v>206</v>
      </c>
      <c r="B2415" s="866" t="s">
        <v>400</v>
      </c>
      <c r="C2415" s="860" t="s">
        <v>1446</v>
      </c>
      <c r="D2415" s="860"/>
      <c r="E2415" s="956">
        <v>218061</v>
      </c>
      <c r="F2415" s="845">
        <v>5</v>
      </c>
      <c r="G2415" s="1025"/>
      <c r="H2415" s="690"/>
      <c r="I2415" s="1030">
        <v>0</v>
      </c>
      <c r="J2415" s="690">
        <v>0</v>
      </c>
      <c r="K2415" s="1030"/>
      <c r="L2415" s="690"/>
      <c r="M2415" s="1025"/>
      <c r="N2415" s="1030"/>
      <c r="O2415" s="692">
        <f t="shared" si="309"/>
        <v>0</v>
      </c>
      <c r="P2415" s="690"/>
      <c r="Q2415" s="690"/>
      <c r="R2415" s="691">
        <f t="shared" si="310"/>
        <v>0</v>
      </c>
      <c r="S2415" s="692">
        <f t="shared" si="311"/>
        <v>0</v>
      </c>
      <c r="T2415" s="693">
        <f t="shared" si="312"/>
        <v>0</v>
      </c>
      <c r="U2415" s="1035"/>
      <c r="V2415" s="690"/>
      <c r="W2415" s="1025"/>
      <c r="X2415" s="1030"/>
      <c r="Y2415" s="694">
        <f t="shared" si="313"/>
        <v>0</v>
      </c>
      <c r="Z2415" s="690"/>
      <c r="AA2415" s="690"/>
      <c r="AB2415" s="695">
        <f t="shared" si="314"/>
        <v>0</v>
      </c>
      <c r="AC2415" s="1035"/>
      <c r="AD2415" s="690"/>
      <c r="AE2415" s="1025"/>
      <c r="AF2415" s="1030"/>
      <c r="AG2415" s="690"/>
      <c r="AH2415" s="690"/>
      <c r="AI2415" s="696">
        <f t="shared" si="315"/>
        <v>0</v>
      </c>
      <c r="AJ2415" s="697">
        <f t="shared" si="316"/>
        <v>0</v>
      </c>
    </row>
    <row r="2416" spans="1:36" s="700" customFormat="1" ht="12.75" customHeight="1">
      <c r="A2416" s="866" t="s">
        <v>206</v>
      </c>
      <c r="B2416" s="866" t="s">
        <v>400</v>
      </c>
      <c r="C2416" s="860" t="s">
        <v>1423</v>
      </c>
      <c r="D2416" s="860"/>
      <c r="E2416" s="956">
        <v>218061</v>
      </c>
      <c r="F2416" s="845">
        <v>5</v>
      </c>
      <c r="G2416" s="1025"/>
      <c r="H2416" s="690"/>
      <c r="I2416" s="1030">
        <v>8809</v>
      </c>
      <c r="J2416" s="690">
        <v>4925</v>
      </c>
      <c r="K2416" s="1030"/>
      <c r="L2416" s="690"/>
      <c r="M2416" s="1025"/>
      <c r="N2416" s="1030"/>
      <c r="O2416" s="692">
        <f t="shared" si="309"/>
        <v>0</v>
      </c>
      <c r="P2416" s="690"/>
      <c r="Q2416" s="690"/>
      <c r="R2416" s="691">
        <f t="shared" si="310"/>
        <v>0</v>
      </c>
      <c r="S2416" s="692">
        <f t="shared" si="311"/>
        <v>8809</v>
      </c>
      <c r="T2416" s="693">
        <f t="shared" si="312"/>
        <v>4925</v>
      </c>
      <c r="U2416" s="1035"/>
      <c r="V2416" s="690"/>
      <c r="W2416" s="1025"/>
      <c r="X2416" s="1030"/>
      <c r="Y2416" s="694">
        <f t="shared" si="313"/>
        <v>0</v>
      </c>
      <c r="Z2416" s="690"/>
      <c r="AA2416" s="690"/>
      <c r="AB2416" s="695">
        <f t="shared" si="314"/>
        <v>0</v>
      </c>
      <c r="AC2416" s="1035"/>
      <c r="AD2416" s="690"/>
      <c r="AE2416" s="1025"/>
      <c r="AF2416" s="1030"/>
      <c r="AG2416" s="690"/>
      <c r="AH2416" s="690"/>
      <c r="AI2416" s="696">
        <f t="shared" si="315"/>
        <v>8809</v>
      </c>
      <c r="AJ2416" s="697">
        <f t="shared" si="316"/>
        <v>4925</v>
      </c>
    </row>
    <row r="2417" spans="1:36" s="700" customFormat="1" ht="12.75" customHeight="1">
      <c r="A2417" s="866" t="s">
        <v>206</v>
      </c>
      <c r="B2417" s="866" t="s">
        <v>400</v>
      </c>
      <c r="C2417" s="860" t="s">
        <v>1421</v>
      </c>
      <c r="D2417" s="860"/>
      <c r="E2417" s="956">
        <v>218061</v>
      </c>
      <c r="F2417" s="845">
        <v>5</v>
      </c>
      <c r="G2417" s="1025"/>
      <c r="H2417" s="690"/>
      <c r="I2417" s="1030" t="s">
        <v>1420</v>
      </c>
      <c r="J2417" s="690">
        <v>0</v>
      </c>
      <c r="K2417" s="1030"/>
      <c r="L2417" s="690"/>
      <c r="M2417" s="1025"/>
      <c r="N2417" s="1030"/>
      <c r="O2417" s="692">
        <f t="shared" si="309"/>
        <v>0</v>
      </c>
      <c r="P2417" s="690"/>
      <c r="Q2417" s="690"/>
      <c r="R2417" s="691">
        <f t="shared" si="310"/>
        <v>0</v>
      </c>
      <c r="S2417" s="692">
        <f t="shared" si="311"/>
        <v>0</v>
      </c>
      <c r="T2417" s="693">
        <f t="shared" si="312"/>
        <v>0</v>
      </c>
      <c r="U2417" s="1035"/>
      <c r="V2417" s="690"/>
      <c r="W2417" s="1025"/>
      <c r="X2417" s="1030"/>
      <c r="Y2417" s="694">
        <f t="shared" si="313"/>
        <v>0</v>
      </c>
      <c r="Z2417" s="690"/>
      <c r="AA2417" s="690"/>
      <c r="AB2417" s="695">
        <f t="shared" si="314"/>
        <v>0</v>
      </c>
      <c r="AC2417" s="1035"/>
      <c r="AD2417" s="690"/>
      <c r="AE2417" s="1025"/>
      <c r="AF2417" s="1030"/>
      <c r="AG2417" s="690"/>
      <c r="AH2417" s="690"/>
      <c r="AI2417" s="696">
        <f t="shared" si="315"/>
        <v>0</v>
      </c>
      <c r="AJ2417" s="697">
        <f t="shared" si="316"/>
        <v>0</v>
      </c>
    </row>
    <row r="2418" spans="1:36" s="700" customFormat="1" ht="12.75" customHeight="1">
      <c r="A2418" s="866" t="s">
        <v>206</v>
      </c>
      <c r="B2418" s="866" t="s">
        <v>400</v>
      </c>
      <c r="C2418" s="860" t="s">
        <v>1447</v>
      </c>
      <c r="D2418" s="860"/>
      <c r="E2418" s="956">
        <v>218061</v>
      </c>
      <c r="F2418" s="845">
        <v>5</v>
      </c>
      <c r="G2418" s="1025"/>
      <c r="H2418" s="690"/>
      <c r="I2418" s="1030"/>
      <c r="J2418" s="690"/>
      <c r="K2418" s="1030"/>
      <c r="L2418" s="690"/>
      <c r="M2418" s="1025"/>
      <c r="N2418" s="1030"/>
      <c r="O2418" s="692">
        <f t="shared" si="309"/>
        <v>0</v>
      </c>
      <c r="P2418" s="690"/>
      <c r="Q2418" s="690"/>
      <c r="R2418" s="691">
        <f t="shared" si="310"/>
        <v>0</v>
      </c>
      <c r="S2418" s="692">
        <f t="shared" si="311"/>
        <v>0</v>
      </c>
      <c r="T2418" s="693">
        <f t="shared" si="312"/>
        <v>0</v>
      </c>
      <c r="U2418" s="1035"/>
      <c r="V2418" s="690"/>
      <c r="W2418" s="1025"/>
      <c r="X2418" s="1030"/>
      <c r="Y2418" s="694">
        <f t="shared" si="313"/>
        <v>0</v>
      </c>
      <c r="Z2418" s="690"/>
      <c r="AA2418" s="690"/>
      <c r="AB2418" s="695">
        <f t="shared" si="314"/>
        <v>0</v>
      </c>
      <c r="AC2418" s="1035"/>
      <c r="AD2418" s="690"/>
      <c r="AE2418" s="1025"/>
      <c r="AF2418" s="1030"/>
      <c r="AG2418" s="690"/>
      <c r="AH2418" s="690"/>
      <c r="AI2418" s="696">
        <f t="shared" si="315"/>
        <v>0</v>
      </c>
      <c r="AJ2418" s="697">
        <f t="shared" si="316"/>
        <v>0</v>
      </c>
    </row>
    <row r="2419" spans="1:36" s="700" customFormat="1" ht="12.75" customHeight="1">
      <c r="A2419" s="866" t="s">
        <v>206</v>
      </c>
      <c r="B2419" s="866" t="s">
        <v>400</v>
      </c>
      <c r="C2419" s="860" t="s">
        <v>1448</v>
      </c>
      <c r="D2419" s="860"/>
      <c r="E2419" s="956">
        <v>218061</v>
      </c>
      <c r="F2419" s="845">
        <v>5</v>
      </c>
      <c r="G2419" s="1025"/>
      <c r="H2419" s="690"/>
      <c r="I2419" s="1030"/>
      <c r="J2419" s="690"/>
      <c r="K2419" s="1030"/>
      <c r="L2419" s="690"/>
      <c r="M2419" s="1025"/>
      <c r="N2419" s="1030"/>
      <c r="O2419" s="692">
        <f t="shared" si="309"/>
        <v>0</v>
      </c>
      <c r="P2419" s="690"/>
      <c r="Q2419" s="690"/>
      <c r="R2419" s="691">
        <f t="shared" si="310"/>
        <v>0</v>
      </c>
      <c r="S2419" s="692">
        <f t="shared" si="311"/>
        <v>0</v>
      </c>
      <c r="T2419" s="693">
        <f t="shared" si="312"/>
        <v>0</v>
      </c>
      <c r="U2419" s="1035"/>
      <c r="V2419" s="690"/>
      <c r="W2419" s="1025"/>
      <c r="X2419" s="1030"/>
      <c r="Y2419" s="694">
        <f t="shared" si="313"/>
        <v>0</v>
      </c>
      <c r="Z2419" s="690"/>
      <c r="AA2419" s="690"/>
      <c r="AB2419" s="695">
        <f t="shared" si="314"/>
        <v>0</v>
      </c>
      <c r="AC2419" s="1035"/>
      <c r="AD2419" s="690"/>
      <c r="AE2419" s="1025"/>
      <c r="AF2419" s="1030"/>
      <c r="AG2419" s="690"/>
      <c r="AH2419" s="690"/>
      <c r="AI2419" s="696">
        <f t="shared" si="315"/>
        <v>0</v>
      </c>
      <c r="AJ2419" s="697">
        <f t="shared" si="316"/>
        <v>0</v>
      </c>
    </row>
    <row r="2420" spans="1:36" s="700" customFormat="1" ht="12.75" customHeight="1">
      <c r="A2420" s="866" t="s">
        <v>206</v>
      </c>
      <c r="B2420" s="866" t="s">
        <v>400</v>
      </c>
      <c r="C2420" s="860" t="s">
        <v>1442</v>
      </c>
      <c r="D2420" s="860"/>
      <c r="E2420" s="956">
        <v>218061</v>
      </c>
      <c r="F2420" s="845">
        <v>5</v>
      </c>
      <c r="G2420" s="1025"/>
      <c r="H2420" s="690"/>
      <c r="I2420" s="1030">
        <v>511667</v>
      </c>
      <c r="J2420" s="690">
        <v>290561</v>
      </c>
      <c r="K2420" s="1030"/>
      <c r="L2420" s="690"/>
      <c r="M2420" s="1025"/>
      <c r="N2420" s="1030"/>
      <c r="O2420" s="692">
        <f t="shared" si="309"/>
        <v>0</v>
      </c>
      <c r="P2420" s="690"/>
      <c r="Q2420" s="690"/>
      <c r="R2420" s="691">
        <f t="shared" si="310"/>
        <v>0</v>
      </c>
      <c r="S2420" s="692">
        <f t="shared" si="311"/>
        <v>511667</v>
      </c>
      <c r="T2420" s="693">
        <f t="shared" si="312"/>
        <v>290561</v>
      </c>
      <c r="U2420" s="1035"/>
      <c r="V2420" s="690"/>
      <c r="W2420" s="1025"/>
      <c r="X2420" s="1030"/>
      <c r="Y2420" s="694">
        <f t="shared" si="313"/>
        <v>0</v>
      </c>
      <c r="Z2420" s="690"/>
      <c r="AA2420" s="690"/>
      <c r="AB2420" s="695">
        <f t="shared" si="314"/>
        <v>0</v>
      </c>
      <c r="AC2420" s="1035"/>
      <c r="AD2420" s="690"/>
      <c r="AE2420" s="1025"/>
      <c r="AF2420" s="1030"/>
      <c r="AG2420" s="690"/>
      <c r="AH2420" s="690"/>
      <c r="AI2420" s="696">
        <f t="shared" si="315"/>
        <v>511667</v>
      </c>
      <c r="AJ2420" s="697">
        <f t="shared" si="316"/>
        <v>290561</v>
      </c>
    </row>
    <row r="2421" spans="1:36" s="700" customFormat="1" ht="12.75" customHeight="1">
      <c r="A2421" s="866" t="s">
        <v>206</v>
      </c>
      <c r="B2421" s="866" t="s">
        <v>392</v>
      </c>
      <c r="C2421" s="955" t="s">
        <v>1449</v>
      </c>
      <c r="D2421" s="955"/>
      <c r="E2421" s="956">
        <v>218733</v>
      </c>
      <c r="F2421" s="845">
        <v>5</v>
      </c>
      <c r="G2421" s="1025">
        <v>11906384</v>
      </c>
      <c r="H2421" s="690">
        <v>9233541</v>
      </c>
      <c r="I2421" s="1030"/>
      <c r="J2421" s="690"/>
      <c r="K2421" s="1030"/>
      <c r="L2421" s="690"/>
      <c r="M2421" s="1153">
        <v>42913637</v>
      </c>
      <c r="N2421" s="1155">
        <v>1850000</v>
      </c>
      <c r="O2421" s="692">
        <f t="shared" si="309"/>
        <v>44763637</v>
      </c>
      <c r="P2421" s="1153">
        <v>40404360</v>
      </c>
      <c r="Q2421" s="1155">
        <v>2635221</v>
      </c>
      <c r="R2421" s="691">
        <f t="shared" si="310"/>
        <v>43039581</v>
      </c>
      <c r="S2421" s="692">
        <f t="shared" si="311"/>
        <v>54820021</v>
      </c>
      <c r="T2421" s="693">
        <f t="shared" si="312"/>
        <v>49637901</v>
      </c>
      <c r="U2421" s="1035"/>
      <c r="V2421" s="690"/>
      <c r="W2421" s="1025"/>
      <c r="X2421" s="1030"/>
      <c r="Y2421" s="694">
        <f t="shared" si="313"/>
        <v>0</v>
      </c>
      <c r="Z2421" s="690"/>
      <c r="AA2421" s="690"/>
      <c r="AB2421" s="695">
        <f t="shared" si="314"/>
        <v>0</v>
      </c>
      <c r="AC2421" s="1035"/>
      <c r="AD2421" s="690"/>
      <c r="AE2421" s="1025"/>
      <c r="AF2421" s="1030"/>
      <c r="AG2421" s="690"/>
      <c r="AH2421" s="690"/>
      <c r="AI2421" s="696">
        <f t="shared" si="315"/>
        <v>54820021</v>
      </c>
      <c r="AJ2421" s="697">
        <f t="shared" si="316"/>
        <v>49637901</v>
      </c>
    </row>
    <row r="2422" spans="1:36" s="700" customFormat="1" ht="12.75" customHeight="1">
      <c r="A2422" s="866" t="s">
        <v>206</v>
      </c>
      <c r="B2422" s="866" t="s">
        <v>392</v>
      </c>
      <c r="C2422" s="860" t="s">
        <v>1414</v>
      </c>
      <c r="D2422" s="860"/>
      <c r="E2422" s="956">
        <v>218733</v>
      </c>
      <c r="F2422" s="845">
        <v>5</v>
      </c>
      <c r="G2422" s="1025">
        <v>3307432</v>
      </c>
      <c r="H2422" s="690">
        <v>2665167</v>
      </c>
      <c r="I2422" s="1030"/>
      <c r="J2422" s="690"/>
      <c r="K2422" s="1030"/>
      <c r="L2422" s="690"/>
      <c r="M2422" s="1156"/>
      <c r="N2422" s="1157"/>
      <c r="O2422" s="692">
        <f t="shared" si="309"/>
        <v>0</v>
      </c>
      <c r="P2422" s="690"/>
      <c r="Q2422" s="690"/>
      <c r="R2422" s="691">
        <f t="shared" si="310"/>
        <v>0</v>
      </c>
      <c r="S2422" s="692">
        <f t="shared" si="311"/>
        <v>3307432</v>
      </c>
      <c r="T2422" s="693">
        <f t="shared" si="312"/>
        <v>2665167</v>
      </c>
      <c r="U2422" s="1035"/>
      <c r="V2422" s="690"/>
      <c r="W2422" s="1025"/>
      <c r="X2422" s="1030"/>
      <c r="Y2422" s="694">
        <f t="shared" si="313"/>
        <v>0</v>
      </c>
      <c r="Z2422" s="690"/>
      <c r="AA2422" s="690"/>
      <c r="AB2422" s="695">
        <f t="shared" si="314"/>
        <v>0</v>
      </c>
      <c r="AC2422" s="1035"/>
      <c r="AD2422" s="690"/>
      <c r="AE2422" s="1025"/>
      <c r="AF2422" s="1030"/>
      <c r="AG2422" s="690"/>
      <c r="AH2422" s="690"/>
      <c r="AI2422" s="696">
        <f t="shared" si="315"/>
        <v>3307432</v>
      </c>
      <c r="AJ2422" s="697">
        <f t="shared" si="316"/>
        <v>2665167</v>
      </c>
    </row>
    <row r="2423" spans="1:36" s="700" customFormat="1" ht="12.75" customHeight="1">
      <c r="A2423" s="866" t="s">
        <v>206</v>
      </c>
      <c r="B2423" s="866" t="s">
        <v>394</v>
      </c>
      <c r="C2423" s="957" t="s">
        <v>451</v>
      </c>
      <c r="D2423" s="957"/>
      <c r="E2423" s="956">
        <v>218733</v>
      </c>
      <c r="F2423" s="845">
        <v>5</v>
      </c>
      <c r="G2423" s="1025"/>
      <c r="H2423" s="690"/>
      <c r="I2423" s="1030"/>
      <c r="J2423" s="690"/>
      <c r="K2423" s="1030"/>
      <c r="L2423" s="690"/>
      <c r="M2423" s="1156"/>
      <c r="N2423" s="1157"/>
      <c r="O2423" s="692">
        <f t="shared" si="309"/>
        <v>0</v>
      </c>
      <c r="P2423" s="690"/>
      <c r="Q2423" s="690"/>
      <c r="R2423" s="691">
        <f t="shared" si="310"/>
        <v>0</v>
      </c>
      <c r="S2423" s="692">
        <f t="shared" si="311"/>
        <v>0</v>
      </c>
      <c r="T2423" s="693">
        <f t="shared" si="312"/>
        <v>0</v>
      </c>
      <c r="U2423" s="1035"/>
      <c r="V2423" s="690"/>
      <c r="W2423" s="1025"/>
      <c r="X2423" s="1030"/>
      <c r="Y2423" s="694">
        <f t="shared" si="313"/>
        <v>0</v>
      </c>
      <c r="Z2423" s="690"/>
      <c r="AA2423" s="690"/>
      <c r="AB2423" s="695">
        <f t="shared" si="314"/>
        <v>0</v>
      </c>
      <c r="AC2423" s="1035"/>
      <c r="AD2423" s="690"/>
      <c r="AE2423" s="1025"/>
      <c r="AF2423" s="1030"/>
      <c r="AG2423" s="690"/>
      <c r="AH2423" s="690"/>
      <c r="AI2423" s="696">
        <f t="shared" si="315"/>
        <v>0</v>
      </c>
      <c r="AJ2423" s="697">
        <f t="shared" si="316"/>
        <v>0</v>
      </c>
    </row>
    <row r="2424" spans="1:36" s="700" customFormat="1" ht="12.75" customHeight="1">
      <c r="A2424" s="866" t="s">
        <v>206</v>
      </c>
      <c r="B2424" s="866" t="s">
        <v>396</v>
      </c>
      <c r="C2424" s="860" t="s">
        <v>1450</v>
      </c>
      <c r="D2424" s="860"/>
      <c r="E2424" s="956">
        <v>218733</v>
      </c>
      <c r="F2424" s="845">
        <v>5</v>
      </c>
      <c r="G2424" s="1025"/>
      <c r="H2424" s="690"/>
      <c r="I2424" s="1030">
        <v>2559686</v>
      </c>
      <c r="J2424" s="690">
        <v>2071450</v>
      </c>
      <c r="K2424" s="1030"/>
      <c r="L2424" s="690"/>
      <c r="M2424" s="1156"/>
      <c r="N2424" s="1157"/>
      <c r="O2424" s="692">
        <f t="shared" si="309"/>
        <v>0</v>
      </c>
      <c r="P2424" s="690"/>
      <c r="Q2424" s="690"/>
      <c r="R2424" s="691">
        <f t="shared" si="310"/>
        <v>0</v>
      </c>
      <c r="S2424" s="692">
        <f t="shared" si="311"/>
        <v>2559686</v>
      </c>
      <c r="T2424" s="693">
        <f t="shared" si="312"/>
        <v>2071450</v>
      </c>
      <c r="U2424" s="1035"/>
      <c r="V2424" s="690"/>
      <c r="W2424" s="1025"/>
      <c r="X2424" s="1030"/>
      <c r="Y2424" s="694">
        <f t="shared" si="313"/>
        <v>0</v>
      </c>
      <c r="Z2424" s="690"/>
      <c r="AA2424" s="690"/>
      <c r="AB2424" s="695">
        <f t="shared" si="314"/>
        <v>0</v>
      </c>
      <c r="AC2424" s="1035"/>
      <c r="AD2424" s="690"/>
      <c r="AE2424" s="1025"/>
      <c r="AF2424" s="1030"/>
      <c r="AG2424" s="690"/>
      <c r="AH2424" s="690"/>
      <c r="AI2424" s="696">
        <f t="shared" si="315"/>
        <v>2559686</v>
      </c>
      <c r="AJ2424" s="697">
        <f t="shared" si="316"/>
        <v>2071450</v>
      </c>
    </row>
    <row r="2425" spans="1:36" s="700" customFormat="1" ht="12.75" customHeight="1">
      <c r="A2425" s="866" t="s">
        <v>206</v>
      </c>
      <c r="B2425" s="866" t="s">
        <v>396</v>
      </c>
      <c r="C2425" s="860" t="s">
        <v>1451</v>
      </c>
      <c r="D2425" s="860"/>
      <c r="E2425" s="956">
        <v>218733</v>
      </c>
      <c r="F2425" s="845">
        <v>5</v>
      </c>
      <c r="G2425" s="1025"/>
      <c r="H2425" s="690"/>
      <c r="I2425" s="1030"/>
      <c r="J2425" s="690"/>
      <c r="K2425" s="1030"/>
      <c r="L2425" s="690"/>
      <c r="M2425" s="1156"/>
      <c r="N2425" s="1157"/>
      <c r="O2425" s="692">
        <f t="shared" si="309"/>
        <v>0</v>
      </c>
      <c r="P2425" s="690"/>
      <c r="Q2425" s="690"/>
      <c r="R2425" s="691">
        <f t="shared" si="310"/>
        <v>0</v>
      </c>
      <c r="S2425" s="692">
        <f t="shared" si="311"/>
        <v>0</v>
      </c>
      <c r="T2425" s="693">
        <f t="shared" si="312"/>
        <v>0</v>
      </c>
      <c r="U2425" s="1035"/>
      <c r="V2425" s="690"/>
      <c r="W2425" s="1025"/>
      <c r="X2425" s="1030"/>
      <c r="Y2425" s="694">
        <f t="shared" si="313"/>
        <v>0</v>
      </c>
      <c r="Z2425" s="690"/>
      <c r="AA2425" s="690"/>
      <c r="AB2425" s="695">
        <f t="shared" si="314"/>
        <v>0</v>
      </c>
      <c r="AC2425" s="1035"/>
      <c r="AD2425" s="690"/>
      <c r="AE2425" s="1025"/>
      <c r="AF2425" s="1030"/>
      <c r="AG2425" s="690"/>
      <c r="AH2425" s="690"/>
      <c r="AI2425" s="696">
        <f t="shared" si="315"/>
        <v>0</v>
      </c>
      <c r="AJ2425" s="697">
        <f t="shared" si="316"/>
        <v>0</v>
      </c>
    </row>
    <row r="2426" spans="1:36" s="700" customFormat="1" ht="12.75" customHeight="1">
      <c r="A2426" s="866" t="s">
        <v>206</v>
      </c>
      <c r="B2426" s="866" t="s">
        <v>399</v>
      </c>
      <c r="C2426" s="957" t="s">
        <v>441</v>
      </c>
      <c r="D2426" s="957"/>
      <c r="E2426" s="956">
        <v>218733</v>
      </c>
      <c r="F2426" s="845">
        <v>5</v>
      </c>
      <c r="G2426" s="1025"/>
      <c r="H2426" s="690"/>
      <c r="I2426" s="1030"/>
      <c r="J2426" s="690"/>
      <c r="K2426" s="1030"/>
      <c r="L2426" s="690"/>
      <c r="M2426" s="1156"/>
      <c r="N2426" s="1157"/>
      <c r="O2426" s="692">
        <f t="shared" si="309"/>
        <v>0</v>
      </c>
      <c r="P2426" s="690"/>
      <c r="Q2426" s="690"/>
      <c r="R2426" s="691">
        <f t="shared" si="310"/>
        <v>0</v>
      </c>
      <c r="S2426" s="692">
        <f t="shared" si="311"/>
        <v>0</v>
      </c>
      <c r="T2426" s="693">
        <f t="shared" si="312"/>
        <v>0</v>
      </c>
      <c r="U2426" s="1035"/>
      <c r="V2426" s="690"/>
      <c r="W2426" s="1025"/>
      <c r="X2426" s="1030"/>
      <c r="Y2426" s="694">
        <f t="shared" si="313"/>
        <v>0</v>
      </c>
      <c r="Z2426" s="690"/>
      <c r="AA2426" s="690"/>
      <c r="AB2426" s="695">
        <f t="shared" si="314"/>
        <v>0</v>
      </c>
      <c r="AC2426" s="1035"/>
      <c r="AD2426" s="690"/>
      <c r="AE2426" s="1025"/>
      <c r="AF2426" s="1030"/>
      <c r="AG2426" s="690"/>
      <c r="AH2426" s="690"/>
      <c r="AI2426" s="696">
        <f t="shared" si="315"/>
        <v>0</v>
      </c>
      <c r="AJ2426" s="697">
        <f t="shared" si="316"/>
        <v>0</v>
      </c>
    </row>
    <row r="2427" spans="1:36" s="700" customFormat="1" ht="12.75" customHeight="1">
      <c r="A2427" s="866" t="s">
        <v>206</v>
      </c>
      <c r="B2427" s="866" t="s">
        <v>399</v>
      </c>
      <c r="C2427" s="860" t="s">
        <v>1452</v>
      </c>
      <c r="D2427" s="860"/>
      <c r="E2427" s="956">
        <v>218733</v>
      </c>
      <c r="F2427" s="845">
        <v>5</v>
      </c>
      <c r="G2427" s="1025"/>
      <c r="H2427" s="690"/>
      <c r="I2427" s="1030">
        <v>778683</v>
      </c>
      <c r="J2427" s="690">
        <v>0</v>
      </c>
      <c r="K2427" s="1030"/>
      <c r="L2427" s="690"/>
      <c r="M2427" s="1156"/>
      <c r="N2427" s="1157"/>
      <c r="O2427" s="692">
        <f t="shared" si="309"/>
        <v>0</v>
      </c>
      <c r="P2427" s="690"/>
      <c r="Q2427" s="690"/>
      <c r="R2427" s="691">
        <f t="shared" si="310"/>
        <v>0</v>
      </c>
      <c r="S2427" s="692">
        <f t="shared" si="311"/>
        <v>778683</v>
      </c>
      <c r="T2427" s="693">
        <f t="shared" si="312"/>
        <v>0</v>
      </c>
      <c r="U2427" s="1035"/>
      <c r="V2427" s="690"/>
      <c r="W2427" s="1025"/>
      <c r="X2427" s="1030"/>
      <c r="Y2427" s="694">
        <f t="shared" si="313"/>
        <v>0</v>
      </c>
      <c r="Z2427" s="690"/>
      <c r="AA2427" s="690"/>
      <c r="AB2427" s="695">
        <f t="shared" si="314"/>
        <v>0</v>
      </c>
      <c r="AC2427" s="1035"/>
      <c r="AD2427" s="690"/>
      <c r="AE2427" s="1025"/>
      <c r="AF2427" s="1030"/>
      <c r="AG2427" s="690"/>
      <c r="AH2427" s="690"/>
      <c r="AI2427" s="696">
        <f t="shared" si="315"/>
        <v>778683</v>
      </c>
      <c r="AJ2427" s="697">
        <f t="shared" si="316"/>
        <v>0</v>
      </c>
    </row>
    <row r="2428" spans="1:36" s="700" customFormat="1" ht="12.75" customHeight="1">
      <c r="A2428" s="866" t="s">
        <v>206</v>
      </c>
      <c r="B2428" s="866" t="s">
        <v>400</v>
      </c>
      <c r="C2428" s="859" t="s">
        <v>1418</v>
      </c>
      <c r="D2428" s="859"/>
      <c r="E2428" s="956">
        <v>218733</v>
      </c>
      <c r="F2428" s="845">
        <v>5</v>
      </c>
      <c r="G2428" s="1025"/>
      <c r="H2428" s="690"/>
      <c r="I2428" s="1030"/>
      <c r="J2428" s="690"/>
      <c r="K2428" s="1030"/>
      <c r="L2428" s="690"/>
      <c r="M2428" s="1156"/>
      <c r="N2428" s="1157"/>
      <c r="O2428" s="692">
        <f t="shared" si="309"/>
        <v>0</v>
      </c>
      <c r="P2428" s="690"/>
      <c r="Q2428" s="690"/>
      <c r="R2428" s="691">
        <f t="shared" si="310"/>
        <v>0</v>
      </c>
      <c r="S2428" s="692">
        <f t="shared" si="311"/>
        <v>0</v>
      </c>
      <c r="T2428" s="693">
        <f t="shared" si="312"/>
        <v>0</v>
      </c>
      <c r="U2428" s="1035"/>
      <c r="V2428" s="690"/>
      <c r="W2428" s="1025"/>
      <c r="X2428" s="1030"/>
      <c r="Y2428" s="694">
        <f t="shared" si="313"/>
        <v>0</v>
      </c>
      <c r="Z2428" s="690"/>
      <c r="AA2428" s="690"/>
      <c r="AB2428" s="695">
        <f t="shared" si="314"/>
        <v>0</v>
      </c>
      <c r="AC2428" s="1035"/>
      <c r="AD2428" s="690"/>
      <c r="AE2428" s="1025"/>
      <c r="AF2428" s="1030"/>
      <c r="AG2428" s="690"/>
      <c r="AH2428" s="690"/>
      <c r="AI2428" s="696">
        <f t="shared" si="315"/>
        <v>0</v>
      </c>
      <c r="AJ2428" s="697">
        <f t="shared" si="316"/>
        <v>0</v>
      </c>
    </row>
    <row r="2429" spans="1:36" s="700" customFormat="1" ht="12.75" customHeight="1">
      <c r="A2429" s="866" t="s">
        <v>206</v>
      </c>
      <c r="B2429" s="866" t="s">
        <v>400</v>
      </c>
      <c r="C2429" s="860" t="s">
        <v>1422</v>
      </c>
      <c r="D2429" s="860"/>
      <c r="E2429" s="956">
        <v>218733</v>
      </c>
      <c r="F2429" s="845">
        <v>5</v>
      </c>
      <c r="G2429" s="1025"/>
      <c r="H2429" s="690"/>
      <c r="I2429" s="1030">
        <v>99414</v>
      </c>
      <c r="J2429" s="690">
        <v>0</v>
      </c>
      <c r="K2429" s="1030"/>
      <c r="L2429" s="690"/>
      <c r="M2429" s="1156"/>
      <c r="N2429" s="1157"/>
      <c r="O2429" s="692">
        <f t="shared" si="309"/>
        <v>0</v>
      </c>
      <c r="P2429" s="690"/>
      <c r="Q2429" s="690"/>
      <c r="R2429" s="691">
        <f t="shared" si="310"/>
        <v>0</v>
      </c>
      <c r="S2429" s="692">
        <f t="shared" si="311"/>
        <v>99414</v>
      </c>
      <c r="T2429" s="693">
        <f t="shared" si="312"/>
        <v>0</v>
      </c>
      <c r="U2429" s="1035"/>
      <c r="V2429" s="690"/>
      <c r="W2429" s="1025"/>
      <c r="X2429" s="1030"/>
      <c r="Y2429" s="694">
        <f t="shared" si="313"/>
        <v>0</v>
      </c>
      <c r="Z2429" s="690"/>
      <c r="AA2429" s="690"/>
      <c r="AB2429" s="695">
        <f t="shared" si="314"/>
        <v>0</v>
      </c>
      <c r="AC2429" s="1035"/>
      <c r="AD2429" s="690"/>
      <c r="AE2429" s="1025"/>
      <c r="AF2429" s="1030"/>
      <c r="AG2429" s="690"/>
      <c r="AH2429" s="690"/>
      <c r="AI2429" s="696">
        <f t="shared" si="315"/>
        <v>99414</v>
      </c>
      <c r="AJ2429" s="697">
        <f t="shared" si="316"/>
        <v>0</v>
      </c>
    </row>
    <row r="2430" spans="1:36" s="700" customFormat="1" ht="12.75" customHeight="1">
      <c r="A2430" s="866" t="s">
        <v>206</v>
      </c>
      <c r="B2430" s="866" t="s">
        <v>400</v>
      </c>
      <c r="C2430" s="860" t="s">
        <v>1423</v>
      </c>
      <c r="D2430" s="860"/>
      <c r="E2430" s="956">
        <v>218733</v>
      </c>
      <c r="F2430" s="845">
        <v>5</v>
      </c>
      <c r="G2430" s="1025"/>
      <c r="H2430" s="690"/>
      <c r="I2430" s="1030">
        <v>4122</v>
      </c>
      <c r="J2430" s="690">
        <v>1952</v>
      </c>
      <c r="K2430" s="1030"/>
      <c r="L2430" s="690"/>
      <c r="M2430" s="1156"/>
      <c r="N2430" s="1157"/>
      <c r="O2430" s="692">
        <f t="shared" si="309"/>
        <v>0</v>
      </c>
      <c r="P2430" s="690"/>
      <c r="Q2430" s="690"/>
      <c r="R2430" s="691">
        <f t="shared" si="310"/>
        <v>0</v>
      </c>
      <c r="S2430" s="692">
        <f t="shared" si="311"/>
        <v>4122</v>
      </c>
      <c r="T2430" s="693">
        <f t="shared" si="312"/>
        <v>1952</v>
      </c>
      <c r="U2430" s="1035"/>
      <c r="V2430" s="690"/>
      <c r="W2430" s="1025"/>
      <c r="X2430" s="1030"/>
      <c r="Y2430" s="694">
        <f t="shared" si="313"/>
        <v>0</v>
      </c>
      <c r="Z2430" s="690"/>
      <c r="AA2430" s="690"/>
      <c r="AB2430" s="695">
        <f t="shared" si="314"/>
        <v>0</v>
      </c>
      <c r="AC2430" s="1035"/>
      <c r="AD2430" s="690"/>
      <c r="AE2430" s="1025"/>
      <c r="AF2430" s="1030"/>
      <c r="AG2430" s="690"/>
      <c r="AH2430" s="690"/>
      <c r="AI2430" s="696">
        <f t="shared" si="315"/>
        <v>4122</v>
      </c>
      <c r="AJ2430" s="697">
        <f t="shared" si="316"/>
        <v>1952</v>
      </c>
    </row>
    <row r="2431" spans="1:36" s="700" customFormat="1" ht="12.75" customHeight="1">
      <c r="A2431" s="866" t="s">
        <v>206</v>
      </c>
      <c r="B2431" s="866" t="s">
        <v>400</v>
      </c>
      <c r="C2431" s="860" t="s">
        <v>1419</v>
      </c>
      <c r="D2431" s="860"/>
      <c r="E2431" s="956">
        <v>218733</v>
      </c>
      <c r="F2431" s="845">
        <v>5</v>
      </c>
      <c r="G2431" s="1025"/>
      <c r="H2431" s="690"/>
      <c r="I2431" s="1030" t="s">
        <v>1420</v>
      </c>
      <c r="J2431" s="690"/>
      <c r="K2431" s="1030"/>
      <c r="L2431" s="690"/>
      <c r="M2431" s="1156"/>
      <c r="N2431" s="1157"/>
      <c r="O2431" s="692">
        <f t="shared" si="309"/>
        <v>0</v>
      </c>
      <c r="P2431" s="690"/>
      <c r="Q2431" s="690"/>
      <c r="R2431" s="691">
        <f t="shared" si="310"/>
        <v>0</v>
      </c>
      <c r="S2431" s="692">
        <f t="shared" si="311"/>
        <v>0</v>
      </c>
      <c r="T2431" s="693">
        <f t="shared" si="312"/>
        <v>0</v>
      </c>
      <c r="U2431" s="1035"/>
      <c r="V2431" s="690"/>
      <c r="W2431" s="1025"/>
      <c r="X2431" s="1030"/>
      <c r="Y2431" s="694">
        <f t="shared" si="313"/>
        <v>0</v>
      </c>
      <c r="Z2431" s="690"/>
      <c r="AA2431" s="690"/>
      <c r="AB2431" s="695">
        <f t="shared" si="314"/>
        <v>0</v>
      </c>
      <c r="AC2431" s="1035"/>
      <c r="AD2431" s="690"/>
      <c r="AE2431" s="1025"/>
      <c r="AF2431" s="1030"/>
      <c r="AG2431" s="690"/>
      <c r="AH2431" s="690"/>
      <c r="AI2431" s="696">
        <f t="shared" si="315"/>
        <v>0</v>
      </c>
      <c r="AJ2431" s="697">
        <f t="shared" si="316"/>
        <v>0</v>
      </c>
    </row>
    <row r="2432" spans="1:36" s="700" customFormat="1" ht="12.75" customHeight="1">
      <c r="A2432" s="866" t="s">
        <v>206</v>
      </c>
      <c r="B2432" s="866" t="s">
        <v>400</v>
      </c>
      <c r="C2432" s="860" t="s">
        <v>1421</v>
      </c>
      <c r="D2432" s="860"/>
      <c r="E2432" s="956">
        <v>218733</v>
      </c>
      <c r="F2432" s="845">
        <v>5</v>
      </c>
      <c r="G2432" s="1025"/>
      <c r="H2432" s="690"/>
      <c r="I2432" s="1030">
        <v>10489</v>
      </c>
      <c r="J2432" s="690">
        <v>0</v>
      </c>
      <c r="K2432" s="1030"/>
      <c r="L2432" s="690"/>
      <c r="M2432" s="1156"/>
      <c r="N2432" s="1157"/>
      <c r="O2432" s="692">
        <f t="shared" si="309"/>
        <v>0</v>
      </c>
      <c r="P2432" s="690"/>
      <c r="Q2432" s="690"/>
      <c r="R2432" s="691">
        <f t="shared" si="310"/>
        <v>0</v>
      </c>
      <c r="S2432" s="692">
        <f t="shared" si="311"/>
        <v>10489</v>
      </c>
      <c r="T2432" s="693">
        <f t="shared" si="312"/>
        <v>0</v>
      </c>
      <c r="U2432" s="1035"/>
      <c r="V2432" s="690"/>
      <c r="W2432" s="1025"/>
      <c r="X2432" s="1030"/>
      <c r="Y2432" s="694">
        <f t="shared" si="313"/>
        <v>0</v>
      </c>
      <c r="Z2432" s="690"/>
      <c r="AA2432" s="690"/>
      <c r="AB2432" s="695">
        <f t="shared" si="314"/>
        <v>0</v>
      </c>
      <c r="AC2432" s="1035"/>
      <c r="AD2432" s="690"/>
      <c r="AE2432" s="1025"/>
      <c r="AF2432" s="1030"/>
      <c r="AG2432" s="690"/>
      <c r="AH2432" s="690"/>
      <c r="AI2432" s="696">
        <f t="shared" si="315"/>
        <v>10489</v>
      </c>
      <c r="AJ2432" s="697">
        <f t="shared" si="316"/>
        <v>0</v>
      </c>
    </row>
    <row r="2433" spans="1:36" s="700" customFormat="1" ht="12.75" customHeight="1">
      <c r="A2433" s="866" t="s">
        <v>206</v>
      </c>
      <c r="B2433" s="866" t="s">
        <v>400</v>
      </c>
      <c r="C2433" s="860" t="s">
        <v>1453</v>
      </c>
      <c r="D2433" s="860"/>
      <c r="E2433" s="956">
        <v>218733</v>
      </c>
      <c r="F2433" s="845">
        <v>5</v>
      </c>
      <c r="G2433" s="1025"/>
      <c r="H2433" s="690"/>
      <c r="I2433" s="1030">
        <v>478786</v>
      </c>
      <c r="J2433" s="690">
        <v>0</v>
      </c>
      <c r="K2433" s="1030"/>
      <c r="L2433" s="690"/>
      <c r="M2433" s="1156"/>
      <c r="N2433" s="1157"/>
      <c r="O2433" s="692">
        <f t="shared" si="309"/>
        <v>0</v>
      </c>
      <c r="P2433" s="690"/>
      <c r="Q2433" s="690"/>
      <c r="R2433" s="691">
        <f t="shared" si="310"/>
        <v>0</v>
      </c>
      <c r="S2433" s="692">
        <f t="shared" si="311"/>
        <v>478786</v>
      </c>
      <c r="T2433" s="693">
        <f t="shared" si="312"/>
        <v>0</v>
      </c>
      <c r="U2433" s="1035"/>
      <c r="V2433" s="690"/>
      <c r="W2433" s="1025"/>
      <c r="X2433" s="1030"/>
      <c r="Y2433" s="694">
        <f t="shared" si="313"/>
        <v>0</v>
      </c>
      <c r="Z2433" s="690"/>
      <c r="AA2433" s="690"/>
      <c r="AB2433" s="695">
        <f t="shared" si="314"/>
        <v>0</v>
      </c>
      <c r="AC2433" s="1035"/>
      <c r="AD2433" s="690"/>
      <c r="AE2433" s="1025"/>
      <c r="AF2433" s="1030"/>
      <c r="AG2433" s="690"/>
      <c r="AH2433" s="690"/>
      <c r="AI2433" s="696">
        <f t="shared" si="315"/>
        <v>478786</v>
      </c>
      <c r="AJ2433" s="697">
        <f t="shared" si="316"/>
        <v>0</v>
      </c>
    </row>
    <row r="2434" spans="1:36" s="700" customFormat="1" ht="12.75" customHeight="1">
      <c r="A2434" s="866" t="s">
        <v>206</v>
      </c>
      <c r="B2434" s="866" t="s">
        <v>400</v>
      </c>
      <c r="C2434" s="860" t="s">
        <v>1454</v>
      </c>
      <c r="D2434" s="860"/>
      <c r="E2434" s="956">
        <v>218733</v>
      </c>
      <c r="F2434" s="845">
        <v>5</v>
      </c>
      <c r="G2434" s="1025"/>
      <c r="H2434" s="690"/>
      <c r="I2434" s="1030">
        <v>284893</v>
      </c>
      <c r="J2434" s="690">
        <v>240890</v>
      </c>
      <c r="K2434" s="1030"/>
      <c r="L2434" s="690"/>
      <c r="M2434" s="1156"/>
      <c r="N2434" s="1157"/>
      <c r="O2434" s="692">
        <f t="shared" si="309"/>
        <v>0</v>
      </c>
      <c r="P2434" s="690"/>
      <c r="Q2434" s="690"/>
      <c r="R2434" s="691">
        <f t="shared" si="310"/>
        <v>0</v>
      </c>
      <c r="S2434" s="692">
        <f t="shared" si="311"/>
        <v>284893</v>
      </c>
      <c r="T2434" s="693">
        <f t="shared" si="312"/>
        <v>240890</v>
      </c>
      <c r="U2434" s="1035"/>
      <c r="V2434" s="690"/>
      <c r="W2434" s="1025"/>
      <c r="X2434" s="1030"/>
      <c r="Y2434" s="694">
        <f t="shared" si="313"/>
        <v>0</v>
      </c>
      <c r="Z2434" s="690"/>
      <c r="AA2434" s="690"/>
      <c r="AB2434" s="695">
        <f t="shared" si="314"/>
        <v>0</v>
      </c>
      <c r="AC2434" s="1035"/>
      <c r="AD2434" s="690"/>
      <c r="AE2434" s="1025"/>
      <c r="AF2434" s="1030"/>
      <c r="AG2434" s="690"/>
      <c r="AH2434" s="690"/>
      <c r="AI2434" s="696">
        <f t="shared" si="315"/>
        <v>284893</v>
      </c>
      <c r="AJ2434" s="697">
        <f t="shared" si="316"/>
        <v>240890</v>
      </c>
    </row>
    <row r="2435" spans="1:36" s="700" customFormat="1" ht="12.75" customHeight="1">
      <c r="A2435" s="866" t="s">
        <v>206</v>
      </c>
      <c r="B2435" s="866" t="s">
        <v>400</v>
      </c>
      <c r="C2435" s="860" t="s">
        <v>1455</v>
      </c>
      <c r="D2435" s="860"/>
      <c r="E2435" s="956">
        <v>218733</v>
      </c>
      <c r="F2435" s="845">
        <v>5</v>
      </c>
      <c r="G2435" s="1025"/>
      <c r="H2435" s="690"/>
      <c r="I2435" s="1030">
        <v>284893</v>
      </c>
      <c r="J2435" s="690">
        <v>240890</v>
      </c>
      <c r="K2435" s="1030"/>
      <c r="L2435" s="690"/>
      <c r="M2435" s="1156"/>
      <c r="N2435" s="1157"/>
      <c r="O2435" s="692">
        <f t="shared" si="309"/>
        <v>0</v>
      </c>
      <c r="P2435" s="690"/>
      <c r="Q2435" s="690"/>
      <c r="R2435" s="691">
        <f t="shared" si="310"/>
        <v>0</v>
      </c>
      <c r="S2435" s="692">
        <f t="shared" si="311"/>
        <v>284893</v>
      </c>
      <c r="T2435" s="693">
        <f t="shared" si="312"/>
        <v>240890</v>
      </c>
      <c r="U2435" s="1035"/>
      <c r="V2435" s="690"/>
      <c r="W2435" s="1025"/>
      <c r="X2435" s="1030"/>
      <c r="Y2435" s="694">
        <f t="shared" si="313"/>
        <v>0</v>
      </c>
      <c r="Z2435" s="690"/>
      <c r="AA2435" s="690"/>
      <c r="AB2435" s="695">
        <f t="shared" si="314"/>
        <v>0</v>
      </c>
      <c r="AC2435" s="1035"/>
      <c r="AD2435" s="690"/>
      <c r="AE2435" s="1025"/>
      <c r="AF2435" s="1030"/>
      <c r="AG2435" s="690"/>
      <c r="AH2435" s="690"/>
      <c r="AI2435" s="696">
        <f t="shared" si="315"/>
        <v>284893</v>
      </c>
      <c r="AJ2435" s="697">
        <f t="shared" si="316"/>
        <v>240890</v>
      </c>
    </row>
    <row r="2436" spans="1:36" s="700" customFormat="1" ht="12.75" customHeight="1">
      <c r="A2436" s="866" t="s">
        <v>206</v>
      </c>
      <c r="B2436" s="866" t="s">
        <v>400</v>
      </c>
      <c r="C2436" s="860" t="s">
        <v>1456</v>
      </c>
      <c r="D2436" s="860"/>
      <c r="E2436" s="956">
        <v>218733</v>
      </c>
      <c r="F2436" s="845">
        <v>5</v>
      </c>
      <c r="G2436" s="1025"/>
      <c r="H2436" s="690"/>
      <c r="I2436" s="1030">
        <v>226341</v>
      </c>
      <c r="J2436" s="690">
        <v>0</v>
      </c>
      <c r="K2436" s="1030"/>
      <c r="L2436" s="690"/>
      <c r="M2436" s="1156"/>
      <c r="N2436" s="1157"/>
      <c r="O2436" s="692">
        <f t="shared" si="309"/>
        <v>0</v>
      </c>
      <c r="P2436" s="690"/>
      <c r="Q2436" s="690"/>
      <c r="R2436" s="691">
        <f t="shared" si="310"/>
        <v>0</v>
      </c>
      <c r="S2436" s="692">
        <f t="shared" si="311"/>
        <v>226341</v>
      </c>
      <c r="T2436" s="693">
        <f t="shared" si="312"/>
        <v>0</v>
      </c>
      <c r="U2436" s="1035"/>
      <c r="V2436" s="690"/>
      <c r="W2436" s="1025"/>
      <c r="X2436" s="1030"/>
      <c r="Y2436" s="694">
        <f t="shared" si="313"/>
        <v>0</v>
      </c>
      <c r="Z2436" s="690"/>
      <c r="AA2436" s="690"/>
      <c r="AB2436" s="695">
        <f t="shared" si="314"/>
        <v>0</v>
      </c>
      <c r="AC2436" s="1035"/>
      <c r="AD2436" s="690"/>
      <c r="AE2436" s="1025"/>
      <c r="AF2436" s="1030"/>
      <c r="AG2436" s="690"/>
      <c r="AH2436" s="690"/>
      <c r="AI2436" s="696">
        <f t="shared" si="315"/>
        <v>226341</v>
      </c>
      <c r="AJ2436" s="697">
        <f t="shared" si="316"/>
        <v>0</v>
      </c>
    </row>
    <row r="2437" spans="1:36" s="700" customFormat="1" ht="12.75" customHeight="1">
      <c r="A2437" s="866" t="s">
        <v>206</v>
      </c>
      <c r="B2437" s="866" t="s">
        <v>400</v>
      </c>
      <c r="C2437" s="860" t="s">
        <v>1457</v>
      </c>
      <c r="D2437" s="860"/>
      <c r="E2437" s="956">
        <v>218733</v>
      </c>
      <c r="F2437" s="845">
        <v>5</v>
      </c>
      <c r="G2437" s="1025"/>
      <c r="H2437" s="690"/>
      <c r="I2437" s="1030">
        <v>107991</v>
      </c>
      <c r="J2437" s="690">
        <v>90912</v>
      </c>
      <c r="K2437" s="1030"/>
      <c r="L2437" s="690"/>
      <c r="M2437" s="1156"/>
      <c r="N2437" s="1157"/>
      <c r="O2437" s="692">
        <f t="shared" si="309"/>
        <v>0</v>
      </c>
      <c r="P2437" s="690"/>
      <c r="Q2437" s="690"/>
      <c r="R2437" s="691">
        <f t="shared" si="310"/>
        <v>0</v>
      </c>
      <c r="S2437" s="692">
        <f t="shared" si="311"/>
        <v>107991</v>
      </c>
      <c r="T2437" s="693">
        <f t="shared" si="312"/>
        <v>90912</v>
      </c>
      <c r="U2437" s="1035"/>
      <c r="V2437" s="690"/>
      <c r="W2437" s="1025"/>
      <c r="X2437" s="1030"/>
      <c r="Y2437" s="694">
        <f t="shared" si="313"/>
        <v>0</v>
      </c>
      <c r="Z2437" s="690"/>
      <c r="AA2437" s="690"/>
      <c r="AB2437" s="695">
        <f t="shared" si="314"/>
        <v>0</v>
      </c>
      <c r="AC2437" s="1035"/>
      <c r="AD2437" s="690"/>
      <c r="AE2437" s="1025"/>
      <c r="AF2437" s="1030"/>
      <c r="AG2437" s="690"/>
      <c r="AH2437" s="690"/>
      <c r="AI2437" s="696">
        <f t="shared" si="315"/>
        <v>107991</v>
      </c>
      <c r="AJ2437" s="697">
        <f t="shared" si="316"/>
        <v>90912</v>
      </c>
    </row>
    <row r="2438" spans="1:36" s="700" customFormat="1" ht="12.75" customHeight="1">
      <c r="A2438" s="866" t="s">
        <v>206</v>
      </c>
      <c r="B2438" s="866" t="s">
        <v>400</v>
      </c>
      <c r="C2438" s="860" t="s">
        <v>1458</v>
      </c>
      <c r="D2438" s="860"/>
      <c r="E2438" s="956">
        <v>218733</v>
      </c>
      <c r="F2438" s="845">
        <v>5</v>
      </c>
      <c r="G2438" s="1025"/>
      <c r="H2438" s="690"/>
      <c r="I2438" s="1030">
        <v>2500000</v>
      </c>
      <c r="J2438" s="690">
        <v>2500000</v>
      </c>
      <c r="K2438" s="1030"/>
      <c r="L2438" s="690"/>
      <c r="M2438" s="1156"/>
      <c r="N2438" s="1157"/>
      <c r="O2438" s="692">
        <f t="shared" si="309"/>
        <v>0</v>
      </c>
      <c r="P2438" s="690"/>
      <c r="Q2438" s="690"/>
      <c r="R2438" s="691">
        <f t="shared" si="310"/>
        <v>0</v>
      </c>
      <c r="S2438" s="692">
        <f t="shared" si="311"/>
        <v>2500000</v>
      </c>
      <c r="T2438" s="693">
        <f t="shared" si="312"/>
        <v>2500000</v>
      </c>
      <c r="U2438" s="1035"/>
      <c r="V2438" s="690"/>
      <c r="W2438" s="1025"/>
      <c r="X2438" s="1030"/>
      <c r="Y2438" s="694">
        <f t="shared" si="313"/>
        <v>0</v>
      </c>
      <c r="Z2438" s="690"/>
      <c r="AA2438" s="690"/>
      <c r="AB2438" s="695">
        <f t="shared" si="314"/>
        <v>0</v>
      </c>
      <c r="AC2438" s="1035"/>
      <c r="AD2438" s="690"/>
      <c r="AE2438" s="1025"/>
      <c r="AF2438" s="1030"/>
      <c r="AG2438" s="690"/>
      <c r="AH2438" s="690"/>
      <c r="AI2438" s="696">
        <f t="shared" si="315"/>
        <v>2500000</v>
      </c>
      <c r="AJ2438" s="697">
        <f t="shared" si="316"/>
        <v>2500000</v>
      </c>
    </row>
    <row r="2439" spans="1:36" s="700" customFormat="1" ht="12.75" customHeight="1">
      <c r="A2439" s="866" t="s">
        <v>206</v>
      </c>
      <c r="B2439" s="866" t="s">
        <v>400</v>
      </c>
      <c r="C2439" s="860" t="s">
        <v>1459</v>
      </c>
      <c r="D2439" s="860"/>
      <c r="E2439" s="956">
        <v>218733</v>
      </c>
      <c r="F2439" s="845">
        <v>5</v>
      </c>
      <c r="G2439" s="1025"/>
      <c r="H2439" s="690"/>
      <c r="I2439" s="1030">
        <v>587500</v>
      </c>
      <c r="J2439" s="690">
        <v>375000</v>
      </c>
      <c r="K2439" s="1030"/>
      <c r="L2439" s="690"/>
      <c r="M2439" s="1156"/>
      <c r="N2439" s="1157"/>
      <c r="O2439" s="692">
        <f t="shared" si="309"/>
        <v>0</v>
      </c>
      <c r="P2439" s="690"/>
      <c r="Q2439" s="690"/>
      <c r="R2439" s="691">
        <f t="shared" si="310"/>
        <v>0</v>
      </c>
      <c r="S2439" s="692">
        <f t="shared" si="311"/>
        <v>587500</v>
      </c>
      <c r="T2439" s="693">
        <f t="shared" si="312"/>
        <v>375000</v>
      </c>
      <c r="U2439" s="1035"/>
      <c r="V2439" s="690"/>
      <c r="W2439" s="1025"/>
      <c r="X2439" s="1030"/>
      <c r="Y2439" s="694">
        <f t="shared" si="313"/>
        <v>0</v>
      </c>
      <c r="Z2439" s="690"/>
      <c r="AA2439" s="690"/>
      <c r="AB2439" s="695">
        <f t="shared" si="314"/>
        <v>0</v>
      </c>
      <c r="AC2439" s="1035"/>
      <c r="AD2439" s="690"/>
      <c r="AE2439" s="1025"/>
      <c r="AF2439" s="1030"/>
      <c r="AG2439" s="690"/>
      <c r="AH2439" s="690"/>
      <c r="AI2439" s="696">
        <f t="shared" si="315"/>
        <v>587500</v>
      </c>
      <c r="AJ2439" s="697">
        <f t="shared" si="316"/>
        <v>375000</v>
      </c>
    </row>
    <row r="2440" spans="1:36" s="700" customFormat="1" ht="12.75" customHeight="1">
      <c r="A2440" s="866" t="s">
        <v>206</v>
      </c>
      <c r="B2440" s="866" t="s">
        <v>400</v>
      </c>
      <c r="C2440" s="860" t="s">
        <v>1442</v>
      </c>
      <c r="D2440" s="860"/>
      <c r="E2440" s="956">
        <v>218733</v>
      </c>
      <c r="F2440" s="845">
        <v>5</v>
      </c>
      <c r="G2440" s="1025"/>
      <c r="H2440" s="690"/>
      <c r="I2440" s="1030">
        <v>625812</v>
      </c>
      <c r="J2440" s="690">
        <v>338774</v>
      </c>
      <c r="K2440" s="1030"/>
      <c r="L2440" s="690"/>
      <c r="M2440" s="1156"/>
      <c r="N2440" s="1157"/>
      <c r="O2440" s="692">
        <f t="shared" si="309"/>
        <v>0</v>
      </c>
      <c r="P2440" s="690"/>
      <c r="Q2440" s="690"/>
      <c r="R2440" s="691">
        <f t="shared" si="310"/>
        <v>0</v>
      </c>
      <c r="S2440" s="692">
        <f t="shared" si="311"/>
        <v>625812</v>
      </c>
      <c r="T2440" s="693">
        <f t="shared" si="312"/>
        <v>338774</v>
      </c>
      <c r="U2440" s="1035"/>
      <c r="V2440" s="690"/>
      <c r="W2440" s="1025"/>
      <c r="X2440" s="1030"/>
      <c r="Y2440" s="694">
        <f t="shared" si="313"/>
        <v>0</v>
      </c>
      <c r="Z2440" s="690"/>
      <c r="AA2440" s="690"/>
      <c r="AB2440" s="695">
        <f t="shared" si="314"/>
        <v>0</v>
      </c>
      <c r="AC2440" s="1035"/>
      <c r="AD2440" s="690"/>
      <c r="AE2440" s="1025"/>
      <c r="AF2440" s="1030"/>
      <c r="AG2440" s="690"/>
      <c r="AH2440" s="690"/>
      <c r="AI2440" s="696">
        <f t="shared" si="315"/>
        <v>625812</v>
      </c>
      <c r="AJ2440" s="697">
        <f t="shared" si="316"/>
        <v>338774</v>
      </c>
    </row>
    <row r="2441" spans="1:36" s="700" customFormat="1" ht="12.75" customHeight="1">
      <c r="A2441" s="866" t="s">
        <v>206</v>
      </c>
      <c r="B2441" s="866" t="s">
        <v>400</v>
      </c>
      <c r="C2441" s="860" t="s">
        <v>1460</v>
      </c>
      <c r="D2441" s="860"/>
      <c r="E2441" s="956">
        <v>218733</v>
      </c>
      <c r="F2441" s="845">
        <v>5</v>
      </c>
      <c r="G2441" s="1025"/>
      <c r="H2441" s="690"/>
      <c r="I2441" s="1030"/>
      <c r="J2441" s="690"/>
      <c r="K2441" s="1030"/>
      <c r="L2441" s="690"/>
      <c r="M2441" s="1156"/>
      <c r="N2441" s="1157"/>
      <c r="O2441" s="692">
        <f t="shared" si="309"/>
        <v>0</v>
      </c>
      <c r="P2441" s="690"/>
      <c r="Q2441" s="690"/>
      <c r="R2441" s="691">
        <f t="shared" si="310"/>
        <v>0</v>
      </c>
      <c r="S2441" s="692">
        <f t="shared" si="311"/>
        <v>0</v>
      </c>
      <c r="T2441" s="693">
        <f t="shared" si="312"/>
        <v>0</v>
      </c>
      <c r="U2441" s="1035"/>
      <c r="V2441" s="690"/>
      <c r="W2441" s="1025"/>
      <c r="X2441" s="1030"/>
      <c r="Y2441" s="694">
        <f t="shared" si="313"/>
        <v>0</v>
      </c>
      <c r="Z2441" s="690"/>
      <c r="AA2441" s="690"/>
      <c r="AB2441" s="695">
        <f t="shared" si="314"/>
        <v>0</v>
      </c>
      <c r="AC2441" s="1035"/>
      <c r="AD2441" s="690"/>
      <c r="AE2441" s="1025"/>
      <c r="AF2441" s="1030"/>
      <c r="AG2441" s="690"/>
      <c r="AH2441" s="690"/>
      <c r="AI2441" s="696">
        <f t="shared" si="315"/>
        <v>0</v>
      </c>
      <c r="AJ2441" s="697">
        <f t="shared" si="316"/>
        <v>0</v>
      </c>
    </row>
    <row r="2442" spans="1:36" s="700" customFormat="1" ht="12.75" customHeight="1">
      <c r="A2442" s="866" t="s">
        <v>206</v>
      </c>
      <c r="B2442" s="866" t="s">
        <v>400</v>
      </c>
      <c r="C2442" s="860" t="s">
        <v>1461</v>
      </c>
      <c r="D2442" s="860"/>
      <c r="E2442" s="956">
        <v>218733</v>
      </c>
      <c r="F2442" s="845">
        <v>5</v>
      </c>
      <c r="G2442" s="1025"/>
      <c r="H2442" s="690"/>
      <c r="I2442" s="1030"/>
      <c r="J2442" s="690"/>
      <c r="K2442" s="1030"/>
      <c r="L2442" s="690"/>
      <c r="M2442" s="1156"/>
      <c r="N2442" s="1157"/>
      <c r="O2442" s="692">
        <f t="shared" si="309"/>
        <v>0</v>
      </c>
      <c r="P2442" s="690"/>
      <c r="Q2442" s="690"/>
      <c r="R2442" s="691">
        <f t="shared" si="310"/>
        <v>0</v>
      </c>
      <c r="S2442" s="692">
        <f t="shared" si="311"/>
        <v>0</v>
      </c>
      <c r="T2442" s="693">
        <f t="shared" si="312"/>
        <v>0</v>
      </c>
      <c r="U2442" s="1035"/>
      <c r="V2442" s="690"/>
      <c r="W2442" s="1025"/>
      <c r="X2442" s="1030"/>
      <c r="Y2442" s="694">
        <f t="shared" si="313"/>
        <v>0</v>
      </c>
      <c r="Z2442" s="690"/>
      <c r="AA2442" s="690"/>
      <c r="AB2442" s="695">
        <f t="shared" si="314"/>
        <v>0</v>
      </c>
      <c r="AC2442" s="1035"/>
      <c r="AD2442" s="690"/>
      <c r="AE2442" s="1025"/>
      <c r="AF2442" s="1030"/>
      <c r="AG2442" s="690"/>
      <c r="AH2442" s="690"/>
      <c r="AI2442" s="696">
        <f t="shared" si="315"/>
        <v>0</v>
      </c>
      <c r="AJ2442" s="697">
        <f t="shared" si="316"/>
        <v>0</v>
      </c>
    </row>
    <row r="2443" spans="1:36" s="700" customFormat="1" ht="12.75" customHeight="1">
      <c r="A2443" s="866" t="s">
        <v>206</v>
      </c>
      <c r="B2443" s="866" t="s">
        <v>392</v>
      </c>
      <c r="C2443" s="851" t="s">
        <v>1464</v>
      </c>
      <c r="D2443" s="1067" t="s">
        <v>1907</v>
      </c>
      <c r="E2443" s="849">
        <v>218229</v>
      </c>
      <c r="F2443" s="845">
        <v>6</v>
      </c>
      <c r="G2443" s="1025">
        <v>5987053</v>
      </c>
      <c r="H2443" s="690">
        <v>4797169</v>
      </c>
      <c r="I2443" s="1030"/>
      <c r="J2443" s="690"/>
      <c r="K2443" s="1030"/>
      <c r="L2443" s="690"/>
      <c r="M2443" s="1153">
        <v>24580222</v>
      </c>
      <c r="N2443" s="1155">
        <v>1615646</v>
      </c>
      <c r="O2443" s="692">
        <f t="shared" ref="O2443:O2505" si="325">SUM(M2443:N2443)</f>
        <v>26195868</v>
      </c>
      <c r="P2443" s="818">
        <v>21072315</v>
      </c>
      <c r="Q2443" s="818">
        <v>1627409</v>
      </c>
      <c r="R2443" s="691">
        <f t="shared" ref="R2443:R2505" si="326">SUM(P2443:Q2443)</f>
        <v>22699724</v>
      </c>
      <c r="S2443" s="692">
        <f t="shared" ref="S2443:S2505" si="327">SUM(G2443,I2443,K2443,M2443)</f>
        <v>30567275</v>
      </c>
      <c r="T2443" s="693">
        <f t="shared" ref="T2443:T2505" si="328">SUM(H2443,J2443,L2443,P2443)</f>
        <v>25869484</v>
      </c>
      <c r="U2443" s="1035"/>
      <c r="V2443" s="690"/>
      <c r="W2443" s="1025"/>
      <c r="X2443" s="1030"/>
      <c r="Y2443" s="694">
        <f t="shared" ref="Y2443:Y2505" si="329">SUM(W2443:X2443)</f>
        <v>0</v>
      </c>
      <c r="Z2443" s="690"/>
      <c r="AA2443" s="690"/>
      <c r="AB2443" s="695">
        <f t="shared" ref="AB2443:AB2505" si="330">SUM(Z2443:AA2443)</f>
        <v>0</v>
      </c>
      <c r="AC2443" s="1035"/>
      <c r="AD2443" s="690"/>
      <c r="AE2443" s="1025"/>
      <c r="AF2443" s="1030"/>
      <c r="AG2443" s="690"/>
      <c r="AH2443" s="690"/>
      <c r="AI2443" s="696">
        <f t="shared" ref="AI2443:AI2505" si="331">SUM(S2443,U2443,W2443,AC2443,AE2443)</f>
        <v>30567275</v>
      </c>
      <c r="AJ2443" s="697">
        <f t="shared" ref="AJ2443:AJ2505" si="332">SUM(T2443,V2443,Z2443,AD2443,AG2443)</f>
        <v>25869484</v>
      </c>
    </row>
    <row r="2444" spans="1:36" s="700" customFormat="1" ht="12.75" customHeight="1">
      <c r="A2444" s="866" t="s">
        <v>206</v>
      </c>
      <c r="B2444" s="866" t="s">
        <v>392</v>
      </c>
      <c r="C2444" s="860" t="s">
        <v>1414</v>
      </c>
      <c r="D2444" s="860"/>
      <c r="E2444" s="956">
        <v>218229</v>
      </c>
      <c r="F2444" s="845">
        <v>6</v>
      </c>
      <c r="G2444" s="1025">
        <v>1587213</v>
      </c>
      <c r="H2444" s="690">
        <v>1269435</v>
      </c>
      <c r="I2444" s="1030"/>
      <c r="J2444" s="690"/>
      <c r="K2444" s="1030"/>
      <c r="L2444" s="690"/>
      <c r="M2444" s="1025"/>
      <c r="N2444" s="1030"/>
      <c r="O2444" s="692">
        <f t="shared" si="325"/>
        <v>0</v>
      </c>
      <c r="P2444" s="690"/>
      <c r="Q2444" s="690"/>
      <c r="R2444" s="691">
        <f t="shared" si="326"/>
        <v>0</v>
      </c>
      <c r="S2444" s="692">
        <f t="shared" si="327"/>
        <v>1587213</v>
      </c>
      <c r="T2444" s="693">
        <f t="shared" si="328"/>
        <v>1269435</v>
      </c>
      <c r="U2444" s="1035"/>
      <c r="V2444" s="690"/>
      <c r="W2444" s="1025"/>
      <c r="X2444" s="1030"/>
      <c r="Y2444" s="694">
        <f t="shared" si="329"/>
        <v>0</v>
      </c>
      <c r="Z2444" s="690"/>
      <c r="AA2444" s="690"/>
      <c r="AB2444" s="695">
        <f t="shared" si="330"/>
        <v>0</v>
      </c>
      <c r="AC2444" s="1035"/>
      <c r="AD2444" s="690"/>
      <c r="AE2444" s="1025"/>
      <c r="AF2444" s="1030"/>
      <c r="AG2444" s="690"/>
      <c r="AH2444" s="690"/>
      <c r="AI2444" s="696">
        <f t="shared" si="331"/>
        <v>1587213</v>
      </c>
      <c r="AJ2444" s="697">
        <f t="shared" si="332"/>
        <v>1269435</v>
      </c>
    </row>
    <row r="2445" spans="1:36" s="700" customFormat="1" ht="12.75" customHeight="1">
      <c r="A2445" s="866" t="s">
        <v>206</v>
      </c>
      <c r="B2445" s="866" t="s">
        <v>400</v>
      </c>
      <c r="C2445" s="859" t="s">
        <v>1418</v>
      </c>
      <c r="D2445" s="859"/>
      <c r="E2445" s="956">
        <v>218229</v>
      </c>
      <c r="F2445" s="845">
        <v>6</v>
      </c>
      <c r="G2445" s="1025"/>
      <c r="H2445" s="690"/>
      <c r="I2445" s="1030"/>
      <c r="J2445" s="690"/>
      <c r="K2445" s="1030"/>
      <c r="L2445" s="690"/>
      <c r="M2445" s="1025"/>
      <c r="N2445" s="1030"/>
      <c r="O2445" s="692">
        <f t="shared" si="325"/>
        <v>0</v>
      </c>
      <c r="P2445" s="690"/>
      <c r="Q2445" s="690"/>
      <c r="R2445" s="691">
        <f t="shared" si="326"/>
        <v>0</v>
      </c>
      <c r="S2445" s="692">
        <f t="shared" si="327"/>
        <v>0</v>
      </c>
      <c r="T2445" s="693">
        <f t="shared" si="328"/>
        <v>0</v>
      </c>
      <c r="U2445" s="1035"/>
      <c r="V2445" s="690"/>
      <c r="W2445" s="1025"/>
      <c r="X2445" s="1030"/>
      <c r="Y2445" s="694">
        <f t="shared" si="329"/>
        <v>0</v>
      </c>
      <c r="Z2445" s="690"/>
      <c r="AA2445" s="690"/>
      <c r="AB2445" s="695">
        <f t="shared" si="330"/>
        <v>0</v>
      </c>
      <c r="AC2445" s="1035"/>
      <c r="AD2445" s="690"/>
      <c r="AE2445" s="1025"/>
      <c r="AF2445" s="1030"/>
      <c r="AG2445" s="690"/>
      <c r="AH2445" s="690"/>
      <c r="AI2445" s="696">
        <f t="shared" si="331"/>
        <v>0</v>
      </c>
      <c r="AJ2445" s="697">
        <f t="shared" si="332"/>
        <v>0</v>
      </c>
    </row>
    <row r="2446" spans="1:36" s="700" customFormat="1" ht="12.75" customHeight="1">
      <c r="A2446" s="866" t="s">
        <v>206</v>
      </c>
      <c r="B2446" s="866" t="s">
        <v>400</v>
      </c>
      <c r="C2446" s="860" t="s">
        <v>1422</v>
      </c>
      <c r="D2446" s="860"/>
      <c r="E2446" s="956">
        <v>218229</v>
      </c>
      <c r="F2446" s="845">
        <v>6</v>
      </c>
      <c r="G2446" s="1025"/>
      <c r="H2446" s="690"/>
      <c r="I2446" s="1030">
        <v>5852</v>
      </c>
      <c r="J2446" s="690">
        <v>0</v>
      </c>
      <c r="K2446" s="1030"/>
      <c r="L2446" s="690"/>
      <c r="M2446" s="1025"/>
      <c r="N2446" s="1030"/>
      <c r="O2446" s="692">
        <f t="shared" si="325"/>
        <v>0</v>
      </c>
      <c r="P2446" s="690"/>
      <c r="Q2446" s="690"/>
      <c r="R2446" s="691">
        <f t="shared" si="326"/>
        <v>0</v>
      </c>
      <c r="S2446" s="692">
        <f t="shared" si="327"/>
        <v>5852</v>
      </c>
      <c r="T2446" s="693">
        <f t="shared" si="328"/>
        <v>0</v>
      </c>
      <c r="U2446" s="1035"/>
      <c r="V2446" s="690"/>
      <c r="W2446" s="1025"/>
      <c r="X2446" s="1030"/>
      <c r="Y2446" s="694">
        <f t="shared" si="329"/>
        <v>0</v>
      </c>
      <c r="Z2446" s="690"/>
      <c r="AA2446" s="690"/>
      <c r="AB2446" s="695">
        <f t="shared" si="330"/>
        <v>0</v>
      </c>
      <c r="AC2446" s="1035"/>
      <c r="AD2446" s="690"/>
      <c r="AE2446" s="1025"/>
      <c r="AF2446" s="1030"/>
      <c r="AG2446" s="690"/>
      <c r="AH2446" s="690"/>
      <c r="AI2446" s="696">
        <f t="shared" si="331"/>
        <v>5852</v>
      </c>
      <c r="AJ2446" s="697">
        <f t="shared" si="332"/>
        <v>0</v>
      </c>
    </row>
    <row r="2447" spans="1:36" s="700" customFormat="1" ht="12.75" customHeight="1">
      <c r="A2447" s="866" t="s">
        <v>206</v>
      </c>
      <c r="B2447" s="866" t="s">
        <v>400</v>
      </c>
      <c r="C2447" s="860" t="s">
        <v>1423</v>
      </c>
      <c r="D2447" s="860"/>
      <c r="E2447" s="956">
        <v>218229</v>
      </c>
      <c r="F2447" s="845">
        <v>6</v>
      </c>
      <c r="G2447" s="1025"/>
      <c r="H2447" s="690"/>
      <c r="I2447" s="1030">
        <v>6717</v>
      </c>
      <c r="J2447" s="690">
        <v>4285</v>
      </c>
      <c r="K2447" s="1030"/>
      <c r="L2447" s="690"/>
      <c r="M2447" s="1025"/>
      <c r="N2447" s="1030"/>
      <c r="O2447" s="692">
        <f t="shared" si="325"/>
        <v>0</v>
      </c>
      <c r="P2447" s="690"/>
      <c r="Q2447" s="690"/>
      <c r="R2447" s="691">
        <f t="shared" si="326"/>
        <v>0</v>
      </c>
      <c r="S2447" s="692">
        <f t="shared" si="327"/>
        <v>6717</v>
      </c>
      <c r="T2447" s="693">
        <f t="shared" si="328"/>
        <v>4285</v>
      </c>
      <c r="U2447" s="1035"/>
      <c r="V2447" s="690"/>
      <c r="W2447" s="1025"/>
      <c r="X2447" s="1030"/>
      <c r="Y2447" s="694">
        <f t="shared" si="329"/>
        <v>0</v>
      </c>
      <c r="Z2447" s="690"/>
      <c r="AA2447" s="690"/>
      <c r="AB2447" s="695">
        <f t="shared" si="330"/>
        <v>0</v>
      </c>
      <c r="AC2447" s="1035"/>
      <c r="AD2447" s="690"/>
      <c r="AE2447" s="1025"/>
      <c r="AF2447" s="1030"/>
      <c r="AG2447" s="690"/>
      <c r="AH2447" s="690"/>
      <c r="AI2447" s="696">
        <f t="shared" si="331"/>
        <v>6717</v>
      </c>
      <c r="AJ2447" s="697">
        <f t="shared" si="332"/>
        <v>4285</v>
      </c>
    </row>
    <row r="2448" spans="1:36" s="700" customFormat="1" ht="12.75" customHeight="1">
      <c r="A2448" s="866" t="s">
        <v>206</v>
      </c>
      <c r="B2448" s="866" t="s">
        <v>400</v>
      </c>
      <c r="C2448" s="860" t="s">
        <v>1419</v>
      </c>
      <c r="D2448" s="860"/>
      <c r="E2448" s="956">
        <v>218229</v>
      </c>
      <c r="F2448" s="845">
        <v>6</v>
      </c>
      <c r="G2448" s="1025"/>
      <c r="H2448" s="690"/>
      <c r="I2448" s="1030">
        <v>17972</v>
      </c>
      <c r="J2448" s="690"/>
      <c r="K2448" s="1030"/>
      <c r="L2448" s="690"/>
      <c r="M2448" s="1025"/>
      <c r="N2448" s="1030"/>
      <c r="O2448" s="692">
        <f t="shared" si="325"/>
        <v>0</v>
      </c>
      <c r="P2448" s="690"/>
      <c r="Q2448" s="690"/>
      <c r="R2448" s="691">
        <f t="shared" si="326"/>
        <v>0</v>
      </c>
      <c r="S2448" s="692">
        <f t="shared" si="327"/>
        <v>17972</v>
      </c>
      <c r="T2448" s="693">
        <f t="shared" si="328"/>
        <v>0</v>
      </c>
      <c r="U2448" s="1035"/>
      <c r="V2448" s="690"/>
      <c r="W2448" s="1025"/>
      <c r="X2448" s="1030"/>
      <c r="Y2448" s="694">
        <f t="shared" si="329"/>
        <v>0</v>
      </c>
      <c r="Z2448" s="690"/>
      <c r="AA2448" s="690"/>
      <c r="AB2448" s="695">
        <f t="shared" si="330"/>
        <v>0</v>
      </c>
      <c r="AC2448" s="1035"/>
      <c r="AD2448" s="690"/>
      <c r="AE2448" s="1025"/>
      <c r="AF2448" s="1030"/>
      <c r="AG2448" s="690"/>
      <c r="AH2448" s="690"/>
      <c r="AI2448" s="696">
        <f t="shared" si="331"/>
        <v>17972</v>
      </c>
      <c r="AJ2448" s="697">
        <f t="shared" si="332"/>
        <v>0</v>
      </c>
    </row>
    <row r="2449" spans="1:36" s="700" customFormat="1" ht="12.75" customHeight="1">
      <c r="A2449" s="866" t="s">
        <v>206</v>
      </c>
      <c r="B2449" s="866" t="s">
        <v>400</v>
      </c>
      <c r="C2449" s="860" t="s">
        <v>1421</v>
      </c>
      <c r="D2449" s="860"/>
      <c r="E2449" s="956">
        <v>218229</v>
      </c>
      <c r="F2449" s="845">
        <v>6</v>
      </c>
      <c r="G2449" s="1025"/>
      <c r="H2449" s="690"/>
      <c r="I2449" s="1030">
        <v>19618</v>
      </c>
      <c r="J2449" s="690">
        <v>0</v>
      </c>
      <c r="K2449" s="1030"/>
      <c r="L2449" s="690"/>
      <c r="M2449" s="1025"/>
      <c r="N2449" s="1030"/>
      <c r="O2449" s="692">
        <f t="shared" si="325"/>
        <v>0</v>
      </c>
      <c r="P2449" s="690"/>
      <c r="Q2449" s="690"/>
      <c r="R2449" s="691">
        <f t="shared" si="326"/>
        <v>0</v>
      </c>
      <c r="S2449" s="692">
        <f t="shared" si="327"/>
        <v>19618</v>
      </c>
      <c r="T2449" s="693">
        <f t="shared" si="328"/>
        <v>0</v>
      </c>
      <c r="U2449" s="1035"/>
      <c r="V2449" s="690"/>
      <c r="W2449" s="1025"/>
      <c r="X2449" s="1030"/>
      <c r="Y2449" s="694">
        <f t="shared" si="329"/>
        <v>0</v>
      </c>
      <c r="Z2449" s="690"/>
      <c r="AA2449" s="690"/>
      <c r="AB2449" s="695">
        <f t="shared" si="330"/>
        <v>0</v>
      </c>
      <c r="AC2449" s="1035"/>
      <c r="AD2449" s="690"/>
      <c r="AE2449" s="1025"/>
      <c r="AF2449" s="1030"/>
      <c r="AG2449" s="690"/>
      <c r="AH2449" s="690"/>
      <c r="AI2449" s="696">
        <f t="shared" si="331"/>
        <v>19618</v>
      </c>
      <c r="AJ2449" s="697">
        <f t="shared" si="332"/>
        <v>0</v>
      </c>
    </row>
    <row r="2450" spans="1:36" s="700" customFormat="1" ht="12.75" customHeight="1">
      <c r="A2450" s="866" t="s">
        <v>206</v>
      </c>
      <c r="B2450" s="866" t="s">
        <v>400</v>
      </c>
      <c r="C2450" s="860" t="s">
        <v>1442</v>
      </c>
      <c r="D2450" s="860"/>
      <c r="E2450" s="956">
        <v>218229</v>
      </c>
      <c r="F2450" s="845">
        <v>6</v>
      </c>
      <c r="G2450" s="1025"/>
      <c r="H2450" s="690"/>
      <c r="I2450" s="1030">
        <v>421428</v>
      </c>
      <c r="J2450" s="690">
        <v>248130</v>
      </c>
      <c r="K2450" s="1030"/>
      <c r="L2450" s="690"/>
      <c r="M2450" s="1025"/>
      <c r="N2450" s="1030"/>
      <c r="O2450" s="692">
        <f t="shared" si="325"/>
        <v>0</v>
      </c>
      <c r="P2450" s="690"/>
      <c r="Q2450" s="690"/>
      <c r="R2450" s="691">
        <f t="shared" si="326"/>
        <v>0</v>
      </c>
      <c r="S2450" s="692">
        <f t="shared" si="327"/>
        <v>421428</v>
      </c>
      <c r="T2450" s="693">
        <f t="shared" si="328"/>
        <v>248130</v>
      </c>
      <c r="U2450" s="1035"/>
      <c r="V2450" s="690"/>
      <c r="W2450" s="1025"/>
      <c r="X2450" s="1030"/>
      <c r="Y2450" s="694">
        <f t="shared" si="329"/>
        <v>0</v>
      </c>
      <c r="Z2450" s="690"/>
      <c r="AA2450" s="690"/>
      <c r="AB2450" s="695">
        <f t="shared" si="330"/>
        <v>0</v>
      </c>
      <c r="AC2450" s="1035"/>
      <c r="AD2450" s="690"/>
      <c r="AE2450" s="1025"/>
      <c r="AF2450" s="1030"/>
      <c r="AG2450" s="690"/>
      <c r="AH2450" s="690"/>
      <c r="AI2450" s="696">
        <f t="shared" si="331"/>
        <v>421428</v>
      </c>
      <c r="AJ2450" s="697">
        <f t="shared" si="332"/>
        <v>248130</v>
      </c>
    </row>
    <row r="2451" spans="1:36" s="700" customFormat="1" ht="12.75" customHeight="1">
      <c r="A2451" s="866" t="s">
        <v>206</v>
      </c>
      <c r="B2451" s="866" t="s">
        <v>392</v>
      </c>
      <c r="C2451" s="955" t="s">
        <v>1465</v>
      </c>
      <c r="D2451" s="955"/>
      <c r="E2451" s="956">
        <v>218645</v>
      </c>
      <c r="F2451" s="845">
        <v>6</v>
      </c>
      <c r="G2451" s="1025">
        <v>6488107</v>
      </c>
      <c r="H2451" s="690">
        <v>5135000</v>
      </c>
      <c r="I2451" s="1030"/>
      <c r="J2451" s="690"/>
      <c r="K2451" s="1030"/>
      <c r="L2451" s="690"/>
      <c r="M2451" s="1153">
        <v>23746894</v>
      </c>
      <c r="N2451" s="1155">
        <v>1297186</v>
      </c>
      <c r="O2451" s="692">
        <f t="shared" si="325"/>
        <v>25044080</v>
      </c>
      <c r="P2451" s="1153">
        <v>25679732</v>
      </c>
      <c r="Q2451" s="1155">
        <v>1322675</v>
      </c>
      <c r="R2451" s="691">
        <f t="shared" si="326"/>
        <v>27002407</v>
      </c>
      <c r="S2451" s="692">
        <f t="shared" si="327"/>
        <v>30235001</v>
      </c>
      <c r="T2451" s="693">
        <f t="shared" si="328"/>
        <v>30814732</v>
      </c>
      <c r="U2451" s="1035"/>
      <c r="V2451" s="690"/>
      <c r="W2451" s="1025"/>
      <c r="X2451" s="1030"/>
      <c r="Y2451" s="694">
        <f t="shared" si="329"/>
        <v>0</v>
      </c>
      <c r="Z2451" s="690"/>
      <c r="AA2451" s="690"/>
      <c r="AB2451" s="695">
        <f t="shared" si="330"/>
        <v>0</v>
      </c>
      <c r="AC2451" s="1035"/>
      <c r="AD2451" s="690"/>
      <c r="AE2451" s="1025"/>
      <c r="AF2451" s="1030"/>
      <c r="AG2451" s="690"/>
      <c r="AH2451" s="690"/>
      <c r="AI2451" s="696">
        <f t="shared" si="331"/>
        <v>30235001</v>
      </c>
      <c r="AJ2451" s="697">
        <f t="shared" si="332"/>
        <v>30814732</v>
      </c>
    </row>
    <row r="2452" spans="1:36" s="700" customFormat="1" ht="12.75" customHeight="1">
      <c r="A2452" s="866" t="s">
        <v>206</v>
      </c>
      <c r="B2452" s="866" t="s">
        <v>392</v>
      </c>
      <c r="C2452" s="860" t="s">
        <v>1414</v>
      </c>
      <c r="D2452" s="860"/>
      <c r="E2452" s="956">
        <v>218645</v>
      </c>
      <c r="F2452" s="845">
        <v>6</v>
      </c>
      <c r="G2452" s="1025">
        <v>1272409</v>
      </c>
      <c r="H2452" s="690">
        <v>1072411</v>
      </c>
      <c r="I2452" s="1030"/>
      <c r="J2452" s="690"/>
      <c r="K2452" s="1030"/>
      <c r="L2452" s="690"/>
      <c r="M2452" s="1156"/>
      <c r="N2452" s="1157"/>
      <c r="O2452" s="692">
        <f t="shared" si="325"/>
        <v>0</v>
      </c>
      <c r="P2452" s="690"/>
      <c r="Q2452" s="690"/>
      <c r="R2452" s="691">
        <f t="shared" si="326"/>
        <v>0</v>
      </c>
      <c r="S2452" s="692">
        <f t="shared" si="327"/>
        <v>1272409</v>
      </c>
      <c r="T2452" s="693">
        <f t="shared" si="328"/>
        <v>1072411</v>
      </c>
      <c r="U2452" s="1035"/>
      <c r="V2452" s="690"/>
      <c r="W2452" s="1025"/>
      <c r="X2452" s="1030"/>
      <c r="Y2452" s="694">
        <f t="shared" si="329"/>
        <v>0</v>
      </c>
      <c r="Z2452" s="690"/>
      <c r="AA2452" s="690"/>
      <c r="AB2452" s="695">
        <f t="shared" si="330"/>
        <v>0</v>
      </c>
      <c r="AC2452" s="1035"/>
      <c r="AD2452" s="690"/>
      <c r="AE2452" s="1025"/>
      <c r="AF2452" s="1030"/>
      <c r="AG2452" s="690"/>
      <c r="AH2452" s="690"/>
      <c r="AI2452" s="696">
        <f t="shared" si="331"/>
        <v>1272409</v>
      </c>
      <c r="AJ2452" s="697">
        <f t="shared" si="332"/>
        <v>1072411</v>
      </c>
    </row>
    <row r="2453" spans="1:36" s="700" customFormat="1" ht="12.75" customHeight="1">
      <c r="A2453" s="866" t="s">
        <v>206</v>
      </c>
      <c r="B2453" s="866" t="s">
        <v>400</v>
      </c>
      <c r="C2453" s="859" t="s">
        <v>1418</v>
      </c>
      <c r="D2453" s="859"/>
      <c r="E2453" s="956">
        <v>218645</v>
      </c>
      <c r="F2453" s="845">
        <v>6</v>
      </c>
      <c r="G2453" s="1025"/>
      <c r="H2453" s="690"/>
      <c r="I2453" s="1030"/>
      <c r="J2453" s="690"/>
      <c r="K2453" s="1030"/>
      <c r="L2453" s="690"/>
      <c r="M2453" s="1156"/>
      <c r="N2453" s="1157"/>
      <c r="O2453" s="692">
        <f t="shared" si="325"/>
        <v>0</v>
      </c>
      <c r="P2453" s="690"/>
      <c r="Q2453" s="690"/>
      <c r="R2453" s="691">
        <f t="shared" si="326"/>
        <v>0</v>
      </c>
      <c r="S2453" s="692">
        <f t="shared" si="327"/>
        <v>0</v>
      </c>
      <c r="T2453" s="693">
        <f t="shared" si="328"/>
        <v>0</v>
      </c>
      <c r="U2453" s="1035"/>
      <c r="V2453" s="690"/>
      <c r="W2453" s="1025"/>
      <c r="X2453" s="1030"/>
      <c r="Y2453" s="694">
        <f t="shared" si="329"/>
        <v>0</v>
      </c>
      <c r="Z2453" s="690"/>
      <c r="AA2453" s="690"/>
      <c r="AB2453" s="695">
        <f t="shared" si="330"/>
        <v>0</v>
      </c>
      <c r="AC2453" s="1035"/>
      <c r="AD2453" s="690"/>
      <c r="AE2453" s="1025"/>
      <c r="AF2453" s="1030"/>
      <c r="AG2453" s="690"/>
      <c r="AH2453" s="690"/>
      <c r="AI2453" s="696">
        <f t="shared" si="331"/>
        <v>0</v>
      </c>
      <c r="AJ2453" s="697">
        <f t="shared" si="332"/>
        <v>0</v>
      </c>
    </row>
    <row r="2454" spans="1:36" s="700" customFormat="1" ht="12.75" customHeight="1">
      <c r="A2454" s="866" t="s">
        <v>206</v>
      </c>
      <c r="B2454" s="866" t="s">
        <v>400</v>
      </c>
      <c r="C2454" s="860" t="s">
        <v>1422</v>
      </c>
      <c r="D2454" s="860"/>
      <c r="E2454" s="956">
        <v>218645</v>
      </c>
      <c r="F2454" s="845">
        <v>6</v>
      </c>
      <c r="G2454" s="1025"/>
      <c r="H2454" s="690"/>
      <c r="I2454" s="1030">
        <v>6156</v>
      </c>
      <c r="J2454" s="690">
        <v>0</v>
      </c>
      <c r="K2454" s="1030"/>
      <c r="L2454" s="690"/>
      <c r="M2454" s="1156"/>
      <c r="N2454" s="1157"/>
      <c r="O2454" s="692">
        <f t="shared" si="325"/>
        <v>0</v>
      </c>
      <c r="P2454" s="690"/>
      <c r="Q2454" s="690"/>
      <c r="R2454" s="691">
        <f t="shared" si="326"/>
        <v>0</v>
      </c>
      <c r="S2454" s="692">
        <f t="shared" si="327"/>
        <v>6156</v>
      </c>
      <c r="T2454" s="693">
        <f t="shared" si="328"/>
        <v>0</v>
      </c>
      <c r="U2454" s="1035"/>
      <c r="V2454" s="690"/>
      <c r="W2454" s="1025"/>
      <c r="X2454" s="1030"/>
      <c r="Y2454" s="694">
        <f t="shared" si="329"/>
        <v>0</v>
      </c>
      <c r="Z2454" s="690"/>
      <c r="AA2454" s="690"/>
      <c r="AB2454" s="695">
        <f t="shared" si="330"/>
        <v>0</v>
      </c>
      <c r="AC2454" s="1035"/>
      <c r="AD2454" s="690"/>
      <c r="AE2454" s="1025"/>
      <c r="AF2454" s="1030"/>
      <c r="AG2454" s="690"/>
      <c r="AH2454" s="690"/>
      <c r="AI2454" s="696">
        <f t="shared" si="331"/>
        <v>6156</v>
      </c>
      <c r="AJ2454" s="697">
        <f t="shared" si="332"/>
        <v>0</v>
      </c>
    </row>
    <row r="2455" spans="1:36" s="700" customFormat="1" ht="12.75" customHeight="1">
      <c r="A2455" s="866" t="s">
        <v>206</v>
      </c>
      <c r="B2455" s="866" t="s">
        <v>400</v>
      </c>
      <c r="C2455" s="860" t="s">
        <v>1423</v>
      </c>
      <c r="D2455" s="860"/>
      <c r="E2455" s="956">
        <v>218645</v>
      </c>
      <c r="F2455" s="845">
        <v>6</v>
      </c>
      <c r="G2455" s="1025"/>
      <c r="H2455" s="690"/>
      <c r="I2455" s="1030">
        <v>8709</v>
      </c>
      <c r="J2455" s="690">
        <v>5144</v>
      </c>
      <c r="K2455" s="1030"/>
      <c r="L2455" s="690"/>
      <c r="M2455" s="1156"/>
      <c r="N2455" s="1157"/>
      <c r="O2455" s="692">
        <f t="shared" si="325"/>
        <v>0</v>
      </c>
      <c r="P2455" s="690"/>
      <c r="Q2455" s="690"/>
      <c r="R2455" s="691">
        <f t="shared" si="326"/>
        <v>0</v>
      </c>
      <c r="S2455" s="692">
        <f t="shared" si="327"/>
        <v>8709</v>
      </c>
      <c r="T2455" s="693">
        <f t="shared" si="328"/>
        <v>5144</v>
      </c>
      <c r="U2455" s="1035"/>
      <c r="V2455" s="690"/>
      <c r="W2455" s="1025"/>
      <c r="X2455" s="1030"/>
      <c r="Y2455" s="694">
        <f t="shared" si="329"/>
        <v>0</v>
      </c>
      <c r="Z2455" s="690"/>
      <c r="AA2455" s="690"/>
      <c r="AB2455" s="695">
        <f t="shared" si="330"/>
        <v>0</v>
      </c>
      <c r="AC2455" s="1035"/>
      <c r="AD2455" s="690"/>
      <c r="AE2455" s="1025"/>
      <c r="AF2455" s="1030"/>
      <c r="AG2455" s="690"/>
      <c r="AH2455" s="690"/>
      <c r="AI2455" s="696">
        <f t="shared" si="331"/>
        <v>8709</v>
      </c>
      <c r="AJ2455" s="697">
        <f t="shared" si="332"/>
        <v>5144</v>
      </c>
    </row>
    <row r="2456" spans="1:36" s="700" customFormat="1" ht="12.75" customHeight="1">
      <c r="A2456" s="866" t="s">
        <v>206</v>
      </c>
      <c r="B2456" s="866" t="s">
        <v>400</v>
      </c>
      <c r="C2456" s="860" t="s">
        <v>1419</v>
      </c>
      <c r="D2456" s="860"/>
      <c r="E2456" s="956">
        <v>218645</v>
      </c>
      <c r="F2456" s="845">
        <v>6</v>
      </c>
      <c r="G2456" s="1025"/>
      <c r="H2456" s="690"/>
      <c r="I2456" s="1030">
        <v>11893</v>
      </c>
      <c r="J2456" s="690"/>
      <c r="K2456" s="1030"/>
      <c r="L2456" s="690"/>
      <c r="M2456" s="1156"/>
      <c r="N2456" s="1157"/>
      <c r="O2456" s="692">
        <f t="shared" si="325"/>
        <v>0</v>
      </c>
      <c r="P2456" s="690"/>
      <c r="Q2456" s="690"/>
      <c r="R2456" s="691">
        <f t="shared" si="326"/>
        <v>0</v>
      </c>
      <c r="S2456" s="692">
        <f t="shared" si="327"/>
        <v>11893</v>
      </c>
      <c r="T2456" s="693">
        <f t="shared" si="328"/>
        <v>0</v>
      </c>
      <c r="U2456" s="1035"/>
      <c r="V2456" s="690"/>
      <c r="W2456" s="1025"/>
      <c r="X2456" s="1030"/>
      <c r="Y2456" s="694">
        <f t="shared" si="329"/>
        <v>0</v>
      </c>
      <c r="Z2456" s="690"/>
      <c r="AA2456" s="690"/>
      <c r="AB2456" s="695">
        <f t="shared" si="330"/>
        <v>0</v>
      </c>
      <c r="AC2456" s="1035"/>
      <c r="AD2456" s="690"/>
      <c r="AE2456" s="1025"/>
      <c r="AF2456" s="1030"/>
      <c r="AG2456" s="690"/>
      <c r="AH2456" s="690"/>
      <c r="AI2456" s="696">
        <f t="shared" si="331"/>
        <v>11893</v>
      </c>
      <c r="AJ2456" s="697">
        <f t="shared" si="332"/>
        <v>0</v>
      </c>
    </row>
    <row r="2457" spans="1:36" s="700" customFormat="1" ht="12.75" customHeight="1">
      <c r="A2457" s="866" t="s">
        <v>206</v>
      </c>
      <c r="B2457" s="866" t="s">
        <v>400</v>
      </c>
      <c r="C2457" s="860" t="s">
        <v>1421</v>
      </c>
      <c r="D2457" s="860"/>
      <c r="E2457" s="956">
        <v>218645</v>
      </c>
      <c r="F2457" s="845">
        <v>6</v>
      </c>
      <c r="G2457" s="1025"/>
      <c r="H2457" s="690"/>
      <c r="I2457" s="1030">
        <v>32953</v>
      </c>
      <c r="J2457" s="690">
        <v>0</v>
      </c>
      <c r="K2457" s="1030"/>
      <c r="L2457" s="690"/>
      <c r="M2457" s="1156"/>
      <c r="N2457" s="1157"/>
      <c r="O2457" s="692">
        <f t="shared" si="325"/>
        <v>0</v>
      </c>
      <c r="P2457" s="690"/>
      <c r="Q2457" s="690"/>
      <c r="R2457" s="691">
        <f t="shared" si="326"/>
        <v>0</v>
      </c>
      <c r="S2457" s="692">
        <f t="shared" si="327"/>
        <v>32953</v>
      </c>
      <c r="T2457" s="693">
        <f t="shared" si="328"/>
        <v>0</v>
      </c>
      <c r="U2457" s="1035"/>
      <c r="V2457" s="690"/>
      <c r="W2457" s="1025"/>
      <c r="X2457" s="1030"/>
      <c r="Y2457" s="694">
        <f t="shared" si="329"/>
        <v>0</v>
      </c>
      <c r="Z2457" s="690"/>
      <c r="AA2457" s="690"/>
      <c r="AB2457" s="695">
        <f t="shared" si="330"/>
        <v>0</v>
      </c>
      <c r="AC2457" s="1035"/>
      <c r="AD2457" s="690"/>
      <c r="AE2457" s="1025"/>
      <c r="AF2457" s="1030"/>
      <c r="AG2457" s="690"/>
      <c r="AH2457" s="690"/>
      <c r="AI2457" s="696">
        <f t="shared" si="331"/>
        <v>32953</v>
      </c>
      <c r="AJ2457" s="697">
        <f t="shared" si="332"/>
        <v>0</v>
      </c>
    </row>
    <row r="2458" spans="1:36" s="700" customFormat="1" ht="12.75" customHeight="1">
      <c r="A2458" s="866" t="s">
        <v>206</v>
      </c>
      <c r="B2458" s="866" t="s">
        <v>400</v>
      </c>
      <c r="C2458" s="860" t="s">
        <v>1442</v>
      </c>
      <c r="D2458" s="860"/>
      <c r="E2458" s="956">
        <v>218645</v>
      </c>
      <c r="F2458" s="845">
        <v>6</v>
      </c>
      <c r="G2458" s="1025"/>
      <c r="H2458" s="690"/>
      <c r="I2458" s="1030">
        <v>456823</v>
      </c>
      <c r="J2458" s="690">
        <v>257346</v>
      </c>
      <c r="K2458" s="1030"/>
      <c r="L2458" s="690"/>
      <c r="M2458" s="1156"/>
      <c r="N2458" s="1157"/>
      <c r="O2458" s="692">
        <f t="shared" si="325"/>
        <v>0</v>
      </c>
      <c r="P2458" s="690"/>
      <c r="Q2458" s="690"/>
      <c r="R2458" s="691">
        <f t="shared" si="326"/>
        <v>0</v>
      </c>
      <c r="S2458" s="692">
        <f t="shared" si="327"/>
        <v>456823</v>
      </c>
      <c r="T2458" s="693">
        <f t="shared" si="328"/>
        <v>257346</v>
      </c>
      <c r="U2458" s="1035"/>
      <c r="V2458" s="690"/>
      <c r="W2458" s="1025"/>
      <c r="X2458" s="1030"/>
      <c r="Y2458" s="694">
        <f t="shared" si="329"/>
        <v>0</v>
      </c>
      <c r="Z2458" s="690"/>
      <c r="AA2458" s="690"/>
      <c r="AB2458" s="695">
        <f t="shared" si="330"/>
        <v>0</v>
      </c>
      <c r="AC2458" s="1035"/>
      <c r="AD2458" s="690"/>
      <c r="AE2458" s="1025"/>
      <c r="AF2458" s="1030"/>
      <c r="AG2458" s="690"/>
      <c r="AH2458" s="690"/>
      <c r="AI2458" s="696">
        <f t="shared" si="331"/>
        <v>456823</v>
      </c>
      <c r="AJ2458" s="697">
        <f t="shared" si="332"/>
        <v>257346</v>
      </c>
    </row>
    <row r="2459" spans="1:36" s="700" customFormat="1" ht="12.75" customHeight="1">
      <c r="A2459" s="866" t="s">
        <v>206</v>
      </c>
      <c r="B2459" s="866" t="s">
        <v>392</v>
      </c>
      <c r="C2459" s="853" t="s">
        <v>1466</v>
      </c>
      <c r="D2459" s="853"/>
      <c r="E2459" s="849">
        <v>218654</v>
      </c>
      <c r="F2459" s="845">
        <v>6</v>
      </c>
      <c r="G2459" s="1025">
        <v>1520000</v>
      </c>
      <c r="H2459" s="690">
        <v>1200500</v>
      </c>
      <c r="I2459" s="1030"/>
      <c r="J2459" s="690"/>
      <c r="K2459" s="1030"/>
      <c r="L2459" s="690"/>
      <c r="M2459" s="1153">
        <v>12268381</v>
      </c>
      <c r="N2459" s="1155">
        <v>306290</v>
      </c>
      <c r="O2459" s="692">
        <f t="shared" si="325"/>
        <v>12574671</v>
      </c>
      <c r="P2459" s="1153">
        <v>14053005</v>
      </c>
      <c r="Q2459" s="1155">
        <v>329805</v>
      </c>
      <c r="R2459" s="691">
        <f t="shared" si="326"/>
        <v>14382810</v>
      </c>
      <c r="S2459" s="692">
        <f t="shared" si="327"/>
        <v>13788381</v>
      </c>
      <c r="T2459" s="693">
        <f t="shared" si="328"/>
        <v>15253505</v>
      </c>
      <c r="U2459" s="1035"/>
      <c r="V2459" s="690"/>
      <c r="W2459" s="1025"/>
      <c r="X2459" s="1030"/>
      <c r="Y2459" s="694">
        <f t="shared" si="329"/>
        <v>0</v>
      </c>
      <c r="Z2459" s="690"/>
      <c r="AA2459" s="690"/>
      <c r="AB2459" s="695">
        <f t="shared" si="330"/>
        <v>0</v>
      </c>
      <c r="AC2459" s="1035"/>
      <c r="AD2459" s="690"/>
      <c r="AE2459" s="1025"/>
      <c r="AF2459" s="1030"/>
      <c r="AG2459" s="690"/>
      <c r="AH2459" s="690"/>
      <c r="AI2459" s="696">
        <f t="shared" si="331"/>
        <v>13788381</v>
      </c>
      <c r="AJ2459" s="697">
        <f t="shared" si="332"/>
        <v>15253505</v>
      </c>
    </row>
    <row r="2460" spans="1:36" s="700" customFormat="1" ht="12.75" customHeight="1">
      <c r="A2460" s="866" t="s">
        <v>206</v>
      </c>
      <c r="B2460" s="866" t="s">
        <v>392</v>
      </c>
      <c r="C2460" s="860" t="s">
        <v>1414</v>
      </c>
      <c r="D2460" s="860"/>
      <c r="E2460" s="956">
        <v>218654</v>
      </c>
      <c r="F2460" s="845">
        <v>6</v>
      </c>
      <c r="G2460" s="1025">
        <v>314243</v>
      </c>
      <c r="H2460" s="690">
        <v>261146</v>
      </c>
      <c r="I2460" s="1030"/>
      <c r="J2460" s="690"/>
      <c r="K2460" s="1030"/>
      <c r="L2460" s="690"/>
      <c r="M2460" s="1156"/>
      <c r="N2460" s="1157"/>
      <c r="O2460" s="692">
        <f t="shared" si="325"/>
        <v>0</v>
      </c>
      <c r="P2460" s="690"/>
      <c r="Q2460" s="690"/>
      <c r="R2460" s="691">
        <f t="shared" si="326"/>
        <v>0</v>
      </c>
      <c r="S2460" s="692">
        <f t="shared" si="327"/>
        <v>314243</v>
      </c>
      <c r="T2460" s="693">
        <f t="shared" si="328"/>
        <v>261146</v>
      </c>
      <c r="U2460" s="1035"/>
      <c r="V2460" s="690"/>
      <c r="W2460" s="1025"/>
      <c r="X2460" s="1030"/>
      <c r="Y2460" s="694">
        <f t="shared" si="329"/>
        <v>0</v>
      </c>
      <c r="Z2460" s="690"/>
      <c r="AA2460" s="690"/>
      <c r="AB2460" s="695">
        <f t="shared" si="330"/>
        <v>0</v>
      </c>
      <c r="AC2460" s="1035"/>
      <c r="AD2460" s="690"/>
      <c r="AE2460" s="1025"/>
      <c r="AF2460" s="1030"/>
      <c r="AG2460" s="690"/>
      <c r="AH2460" s="690"/>
      <c r="AI2460" s="696">
        <f t="shared" si="331"/>
        <v>314243</v>
      </c>
      <c r="AJ2460" s="697">
        <f t="shared" si="332"/>
        <v>261146</v>
      </c>
    </row>
    <row r="2461" spans="1:36" s="700" customFormat="1" ht="12.75" customHeight="1">
      <c r="A2461" s="866" t="s">
        <v>206</v>
      </c>
      <c r="B2461" s="866" t="s">
        <v>394</v>
      </c>
      <c r="C2461" s="957" t="s">
        <v>451</v>
      </c>
      <c r="D2461" s="957"/>
      <c r="E2461" s="956">
        <v>218654</v>
      </c>
      <c r="F2461" s="845">
        <v>6</v>
      </c>
      <c r="G2461" s="1025"/>
      <c r="H2461" s="690"/>
      <c r="I2461" s="1030"/>
      <c r="J2461" s="690"/>
      <c r="K2461" s="1030"/>
      <c r="L2461" s="690"/>
      <c r="M2461" s="1156"/>
      <c r="N2461" s="1157"/>
      <c r="O2461" s="692">
        <f t="shared" si="325"/>
        <v>0</v>
      </c>
      <c r="P2461" s="690"/>
      <c r="Q2461" s="690"/>
      <c r="R2461" s="691">
        <f t="shared" si="326"/>
        <v>0</v>
      </c>
      <c r="S2461" s="692">
        <f t="shared" si="327"/>
        <v>0</v>
      </c>
      <c r="T2461" s="693">
        <f t="shared" si="328"/>
        <v>0</v>
      </c>
      <c r="U2461" s="1035"/>
      <c r="V2461" s="690"/>
      <c r="W2461" s="1025"/>
      <c r="X2461" s="1030"/>
      <c r="Y2461" s="694">
        <f t="shared" si="329"/>
        <v>0</v>
      </c>
      <c r="Z2461" s="690"/>
      <c r="AA2461" s="690"/>
      <c r="AB2461" s="695">
        <f t="shared" si="330"/>
        <v>0</v>
      </c>
      <c r="AC2461" s="1035"/>
      <c r="AD2461" s="690"/>
      <c r="AE2461" s="1025"/>
      <c r="AF2461" s="1030"/>
      <c r="AG2461" s="690"/>
      <c r="AH2461" s="690"/>
      <c r="AI2461" s="696">
        <f t="shared" si="331"/>
        <v>0</v>
      </c>
      <c r="AJ2461" s="697">
        <f t="shared" si="332"/>
        <v>0</v>
      </c>
    </row>
    <row r="2462" spans="1:36" s="700" customFormat="1" ht="12.75" customHeight="1">
      <c r="A2462" s="866" t="s">
        <v>206</v>
      </c>
      <c r="B2462" s="866" t="s">
        <v>400</v>
      </c>
      <c r="C2462" s="859" t="s">
        <v>1418</v>
      </c>
      <c r="D2462" s="859"/>
      <c r="E2462" s="956">
        <v>218654</v>
      </c>
      <c r="F2462" s="845">
        <v>6</v>
      </c>
      <c r="G2462" s="1025"/>
      <c r="H2462" s="690"/>
      <c r="I2462" s="1030"/>
      <c r="J2462" s="690"/>
      <c r="K2462" s="1030"/>
      <c r="L2462" s="690"/>
      <c r="M2462" s="1156"/>
      <c r="N2462" s="1157"/>
      <c r="O2462" s="692">
        <f t="shared" si="325"/>
        <v>0</v>
      </c>
      <c r="P2462" s="690"/>
      <c r="Q2462" s="690"/>
      <c r="R2462" s="691">
        <f t="shared" si="326"/>
        <v>0</v>
      </c>
      <c r="S2462" s="692">
        <f t="shared" si="327"/>
        <v>0</v>
      </c>
      <c r="T2462" s="693">
        <f t="shared" si="328"/>
        <v>0</v>
      </c>
      <c r="U2462" s="1035"/>
      <c r="V2462" s="690"/>
      <c r="W2462" s="1025"/>
      <c r="X2462" s="1030"/>
      <c r="Y2462" s="694">
        <f t="shared" si="329"/>
        <v>0</v>
      </c>
      <c r="Z2462" s="690"/>
      <c r="AA2462" s="690"/>
      <c r="AB2462" s="695">
        <f t="shared" si="330"/>
        <v>0</v>
      </c>
      <c r="AC2462" s="1035"/>
      <c r="AD2462" s="690"/>
      <c r="AE2462" s="1025"/>
      <c r="AF2462" s="1030"/>
      <c r="AG2462" s="690"/>
      <c r="AH2462" s="690"/>
      <c r="AI2462" s="696">
        <f t="shared" si="331"/>
        <v>0</v>
      </c>
      <c r="AJ2462" s="697">
        <f t="shared" si="332"/>
        <v>0</v>
      </c>
    </row>
    <row r="2463" spans="1:36" s="700" customFormat="1" ht="12.75" customHeight="1">
      <c r="A2463" s="866" t="s">
        <v>206</v>
      </c>
      <c r="B2463" s="866" t="s">
        <v>400</v>
      </c>
      <c r="C2463" s="860" t="s">
        <v>1422</v>
      </c>
      <c r="D2463" s="860"/>
      <c r="E2463" s="956">
        <v>218654</v>
      </c>
      <c r="F2463" s="845">
        <v>6</v>
      </c>
      <c r="G2463" s="1025"/>
      <c r="H2463" s="690"/>
      <c r="I2463" s="1030">
        <v>4953</v>
      </c>
      <c r="J2463" s="690">
        <v>0</v>
      </c>
      <c r="K2463" s="1030"/>
      <c r="L2463" s="690"/>
      <c r="M2463" s="1156"/>
      <c r="N2463" s="1157"/>
      <c r="O2463" s="692">
        <f t="shared" si="325"/>
        <v>0</v>
      </c>
      <c r="P2463" s="690"/>
      <c r="Q2463" s="690"/>
      <c r="R2463" s="691">
        <f t="shared" si="326"/>
        <v>0</v>
      </c>
      <c r="S2463" s="692">
        <f t="shared" si="327"/>
        <v>4953</v>
      </c>
      <c r="T2463" s="693">
        <f t="shared" si="328"/>
        <v>0</v>
      </c>
      <c r="U2463" s="1035"/>
      <c r="V2463" s="690"/>
      <c r="W2463" s="1025"/>
      <c r="X2463" s="1030"/>
      <c r="Y2463" s="694">
        <f t="shared" si="329"/>
        <v>0</v>
      </c>
      <c r="Z2463" s="690"/>
      <c r="AA2463" s="690"/>
      <c r="AB2463" s="695">
        <f t="shared" si="330"/>
        <v>0</v>
      </c>
      <c r="AC2463" s="1035"/>
      <c r="AD2463" s="690"/>
      <c r="AE2463" s="1025"/>
      <c r="AF2463" s="1030"/>
      <c r="AG2463" s="690"/>
      <c r="AH2463" s="690"/>
      <c r="AI2463" s="696">
        <f t="shared" si="331"/>
        <v>4953</v>
      </c>
      <c r="AJ2463" s="697">
        <f t="shared" si="332"/>
        <v>0</v>
      </c>
    </row>
    <row r="2464" spans="1:36" s="700" customFormat="1" ht="12.75" customHeight="1">
      <c r="A2464" s="866" t="s">
        <v>206</v>
      </c>
      <c r="B2464" s="866" t="s">
        <v>400</v>
      </c>
      <c r="C2464" s="860" t="s">
        <v>1423</v>
      </c>
      <c r="D2464" s="860"/>
      <c r="E2464" s="956">
        <v>218654</v>
      </c>
      <c r="F2464" s="845">
        <v>6</v>
      </c>
      <c r="G2464" s="1025"/>
      <c r="H2464" s="690"/>
      <c r="I2464" s="1030">
        <v>3373</v>
      </c>
      <c r="J2464" s="690">
        <v>1527</v>
      </c>
      <c r="K2464" s="1030"/>
      <c r="L2464" s="690"/>
      <c r="M2464" s="1156"/>
      <c r="N2464" s="1157"/>
      <c r="O2464" s="692">
        <f t="shared" si="325"/>
        <v>0</v>
      </c>
      <c r="P2464" s="690"/>
      <c r="Q2464" s="690"/>
      <c r="R2464" s="691">
        <f t="shared" si="326"/>
        <v>0</v>
      </c>
      <c r="S2464" s="692">
        <f t="shared" si="327"/>
        <v>3373</v>
      </c>
      <c r="T2464" s="693">
        <f t="shared" si="328"/>
        <v>1527</v>
      </c>
      <c r="U2464" s="1035"/>
      <c r="V2464" s="690"/>
      <c r="W2464" s="1025"/>
      <c r="X2464" s="1030"/>
      <c r="Y2464" s="694">
        <f t="shared" si="329"/>
        <v>0</v>
      </c>
      <c r="Z2464" s="690"/>
      <c r="AA2464" s="690"/>
      <c r="AB2464" s="695">
        <f t="shared" si="330"/>
        <v>0</v>
      </c>
      <c r="AC2464" s="1035"/>
      <c r="AD2464" s="690"/>
      <c r="AE2464" s="1025"/>
      <c r="AF2464" s="1030"/>
      <c r="AG2464" s="690"/>
      <c r="AH2464" s="690"/>
      <c r="AI2464" s="696">
        <f t="shared" si="331"/>
        <v>3373</v>
      </c>
      <c r="AJ2464" s="697">
        <f t="shared" si="332"/>
        <v>1527</v>
      </c>
    </row>
    <row r="2465" spans="1:36" s="700" customFormat="1" ht="12.75" customHeight="1">
      <c r="A2465" s="866" t="s">
        <v>206</v>
      </c>
      <c r="B2465" s="866" t="s">
        <v>400</v>
      </c>
      <c r="C2465" s="860" t="s">
        <v>1421</v>
      </c>
      <c r="D2465" s="860"/>
      <c r="E2465" s="956">
        <v>218654</v>
      </c>
      <c r="F2465" s="845">
        <v>6</v>
      </c>
      <c r="G2465" s="1025"/>
      <c r="H2465" s="690"/>
      <c r="I2465" s="1030">
        <v>990</v>
      </c>
      <c r="J2465" s="690">
        <v>0</v>
      </c>
      <c r="K2465" s="1030"/>
      <c r="L2465" s="690"/>
      <c r="M2465" s="1156"/>
      <c r="N2465" s="1157"/>
      <c r="O2465" s="692">
        <f t="shared" si="325"/>
        <v>0</v>
      </c>
      <c r="P2465" s="690"/>
      <c r="Q2465" s="690"/>
      <c r="R2465" s="691">
        <f t="shared" si="326"/>
        <v>0</v>
      </c>
      <c r="S2465" s="692">
        <f t="shared" si="327"/>
        <v>990</v>
      </c>
      <c r="T2465" s="693">
        <f t="shared" si="328"/>
        <v>0</v>
      </c>
      <c r="U2465" s="1035"/>
      <c r="V2465" s="690"/>
      <c r="W2465" s="1025"/>
      <c r="X2465" s="1030"/>
      <c r="Y2465" s="694">
        <f t="shared" si="329"/>
        <v>0</v>
      </c>
      <c r="Z2465" s="690"/>
      <c r="AA2465" s="690"/>
      <c r="AB2465" s="695">
        <f t="shared" si="330"/>
        <v>0</v>
      </c>
      <c r="AC2465" s="1035"/>
      <c r="AD2465" s="690"/>
      <c r="AE2465" s="1025"/>
      <c r="AF2465" s="1030"/>
      <c r="AG2465" s="690"/>
      <c r="AH2465" s="690"/>
      <c r="AI2465" s="696">
        <f t="shared" si="331"/>
        <v>990</v>
      </c>
      <c r="AJ2465" s="697">
        <f t="shared" si="332"/>
        <v>0</v>
      </c>
    </row>
    <row r="2466" spans="1:36" s="700" customFormat="1" ht="12.75" customHeight="1">
      <c r="A2466" s="866" t="s">
        <v>206</v>
      </c>
      <c r="B2466" s="866" t="s">
        <v>400</v>
      </c>
      <c r="C2466" s="860" t="s">
        <v>1442</v>
      </c>
      <c r="D2466" s="860"/>
      <c r="E2466" s="956">
        <v>218654</v>
      </c>
      <c r="F2466" s="845">
        <v>6</v>
      </c>
      <c r="G2466" s="1025"/>
      <c r="H2466" s="690"/>
      <c r="I2466" s="1030">
        <v>318058</v>
      </c>
      <c r="J2466" s="690">
        <v>189132</v>
      </c>
      <c r="K2466" s="1030"/>
      <c r="L2466" s="690"/>
      <c r="M2466" s="1156"/>
      <c r="N2466" s="1157"/>
      <c r="O2466" s="692">
        <f t="shared" si="325"/>
        <v>0</v>
      </c>
      <c r="P2466" s="690"/>
      <c r="Q2466" s="690"/>
      <c r="R2466" s="691">
        <f t="shared" si="326"/>
        <v>0</v>
      </c>
      <c r="S2466" s="692">
        <f t="shared" si="327"/>
        <v>318058</v>
      </c>
      <c r="T2466" s="693">
        <f t="shared" si="328"/>
        <v>189132</v>
      </c>
      <c r="U2466" s="1035"/>
      <c r="V2466" s="690"/>
      <c r="W2466" s="1025"/>
      <c r="X2466" s="1030"/>
      <c r="Y2466" s="694">
        <f t="shared" si="329"/>
        <v>0</v>
      </c>
      <c r="Z2466" s="690"/>
      <c r="AA2466" s="690"/>
      <c r="AB2466" s="695">
        <f t="shared" si="330"/>
        <v>0</v>
      </c>
      <c r="AC2466" s="1035"/>
      <c r="AD2466" s="690"/>
      <c r="AE2466" s="1025"/>
      <c r="AF2466" s="1030"/>
      <c r="AG2466" s="690"/>
      <c r="AH2466" s="690"/>
      <c r="AI2466" s="696">
        <f t="shared" si="331"/>
        <v>318058</v>
      </c>
      <c r="AJ2466" s="697">
        <f t="shared" si="332"/>
        <v>189132</v>
      </c>
    </row>
    <row r="2467" spans="1:36" s="700" customFormat="1" ht="12.75" customHeight="1">
      <c r="A2467" s="866" t="s">
        <v>206</v>
      </c>
      <c r="B2467" s="866" t="s">
        <v>392</v>
      </c>
      <c r="C2467" s="955" t="s">
        <v>1467</v>
      </c>
      <c r="D2467" s="955"/>
      <c r="E2467" s="956">
        <v>218742</v>
      </c>
      <c r="F2467" s="845">
        <v>6</v>
      </c>
      <c r="G2467" s="1025">
        <v>8466255</v>
      </c>
      <c r="H2467" s="690">
        <v>6715000</v>
      </c>
      <c r="I2467" s="1030"/>
      <c r="J2467" s="690"/>
      <c r="K2467" s="1030"/>
      <c r="L2467" s="690"/>
      <c r="M2467" s="1153">
        <v>44245634</v>
      </c>
      <c r="N2467" s="1155">
        <v>2620473</v>
      </c>
      <c r="O2467" s="692">
        <f t="shared" si="325"/>
        <v>46866107</v>
      </c>
      <c r="P2467" s="1153">
        <v>47569902</v>
      </c>
      <c r="Q2467" s="1155">
        <v>2688847</v>
      </c>
      <c r="R2467" s="691">
        <f t="shared" si="326"/>
        <v>50258749</v>
      </c>
      <c r="S2467" s="692">
        <f t="shared" si="327"/>
        <v>52711889</v>
      </c>
      <c r="T2467" s="693">
        <f t="shared" si="328"/>
        <v>54284902</v>
      </c>
      <c r="U2467" s="1035"/>
      <c r="V2467" s="690"/>
      <c r="W2467" s="1025"/>
      <c r="X2467" s="1030"/>
      <c r="Y2467" s="694">
        <f t="shared" si="329"/>
        <v>0</v>
      </c>
      <c r="Z2467" s="690"/>
      <c r="AA2467" s="690"/>
      <c r="AB2467" s="695">
        <f t="shared" si="330"/>
        <v>0</v>
      </c>
      <c r="AC2467" s="1035"/>
      <c r="AD2467" s="690"/>
      <c r="AE2467" s="1025"/>
      <c r="AF2467" s="1030"/>
      <c r="AG2467" s="690"/>
      <c r="AH2467" s="690"/>
      <c r="AI2467" s="696">
        <f t="shared" si="331"/>
        <v>52711889</v>
      </c>
      <c r="AJ2467" s="697">
        <f t="shared" si="332"/>
        <v>54284902</v>
      </c>
    </row>
    <row r="2468" spans="1:36" s="700" customFormat="1" ht="12.75" customHeight="1">
      <c r="A2468" s="866" t="s">
        <v>206</v>
      </c>
      <c r="B2468" s="866" t="s">
        <v>392</v>
      </c>
      <c r="C2468" s="860" t="s">
        <v>1414</v>
      </c>
      <c r="D2468" s="860"/>
      <c r="E2468" s="956">
        <v>218742</v>
      </c>
      <c r="F2468" s="845">
        <v>6</v>
      </c>
      <c r="G2468" s="1025">
        <v>1638616</v>
      </c>
      <c r="H2468" s="690">
        <v>1378427</v>
      </c>
      <c r="I2468" s="1030"/>
      <c r="J2468" s="690"/>
      <c r="K2468" s="1030"/>
      <c r="L2468" s="690"/>
      <c r="M2468" s="1156"/>
      <c r="N2468" s="1157"/>
      <c r="O2468" s="692">
        <f t="shared" si="325"/>
        <v>0</v>
      </c>
      <c r="P2468" s="690"/>
      <c r="Q2468" s="690"/>
      <c r="R2468" s="691">
        <f t="shared" si="326"/>
        <v>0</v>
      </c>
      <c r="S2468" s="692">
        <f t="shared" si="327"/>
        <v>1638616</v>
      </c>
      <c r="T2468" s="693">
        <f t="shared" si="328"/>
        <v>1378427</v>
      </c>
      <c r="U2468" s="1035"/>
      <c r="V2468" s="690"/>
      <c r="W2468" s="1025"/>
      <c r="X2468" s="1030"/>
      <c r="Y2468" s="694">
        <f t="shared" si="329"/>
        <v>0</v>
      </c>
      <c r="Z2468" s="690"/>
      <c r="AA2468" s="690"/>
      <c r="AB2468" s="695">
        <f t="shared" si="330"/>
        <v>0</v>
      </c>
      <c r="AC2468" s="1035"/>
      <c r="AD2468" s="690"/>
      <c r="AE2468" s="1025"/>
      <c r="AF2468" s="1030"/>
      <c r="AG2468" s="690"/>
      <c r="AH2468" s="690"/>
      <c r="AI2468" s="696">
        <f t="shared" si="331"/>
        <v>1638616</v>
      </c>
      <c r="AJ2468" s="697">
        <f t="shared" si="332"/>
        <v>1378427</v>
      </c>
    </row>
    <row r="2469" spans="1:36" s="700" customFormat="1" ht="12.75" customHeight="1">
      <c r="A2469" s="866" t="s">
        <v>206</v>
      </c>
      <c r="B2469" s="866" t="s">
        <v>400</v>
      </c>
      <c r="C2469" s="859" t="s">
        <v>1418</v>
      </c>
      <c r="D2469" s="859"/>
      <c r="E2469" s="956">
        <v>218742</v>
      </c>
      <c r="F2469" s="845">
        <v>6</v>
      </c>
      <c r="G2469" s="1025"/>
      <c r="H2469" s="690"/>
      <c r="I2469" s="1030"/>
      <c r="J2469" s="690"/>
      <c r="K2469" s="1030"/>
      <c r="L2469" s="690"/>
      <c r="M2469" s="1156"/>
      <c r="N2469" s="1157"/>
      <c r="O2469" s="692">
        <f t="shared" si="325"/>
        <v>0</v>
      </c>
      <c r="P2469" s="690"/>
      <c r="Q2469" s="690"/>
      <c r="R2469" s="691">
        <f t="shared" si="326"/>
        <v>0</v>
      </c>
      <c r="S2469" s="692">
        <f t="shared" si="327"/>
        <v>0</v>
      </c>
      <c r="T2469" s="693">
        <f t="shared" si="328"/>
        <v>0</v>
      </c>
      <c r="U2469" s="1035"/>
      <c r="V2469" s="690"/>
      <c r="W2469" s="1025"/>
      <c r="X2469" s="1030"/>
      <c r="Y2469" s="694">
        <f t="shared" si="329"/>
        <v>0</v>
      </c>
      <c r="Z2469" s="690"/>
      <c r="AA2469" s="690"/>
      <c r="AB2469" s="695">
        <f t="shared" si="330"/>
        <v>0</v>
      </c>
      <c r="AC2469" s="1035"/>
      <c r="AD2469" s="690"/>
      <c r="AE2469" s="1025"/>
      <c r="AF2469" s="1030"/>
      <c r="AG2469" s="690"/>
      <c r="AH2469" s="690"/>
      <c r="AI2469" s="696">
        <f t="shared" si="331"/>
        <v>0</v>
      </c>
      <c r="AJ2469" s="697">
        <f t="shared" si="332"/>
        <v>0</v>
      </c>
    </row>
    <row r="2470" spans="1:36" s="700" customFormat="1" ht="12.75" customHeight="1">
      <c r="A2470" s="866" t="s">
        <v>206</v>
      </c>
      <c r="B2470" s="866" t="s">
        <v>400</v>
      </c>
      <c r="C2470" s="860" t="s">
        <v>1422</v>
      </c>
      <c r="D2470" s="860"/>
      <c r="E2470" s="956">
        <v>218742</v>
      </c>
      <c r="F2470" s="845">
        <v>6</v>
      </c>
      <c r="G2470" s="1025"/>
      <c r="H2470" s="690"/>
      <c r="I2470" s="1030">
        <v>7430</v>
      </c>
      <c r="J2470" s="690">
        <v>0</v>
      </c>
      <c r="K2470" s="1030"/>
      <c r="L2470" s="690"/>
      <c r="M2470" s="1156"/>
      <c r="N2470" s="1157"/>
      <c r="O2470" s="692">
        <f t="shared" si="325"/>
        <v>0</v>
      </c>
      <c r="P2470" s="690"/>
      <c r="Q2470" s="690"/>
      <c r="R2470" s="691">
        <f t="shared" si="326"/>
        <v>0</v>
      </c>
      <c r="S2470" s="692">
        <f t="shared" si="327"/>
        <v>7430</v>
      </c>
      <c r="T2470" s="693">
        <f t="shared" si="328"/>
        <v>0</v>
      </c>
      <c r="U2470" s="1035"/>
      <c r="V2470" s="690"/>
      <c r="W2470" s="1025"/>
      <c r="X2470" s="1030"/>
      <c r="Y2470" s="694">
        <f t="shared" si="329"/>
        <v>0</v>
      </c>
      <c r="Z2470" s="690"/>
      <c r="AA2470" s="690"/>
      <c r="AB2470" s="695">
        <f t="shared" si="330"/>
        <v>0</v>
      </c>
      <c r="AC2470" s="1035"/>
      <c r="AD2470" s="690"/>
      <c r="AE2470" s="1025"/>
      <c r="AF2470" s="1030"/>
      <c r="AG2470" s="690"/>
      <c r="AH2470" s="690"/>
      <c r="AI2470" s="696">
        <f t="shared" si="331"/>
        <v>7430</v>
      </c>
      <c r="AJ2470" s="697">
        <f t="shared" si="332"/>
        <v>0</v>
      </c>
    </row>
    <row r="2471" spans="1:36" s="700" customFormat="1" ht="12.75" customHeight="1">
      <c r="A2471" s="866" t="s">
        <v>206</v>
      </c>
      <c r="B2471" s="866" t="s">
        <v>400</v>
      </c>
      <c r="C2471" s="860" t="s">
        <v>1423</v>
      </c>
      <c r="D2471" s="860"/>
      <c r="E2471" s="956">
        <v>218742</v>
      </c>
      <c r="F2471" s="845">
        <v>6</v>
      </c>
      <c r="G2471" s="1025"/>
      <c r="H2471" s="690"/>
      <c r="I2471" s="1030">
        <v>74</v>
      </c>
      <c r="J2471" s="690">
        <v>1259</v>
      </c>
      <c r="K2471" s="1030"/>
      <c r="L2471" s="690"/>
      <c r="M2471" s="1156"/>
      <c r="N2471" s="1157"/>
      <c r="O2471" s="692">
        <f t="shared" si="325"/>
        <v>0</v>
      </c>
      <c r="P2471" s="690"/>
      <c r="Q2471" s="690"/>
      <c r="R2471" s="691">
        <f t="shared" si="326"/>
        <v>0</v>
      </c>
      <c r="S2471" s="692">
        <f t="shared" si="327"/>
        <v>74</v>
      </c>
      <c r="T2471" s="693">
        <f t="shared" si="328"/>
        <v>1259</v>
      </c>
      <c r="U2471" s="1035"/>
      <c r="V2471" s="690"/>
      <c r="W2471" s="1025"/>
      <c r="X2471" s="1030"/>
      <c r="Y2471" s="694">
        <f t="shared" si="329"/>
        <v>0</v>
      </c>
      <c r="Z2471" s="690"/>
      <c r="AA2471" s="690"/>
      <c r="AB2471" s="695">
        <f t="shared" si="330"/>
        <v>0</v>
      </c>
      <c r="AC2471" s="1035"/>
      <c r="AD2471" s="690"/>
      <c r="AE2471" s="1025"/>
      <c r="AF2471" s="1030"/>
      <c r="AG2471" s="690"/>
      <c r="AH2471" s="690"/>
      <c r="AI2471" s="696">
        <f t="shared" si="331"/>
        <v>74</v>
      </c>
      <c r="AJ2471" s="697">
        <f t="shared" si="332"/>
        <v>1259</v>
      </c>
    </row>
    <row r="2472" spans="1:36" s="700" customFormat="1" ht="12.75" customHeight="1">
      <c r="A2472" s="866" t="s">
        <v>206</v>
      </c>
      <c r="B2472" s="866" t="s">
        <v>400</v>
      </c>
      <c r="C2472" s="860" t="s">
        <v>1419</v>
      </c>
      <c r="D2472" s="860"/>
      <c r="E2472" s="956">
        <v>218742</v>
      </c>
      <c r="F2472" s="845">
        <v>6</v>
      </c>
      <c r="G2472" s="1025"/>
      <c r="H2472" s="690"/>
      <c r="I2472" s="1030">
        <v>33745</v>
      </c>
      <c r="J2472" s="690"/>
      <c r="K2472" s="1030"/>
      <c r="L2472" s="690"/>
      <c r="M2472" s="1156"/>
      <c r="N2472" s="1157"/>
      <c r="O2472" s="692">
        <f t="shared" si="325"/>
        <v>0</v>
      </c>
      <c r="P2472" s="690"/>
      <c r="Q2472" s="690"/>
      <c r="R2472" s="691">
        <f t="shared" si="326"/>
        <v>0</v>
      </c>
      <c r="S2472" s="692">
        <f t="shared" si="327"/>
        <v>33745</v>
      </c>
      <c r="T2472" s="693">
        <f t="shared" si="328"/>
        <v>0</v>
      </c>
      <c r="U2472" s="1035"/>
      <c r="V2472" s="690"/>
      <c r="W2472" s="1025"/>
      <c r="X2472" s="1030"/>
      <c r="Y2472" s="694">
        <f t="shared" si="329"/>
        <v>0</v>
      </c>
      <c r="Z2472" s="690"/>
      <c r="AA2472" s="690"/>
      <c r="AB2472" s="695">
        <f t="shared" si="330"/>
        <v>0</v>
      </c>
      <c r="AC2472" s="1035"/>
      <c r="AD2472" s="690"/>
      <c r="AE2472" s="1025"/>
      <c r="AF2472" s="1030"/>
      <c r="AG2472" s="690"/>
      <c r="AH2472" s="690"/>
      <c r="AI2472" s="696">
        <f t="shared" si="331"/>
        <v>33745</v>
      </c>
      <c r="AJ2472" s="697">
        <f t="shared" si="332"/>
        <v>0</v>
      </c>
    </row>
    <row r="2473" spans="1:36" s="700" customFormat="1" ht="12.75" customHeight="1">
      <c r="A2473" s="866" t="s">
        <v>206</v>
      </c>
      <c r="B2473" s="866" t="s">
        <v>400</v>
      </c>
      <c r="C2473" s="860" t="s">
        <v>1421</v>
      </c>
      <c r="D2473" s="860"/>
      <c r="E2473" s="956">
        <v>218742</v>
      </c>
      <c r="F2473" s="845">
        <v>6</v>
      </c>
      <c r="G2473" s="1025"/>
      <c r="H2473" s="690"/>
      <c r="I2473" s="1030">
        <v>109742</v>
      </c>
      <c r="J2473" s="690">
        <v>0</v>
      </c>
      <c r="K2473" s="1030"/>
      <c r="L2473" s="690"/>
      <c r="M2473" s="1156"/>
      <c r="N2473" s="1157"/>
      <c r="O2473" s="692">
        <f t="shared" si="325"/>
        <v>0</v>
      </c>
      <c r="P2473" s="690"/>
      <c r="Q2473" s="690"/>
      <c r="R2473" s="691">
        <f t="shared" si="326"/>
        <v>0</v>
      </c>
      <c r="S2473" s="692">
        <f t="shared" si="327"/>
        <v>109742</v>
      </c>
      <c r="T2473" s="693">
        <f t="shared" si="328"/>
        <v>0</v>
      </c>
      <c r="U2473" s="1035"/>
      <c r="V2473" s="690"/>
      <c r="W2473" s="1025"/>
      <c r="X2473" s="1030"/>
      <c r="Y2473" s="694">
        <f t="shared" si="329"/>
        <v>0</v>
      </c>
      <c r="Z2473" s="690"/>
      <c r="AA2473" s="690"/>
      <c r="AB2473" s="695">
        <f t="shared" si="330"/>
        <v>0</v>
      </c>
      <c r="AC2473" s="1035"/>
      <c r="AD2473" s="690"/>
      <c r="AE2473" s="1025"/>
      <c r="AF2473" s="1030"/>
      <c r="AG2473" s="690"/>
      <c r="AH2473" s="690"/>
      <c r="AI2473" s="696">
        <f t="shared" si="331"/>
        <v>109742</v>
      </c>
      <c r="AJ2473" s="697">
        <f t="shared" si="332"/>
        <v>0</v>
      </c>
    </row>
    <row r="2474" spans="1:36" s="700" customFormat="1" ht="12.75" customHeight="1">
      <c r="A2474" s="866" t="s">
        <v>206</v>
      </c>
      <c r="B2474" s="866" t="s">
        <v>400</v>
      </c>
      <c r="C2474" s="860" t="s">
        <v>1442</v>
      </c>
      <c r="D2474" s="860"/>
      <c r="E2474" s="956">
        <v>218742</v>
      </c>
      <c r="F2474" s="845">
        <v>6</v>
      </c>
      <c r="G2474" s="1025"/>
      <c r="H2474" s="690"/>
      <c r="I2474" s="1030">
        <v>617172</v>
      </c>
      <c r="J2474" s="690">
        <v>355642</v>
      </c>
      <c r="K2474" s="1030"/>
      <c r="L2474" s="690"/>
      <c r="M2474" s="1156"/>
      <c r="N2474" s="1157"/>
      <c r="O2474" s="692">
        <f t="shared" si="325"/>
        <v>0</v>
      </c>
      <c r="P2474" s="690"/>
      <c r="Q2474" s="690"/>
      <c r="R2474" s="691">
        <f t="shared" si="326"/>
        <v>0</v>
      </c>
      <c r="S2474" s="692">
        <f t="shared" si="327"/>
        <v>617172</v>
      </c>
      <c r="T2474" s="693">
        <f t="shared" si="328"/>
        <v>355642</v>
      </c>
      <c r="U2474" s="1035"/>
      <c r="V2474" s="690"/>
      <c r="W2474" s="1025"/>
      <c r="X2474" s="1030"/>
      <c r="Y2474" s="694">
        <f t="shared" si="329"/>
        <v>0</v>
      </c>
      <c r="Z2474" s="690"/>
      <c r="AA2474" s="690"/>
      <c r="AB2474" s="695">
        <f t="shared" si="330"/>
        <v>0</v>
      </c>
      <c r="AC2474" s="1035"/>
      <c r="AD2474" s="690"/>
      <c r="AE2474" s="1025"/>
      <c r="AF2474" s="1030"/>
      <c r="AG2474" s="690"/>
      <c r="AH2474" s="690"/>
      <c r="AI2474" s="696">
        <f t="shared" si="331"/>
        <v>617172</v>
      </c>
      <c r="AJ2474" s="697">
        <f t="shared" si="332"/>
        <v>355642</v>
      </c>
    </row>
    <row r="2475" spans="1:36" s="700" customFormat="1" ht="12.75" customHeight="1">
      <c r="A2475" s="866" t="s">
        <v>206</v>
      </c>
      <c r="B2475" s="866" t="s">
        <v>392</v>
      </c>
      <c r="C2475" s="955" t="s">
        <v>1468</v>
      </c>
      <c r="D2475" s="955"/>
      <c r="E2475" s="956">
        <v>218113</v>
      </c>
      <c r="F2475" s="845">
        <v>8</v>
      </c>
      <c r="G2475" s="1025">
        <v>17109449</v>
      </c>
      <c r="H2475" s="818">
        <v>14678680</v>
      </c>
      <c r="I2475" s="1030"/>
      <c r="J2475" s="690"/>
      <c r="K2475" s="1030">
        <v>9942413</v>
      </c>
      <c r="L2475" s="690">
        <v>8900000</v>
      </c>
      <c r="M2475" s="1153">
        <v>76290527</v>
      </c>
      <c r="N2475" s="1155">
        <v>2703379</v>
      </c>
      <c r="O2475" s="692">
        <f t="shared" si="325"/>
        <v>78993906</v>
      </c>
      <c r="P2475" s="1159">
        <v>77163403</v>
      </c>
      <c r="Q2475" s="1160">
        <v>2652875</v>
      </c>
      <c r="R2475" s="691">
        <f t="shared" si="326"/>
        <v>79816278</v>
      </c>
      <c r="S2475" s="692">
        <f t="shared" si="327"/>
        <v>103342389</v>
      </c>
      <c r="T2475" s="693">
        <f t="shared" si="328"/>
        <v>100742083</v>
      </c>
      <c r="U2475" s="1035"/>
      <c r="V2475" s="690"/>
      <c r="W2475" s="1025"/>
      <c r="X2475" s="1030"/>
      <c r="Y2475" s="694">
        <f t="shared" si="329"/>
        <v>0</v>
      </c>
      <c r="Z2475" s="690"/>
      <c r="AA2475" s="690"/>
      <c r="AB2475" s="695">
        <f t="shared" si="330"/>
        <v>0</v>
      </c>
      <c r="AC2475" s="1035"/>
      <c r="AD2475" s="690"/>
      <c r="AE2475" s="1025"/>
      <c r="AF2475" s="1030"/>
      <c r="AG2475" s="690"/>
      <c r="AH2475" s="690"/>
      <c r="AI2475" s="696">
        <f t="shared" si="331"/>
        <v>103342389</v>
      </c>
      <c r="AJ2475" s="697">
        <f t="shared" si="332"/>
        <v>100742083</v>
      </c>
    </row>
    <row r="2476" spans="1:36" s="700" customFormat="1" ht="12.75" customHeight="1">
      <c r="A2476" s="866" t="s">
        <v>206</v>
      </c>
      <c r="B2476" s="866" t="s">
        <v>400</v>
      </c>
      <c r="C2476" s="859" t="s">
        <v>1418</v>
      </c>
      <c r="D2476" s="859"/>
      <c r="E2476" s="956">
        <v>218113</v>
      </c>
      <c r="F2476" s="845">
        <v>8</v>
      </c>
      <c r="G2476" s="1025"/>
      <c r="H2476" s="690"/>
      <c r="I2476" s="1030"/>
      <c r="J2476" s="690"/>
      <c r="K2476" s="1030"/>
      <c r="L2476" s="690"/>
      <c r="M2476" s="1025"/>
      <c r="N2476" s="1030"/>
      <c r="O2476" s="692">
        <f t="shared" si="325"/>
        <v>0</v>
      </c>
      <c r="P2476" s="1161"/>
      <c r="Q2476" s="1161"/>
      <c r="R2476" s="691">
        <f t="shared" si="326"/>
        <v>0</v>
      </c>
      <c r="S2476" s="692">
        <f t="shared" si="327"/>
        <v>0</v>
      </c>
      <c r="T2476" s="693">
        <f t="shared" si="328"/>
        <v>0</v>
      </c>
      <c r="U2476" s="1035"/>
      <c r="V2476" s="690"/>
      <c r="W2476" s="1025"/>
      <c r="X2476" s="1030"/>
      <c r="Y2476" s="694">
        <f t="shared" si="329"/>
        <v>0</v>
      </c>
      <c r="Z2476" s="690"/>
      <c r="AA2476" s="690"/>
      <c r="AB2476" s="695">
        <f t="shared" si="330"/>
        <v>0</v>
      </c>
      <c r="AC2476" s="1035"/>
      <c r="AD2476" s="690"/>
      <c r="AE2476" s="1025"/>
      <c r="AF2476" s="1030"/>
      <c r="AG2476" s="690"/>
      <c r="AH2476" s="690"/>
      <c r="AI2476" s="696">
        <f t="shared" si="331"/>
        <v>0</v>
      </c>
      <c r="AJ2476" s="697">
        <f t="shared" si="332"/>
        <v>0</v>
      </c>
    </row>
    <row r="2477" spans="1:36" s="700" customFormat="1" ht="12.75" customHeight="1">
      <c r="A2477" s="866" t="s">
        <v>206</v>
      </c>
      <c r="B2477" s="866" t="s">
        <v>400</v>
      </c>
      <c r="C2477" s="860" t="s">
        <v>1469</v>
      </c>
      <c r="D2477" s="860"/>
      <c r="E2477" s="956">
        <v>218113</v>
      </c>
      <c r="F2477" s="845">
        <v>8</v>
      </c>
      <c r="G2477" s="1025"/>
      <c r="H2477" s="690"/>
      <c r="I2477" s="1030">
        <v>34633</v>
      </c>
      <c r="J2477" s="690"/>
      <c r="K2477" s="1030"/>
      <c r="L2477" s="690"/>
      <c r="M2477" s="1025"/>
      <c r="N2477" s="1030"/>
      <c r="O2477" s="692">
        <f t="shared" si="325"/>
        <v>0</v>
      </c>
      <c r="P2477" s="1161"/>
      <c r="Q2477" s="1161"/>
      <c r="R2477" s="691">
        <f t="shared" si="326"/>
        <v>0</v>
      </c>
      <c r="S2477" s="692">
        <f t="shared" si="327"/>
        <v>34633</v>
      </c>
      <c r="T2477" s="693">
        <f t="shared" si="328"/>
        <v>0</v>
      </c>
      <c r="U2477" s="1035"/>
      <c r="V2477" s="690"/>
      <c r="W2477" s="1025"/>
      <c r="X2477" s="1030"/>
      <c r="Y2477" s="694">
        <f t="shared" si="329"/>
        <v>0</v>
      </c>
      <c r="Z2477" s="690"/>
      <c r="AA2477" s="690"/>
      <c r="AB2477" s="695">
        <f t="shared" si="330"/>
        <v>0</v>
      </c>
      <c r="AC2477" s="1035"/>
      <c r="AD2477" s="690"/>
      <c r="AE2477" s="1025"/>
      <c r="AF2477" s="1030"/>
      <c r="AG2477" s="690"/>
      <c r="AH2477" s="690"/>
      <c r="AI2477" s="696">
        <f t="shared" si="331"/>
        <v>34633</v>
      </c>
      <c r="AJ2477" s="697">
        <f t="shared" si="332"/>
        <v>0</v>
      </c>
    </row>
    <row r="2478" spans="1:36" s="700" customFormat="1" ht="12.75" customHeight="1">
      <c r="A2478" s="866" t="s">
        <v>206</v>
      </c>
      <c r="B2478" s="866" t="s">
        <v>400</v>
      </c>
      <c r="C2478" s="860" t="s">
        <v>1470</v>
      </c>
      <c r="D2478" s="860"/>
      <c r="E2478" s="956">
        <v>218113</v>
      </c>
      <c r="F2478" s="845">
        <v>8</v>
      </c>
      <c r="G2478" s="1025"/>
      <c r="H2478" s="690"/>
      <c r="I2478" s="1030">
        <v>72044</v>
      </c>
      <c r="J2478" s="690"/>
      <c r="K2478" s="1030"/>
      <c r="L2478" s="690"/>
      <c r="M2478" s="1025"/>
      <c r="N2478" s="1030"/>
      <c r="O2478" s="692">
        <f t="shared" si="325"/>
        <v>0</v>
      </c>
      <c r="P2478" s="1161"/>
      <c r="Q2478" s="1161"/>
      <c r="R2478" s="691">
        <f t="shared" si="326"/>
        <v>0</v>
      </c>
      <c r="S2478" s="692">
        <f t="shared" si="327"/>
        <v>72044</v>
      </c>
      <c r="T2478" s="693">
        <f t="shared" si="328"/>
        <v>0</v>
      </c>
      <c r="U2478" s="1035"/>
      <c r="V2478" s="690"/>
      <c r="W2478" s="1025"/>
      <c r="X2478" s="1030"/>
      <c r="Y2478" s="694">
        <f t="shared" si="329"/>
        <v>0</v>
      </c>
      <c r="Z2478" s="690"/>
      <c r="AA2478" s="690"/>
      <c r="AB2478" s="695">
        <f t="shared" si="330"/>
        <v>0</v>
      </c>
      <c r="AC2478" s="1035"/>
      <c r="AD2478" s="690"/>
      <c r="AE2478" s="1025"/>
      <c r="AF2478" s="1030"/>
      <c r="AG2478" s="690"/>
      <c r="AH2478" s="690"/>
      <c r="AI2478" s="696">
        <f t="shared" si="331"/>
        <v>72044</v>
      </c>
      <c r="AJ2478" s="697">
        <f t="shared" si="332"/>
        <v>0</v>
      </c>
    </row>
    <row r="2479" spans="1:36" s="700" customFormat="1" ht="12.75" customHeight="1">
      <c r="A2479" s="866" t="s">
        <v>206</v>
      </c>
      <c r="B2479" s="866" t="s">
        <v>400</v>
      </c>
      <c r="C2479" s="860" t="s">
        <v>1471</v>
      </c>
      <c r="D2479" s="860"/>
      <c r="E2479" s="956">
        <v>218113</v>
      </c>
      <c r="F2479" s="845">
        <v>8</v>
      </c>
      <c r="G2479" s="1025"/>
      <c r="H2479" s="690"/>
      <c r="I2479" s="1030"/>
      <c r="J2479" s="690"/>
      <c r="K2479" s="1030"/>
      <c r="L2479" s="690"/>
      <c r="M2479" s="1025"/>
      <c r="N2479" s="1030"/>
      <c r="O2479" s="692">
        <f t="shared" si="325"/>
        <v>0</v>
      </c>
      <c r="P2479" s="1161"/>
      <c r="Q2479" s="1161"/>
      <c r="R2479" s="691">
        <f t="shared" si="326"/>
        <v>0</v>
      </c>
      <c r="S2479" s="692">
        <f t="shared" si="327"/>
        <v>0</v>
      </c>
      <c r="T2479" s="693">
        <f t="shared" si="328"/>
        <v>0</v>
      </c>
      <c r="U2479" s="1035"/>
      <c r="V2479" s="690"/>
      <c r="W2479" s="1025"/>
      <c r="X2479" s="1030"/>
      <c r="Y2479" s="694">
        <f t="shared" si="329"/>
        <v>0</v>
      </c>
      <c r="Z2479" s="690"/>
      <c r="AA2479" s="690"/>
      <c r="AB2479" s="695">
        <f t="shared" si="330"/>
        <v>0</v>
      </c>
      <c r="AC2479" s="1035"/>
      <c r="AD2479" s="690"/>
      <c r="AE2479" s="1025"/>
      <c r="AF2479" s="1030"/>
      <c r="AG2479" s="690"/>
      <c r="AH2479" s="690"/>
      <c r="AI2479" s="696">
        <f t="shared" si="331"/>
        <v>0</v>
      </c>
      <c r="AJ2479" s="697">
        <f t="shared" si="332"/>
        <v>0</v>
      </c>
    </row>
    <row r="2480" spans="1:36" s="700" customFormat="1" ht="12.75" customHeight="1">
      <c r="A2480" s="866" t="s">
        <v>206</v>
      </c>
      <c r="B2480" s="866" t="s">
        <v>400</v>
      </c>
      <c r="C2480" s="860" t="s">
        <v>1472</v>
      </c>
      <c r="D2480" s="860"/>
      <c r="E2480" s="956">
        <v>218113</v>
      </c>
      <c r="F2480" s="845">
        <v>8</v>
      </c>
      <c r="G2480" s="1025"/>
      <c r="H2480" s="690"/>
      <c r="I2480" s="1030">
        <v>44452</v>
      </c>
      <c r="J2480" s="690">
        <v>37784</v>
      </c>
      <c r="K2480" s="1030"/>
      <c r="L2480" s="690"/>
      <c r="M2480" s="1025"/>
      <c r="N2480" s="1030"/>
      <c r="O2480" s="692">
        <f t="shared" si="325"/>
        <v>0</v>
      </c>
      <c r="P2480" s="1161"/>
      <c r="Q2480" s="1161"/>
      <c r="R2480" s="691">
        <f t="shared" si="326"/>
        <v>0</v>
      </c>
      <c r="S2480" s="692">
        <f t="shared" si="327"/>
        <v>44452</v>
      </c>
      <c r="T2480" s="693">
        <f t="shared" si="328"/>
        <v>37784</v>
      </c>
      <c r="U2480" s="1035"/>
      <c r="V2480" s="690"/>
      <c r="W2480" s="1025"/>
      <c r="X2480" s="1030"/>
      <c r="Y2480" s="694">
        <f t="shared" si="329"/>
        <v>0</v>
      </c>
      <c r="Z2480" s="690"/>
      <c r="AA2480" s="690"/>
      <c r="AB2480" s="695">
        <f t="shared" si="330"/>
        <v>0</v>
      </c>
      <c r="AC2480" s="1035"/>
      <c r="AD2480" s="690"/>
      <c r="AE2480" s="1025"/>
      <c r="AF2480" s="1030"/>
      <c r="AG2480" s="690"/>
      <c r="AH2480" s="690"/>
      <c r="AI2480" s="696">
        <f t="shared" si="331"/>
        <v>44452</v>
      </c>
      <c r="AJ2480" s="697">
        <f t="shared" si="332"/>
        <v>37784</v>
      </c>
    </row>
    <row r="2481" spans="1:36" s="700" customFormat="1" ht="12.75" customHeight="1">
      <c r="A2481" s="866" t="s">
        <v>206</v>
      </c>
      <c r="B2481" s="866" t="s">
        <v>400</v>
      </c>
      <c r="C2481" s="860" t="s">
        <v>1422</v>
      </c>
      <c r="D2481" s="860"/>
      <c r="E2481" s="956">
        <v>218113</v>
      </c>
      <c r="F2481" s="845">
        <v>8</v>
      </c>
      <c r="G2481" s="1025"/>
      <c r="H2481" s="690"/>
      <c r="I2481" s="1030">
        <v>13935</v>
      </c>
      <c r="J2481" s="690">
        <v>0</v>
      </c>
      <c r="K2481" s="1030"/>
      <c r="L2481" s="690"/>
      <c r="M2481" s="1025"/>
      <c r="N2481" s="1030"/>
      <c r="O2481" s="692">
        <f t="shared" si="325"/>
        <v>0</v>
      </c>
      <c r="P2481" s="1161"/>
      <c r="Q2481" s="1161"/>
      <c r="R2481" s="691">
        <f t="shared" si="326"/>
        <v>0</v>
      </c>
      <c r="S2481" s="692">
        <f t="shared" si="327"/>
        <v>13935</v>
      </c>
      <c r="T2481" s="693">
        <f t="shared" si="328"/>
        <v>0</v>
      </c>
      <c r="U2481" s="1035"/>
      <c r="V2481" s="690"/>
      <c r="W2481" s="1025"/>
      <c r="X2481" s="1030"/>
      <c r="Y2481" s="694">
        <f t="shared" si="329"/>
        <v>0</v>
      </c>
      <c r="Z2481" s="690"/>
      <c r="AA2481" s="690"/>
      <c r="AB2481" s="695">
        <f t="shared" si="330"/>
        <v>0</v>
      </c>
      <c r="AC2481" s="1035"/>
      <c r="AD2481" s="690"/>
      <c r="AE2481" s="1025"/>
      <c r="AF2481" s="1030"/>
      <c r="AG2481" s="690"/>
      <c r="AH2481" s="690"/>
      <c r="AI2481" s="696">
        <f t="shared" si="331"/>
        <v>13935</v>
      </c>
      <c r="AJ2481" s="697">
        <f t="shared" si="332"/>
        <v>0</v>
      </c>
    </row>
    <row r="2482" spans="1:36" s="700" customFormat="1" ht="12.75" customHeight="1">
      <c r="A2482" s="866" t="s">
        <v>206</v>
      </c>
      <c r="B2482" s="866" t="s">
        <v>400</v>
      </c>
      <c r="C2482" s="860" t="s">
        <v>1423</v>
      </c>
      <c r="D2482" s="860"/>
      <c r="E2482" s="956">
        <v>218113</v>
      </c>
      <c r="F2482" s="845">
        <v>8</v>
      </c>
      <c r="G2482" s="1025"/>
      <c r="H2482" s="690"/>
      <c r="I2482" s="1030">
        <v>4088</v>
      </c>
      <c r="J2482" s="690">
        <v>0</v>
      </c>
      <c r="K2482" s="1030"/>
      <c r="L2482" s="690"/>
      <c r="M2482" s="1025"/>
      <c r="N2482" s="1030"/>
      <c r="O2482" s="692">
        <f t="shared" si="325"/>
        <v>0</v>
      </c>
      <c r="P2482" s="1161"/>
      <c r="Q2482" s="1161"/>
      <c r="R2482" s="691">
        <f t="shared" si="326"/>
        <v>0</v>
      </c>
      <c r="S2482" s="692">
        <f t="shared" si="327"/>
        <v>4088</v>
      </c>
      <c r="T2482" s="693">
        <f t="shared" si="328"/>
        <v>0</v>
      </c>
      <c r="U2482" s="1035"/>
      <c r="V2482" s="690"/>
      <c r="W2482" s="1025"/>
      <c r="X2482" s="1030"/>
      <c r="Y2482" s="694">
        <f t="shared" si="329"/>
        <v>0</v>
      </c>
      <c r="Z2482" s="690"/>
      <c r="AA2482" s="690"/>
      <c r="AB2482" s="695">
        <f t="shared" si="330"/>
        <v>0</v>
      </c>
      <c r="AC2482" s="1035"/>
      <c r="AD2482" s="690"/>
      <c r="AE2482" s="1025"/>
      <c r="AF2482" s="1030"/>
      <c r="AG2482" s="690"/>
      <c r="AH2482" s="690"/>
      <c r="AI2482" s="696">
        <f t="shared" si="331"/>
        <v>4088</v>
      </c>
      <c r="AJ2482" s="697">
        <f t="shared" si="332"/>
        <v>0</v>
      </c>
    </row>
    <row r="2483" spans="1:36" s="700" customFormat="1" ht="12.75" customHeight="1">
      <c r="A2483" s="866" t="s">
        <v>206</v>
      </c>
      <c r="B2483" s="866" t="s">
        <v>400</v>
      </c>
      <c r="C2483" s="860" t="s">
        <v>1419</v>
      </c>
      <c r="D2483" s="860"/>
      <c r="E2483" s="956">
        <v>218113</v>
      </c>
      <c r="F2483" s="845">
        <v>8</v>
      </c>
      <c r="G2483" s="1025"/>
      <c r="H2483" s="690"/>
      <c r="I2483" s="1030">
        <v>64217</v>
      </c>
      <c r="J2483" s="690" t="s">
        <v>1420</v>
      </c>
      <c r="K2483" s="1030"/>
      <c r="L2483" s="690"/>
      <c r="M2483" s="1025"/>
      <c r="N2483" s="1030"/>
      <c r="O2483" s="692">
        <f t="shared" si="325"/>
        <v>0</v>
      </c>
      <c r="P2483" s="1161"/>
      <c r="Q2483" s="1161"/>
      <c r="R2483" s="691">
        <f t="shared" si="326"/>
        <v>0</v>
      </c>
      <c r="S2483" s="692">
        <f t="shared" si="327"/>
        <v>64217</v>
      </c>
      <c r="T2483" s="693">
        <f t="shared" si="328"/>
        <v>0</v>
      </c>
      <c r="U2483" s="1035"/>
      <c r="V2483" s="690"/>
      <c r="W2483" s="1025"/>
      <c r="X2483" s="1030"/>
      <c r="Y2483" s="694">
        <f t="shared" si="329"/>
        <v>0</v>
      </c>
      <c r="Z2483" s="690"/>
      <c r="AA2483" s="690"/>
      <c r="AB2483" s="695">
        <f t="shared" si="330"/>
        <v>0</v>
      </c>
      <c r="AC2483" s="1035"/>
      <c r="AD2483" s="690"/>
      <c r="AE2483" s="1025"/>
      <c r="AF2483" s="1030"/>
      <c r="AG2483" s="690"/>
      <c r="AH2483" s="690"/>
      <c r="AI2483" s="696">
        <f t="shared" si="331"/>
        <v>64217</v>
      </c>
      <c r="AJ2483" s="697">
        <f t="shared" si="332"/>
        <v>0</v>
      </c>
    </row>
    <row r="2484" spans="1:36" s="700" customFormat="1" ht="12.75" customHeight="1">
      <c r="A2484" s="866" t="s">
        <v>206</v>
      </c>
      <c r="B2484" s="866" t="s">
        <v>400</v>
      </c>
      <c r="C2484" s="860" t="s">
        <v>1473</v>
      </c>
      <c r="D2484" s="860"/>
      <c r="E2484" s="956">
        <v>218113</v>
      </c>
      <c r="F2484" s="845">
        <v>8</v>
      </c>
      <c r="G2484" s="1025"/>
      <c r="H2484" s="690"/>
      <c r="I2484" s="1030">
        <v>77576</v>
      </c>
      <c r="J2484" s="690">
        <v>0</v>
      </c>
      <c r="K2484" s="1030"/>
      <c r="L2484" s="690"/>
      <c r="M2484" s="1025"/>
      <c r="N2484" s="1030"/>
      <c r="O2484" s="692">
        <f t="shared" si="325"/>
        <v>0</v>
      </c>
      <c r="P2484" s="1161"/>
      <c r="Q2484" s="1161"/>
      <c r="R2484" s="691">
        <f t="shared" si="326"/>
        <v>0</v>
      </c>
      <c r="S2484" s="692">
        <f t="shared" si="327"/>
        <v>77576</v>
      </c>
      <c r="T2484" s="693">
        <f t="shared" si="328"/>
        <v>0</v>
      </c>
      <c r="U2484" s="1035"/>
      <c r="V2484" s="690"/>
      <c r="W2484" s="1025"/>
      <c r="X2484" s="1030"/>
      <c r="Y2484" s="694">
        <f t="shared" si="329"/>
        <v>0</v>
      </c>
      <c r="Z2484" s="690"/>
      <c r="AA2484" s="690"/>
      <c r="AB2484" s="695">
        <f t="shared" si="330"/>
        <v>0</v>
      </c>
      <c r="AC2484" s="1035"/>
      <c r="AD2484" s="690"/>
      <c r="AE2484" s="1025"/>
      <c r="AF2484" s="1030"/>
      <c r="AG2484" s="690"/>
      <c r="AH2484" s="690"/>
      <c r="AI2484" s="696">
        <f t="shared" si="331"/>
        <v>77576</v>
      </c>
      <c r="AJ2484" s="697">
        <f t="shared" si="332"/>
        <v>0</v>
      </c>
    </row>
    <row r="2485" spans="1:36" s="700" customFormat="1" ht="12.75" customHeight="1">
      <c r="A2485" s="866" t="s">
        <v>206</v>
      </c>
      <c r="B2485" s="866" t="s">
        <v>400</v>
      </c>
      <c r="C2485" s="860" t="s">
        <v>1474</v>
      </c>
      <c r="D2485" s="860"/>
      <c r="E2485" s="956">
        <v>218113</v>
      </c>
      <c r="F2485" s="845">
        <v>8</v>
      </c>
      <c r="G2485" s="1025"/>
      <c r="H2485" s="690"/>
      <c r="I2485" s="1030">
        <v>447466</v>
      </c>
      <c r="J2485" s="690">
        <v>0</v>
      </c>
      <c r="K2485" s="1030"/>
      <c r="L2485" s="690"/>
      <c r="M2485" s="1025"/>
      <c r="N2485" s="1030"/>
      <c r="O2485" s="692">
        <f t="shared" si="325"/>
        <v>0</v>
      </c>
      <c r="P2485" s="1161"/>
      <c r="Q2485" s="1161"/>
      <c r="R2485" s="691">
        <f t="shared" si="326"/>
        <v>0</v>
      </c>
      <c r="S2485" s="692">
        <f t="shared" si="327"/>
        <v>447466</v>
      </c>
      <c r="T2485" s="693">
        <f t="shared" si="328"/>
        <v>0</v>
      </c>
      <c r="U2485" s="1035"/>
      <c r="V2485" s="690"/>
      <c r="W2485" s="1025"/>
      <c r="X2485" s="1030"/>
      <c r="Y2485" s="694">
        <f t="shared" si="329"/>
        <v>0</v>
      </c>
      <c r="Z2485" s="690"/>
      <c r="AA2485" s="690"/>
      <c r="AB2485" s="695">
        <f t="shared" si="330"/>
        <v>0</v>
      </c>
      <c r="AC2485" s="1035"/>
      <c r="AD2485" s="690"/>
      <c r="AE2485" s="1025"/>
      <c r="AF2485" s="1030"/>
      <c r="AG2485" s="690"/>
      <c r="AH2485" s="690"/>
      <c r="AI2485" s="696">
        <f t="shared" si="331"/>
        <v>447466</v>
      </c>
      <c r="AJ2485" s="697">
        <f t="shared" si="332"/>
        <v>0</v>
      </c>
    </row>
    <row r="2486" spans="1:36" s="700" customFormat="1" ht="12.75" customHeight="1">
      <c r="A2486" s="866" t="s">
        <v>206</v>
      </c>
      <c r="B2486" s="866" t="s">
        <v>400</v>
      </c>
      <c r="C2486" s="860" t="s">
        <v>1442</v>
      </c>
      <c r="D2486" s="860"/>
      <c r="E2486" s="956">
        <v>218113</v>
      </c>
      <c r="F2486" s="845">
        <v>8</v>
      </c>
      <c r="G2486" s="1025"/>
      <c r="H2486" s="690"/>
      <c r="I2486" s="1030">
        <v>833110</v>
      </c>
      <c r="J2486" s="818">
        <v>476954</v>
      </c>
      <c r="K2486" s="1030"/>
      <c r="L2486" s="690"/>
      <c r="M2486" s="1025"/>
      <c r="N2486" s="1030"/>
      <c r="O2486" s="692">
        <f t="shared" si="325"/>
        <v>0</v>
      </c>
      <c r="P2486" s="1161"/>
      <c r="Q2486" s="1161"/>
      <c r="R2486" s="691">
        <f t="shared" si="326"/>
        <v>0</v>
      </c>
      <c r="S2486" s="692">
        <f t="shared" si="327"/>
        <v>833110</v>
      </c>
      <c r="T2486" s="693">
        <f t="shared" si="328"/>
        <v>476954</v>
      </c>
      <c r="U2486" s="1035"/>
      <c r="V2486" s="690"/>
      <c r="W2486" s="1025"/>
      <c r="X2486" s="1030"/>
      <c r="Y2486" s="694">
        <f t="shared" si="329"/>
        <v>0</v>
      </c>
      <c r="Z2486" s="690"/>
      <c r="AA2486" s="690"/>
      <c r="AB2486" s="695">
        <f t="shared" si="330"/>
        <v>0</v>
      </c>
      <c r="AC2486" s="1035"/>
      <c r="AD2486" s="690"/>
      <c r="AE2486" s="1025"/>
      <c r="AF2486" s="1030"/>
      <c r="AG2486" s="690"/>
      <c r="AH2486" s="690"/>
      <c r="AI2486" s="696">
        <f t="shared" si="331"/>
        <v>833110</v>
      </c>
      <c r="AJ2486" s="697">
        <f t="shared" si="332"/>
        <v>476954</v>
      </c>
    </row>
    <row r="2487" spans="1:36" s="700" customFormat="1" ht="12.75" customHeight="1">
      <c r="A2487" s="866" t="s">
        <v>206</v>
      </c>
      <c r="B2487" s="866" t="s">
        <v>392</v>
      </c>
      <c r="C2487" s="955" t="s">
        <v>1475</v>
      </c>
      <c r="D2487" s="955"/>
      <c r="E2487" s="956">
        <v>218353</v>
      </c>
      <c r="F2487" s="845">
        <v>8</v>
      </c>
      <c r="G2487" s="1025">
        <v>13892858</v>
      </c>
      <c r="H2487" s="818">
        <v>11803781</v>
      </c>
      <c r="I2487" s="1030"/>
      <c r="J2487" s="690"/>
      <c r="K2487" s="1030">
        <v>8007084</v>
      </c>
      <c r="L2487" s="690">
        <v>10392866</v>
      </c>
      <c r="M2487" s="1153">
        <v>47134592</v>
      </c>
      <c r="N2487" s="1155">
        <v>1347947</v>
      </c>
      <c r="O2487" s="692">
        <f t="shared" si="325"/>
        <v>48482539</v>
      </c>
      <c r="P2487" s="1159">
        <v>51689884</v>
      </c>
      <c r="Q2487" s="1160">
        <v>1850025</v>
      </c>
      <c r="R2487" s="691">
        <f t="shared" si="326"/>
        <v>53539909</v>
      </c>
      <c r="S2487" s="692">
        <f t="shared" si="327"/>
        <v>69034534</v>
      </c>
      <c r="T2487" s="693">
        <f t="shared" si="328"/>
        <v>73886531</v>
      </c>
      <c r="U2487" s="1035"/>
      <c r="V2487" s="690"/>
      <c r="W2487" s="1025"/>
      <c r="X2487" s="1030"/>
      <c r="Y2487" s="694">
        <f t="shared" si="329"/>
        <v>0</v>
      </c>
      <c r="Z2487" s="690"/>
      <c r="AA2487" s="690"/>
      <c r="AB2487" s="695">
        <f t="shared" si="330"/>
        <v>0</v>
      </c>
      <c r="AC2487" s="1035"/>
      <c r="AD2487" s="690"/>
      <c r="AE2487" s="1025"/>
      <c r="AF2487" s="1030"/>
      <c r="AG2487" s="690"/>
      <c r="AH2487" s="690"/>
      <c r="AI2487" s="696">
        <f t="shared" si="331"/>
        <v>69034534</v>
      </c>
      <c r="AJ2487" s="697">
        <f t="shared" si="332"/>
        <v>73886531</v>
      </c>
    </row>
    <row r="2488" spans="1:36" s="700" customFormat="1" ht="12.75" customHeight="1">
      <c r="A2488" s="866" t="s">
        <v>206</v>
      </c>
      <c r="B2488" s="866" t="s">
        <v>400</v>
      </c>
      <c r="C2488" s="859" t="s">
        <v>1418</v>
      </c>
      <c r="D2488" s="859"/>
      <c r="E2488" s="956">
        <v>218353</v>
      </c>
      <c r="F2488" s="845">
        <v>8</v>
      </c>
      <c r="G2488" s="1025"/>
      <c r="H2488" s="690"/>
      <c r="I2488" s="1030"/>
      <c r="J2488" s="690"/>
      <c r="K2488" s="1030"/>
      <c r="L2488" s="690"/>
      <c r="M2488" s="1156"/>
      <c r="N2488" s="1157"/>
      <c r="O2488" s="692">
        <f t="shared" si="325"/>
        <v>0</v>
      </c>
      <c r="P2488" s="1161"/>
      <c r="Q2488" s="1161"/>
      <c r="R2488" s="691">
        <f t="shared" si="326"/>
        <v>0</v>
      </c>
      <c r="S2488" s="692">
        <f t="shared" si="327"/>
        <v>0</v>
      </c>
      <c r="T2488" s="693">
        <f t="shared" si="328"/>
        <v>0</v>
      </c>
      <c r="U2488" s="1035"/>
      <c r="V2488" s="690"/>
      <c r="W2488" s="1025"/>
      <c r="X2488" s="1030"/>
      <c r="Y2488" s="694">
        <f t="shared" si="329"/>
        <v>0</v>
      </c>
      <c r="Z2488" s="690"/>
      <c r="AA2488" s="690"/>
      <c r="AB2488" s="695">
        <f t="shared" si="330"/>
        <v>0</v>
      </c>
      <c r="AC2488" s="1035"/>
      <c r="AD2488" s="690"/>
      <c r="AE2488" s="1025"/>
      <c r="AF2488" s="1030"/>
      <c r="AG2488" s="690"/>
      <c r="AH2488" s="690"/>
      <c r="AI2488" s="696">
        <f t="shared" si="331"/>
        <v>0</v>
      </c>
      <c r="AJ2488" s="697">
        <f t="shared" si="332"/>
        <v>0</v>
      </c>
    </row>
    <row r="2489" spans="1:36" s="700" customFormat="1" ht="12.75" customHeight="1">
      <c r="A2489" s="866" t="s">
        <v>206</v>
      </c>
      <c r="B2489" s="866" t="s">
        <v>400</v>
      </c>
      <c r="C2489" s="860" t="s">
        <v>1469</v>
      </c>
      <c r="D2489" s="860"/>
      <c r="E2489" s="956">
        <v>218353</v>
      </c>
      <c r="F2489" s="845">
        <v>8</v>
      </c>
      <c r="G2489" s="1025"/>
      <c r="H2489" s="690"/>
      <c r="I2489" s="1030">
        <v>28123</v>
      </c>
      <c r="J2489" s="690">
        <v>0</v>
      </c>
      <c r="K2489" s="1030"/>
      <c r="L2489" s="690"/>
      <c r="M2489" s="1156"/>
      <c r="N2489" s="1157"/>
      <c r="O2489" s="692">
        <f t="shared" si="325"/>
        <v>0</v>
      </c>
      <c r="P2489" s="1161"/>
      <c r="Q2489" s="1161"/>
      <c r="R2489" s="691">
        <f t="shared" si="326"/>
        <v>0</v>
      </c>
      <c r="S2489" s="692">
        <f t="shared" si="327"/>
        <v>28123</v>
      </c>
      <c r="T2489" s="693">
        <f t="shared" si="328"/>
        <v>0</v>
      </c>
      <c r="U2489" s="1035"/>
      <c r="V2489" s="690"/>
      <c r="W2489" s="1025"/>
      <c r="X2489" s="1030"/>
      <c r="Y2489" s="694">
        <f t="shared" si="329"/>
        <v>0</v>
      </c>
      <c r="Z2489" s="690"/>
      <c r="AA2489" s="690"/>
      <c r="AB2489" s="695">
        <f t="shared" si="330"/>
        <v>0</v>
      </c>
      <c r="AC2489" s="1035"/>
      <c r="AD2489" s="690"/>
      <c r="AE2489" s="1025"/>
      <c r="AF2489" s="1030"/>
      <c r="AG2489" s="690"/>
      <c r="AH2489" s="690"/>
      <c r="AI2489" s="696">
        <f t="shared" si="331"/>
        <v>28123</v>
      </c>
      <c r="AJ2489" s="697">
        <f t="shared" si="332"/>
        <v>0</v>
      </c>
    </row>
    <row r="2490" spans="1:36" s="700" customFormat="1" ht="12.75" customHeight="1">
      <c r="A2490" s="866" t="s">
        <v>206</v>
      </c>
      <c r="B2490" s="866" t="s">
        <v>400</v>
      </c>
      <c r="C2490" s="860" t="s">
        <v>1470</v>
      </c>
      <c r="D2490" s="860"/>
      <c r="E2490" s="956">
        <v>218353</v>
      </c>
      <c r="F2490" s="845">
        <v>8</v>
      </c>
      <c r="G2490" s="1025"/>
      <c r="H2490" s="690"/>
      <c r="I2490" s="1030">
        <v>58500</v>
      </c>
      <c r="J2490" s="690">
        <v>0</v>
      </c>
      <c r="K2490" s="1030"/>
      <c r="L2490" s="690"/>
      <c r="M2490" s="1156"/>
      <c r="N2490" s="1157"/>
      <c r="O2490" s="692">
        <f t="shared" si="325"/>
        <v>0</v>
      </c>
      <c r="P2490" s="1161"/>
      <c r="Q2490" s="1161"/>
      <c r="R2490" s="691">
        <f t="shared" si="326"/>
        <v>0</v>
      </c>
      <c r="S2490" s="692">
        <f t="shared" si="327"/>
        <v>58500</v>
      </c>
      <c r="T2490" s="693">
        <f t="shared" si="328"/>
        <v>0</v>
      </c>
      <c r="U2490" s="1035"/>
      <c r="V2490" s="690"/>
      <c r="W2490" s="1025"/>
      <c r="X2490" s="1030"/>
      <c r="Y2490" s="694">
        <f t="shared" si="329"/>
        <v>0</v>
      </c>
      <c r="Z2490" s="690"/>
      <c r="AA2490" s="690"/>
      <c r="AB2490" s="695">
        <f t="shared" si="330"/>
        <v>0</v>
      </c>
      <c r="AC2490" s="1035"/>
      <c r="AD2490" s="690"/>
      <c r="AE2490" s="1025"/>
      <c r="AF2490" s="1030"/>
      <c r="AG2490" s="690"/>
      <c r="AH2490" s="690"/>
      <c r="AI2490" s="696">
        <f t="shared" si="331"/>
        <v>58500</v>
      </c>
      <c r="AJ2490" s="697">
        <f t="shared" si="332"/>
        <v>0</v>
      </c>
    </row>
    <row r="2491" spans="1:36" s="700" customFormat="1" ht="12.75" customHeight="1">
      <c r="A2491" s="866" t="s">
        <v>206</v>
      </c>
      <c r="B2491" s="866" t="s">
        <v>400</v>
      </c>
      <c r="C2491" s="860" t="s">
        <v>1447</v>
      </c>
      <c r="D2491" s="860"/>
      <c r="E2491" s="956">
        <v>218353</v>
      </c>
      <c r="F2491" s="845">
        <v>8</v>
      </c>
      <c r="G2491" s="1025"/>
      <c r="H2491" s="690"/>
      <c r="I2491" s="1030">
        <v>436403</v>
      </c>
      <c r="J2491" s="690">
        <v>370943</v>
      </c>
      <c r="K2491" s="1030"/>
      <c r="L2491" s="690"/>
      <c r="M2491" s="1156"/>
      <c r="N2491" s="1157"/>
      <c r="O2491" s="692">
        <f t="shared" si="325"/>
        <v>0</v>
      </c>
      <c r="P2491" s="1161"/>
      <c r="Q2491" s="1161"/>
      <c r="R2491" s="691">
        <f t="shared" si="326"/>
        <v>0</v>
      </c>
      <c r="S2491" s="692">
        <f t="shared" si="327"/>
        <v>436403</v>
      </c>
      <c r="T2491" s="693">
        <f t="shared" si="328"/>
        <v>370943</v>
      </c>
      <c r="U2491" s="1035"/>
      <c r="V2491" s="690"/>
      <c r="W2491" s="1025"/>
      <c r="X2491" s="1030"/>
      <c r="Y2491" s="694">
        <f t="shared" si="329"/>
        <v>0</v>
      </c>
      <c r="Z2491" s="690"/>
      <c r="AA2491" s="690"/>
      <c r="AB2491" s="695">
        <f t="shared" si="330"/>
        <v>0</v>
      </c>
      <c r="AC2491" s="1035"/>
      <c r="AD2491" s="690"/>
      <c r="AE2491" s="1025"/>
      <c r="AF2491" s="1030"/>
      <c r="AG2491" s="690"/>
      <c r="AH2491" s="690"/>
      <c r="AI2491" s="696">
        <f t="shared" si="331"/>
        <v>436403</v>
      </c>
      <c r="AJ2491" s="697">
        <f t="shared" si="332"/>
        <v>370943</v>
      </c>
    </row>
    <row r="2492" spans="1:36" s="700" customFormat="1" ht="12.75" customHeight="1">
      <c r="A2492" s="866" t="s">
        <v>206</v>
      </c>
      <c r="B2492" s="866" t="s">
        <v>400</v>
      </c>
      <c r="C2492" s="860" t="s">
        <v>1472</v>
      </c>
      <c r="D2492" s="860"/>
      <c r="E2492" s="956">
        <v>218353</v>
      </c>
      <c r="F2492" s="845">
        <v>8</v>
      </c>
      <c r="G2492" s="1025"/>
      <c r="H2492" s="690"/>
      <c r="I2492" s="1030">
        <v>44452</v>
      </c>
      <c r="J2492" s="690">
        <v>37784</v>
      </c>
      <c r="K2492" s="1030"/>
      <c r="L2492" s="690"/>
      <c r="M2492" s="1156"/>
      <c r="N2492" s="1157"/>
      <c r="O2492" s="692">
        <f t="shared" si="325"/>
        <v>0</v>
      </c>
      <c r="P2492" s="1161"/>
      <c r="Q2492" s="1161"/>
      <c r="R2492" s="691">
        <f t="shared" si="326"/>
        <v>0</v>
      </c>
      <c r="S2492" s="692">
        <f t="shared" si="327"/>
        <v>44452</v>
      </c>
      <c r="T2492" s="693">
        <f t="shared" si="328"/>
        <v>37784</v>
      </c>
      <c r="U2492" s="1035"/>
      <c r="V2492" s="690"/>
      <c r="W2492" s="1025"/>
      <c r="X2492" s="1030"/>
      <c r="Y2492" s="694">
        <f t="shared" si="329"/>
        <v>0</v>
      </c>
      <c r="Z2492" s="690"/>
      <c r="AA2492" s="690"/>
      <c r="AB2492" s="695">
        <f t="shared" si="330"/>
        <v>0</v>
      </c>
      <c r="AC2492" s="1035"/>
      <c r="AD2492" s="690"/>
      <c r="AE2492" s="1025"/>
      <c r="AF2492" s="1030"/>
      <c r="AG2492" s="690"/>
      <c r="AH2492" s="690"/>
      <c r="AI2492" s="696">
        <f t="shared" si="331"/>
        <v>44452</v>
      </c>
      <c r="AJ2492" s="697">
        <f t="shared" si="332"/>
        <v>37784</v>
      </c>
    </row>
    <row r="2493" spans="1:36" s="700" customFormat="1" ht="12.75" customHeight="1">
      <c r="A2493" s="866" t="s">
        <v>206</v>
      </c>
      <c r="B2493" s="866" t="s">
        <v>400</v>
      </c>
      <c r="C2493" s="860" t="s">
        <v>1422</v>
      </c>
      <c r="D2493" s="860"/>
      <c r="E2493" s="956">
        <v>218353</v>
      </c>
      <c r="F2493" s="845">
        <v>8</v>
      </c>
      <c r="G2493" s="1025"/>
      <c r="H2493" s="690"/>
      <c r="I2493" s="1030">
        <v>11722</v>
      </c>
      <c r="J2493" s="690">
        <v>0</v>
      </c>
      <c r="K2493" s="1030"/>
      <c r="L2493" s="690"/>
      <c r="M2493" s="1156"/>
      <c r="N2493" s="1157"/>
      <c r="O2493" s="692">
        <f t="shared" si="325"/>
        <v>0</v>
      </c>
      <c r="P2493" s="1161"/>
      <c r="Q2493" s="1161"/>
      <c r="R2493" s="691">
        <f t="shared" si="326"/>
        <v>0</v>
      </c>
      <c r="S2493" s="692">
        <f t="shared" si="327"/>
        <v>11722</v>
      </c>
      <c r="T2493" s="693">
        <f t="shared" si="328"/>
        <v>0</v>
      </c>
      <c r="U2493" s="1035"/>
      <c r="V2493" s="690"/>
      <c r="W2493" s="1025"/>
      <c r="X2493" s="1030"/>
      <c r="Y2493" s="694">
        <f t="shared" si="329"/>
        <v>0</v>
      </c>
      <c r="Z2493" s="690"/>
      <c r="AA2493" s="690"/>
      <c r="AB2493" s="695">
        <f t="shared" si="330"/>
        <v>0</v>
      </c>
      <c r="AC2493" s="1035"/>
      <c r="AD2493" s="690"/>
      <c r="AE2493" s="1025"/>
      <c r="AF2493" s="1030"/>
      <c r="AG2493" s="690"/>
      <c r="AH2493" s="690"/>
      <c r="AI2493" s="696">
        <f t="shared" si="331"/>
        <v>11722</v>
      </c>
      <c r="AJ2493" s="697">
        <f t="shared" si="332"/>
        <v>0</v>
      </c>
    </row>
    <row r="2494" spans="1:36" s="700" customFormat="1" ht="12.75" customHeight="1">
      <c r="A2494" s="866" t="s">
        <v>206</v>
      </c>
      <c r="B2494" s="866" t="s">
        <v>400</v>
      </c>
      <c r="C2494" s="860" t="s">
        <v>1423</v>
      </c>
      <c r="D2494" s="860"/>
      <c r="E2494" s="956">
        <v>218353</v>
      </c>
      <c r="F2494" s="845">
        <v>8</v>
      </c>
      <c r="G2494" s="1025"/>
      <c r="H2494" s="690"/>
      <c r="I2494" s="1030">
        <v>1733</v>
      </c>
      <c r="J2494" s="690">
        <v>0</v>
      </c>
      <c r="K2494" s="1030"/>
      <c r="L2494" s="690"/>
      <c r="M2494" s="1156"/>
      <c r="N2494" s="1157"/>
      <c r="O2494" s="692">
        <f t="shared" si="325"/>
        <v>0</v>
      </c>
      <c r="P2494" s="1161"/>
      <c r="Q2494" s="1161"/>
      <c r="R2494" s="691">
        <f t="shared" si="326"/>
        <v>0</v>
      </c>
      <c r="S2494" s="692">
        <f t="shared" si="327"/>
        <v>1733</v>
      </c>
      <c r="T2494" s="693">
        <f t="shared" si="328"/>
        <v>0</v>
      </c>
      <c r="U2494" s="1035"/>
      <c r="V2494" s="690"/>
      <c r="W2494" s="1025"/>
      <c r="X2494" s="1030"/>
      <c r="Y2494" s="694">
        <f t="shared" si="329"/>
        <v>0</v>
      </c>
      <c r="Z2494" s="690"/>
      <c r="AA2494" s="690"/>
      <c r="AB2494" s="695">
        <f t="shared" si="330"/>
        <v>0</v>
      </c>
      <c r="AC2494" s="1035"/>
      <c r="AD2494" s="690"/>
      <c r="AE2494" s="1025"/>
      <c r="AF2494" s="1030"/>
      <c r="AG2494" s="690"/>
      <c r="AH2494" s="690"/>
      <c r="AI2494" s="696">
        <f t="shared" si="331"/>
        <v>1733</v>
      </c>
      <c r="AJ2494" s="697">
        <f t="shared" si="332"/>
        <v>0</v>
      </c>
    </row>
    <row r="2495" spans="1:36" s="700" customFormat="1" ht="12.75" customHeight="1">
      <c r="A2495" s="866" t="s">
        <v>206</v>
      </c>
      <c r="B2495" s="866" t="s">
        <v>400</v>
      </c>
      <c r="C2495" s="860" t="s">
        <v>1419</v>
      </c>
      <c r="D2495" s="860"/>
      <c r="E2495" s="956">
        <v>218353</v>
      </c>
      <c r="F2495" s="845">
        <v>8</v>
      </c>
      <c r="G2495" s="1025"/>
      <c r="H2495" s="690"/>
      <c r="I2495" s="1030">
        <v>61114</v>
      </c>
      <c r="J2495" s="690" t="s">
        <v>1420</v>
      </c>
      <c r="K2495" s="1030"/>
      <c r="L2495" s="690"/>
      <c r="M2495" s="1156"/>
      <c r="N2495" s="1157"/>
      <c r="O2495" s="692">
        <f t="shared" si="325"/>
        <v>0</v>
      </c>
      <c r="P2495" s="1161"/>
      <c r="Q2495" s="1161"/>
      <c r="R2495" s="691">
        <f t="shared" si="326"/>
        <v>0</v>
      </c>
      <c r="S2495" s="692">
        <f t="shared" si="327"/>
        <v>61114</v>
      </c>
      <c r="T2495" s="693">
        <f t="shared" si="328"/>
        <v>0</v>
      </c>
      <c r="U2495" s="1035"/>
      <c r="V2495" s="690"/>
      <c r="W2495" s="1025"/>
      <c r="X2495" s="1030"/>
      <c r="Y2495" s="694">
        <f t="shared" si="329"/>
        <v>0</v>
      </c>
      <c r="Z2495" s="690"/>
      <c r="AA2495" s="690"/>
      <c r="AB2495" s="695">
        <f t="shared" si="330"/>
        <v>0</v>
      </c>
      <c r="AC2495" s="1035"/>
      <c r="AD2495" s="690"/>
      <c r="AE2495" s="1025"/>
      <c r="AF2495" s="1030"/>
      <c r="AG2495" s="690"/>
      <c r="AH2495" s="690"/>
      <c r="AI2495" s="696">
        <f t="shared" si="331"/>
        <v>61114</v>
      </c>
      <c r="AJ2495" s="697">
        <f t="shared" si="332"/>
        <v>0</v>
      </c>
    </row>
    <row r="2496" spans="1:36" s="700" customFormat="1" ht="12.75" customHeight="1">
      <c r="A2496" s="866" t="s">
        <v>206</v>
      </c>
      <c r="B2496" s="866" t="s">
        <v>400</v>
      </c>
      <c r="C2496" s="860" t="s">
        <v>1473</v>
      </c>
      <c r="D2496" s="860"/>
      <c r="E2496" s="956">
        <v>218353</v>
      </c>
      <c r="F2496" s="845">
        <v>8</v>
      </c>
      <c r="G2496" s="1025"/>
      <c r="H2496" s="690"/>
      <c r="I2496" s="1030">
        <v>75801</v>
      </c>
      <c r="J2496" s="690">
        <v>0</v>
      </c>
      <c r="K2496" s="1030"/>
      <c r="L2496" s="690"/>
      <c r="M2496" s="1156"/>
      <c r="N2496" s="1157"/>
      <c r="O2496" s="692">
        <f t="shared" si="325"/>
        <v>0</v>
      </c>
      <c r="P2496" s="1161"/>
      <c r="Q2496" s="1161"/>
      <c r="R2496" s="691">
        <f t="shared" si="326"/>
        <v>0</v>
      </c>
      <c r="S2496" s="692">
        <f t="shared" si="327"/>
        <v>75801</v>
      </c>
      <c r="T2496" s="693">
        <f t="shared" si="328"/>
        <v>0</v>
      </c>
      <c r="U2496" s="1035"/>
      <c r="V2496" s="690"/>
      <c r="W2496" s="1025"/>
      <c r="X2496" s="1030"/>
      <c r="Y2496" s="694">
        <f t="shared" si="329"/>
        <v>0</v>
      </c>
      <c r="Z2496" s="690"/>
      <c r="AA2496" s="690"/>
      <c r="AB2496" s="695">
        <f t="shared" si="330"/>
        <v>0</v>
      </c>
      <c r="AC2496" s="1035"/>
      <c r="AD2496" s="690"/>
      <c r="AE2496" s="1025"/>
      <c r="AF2496" s="1030"/>
      <c r="AG2496" s="690"/>
      <c r="AH2496" s="690"/>
      <c r="AI2496" s="696">
        <f t="shared" si="331"/>
        <v>75801</v>
      </c>
      <c r="AJ2496" s="697">
        <f t="shared" si="332"/>
        <v>0</v>
      </c>
    </row>
    <row r="2497" spans="1:36" s="700" customFormat="1" ht="12.75" customHeight="1">
      <c r="A2497" s="866" t="s">
        <v>206</v>
      </c>
      <c r="B2497" s="866" t="s">
        <v>400</v>
      </c>
      <c r="C2497" s="860" t="s">
        <v>1474</v>
      </c>
      <c r="D2497" s="860"/>
      <c r="E2497" s="956">
        <v>218353</v>
      </c>
      <c r="F2497" s="845">
        <v>8</v>
      </c>
      <c r="G2497" s="1025"/>
      <c r="H2497" s="690"/>
      <c r="I2497" s="1030">
        <v>382206</v>
      </c>
      <c r="J2497" s="690">
        <v>0</v>
      </c>
      <c r="K2497" s="1030"/>
      <c r="L2497" s="690"/>
      <c r="M2497" s="1156"/>
      <c r="N2497" s="1157"/>
      <c r="O2497" s="692">
        <f t="shared" si="325"/>
        <v>0</v>
      </c>
      <c r="P2497" s="1161"/>
      <c r="Q2497" s="1161"/>
      <c r="R2497" s="691">
        <f t="shared" si="326"/>
        <v>0</v>
      </c>
      <c r="S2497" s="692">
        <f t="shared" si="327"/>
        <v>382206</v>
      </c>
      <c r="T2497" s="693">
        <f t="shared" si="328"/>
        <v>0</v>
      </c>
      <c r="U2497" s="1035"/>
      <c r="V2497" s="690"/>
      <c r="W2497" s="1025"/>
      <c r="X2497" s="1030"/>
      <c r="Y2497" s="694">
        <f t="shared" si="329"/>
        <v>0</v>
      </c>
      <c r="Z2497" s="690"/>
      <c r="AA2497" s="690"/>
      <c r="AB2497" s="695">
        <f t="shared" si="330"/>
        <v>0</v>
      </c>
      <c r="AC2497" s="1035"/>
      <c r="AD2497" s="690"/>
      <c r="AE2497" s="1025"/>
      <c r="AF2497" s="1030"/>
      <c r="AG2497" s="690"/>
      <c r="AH2497" s="690"/>
      <c r="AI2497" s="696">
        <f t="shared" si="331"/>
        <v>382206</v>
      </c>
      <c r="AJ2497" s="697">
        <f t="shared" si="332"/>
        <v>0</v>
      </c>
    </row>
    <row r="2498" spans="1:36" s="700" customFormat="1" ht="12.75" customHeight="1">
      <c r="A2498" s="866" t="s">
        <v>206</v>
      </c>
      <c r="B2498" s="866" t="s">
        <v>400</v>
      </c>
      <c r="C2498" s="860" t="s">
        <v>1442</v>
      </c>
      <c r="D2498" s="860"/>
      <c r="E2498" s="956">
        <v>218353</v>
      </c>
      <c r="F2498" s="845">
        <v>8</v>
      </c>
      <c r="G2498" s="1025"/>
      <c r="H2498" s="690"/>
      <c r="I2498" s="1030">
        <v>676485</v>
      </c>
      <c r="J2498" s="818">
        <v>383298</v>
      </c>
      <c r="K2498" s="1030"/>
      <c r="L2498" s="690"/>
      <c r="M2498" s="1156"/>
      <c r="N2498" s="1157"/>
      <c r="O2498" s="692">
        <f t="shared" si="325"/>
        <v>0</v>
      </c>
      <c r="P2498" s="1161"/>
      <c r="Q2498" s="1161"/>
      <c r="R2498" s="691">
        <f t="shared" si="326"/>
        <v>0</v>
      </c>
      <c r="S2498" s="692">
        <f t="shared" si="327"/>
        <v>676485</v>
      </c>
      <c r="T2498" s="693">
        <f t="shared" si="328"/>
        <v>383298</v>
      </c>
      <c r="U2498" s="1035"/>
      <c r="V2498" s="690"/>
      <c r="W2498" s="1025"/>
      <c r="X2498" s="1030"/>
      <c r="Y2498" s="694">
        <f t="shared" si="329"/>
        <v>0</v>
      </c>
      <c r="Z2498" s="690"/>
      <c r="AA2498" s="690"/>
      <c r="AB2498" s="695">
        <f t="shared" si="330"/>
        <v>0</v>
      </c>
      <c r="AC2498" s="1035"/>
      <c r="AD2498" s="690"/>
      <c r="AE2498" s="1025"/>
      <c r="AF2498" s="1030"/>
      <c r="AG2498" s="690"/>
      <c r="AH2498" s="690"/>
      <c r="AI2498" s="696">
        <f t="shared" si="331"/>
        <v>676485</v>
      </c>
      <c r="AJ2498" s="697">
        <f t="shared" si="332"/>
        <v>383298</v>
      </c>
    </row>
    <row r="2499" spans="1:36" s="700" customFormat="1" ht="12.75" customHeight="1">
      <c r="A2499" s="866" t="s">
        <v>206</v>
      </c>
      <c r="B2499" s="866" t="s">
        <v>392</v>
      </c>
      <c r="C2499" s="955" t="s">
        <v>1476</v>
      </c>
      <c r="D2499" s="955"/>
      <c r="E2499" s="956">
        <v>218894</v>
      </c>
      <c r="F2499" s="845">
        <v>8</v>
      </c>
      <c r="G2499" s="1025">
        <v>14672429</v>
      </c>
      <c r="H2499" s="818">
        <v>12754401</v>
      </c>
      <c r="I2499" s="1030"/>
      <c r="J2499" s="690"/>
      <c r="K2499" s="1030">
        <v>9490822</v>
      </c>
      <c r="L2499" s="690">
        <v>9700259</v>
      </c>
      <c r="M2499" s="1153">
        <v>47110015</v>
      </c>
      <c r="N2499" s="1155">
        <v>6489905</v>
      </c>
      <c r="O2499" s="692">
        <f t="shared" si="325"/>
        <v>53599920</v>
      </c>
      <c r="P2499" s="1159">
        <v>39310549</v>
      </c>
      <c r="Q2499" s="1160">
        <v>5408367</v>
      </c>
      <c r="R2499" s="691">
        <f t="shared" si="326"/>
        <v>44718916</v>
      </c>
      <c r="S2499" s="692">
        <f t="shared" si="327"/>
        <v>71273266</v>
      </c>
      <c r="T2499" s="693">
        <f t="shared" si="328"/>
        <v>61765209</v>
      </c>
      <c r="U2499" s="1035"/>
      <c r="V2499" s="690"/>
      <c r="W2499" s="1025"/>
      <c r="X2499" s="1030"/>
      <c r="Y2499" s="694">
        <f t="shared" si="329"/>
        <v>0</v>
      </c>
      <c r="Z2499" s="690"/>
      <c r="AA2499" s="690"/>
      <c r="AB2499" s="695">
        <f t="shared" si="330"/>
        <v>0</v>
      </c>
      <c r="AC2499" s="1035"/>
      <c r="AD2499" s="690"/>
      <c r="AE2499" s="1025"/>
      <c r="AF2499" s="1030"/>
      <c r="AG2499" s="690"/>
      <c r="AH2499" s="690"/>
      <c r="AI2499" s="696">
        <f t="shared" si="331"/>
        <v>71273266</v>
      </c>
      <c r="AJ2499" s="697">
        <f t="shared" si="332"/>
        <v>61765209</v>
      </c>
    </row>
    <row r="2500" spans="1:36" s="700" customFormat="1" ht="12.75" customHeight="1">
      <c r="A2500" s="866" t="s">
        <v>206</v>
      </c>
      <c r="B2500" s="866" t="s">
        <v>400</v>
      </c>
      <c r="C2500" s="859" t="s">
        <v>1418</v>
      </c>
      <c r="D2500" s="859"/>
      <c r="E2500" s="956">
        <v>218894</v>
      </c>
      <c r="F2500" s="845">
        <v>8</v>
      </c>
      <c r="G2500" s="1025"/>
      <c r="H2500" s="690"/>
      <c r="I2500" s="1030"/>
      <c r="J2500" s="690"/>
      <c r="K2500" s="1030"/>
      <c r="L2500" s="690"/>
      <c r="M2500" s="1156"/>
      <c r="N2500" s="1157"/>
      <c r="O2500" s="692">
        <f t="shared" si="325"/>
        <v>0</v>
      </c>
      <c r="P2500" s="690"/>
      <c r="Q2500" s="690"/>
      <c r="R2500" s="691">
        <f t="shared" si="326"/>
        <v>0</v>
      </c>
      <c r="S2500" s="692">
        <f t="shared" si="327"/>
        <v>0</v>
      </c>
      <c r="T2500" s="693">
        <f t="shared" si="328"/>
        <v>0</v>
      </c>
      <c r="U2500" s="1035"/>
      <c r="V2500" s="690"/>
      <c r="W2500" s="1025"/>
      <c r="X2500" s="1030"/>
      <c r="Y2500" s="694">
        <f t="shared" si="329"/>
        <v>0</v>
      </c>
      <c r="Z2500" s="690"/>
      <c r="AA2500" s="690"/>
      <c r="AB2500" s="695">
        <f t="shared" si="330"/>
        <v>0</v>
      </c>
      <c r="AC2500" s="1035"/>
      <c r="AD2500" s="690"/>
      <c r="AE2500" s="1025"/>
      <c r="AF2500" s="1030"/>
      <c r="AG2500" s="690"/>
      <c r="AH2500" s="690"/>
      <c r="AI2500" s="696">
        <f t="shared" si="331"/>
        <v>0</v>
      </c>
      <c r="AJ2500" s="697">
        <f t="shared" si="332"/>
        <v>0</v>
      </c>
    </row>
    <row r="2501" spans="1:36" s="700" customFormat="1" ht="12.75" customHeight="1">
      <c r="A2501" s="866" t="s">
        <v>206</v>
      </c>
      <c r="B2501" s="866" t="s">
        <v>400</v>
      </c>
      <c r="C2501" s="860" t="s">
        <v>1469</v>
      </c>
      <c r="D2501" s="860"/>
      <c r="E2501" s="956">
        <v>218894</v>
      </c>
      <c r="F2501" s="845">
        <v>8</v>
      </c>
      <c r="G2501" s="1025"/>
      <c r="H2501" s="690"/>
      <c r="I2501" s="1030">
        <v>29701</v>
      </c>
      <c r="J2501" s="690">
        <v>0</v>
      </c>
      <c r="K2501" s="1030"/>
      <c r="L2501" s="690"/>
      <c r="M2501" s="1156"/>
      <c r="N2501" s="1157"/>
      <c r="O2501" s="692">
        <f t="shared" si="325"/>
        <v>0</v>
      </c>
      <c r="P2501" s="690"/>
      <c r="Q2501" s="690"/>
      <c r="R2501" s="691">
        <f t="shared" si="326"/>
        <v>0</v>
      </c>
      <c r="S2501" s="692">
        <f t="shared" si="327"/>
        <v>29701</v>
      </c>
      <c r="T2501" s="693">
        <f t="shared" si="328"/>
        <v>0</v>
      </c>
      <c r="U2501" s="1035"/>
      <c r="V2501" s="690"/>
      <c r="W2501" s="1025"/>
      <c r="X2501" s="1030"/>
      <c r="Y2501" s="694">
        <f t="shared" si="329"/>
        <v>0</v>
      </c>
      <c r="Z2501" s="690"/>
      <c r="AA2501" s="690"/>
      <c r="AB2501" s="695">
        <f t="shared" si="330"/>
        <v>0</v>
      </c>
      <c r="AC2501" s="1035"/>
      <c r="AD2501" s="690"/>
      <c r="AE2501" s="1025"/>
      <c r="AF2501" s="1030"/>
      <c r="AG2501" s="690"/>
      <c r="AH2501" s="690"/>
      <c r="AI2501" s="696">
        <f t="shared" si="331"/>
        <v>29701</v>
      </c>
      <c r="AJ2501" s="697">
        <f t="shared" si="332"/>
        <v>0</v>
      </c>
    </row>
    <row r="2502" spans="1:36" s="700" customFormat="1" ht="12.75" customHeight="1">
      <c r="A2502" s="866" t="s">
        <v>206</v>
      </c>
      <c r="B2502" s="866" t="s">
        <v>400</v>
      </c>
      <c r="C2502" s="860" t="s">
        <v>1470</v>
      </c>
      <c r="D2502" s="860"/>
      <c r="E2502" s="956">
        <v>218894</v>
      </c>
      <c r="F2502" s="845">
        <v>8</v>
      </c>
      <c r="G2502" s="1025"/>
      <c r="H2502" s="690"/>
      <c r="I2502" s="1030">
        <v>61782</v>
      </c>
      <c r="J2502" s="690">
        <v>0</v>
      </c>
      <c r="K2502" s="1030"/>
      <c r="L2502" s="690"/>
      <c r="M2502" s="1156"/>
      <c r="N2502" s="1157"/>
      <c r="O2502" s="692">
        <f t="shared" si="325"/>
        <v>0</v>
      </c>
      <c r="P2502" s="690"/>
      <c r="Q2502" s="690"/>
      <c r="R2502" s="691">
        <f t="shared" si="326"/>
        <v>0</v>
      </c>
      <c r="S2502" s="692">
        <f t="shared" si="327"/>
        <v>61782</v>
      </c>
      <c r="T2502" s="693">
        <f t="shared" si="328"/>
        <v>0</v>
      </c>
      <c r="U2502" s="1035"/>
      <c r="V2502" s="690"/>
      <c r="W2502" s="1025"/>
      <c r="X2502" s="1030"/>
      <c r="Y2502" s="694">
        <f t="shared" si="329"/>
        <v>0</v>
      </c>
      <c r="Z2502" s="690"/>
      <c r="AA2502" s="690"/>
      <c r="AB2502" s="695">
        <f t="shared" si="330"/>
        <v>0</v>
      </c>
      <c r="AC2502" s="1035"/>
      <c r="AD2502" s="690"/>
      <c r="AE2502" s="1025"/>
      <c r="AF2502" s="1030"/>
      <c r="AG2502" s="690"/>
      <c r="AH2502" s="690"/>
      <c r="AI2502" s="696">
        <f t="shared" si="331"/>
        <v>61782</v>
      </c>
      <c r="AJ2502" s="697">
        <f t="shared" si="332"/>
        <v>0</v>
      </c>
    </row>
    <row r="2503" spans="1:36" s="700" customFormat="1" ht="12.75" customHeight="1">
      <c r="A2503" s="866" t="s">
        <v>206</v>
      </c>
      <c r="B2503" s="866" t="s">
        <v>400</v>
      </c>
      <c r="C2503" s="860" t="s">
        <v>1477</v>
      </c>
      <c r="D2503" s="860"/>
      <c r="E2503" s="956">
        <v>218894</v>
      </c>
      <c r="F2503" s="845">
        <v>8</v>
      </c>
      <c r="G2503" s="1025"/>
      <c r="H2503" s="690"/>
      <c r="I2503" s="1030">
        <v>551202</v>
      </c>
      <c r="J2503" s="818">
        <v>468522</v>
      </c>
      <c r="K2503" s="1030"/>
      <c r="L2503" s="690"/>
      <c r="M2503" s="1156"/>
      <c r="N2503" s="1157"/>
      <c r="O2503" s="692">
        <f t="shared" si="325"/>
        <v>0</v>
      </c>
      <c r="P2503" s="690"/>
      <c r="Q2503" s="690"/>
      <c r="R2503" s="691">
        <f t="shared" si="326"/>
        <v>0</v>
      </c>
      <c r="S2503" s="692">
        <f t="shared" si="327"/>
        <v>551202</v>
      </c>
      <c r="T2503" s="693">
        <f t="shared" si="328"/>
        <v>468522</v>
      </c>
      <c r="U2503" s="1035"/>
      <c r="V2503" s="690"/>
      <c r="W2503" s="1025"/>
      <c r="X2503" s="1030"/>
      <c r="Y2503" s="694">
        <f t="shared" si="329"/>
        <v>0</v>
      </c>
      <c r="Z2503" s="690"/>
      <c r="AA2503" s="690"/>
      <c r="AB2503" s="695">
        <f t="shared" si="330"/>
        <v>0</v>
      </c>
      <c r="AC2503" s="1035"/>
      <c r="AD2503" s="690"/>
      <c r="AE2503" s="1025"/>
      <c r="AF2503" s="1030"/>
      <c r="AG2503" s="690"/>
      <c r="AH2503" s="690"/>
      <c r="AI2503" s="696">
        <f t="shared" si="331"/>
        <v>551202</v>
      </c>
      <c r="AJ2503" s="697">
        <f t="shared" si="332"/>
        <v>468522</v>
      </c>
    </row>
    <row r="2504" spans="1:36" s="700" customFormat="1" ht="12.75" customHeight="1">
      <c r="A2504" s="866" t="s">
        <v>206</v>
      </c>
      <c r="B2504" s="866" t="s">
        <v>400</v>
      </c>
      <c r="C2504" s="860" t="s">
        <v>1472</v>
      </c>
      <c r="D2504" s="860"/>
      <c r="E2504" s="956">
        <v>218894</v>
      </c>
      <c r="F2504" s="845">
        <v>8</v>
      </c>
      <c r="G2504" s="1025"/>
      <c r="H2504" s="690"/>
      <c r="I2504" s="1030">
        <v>44452</v>
      </c>
      <c r="J2504" s="690">
        <v>37784</v>
      </c>
      <c r="K2504" s="1030"/>
      <c r="L2504" s="690"/>
      <c r="M2504" s="1156"/>
      <c r="N2504" s="1157"/>
      <c r="O2504" s="692">
        <f t="shared" si="325"/>
        <v>0</v>
      </c>
      <c r="P2504" s="690"/>
      <c r="Q2504" s="690"/>
      <c r="R2504" s="691">
        <f t="shared" si="326"/>
        <v>0</v>
      </c>
      <c r="S2504" s="692">
        <f t="shared" si="327"/>
        <v>44452</v>
      </c>
      <c r="T2504" s="693">
        <f t="shared" si="328"/>
        <v>37784</v>
      </c>
      <c r="U2504" s="1035"/>
      <c r="V2504" s="690"/>
      <c r="W2504" s="1025"/>
      <c r="X2504" s="1030"/>
      <c r="Y2504" s="694">
        <f t="shared" si="329"/>
        <v>0</v>
      </c>
      <c r="Z2504" s="690"/>
      <c r="AA2504" s="690"/>
      <c r="AB2504" s="695">
        <f t="shared" si="330"/>
        <v>0</v>
      </c>
      <c r="AC2504" s="1035"/>
      <c r="AD2504" s="690"/>
      <c r="AE2504" s="1025"/>
      <c r="AF2504" s="1030"/>
      <c r="AG2504" s="690"/>
      <c r="AH2504" s="690"/>
      <c r="AI2504" s="696">
        <f t="shared" si="331"/>
        <v>44452</v>
      </c>
      <c r="AJ2504" s="697">
        <f t="shared" si="332"/>
        <v>37784</v>
      </c>
    </row>
    <row r="2505" spans="1:36" s="700" customFormat="1" ht="12.75" customHeight="1">
      <c r="A2505" s="866" t="s">
        <v>206</v>
      </c>
      <c r="B2505" s="866" t="s">
        <v>400</v>
      </c>
      <c r="C2505" s="860" t="s">
        <v>1422</v>
      </c>
      <c r="D2505" s="860"/>
      <c r="E2505" s="956">
        <v>218894</v>
      </c>
      <c r="F2505" s="845">
        <v>8</v>
      </c>
      <c r="G2505" s="1025"/>
      <c r="H2505" s="690"/>
      <c r="I2505" s="1030">
        <v>12786</v>
      </c>
      <c r="J2505" s="690">
        <v>0</v>
      </c>
      <c r="K2505" s="1030"/>
      <c r="L2505" s="690"/>
      <c r="M2505" s="1156"/>
      <c r="N2505" s="1157"/>
      <c r="O2505" s="692">
        <f t="shared" si="325"/>
        <v>0</v>
      </c>
      <c r="P2505" s="690"/>
      <c r="Q2505" s="690"/>
      <c r="R2505" s="691">
        <f t="shared" si="326"/>
        <v>0</v>
      </c>
      <c r="S2505" s="692">
        <f t="shared" si="327"/>
        <v>12786</v>
      </c>
      <c r="T2505" s="693">
        <f t="shared" si="328"/>
        <v>0</v>
      </c>
      <c r="U2505" s="1035"/>
      <c r="V2505" s="690"/>
      <c r="W2505" s="1025"/>
      <c r="X2505" s="1030"/>
      <c r="Y2505" s="694">
        <f t="shared" si="329"/>
        <v>0</v>
      </c>
      <c r="Z2505" s="690"/>
      <c r="AA2505" s="690"/>
      <c r="AB2505" s="695">
        <f t="shared" si="330"/>
        <v>0</v>
      </c>
      <c r="AC2505" s="1035"/>
      <c r="AD2505" s="690"/>
      <c r="AE2505" s="1025"/>
      <c r="AF2505" s="1030"/>
      <c r="AG2505" s="690"/>
      <c r="AH2505" s="690"/>
      <c r="AI2505" s="696">
        <f t="shared" si="331"/>
        <v>12786</v>
      </c>
      <c r="AJ2505" s="697">
        <f t="shared" si="332"/>
        <v>0</v>
      </c>
    </row>
    <row r="2506" spans="1:36" s="700" customFormat="1" ht="12.75" customHeight="1">
      <c r="A2506" s="866" t="s">
        <v>206</v>
      </c>
      <c r="B2506" s="866" t="s">
        <v>400</v>
      </c>
      <c r="C2506" s="860" t="s">
        <v>1423</v>
      </c>
      <c r="D2506" s="860"/>
      <c r="E2506" s="956">
        <v>218894</v>
      </c>
      <c r="F2506" s="845">
        <v>8</v>
      </c>
      <c r="G2506" s="1025"/>
      <c r="H2506" s="690"/>
      <c r="I2506" s="1030">
        <v>1040</v>
      </c>
      <c r="J2506" s="690">
        <v>0</v>
      </c>
      <c r="K2506" s="1030"/>
      <c r="L2506" s="690"/>
      <c r="M2506" s="1156"/>
      <c r="N2506" s="1157"/>
      <c r="O2506" s="692">
        <f t="shared" ref="O2506:O2569" si="333">SUM(M2506:N2506)</f>
        <v>0</v>
      </c>
      <c r="P2506" s="690"/>
      <c r="Q2506" s="690"/>
      <c r="R2506" s="691">
        <f t="shared" ref="R2506:R2569" si="334">SUM(P2506:Q2506)</f>
        <v>0</v>
      </c>
      <c r="S2506" s="692">
        <f t="shared" ref="S2506:S2569" si="335">SUM(G2506,I2506,K2506,M2506)</f>
        <v>1040</v>
      </c>
      <c r="T2506" s="693">
        <f t="shared" ref="T2506:T2569" si="336">SUM(H2506,J2506,L2506,P2506)</f>
        <v>0</v>
      </c>
      <c r="U2506" s="1035"/>
      <c r="V2506" s="690"/>
      <c r="W2506" s="1025"/>
      <c r="X2506" s="1030"/>
      <c r="Y2506" s="694">
        <f t="shared" ref="Y2506:Y2569" si="337">SUM(W2506:X2506)</f>
        <v>0</v>
      </c>
      <c r="Z2506" s="690"/>
      <c r="AA2506" s="690"/>
      <c r="AB2506" s="695">
        <f t="shared" ref="AB2506:AB2569" si="338">SUM(Z2506:AA2506)</f>
        <v>0</v>
      </c>
      <c r="AC2506" s="1035"/>
      <c r="AD2506" s="690"/>
      <c r="AE2506" s="1025"/>
      <c r="AF2506" s="1030"/>
      <c r="AG2506" s="690"/>
      <c r="AH2506" s="690"/>
      <c r="AI2506" s="696">
        <f t="shared" ref="AI2506:AI2569" si="339">SUM(S2506,U2506,W2506,AC2506,AE2506)</f>
        <v>1040</v>
      </c>
      <c r="AJ2506" s="697">
        <f t="shared" ref="AJ2506:AJ2569" si="340">SUM(T2506,V2506,Z2506,AD2506,AG2506)</f>
        <v>0</v>
      </c>
    </row>
    <row r="2507" spans="1:36" s="700" customFormat="1" ht="12.75" customHeight="1">
      <c r="A2507" s="866" t="s">
        <v>206</v>
      </c>
      <c r="B2507" s="866" t="s">
        <v>400</v>
      </c>
      <c r="C2507" s="860" t="s">
        <v>1419</v>
      </c>
      <c r="D2507" s="860"/>
      <c r="E2507" s="956">
        <v>218894</v>
      </c>
      <c r="F2507" s="845">
        <v>8</v>
      </c>
      <c r="G2507" s="1025"/>
      <c r="H2507" s="690"/>
      <c r="I2507" s="1030">
        <v>44286</v>
      </c>
      <c r="J2507" s="690" t="s">
        <v>1420</v>
      </c>
      <c r="K2507" s="1030"/>
      <c r="L2507" s="690"/>
      <c r="M2507" s="1156"/>
      <c r="N2507" s="1157"/>
      <c r="O2507" s="692">
        <f t="shared" si="333"/>
        <v>0</v>
      </c>
      <c r="P2507" s="690"/>
      <c r="Q2507" s="690"/>
      <c r="R2507" s="691">
        <f t="shared" si="334"/>
        <v>0</v>
      </c>
      <c r="S2507" s="692">
        <f t="shared" si="335"/>
        <v>44286</v>
      </c>
      <c r="T2507" s="693">
        <f t="shared" si="336"/>
        <v>0</v>
      </c>
      <c r="U2507" s="1035"/>
      <c r="V2507" s="690"/>
      <c r="W2507" s="1025"/>
      <c r="X2507" s="1030"/>
      <c r="Y2507" s="694">
        <f t="shared" si="337"/>
        <v>0</v>
      </c>
      <c r="Z2507" s="690"/>
      <c r="AA2507" s="690"/>
      <c r="AB2507" s="695">
        <f t="shared" si="338"/>
        <v>0</v>
      </c>
      <c r="AC2507" s="1035"/>
      <c r="AD2507" s="690"/>
      <c r="AE2507" s="1025"/>
      <c r="AF2507" s="1030"/>
      <c r="AG2507" s="690"/>
      <c r="AH2507" s="690"/>
      <c r="AI2507" s="696">
        <f t="shared" si="339"/>
        <v>44286</v>
      </c>
      <c r="AJ2507" s="697">
        <f t="shared" si="340"/>
        <v>0</v>
      </c>
    </row>
    <row r="2508" spans="1:36" s="700" customFormat="1" ht="12.75" customHeight="1">
      <c r="A2508" s="866" t="s">
        <v>206</v>
      </c>
      <c r="B2508" s="866" t="s">
        <v>400</v>
      </c>
      <c r="C2508" s="860" t="s">
        <v>1473</v>
      </c>
      <c r="D2508" s="860"/>
      <c r="E2508" s="956">
        <v>218894</v>
      </c>
      <c r="F2508" s="845">
        <v>8</v>
      </c>
      <c r="G2508" s="1025"/>
      <c r="H2508" s="690"/>
      <c r="I2508" s="1030">
        <v>65435</v>
      </c>
      <c r="J2508" s="690">
        <v>0</v>
      </c>
      <c r="K2508" s="1030"/>
      <c r="L2508" s="690"/>
      <c r="M2508" s="1156"/>
      <c r="N2508" s="1157"/>
      <c r="O2508" s="692">
        <f t="shared" si="333"/>
        <v>0</v>
      </c>
      <c r="P2508" s="690"/>
      <c r="Q2508" s="690"/>
      <c r="R2508" s="691">
        <f t="shared" si="334"/>
        <v>0</v>
      </c>
      <c r="S2508" s="692">
        <f t="shared" si="335"/>
        <v>65435</v>
      </c>
      <c r="T2508" s="693">
        <f t="shared" si="336"/>
        <v>0</v>
      </c>
      <c r="U2508" s="1035"/>
      <c r="V2508" s="690"/>
      <c r="W2508" s="1025"/>
      <c r="X2508" s="1030"/>
      <c r="Y2508" s="694">
        <f t="shared" si="337"/>
        <v>0</v>
      </c>
      <c r="Z2508" s="690"/>
      <c r="AA2508" s="690"/>
      <c r="AB2508" s="695">
        <f t="shared" si="338"/>
        <v>0</v>
      </c>
      <c r="AC2508" s="1035"/>
      <c r="AD2508" s="690"/>
      <c r="AE2508" s="1025"/>
      <c r="AF2508" s="1030"/>
      <c r="AG2508" s="690"/>
      <c r="AH2508" s="690"/>
      <c r="AI2508" s="696">
        <f t="shared" si="339"/>
        <v>65435</v>
      </c>
      <c r="AJ2508" s="697">
        <f t="shared" si="340"/>
        <v>0</v>
      </c>
    </row>
    <row r="2509" spans="1:36" s="700" customFormat="1" ht="12.75" customHeight="1">
      <c r="A2509" s="866" t="s">
        <v>206</v>
      </c>
      <c r="B2509" s="866" t="s">
        <v>400</v>
      </c>
      <c r="C2509" s="860" t="s">
        <v>1474</v>
      </c>
      <c r="D2509" s="860"/>
      <c r="E2509" s="956">
        <v>218894</v>
      </c>
      <c r="F2509" s="845">
        <v>8</v>
      </c>
      <c r="G2509" s="1025"/>
      <c r="H2509" s="690"/>
      <c r="I2509" s="1030">
        <v>398502</v>
      </c>
      <c r="J2509" s="690">
        <v>0</v>
      </c>
      <c r="K2509" s="1030"/>
      <c r="L2509" s="690"/>
      <c r="M2509" s="1156"/>
      <c r="N2509" s="1157"/>
      <c r="O2509" s="692">
        <f t="shared" si="333"/>
        <v>0</v>
      </c>
      <c r="P2509" s="690"/>
      <c r="Q2509" s="690"/>
      <c r="R2509" s="691">
        <f t="shared" si="334"/>
        <v>0</v>
      </c>
      <c r="S2509" s="692">
        <f t="shared" si="335"/>
        <v>398502</v>
      </c>
      <c r="T2509" s="693">
        <f t="shared" si="336"/>
        <v>0</v>
      </c>
      <c r="U2509" s="1035"/>
      <c r="V2509" s="690"/>
      <c r="W2509" s="1025"/>
      <c r="X2509" s="1030"/>
      <c r="Y2509" s="694">
        <f t="shared" si="337"/>
        <v>0</v>
      </c>
      <c r="Z2509" s="690"/>
      <c r="AA2509" s="690"/>
      <c r="AB2509" s="695">
        <f t="shared" si="338"/>
        <v>0</v>
      </c>
      <c r="AC2509" s="1035"/>
      <c r="AD2509" s="690"/>
      <c r="AE2509" s="1025"/>
      <c r="AF2509" s="1030"/>
      <c r="AG2509" s="690"/>
      <c r="AH2509" s="690"/>
      <c r="AI2509" s="696">
        <f t="shared" si="339"/>
        <v>398502</v>
      </c>
      <c r="AJ2509" s="697">
        <f t="shared" si="340"/>
        <v>0</v>
      </c>
    </row>
    <row r="2510" spans="1:36" s="700" customFormat="1" ht="12.75" customHeight="1">
      <c r="A2510" s="866" t="s">
        <v>206</v>
      </c>
      <c r="B2510" s="866" t="s">
        <v>400</v>
      </c>
      <c r="C2510" s="860" t="s">
        <v>1442</v>
      </c>
      <c r="D2510" s="860"/>
      <c r="E2510" s="956">
        <v>218894</v>
      </c>
      <c r="F2510" s="845">
        <v>8</v>
      </c>
      <c r="G2510" s="1025"/>
      <c r="H2510" s="690"/>
      <c r="I2510" s="1030">
        <v>714445</v>
      </c>
      <c r="J2510" s="818">
        <v>414778</v>
      </c>
      <c r="K2510" s="1030"/>
      <c r="L2510" s="690"/>
      <c r="M2510" s="1156"/>
      <c r="N2510" s="1157"/>
      <c r="O2510" s="692">
        <f t="shared" si="333"/>
        <v>0</v>
      </c>
      <c r="P2510" s="690"/>
      <c r="Q2510" s="690"/>
      <c r="R2510" s="691">
        <f t="shared" si="334"/>
        <v>0</v>
      </c>
      <c r="S2510" s="692">
        <f t="shared" si="335"/>
        <v>714445</v>
      </c>
      <c r="T2510" s="693">
        <f t="shared" si="336"/>
        <v>414778</v>
      </c>
      <c r="U2510" s="1035"/>
      <c r="V2510" s="690"/>
      <c r="W2510" s="1025"/>
      <c r="X2510" s="1030"/>
      <c r="Y2510" s="694">
        <f t="shared" si="337"/>
        <v>0</v>
      </c>
      <c r="Z2510" s="690"/>
      <c r="AA2510" s="690"/>
      <c r="AB2510" s="695">
        <f t="shared" si="338"/>
        <v>0</v>
      </c>
      <c r="AC2510" s="1035"/>
      <c r="AD2510" s="690"/>
      <c r="AE2510" s="1025"/>
      <c r="AF2510" s="1030"/>
      <c r="AG2510" s="690"/>
      <c r="AH2510" s="690"/>
      <c r="AI2510" s="696">
        <f t="shared" si="339"/>
        <v>714445</v>
      </c>
      <c r="AJ2510" s="697">
        <f t="shared" si="340"/>
        <v>414778</v>
      </c>
    </row>
    <row r="2511" spans="1:36" s="700" customFormat="1" ht="12.75" customHeight="1">
      <c r="A2511" s="866" t="s">
        <v>206</v>
      </c>
      <c r="B2511" s="866" t="s">
        <v>392</v>
      </c>
      <c r="C2511" s="955" t="s">
        <v>1478</v>
      </c>
      <c r="D2511" s="955"/>
      <c r="E2511" s="956">
        <v>217615</v>
      </c>
      <c r="F2511" s="845">
        <v>9</v>
      </c>
      <c r="G2511" s="1025">
        <v>3964319</v>
      </c>
      <c r="H2511" s="818">
        <v>3468248</v>
      </c>
      <c r="I2511" s="1030"/>
      <c r="J2511" s="690"/>
      <c r="K2511" s="1030">
        <v>1651150</v>
      </c>
      <c r="L2511" s="690">
        <v>1696000</v>
      </c>
      <c r="M2511" s="1153">
        <v>11833460</v>
      </c>
      <c r="N2511" s="1155">
        <v>629143</v>
      </c>
      <c r="O2511" s="692">
        <f t="shared" si="333"/>
        <v>12462603</v>
      </c>
      <c r="P2511" s="1159">
        <v>11224918</v>
      </c>
      <c r="Q2511" s="1160">
        <v>585582</v>
      </c>
      <c r="R2511" s="691">
        <f t="shared" si="334"/>
        <v>11810500</v>
      </c>
      <c r="S2511" s="692">
        <f t="shared" si="335"/>
        <v>17448929</v>
      </c>
      <c r="T2511" s="693">
        <f t="shared" si="336"/>
        <v>16389166</v>
      </c>
      <c r="U2511" s="1035"/>
      <c r="V2511" s="690"/>
      <c r="W2511" s="1025"/>
      <c r="X2511" s="1030"/>
      <c r="Y2511" s="694">
        <f t="shared" si="337"/>
        <v>0</v>
      </c>
      <c r="Z2511" s="690"/>
      <c r="AA2511" s="690"/>
      <c r="AB2511" s="695">
        <f t="shared" si="338"/>
        <v>0</v>
      </c>
      <c r="AC2511" s="1035"/>
      <c r="AD2511" s="690"/>
      <c r="AE2511" s="1025"/>
      <c r="AF2511" s="1030"/>
      <c r="AG2511" s="690"/>
      <c r="AH2511" s="690"/>
      <c r="AI2511" s="696">
        <f t="shared" si="339"/>
        <v>17448929</v>
      </c>
      <c r="AJ2511" s="697">
        <f t="shared" si="340"/>
        <v>16389166</v>
      </c>
    </row>
    <row r="2512" spans="1:36" s="700" customFormat="1" ht="12.75" customHeight="1">
      <c r="A2512" s="866" t="s">
        <v>206</v>
      </c>
      <c r="B2512" s="866" t="s">
        <v>400</v>
      </c>
      <c r="C2512" s="859" t="s">
        <v>1418</v>
      </c>
      <c r="D2512" s="859"/>
      <c r="E2512" s="956">
        <v>217615</v>
      </c>
      <c r="F2512" s="845">
        <v>9</v>
      </c>
      <c r="G2512" s="1025"/>
      <c r="H2512" s="690"/>
      <c r="I2512" s="1030"/>
      <c r="J2512" s="690"/>
      <c r="K2512" s="1030"/>
      <c r="L2512" s="690"/>
      <c r="M2512" s="1025"/>
      <c r="N2512" s="1030"/>
      <c r="O2512" s="692">
        <f t="shared" si="333"/>
        <v>0</v>
      </c>
      <c r="P2512" s="1161"/>
      <c r="Q2512" s="1161"/>
      <c r="R2512" s="691">
        <f t="shared" si="334"/>
        <v>0</v>
      </c>
      <c r="S2512" s="692">
        <f t="shared" si="335"/>
        <v>0</v>
      </c>
      <c r="T2512" s="693">
        <f t="shared" si="336"/>
        <v>0</v>
      </c>
      <c r="U2512" s="1035"/>
      <c r="V2512" s="690"/>
      <c r="W2512" s="1025"/>
      <c r="X2512" s="1030"/>
      <c r="Y2512" s="694">
        <f t="shared" si="337"/>
        <v>0</v>
      </c>
      <c r="Z2512" s="690"/>
      <c r="AA2512" s="690"/>
      <c r="AB2512" s="695">
        <f t="shared" si="338"/>
        <v>0</v>
      </c>
      <c r="AC2512" s="1035"/>
      <c r="AD2512" s="690"/>
      <c r="AE2512" s="1025"/>
      <c r="AF2512" s="1030"/>
      <c r="AG2512" s="690"/>
      <c r="AH2512" s="690"/>
      <c r="AI2512" s="696">
        <f t="shared" si="339"/>
        <v>0</v>
      </c>
      <c r="AJ2512" s="697">
        <f t="shared" si="340"/>
        <v>0</v>
      </c>
    </row>
    <row r="2513" spans="1:36" s="700" customFormat="1" ht="12.75" customHeight="1">
      <c r="A2513" s="866" t="s">
        <v>206</v>
      </c>
      <c r="B2513" s="866" t="s">
        <v>400</v>
      </c>
      <c r="C2513" s="860" t="s">
        <v>1469</v>
      </c>
      <c r="D2513" s="860"/>
      <c r="E2513" s="956">
        <v>217615</v>
      </c>
      <c r="F2513" s="845">
        <v>9</v>
      </c>
      <c r="G2513" s="1025"/>
      <c r="H2513" s="690"/>
      <c r="I2513" s="1030">
        <v>8025</v>
      </c>
      <c r="J2513" s="690">
        <v>0</v>
      </c>
      <c r="K2513" s="1030"/>
      <c r="L2513" s="690"/>
      <c r="M2513" s="1025"/>
      <c r="N2513" s="1030"/>
      <c r="O2513" s="692">
        <f t="shared" si="333"/>
        <v>0</v>
      </c>
      <c r="P2513" s="1161"/>
      <c r="Q2513" s="1161"/>
      <c r="R2513" s="691">
        <f t="shared" si="334"/>
        <v>0</v>
      </c>
      <c r="S2513" s="692">
        <f t="shared" si="335"/>
        <v>8025</v>
      </c>
      <c r="T2513" s="693">
        <f t="shared" si="336"/>
        <v>0</v>
      </c>
      <c r="U2513" s="1035"/>
      <c r="V2513" s="690"/>
      <c r="W2513" s="1025"/>
      <c r="X2513" s="1030"/>
      <c r="Y2513" s="694">
        <f t="shared" si="337"/>
        <v>0</v>
      </c>
      <c r="Z2513" s="690"/>
      <c r="AA2513" s="690"/>
      <c r="AB2513" s="695">
        <f t="shared" si="338"/>
        <v>0</v>
      </c>
      <c r="AC2513" s="1035"/>
      <c r="AD2513" s="690"/>
      <c r="AE2513" s="1025"/>
      <c r="AF2513" s="1030"/>
      <c r="AG2513" s="690"/>
      <c r="AH2513" s="690"/>
      <c r="AI2513" s="696">
        <f t="shared" si="339"/>
        <v>8025</v>
      </c>
      <c r="AJ2513" s="697">
        <f t="shared" si="340"/>
        <v>0</v>
      </c>
    </row>
    <row r="2514" spans="1:36" s="700" customFormat="1" ht="12.75" customHeight="1">
      <c r="A2514" s="866" t="s">
        <v>206</v>
      </c>
      <c r="B2514" s="866" t="s">
        <v>400</v>
      </c>
      <c r="C2514" s="860" t="s">
        <v>1470</v>
      </c>
      <c r="D2514" s="860"/>
      <c r="E2514" s="956">
        <v>217615</v>
      </c>
      <c r="F2514" s="845">
        <v>9</v>
      </c>
      <c r="G2514" s="1025"/>
      <c r="H2514" s="690"/>
      <c r="I2514" s="1030">
        <v>16693</v>
      </c>
      <c r="J2514" s="690">
        <v>0</v>
      </c>
      <c r="K2514" s="1030"/>
      <c r="L2514" s="690"/>
      <c r="M2514" s="1025"/>
      <c r="N2514" s="1030"/>
      <c r="O2514" s="692">
        <f t="shared" si="333"/>
        <v>0</v>
      </c>
      <c r="P2514" s="1161"/>
      <c r="Q2514" s="1161"/>
      <c r="R2514" s="691">
        <f t="shared" si="334"/>
        <v>0</v>
      </c>
      <c r="S2514" s="692">
        <f t="shared" si="335"/>
        <v>16693</v>
      </c>
      <c r="T2514" s="693">
        <f t="shared" si="336"/>
        <v>0</v>
      </c>
      <c r="U2514" s="1035"/>
      <c r="V2514" s="690"/>
      <c r="W2514" s="1025"/>
      <c r="X2514" s="1030"/>
      <c r="Y2514" s="694">
        <f t="shared" si="337"/>
        <v>0</v>
      </c>
      <c r="Z2514" s="690"/>
      <c r="AA2514" s="690"/>
      <c r="AB2514" s="695">
        <f t="shared" si="338"/>
        <v>0</v>
      </c>
      <c r="AC2514" s="1035"/>
      <c r="AD2514" s="690"/>
      <c r="AE2514" s="1025"/>
      <c r="AF2514" s="1030"/>
      <c r="AG2514" s="690"/>
      <c r="AH2514" s="690"/>
      <c r="AI2514" s="696">
        <f t="shared" si="339"/>
        <v>16693</v>
      </c>
      <c r="AJ2514" s="697">
        <f t="shared" si="340"/>
        <v>0</v>
      </c>
    </row>
    <row r="2515" spans="1:36" s="700" customFormat="1" ht="12.75" customHeight="1">
      <c r="A2515" s="866" t="s">
        <v>206</v>
      </c>
      <c r="B2515" s="866" t="s">
        <v>400</v>
      </c>
      <c r="C2515" s="860" t="s">
        <v>1472</v>
      </c>
      <c r="D2515" s="860"/>
      <c r="E2515" s="956">
        <v>217615</v>
      </c>
      <c r="F2515" s="845">
        <v>9</v>
      </c>
      <c r="G2515" s="1025"/>
      <c r="H2515" s="690"/>
      <c r="I2515" s="1030">
        <v>44451</v>
      </c>
      <c r="J2515" s="690">
        <v>37784</v>
      </c>
      <c r="K2515" s="1030"/>
      <c r="L2515" s="690"/>
      <c r="M2515" s="1025"/>
      <c r="N2515" s="1030"/>
      <c r="O2515" s="692">
        <f t="shared" si="333"/>
        <v>0</v>
      </c>
      <c r="P2515" s="1161"/>
      <c r="Q2515" s="1161"/>
      <c r="R2515" s="691">
        <f t="shared" si="334"/>
        <v>0</v>
      </c>
      <c r="S2515" s="692">
        <f t="shared" si="335"/>
        <v>44451</v>
      </c>
      <c r="T2515" s="693">
        <f t="shared" si="336"/>
        <v>37784</v>
      </c>
      <c r="U2515" s="1035"/>
      <c r="V2515" s="690"/>
      <c r="W2515" s="1025"/>
      <c r="X2515" s="1030"/>
      <c r="Y2515" s="694">
        <f t="shared" si="337"/>
        <v>0</v>
      </c>
      <c r="Z2515" s="690"/>
      <c r="AA2515" s="690"/>
      <c r="AB2515" s="695">
        <f t="shared" si="338"/>
        <v>0</v>
      </c>
      <c r="AC2515" s="1035"/>
      <c r="AD2515" s="690"/>
      <c r="AE2515" s="1025"/>
      <c r="AF2515" s="1030"/>
      <c r="AG2515" s="690"/>
      <c r="AH2515" s="690"/>
      <c r="AI2515" s="696">
        <f t="shared" si="339"/>
        <v>44451</v>
      </c>
      <c r="AJ2515" s="697">
        <f t="shared" si="340"/>
        <v>37784</v>
      </c>
    </row>
    <row r="2516" spans="1:36" s="700" customFormat="1" ht="12.75" customHeight="1">
      <c r="A2516" s="866" t="s">
        <v>206</v>
      </c>
      <c r="B2516" s="866" t="s">
        <v>400</v>
      </c>
      <c r="C2516" s="860" t="s">
        <v>1422</v>
      </c>
      <c r="D2516" s="860"/>
      <c r="E2516" s="956">
        <v>217615</v>
      </c>
      <c r="F2516" s="845">
        <v>9</v>
      </c>
      <c r="G2516" s="1025"/>
      <c r="H2516" s="690"/>
      <c r="I2516" s="1030">
        <v>5789</v>
      </c>
      <c r="J2516" s="690">
        <v>0</v>
      </c>
      <c r="K2516" s="1030"/>
      <c r="L2516" s="690"/>
      <c r="M2516" s="1025"/>
      <c r="N2516" s="1030"/>
      <c r="O2516" s="692">
        <f t="shared" si="333"/>
        <v>0</v>
      </c>
      <c r="P2516" s="1161"/>
      <c r="Q2516" s="1161"/>
      <c r="R2516" s="691">
        <f t="shared" si="334"/>
        <v>0</v>
      </c>
      <c r="S2516" s="692">
        <f t="shared" si="335"/>
        <v>5789</v>
      </c>
      <c r="T2516" s="693">
        <f t="shared" si="336"/>
        <v>0</v>
      </c>
      <c r="U2516" s="1035"/>
      <c r="V2516" s="690"/>
      <c r="W2516" s="1025"/>
      <c r="X2516" s="1030"/>
      <c r="Y2516" s="694">
        <f t="shared" si="337"/>
        <v>0</v>
      </c>
      <c r="Z2516" s="690"/>
      <c r="AA2516" s="690"/>
      <c r="AB2516" s="695">
        <f t="shared" si="338"/>
        <v>0</v>
      </c>
      <c r="AC2516" s="1035"/>
      <c r="AD2516" s="690"/>
      <c r="AE2516" s="1025"/>
      <c r="AF2516" s="1030"/>
      <c r="AG2516" s="690"/>
      <c r="AH2516" s="690"/>
      <c r="AI2516" s="696">
        <f t="shared" si="339"/>
        <v>5789</v>
      </c>
      <c r="AJ2516" s="697">
        <f t="shared" si="340"/>
        <v>0</v>
      </c>
    </row>
    <row r="2517" spans="1:36" s="700" customFormat="1" ht="12.75" customHeight="1">
      <c r="A2517" s="866" t="s">
        <v>206</v>
      </c>
      <c r="B2517" s="866" t="s">
        <v>400</v>
      </c>
      <c r="C2517" s="860" t="s">
        <v>1423</v>
      </c>
      <c r="D2517" s="860"/>
      <c r="E2517" s="956">
        <v>217615</v>
      </c>
      <c r="F2517" s="845">
        <v>9</v>
      </c>
      <c r="G2517" s="1025"/>
      <c r="H2517" s="690"/>
      <c r="I2517" s="1030">
        <v>1576</v>
      </c>
      <c r="J2517" s="690">
        <v>0</v>
      </c>
      <c r="K2517" s="1030"/>
      <c r="L2517" s="690"/>
      <c r="M2517" s="1025"/>
      <c r="N2517" s="1030"/>
      <c r="O2517" s="692">
        <f t="shared" si="333"/>
        <v>0</v>
      </c>
      <c r="P2517" s="1161"/>
      <c r="Q2517" s="1161"/>
      <c r="R2517" s="691">
        <f t="shared" si="334"/>
        <v>0</v>
      </c>
      <c r="S2517" s="692">
        <f t="shared" si="335"/>
        <v>1576</v>
      </c>
      <c r="T2517" s="693">
        <f t="shared" si="336"/>
        <v>0</v>
      </c>
      <c r="U2517" s="1035"/>
      <c r="V2517" s="690"/>
      <c r="W2517" s="1025"/>
      <c r="X2517" s="1030"/>
      <c r="Y2517" s="694">
        <f t="shared" si="337"/>
        <v>0</v>
      </c>
      <c r="Z2517" s="690"/>
      <c r="AA2517" s="690"/>
      <c r="AB2517" s="695">
        <f t="shared" si="338"/>
        <v>0</v>
      </c>
      <c r="AC2517" s="1035"/>
      <c r="AD2517" s="690"/>
      <c r="AE2517" s="1025"/>
      <c r="AF2517" s="1030"/>
      <c r="AG2517" s="690"/>
      <c r="AH2517" s="690"/>
      <c r="AI2517" s="696">
        <f t="shared" si="339"/>
        <v>1576</v>
      </c>
      <c r="AJ2517" s="697">
        <f t="shared" si="340"/>
        <v>0</v>
      </c>
    </row>
    <row r="2518" spans="1:36" s="700" customFormat="1" ht="12.75" customHeight="1">
      <c r="A2518" s="866" t="s">
        <v>206</v>
      </c>
      <c r="B2518" s="866" t="s">
        <v>400</v>
      </c>
      <c r="C2518" s="860" t="s">
        <v>1419</v>
      </c>
      <c r="D2518" s="860"/>
      <c r="E2518" s="956">
        <v>217615</v>
      </c>
      <c r="F2518" s="845">
        <v>9</v>
      </c>
      <c r="G2518" s="1025"/>
      <c r="H2518" s="690"/>
      <c r="I2518" s="1030">
        <v>11317</v>
      </c>
      <c r="J2518" s="690" t="s">
        <v>1420</v>
      </c>
      <c r="K2518" s="1030"/>
      <c r="L2518" s="690"/>
      <c r="M2518" s="1025"/>
      <c r="N2518" s="1030"/>
      <c r="O2518" s="692">
        <f t="shared" si="333"/>
        <v>0</v>
      </c>
      <c r="P2518" s="1161"/>
      <c r="Q2518" s="1161"/>
      <c r="R2518" s="691">
        <f t="shared" si="334"/>
        <v>0</v>
      </c>
      <c r="S2518" s="692">
        <f t="shared" si="335"/>
        <v>11317</v>
      </c>
      <c r="T2518" s="693">
        <f t="shared" si="336"/>
        <v>0</v>
      </c>
      <c r="U2518" s="1035"/>
      <c r="V2518" s="690"/>
      <c r="W2518" s="1025"/>
      <c r="X2518" s="1030"/>
      <c r="Y2518" s="694">
        <f t="shared" si="337"/>
        <v>0</v>
      </c>
      <c r="Z2518" s="690"/>
      <c r="AA2518" s="690"/>
      <c r="AB2518" s="695">
        <f t="shared" si="338"/>
        <v>0</v>
      </c>
      <c r="AC2518" s="1035"/>
      <c r="AD2518" s="690"/>
      <c r="AE2518" s="1025"/>
      <c r="AF2518" s="1030"/>
      <c r="AG2518" s="690"/>
      <c r="AH2518" s="690"/>
      <c r="AI2518" s="696">
        <f t="shared" si="339"/>
        <v>11317</v>
      </c>
      <c r="AJ2518" s="697">
        <f t="shared" si="340"/>
        <v>0</v>
      </c>
    </row>
    <row r="2519" spans="1:36" s="700" customFormat="1" ht="12.75" customHeight="1">
      <c r="A2519" s="866" t="s">
        <v>206</v>
      </c>
      <c r="B2519" s="866" t="s">
        <v>400</v>
      </c>
      <c r="C2519" s="860" t="s">
        <v>1473</v>
      </c>
      <c r="D2519" s="860"/>
      <c r="E2519" s="956">
        <v>217615</v>
      </c>
      <c r="F2519" s="845">
        <v>9</v>
      </c>
      <c r="G2519" s="1025"/>
      <c r="H2519" s="690"/>
      <c r="I2519" s="1030">
        <v>15725</v>
      </c>
      <c r="J2519" s="690">
        <v>0</v>
      </c>
      <c r="K2519" s="1030"/>
      <c r="L2519" s="690"/>
      <c r="M2519" s="1025"/>
      <c r="N2519" s="1030"/>
      <c r="O2519" s="692">
        <f t="shared" si="333"/>
        <v>0</v>
      </c>
      <c r="P2519" s="1161"/>
      <c r="Q2519" s="1161"/>
      <c r="R2519" s="691">
        <f t="shared" si="334"/>
        <v>0</v>
      </c>
      <c r="S2519" s="692">
        <f t="shared" si="335"/>
        <v>15725</v>
      </c>
      <c r="T2519" s="693">
        <f t="shared" si="336"/>
        <v>0</v>
      </c>
      <c r="U2519" s="1035"/>
      <c r="V2519" s="690"/>
      <c r="W2519" s="1025"/>
      <c r="X2519" s="1030"/>
      <c r="Y2519" s="694">
        <f t="shared" si="337"/>
        <v>0</v>
      </c>
      <c r="Z2519" s="690"/>
      <c r="AA2519" s="690"/>
      <c r="AB2519" s="695">
        <f t="shared" si="338"/>
        <v>0</v>
      </c>
      <c r="AC2519" s="1035"/>
      <c r="AD2519" s="690"/>
      <c r="AE2519" s="1025"/>
      <c r="AF2519" s="1030"/>
      <c r="AG2519" s="690"/>
      <c r="AH2519" s="690"/>
      <c r="AI2519" s="696">
        <f t="shared" si="339"/>
        <v>15725</v>
      </c>
      <c r="AJ2519" s="697">
        <f t="shared" si="340"/>
        <v>0</v>
      </c>
    </row>
    <row r="2520" spans="1:36" s="700" customFormat="1" ht="12.75" customHeight="1">
      <c r="A2520" s="866" t="s">
        <v>206</v>
      </c>
      <c r="B2520" s="866" t="s">
        <v>400</v>
      </c>
      <c r="C2520" s="860" t="s">
        <v>1474</v>
      </c>
      <c r="D2520" s="860"/>
      <c r="E2520" s="956">
        <v>217615</v>
      </c>
      <c r="F2520" s="845">
        <v>9</v>
      </c>
      <c r="G2520" s="1025"/>
      <c r="H2520" s="690"/>
      <c r="I2520" s="1030">
        <v>199952</v>
      </c>
      <c r="J2520" s="690">
        <v>0</v>
      </c>
      <c r="K2520" s="1030"/>
      <c r="L2520" s="690"/>
      <c r="M2520" s="1025"/>
      <c r="N2520" s="1030"/>
      <c r="O2520" s="692">
        <f t="shared" si="333"/>
        <v>0</v>
      </c>
      <c r="P2520" s="1161"/>
      <c r="Q2520" s="1161"/>
      <c r="R2520" s="691">
        <f t="shared" si="334"/>
        <v>0</v>
      </c>
      <c r="S2520" s="692">
        <f t="shared" si="335"/>
        <v>199952</v>
      </c>
      <c r="T2520" s="693">
        <f t="shared" si="336"/>
        <v>0</v>
      </c>
      <c r="U2520" s="1035"/>
      <c r="V2520" s="690"/>
      <c r="W2520" s="1025"/>
      <c r="X2520" s="1030"/>
      <c r="Y2520" s="694">
        <f t="shared" si="337"/>
        <v>0</v>
      </c>
      <c r="Z2520" s="690"/>
      <c r="AA2520" s="690"/>
      <c r="AB2520" s="695">
        <f t="shared" si="338"/>
        <v>0</v>
      </c>
      <c r="AC2520" s="1035"/>
      <c r="AD2520" s="690"/>
      <c r="AE2520" s="1025"/>
      <c r="AF2520" s="1030"/>
      <c r="AG2520" s="690"/>
      <c r="AH2520" s="690"/>
      <c r="AI2520" s="696">
        <f t="shared" si="339"/>
        <v>199952</v>
      </c>
      <c r="AJ2520" s="697">
        <f t="shared" si="340"/>
        <v>0</v>
      </c>
    </row>
    <row r="2521" spans="1:36" s="700" customFormat="1" ht="12.75" customHeight="1">
      <c r="A2521" s="866" t="s">
        <v>206</v>
      </c>
      <c r="B2521" s="866" t="s">
        <v>400</v>
      </c>
      <c r="C2521" s="860" t="s">
        <v>1442</v>
      </c>
      <c r="D2521" s="860"/>
      <c r="E2521" s="956">
        <v>217615</v>
      </c>
      <c r="F2521" s="845">
        <v>9</v>
      </c>
      <c r="G2521" s="1025"/>
      <c r="H2521" s="690"/>
      <c r="I2521" s="1030">
        <v>193035</v>
      </c>
      <c r="J2521" s="818">
        <v>112788</v>
      </c>
      <c r="K2521" s="1030"/>
      <c r="L2521" s="690"/>
      <c r="M2521" s="1025"/>
      <c r="N2521" s="1030"/>
      <c r="O2521" s="692">
        <f t="shared" si="333"/>
        <v>0</v>
      </c>
      <c r="P2521" s="1161"/>
      <c r="Q2521" s="1161"/>
      <c r="R2521" s="691">
        <f t="shared" si="334"/>
        <v>0</v>
      </c>
      <c r="S2521" s="692">
        <f t="shared" si="335"/>
        <v>193035</v>
      </c>
      <c r="T2521" s="693">
        <f t="shared" si="336"/>
        <v>112788</v>
      </c>
      <c r="U2521" s="1035"/>
      <c r="V2521" s="690"/>
      <c r="W2521" s="1025"/>
      <c r="X2521" s="1030"/>
      <c r="Y2521" s="694">
        <f t="shared" si="337"/>
        <v>0</v>
      </c>
      <c r="Z2521" s="690"/>
      <c r="AA2521" s="690"/>
      <c r="AB2521" s="695">
        <f t="shared" si="338"/>
        <v>0</v>
      </c>
      <c r="AC2521" s="1035"/>
      <c r="AD2521" s="690"/>
      <c r="AE2521" s="1025"/>
      <c r="AF2521" s="1030"/>
      <c r="AG2521" s="690"/>
      <c r="AH2521" s="690"/>
      <c r="AI2521" s="696">
        <f t="shared" si="339"/>
        <v>193035</v>
      </c>
      <c r="AJ2521" s="697">
        <f t="shared" si="340"/>
        <v>112788</v>
      </c>
    </row>
    <row r="2522" spans="1:36" s="700" customFormat="1" ht="12.75" customHeight="1">
      <c r="A2522" s="866" t="s">
        <v>206</v>
      </c>
      <c r="B2522" s="866" t="s">
        <v>392</v>
      </c>
      <c r="C2522" s="955" t="s">
        <v>1479</v>
      </c>
      <c r="D2522" s="955"/>
      <c r="E2522" s="956">
        <v>218858</v>
      </c>
      <c r="F2522" s="845">
        <v>9</v>
      </c>
      <c r="G2522" s="1025">
        <v>4294943</v>
      </c>
      <c r="H2522" s="818">
        <v>3740542</v>
      </c>
      <c r="I2522" s="1030"/>
      <c r="J2522" s="690"/>
      <c r="K2522" s="1030">
        <v>2048481</v>
      </c>
      <c r="L2522" s="690">
        <v>1223980</v>
      </c>
      <c r="M2522" s="1153">
        <v>12525892</v>
      </c>
      <c r="N2522" s="1155">
        <v>198055</v>
      </c>
      <c r="O2522" s="692">
        <f t="shared" si="333"/>
        <v>12723947</v>
      </c>
      <c r="P2522" s="1159">
        <v>10256855</v>
      </c>
      <c r="Q2522" s="1160">
        <v>238162</v>
      </c>
      <c r="R2522" s="691">
        <f t="shared" si="334"/>
        <v>10495017</v>
      </c>
      <c r="S2522" s="692">
        <f t="shared" si="335"/>
        <v>18869316</v>
      </c>
      <c r="T2522" s="693">
        <f t="shared" si="336"/>
        <v>15221377</v>
      </c>
      <c r="U2522" s="1035"/>
      <c r="V2522" s="690"/>
      <c r="W2522" s="1025"/>
      <c r="X2522" s="1030"/>
      <c r="Y2522" s="694">
        <f t="shared" si="337"/>
        <v>0</v>
      </c>
      <c r="Z2522" s="690"/>
      <c r="AA2522" s="690"/>
      <c r="AB2522" s="695">
        <f t="shared" si="338"/>
        <v>0</v>
      </c>
      <c r="AC2522" s="1035"/>
      <c r="AD2522" s="690"/>
      <c r="AE2522" s="1025"/>
      <c r="AF2522" s="1030"/>
      <c r="AG2522" s="690"/>
      <c r="AH2522" s="690"/>
      <c r="AI2522" s="696">
        <f t="shared" si="339"/>
        <v>18869316</v>
      </c>
      <c r="AJ2522" s="697">
        <f t="shared" si="340"/>
        <v>15221377</v>
      </c>
    </row>
    <row r="2523" spans="1:36" s="700" customFormat="1" ht="12.75" customHeight="1">
      <c r="A2523" s="866" t="s">
        <v>206</v>
      </c>
      <c r="B2523" s="866" t="s">
        <v>400</v>
      </c>
      <c r="C2523" s="859" t="s">
        <v>1418</v>
      </c>
      <c r="D2523" s="859"/>
      <c r="E2523" s="956">
        <v>218858</v>
      </c>
      <c r="F2523" s="845">
        <v>9</v>
      </c>
      <c r="G2523" s="1025"/>
      <c r="H2523" s="690"/>
      <c r="I2523" s="1030"/>
      <c r="J2523" s="690"/>
      <c r="K2523" s="1030"/>
      <c r="L2523" s="690"/>
      <c r="M2523" s="1156"/>
      <c r="N2523" s="1157"/>
      <c r="O2523" s="692">
        <f t="shared" si="333"/>
        <v>0</v>
      </c>
      <c r="P2523" s="1161"/>
      <c r="Q2523" s="1161"/>
      <c r="R2523" s="691">
        <f t="shared" si="334"/>
        <v>0</v>
      </c>
      <c r="S2523" s="692">
        <f t="shared" si="335"/>
        <v>0</v>
      </c>
      <c r="T2523" s="693">
        <f t="shared" si="336"/>
        <v>0</v>
      </c>
      <c r="U2523" s="1035"/>
      <c r="V2523" s="690"/>
      <c r="W2523" s="1025"/>
      <c r="X2523" s="1030"/>
      <c r="Y2523" s="694">
        <f t="shared" si="337"/>
        <v>0</v>
      </c>
      <c r="Z2523" s="690"/>
      <c r="AA2523" s="690"/>
      <c r="AB2523" s="695">
        <f t="shared" si="338"/>
        <v>0</v>
      </c>
      <c r="AC2523" s="1035"/>
      <c r="AD2523" s="690"/>
      <c r="AE2523" s="1025"/>
      <c r="AF2523" s="1030"/>
      <c r="AG2523" s="690"/>
      <c r="AH2523" s="690"/>
      <c r="AI2523" s="696">
        <f t="shared" si="339"/>
        <v>0</v>
      </c>
      <c r="AJ2523" s="697">
        <f t="shared" si="340"/>
        <v>0</v>
      </c>
    </row>
    <row r="2524" spans="1:36" s="700" customFormat="1" ht="12.75" customHeight="1">
      <c r="A2524" s="866" t="s">
        <v>206</v>
      </c>
      <c r="B2524" s="866" t="s">
        <v>400</v>
      </c>
      <c r="C2524" s="860" t="s">
        <v>1469</v>
      </c>
      <c r="D2524" s="860"/>
      <c r="E2524" s="956">
        <v>218858</v>
      </c>
      <c r="F2524" s="845">
        <v>8</v>
      </c>
      <c r="G2524" s="1025"/>
      <c r="H2524" s="690"/>
      <c r="I2524" s="1030">
        <v>8694</v>
      </c>
      <c r="J2524" s="690">
        <v>0</v>
      </c>
      <c r="K2524" s="1030"/>
      <c r="L2524" s="690"/>
      <c r="M2524" s="1156"/>
      <c r="N2524" s="1157"/>
      <c r="O2524" s="692">
        <f t="shared" si="333"/>
        <v>0</v>
      </c>
      <c r="P2524" s="1161"/>
      <c r="Q2524" s="1161"/>
      <c r="R2524" s="691">
        <f t="shared" si="334"/>
        <v>0</v>
      </c>
      <c r="S2524" s="692">
        <f t="shared" si="335"/>
        <v>8694</v>
      </c>
      <c r="T2524" s="693">
        <f t="shared" si="336"/>
        <v>0</v>
      </c>
      <c r="U2524" s="1035"/>
      <c r="V2524" s="690"/>
      <c r="W2524" s="1025"/>
      <c r="X2524" s="1030"/>
      <c r="Y2524" s="694">
        <f t="shared" si="337"/>
        <v>0</v>
      </c>
      <c r="Z2524" s="690"/>
      <c r="AA2524" s="690"/>
      <c r="AB2524" s="695">
        <f t="shared" si="338"/>
        <v>0</v>
      </c>
      <c r="AC2524" s="1035"/>
      <c r="AD2524" s="690"/>
      <c r="AE2524" s="1025"/>
      <c r="AF2524" s="1030"/>
      <c r="AG2524" s="690"/>
      <c r="AH2524" s="690"/>
      <c r="AI2524" s="696">
        <f t="shared" si="339"/>
        <v>8694</v>
      </c>
      <c r="AJ2524" s="697">
        <f t="shared" si="340"/>
        <v>0</v>
      </c>
    </row>
    <row r="2525" spans="1:36" s="700" customFormat="1" ht="12.75" customHeight="1">
      <c r="A2525" s="866" t="s">
        <v>206</v>
      </c>
      <c r="B2525" s="866" t="s">
        <v>400</v>
      </c>
      <c r="C2525" s="860" t="s">
        <v>1470</v>
      </c>
      <c r="D2525" s="860"/>
      <c r="E2525" s="956">
        <v>218858</v>
      </c>
      <c r="F2525" s="845">
        <v>8</v>
      </c>
      <c r="G2525" s="1025"/>
      <c r="H2525" s="690"/>
      <c r="I2525" s="1030">
        <v>18085</v>
      </c>
      <c r="J2525" s="690">
        <v>0</v>
      </c>
      <c r="K2525" s="1030"/>
      <c r="L2525" s="690"/>
      <c r="M2525" s="1156"/>
      <c r="N2525" s="1157"/>
      <c r="O2525" s="692">
        <f t="shared" si="333"/>
        <v>0</v>
      </c>
      <c r="P2525" s="1161"/>
      <c r="Q2525" s="1161"/>
      <c r="R2525" s="691">
        <f t="shared" si="334"/>
        <v>0</v>
      </c>
      <c r="S2525" s="692">
        <f t="shared" si="335"/>
        <v>18085</v>
      </c>
      <c r="T2525" s="693">
        <f t="shared" si="336"/>
        <v>0</v>
      </c>
      <c r="U2525" s="1035"/>
      <c r="V2525" s="690"/>
      <c r="W2525" s="1025"/>
      <c r="X2525" s="1030"/>
      <c r="Y2525" s="694">
        <f t="shared" si="337"/>
        <v>0</v>
      </c>
      <c r="Z2525" s="690"/>
      <c r="AA2525" s="690"/>
      <c r="AB2525" s="695">
        <f t="shared" si="338"/>
        <v>0</v>
      </c>
      <c r="AC2525" s="1035"/>
      <c r="AD2525" s="690"/>
      <c r="AE2525" s="1025"/>
      <c r="AF2525" s="1030"/>
      <c r="AG2525" s="690"/>
      <c r="AH2525" s="690"/>
      <c r="AI2525" s="696">
        <f t="shared" si="339"/>
        <v>18085</v>
      </c>
      <c r="AJ2525" s="697">
        <f t="shared" si="340"/>
        <v>0</v>
      </c>
    </row>
    <row r="2526" spans="1:36" s="700" customFormat="1" ht="12.75" customHeight="1">
      <c r="A2526" s="866" t="s">
        <v>206</v>
      </c>
      <c r="B2526" s="866" t="s">
        <v>400</v>
      </c>
      <c r="C2526" s="860" t="s">
        <v>1472</v>
      </c>
      <c r="D2526" s="860"/>
      <c r="E2526" s="956">
        <v>218858</v>
      </c>
      <c r="F2526" s="845">
        <v>9</v>
      </c>
      <c r="G2526" s="1025"/>
      <c r="H2526" s="690"/>
      <c r="I2526" s="1030">
        <v>44451</v>
      </c>
      <c r="J2526" s="690">
        <v>37784</v>
      </c>
      <c r="K2526" s="1030"/>
      <c r="L2526" s="690"/>
      <c r="M2526" s="1156"/>
      <c r="N2526" s="1157"/>
      <c r="O2526" s="692">
        <f t="shared" si="333"/>
        <v>0</v>
      </c>
      <c r="P2526" s="1161"/>
      <c r="Q2526" s="1161"/>
      <c r="R2526" s="691">
        <f t="shared" si="334"/>
        <v>0</v>
      </c>
      <c r="S2526" s="692">
        <f t="shared" si="335"/>
        <v>44451</v>
      </c>
      <c r="T2526" s="693">
        <f t="shared" si="336"/>
        <v>37784</v>
      </c>
      <c r="U2526" s="1035"/>
      <c r="V2526" s="690"/>
      <c r="W2526" s="1025"/>
      <c r="X2526" s="1030"/>
      <c r="Y2526" s="694">
        <f t="shared" si="337"/>
        <v>0</v>
      </c>
      <c r="Z2526" s="690"/>
      <c r="AA2526" s="690"/>
      <c r="AB2526" s="695">
        <f t="shared" si="338"/>
        <v>0</v>
      </c>
      <c r="AC2526" s="1035"/>
      <c r="AD2526" s="690"/>
      <c r="AE2526" s="1025"/>
      <c r="AF2526" s="1030"/>
      <c r="AG2526" s="690"/>
      <c r="AH2526" s="690"/>
      <c r="AI2526" s="696">
        <f t="shared" si="339"/>
        <v>44451</v>
      </c>
      <c r="AJ2526" s="697">
        <f t="shared" si="340"/>
        <v>37784</v>
      </c>
    </row>
    <row r="2527" spans="1:36" s="700" customFormat="1" ht="12.75" customHeight="1">
      <c r="A2527" s="866" t="s">
        <v>206</v>
      </c>
      <c r="B2527" s="866" t="s">
        <v>400</v>
      </c>
      <c r="C2527" s="860" t="s">
        <v>1422</v>
      </c>
      <c r="D2527" s="860"/>
      <c r="E2527" s="956">
        <v>218858</v>
      </c>
      <c r="F2527" s="845">
        <v>9</v>
      </c>
      <c r="G2527" s="1025"/>
      <c r="H2527" s="690"/>
      <c r="I2527" s="1030">
        <v>6138</v>
      </c>
      <c r="J2527" s="690">
        <v>0</v>
      </c>
      <c r="K2527" s="1030"/>
      <c r="L2527" s="690"/>
      <c r="M2527" s="1156"/>
      <c r="N2527" s="1157"/>
      <c r="O2527" s="692">
        <f t="shared" si="333"/>
        <v>0</v>
      </c>
      <c r="P2527" s="1161"/>
      <c r="Q2527" s="1161"/>
      <c r="R2527" s="691">
        <f t="shared" si="334"/>
        <v>0</v>
      </c>
      <c r="S2527" s="692">
        <f t="shared" si="335"/>
        <v>6138</v>
      </c>
      <c r="T2527" s="693">
        <f t="shared" si="336"/>
        <v>0</v>
      </c>
      <c r="U2527" s="1035"/>
      <c r="V2527" s="690"/>
      <c r="W2527" s="1025"/>
      <c r="X2527" s="1030"/>
      <c r="Y2527" s="694">
        <f t="shared" si="337"/>
        <v>0</v>
      </c>
      <c r="Z2527" s="690"/>
      <c r="AA2527" s="690"/>
      <c r="AB2527" s="695">
        <f t="shared" si="338"/>
        <v>0</v>
      </c>
      <c r="AC2527" s="1035"/>
      <c r="AD2527" s="690"/>
      <c r="AE2527" s="1025"/>
      <c r="AF2527" s="1030"/>
      <c r="AG2527" s="690"/>
      <c r="AH2527" s="690"/>
      <c r="AI2527" s="696">
        <f t="shared" si="339"/>
        <v>6138</v>
      </c>
      <c r="AJ2527" s="697">
        <f t="shared" si="340"/>
        <v>0</v>
      </c>
    </row>
    <row r="2528" spans="1:36" s="700" customFormat="1" ht="12.75" customHeight="1">
      <c r="A2528" s="866" t="s">
        <v>206</v>
      </c>
      <c r="B2528" s="866" t="s">
        <v>400</v>
      </c>
      <c r="C2528" s="860" t="s">
        <v>1423</v>
      </c>
      <c r="D2528" s="860"/>
      <c r="E2528" s="956">
        <v>218858</v>
      </c>
      <c r="F2528" s="845">
        <v>9</v>
      </c>
      <c r="G2528" s="1025"/>
      <c r="H2528" s="690"/>
      <c r="I2528" s="1030">
        <v>75</v>
      </c>
      <c r="J2528" s="690">
        <v>0</v>
      </c>
      <c r="K2528" s="1030"/>
      <c r="L2528" s="690"/>
      <c r="M2528" s="1156"/>
      <c r="N2528" s="1157"/>
      <c r="O2528" s="692">
        <f t="shared" si="333"/>
        <v>0</v>
      </c>
      <c r="P2528" s="1161"/>
      <c r="Q2528" s="1161"/>
      <c r="R2528" s="691">
        <f t="shared" si="334"/>
        <v>0</v>
      </c>
      <c r="S2528" s="692">
        <f t="shared" si="335"/>
        <v>75</v>
      </c>
      <c r="T2528" s="693">
        <f t="shared" si="336"/>
        <v>0</v>
      </c>
      <c r="U2528" s="1035"/>
      <c r="V2528" s="690"/>
      <c r="W2528" s="1025"/>
      <c r="X2528" s="1030"/>
      <c r="Y2528" s="694">
        <f t="shared" si="337"/>
        <v>0</v>
      </c>
      <c r="Z2528" s="690"/>
      <c r="AA2528" s="690"/>
      <c r="AB2528" s="695">
        <f t="shared" si="338"/>
        <v>0</v>
      </c>
      <c r="AC2528" s="1035"/>
      <c r="AD2528" s="690"/>
      <c r="AE2528" s="1025"/>
      <c r="AF2528" s="1030"/>
      <c r="AG2528" s="690"/>
      <c r="AH2528" s="690"/>
      <c r="AI2528" s="696">
        <f t="shared" si="339"/>
        <v>75</v>
      </c>
      <c r="AJ2528" s="697">
        <f t="shared" si="340"/>
        <v>0</v>
      </c>
    </row>
    <row r="2529" spans="1:36" s="700" customFormat="1" ht="12.75" customHeight="1">
      <c r="A2529" s="866" t="s">
        <v>206</v>
      </c>
      <c r="B2529" s="866" t="s">
        <v>400</v>
      </c>
      <c r="C2529" s="860" t="s">
        <v>1419</v>
      </c>
      <c r="D2529" s="860"/>
      <c r="E2529" s="956">
        <v>218858</v>
      </c>
      <c r="F2529" s="845">
        <v>9</v>
      </c>
      <c r="G2529" s="1025"/>
      <c r="H2529" s="690"/>
      <c r="I2529" s="1030">
        <v>22112</v>
      </c>
      <c r="J2529" s="690" t="s">
        <v>1420</v>
      </c>
      <c r="K2529" s="1030"/>
      <c r="L2529" s="690"/>
      <c r="M2529" s="1156"/>
      <c r="N2529" s="1157"/>
      <c r="O2529" s="692">
        <f t="shared" si="333"/>
        <v>0</v>
      </c>
      <c r="P2529" s="1161"/>
      <c r="Q2529" s="1161"/>
      <c r="R2529" s="691">
        <f t="shared" si="334"/>
        <v>0</v>
      </c>
      <c r="S2529" s="692">
        <f t="shared" si="335"/>
        <v>22112</v>
      </c>
      <c r="T2529" s="693">
        <f t="shared" si="336"/>
        <v>0</v>
      </c>
      <c r="U2529" s="1035"/>
      <c r="V2529" s="690"/>
      <c r="W2529" s="1025"/>
      <c r="X2529" s="1030"/>
      <c r="Y2529" s="694">
        <f t="shared" si="337"/>
        <v>0</v>
      </c>
      <c r="Z2529" s="690"/>
      <c r="AA2529" s="690"/>
      <c r="AB2529" s="695">
        <f t="shared" si="338"/>
        <v>0</v>
      </c>
      <c r="AC2529" s="1035"/>
      <c r="AD2529" s="690"/>
      <c r="AE2529" s="1025"/>
      <c r="AF2529" s="1030"/>
      <c r="AG2529" s="690"/>
      <c r="AH2529" s="690"/>
      <c r="AI2529" s="696">
        <f t="shared" si="339"/>
        <v>22112</v>
      </c>
      <c r="AJ2529" s="697">
        <f t="shared" si="340"/>
        <v>0</v>
      </c>
    </row>
    <row r="2530" spans="1:36" s="700" customFormat="1" ht="12.75" customHeight="1">
      <c r="A2530" s="866" t="s">
        <v>206</v>
      </c>
      <c r="B2530" s="866" t="s">
        <v>400</v>
      </c>
      <c r="C2530" s="860" t="s">
        <v>1473</v>
      </c>
      <c r="D2530" s="860"/>
      <c r="E2530" s="956">
        <v>218858</v>
      </c>
      <c r="F2530" s="845">
        <v>9</v>
      </c>
      <c r="G2530" s="1025"/>
      <c r="H2530" s="690"/>
      <c r="I2530" s="1030">
        <v>25527</v>
      </c>
      <c r="J2530" s="690">
        <v>0</v>
      </c>
      <c r="K2530" s="1030"/>
      <c r="L2530" s="690"/>
      <c r="M2530" s="1156"/>
      <c r="N2530" s="1157"/>
      <c r="O2530" s="692">
        <f t="shared" si="333"/>
        <v>0</v>
      </c>
      <c r="P2530" s="1161"/>
      <c r="Q2530" s="1161"/>
      <c r="R2530" s="691">
        <f t="shared" si="334"/>
        <v>0</v>
      </c>
      <c r="S2530" s="692">
        <f t="shared" si="335"/>
        <v>25527</v>
      </c>
      <c r="T2530" s="693">
        <f t="shared" si="336"/>
        <v>0</v>
      </c>
      <c r="U2530" s="1035"/>
      <c r="V2530" s="690"/>
      <c r="W2530" s="1025"/>
      <c r="X2530" s="1030"/>
      <c r="Y2530" s="694">
        <f t="shared" si="337"/>
        <v>0</v>
      </c>
      <c r="Z2530" s="690"/>
      <c r="AA2530" s="690"/>
      <c r="AB2530" s="695">
        <f t="shared" si="338"/>
        <v>0</v>
      </c>
      <c r="AC2530" s="1035"/>
      <c r="AD2530" s="690"/>
      <c r="AE2530" s="1025"/>
      <c r="AF2530" s="1030"/>
      <c r="AG2530" s="690"/>
      <c r="AH2530" s="690"/>
      <c r="AI2530" s="696">
        <f t="shared" si="339"/>
        <v>25527</v>
      </c>
      <c r="AJ2530" s="697">
        <f t="shared" si="340"/>
        <v>0</v>
      </c>
    </row>
    <row r="2531" spans="1:36" s="700" customFormat="1" ht="12.75" customHeight="1">
      <c r="A2531" s="866" t="s">
        <v>206</v>
      </c>
      <c r="B2531" s="866" t="s">
        <v>400</v>
      </c>
      <c r="C2531" s="860" t="s">
        <v>1474</v>
      </c>
      <c r="D2531" s="860"/>
      <c r="E2531" s="956">
        <v>218858</v>
      </c>
      <c r="F2531" s="845">
        <v>9</v>
      </c>
      <c r="G2531" s="1025"/>
      <c r="H2531" s="690"/>
      <c r="I2531" s="1030">
        <v>204113</v>
      </c>
      <c r="J2531" s="690">
        <v>0</v>
      </c>
      <c r="K2531" s="1030"/>
      <c r="L2531" s="690"/>
      <c r="M2531" s="1156"/>
      <c r="N2531" s="1157"/>
      <c r="O2531" s="692">
        <f t="shared" si="333"/>
        <v>0</v>
      </c>
      <c r="P2531" s="1161"/>
      <c r="Q2531" s="1161"/>
      <c r="R2531" s="691">
        <f t="shared" si="334"/>
        <v>0</v>
      </c>
      <c r="S2531" s="692">
        <f t="shared" si="335"/>
        <v>204113</v>
      </c>
      <c r="T2531" s="693">
        <f t="shared" si="336"/>
        <v>0</v>
      </c>
      <c r="U2531" s="1035"/>
      <c r="V2531" s="690"/>
      <c r="W2531" s="1025"/>
      <c r="X2531" s="1030"/>
      <c r="Y2531" s="694">
        <f t="shared" si="337"/>
        <v>0</v>
      </c>
      <c r="Z2531" s="690"/>
      <c r="AA2531" s="690"/>
      <c r="AB2531" s="695">
        <f t="shared" si="338"/>
        <v>0</v>
      </c>
      <c r="AC2531" s="1035"/>
      <c r="AD2531" s="690"/>
      <c r="AE2531" s="1025"/>
      <c r="AF2531" s="1030"/>
      <c r="AG2531" s="690"/>
      <c r="AH2531" s="690"/>
      <c r="AI2531" s="696">
        <f t="shared" si="339"/>
        <v>204113</v>
      </c>
      <c r="AJ2531" s="697">
        <f t="shared" si="340"/>
        <v>0</v>
      </c>
    </row>
    <row r="2532" spans="1:36" s="700" customFormat="1" ht="12.75" customHeight="1">
      <c r="A2532" s="866" t="s">
        <v>206</v>
      </c>
      <c r="B2532" s="866" t="s">
        <v>400</v>
      </c>
      <c r="C2532" s="860" t="s">
        <v>1442</v>
      </c>
      <c r="D2532" s="860"/>
      <c r="E2532" s="956">
        <v>218858</v>
      </c>
      <c r="F2532" s="845">
        <v>9</v>
      </c>
      <c r="G2532" s="1025"/>
      <c r="H2532" s="690"/>
      <c r="I2532" s="1030">
        <v>209134</v>
      </c>
      <c r="J2532" s="818">
        <v>121395</v>
      </c>
      <c r="K2532" s="1030"/>
      <c r="L2532" s="690"/>
      <c r="M2532" s="1156"/>
      <c r="N2532" s="1157"/>
      <c r="O2532" s="692">
        <f t="shared" si="333"/>
        <v>0</v>
      </c>
      <c r="P2532" s="1161"/>
      <c r="Q2532" s="1161"/>
      <c r="R2532" s="691">
        <f t="shared" si="334"/>
        <v>0</v>
      </c>
      <c r="S2532" s="692">
        <f t="shared" si="335"/>
        <v>209134</v>
      </c>
      <c r="T2532" s="693">
        <f t="shared" si="336"/>
        <v>121395</v>
      </c>
      <c r="U2532" s="1035"/>
      <c r="V2532" s="690"/>
      <c r="W2532" s="1025"/>
      <c r="X2532" s="1030"/>
      <c r="Y2532" s="694">
        <f t="shared" si="337"/>
        <v>0</v>
      </c>
      <c r="Z2532" s="690"/>
      <c r="AA2532" s="690"/>
      <c r="AB2532" s="695">
        <f t="shared" si="338"/>
        <v>0</v>
      </c>
      <c r="AC2532" s="1035"/>
      <c r="AD2532" s="690"/>
      <c r="AE2532" s="1025"/>
      <c r="AF2532" s="1030"/>
      <c r="AG2532" s="690"/>
      <c r="AH2532" s="690"/>
      <c r="AI2532" s="696">
        <f t="shared" si="339"/>
        <v>209134</v>
      </c>
      <c r="AJ2532" s="697">
        <f t="shared" si="340"/>
        <v>121395</v>
      </c>
    </row>
    <row r="2533" spans="1:36" s="700" customFormat="1" ht="12.75" customHeight="1">
      <c r="A2533" s="866" t="s">
        <v>206</v>
      </c>
      <c r="B2533" s="866" t="s">
        <v>392</v>
      </c>
      <c r="C2533" s="1086" t="s">
        <v>1480</v>
      </c>
      <c r="D2533" s="1087" t="s">
        <v>1975</v>
      </c>
      <c r="E2533" s="956">
        <v>218025</v>
      </c>
      <c r="F2533" s="845">
        <v>9</v>
      </c>
      <c r="G2533" s="1025">
        <v>6325663</v>
      </c>
      <c r="H2533" s="818">
        <v>5444239</v>
      </c>
      <c r="I2533" s="1030"/>
      <c r="J2533" s="690"/>
      <c r="K2533" s="1030">
        <v>4935293</v>
      </c>
      <c r="L2533" s="690">
        <v>4200000</v>
      </c>
      <c r="M2533" s="1153">
        <v>16650730</v>
      </c>
      <c r="N2533" s="1155">
        <v>2798663</v>
      </c>
      <c r="O2533" s="692">
        <f t="shared" si="333"/>
        <v>19449393</v>
      </c>
      <c r="P2533" s="1159">
        <v>14026153</v>
      </c>
      <c r="Q2533" s="1160">
        <v>2371139</v>
      </c>
      <c r="R2533" s="691">
        <f t="shared" si="334"/>
        <v>16397292</v>
      </c>
      <c r="S2533" s="692">
        <f t="shared" si="335"/>
        <v>27911686</v>
      </c>
      <c r="T2533" s="693">
        <f t="shared" si="336"/>
        <v>23670392</v>
      </c>
      <c r="U2533" s="1035"/>
      <c r="V2533" s="690"/>
      <c r="W2533" s="1025"/>
      <c r="X2533" s="1030"/>
      <c r="Y2533" s="694">
        <f t="shared" si="337"/>
        <v>0</v>
      </c>
      <c r="Z2533" s="690"/>
      <c r="AA2533" s="690"/>
      <c r="AB2533" s="695">
        <f t="shared" si="338"/>
        <v>0</v>
      </c>
      <c r="AC2533" s="1035"/>
      <c r="AD2533" s="690"/>
      <c r="AE2533" s="1025"/>
      <c r="AF2533" s="1030"/>
      <c r="AG2533" s="690"/>
      <c r="AH2533" s="690"/>
      <c r="AI2533" s="696">
        <f t="shared" si="339"/>
        <v>27911686</v>
      </c>
      <c r="AJ2533" s="697">
        <f t="shared" si="340"/>
        <v>23670392</v>
      </c>
    </row>
    <row r="2534" spans="1:36" s="700" customFormat="1" ht="12.75" customHeight="1">
      <c r="A2534" s="866" t="s">
        <v>206</v>
      </c>
      <c r="B2534" s="866" t="s">
        <v>400</v>
      </c>
      <c r="C2534" s="859" t="s">
        <v>1418</v>
      </c>
      <c r="D2534" s="859"/>
      <c r="E2534" s="956">
        <v>218025</v>
      </c>
      <c r="F2534" s="845">
        <v>9</v>
      </c>
      <c r="G2534" s="1025"/>
      <c r="H2534" s="690"/>
      <c r="I2534" s="1030"/>
      <c r="J2534" s="690"/>
      <c r="K2534" s="1030"/>
      <c r="L2534" s="690"/>
      <c r="M2534" s="1156"/>
      <c r="N2534" s="1157"/>
      <c r="O2534" s="692">
        <f t="shared" si="333"/>
        <v>0</v>
      </c>
      <c r="P2534" s="690"/>
      <c r="Q2534" s="690"/>
      <c r="R2534" s="691">
        <f t="shared" si="334"/>
        <v>0</v>
      </c>
      <c r="S2534" s="692">
        <f t="shared" si="335"/>
        <v>0</v>
      </c>
      <c r="T2534" s="693">
        <f t="shared" si="336"/>
        <v>0</v>
      </c>
      <c r="U2534" s="1035"/>
      <c r="V2534" s="690"/>
      <c r="W2534" s="1025"/>
      <c r="X2534" s="1030"/>
      <c r="Y2534" s="694">
        <f t="shared" si="337"/>
        <v>0</v>
      </c>
      <c r="Z2534" s="690"/>
      <c r="AA2534" s="690"/>
      <c r="AB2534" s="695">
        <f t="shared" si="338"/>
        <v>0</v>
      </c>
      <c r="AC2534" s="1035"/>
      <c r="AD2534" s="690"/>
      <c r="AE2534" s="1025"/>
      <c r="AF2534" s="1030"/>
      <c r="AG2534" s="690"/>
      <c r="AH2534" s="690"/>
      <c r="AI2534" s="696">
        <f t="shared" si="339"/>
        <v>0</v>
      </c>
      <c r="AJ2534" s="697">
        <f t="shared" si="340"/>
        <v>0</v>
      </c>
    </row>
    <row r="2535" spans="1:36" s="700" customFormat="1" ht="12.75" customHeight="1">
      <c r="A2535" s="866" t="s">
        <v>206</v>
      </c>
      <c r="B2535" s="866" t="s">
        <v>400</v>
      </c>
      <c r="C2535" s="860" t="s">
        <v>1469</v>
      </c>
      <c r="D2535" s="860"/>
      <c r="E2535" s="956">
        <v>218025</v>
      </c>
      <c r="F2535" s="845">
        <v>9</v>
      </c>
      <c r="G2535" s="1025"/>
      <c r="H2535" s="690"/>
      <c r="I2535" s="1030">
        <v>12805</v>
      </c>
      <c r="J2535" s="690">
        <v>0</v>
      </c>
      <c r="K2535" s="1030"/>
      <c r="L2535" s="690"/>
      <c r="M2535" s="1156"/>
      <c r="N2535" s="1157"/>
      <c r="O2535" s="692">
        <f t="shared" si="333"/>
        <v>0</v>
      </c>
      <c r="P2535" s="690"/>
      <c r="Q2535" s="690"/>
      <c r="R2535" s="691">
        <f t="shared" si="334"/>
        <v>0</v>
      </c>
      <c r="S2535" s="692">
        <f t="shared" si="335"/>
        <v>12805</v>
      </c>
      <c r="T2535" s="693">
        <f t="shared" si="336"/>
        <v>0</v>
      </c>
      <c r="U2535" s="1035"/>
      <c r="V2535" s="690"/>
      <c r="W2535" s="1025"/>
      <c r="X2535" s="1030"/>
      <c r="Y2535" s="694">
        <f t="shared" si="337"/>
        <v>0</v>
      </c>
      <c r="Z2535" s="690"/>
      <c r="AA2535" s="690"/>
      <c r="AB2535" s="695">
        <f t="shared" si="338"/>
        <v>0</v>
      </c>
      <c r="AC2535" s="1035"/>
      <c r="AD2535" s="690"/>
      <c r="AE2535" s="1025"/>
      <c r="AF2535" s="1030"/>
      <c r="AG2535" s="690"/>
      <c r="AH2535" s="690"/>
      <c r="AI2535" s="696">
        <f t="shared" si="339"/>
        <v>12805</v>
      </c>
      <c r="AJ2535" s="697">
        <f t="shared" si="340"/>
        <v>0</v>
      </c>
    </row>
    <row r="2536" spans="1:36" s="700" customFormat="1" ht="12.75" customHeight="1">
      <c r="A2536" s="866" t="s">
        <v>206</v>
      </c>
      <c r="B2536" s="866" t="s">
        <v>400</v>
      </c>
      <c r="C2536" s="860" t="s">
        <v>1470</v>
      </c>
      <c r="D2536" s="860"/>
      <c r="E2536" s="956">
        <v>218025</v>
      </c>
      <c r="F2536" s="845">
        <v>9</v>
      </c>
      <c r="G2536" s="1025"/>
      <c r="H2536" s="690"/>
      <c r="I2536" s="1030">
        <v>26636</v>
      </c>
      <c r="J2536" s="690">
        <v>0</v>
      </c>
      <c r="K2536" s="1030"/>
      <c r="L2536" s="690"/>
      <c r="M2536" s="1156"/>
      <c r="N2536" s="1157"/>
      <c r="O2536" s="692">
        <f t="shared" si="333"/>
        <v>0</v>
      </c>
      <c r="P2536" s="690"/>
      <c r="Q2536" s="690"/>
      <c r="R2536" s="691">
        <f t="shared" si="334"/>
        <v>0</v>
      </c>
      <c r="S2536" s="692">
        <f t="shared" si="335"/>
        <v>26636</v>
      </c>
      <c r="T2536" s="693">
        <f t="shared" si="336"/>
        <v>0</v>
      </c>
      <c r="U2536" s="1035"/>
      <c r="V2536" s="690"/>
      <c r="W2536" s="1025"/>
      <c r="X2536" s="1030"/>
      <c r="Y2536" s="694">
        <f t="shared" si="337"/>
        <v>0</v>
      </c>
      <c r="Z2536" s="690"/>
      <c r="AA2536" s="690"/>
      <c r="AB2536" s="695">
        <f t="shared" si="338"/>
        <v>0</v>
      </c>
      <c r="AC2536" s="1035"/>
      <c r="AD2536" s="690"/>
      <c r="AE2536" s="1025"/>
      <c r="AF2536" s="1030"/>
      <c r="AG2536" s="690"/>
      <c r="AH2536" s="690"/>
      <c r="AI2536" s="696">
        <f t="shared" si="339"/>
        <v>26636</v>
      </c>
      <c r="AJ2536" s="697">
        <f t="shared" si="340"/>
        <v>0</v>
      </c>
    </row>
    <row r="2537" spans="1:36" s="700" customFormat="1" ht="12.75" customHeight="1">
      <c r="A2537" s="866" t="s">
        <v>206</v>
      </c>
      <c r="B2537" s="866" t="s">
        <v>400</v>
      </c>
      <c r="C2537" s="860" t="s">
        <v>1481</v>
      </c>
      <c r="D2537" s="860"/>
      <c r="E2537" s="956">
        <v>218025</v>
      </c>
      <c r="F2537" s="845">
        <v>9</v>
      </c>
      <c r="G2537" s="1025"/>
      <c r="H2537" s="690"/>
      <c r="I2537" s="1030">
        <v>355613</v>
      </c>
      <c r="J2537" s="690">
        <v>0</v>
      </c>
      <c r="K2537" s="1030"/>
      <c r="L2537" s="690"/>
      <c r="M2537" s="1156"/>
      <c r="N2537" s="1157"/>
      <c r="O2537" s="692">
        <f t="shared" si="333"/>
        <v>0</v>
      </c>
      <c r="P2537" s="690"/>
      <c r="Q2537" s="690"/>
      <c r="R2537" s="691">
        <f t="shared" si="334"/>
        <v>0</v>
      </c>
      <c r="S2537" s="692">
        <f t="shared" si="335"/>
        <v>355613</v>
      </c>
      <c r="T2537" s="693">
        <f t="shared" si="336"/>
        <v>0</v>
      </c>
      <c r="U2537" s="1035"/>
      <c r="V2537" s="690"/>
      <c r="W2537" s="1025"/>
      <c r="X2537" s="1030"/>
      <c r="Y2537" s="694">
        <f t="shared" si="337"/>
        <v>0</v>
      </c>
      <c r="Z2537" s="690"/>
      <c r="AA2537" s="690"/>
      <c r="AB2537" s="695">
        <f t="shared" si="338"/>
        <v>0</v>
      </c>
      <c r="AC2537" s="1035"/>
      <c r="AD2537" s="690"/>
      <c r="AE2537" s="1025"/>
      <c r="AF2537" s="1030"/>
      <c r="AG2537" s="690"/>
      <c r="AH2537" s="690"/>
      <c r="AI2537" s="696">
        <f t="shared" si="339"/>
        <v>355613</v>
      </c>
      <c r="AJ2537" s="697">
        <f t="shared" si="340"/>
        <v>0</v>
      </c>
    </row>
    <row r="2538" spans="1:36" s="700" customFormat="1" ht="12.75" customHeight="1">
      <c r="A2538" s="866" t="s">
        <v>206</v>
      </c>
      <c r="B2538" s="866" t="s">
        <v>400</v>
      </c>
      <c r="C2538" s="860" t="s">
        <v>1482</v>
      </c>
      <c r="D2538" s="860"/>
      <c r="E2538" s="956">
        <v>218025</v>
      </c>
      <c r="F2538" s="845">
        <v>9</v>
      </c>
      <c r="G2538" s="1025"/>
      <c r="H2538" s="690"/>
      <c r="I2538" s="1030">
        <v>1066843</v>
      </c>
      <c r="J2538" s="690">
        <v>1209088</v>
      </c>
      <c r="K2538" s="1030"/>
      <c r="L2538" s="690"/>
      <c r="M2538" s="1156"/>
      <c r="N2538" s="1157"/>
      <c r="O2538" s="692">
        <f t="shared" si="333"/>
        <v>0</v>
      </c>
      <c r="P2538" s="690"/>
      <c r="Q2538" s="690"/>
      <c r="R2538" s="691">
        <f t="shared" si="334"/>
        <v>0</v>
      </c>
      <c r="S2538" s="692">
        <f t="shared" si="335"/>
        <v>1066843</v>
      </c>
      <c r="T2538" s="693">
        <f t="shared" si="336"/>
        <v>1209088</v>
      </c>
      <c r="U2538" s="1035"/>
      <c r="V2538" s="690"/>
      <c r="W2538" s="1025"/>
      <c r="X2538" s="1030"/>
      <c r="Y2538" s="694">
        <f t="shared" si="337"/>
        <v>0</v>
      </c>
      <c r="Z2538" s="690"/>
      <c r="AA2538" s="690"/>
      <c r="AB2538" s="695">
        <f t="shared" si="338"/>
        <v>0</v>
      </c>
      <c r="AC2538" s="1035"/>
      <c r="AD2538" s="690"/>
      <c r="AE2538" s="1025"/>
      <c r="AF2538" s="1030"/>
      <c r="AG2538" s="690"/>
      <c r="AH2538" s="690"/>
      <c r="AI2538" s="696">
        <f t="shared" si="339"/>
        <v>1066843</v>
      </c>
      <c r="AJ2538" s="697">
        <f t="shared" si="340"/>
        <v>1209088</v>
      </c>
    </row>
    <row r="2539" spans="1:36" s="700" customFormat="1" ht="12.75" customHeight="1">
      <c r="A2539" s="866" t="s">
        <v>206</v>
      </c>
      <c r="B2539" s="866" t="s">
        <v>400</v>
      </c>
      <c r="C2539" s="860" t="s">
        <v>1472</v>
      </c>
      <c r="D2539" s="860"/>
      <c r="E2539" s="956">
        <v>218025</v>
      </c>
      <c r="F2539" s="845">
        <v>9</v>
      </c>
      <c r="G2539" s="1025"/>
      <c r="H2539" s="690"/>
      <c r="I2539" s="1030">
        <v>44452</v>
      </c>
      <c r="J2539" s="690">
        <v>37784</v>
      </c>
      <c r="K2539" s="1030"/>
      <c r="L2539" s="690"/>
      <c r="M2539" s="1156"/>
      <c r="N2539" s="1157"/>
      <c r="O2539" s="692">
        <f t="shared" si="333"/>
        <v>0</v>
      </c>
      <c r="P2539" s="690"/>
      <c r="Q2539" s="690"/>
      <c r="R2539" s="691">
        <f t="shared" si="334"/>
        <v>0</v>
      </c>
      <c r="S2539" s="692">
        <f t="shared" si="335"/>
        <v>44452</v>
      </c>
      <c r="T2539" s="693">
        <f t="shared" si="336"/>
        <v>37784</v>
      </c>
      <c r="U2539" s="1035"/>
      <c r="V2539" s="690"/>
      <c r="W2539" s="1025"/>
      <c r="X2539" s="1030"/>
      <c r="Y2539" s="694">
        <f t="shared" si="337"/>
        <v>0</v>
      </c>
      <c r="Z2539" s="690"/>
      <c r="AA2539" s="690"/>
      <c r="AB2539" s="695">
        <f t="shared" si="338"/>
        <v>0</v>
      </c>
      <c r="AC2539" s="1035"/>
      <c r="AD2539" s="690"/>
      <c r="AE2539" s="1025"/>
      <c r="AF2539" s="1030"/>
      <c r="AG2539" s="690"/>
      <c r="AH2539" s="690"/>
      <c r="AI2539" s="696">
        <f t="shared" si="339"/>
        <v>44452</v>
      </c>
      <c r="AJ2539" s="697">
        <f t="shared" si="340"/>
        <v>37784</v>
      </c>
    </row>
    <row r="2540" spans="1:36" s="700" customFormat="1" ht="12.75" customHeight="1">
      <c r="A2540" s="866" t="s">
        <v>206</v>
      </c>
      <c r="B2540" s="866" t="s">
        <v>400</v>
      </c>
      <c r="C2540" s="860" t="s">
        <v>1422</v>
      </c>
      <c r="D2540" s="860"/>
      <c r="E2540" s="956">
        <v>218025</v>
      </c>
      <c r="F2540" s="845">
        <v>9</v>
      </c>
      <c r="G2540" s="1025"/>
      <c r="H2540" s="690"/>
      <c r="I2540" s="1030">
        <v>7041</v>
      </c>
      <c r="J2540" s="690">
        <v>0</v>
      </c>
      <c r="K2540" s="1030"/>
      <c r="L2540" s="690"/>
      <c r="M2540" s="1156"/>
      <c r="N2540" s="1157"/>
      <c r="O2540" s="692">
        <f t="shared" si="333"/>
        <v>0</v>
      </c>
      <c r="P2540" s="690"/>
      <c r="Q2540" s="690"/>
      <c r="R2540" s="691">
        <f t="shared" si="334"/>
        <v>0</v>
      </c>
      <c r="S2540" s="692">
        <f t="shared" si="335"/>
        <v>7041</v>
      </c>
      <c r="T2540" s="693">
        <f t="shared" si="336"/>
        <v>0</v>
      </c>
      <c r="U2540" s="1035"/>
      <c r="V2540" s="690"/>
      <c r="W2540" s="1025"/>
      <c r="X2540" s="1030"/>
      <c r="Y2540" s="694">
        <f t="shared" si="337"/>
        <v>0</v>
      </c>
      <c r="Z2540" s="690"/>
      <c r="AA2540" s="690"/>
      <c r="AB2540" s="695">
        <f t="shared" si="338"/>
        <v>0</v>
      </c>
      <c r="AC2540" s="1035"/>
      <c r="AD2540" s="690"/>
      <c r="AE2540" s="1025"/>
      <c r="AF2540" s="1030"/>
      <c r="AG2540" s="690"/>
      <c r="AH2540" s="690"/>
      <c r="AI2540" s="696">
        <f t="shared" si="339"/>
        <v>7041</v>
      </c>
      <c r="AJ2540" s="697">
        <f t="shared" si="340"/>
        <v>0</v>
      </c>
    </row>
    <row r="2541" spans="1:36" s="700" customFormat="1" ht="12.75" customHeight="1">
      <c r="A2541" s="866" t="s">
        <v>206</v>
      </c>
      <c r="B2541" s="866" t="s">
        <v>400</v>
      </c>
      <c r="C2541" s="860" t="s">
        <v>1423</v>
      </c>
      <c r="D2541" s="860"/>
      <c r="E2541" s="956">
        <v>218025</v>
      </c>
      <c r="F2541" s="845">
        <v>9</v>
      </c>
      <c r="G2541" s="1025"/>
      <c r="H2541" s="690"/>
      <c r="I2541" s="1030">
        <v>4</v>
      </c>
      <c r="J2541" s="690">
        <v>0</v>
      </c>
      <c r="K2541" s="1030"/>
      <c r="L2541" s="690"/>
      <c r="M2541" s="1156"/>
      <c r="N2541" s="1157"/>
      <c r="O2541" s="692">
        <f t="shared" si="333"/>
        <v>0</v>
      </c>
      <c r="P2541" s="690"/>
      <c r="Q2541" s="690"/>
      <c r="R2541" s="691">
        <f t="shared" si="334"/>
        <v>0</v>
      </c>
      <c r="S2541" s="692">
        <f t="shared" si="335"/>
        <v>4</v>
      </c>
      <c r="T2541" s="693">
        <f t="shared" si="336"/>
        <v>0</v>
      </c>
      <c r="U2541" s="1035"/>
      <c r="V2541" s="690"/>
      <c r="W2541" s="1025"/>
      <c r="X2541" s="1030"/>
      <c r="Y2541" s="694">
        <f t="shared" si="337"/>
        <v>0</v>
      </c>
      <c r="Z2541" s="690"/>
      <c r="AA2541" s="690"/>
      <c r="AB2541" s="695">
        <f t="shared" si="338"/>
        <v>0</v>
      </c>
      <c r="AC2541" s="1035"/>
      <c r="AD2541" s="690"/>
      <c r="AE2541" s="1025"/>
      <c r="AF2541" s="1030"/>
      <c r="AG2541" s="690"/>
      <c r="AH2541" s="690"/>
      <c r="AI2541" s="696">
        <f t="shared" si="339"/>
        <v>4</v>
      </c>
      <c r="AJ2541" s="697">
        <f t="shared" si="340"/>
        <v>0</v>
      </c>
    </row>
    <row r="2542" spans="1:36" s="700" customFormat="1" ht="12.75" customHeight="1">
      <c r="A2542" s="866" t="s">
        <v>206</v>
      </c>
      <c r="B2542" s="866" t="s">
        <v>400</v>
      </c>
      <c r="C2542" s="860" t="s">
        <v>1419</v>
      </c>
      <c r="D2542" s="860"/>
      <c r="E2542" s="956">
        <v>218025</v>
      </c>
      <c r="F2542" s="845">
        <v>9</v>
      </c>
      <c r="G2542" s="1025"/>
      <c r="H2542" s="690"/>
      <c r="I2542" s="1030">
        <v>26322</v>
      </c>
      <c r="J2542" s="690" t="s">
        <v>1420</v>
      </c>
      <c r="K2542" s="1030"/>
      <c r="L2542" s="690"/>
      <c r="M2542" s="1156"/>
      <c r="N2542" s="1157"/>
      <c r="O2542" s="692">
        <f t="shared" si="333"/>
        <v>0</v>
      </c>
      <c r="P2542" s="690"/>
      <c r="Q2542" s="690"/>
      <c r="R2542" s="691">
        <f t="shared" si="334"/>
        <v>0</v>
      </c>
      <c r="S2542" s="692">
        <f t="shared" si="335"/>
        <v>26322</v>
      </c>
      <c r="T2542" s="693">
        <f t="shared" si="336"/>
        <v>0</v>
      </c>
      <c r="U2542" s="1035"/>
      <c r="V2542" s="690"/>
      <c r="W2542" s="1025"/>
      <c r="X2542" s="1030"/>
      <c r="Y2542" s="694">
        <f t="shared" si="337"/>
        <v>0</v>
      </c>
      <c r="Z2542" s="690"/>
      <c r="AA2542" s="690"/>
      <c r="AB2542" s="695">
        <f t="shared" si="338"/>
        <v>0</v>
      </c>
      <c r="AC2542" s="1035"/>
      <c r="AD2542" s="690"/>
      <c r="AE2542" s="1025"/>
      <c r="AF2542" s="1030"/>
      <c r="AG2542" s="690"/>
      <c r="AH2542" s="690"/>
      <c r="AI2542" s="696">
        <f t="shared" si="339"/>
        <v>26322</v>
      </c>
      <c r="AJ2542" s="697">
        <f t="shared" si="340"/>
        <v>0</v>
      </c>
    </row>
    <row r="2543" spans="1:36" s="700" customFormat="1" ht="12.75" customHeight="1">
      <c r="A2543" s="866" t="s">
        <v>206</v>
      </c>
      <c r="B2543" s="866" t="s">
        <v>400</v>
      </c>
      <c r="C2543" s="860" t="s">
        <v>1473</v>
      </c>
      <c r="D2543" s="860"/>
      <c r="E2543" s="956">
        <v>218025</v>
      </c>
      <c r="F2543" s="845">
        <v>9</v>
      </c>
      <c r="G2543" s="1025"/>
      <c r="H2543" s="690"/>
      <c r="I2543" s="1030">
        <v>36204</v>
      </c>
      <c r="J2543" s="690">
        <v>0</v>
      </c>
      <c r="K2543" s="1030"/>
      <c r="L2543" s="690"/>
      <c r="M2543" s="1156"/>
      <c r="N2543" s="1157"/>
      <c r="O2543" s="692">
        <f t="shared" si="333"/>
        <v>0</v>
      </c>
      <c r="P2543" s="690"/>
      <c r="Q2543" s="690"/>
      <c r="R2543" s="691">
        <f t="shared" si="334"/>
        <v>0</v>
      </c>
      <c r="S2543" s="692">
        <f t="shared" si="335"/>
        <v>36204</v>
      </c>
      <c r="T2543" s="693">
        <f t="shared" si="336"/>
        <v>0</v>
      </c>
      <c r="U2543" s="1035"/>
      <c r="V2543" s="690"/>
      <c r="W2543" s="1025"/>
      <c r="X2543" s="1030"/>
      <c r="Y2543" s="694">
        <f t="shared" si="337"/>
        <v>0</v>
      </c>
      <c r="Z2543" s="690"/>
      <c r="AA2543" s="690"/>
      <c r="AB2543" s="695">
        <f t="shared" si="338"/>
        <v>0</v>
      </c>
      <c r="AC2543" s="1035"/>
      <c r="AD2543" s="690"/>
      <c r="AE2543" s="1025"/>
      <c r="AF2543" s="1030"/>
      <c r="AG2543" s="690"/>
      <c r="AH2543" s="690"/>
      <c r="AI2543" s="696">
        <f t="shared" si="339"/>
        <v>36204</v>
      </c>
      <c r="AJ2543" s="697">
        <f t="shared" si="340"/>
        <v>0</v>
      </c>
    </row>
    <row r="2544" spans="1:36" s="700" customFormat="1" ht="12.75" customHeight="1">
      <c r="A2544" s="866" t="s">
        <v>206</v>
      </c>
      <c r="B2544" s="866" t="s">
        <v>400</v>
      </c>
      <c r="C2544" s="860" t="s">
        <v>1474</v>
      </c>
      <c r="D2544" s="860"/>
      <c r="E2544" s="956">
        <v>218025</v>
      </c>
      <c r="F2544" s="845">
        <v>9</v>
      </c>
      <c r="G2544" s="1025"/>
      <c r="H2544" s="690"/>
      <c r="I2544" s="1030">
        <v>240521</v>
      </c>
      <c r="J2544" s="690">
        <v>0</v>
      </c>
      <c r="K2544" s="1030"/>
      <c r="L2544" s="690"/>
      <c r="M2544" s="1156"/>
      <c r="N2544" s="1157"/>
      <c r="O2544" s="692">
        <f t="shared" si="333"/>
        <v>0</v>
      </c>
      <c r="P2544" s="690"/>
      <c r="Q2544" s="690"/>
      <c r="R2544" s="691">
        <f t="shared" si="334"/>
        <v>0</v>
      </c>
      <c r="S2544" s="692">
        <f t="shared" si="335"/>
        <v>240521</v>
      </c>
      <c r="T2544" s="693">
        <f t="shared" si="336"/>
        <v>0</v>
      </c>
      <c r="U2544" s="1035"/>
      <c r="V2544" s="690"/>
      <c r="W2544" s="1025"/>
      <c r="X2544" s="1030"/>
      <c r="Y2544" s="694">
        <f t="shared" si="337"/>
        <v>0</v>
      </c>
      <c r="Z2544" s="690"/>
      <c r="AA2544" s="690"/>
      <c r="AB2544" s="695">
        <f t="shared" si="338"/>
        <v>0</v>
      </c>
      <c r="AC2544" s="1035"/>
      <c r="AD2544" s="690"/>
      <c r="AE2544" s="1025"/>
      <c r="AF2544" s="1030"/>
      <c r="AG2544" s="690"/>
      <c r="AH2544" s="690"/>
      <c r="AI2544" s="696">
        <f t="shared" si="339"/>
        <v>240521</v>
      </c>
      <c r="AJ2544" s="697">
        <f t="shared" si="340"/>
        <v>0</v>
      </c>
    </row>
    <row r="2545" spans="1:36" s="700" customFormat="1" ht="12.75" customHeight="1">
      <c r="A2545" s="866" t="s">
        <v>206</v>
      </c>
      <c r="B2545" s="866" t="s">
        <v>400</v>
      </c>
      <c r="C2545" s="860" t="s">
        <v>1442</v>
      </c>
      <c r="D2545" s="860"/>
      <c r="E2545" s="956">
        <v>218025</v>
      </c>
      <c r="F2545" s="845">
        <v>9</v>
      </c>
      <c r="G2545" s="1025"/>
      <c r="H2545" s="690"/>
      <c r="I2545" s="1030">
        <v>308016</v>
      </c>
      <c r="J2545" s="818">
        <v>176843</v>
      </c>
      <c r="K2545" s="1030"/>
      <c r="L2545" s="690"/>
      <c r="M2545" s="1156"/>
      <c r="N2545" s="1157"/>
      <c r="O2545" s="692">
        <f t="shared" si="333"/>
        <v>0</v>
      </c>
      <c r="P2545" s="690"/>
      <c r="Q2545" s="690"/>
      <c r="R2545" s="691">
        <f t="shared" si="334"/>
        <v>0</v>
      </c>
      <c r="S2545" s="692">
        <f t="shared" si="335"/>
        <v>308016</v>
      </c>
      <c r="T2545" s="693">
        <f t="shared" si="336"/>
        <v>176843</v>
      </c>
      <c r="U2545" s="1035"/>
      <c r="V2545" s="690"/>
      <c r="W2545" s="1025"/>
      <c r="X2545" s="1030"/>
      <c r="Y2545" s="694">
        <f t="shared" si="337"/>
        <v>0</v>
      </c>
      <c r="Z2545" s="690"/>
      <c r="AA2545" s="690"/>
      <c r="AB2545" s="695">
        <f t="shared" si="338"/>
        <v>0</v>
      </c>
      <c r="AC2545" s="1035"/>
      <c r="AD2545" s="690"/>
      <c r="AE2545" s="1025"/>
      <c r="AF2545" s="1030"/>
      <c r="AG2545" s="690"/>
      <c r="AH2545" s="690"/>
      <c r="AI2545" s="696">
        <f t="shared" si="339"/>
        <v>308016</v>
      </c>
      <c r="AJ2545" s="697">
        <f t="shared" si="340"/>
        <v>176843</v>
      </c>
    </row>
    <row r="2546" spans="1:36" s="700" customFormat="1" ht="12.75" customHeight="1">
      <c r="A2546" s="866" t="s">
        <v>206</v>
      </c>
      <c r="B2546" s="866" t="s">
        <v>392</v>
      </c>
      <c r="C2546" s="1086" t="s">
        <v>1483</v>
      </c>
      <c r="D2546" s="1087" t="s">
        <v>1976</v>
      </c>
      <c r="E2546" s="956">
        <v>218140</v>
      </c>
      <c r="F2546" s="845">
        <v>9</v>
      </c>
      <c r="G2546" s="1025">
        <v>7403966</v>
      </c>
      <c r="H2546" s="818">
        <v>6449451</v>
      </c>
      <c r="I2546" s="1030"/>
      <c r="J2546" s="690"/>
      <c r="K2546" s="1030">
        <v>3464999</v>
      </c>
      <c r="L2546" s="690">
        <v>4096480</v>
      </c>
      <c r="M2546" s="1153">
        <v>32234511</v>
      </c>
      <c r="N2546" s="1155">
        <v>243219</v>
      </c>
      <c r="O2546" s="692">
        <f t="shared" si="333"/>
        <v>32477730</v>
      </c>
      <c r="P2546" s="1159">
        <v>27399160</v>
      </c>
      <c r="Q2546" s="1160">
        <v>223406</v>
      </c>
      <c r="R2546" s="691">
        <f t="shared" si="334"/>
        <v>27622566</v>
      </c>
      <c r="S2546" s="692">
        <f t="shared" si="335"/>
        <v>43103476</v>
      </c>
      <c r="T2546" s="693">
        <f t="shared" si="336"/>
        <v>37945091</v>
      </c>
      <c r="U2546" s="1035"/>
      <c r="V2546" s="690"/>
      <c r="W2546" s="1025"/>
      <c r="X2546" s="1030"/>
      <c r="Y2546" s="694">
        <f t="shared" si="337"/>
        <v>0</v>
      </c>
      <c r="Z2546" s="690"/>
      <c r="AA2546" s="690"/>
      <c r="AB2546" s="695">
        <f t="shared" si="338"/>
        <v>0</v>
      </c>
      <c r="AC2546" s="1035"/>
      <c r="AD2546" s="690"/>
      <c r="AE2546" s="1025"/>
      <c r="AF2546" s="1030"/>
      <c r="AG2546" s="690"/>
      <c r="AH2546" s="690"/>
      <c r="AI2546" s="696">
        <f t="shared" si="339"/>
        <v>43103476</v>
      </c>
      <c r="AJ2546" s="697">
        <f t="shared" si="340"/>
        <v>37945091</v>
      </c>
    </row>
    <row r="2547" spans="1:36" s="700" customFormat="1" ht="12.75" customHeight="1">
      <c r="A2547" s="866" t="s">
        <v>206</v>
      </c>
      <c r="B2547" s="866" t="s">
        <v>400</v>
      </c>
      <c r="C2547" s="859" t="s">
        <v>1418</v>
      </c>
      <c r="D2547" s="859"/>
      <c r="E2547" s="956">
        <v>218140</v>
      </c>
      <c r="F2547" s="845">
        <v>9</v>
      </c>
      <c r="G2547" s="1025"/>
      <c r="H2547" s="690"/>
      <c r="I2547" s="1030"/>
      <c r="J2547" s="690"/>
      <c r="K2547" s="1030"/>
      <c r="L2547" s="690"/>
      <c r="M2547" s="1025"/>
      <c r="N2547" s="1030"/>
      <c r="O2547" s="692">
        <f t="shared" si="333"/>
        <v>0</v>
      </c>
      <c r="P2547" s="1161"/>
      <c r="Q2547" s="1161"/>
      <c r="R2547" s="691">
        <f t="shared" si="334"/>
        <v>0</v>
      </c>
      <c r="S2547" s="692">
        <f t="shared" si="335"/>
        <v>0</v>
      </c>
      <c r="T2547" s="693">
        <f t="shared" si="336"/>
        <v>0</v>
      </c>
      <c r="U2547" s="1035"/>
      <c r="V2547" s="690"/>
      <c r="W2547" s="1025"/>
      <c r="X2547" s="1030"/>
      <c r="Y2547" s="694">
        <f t="shared" si="337"/>
        <v>0</v>
      </c>
      <c r="Z2547" s="690"/>
      <c r="AA2547" s="690"/>
      <c r="AB2547" s="695">
        <f t="shared" si="338"/>
        <v>0</v>
      </c>
      <c r="AC2547" s="1035"/>
      <c r="AD2547" s="690"/>
      <c r="AE2547" s="1025"/>
      <c r="AF2547" s="1030"/>
      <c r="AG2547" s="690"/>
      <c r="AH2547" s="690"/>
      <c r="AI2547" s="696">
        <f t="shared" si="339"/>
        <v>0</v>
      </c>
      <c r="AJ2547" s="697">
        <f t="shared" si="340"/>
        <v>0</v>
      </c>
    </row>
    <row r="2548" spans="1:36" s="700" customFormat="1" ht="12.75" customHeight="1">
      <c r="A2548" s="866" t="s">
        <v>206</v>
      </c>
      <c r="B2548" s="866" t="s">
        <v>400</v>
      </c>
      <c r="C2548" s="860" t="s">
        <v>1469</v>
      </c>
      <c r="D2548" s="860"/>
      <c r="E2548" s="956">
        <v>218140</v>
      </c>
      <c r="F2548" s="845">
        <v>9</v>
      </c>
      <c r="G2548" s="1025"/>
      <c r="H2548" s="690"/>
      <c r="I2548" s="1030">
        <v>14987</v>
      </c>
      <c r="J2548" s="690">
        <v>0</v>
      </c>
      <c r="K2548" s="1030"/>
      <c r="L2548" s="690"/>
      <c r="M2548" s="1025"/>
      <c r="N2548" s="1030"/>
      <c r="O2548" s="692">
        <f t="shared" si="333"/>
        <v>0</v>
      </c>
      <c r="P2548" s="1161"/>
      <c r="Q2548" s="1161"/>
      <c r="R2548" s="691">
        <f t="shared" si="334"/>
        <v>0</v>
      </c>
      <c r="S2548" s="692">
        <f t="shared" si="335"/>
        <v>14987</v>
      </c>
      <c r="T2548" s="693">
        <f t="shared" si="336"/>
        <v>0</v>
      </c>
      <c r="U2548" s="1035"/>
      <c r="V2548" s="690"/>
      <c r="W2548" s="1025"/>
      <c r="X2548" s="1030"/>
      <c r="Y2548" s="694">
        <f t="shared" si="337"/>
        <v>0</v>
      </c>
      <c r="Z2548" s="690"/>
      <c r="AA2548" s="690"/>
      <c r="AB2548" s="695">
        <f t="shared" si="338"/>
        <v>0</v>
      </c>
      <c r="AC2548" s="1035"/>
      <c r="AD2548" s="690"/>
      <c r="AE2548" s="1025"/>
      <c r="AF2548" s="1030"/>
      <c r="AG2548" s="690"/>
      <c r="AH2548" s="690"/>
      <c r="AI2548" s="696">
        <f t="shared" si="339"/>
        <v>14987</v>
      </c>
      <c r="AJ2548" s="697">
        <f t="shared" si="340"/>
        <v>0</v>
      </c>
    </row>
    <row r="2549" spans="1:36" s="700" customFormat="1" ht="12.75" customHeight="1">
      <c r="A2549" s="866" t="s">
        <v>206</v>
      </c>
      <c r="B2549" s="866" t="s">
        <v>400</v>
      </c>
      <c r="C2549" s="860" t="s">
        <v>1470</v>
      </c>
      <c r="D2549" s="860"/>
      <c r="E2549" s="956">
        <v>218140</v>
      </c>
      <c r="F2549" s="845">
        <v>9</v>
      </c>
      <c r="G2549" s="1025"/>
      <c r="H2549" s="690"/>
      <c r="I2549" s="1030">
        <v>31176</v>
      </c>
      <c r="J2549" s="690">
        <v>0</v>
      </c>
      <c r="K2549" s="1030"/>
      <c r="L2549" s="690"/>
      <c r="M2549" s="1025"/>
      <c r="N2549" s="1030"/>
      <c r="O2549" s="692">
        <f t="shared" si="333"/>
        <v>0</v>
      </c>
      <c r="P2549" s="1161"/>
      <c r="Q2549" s="1161"/>
      <c r="R2549" s="691">
        <f t="shared" si="334"/>
        <v>0</v>
      </c>
      <c r="S2549" s="692">
        <f t="shared" si="335"/>
        <v>31176</v>
      </c>
      <c r="T2549" s="693">
        <f t="shared" si="336"/>
        <v>0</v>
      </c>
      <c r="U2549" s="1035"/>
      <c r="V2549" s="690"/>
      <c r="W2549" s="1025"/>
      <c r="X2549" s="1030"/>
      <c r="Y2549" s="694">
        <f t="shared" si="337"/>
        <v>0</v>
      </c>
      <c r="Z2549" s="690"/>
      <c r="AA2549" s="690"/>
      <c r="AB2549" s="695">
        <f t="shared" si="338"/>
        <v>0</v>
      </c>
      <c r="AC2549" s="1035"/>
      <c r="AD2549" s="690"/>
      <c r="AE2549" s="1025"/>
      <c r="AF2549" s="1030"/>
      <c r="AG2549" s="690"/>
      <c r="AH2549" s="690"/>
      <c r="AI2549" s="696">
        <f t="shared" si="339"/>
        <v>31176</v>
      </c>
      <c r="AJ2549" s="697">
        <f t="shared" si="340"/>
        <v>0</v>
      </c>
    </row>
    <row r="2550" spans="1:36" s="700" customFormat="1" ht="12.75" customHeight="1">
      <c r="A2550" s="866" t="s">
        <v>206</v>
      </c>
      <c r="B2550" s="866" t="s">
        <v>400</v>
      </c>
      <c r="C2550" s="860" t="s">
        <v>1472</v>
      </c>
      <c r="D2550" s="860"/>
      <c r="E2550" s="956">
        <v>218140</v>
      </c>
      <c r="F2550" s="845">
        <v>9</v>
      </c>
      <c r="G2550" s="1025"/>
      <c r="H2550" s="690"/>
      <c r="I2550" s="1030">
        <v>44452</v>
      </c>
      <c r="J2550" s="690">
        <v>37784</v>
      </c>
      <c r="K2550" s="1030"/>
      <c r="L2550" s="690"/>
      <c r="M2550" s="1025"/>
      <c r="N2550" s="1030"/>
      <c r="O2550" s="692">
        <f t="shared" si="333"/>
        <v>0</v>
      </c>
      <c r="P2550" s="1161"/>
      <c r="Q2550" s="1161"/>
      <c r="R2550" s="691">
        <f t="shared" si="334"/>
        <v>0</v>
      </c>
      <c r="S2550" s="692">
        <f t="shared" si="335"/>
        <v>44452</v>
      </c>
      <c r="T2550" s="693">
        <f t="shared" si="336"/>
        <v>37784</v>
      </c>
      <c r="U2550" s="1035"/>
      <c r="V2550" s="690"/>
      <c r="W2550" s="1025"/>
      <c r="X2550" s="1030"/>
      <c r="Y2550" s="694">
        <f t="shared" si="337"/>
        <v>0</v>
      </c>
      <c r="Z2550" s="690"/>
      <c r="AA2550" s="690"/>
      <c r="AB2550" s="695">
        <f t="shared" si="338"/>
        <v>0</v>
      </c>
      <c r="AC2550" s="1035"/>
      <c r="AD2550" s="690"/>
      <c r="AE2550" s="1025"/>
      <c r="AF2550" s="1030"/>
      <c r="AG2550" s="690"/>
      <c r="AH2550" s="690"/>
      <c r="AI2550" s="696">
        <f t="shared" si="339"/>
        <v>44452</v>
      </c>
      <c r="AJ2550" s="697">
        <f t="shared" si="340"/>
        <v>37784</v>
      </c>
    </row>
    <row r="2551" spans="1:36" s="700" customFormat="1" ht="12.75" customHeight="1">
      <c r="A2551" s="866" t="s">
        <v>206</v>
      </c>
      <c r="B2551" s="866" t="s">
        <v>400</v>
      </c>
      <c r="C2551" s="860" t="s">
        <v>1422</v>
      </c>
      <c r="D2551" s="860"/>
      <c r="E2551" s="956">
        <v>218140</v>
      </c>
      <c r="F2551" s="845">
        <v>9</v>
      </c>
      <c r="G2551" s="1025"/>
      <c r="H2551" s="690"/>
      <c r="I2551" s="1030">
        <v>8212</v>
      </c>
      <c r="J2551" s="690">
        <v>0</v>
      </c>
      <c r="K2551" s="1030"/>
      <c r="L2551" s="690"/>
      <c r="M2551" s="1025"/>
      <c r="N2551" s="1030"/>
      <c r="O2551" s="692">
        <f t="shared" si="333"/>
        <v>0</v>
      </c>
      <c r="P2551" s="1161"/>
      <c r="Q2551" s="1161"/>
      <c r="R2551" s="691">
        <f t="shared" si="334"/>
        <v>0</v>
      </c>
      <c r="S2551" s="692">
        <f t="shared" si="335"/>
        <v>8212</v>
      </c>
      <c r="T2551" s="693">
        <f t="shared" si="336"/>
        <v>0</v>
      </c>
      <c r="U2551" s="1035"/>
      <c r="V2551" s="690"/>
      <c r="W2551" s="1025"/>
      <c r="X2551" s="1030"/>
      <c r="Y2551" s="694">
        <f t="shared" si="337"/>
        <v>0</v>
      </c>
      <c r="Z2551" s="690"/>
      <c r="AA2551" s="690"/>
      <c r="AB2551" s="695">
        <f t="shared" si="338"/>
        <v>0</v>
      </c>
      <c r="AC2551" s="1035"/>
      <c r="AD2551" s="690"/>
      <c r="AE2551" s="1025"/>
      <c r="AF2551" s="1030"/>
      <c r="AG2551" s="690"/>
      <c r="AH2551" s="690"/>
      <c r="AI2551" s="696">
        <f t="shared" si="339"/>
        <v>8212</v>
      </c>
      <c r="AJ2551" s="697">
        <f t="shared" si="340"/>
        <v>0</v>
      </c>
    </row>
    <row r="2552" spans="1:36" s="700" customFormat="1" ht="12.75" customHeight="1">
      <c r="A2552" s="866" t="s">
        <v>206</v>
      </c>
      <c r="B2552" s="866" t="s">
        <v>400</v>
      </c>
      <c r="C2552" s="860" t="s">
        <v>1423</v>
      </c>
      <c r="D2552" s="860"/>
      <c r="E2552" s="956">
        <v>218140</v>
      </c>
      <c r="F2552" s="845">
        <v>9</v>
      </c>
      <c r="G2552" s="1025"/>
      <c r="H2552" s="690"/>
      <c r="I2552" s="1030">
        <v>256</v>
      </c>
      <c r="J2552" s="690">
        <v>0</v>
      </c>
      <c r="K2552" s="1030"/>
      <c r="L2552" s="690"/>
      <c r="M2552" s="1025"/>
      <c r="N2552" s="1030"/>
      <c r="O2552" s="692">
        <f t="shared" si="333"/>
        <v>0</v>
      </c>
      <c r="P2552" s="1161"/>
      <c r="Q2552" s="1161"/>
      <c r="R2552" s="691">
        <f t="shared" si="334"/>
        <v>0</v>
      </c>
      <c r="S2552" s="692">
        <f t="shared" si="335"/>
        <v>256</v>
      </c>
      <c r="T2552" s="693">
        <f t="shared" si="336"/>
        <v>0</v>
      </c>
      <c r="U2552" s="1035"/>
      <c r="V2552" s="690"/>
      <c r="W2552" s="1025"/>
      <c r="X2552" s="1030"/>
      <c r="Y2552" s="694">
        <f t="shared" si="337"/>
        <v>0</v>
      </c>
      <c r="Z2552" s="690"/>
      <c r="AA2552" s="690"/>
      <c r="AB2552" s="695">
        <f t="shared" si="338"/>
        <v>0</v>
      </c>
      <c r="AC2552" s="1035"/>
      <c r="AD2552" s="690"/>
      <c r="AE2552" s="1025"/>
      <c r="AF2552" s="1030"/>
      <c r="AG2552" s="690"/>
      <c r="AH2552" s="690"/>
      <c r="AI2552" s="696">
        <f t="shared" si="339"/>
        <v>256</v>
      </c>
      <c r="AJ2552" s="697">
        <f t="shared" si="340"/>
        <v>0</v>
      </c>
    </row>
    <row r="2553" spans="1:36" s="700" customFormat="1" ht="12.75" customHeight="1">
      <c r="A2553" s="866" t="s">
        <v>206</v>
      </c>
      <c r="B2553" s="866" t="s">
        <v>400</v>
      </c>
      <c r="C2553" s="860" t="s">
        <v>1419</v>
      </c>
      <c r="D2553" s="860"/>
      <c r="E2553" s="956">
        <v>218140</v>
      </c>
      <c r="F2553" s="845">
        <v>9</v>
      </c>
      <c r="G2553" s="1025"/>
      <c r="H2553" s="690"/>
      <c r="I2553" s="1030">
        <v>20929</v>
      </c>
      <c r="J2553" s="690" t="s">
        <v>1420</v>
      </c>
      <c r="K2553" s="1030"/>
      <c r="L2553" s="690"/>
      <c r="M2553" s="1025"/>
      <c r="N2553" s="1030"/>
      <c r="O2553" s="692">
        <f t="shared" si="333"/>
        <v>0</v>
      </c>
      <c r="P2553" s="1161"/>
      <c r="Q2553" s="1161"/>
      <c r="R2553" s="691">
        <f t="shared" si="334"/>
        <v>0</v>
      </c>
      <c r="S2553" s="692">
        <f t="shared" si="335"/>
        <v>20929</v>
      </c>
      <c r="T2553" s="693">
        <f t="shared" si="336"/>
        <v>0</v>
      </c>
      <c r="U2553" s="1035"/>
      <c r="V2553" s="690"/>
      <c r="W2553" s="1025"/>
      <c r="X2553" s="1030"/>
      <c r="Y2553" s="694">
        <f t="shared" si="337"/>
        <v>0</v>
      </c>
      <c r="Z2553" s="690"/>
      <c r="AA2553" s="690"/>
      <c r="AB2553" s="695">
        <f t="shared" si="338"/>
        <v>0</v>
      </c>
      <c r="AC2553" s="1035"/>
      <c r="AD2553" s="690"/>
      <c r="AE2553" s="1025"/>
      <c r="AF2553" s="1030"/>
      <c r="AG2553" s="690"/>
      <c r="AH2553" s="690"/>
      <c r="AI2553" s="696">
        <f t="shared" si="339"/>
        <v>20929</v>
      </c>
      <c r="AJ2553" s="697">
        <f t="shared" si="340"/>
        <v>0</v>
      </c>
    </row>
    <row r="2554" spans="1:36" s="700" customFormat="1" ht="12.75" customHeight="1">
      <c r="A2554" s="866" t="s">
        <v>206</v>
      </c>
      <c r="B2554" s="866" t="s">
        <v>400</v>
      </c>
      <c r="C2554" s="860" t="s">
        <v>1473</v>
      </c>
      <c r="D2554" s="860"/>
      <c r="E2554" s="956">
        <v>218140</v>
      </c>
      <c r="F2554" s="845">
        <v>9</v>
      </c>
      <c r="G2554" s="1025"/>
      <c r="H2554" s="690"/>
      <c r="I2554" s="1030">
        <v>46749</v>
      </c>
      <c r="J2554" s="690">
        <v>0</v>
      </c>
      <c r="K2554" s="1030"/>
      <c r="L2554" s="690"/>
      <c r="M2554" s="1025"/>
      <c r="N2554" s="1030"/>
      <c r="O2554" s="692">
        <f t="shared" si="333"/>
        <v>0</v>
      </c>
      <c r="P2554" s="1161"/>
      <c r="Q2554" s="1161"/>
      <c r="R2554" s="691">
        <f t="shared" si="334"/>
        <v>0</v>
      </c>
      <c r="S2554" s="692">
        <f t="shared" si="335"/>
        <v>46749</v>
      </c>
      <c r="T2554" s="693">
        <f t="shared" si="336"/>
        <v>0</v>
      </c>
      <c r="U2554" s="1035"/>
      <c r="V2554" s="690"/>
      <c r="W2554" s="1025"/>
      <c r="X2554" s="1030"/>
      <c r="Y2554" s="694">
        <f t="shared" si="337"/>
        <v>0</v>
      </c>
      <c r="Z2554" s="690"/>
      <c r="AA2554" s="690"/>
      <c r="AB2554" s="695">
        <f t="shared" si="338"/>
        <v>0</v>
      </c>
      <c r="AC2554" s="1035"/>
      <c r="AD2554" s="690"/>
      <c r="AE2554" s="1025"/>
      <c r="AF2554" s="1030"/>
      <c r="AG2554" s="690"/>
      <c r="AH2554" s="690"/>
      <c r="AI2554" s="696">
        <f t="shared" si="339"/>
        <v>46749</v>
      </c>
      <c r="AJ2554" s="697">
        <f t="shared" si="340"/>
        <v>0</v>
      </c>
    </row>
    <row r="2555" spans="1:36" s="700" customFormat="1" ht="12.75" customHeight="1">
      <c r="A2555" s="866" t="s">
        <v>206</v>
      </c>
      <c r="B2555" s="866" t="s">
        <v>400</v>
      </c>
      <c r="C2555" s="860" t="s">
        <v>1474</v>
      </c>
      <c r="D2555" s="860"/>
      <c r="E2555" s="956">
        <v>218140</v>
      </c>
      <c r="F2555" s="845">
        <v>9</v>
      </c>
      <c r="G2555" s="1025"/>
      <c r="H2555" s="690"/>
      <c r="I2555" s="1030">
        <v>263001</v>
      </c>
      <c r="J2555" s="690">
        <v>0</v>
      </c>
      <c r="K2555" s="1030"/>
      <c r="L2555" s="690"/>
      <c r="M2555" s="1025"/>
      <c r="N2555" s="1030"/>
      <c r="O2555" s="692">
        <f t="shared" si="333"/>
        <v>0</v>
      </c>
      <c r="P2555" s="1161"/>
      <c r="Q2555" s="1161"/>
      <c r="R2555" s="691">
        <f t="shared" si="334"/>
        <v>0</v>
      </c>
      <c r="S2555" s="692">
        <f t="shared" si="335"/>
        <v>263001</v>
      </c>
      <c r="T2555" s="693">
        <f t="shared" si="336"/>
        <v>0</v>
      </c>
      <c r="U2555" s="1035"/>
      <c r="V2555" s="690"/>
      <c r="W2555" s="1025"/>
      <c r="X2555" s="1030"/>
      <c r="Y2555" s="694">
        <f t="shared" si="337"/>
        <v>0</v>
      </c>
      <c r="Z2555" s="690"/>
      <c r="AA2555" s="690"/>
      <c r="AB2555" s="695">
        <f t="shared" si="338"/>
        <v>0</v>
      </c>
      <c r="AC2555" s="1035"/>
      <c r="AD2555" s="690"/>
      <c r="AE2555" s="1025"/>
      <c r="AF2555" s="1030"/>
      <c r="AG2555" s="690"/>
      <c r="AH2555" s="690"/>
      <c r="AI2555" s="696">
        <f t="shared" si="339"/>
        <v>263001</v>
      </c>
      <c r="AJ2555" s="697">
        <f t="shared" si="340"/>
        <v>0</v>
      </c>
    </row>
    <row r="2556" spans="1:36" s="700" customFormat="1" ht="12.75" customHeight="1">
      <c r="A2556" s="866" t="s">
        <v>206</v>
      </c>
      <c r="B2556" s="866" t="s">
        <v>400</v>
      </c>
      <c r="C2556" s="860" t="s">
        <v>1442</v>
      </c>
      <c r="D2556" s="860"/>
      <c r="E2556" s="956">
        <v>218140</v>
      </c>
      <c r="F2556" s="845">
        <v>9</v>
      </c>
      <c r="G2556" s="1025"/>
      <c r="H2556" s="690"/>
      <c r="I2556" s="1030">
        <v>360521</v>
      </c>
      <c r="J2556" s="818">
        <v>209789</v>
      </c>
      <c r="K2556" s="1030"/>
      <c r="L2556" s="690"/>
      <c r="M2556" s="1025"/>
      <c r="N2556" s="1030"/>
      <c r="O2556" s="692">
        <f t="shared" si="333"/>
        <v>0</v>
      </c>
      <c r="P2556" s="1161"/>
      <c r="Q2556" s="1161"/>
      <c r="R2556" s="691">
        <f t="shared" si="334"/>
        <v>0</v>
      </c>
      <c r="S2556" s="692">
        <f t="shared" si="335"/>
        <v>360521</v>
      </c>
      <c r="T2556" s="693">
        <f t="shared" si="336"/>
        <v>209789</v>
      </c>
      <c r="U2556" s="1035"/>
      <c r="V2556" s="690"/>
      <c r="W2556" s="1025"/>
      <c r="X2556" s="1030"/>
      <c r="Y2556" s="694">
        <f t="shared" si="337"/>
        <v>0</v>
      </c>
      <c r="Z2556" s="690"/>
      <c r="AA2556" s="690"/>
      <c r="AB2556" s="695">
        <f t="shared" si="338"/>
        <v>0</v>
      </c>
      <c r="AC2556" s="1035"/>
      <c r="AD2556" s="690"/>
      <c r="AE2556" s="1025"/>
      <c r="AF2556" s="1030"/>
      <c r="AG2556" s="690"/>
      <c r="AH2556" s="690"/>
      <c r="AI2556" s="696">
        <f t="shared" si="339"/>
        <v>360521</v>
      </c>
      <c r="AJ2556" s="697">
        <f t="shared" si="340"/>
        <v>209789</v>
      </c>
    </row>
    <row r="2557" spans="1:36" s="700" customFormat="1" ht="12.75" customHeight="1">
      <c r="A2557" s="866" t="s">
        <v>206</v>
      </c>
      <c r="B2557" s="866" t="s">
        <v>392</v>
      </c>
      <c r="C2557" s="955" t="s">
        <v>1484</v>
      </c>
      <c r="D2557" s="955"/>
      <c r="E2557" s="956">
        <v>218487</v>
      </c>
      <c r="F2557" s="845">
        <v>9</v>
      </c>
      <c r="G2557" s="1025">
        <v>4066428</v>
      </c>
      <c r="H2557" s="818">
        <v>3488537</v>
      </c>
      <c r="I2557" s="1030"/>
      <c r="J2557" s="690"/>
      <c r="K2557" s="1030">
        <v>1928892</v>
      </c>
      <c r="L2557" s="690">
        <v>1626558</v>
      </c>
      <c r="M2557" s="1153">
        <v>10453978</v>
      </c>
      <c r="N2557" s="1157">
        <v>0</v>
      </c>
      <c r="O2557" s="692">
        <f t="shared" si="333"/>
        <v>10453978</v>
      </c>
      <c r="P2557" s="1159">
        <v>10794816</v>
      </c>
      <c r="Q2557" s="1160">
        <v>0</v>
      </c>
      <c r="R2557" s="691">
        <f t="shared" si="334"/>
        <v>10794816</v>
      </c>
      <c r="S2557" s="692">
        <f t="shared" si="335"/>
        <v>16449298</v>
      </c>
      <c r="T2557" s="693">
        <f t="shared" si="336"/>
        <v>15909911</v>
      </c>
      <c r="U2557" s="1035"/>
      <c r="V2557" s="690"/>
      <c r="W2557" s="1025"/>
      <c r="X2557" s="1030"/>
      <c r="Y2557" s="694">
        <f t="shared" si="337"/>
        <v>0</v>
      </c>
      <c r="Z2557" s="690"/>
      <c r="AA2557" s="690"/>
      <c r="AB2557" s="695">
        <f t="shared" si="338"/>
        <v>0</v>
      </c>
      <c r="AC2557" s="1035"/>
      <c r="AD2557" s="690"/>
      <c r="AE2557" s="1025"/>
      <c r="AF2557" s="1030"/>
      <c r="AG2557" s="690"/>
      <c r="AH2557" s="690"/>
      <c r="AI2557" s="696">
        <f t="shared" si="339"/>
        <v>16449298</v>
      </c>
      <c r="AJ2557" s="697">
        <f t="shared" si="340"/>
        <v>15909911</v>
      </c>
    </row>
    <row r="2558" spans="1:36" s="700" customFormat="1" ht="12.75" customHeight="1">
      <c r="A2558" s="866" t="s">
        <v>206</v>
      </c>
      <c r="B2558" s="866" t="s">
        <v>400</v>
      </c>
      <c r="C2558" s="859" t="s">
        <v>1418</v>
      </c>
      <c r="D2558" s="859"/>
      <c r="E2558" s="956">
        <v>218487</v>
      </c>
      <c r="F2558" s="845">
        <v>9</v>
      </c>
      <c r="G2558" s="1025"/>
      <c r="H2558" s="690"/>
      <c r="I2558" s="1030"/>
      <c r="J2558" s="690"/>
      <c r="K2558" s="1030"/>
      <c r="L2558" s="690"/>
      <c r="M2558" s="1156"/>
      <c r="N2558" s="1157"/>
      <c r="O2558" s="692">
        <f t="shared" si="333"/>
        <v>0</v>
      </c>
      <c r="P2558" s="1161"/>
      <c r="Q2558" s="1161"/>
      <c r="R2558" s="691">
        <f t="shared" si="334"/>
        <v>0</v>
      </c>
      <c r="S2558" s="692">
        <f t="shared" si="335"/>
        <v>0</v>
      </c>
      <c r="T2558" s="693">
        <f t="shared" si="336"/>
        <v>0</v>
      </c>
      <c r="U2558" s="1035"/>
      <c r="V2558" s="690"/>
      <c r="W2558" s="1025"/>
      <c r="X2558" s="1030"/>
      <c r="Y2558" s="694">
        <f t="shared" si="337"/>
        <v>0</v>
      </c>
      <c r="Z2558" s="690"/>
      <c r="AA2558" s="690"/>
      <c r="AB2558" s="695">
        <f t="shared" si="338"/>
        <v>0</v>
      </c>
      <c r="AC2558" s="1035"/>
      <c r="AD2558" s="690"/>
      <c r="AE2558" s="1025"/>
      <c r="AF2558" s="1030"/>
      <c r="AG2558" s="690"/>
      <c r="AH2558" s="690"/>
      <c r="AI2558" s="696">
        <f t="shared" si="339"/>
        <v>0</v>
      </c>
      <c r="AJ2558" s="697">
        <f t="shared" si="340"/>
        <v>0</v>
      </c>
    </row>
    <row r="2559" spans="1:36" s="700" customFormat="1" ht="12.75" customHeight="1">
      <c r="A2559" s="866" t="s">
        <v>206</v>
      </c>
      <c r="B2559" s="866" t="s">
        <v>400</v>
      </c>
      <c r="C2559" s="860" t="s">
        <v>1469</v>
      </c>
      <c r="D2559" s="860"/>
      <c r="E2559" s="956">
        <v>218487</v>
      </c>
      <c r="F2559" s="845">
        <v>9</v>
      </c>
      <c r="G2559" s="1025"/>
      <c r="H2559" s="690"/>
      <c r="I2559" s="1030">
        <v>8231</v>
      </c>
      <c r="J2559" s="690">
        <v>0</v>
      </c>
      <c r="K2559" s="1030"/>
      <c r="L2559" s="690"/>
      <c r="M2559" s="1156"/>
      <c r="N2559" s="1157"/>
      <c r="O2559" s="692">
        <f t="shared" si="333"/>
        <v>0</v>
      </c>
      <c r="P2559" s="1161"/>
      <c r="Q2559" s="1161"/>
      <c r="R2559" s="691">
        <f t="shared" si="334"/>
        <v>0</v>
      </c>
      <c r="S2559" s="692">
        <f t="shared" si="335"/>
        <v>8231</v>
      </c>
      <c r="T2559" s="693">
        <f t="shared" si="336"/>
        <v>0</v>
      </c>
      <c r="U2559" s="1035"/>
      <c r="V2559" s="690"/>
      <c r="W2559" s="1025"/>
      <c r="X2559" s="1030"/>
      <c r="Y2559" s="694">
        <f t="shared" si="337"/>
        <v>0</v>
      </c>
      <c r="Z2559" s="690"/>
      <c r="AA2559" s="690"/>
      <c r="AB2559" s="695">
        <f t="shared" si="338"/>
        <v>0</v>
      </c>
      <c r="AC2559" s="1035"/>
      <c r="AD2559" s="690"/>
      <c r="AE2559" s="1025"/>
      <c r="AF2559" s="1030"/>
      <c r="AG2559" s="690"/>
      <c r="AH2559" s="690"/>
      <c r="AI2559" s="696">
        <f t="shared" si="339"/>
        <v>8231</v>
      </c>
      <c r="AJ2559" s="697">
        <f t="shared" si="340"/>
        <v>0</v>
      </c>
    </row>
    <row r="2560" spans="1:36" s="700" customFormat="1" ht="12.75" customHeight="1">
      <c r="A2560" s="866" t="s">
        <v>206</v>
      </c>
      <c r="B2560" s="866" t="s">
        <v>400</v>
      </c>
      <c r="C2560" s="860" t="s">
        <v>1470</v>
      </c>
      <c r="D2560" s="860"/>
      <c r="E2560" s="956">
        <v>218487</v>
      </c>
      <c r="F2560" s="845">
        <v>9</v>
      </c>
      <c r="G2560" s="1025"/>
      <c r="H2560" s="690"/>
      <c r="I2560" s="1030">
        <v>17123</v>
      </c>
      <c r="J2560" s="690">
        <v>0</v>
      </c>
      <c r="K2560" s="1030"/>
      <c r="L2560" s="690"/>
      <c r="M2560" s="1156"/>
      <c r="N2560" s="1157"/>
      <c r="O2560" s="692">
        <f t="shared" si="333"/>
        <v>0</v>
      </c>
      <c r="P2560" s="1161"/>
      <c r="Q2560" s="1161"/>
      <c r="R2560" s="691">
        <f t="shared" si="334"/>
        <v>0</v>
      </c>
      <c r="S2560" s="692">
        <f t="shared" si="335"/>
        <v>17123</v>
      </c>
      <c r="T2560" s="693">
        <f t="shared" si="336"/>
        <v>0</v>
      </c>
      <c r="U2560" s="1035"/>
      <c r="V2560" s="690"/>
      <c r="W2560" s="1025"/>
      <c r="X2560" s="1030"/>
      <c r="Y2560" s="694">
        <f t="shared" si="337"/>
        <v>0</v>
      </c>
      <c r="Z2560" s="690"/>
      <c r="AA2560" s="690"/>
      <c r="AB2560" s="695">
        <f t="shared" si="338"/>
        <v>0</v>
      </c>
      <c r="AC2560" s="1035"/>
      <c r="AD2560" s="690"/>
      <c r="AE2560" s="1025"/>
      <c r="AF2560" s="1030"/>
      <c r="AG2560" s="690"/>
      <c r="AH2560" s="690"/>
      <c r="AI2560" s="696">
        <f t="shared" si="339"/>
        <v>17123</v>
      </c>
      <c r="AJ2560" s="697">
        <f t="shared" si="340"/>
        <v>0</v>
      </c>
    </row>
    <row r="2561" spans="1:36" s="700" customFormat="1" ht="12.75" customHeight="1">
      <c r="A2561" s="866" t="s">
        <v>206</v>
      </c>
      <c r="B2561" s="866" t="s">
        <v>400</v>
      </c>
      <c r="C2561" s="860" t="s">
        <v>1472</v>
      </c>
      <c r="D2561" s="860"/>
      <c r="E2561" s="956">
        <v>218487</v>
      </c>
      <c r="F2561" s="845">
        <v>9</v>
      </c>
      <c r="G2561" s="1025"/>
      <c r="H2561" s="690"/>
      <c r="I2561" s="1030">
        <v>44451</v>
      </c>
      <c r="J2561" s="690">
        <v>37784</v>
      </c>
      <c r="K2561" s="1030"/>
      <c r="L2561" s="690"/>
      <c r="M2561" s="1156"/>
      <c r="N2561" s="1157"/>
      <c r="O2561" s="692">
        <f t="shared" si="333"/>
        <v>0</v>
      </c>
      <c r="P2561" s="1161"/>
      <c r="Q2561" s="1161"/>
      <c r="R2561" s="691">
        <f t="shared" si="334"/>
        <v>0</v>
      </c>
      <c r="S2561" s="692">
        <f t="shared" si="335"/>
        <v>44451</v>
      </c>
      <c r="T2561" s="693">
        <f t="shared" si="336"/>
        <v>37784</v>
      </c>
      <c r="U2561" s="1035"/>
      <c r="V2561" s="690"/>
      <c r="W2561" s="1025"/>
      <c r="X2561" s="1030"/>
      <c r="Y2561" s="694">
        <f t="shared" si="337"/>
        <v>0</v>
      </c>
      <c r="Z2561" s="690"/>
      <c r="AA2561" s="690"/>
      <c r="AB2561" s="695">
        <f t="shared" si="338"/>
        <v>0</v>
      </c>
      <c r="AC2561" s="1035"/>
      <c r="AD2561" s="690"/>
      <c r="AE2561" s="1025"/>
      <c r="AF2561" s="1030"/>
      <c r="AG2561" s="690"/>
      <c r="AH2561" s="690"/>
      <c r="AI2561" s="696">
        <f t="shared" si="339"/>
        <v>44451</v>
      </c>
      <c r="AJ2561" s="697">
        <f t="shared" si="340"/>
        <v>37784</v>
      </c>
    </row>
    <row r="2562" spans="1:36" s="700" customFormat="1" ht="12.75" customHeight="1">
      <c r="A2562" s="866" t="s">
        <v>206</v>
      </c>
      <c r="B2562" s="866" t="s">
        <v>400</v>
      </c>
      <c r="C2562" s="860" t="s">
        <v>1422</v>
      </c>
      <c r="D2562" s="860"/>
      <c r="E2562" s="956">
        <v>218487</v>
      </c>
      <c r="F2562" s="845">
        <v>9</v>
      </c>
      <c r="G2562" s="1025"/>
      <c r="H2562" s="690"/>
      <c r="I2562" s="1030">
        <v>5812</v>
      </c>
      <c r="J2562" s="690">
        <v>0</v>
      </c>
      <c r="K2562" s="1030"/>
      <c r="L2562" s="690"/>
      <c r="M2562" s="1156"/>
      <c r="N2562" s="1157"/>
      <c r="O2562" s="692">
        <f t="shared" si="333"/>
        <v>0</v>
      </c>
      <c r="P2562" s="1161"/>
      <c r="Q2562" s="1161"/>
      <c r="R2562" s="691">
        <f t="shared" si="334"/>
        <v>0</v>
      </c>
      <c r="S2562" s="692">
        <f t="shared" si="335"/>
        <v>5812</v>
      </c>
      <c r="T2562" s="693">
        <f t="shared" si="336"/>
        <v>0</v>
      </c>
      <c r="U2562" s="1035"/>
      <c r="V2562" s="690"/>
      <c r="W2562" s="1025"/>
      <c r="X2562" s="1030"/>
      <c r="Y2562" s="694">
        <f t="shared" si="337"/>
        <v>0</v>
      </c>
      <c r="Z2562" s="690"/>
      <c r="AA2562" s="690"/>
      <c r="AB2562" s="695">
        <f t="shared" si="338"/>
        <v>0</v>
      </c>
      <c r="AC2562" s="1035"/>
      <c r="AD2562" s="690"/>
      <c r="AE2562" s="1025"/>
      <c r="AF2562" s="1030"/>
      <c r="AG2562" s="690"/>
      <c r="AH2562" s="690"/>
      <c r="AI2562" s="696">
        <f t="shared" si="339"/>
        <v>5812</v>
      </c>
      <c r="AJ2562" s="697">
        <f t="shared" si="340"/>
        <v>0</v>
      </c>
    </row>
    <row r="2563" spans="1:36" s="700" customFormat="1" ht="12.75" customHeight="1">
      <c r="A2563" s="866" t="s">
        <v>206</v>
      </c>
      <c r="B2563" s="866" t="s">
        <v>400</v>
      </c>
      <c r="C2563" s="860" t="s">
        <v>1423</v>
      </c>
      <c r="D2563" s="860"/>
      <c r="E2563" s="956">
        <v>218487</v>
      </c>
      <c r="F2563" s="845">
        <v>9</v>
      </c>
      <c r="G2563" s="1025"/>
      <c r="H2563" s="690"/>
      <c r="I2563" s="1030">
        <v>143</v>
      </c>
      <c r="J2563" s="690">
        <v>0</v>
      </c>
      <c r="K2563" s="1030"/>
      <c r="L2563" s="690"/>
      <c r="M2563" s="1156"/>
      <c r="N2563" s="1157"/>
      <c r="O2563" s="692">
        <f t="shared" si="333"/>
        <v>0</v>
      </c>
      <c r="P2563" s="1161"/>
      <c r="Q2563" s="1161"/>
      <c r="R2563" s="691">
        <f t="shared" si="334"/>
        <v>0</v>
      </c>
      <c r="S2563" s="692">
        <f t="shared" si="335"/>
        <v>143</v>
      </c>
      <c r="T2563" s="693">
        <f t="shared" si="336"/>
        <v>0</v>
      </c>
      <c r="U2563" s="1035"/>
      <c r="V2563" s="690"/>
      <c r="W2563" s="1025"/>
      <c r="X2563" s="1030"/>
      <c r="Y2563" s="694">
        <f t="shared" si="337"/>
        <v>0</v>
      </c>
      <c r="Z2563" s="690"/>
      <c r="AA2563" s="690"/>
      <c r="AB2563" s="695">
        <f t="shared" si="338"/>
        <v>0</v>
      </c>
      <c r="AC2563" s="1035"/>
      <c r="AD2563" s="690"/>
      <c r="AE2563" s="1025"/>
      <c r="AF2563" s="1030"/>
      <c r="AG2563" s="690"/>
      <c r="AH2563" s="690"/>
      <c r="AI2563" s="696">
        <f t="shared" si="339"/>
        <v>143</v>
      </c>
      <c r="AJ2563" s="697">
        <f t="shared" si="340"/>
        <v>0</v>
      </c>
    </row>
    <row r="2564" spans="1:36" s="700" customFormat="1" ht="12.75" customHeight="1">
      <c r="A2564" s="866" t="s">
        <v>206</v>
      </c>
      <c r="B2564" s="866" t="s">
        <v>400</v>
      </c>
      <c r="C2564" s="860" t="s">
        <v>1419</v>
      </c>
      <c r="D2564" s="860"/>
      <c r="E2564" s="956">
        <v>218487</v>
      </c>
      <c r="F2564" s="845">
        <v>9</v>
      </c>
      <c r="G2564" s="1025"/>
      <c r="H2564" s="690"/>
      <c r="I2564" s="1030">
        <v>20791</v>
      </c>
      <c r="J2564" s="690" t="s">
        <v>1420</v>
      </c>
      <c r="K2564" s="1030"/>
      <c r="L2564" s="690"/>
      <c r="M2564" s="1156"/>
      <c r="N2564" s="1157"/>
      <c r="O2564" s="692">
        <f t="shared" si="333"/>
        <v>0</v>
      </c>
      <c r="P2564" s="1161"/>
      <c r="Q2564" s="1161"/>
      <c r="R2564" s="691">
        <f t="shared" si="334"/>
        <v>0</v>
      </c>
      <c r="S2564" s="692">
        <f t="shared" si="335"/>
        <v>20791</v>
      </c>
      <c r="T2564" s="693">
        <f t="shared" si="336"/>
        <v>0</v>
      </c>
      <c r="U2564" s="1035"/>
      <c r="V2564" s="690"/>
      <c r="W2564" s="1025"/>
      <c r="X2564" s="1030"/>
      <c r="Y2564" s="694">
        <f t="shared" si="337"/>
        <v>0</v>
      </c>
      <c r="Z2564" s="690"/>
      <c r="AA2564" s="690"/>
      <c r="AB2564" s="695">
        <f t="shared" si="338"/>
        <v>0</v>
      </c>
      <c r="AC2564" s="1035"/>
      <c r="AD2564" s="690"/>
      <c r="AE2564" s="1025"/>
      <c r="AF2564" s="1030"/>
      <c r="AG2564" s="690"/>
      <c r="AH2564" s="690"/>
      <c r="AI2564" s="696">
        <f t="shared" si="339"/>
        <v>20791</v>
      </c>
      <c r="AJ2564" s="697">
        <f t="shared" si="340"/>
        <v>0</v>
      </c>
    </row>
    <row r="2565" spans="1:36" s="700" customFormat="1" ht="12.75" customHeight="1">
      <c r="A2565" s="866" t="s">
        <v>206</v>
      </c>
      <c r="B2565" s="866" t="s">
        <v>400</v>
      </c>
      <c r="C2565" s="860" t="s">
        <v>1473</v>
      </c>
      <c r="D2565" s="860"/>
      <c r="E2565" s="956">
        <v>218487</v>
      </c>
      <c r="F2565" s="845">
        <v>9</v>
      </c>
      <c r="G2565" s="1025"/>
      <c r="H2565" s="690"/>
      <c r="I2565" s="1030">
        <v>22020</v>
      </c>
      <c r="J2565" s="690">
        <v>0</v>
      </c>
      <c r="K2565" s="1030"/>
      <c r="L2565" s="690"/>
      <c r="M2565" s="1156"/>
      <c r="N2565" s="1157"/>
      <c r="O2565" s="692">
        <f t="shared" si="333"/>
        <v>0</v>
      </c>
      <c r="P2565" s="1161"/>
      <c r="Q2565" s="1161"/>
      <c r="R2565" s="691">
        <f t="shared" si="334"/>
        <v>0</v>
      </c>
      <c r="S2565" s="692">
        <f t="shared" si="335"/>
        <v>22020</v>
      </c>
      <c r="T2565" s="693">
        <f t="shared" si="336"/>
        <v>0</v>
      </c>
      <c r="U2565" s="1035"/>
      <c r="V2565" s="690"/>
      <c r="W2565" s="1025"/>
      <c r="X2565" s="1030"/>
      <c r="Y2565" s="694">
        <f t="shared" si="337"/>
        <v>0</v>
      </c>
      <c r="Z2565" s="690"/>
      <c r="AA2565" s="690"/>
      <c r="AB2565" s="695">
        <f t="shared" si="338"/>
        <v>0</v>
      </c>
      <c r="AC2565" s="1035"/>
      <c r="AD2565" s="690"/>
      <c r="AE2565" s="1025"/>
      <c r="AF2565" s="1030"/>
      <c r="AG2565" s="690"/>
      <c r="AH2565" s="690"/>
      <c r="AI2565" s="696">
        <f t="shared" si="339"/>
        <v>22020</v>
      </c>
      <c r="AJ2565" s="697">
        <f t="shared" si="340"/>
        <v>0</v>
      </c>
    </row>
    <row r="2566" spans="1:36" s="700" customFormat="1" ht="12.75" customHeight="1">
      <c r="A2566" s="866" t="s">
        <v>206</v>
      </c>
      <c r="B2566" s="866" t="s">
        <v>400</v>
      </c>
      <c r="C2566" s="860" t="s">
        <v>1474</v>
      </c>
      <c r="D2566" s="860"/>
      <c r="E2566" s="956">
        <v>218487</v>
      </c>
      <c r="F2566" s="845">
        <v>9</v>
      </c>
      <c r="G2566" s="1025"/>
      <c r="H2566" s="690"/>
      <c r="I2566" s="1030">
        <v>199711</v>
      </c>
      <c r="J2566" s="690">
        <v>0</v>
      </c>
      <c r="K2566" s="1030"/>
      <c r="L2566" s="690"/>
      <c r="M2566" s="1156"/>
      <c r="N2566" s="1157"/>
      <c r="O2566" s="692">
        <f t="shared" si="333"/>
        <v>0</v>
      </c>
      <c r="P2566" s="1161"/>
      <c r="Q2566" s="1161"/>
      <c r="R2566" s="691">
        <f t="shared" si="334"/>
        <v>0</v>
      </c>
      <c r="S2566" s="692">
        <f t="shared" si="335"/>
        <v>199711</v>
      </c>
      <c r="T2566" s="693">
        <f t="shared" si="336"/>
        <v>0</v>
      </c>
      <c r="U2566" s="1035"/>
      <c r="V2566" s="690"/>
      <c r="W2566" s="1025"/>
      <c r="X2566" s="1030"/>
      <c r="Y2566" s="694">
        <f t="shared" si="337"/>
        <v>0</v>
      </c>
      <c r="Z2566" s="690"/>
      <c r="AA2566" s="690"/>
      <c r="AB2566" s="695">
        <f t="shared" si="338"/>
        <v>0</v>
      </c>
      <c r="AC2566" s="1035"/>
      <c r="AD2566" s="690"/>
      <c r="AE2566" s="1025"/>
      <c r="AF2566" s="1030"/>
      <c r="AG2566" s="690"/>
      <c r="AH2566" s="690"/>
      <c r="AI2566" s="696">
        <f t="shared" si="339"/>
        <v>199711</v>
      </c>
      <c r="AJ2566" s="697">
        <f t="shared" si="340"/>
        <v>0</v>
      </c>
    </row>
    <row r="2567" spans="1:36" s="700" customFormat="1" ht="12.75" customHeight="1">
      <c r="A2567" s="866" t="s">
        <v>206</v>
      </c>
      <c r="B2567" s="866" t="s">
        <v>400</v>
      </c>
      <c r="C2567" s="860" t="s">
        <v>1442</v>
      </c>
      <c r="D2567" s="860"/>
      <c r="E2567" s="956">
        <v>218487</v>
      </c>
      <c r="F2567" s="845">
        <v>9</v>
      </c>
      <c r="G2567" s="1025"/>
      <c r="H2567" s="690"/>
      <c r="I2567" s="1030">
        <v>198007</v>
      </c>
      <c r="J2567" s="818">
        <v>113211</v>
      </c>
      <c r="K2567" s="1030"/>
      <c r="L2567" s="690"/>
      <c r="M2567" s="1156"/>
      <c r="N2567" s="1157"/>
      <c r="O2567" s="692">
        <f t="shared" si="333"/>
        <v>0</v>
      </c>
      <c r="P2567" s="1161"/>
      <c r="Q2567" s="1161"/>
      <c r="R2567" s="691">
        <f t="shared" si="334"/>
        <v>0</v>
      </c>
      <c r="S2567" s="692">
        <f t="shared" si="335"/>
        <v>198007</v>
      </c>
      <c r="T2567" s="693">
        <f t="shared" si="336"/>
        <v>113211</v>
      </c>
      <c r="U2567" s="1035"/>
      <c r="V2567" s="690"/>
      <c r="W2567" s="1025"/>
      <c r="X2567" s="1030"/>
      <c r="Y2567" s="694">
        <f t="shared" si="337"/>
        <v>0</v>
      </c>
      <c r="Z2567" s="690"/>
      <c r="AA2567" s="690"/>
      <c r="AB2567" s="695">
        <f t="shared" si="338"/>
        <v>0</v>
      </c>
      <c r="AC2567" s="1035"/>
      <c r="AD2567" s="690"/>
      <c r="AE2567" s="1025"/>
      <c r="AF2567" s="1030"/>
      <c r="AG2567" s="690"/>
      <c r="AH2567" s="690"/>
      <c r="AI2567" s="696">
        <f t="shared" si="339"/>
        <v>198007</v>
      </c>
      <c r="AJ2567" s="697">
        <f t="shared" si="340"/>
        <v>113211</v>
      </c>
    </row>
    <row r="2568" spans="1:36" s="700" customFormat="1" ht="12.75" customHeight="1">
      <c r="A2568" s="866" t="s">
        <v>206</v>
      </c>
      <c r="B2568" s="866" t="s">
        <v>392</v>
      </c>
      <c r="C2568" s="1086" t="s">
        <v>1485</v>
      </c>
      <c r="D2568" s="1087" t="s">
        <v>1975</v>
      </c>
      <c r="E2568" s="956">
        <v>218520</v>
      </c>
      <c r="F2568" s="845">
        <v>9</v>
      </c>
      <c r="G2568" s="1025">
        <v>7043587</v>
      </c>
      <c r="H2568" s="818">
        <v>6080842</v>
      </c>
      <c r="I2568" s="1030"/>
      <c r="J2568" s="690"/>
      <c r="K2568" s="1030">
        <v>2307592</v>
      </c>
      <c r="L2568" s="690">
        <v>2769071</v>
      </c>
      <c r="M2568" s="1153">
        <v>19107586</v>
      </c>
      <c r="N2568" s="1157">
        <v>0</v>
      </c>
      <c r="O2568" s="692">
        <f t="shared" si="333"/>
        <v>19107586</v>
      </c>
      <c r="P2568" s="1159">
        <v>16728415</v>
      </c>
      <c r="Q2568" s="1161">
        <v>0</v>
      </c>
      <c r="R2568" s="691">
        <f t="shared" si="334"/>
        <v>16728415</v>
      </c>
      <c r="S2568" s="692">
        <f t="shared" si="335"/>
        <v>28458765</v>
      </c>
      <c r="T2568" s="693">
        <f t="shared" si="336"/>
        <v>25578328</v>
      </c>
      <c r="U2568" s="1035"/>
      <c r="V2568" s="690"/>
      <c r="W2568" s="1025"/>
      <c r="X2568" s="1030"/>
      <c r="Y2568" s="694">
        <f t="shared" si="337"/>
        <v>0</v>
      </c>
      <c r="Z2568" s="690"/>
      <c r="AA2568" s="690"/>
      <c r="AB2568" s="695">
        <f t="shared" si="338"/>
        <v>0</v>
      </c>
      <c r="AC2568" s="1035"/>
      <c r="AD2568" s="690"/>
      <c r="AE2568" s="1025"/>
      <c r="AF2568" s="1030"/>
      <c r="AG2568" s="690"/>
      <c r="AH2568" s="690"/>
      <c r="AI2568" s="696">
        <f t="shared" si="339"/>
        <v>28458765</v>
      </c>
      <c r="AJ2568" s="697">
        <f t="shared" si="340"/>
        <v>25578328</v>
      </c>
    </row>
    <row r="2569" spans="1:36" s="700" customFormat="1" ht="12.75" customHeight="1">
      <c r="A2569" s="866" t="s">
        <v>206</v>
      </c>
      <c r="B2569" s="866" t="s">
        <v>400</v>
      </c>
      <c r="C2569" s="859" t="s">
        <v>1418</v>
      </c>
      <c r="D2569" s="859"/>
      <c r="E2569" s="956">
        <v>218520</v>
      </c>
      <c r="F2569" s="845">
        <v>9</v>
      </c>
      <c r="G2569" s="1025"/>
      <c r="H2569" s="690"/>
      <c r="I2569" s="1030"/>
      <c r="J2569" s="690"/>
      <c r="K2569" s="1030"/>
      <c r="L2569" s="690"/>
      <c r="M2569" s="1156"/>
      <c r="N2569" s="1157"/>
      <c r="O2569" s="692">
        <f t="shared" si="333"/>
        <v>0</v>
      </c>
      <c r="P2569" s="690"/>
      <c r="Q2569" s="690"/>
      <c r="R2569" s="691">
        <f t="shared" si="334"/>
        <v>0</v>
      </c>
      <c r="S2569" s="692">
        <f t="shared" si="335"/>
        <v>0</v>
      </c>
      <c r="T2569" s="693">
        <f t="shared" si="336"/>
        <v>0</v>
      </c>
      <c r="U2569" s="1035"/>
      <c r="V2569" s="690"/>
      <c r="W2569" s="1025"/>
      <c r="X2569" s="1030"/>
      <c r="Y2569" s="694">
        <f t="shared" si="337"/>
        <v>0</v>
      </c>
      <c r="Z2569" s="690"/>
      <c r="AA2569" s="690"/>
      <c r="AB2569" s="695">
        <f t="shared" si="338"/>
        <v>0</v>
      </c>
      <c r="AC2569" s="1035"/>
      <c r="AD2569" s="690"/>
      <c r="AE2569" s="1025"/>
      <c r="AF2569" s="1030"/>
      <c r="AG2569" s="690"/>
      <c r="AH2569" s="690"/>
      <c r="AI2569" s="696">
        <f t="shared" si="339"/>
        <v>0</v>
      </c>
      <c r="AJ2569" s="697">
        <f t="shared" si="340"/>
        <v>0</v>
      </c>
    </row>
    <row r="2570" spans="1:36" s="700" customFormat="1" ht="12.75" customHeight="1">
      <c r="A2570" s="866" t="s">
        <v>206</v>
      </c>
      <c r="B2570" s="866" t="s">
        <v>400</v>
      </c>
      <c r="C2570" s="860" t="s">
        <v>1469</v>
      </c>
      <c r="D2570" s="860"/>
      <c r="E2570" s="956">
        <v>218520</v>
      </c>
      <c r="F2570" s="845">
        <v>9</v>
      </c>
      <c r="G2570" s="1025"/>
      <c r="H2570" s="690"/>
      <c r="I2570" s="1030">
        <v>14258</v>
      </c>
      <c r="J2570" s="690">
        <v>0</v>
      </c>
      <c r="K2570" s="1030"/>
      <c r="L2570" s="690"/>
      <c r="M2570" s="1156"/>
      <c r="N2570" s="1157"/>
      <c r="O2570" s="692">
        <f t="shared" ref="O2570:O2633" si="341">SUM(M2570:N2570)</f>
        <v>0</v>
      </c>
      <c r="P2570" s="690"/>
      <c r="Q2570" s="690"/>
      <c r="R2570" s="691">
        <f t="shared" ref="R2570:R2633" si="342">SUM(P2570:Q2570)</f>
        <v>0</v>
      </c>
      <c r="S2570" s="692">
        <f t="shared" ref="S2570:S2633" si="343">SUM(G2570,I2570,K2570,M2570)</f>
        <v>14258</v>
      </c>
      <c r="T2570" s="693">
        <f t="shared" ref="T2570:T2633" si="344">SUM(H2570,J2570,L2570,P2570)</f>
        <v>0</v>
      </c>
      <c r="U2570" s="1035"/>
      <c r="V2570" s="690"/>
      <c r="W2570" s="1025"/>
      <c r="X2570" s="1030"/>
      <c r="Y2570" s="694">
        <f t="shared" ref="Y2570:Y2633" si="345">SUM(W2570:X2570)</f>
        <v>0</v>
      </c>
      <c r="Z2570" s="690"/>
      <c r="AA2570" s="690"/>
      <c r="AB2570" s="695">
        <f t="shared" ref="AB2570:AB2633" si="346">SUM(Z2570:AA2570)</f>
        <v>0</v>
      </c>
      <c r="AC2570" s="1035"/>
      <c r="AD2570" s="690"/>
      <c r="AE2570" s="1025"/>
      <c r="AF2570" s="1030"/>
      <c r="AG2570" s="690"/>
      <c r="AH2570" s="690"/>
      <c r="AI2570" s="696">
        <f t="shared" ref="AI2570:AI2633" si="347">SUM(S2570,U2570,W2570,AC2570,AE2570)</f>
        <v>14258</v>
      </c>
      <c r="AJ2570" s="697">
        <f t="shared" ref="AJ2570:AJ2633" si="348">SUM(T2570,V2570,Z2570,AD2570,AG2570)</f>
        <v>0</v>
      </c>
    </row>
    <row r="2571" spans="1:36" s="700" customFormat="1" ht="12.75" customHeight="1">
      <c r="A2571" s="866" t="s">
        <v>206</v>
      </c>
      <c r="B2571" s="866" t="s">
        <v>400</v>
      </c>
      <c r="C2571" s="860" t="s">
        <v>1470</v>
      </c>
      <c r="D2571" s="860"/>
      <c r="E2571" s="956">
        <v>218520</v>
      </c>
      <c r="F2571" s="845">
        <v>9</v>
      </c>
      <c r="G2571" s="1025"/>
      <c r="H2571" s="690"/>
      <c r="I2571" s="1030">
        <v>29659</v>
      </c>
      <c r="J2571" s="690">
        <v>0</v>
      </c>
      <c r="K2571" s="1030"/>
      <c r="L2571" s="690"/>
      <c r="M2571" s="1156"/>
      <c r="N2571" s="1157"/>
      <c r="O2571" s="692">
        <f t="shared" si="341"/>
        <v>0</v>
      </c>
      <c r="P2571" s="690"/>
      <c r="Q2571" s="690"/>
      <c r="R2571" s="691">
        <f t="shared" si="342"/>
        <v>0</v>
      </c>
      <c r="S2571" s="692">
        <f t="shared" si="343"/>
        <v>29659</v>
      </c>
      <c r="T2571" s="693">
        <f t="shared" si="344"/>
        <v>0</v>
      </c>
      <c r="U2571" s="1035"/>
      <c r="V2571" s="690"/>
      <c r="W2571" s="1025"/>
      <c r="X2571" s="1030"/>
      <c r="Y2571" s="694">
        <f t="shared" si="345"/>
        <v>0</v>
      </c>
      <c r="Z2571" s="690"/>
      <c r="AA2571" s="690"/>
      <c r="AB2571" s="695">
        <f t="shared" si="346"/>
        <v>0</v>
      </c>
      <c r="AC2571" s="1035"/>
      <c r="AD2571" s="690"/>
      <c r="AE2571" s="1025"/>
      <c r="AF2571" s="1030"/>
      <c r="AG2571" s="690"/>
      <c r="AH2571" s="690"/>
      <c r="AI2571" s="696">
        <f t="shared" si="347"/>
        <v>29659</v>
      </c>
      <c r="AJ2571" s="697">
        <f t="shared" si="348"/>
        <v>0</v>
      </c>
    </row>
    <row r="2572" spans="1:36" s="700" customFormat="1" ht="12.75" customHeight="1">
      <c r="A2572" s="866" t="s">
        <v>206</v>
      </c>
      <c r="B2572" s="866" t="s">
        <v>400</v>
      </c>
      <c r="C2572" s="860" t="s">
        <v>1472</v>
      </c>
      <c r="D2572" s="860"/>
      <c r="E2572" s="956">
        <v>218520</v>
      </c>
      <c r="F2572" s="845">
        <v>9</v>
      </c>
      <c r="G2572" s="1025"/>
      <c r="H2572" s="690"/>
      <c r="I2572" s="1030">
        <v>44452</v>
      </c>
      <c r="J2572" s="690">
        <v>37784</v>
      </c>
      <c r="K2572" s="1030"/>
      <c r="L2572" s="690"/>
      <c r="M2572" s="1156"/>
      <c r="N2572" s="1157"/>
      <c r="O2572" s="692">
        <f t="shared" si="341"/>
        <v>0</v>
      </c>
      <c r="P2572" s="690"/>
      <c r="Q2572" s="690"/>
      <c r="R2572" s="691">
        <f t="shared" si="342"/>
        <v>0</v>
      </c>
      <c r="S2572" s="692">
        <f t="shared" si="343"/>
        <v>44452</v>
      </c>
      <c r="T2572" s="693">
        <f t="shared" si="344"/>
        <v>37784</v>
      </c>
      <c r="U2572" s="1035"/>
      <c r="V2572" s="690"/>
      <c r="W2572" s="1025"/>
      <c r="X2572" s="1030"/>
      <c r="Y2572" s="694">
        <f t="shared" si="345"/>
        <v>0</v>
      </c>
      <c r="Z2572" s="690"/>
      <c r="AA2572" s="690"/>
      <c r="AB2572" s="695">
        <f t="shared" si="346"/>
        <v>0</v>
      </c>
      <c r="AC2572" s="1035"/>
      <c r="AD2572" s="690"/>
      <c r="AE2572" s="1025"/>
      <c r="AF2572" s="1030"/>
      <c r="AG2572" s="690"/>
      <c r="AH2572" s="690"/>
      <c r="AI2572" s="696">
        <f t="shared" si="347"/>
        <v>44452</v>
      </c>
      <c r="AJ2572" s="697">
        <f t="shared" si="348"/>
        <v>37784</v>
      </c>
    </row>
    <row r="2573" spans="1:36" s="700" customFormat="1" ht="12.75" customHeight="1">
      <c r="A2573" s="866" t="s">
        <v>206</v>
      </c>
      <c r="B2573" s="866" t="s">
        <v>400</v>
      </c>
      <c r="C2573" s="860" t="s">
        <v>1422</v>
      </c>
      <c r="D2573" s="860"/>
      <c r="E2573" s="956">
        <v>218520</v>
      </c>
      <c r="F2573" s="845">
        <v>9</v>
      </c>
      <c r="G2573" s="1025"/>
      <c r="H2573" s="690"/>
      <c r="I2573" s="1030">
        <v>7358</v>
      </c>
      <c r="J2573" s="690">
        <v>0</v>
      </c>
      <c r="K2573" s="1030"/>
      <c r="L2573" s="690"/>
      <c r="M2573" s="1156"/>
      <c r="N2573" s="1157"/>
      <c r="O2573" s="692">
        <f t="shared" si="341"/>
        <v>0</v>
      </c>
      <c r="P2573" s="690"/>
      <c r="Q2573" s="690"/>
      <c r="R2573" s="691">
        <f t="shared" si="342"/>
        <v>0</v>
      </c>
      <c r="S2573" s="692">
        <f t="shared" si="343"/>
        <v>7358</v>
      </c>
      <c r="T2573" s="693">
        <f t="shared" si="344"/>
        <v>0</v>
      </c>
      <c r="U2573" s="1035"/>
      <c r="V2573" s="690"/>
      <c r="W2573" s="1025"/>
      <c r="X2573" s="1030"/>
      <c r="Y2573" s="694">
        <f t="shared" si="345"/>
        <v>0</v>
      </c>
      <c r="Z2573" s="690"/>
      <c r="AA2573" s="690"/>
      <c r="AB2573" s="695">
        <f t="shared" si="346"/>
        <v>0</v>
      </c>
      <c r="AC2573" s="1035"/>
      <c r="AD2573" s="690"/>
      <c r="AE2573" s="1025"/>
      <c r="AF2573" s="1030"/>
      <c r="AG2573" s="690"/>
      <c r="AH2573" s="690"/>
      <c r="AI2573" s="696">
        <f t="shared" si="347"/>
        <v>7358</v>
      </c>
      <c r="AJ2573" s="697">
        <f t="shared" si="348"/>
        <v>0</v>
      </c>
    </row>
    <row r="2574" spans="1:36" s="700" customFormat="1" ht="12.75" customHeight="1">
      <c r="A2574" s="866" t="s">
        <v>206</v>
      </c>
      <c r="B2574" s="866" t="s">
        <v>400</v>
      </c>
      <c r="C2574" s="860" t="s">
        <v>1423</v>
      </c>
      <c r="D2574" s="860"/>
      <c r="E2574" s="956">
        <v>218520</v>
      </c>
      <c r="F2574" s="845">
        <v>9</v>
      </c>
      <c r="G2574" s="1025"/>
      <c r="H2574" s="690"/>
      <c r="I2574" s="1030">
        <v>456</v>
      </c>
      <c r="J2574" s="690">
        <v>0</v>
      </c>
      <c r="K2574" s="1030"/>
      <c r="L2574" s="690"/>
      <c r="M2574" s="1156"/>
      <c r="N2574" s="1157"/>
      <c r="O2574" s="692">
        <f t="shared" si="341"/>
        <v>0</v>
      </c>
      <c r="P2574" s="690"/>
      <c r="Q2574" s="690"/>
      <c r="R2574" s="691">
        <f t="shared" si="342"/>
        <v>0</v>
      </c>
      <c r="S2574" s="692">
        <f t="shared" si="343"/>
        <v>456</v>
      </c>
      <c r="T2574" s="693">
        <f t="shared" si="344"/>
        <v>0</v>
      </c>
      <c r="U2574" s="1035"/>
      <c r="V2574" s="690"/>
      <c r="W2574" s="1025"/>
      <c r="X2574" s="1030"/>
      <c r="Y2574" s="694">
        <f t="shared" si="345"/>
        <v>0</v>
      </c>
      <c r="Z2574" s="690"/>
      <c r="AA2574" s="690"/>
      <c r="AB2574" s="695">
        <f t="shared" si="346"/>
        <v>0</v>
      </c>
      <c r="AC2574" s="1035"/>
      <c r="AD2574" s="690"/>
      <c r="AE2574" s="1025"/>
      <c r="AF2574" s="1030"/>
      <c r="AG2574" s="690"/>
      <c r="AH2574" s="690"/>
      <c r="AI2574" s="696">
        <f t="shared" si="347"/>
        <v>456</v>
      </c>
      <c r="AJ2574" s="697">
        <f t="shared" si="348"/>
        <v>0</v>
      </c>
    </row>
    <row r="2575" spans="1:36" s="700" customFormat="1" ht="12.75" customHeight="1">
      <c r="A2575" s="866" t="s">
        <v>206</v>
      </c>
      <c r="B2575" s="866" t="s">
        <v>400</v>
      </c>
      <c r="C2575" s="860" t="s">
        <v>1419</v>
      </c>
      <c r="D2575" s="860"/>
      <c r="E2575" s="956">
        <v>218520</v>
      </c>
      <c r="F2575" s="845">
        <v>9</v>
      </c>
      <c r="G2575" s="1025"/>
      <c r="H2575" s="690"/>
      <c r="I2575" s="1030">
        <v>46538</v>
      </c>
      <c r="J2575" s="690" t="s">
        <v>1420</v>
      </c>
      <c r="K2575" s="1030"/>
      <c r="L2575" s="690"/>
      <c r="M2575" s="1156"/>
      <c r="N2575" s="1157"/>
      <c r="O2575" s="692">
        <f t="shared" si="341"/>
        <v>0</v>
      </c>
      <c r="P2575" s="690"/>
      <c r="Q2575" s="690"/>
      <c r="R2575" s="691">
        <f t="shared" si="342"/>
        <v>0</v>
      </c>
      <c r="S2575" s="692">
        <f t="shared" si="343"/>
        <v>46538</v>
      </c>
      <c r="T2575" s="693">
        <f t="shared" si="344"/>
        <v>0</v>
      </c>
      <c r="U2575" s="1035"/>
      <c r="V2575" s="690"/>
      <c r="W2575" s="1025"/>
      <c r="X2575" s="1030"/>
      <c r="Y2575" s="694">
        <f t="shared" si="345"/>
        <v>0</v>
      </c>
      <c r="Z2575" s="690"/>
      <c r="AA2575" s="690"/>
      <c r="AB2575" s="695">
        <f t="shared" si="346"/>
        <v>0</v>
      </c>
      <c r="AC2575" s="1035"/>
      <c r="AD2575" s="690"/>
      <c r="AE2575" s="1025"/>
      <c r="AF2575" s="1030"/>
      <c r="AG2575" s="690"/>
      <c r="AH2575" s="690"/>
      <c r="AI2575" s="696">
        <f t="shared" si="347"/>
        <v>46538</v>
      </c>
      <c r="AJ2575" s="697">
        <f t="shared" si="348"/>
        <v>0</v>
      </c>
    </row>
    <row r="2576" spans="1:36" s="700" customFormat="1" ht="12.75" customHeight="1">
      <c r="A2576" s="866" t="s">
        <v>206</v>
      </c>
      <c r="B2576" s="866" t="s">
        <v>400</v>
      </c>
      <c r="C2576" s="860" t="s">
        <v>1473</v>
      </c>
      <c r="D2576" s="860"/>
      <c r="E2576" s="956">
        <v>218520</v>
      </c>
      <c r="F2576" s="845">
        <v>9</v>
      </c>
      <c r="G2576" s="1025"/>
      <c r="H2576" s="690"/>
      <c r="I2576" s="1030">
        <v>49597</v>
      </c>
      <c r="J2576" s="690">
        <v>0</v>
      </c>
      <c r="K2576" s="1030"/>
      <c r="L2576" s="690"/>
      <c r="M2576" s="1156"/>
      <c r="N2576" s="1157"/>
      <c r="O2576" s="692">
        <f t="shared" si="341"/>
        <v>0</v>
      </c>
      <c r="P2576" s="690"/>
      <c r="Q2576" s="690"/>
      <c r="R2576" s="691">
        <f t="shared" si="342"/>
        <v>0</v>
      </c>
      <c r="S2576" s="692">
        <f t="shared" si="343"/>
        <v>49597</v>
      </c>
      <c r="T2576" s="693">
        <f t="shared" si="344"/>
        <v>0</v>
      </c>
      <c r="U2576" s="1035"/>
      <c r="V2576" s="690"/>
      <c r="W2576" s="1025"/>
      <c r="X2576" s="1030"/>
      <c r="Y2576" s="694">
        <f t="shared" si="345"/>
        <v>0</v>
      </c>
      <c r="Z2576" s="690"/>
      <c r="AA2576" s="690"/>
      <c r="AB2576" s="695">
        <f t="shared" si="346"/>
        <v>0</v>
      </c>
      <c r="AC2576" s="1035"/>
      <c r="AD2576" s="690"/>
      <c r="AE2576" s="1025"/>
      <c r="AF2576" s="1030"/>
      <c r="AG2576" s="690"/>
      <c r="AH2576" s="690"/>
      <c r="AI2576" s="696">
        <f t="shared" si="347"/>
        <v>49597</v>
      </c>
      <c r="AJ2576" s="697">
        <f t="shared" si="348"/>
        <v>0</v>
      </c>
    </row>
    <row r="2577" spans="1:36" s="700" customFormat="1" ht="12.75" customHeight="1">
      <c r="A2577" s="866" t="s">
        <v>206</v>
      </c>
      <c r="B2577" s="866" t="s">
        <v>400</v>
      </c>
      <c r="C2577" s="860" t="s">
        <v>1474</v>
      </c>
      <c r="D2577" s="860"/>
      <c r="E2577" s="956">
        <v>218520</v>
      </c>
      <c r="F2577" s="845">
        <v>9</v>
      </c>
      <c r="G2577" s="1025"/>
      <c r="H2577" s="690"/>
      <c r="I2577" s="1030">
        <v>256659</v>
      </c>
      <c r="J2577" s="690">
        <v>0</v>
      </c>
      <c r="K2577" s="1030"/>
      <c r="L2577" s="690"/>
      <c r="M2577" s="1156"/>
      <c r="N2577" s="1157"/>
      <c r="O2577" s="692">
        <f t="shared" si="341"/>
        <v>0</v>
      </c>
      <c r="P2577" s="690"/>
      <c r="Q2577" s="690"/>
      <c r="R2577" s="691">
        <f t="shared" si="342"/>
        <v>0</v>
      </c>
      <c r="S2577" s="692">
        <f t="shared" si="343"/>
        <v>256659</v>
      </c>
      <c r="T2577" s="693">
        <f t="shared" si="344"/>
        <v>0</v>
      </c>
      <c r="U2577" s="1035"/>
      <c r="V2577" s="690"/>
      <c r="W2577" s="1025"/>
      <c r="X2577" s="1030"/>
      <c r="Y2577" s="694">
        <f t="shared" si="345"/>
        <v>0</v>
      </c>
      <c r="Z2577" s="690"/>
      <c r="AA2577" s="690"/>
      <c r="AB2577" s="695">
        <f t="shared" si="346"/>
        <v>0</v>
      </c>
      <c r="AC2577" s="1035"/>
      <c r="AD2577" s="690"/>
      <c r="AE2577" s="1025"/>
      <c r="AF2577" s="1030"/>
      <c r="AG2577" s="690"/>
      <c r="AH2577" s="690"/>
      <c r="AI2577" s="696">
        <f t="shared" si="347"/>
        <v>256659</v>
      </c>
      <c r="AJ2577" s="697">
        <f t="shared" si="348"/>
        <v>0</v>
      </c>
    </row>
    <row r="2578" spans="1:36" s="700" customFormat="1" ht="12.75" customHeight="1">
      <c r="A2578" s="866" t="s">
        <v>206</v>
      </c>
      <c r="B2578" s="866" t="s">
        <v>400</v>
      </c>
      <c r="C2578" s="860" t="s">
        <v>1442</v>
      </c>
      <c r="D2578" s="860"/>
      <c r="E2578" s="956">
        <v>218520</v>
      </c>
      <c r="F2578" s="845">
        <v>9</v>
      </c>
      <c r="G2578" s="1025"/>
      <c r="H2578" s="690"/>
      <c r="I2578" s="1030">
        <v>342974</v>
      </c>
      <c r="J2578" s="818">
        <v>197048</v>
      </c>
      <c r="K2578" s="1030"/>
      <c r="L2578" s="690"/>
      <c r="M2578" s="1156"/>
      <c r="N2578" s="1157"/>
      <c r="O2578" s="692">
        <f t="shared" si="341"/>
        <v>0</v>
      </c>
      <c r="P2578" s="690"/>
      <c r="Q2578" s="690"/>
      <c r="R2578" s="691">
        <f t="shared" si="342"/>
        <v>0</v>
      </c>
      <c r="S2578" s="692">
        <f t="shared" si="343"/>
        <v>342974</v>
      </c>
      <c r="T2578" s="693">
        <f t="shared" si="344"/>
        <v>197048</v>
      </c>
      <c r="U2578" s="1035"/>
      <c r="V2578" s="690"/>
      <c r="W2578" s="1025"/>
      <c r="X2578" s="1030"/>
      <c r="Y2578" s="694">
        <f t="shared" si="345"/>
        <v>0</v>
      </c>
      <c r="Z2578" s="690"/>
      <c r="AA2578" s="690"/>
      <c r="AB2578" s="695">
        <f t="shared" si="346"/>
        <v>0</v>
      </c>
      <c r="AC2578" s="1035"/>
      <c r="AD2578" s="690"/>
      <c r="AE2578" s="1025"/>
      <c r="AF2578" s="1030"/>
      <c r="AG2578" s="690"/>
      <c r="AH2578" s="690"/>
      <c r="AI2578" s="696">
        <f t="shared" si="347"/>
        <v>342974</v>
      </c>
      <c r="AJ2578" s="697">
        <f t="shared" si="348"/>
        <v>197048</v>
      </c>
    </row>
    <row r="2579" spans="1:36" s="700" customFormat="1" ht="12.75" customHeight="1">
      <c r="A2579" s="866" t="s">
        <v>206</v>
      </c>
      <c r="B2579" s="866" t="s">
        <v>392</v>
      </c>
      <c r="C2579" s="1086" t="s">
        <v>1486</v>
      </c>
      <c r="D2579" s="1087" t="s">
        <v>1975</v>
      </c>
      <c r="E2579" s="956">
        <v>218830</v>
      </c>
      <c r="F2579" s="845">
        <v>9</v>
      </c>
      <c r="G2579" s="1025">
        <v>6626707</v>
      </c>
      <c r="H2579" s="818">
        <v>5697812</v>
      </c>
      <c r="I2579" s="1030"/>
      <c r="J2579" s="690"/>
      <c r="K2579" s="1030">
        <v>4457870</v>
      </c>
      <c r="L2579" s="690">
        <v>5829451</v>
      </c>
      <c r="M2579" s="1153">
        <v>24009940</v>
      </c>
      <c r="N2579" s="1155">
        <v>1669724</v>
      </c>
      <c r="O2579" s="692">
        <f t="shared" si="341"/>
        <v>25679664</v>
      </c>
      <c r="P2579" s="1159">
        <v>22677797</v>
      </c>
      <c r="Q2579" s="1160">
        <v>1705351</v>
      </c>
      <c r="R2579" s="691">
        <f t="shared" si="342"/>
        <v>24383148</v>
      </c>
      <c r="S2579" s="692">
        <f t="shared" si="343"/>
        <v>35094517</v>
      </c>
      <c r="T2579" s="693">
        <f t="shared" si="344"/>
        <v>34205060</v>
      </c>
      <c r="U2579" s="1035"/>
      <c r="V2579" s="690"/>
      <c r="W2579" s="1025"/>
      <c r="X2579" s="1030"/>
      <c r="Y2579" s="694">
        <f t="shared" si="345"/>
        <v>0</v>
      </c>
      <c r="Z2579" s="690"/>
      <c r="AA2579" s="690"/>
      <c r="AB2579" s="695">
        <f t="shared" si="346"/>
        <v>0</v>
      </c>
      <c r="AC2579" s="1035"/>
      <c r="AD2579" s="690"/>
      <c r="AE2579" s="1025"/>
      <c r="AF2579" s="1030"/>
      <c r="AG2579" s="690"/>
      <c r="AH2579" s="690"/>
      <c r="AI2579" s="696">
        <f t="shared" si="347"/>
        <v>35094517</v>
      </c>
      <c r="AJ2579" s="697">
        <f t="shared" si="348"/>
        <v>34205060</v>
      </c>
    </row>
    <row r="2580" spans="1:36" s="700" customFormat="1" ht="12.75" customHeight="1">
      <c r="A2580" s="866" t="s">
        <v>206</v>
      </c>
      <c r="B2580" s="866" t="s">
        <v>400</v>
      </c>
      <c r="C2580" s="859" t="s">
        <v>1418</v>
      </c>
      <c r="D2580" s="859"/>
      <c r="E2580" s="956">
        <v>218830</v>
      </c>
      <c r="F2580" s="845">
        <v>9</v>
      </c>
      <c r="G2580" s="1025"/>
      <c r="H2580" s="690"/>
      <c r="I2580" s="1030"/>
      <c r="J2580" s="690"/>
      <c r="K2580" s="1030"/>
      <c r="L2580" s="690"/>
      <c r="M2580" s="1025"/>
      <c r="N2580" s="1030"/>
      <c r="O2580" s="692">
        <f t="shared" si="341"/>
        <v>0</v>
      </c>
      <c r="P2580" s="1161"/>
      <c r="Q2580" s="1161"/>
      <c r="R2580" s="691">
        <f t="shared" si="342"/>
        <v>0</v>
      </c>
      <c r="S2580" s="692">
        <f t="shared" si="343"/>
        <v>0</v>
      </c>
      <c r="T2580" s="693">
        <f t="shared" si="344"/>
        <v>0</v>
      </c>
      <c r="U2580" s="1035"/>
      <c r="V2580" s="690"/>
      <c r="W2580" s="1025"/>
      <c r="X2580" s="1030"/>
      <c r="Y2580" s="694">
        <f t="shared" si="345"/>
        <v>0</v>
      </c>
      <c r="Z2580" s="690"/>
      <c r="AA2580" s="690"/>
      <c r="AB2580" s="695">
        <f t="shared" si="346"/>
        <v>0</v>
      </c>
      <c r="AC2580" s="1035"/>
      <c r="AD2580" s="690"/>
      <c r="AE2580" s="1025"/>
      <c r="AF2580" s="1030"/>
      <c r="AG2580" s="690"/>
      <c r="AH2580" s="690"/>
      <c r="AI2580" s="696">
        <f t="shared" si="347"/>
        <v>0</v>
      </c>
      <c r="AJ2580" s="697">
        <f t="shared" si="348"/>
        <v>0</v>
      </c>
    </row>
    <row r="2581" spans="1:36" s="700" customFormat="1" ht="12.75" customHeight="1">
      <c r="A2581" s="866" t="s">
        <v>206</v>
      </c>
      <c r="B2581" s="866" t="s">
        <v>400</v>
      </c>
      <c r="C2581" s="860" t="s">
        <v>1469</v>
      </c>
      <c r="D2581" s="860"/>
      <c r="E2581" s="956">
        <v>218830</v>
      </c>
      <c r="F2581" s="845">
        <v>9</v>
      </c>
      <c r="G2581" s="1025"/>
      <c r="H2581" s="690"/>
      <c r="I2581" s="1030">
        <v>13414</v>
      </c>
      <c r="J2581" s="690">
        <v>0</v>
      </c>
      <c r="K2581" s="1030"/>
      <c r="L2581" s="690"/>
      <c r="M2581" s="1025"/>
      <c r="N2581" s="1030"/>
      <c r="O2581" s="692">
        <f t="shared" si="341"/>
        <v>0</v>
      </c>
      <c r="P2581" s="1161"/>
      <c r="Q2581" s="1161"/>
      <c r="R2581" s="691">
        <f t="shared" si="342"/>
        <v>0</v>
      </c>
      <c r="S2581" s="692">
        <f t="shared" si="343"/>
        <v>13414</v>
      </c>
      <c r="T2581" s="693">
        <f t="shared" si="344"/>
        <v>0</v>
      </c>
      <c r="U2581" s="1035"/>
      <c r="V2581" s="690"/>
      <c r="W2581" s="1025"/>
      <c r="X2581" s="1030"/>
      <c r="Y2581" s="694">
        <f t="shared" si="345"/>
        <v>0</v>
      </c>
      <c r="Z2581" s="690"/>
      <c r="AA2581" s="690"/>
      <c r="AB2581" s="695">
        <f t="shared" si="346"/>
        <v>0</v>
      </c>
      <c r="AC2581" s="1035"/>
      <c r="AD2581" s="690"/>
      <c r="AE2581" s="1025"/>
      <c r="AF2581" s="1030"/>
      <c r="AG2581" s="690"/>
      <c r="AH2581" s="690"/>
      <c r="AI2581" s="696">
        <f t="shared" si="347"/>
        <v>13414</v>
      </c>
      <c r="AJ2581" s="697">
        <f t="shared" si="348"/>
        <v>0</v>
      </c>
    </row>
    <row r="2582" spans="1:36" s="700" customFormat="1" ht="12.75" customHeight="1">
      <c r="A2582" s="866" t="s">
        <v>206</v>
      </c>
      <c r="B2582" s="866" t="s">
        <v>400</v>
      </c>
      <c r="C2582" s="860" t="s">
        <v>1470</v>
      </c>
      <c r="D2582" s="860"/>
      <c r="E2582" s="956">
        <v>218830</v>
      </c>
      <c r="F2582" s="845">
        <v>9</v>
      </c>
      <c r="G2582" s="1025"/>
      <c r="H2582" s="690"/>
      <c r="I2582" s="1030">
        <v>27904</v>
      </c>
      <c r="J2582" s="690">
        <v>0</v>
      </c>
      <c r="K2582" s="1030"/>
      <c r="L2582" s="690"/>
      <c r="M2582" s="1025"/>
      <c r="N2582" s="1030"/>
      <c r="O2582" s="692">
        <f t="shared" si="341"/>
        <v>0</v>
      </c>
      <c r="P2582" s="1161"/>
      <c r="Q2582" s="1161"/>
      <c r="R2582" s="691">
        <f t="shared" si="342"/>
        <v>0</v>
      </c>
      <c r="S2582" s="692">
        <f t="shared" si="343"/>
        <v>27904</v>
      </c>
      <c r="T2582" s="693">
        <f t="shared" si="344"/>
        <v>0</v>
      </c>
      <c r="U2582" s="1035"/>
      <c r="V2582" s="690"/>
      <c r="W2582" s="1025"/>
      <c r="X2582" s="1030"/>
      <c r="Y2582" s="694">
        <f t="shared" si="345"/>
        <v>0</v>
      </c>
      <c r="Z2582" s="690"/>
      <c r="AA2582" s="690"/>
      <c r="AB2582" s="695">
        <f t="shared" si="346"/>
        <v>0</v>
      </c>
      <c r="AC2582" s="1035"/>
      <c r="AD2582" s="690"/>
      <c r="AE2582" s="1025"/>
      <c r="AF2582" s="1030"/>
      <c r="AG2582" s="690"/>
      <c r="AH2582" s="690"/>
      <c r="AI2582" s="696">
        <f t="shared" si="347"/>
        <v>27904</v>
      </c>
      <c r="AJ2582" s="697">
        <f t="shared" si="348"/>
        <v>0</v>
      </c>
    </row>
    <row r="2583" spans="1:36" s="700" customFormat="1" ht="12.75" customHeight="1">
      <c r="A2583" s="866" t="s">
        <v>206</v>
      </c>
      <c r="B2583" s="866" t="s">
        <v>400</v>
      </c>
      <c r="C2583" s="860" t="s">
        <v>1487</v>
      </c>
      <c r="D2583" s="860"/>
      <c r="E2583" s="956">
        <v>218830</v>
      </c>
      <c r="F2583" s="845">
        <v>9</v>
      </c>
      <c r="G2583" s="1025"/>
      <c r="H2583" s="690"/>
      <c r="I2583" s="1030">
        <v>1066842</v>
      </c>
      <c r="J2583" s="690">
        <v>906816</v>
      </c>
      <c r="K2583" s="1030"/>
      <c r="L2583" s="690"/>
      <c r="M2583" s="1025"/>
      <c r="N2583" s="1030"/>
      <c r="O2583" s="692">
        <f t="shared" si="341"/>
        <v>0</v>
      </c>
      <c r="P2583" s="1161"/>
      <c r="Q2583" s="1161"/>
      <c r="R2583" s="691">
        <f t="shared" si="342"/>
        <v>0</v>
      </c>
      <c r="S2583" s="692">
        <f t="shared" si="343"/>
        <v>1066842</v>
      </c>
      <c r="T2583" s="693">
        <f t="shared" si="344"/>
        <v>906816</v>
      </c>
      <c r="U2583" s="1035"/>
      <c r="V2583" s="690"/>
      <c r="W2583" s="1025"/>
      <c r="X2583" s="1030"/>
      <c r="Y2583" s="694">
        <f t="shared" si="345"/>
        <v>0</v>
      </c>
      <c r="Z2583" s="690"/>
      <c r="AA2583" s="690"/>
      <c r="AB2583" s="695">
        <f t="shared" si="346"/>
        <v>0</v>
      </c>
      <c r="AC2583" s="1035"/>
      <c r="AD2583" s="690"/>
      <c r="AE2583" s="1025"/>
      <c r="AF2583" s="1030"/>
      <c r="AG2583" s="690"/>
      <c r="AH2583" s="690"/>
      <c r="AI2583" s="696">
        <f t="shared" si="347"/>
        <v>1066842</v>
      </c>
      <c r="AJ2583" s="697">
        <f t="shared" si="348"/>
        <v>906816</v>
      </c>
    </row>
    <row r="2584" spans="1:36" s="700" customFormat="1" ht="12.75" customHeight="1">
      <c r="A2584" s="866" t="s">
        <v>206</v>
      </c>
      <c r="B2584" s="866" t="s">
        <v>400</v>
      </c>
      <c r="C2584" s="860" t="s">
        <v>1472</v>
      </c>
      <c r="D2584" s="860"/>
      <c r="E2584" s="956">
        <v>218830</v>
      </c>
      <c r="F2584" s="845">
        <v>9</v>
      </c>
      <c r="G2584" s="1025"/>
      <c r="H2584" s="690"/>
      <c r="I2584" s="1030">
        <v>44452</v>
      </c>
      <c r="J2584" s="690">
        <v>37784</v>
      </c>
      <c r="K2584" s="1030"/>
      <c r="L2584" s="690"/>
      <c r="M2584" s="1025"/>
      <c r="N2584" s="1030"/>
      <c r="O2584" s="692">
        <f t="shared" si="341"/>
        <v>0</v>
      </c>
      <c r="P2584" s="1161"/>
      <c r="Q2584" s="1161"/>
      <c r="R2584" s="691">
        <f t="shared" si="342"/>
        <v>0</v>
      </c>
      <c r="S2584" s="692">
        <f t="shared" si="343"/>
        <v>44452</v>
      </c>
      <c r="T2584" s="693">
        <f t="shared" si="344"/>
        <v>37784</v>
      </c>
      <c r="U2584" s="1035"/>
      <c r="V2584" s="690"/>
      <c r="W2584" s="1025"/>
      <c r="X2584" s="1030"/>
      <c r="Y2584" s="694">
        <f t="shared" si="345"/>
        <v>0</v>
      </c>
      <c r="Z2584" s="690"/>
      <c r="AA2584" s="690"/>
      <c r="AB2584" s="695">
        <f t="shared" si="346"/>
        <v>0</v>
      </c>
      <c r="AC2584" s="1035"/>
      <c r="AD2584" s="690"/>
      <c r="AE2584" s="1025"/>
      <c r="AF2584" s="1030"/>
      <c r="AG2584" s="690"/>
      <c r="AH2584" s="690"/>
      <c r="AI2584" s="696">
        <f t="shared" si="347"/>
        <v>44452</v>
      </c>
      <c r="AJ2584" s="697">
        <f t="shared" si="348"/>
        <v>37784</v>
      </c>
    </row>
    <row r="2585" spans="1:36" s="700" customFormat="1" ht="12.75" customHeight="1">
      <c r="A2585" s="866" t="s">
        <v>206</v>
      </c>
      <c r="B2585" s="866" t="s">
        <v>400</v>
      </c>
      <c r="C2585" s="860" t="s">
        <v>1422</v>
      </c>
      <c r="D2585" s="860"/>
      <c r="E2585" s="956">
        <v>218830</v>
      </c>
      <c r="F2585" s="845">
        <v>9</v>
      </c>
      <c r="G2585" s="1025"/>
      <c r="H2585" s="690"/>
      <c r="I2585" s="1030">
        <v>7178</v>
      </c>
      <c r="J2585" s="690">
        <v>0</v>
      </c>
      <c r="K2585" s="1030"/>
      <c r="L2585" s="690"/>
      <c r="M2585" s="1025"/>
      <c r="N2585" s="1030"/>
      <c r="O2585" s="692">
        <f t="shared" si="341"/>
        <v>0</v>
      </c>
      <c r="P2585" s="1161"/>
      <c r="Q2585" s="1161"/>
      <c r="R2585" s="691">
        <f t="shared" si="342"/>
        <v>0</v>
      </c>
      <c r="S2585" s="692">
        <f t="shared" si="343"/>
        <v>7178</v>
      </c>
      <c r="T2585" s="693">
        <f t="shared" si="344"/>
        <v>0</v>
      </c>
      <c r="U2585" s="1035"/>
      <c r="V2585" s="690"/>
      <c r="W2585" s="1025"/>
      <c r="X2585" s="1030"/>
      <c r="Y2585" s="694">
        <f t="shared" si="345"/>
        <v>0</v>
      </c>
      <c r="Z2585" s="690"/>
      <c r="AA2585" s="690"/>
      <c r="AB2585" s="695">
        <f t="shared" si="346"/>
        <v>0</v>
      </c>
      <c r="AC2585" s="1035"/>
      <c r="AD2585" s="690"/>
      <c r="AE2585" s="1025"/>
      <c r="AF2585" s="1030"/>
      <c r="AG2585" s="690"/>
      <c r="AH2585" s="690"/>
      <c r="AI2585" s="696">
        <f t="shared" si="347"/>
        <v>7178</v>
      </c>
      <c r="AJ2585" s="697">
        <f t="shared" si="348"/>
        <v>0</v>
      </c>
    </row>
    <row r="2586" spans="1:36" s="700" customFormat="1" ht="12.75" customHeight="1">
      <c r="A2586" s="866" t="s">
        <v>206</v>
      </c>
      <c r="B2586" s="866" t="s">
        <v>400</v>
      </c>
      <c r="C2586" s="860" t="s">
        <v>1423</v>
      </c>
      <c r="D2586" s="860"/>
      <c r="E2586" s="956">
        <v>218830</v>
      </c>
      <c r="F2586" s="845">
        <v>9</v>
      </c>
      <c r="G2586" s="1025"/>
      <c r="H2586" s="690"/>
      <c r="I2586" s="1030">
        <v>718</v>
      </c>
      <c r="J2586" s="690">
        <v>0</v>
      </c>
      <c r="K2586" s="1030"/>
      <c r="L2586" s="690"/>
      <c r="M2586" s="1025"/>
      <c r="N2586" s="1030"/>
      <c r="O2586" s="692">
        <f t="shared" si="341"/>
        <v>0</v>
      </c>
      <c r="P2586" s="1161"/>
      <c r="Q2586" s="1161"/>
      <c r="R2586" s="691">
        <f t="shared" si="342"/>
        <v>0</v>
      </c>
      <c r="S2586" s="692">
        <f t="shared" si="343"/>
        <v>718</v>
      </c>
      <c r="T2586" s="693">
        <f t="shared" si="344"/>
        <v>0</v>
      </c>
      <c r="U2586" s="1035"/>
      <c r="V2586" s="690"/>
      <c r="W2586" s="1025"/>
      <c r="X2586" s="1030"/>
      <c r="Y2586" s="694">
        <f t="shared" si="345"/>
        <v>0</v>
      </c>
      <c r="Z2586" s="690"/>
      <c r="AA2586" s="690"/>
      <c r="AB2586" s="695">
        <f t="shared" si="346"/>
        <v>0</v>
      </c>
      <c r="AC2586" s="1035"/>
      <c r="AD2586" s="690"/>
      <c r="AE2586" s="1025"/>
      <c r="AF2586" s="1030"/>
      <c r="AG2586" s="690"/>
      <c r="AH2586" s="690"/>
      <c r="AI2586" s="696">
        <f t="shared" si="347"/>
        <v>718</v>
      </c>
      <c r="AJ2586" s="697">
        <f t="shared" si="348"/>
        <v>0</v>
      </c>
    </row>
    <row r="2587" spans="1:36" s="700" customFormat="1" ht="12.75" customHeight="1">
      <c r="A2587" s="866" t="s">
        <v>206</v>
      </c>
      <c r="B2587" s="866" t="s">
        <v>400</v>
      </c>
      <c r="C2587" s="860" t="s">
        <v>1473</v>
      </c>
      <c r="D2587" s="860"/>
      <c r="E2587" s="956">
        <v>218830</v>
      </c>
      <c r="F2587" s="845">
        <v>9</v>
      </c>
      <c r="G2587" s="1025"/>
      <c r="H2587" s="690"/>
      <c r="I2587" s="1030">
        <v>15350</v>
      </c>
      <c r="J2587" s="690">
        <v>0</v>
      </c>
      <c r="K2587" s="1030"/>
      <c r="L2587" s="690"/>
      <c r="M2587" s="1025"/>
      <c r="N2587" s="1030"/>
      <c r="O2587" s="692">
        <f t="shared" si="341"/>
        <v>0</v>
      </c>
      <c r="P2587" s="1161"/>
      <c r="Q2587" s="1161"/>
      <c r="R2587" s="691">
        <f t="shared" si="342"/>
        <v>0</v>
      </c>
      <c r="S2587" s="692">
        <f t="shared" si="343"/>
        <v>15350</v>
      </c>
      <c r="T2587" s="693">
        <f t="shared" si="344"/>
        <v>0</v>
      </c>
      <c r="U2587" s="1035"/>
      <c r="V2587" s="690"/>
      <c r="W2587" s="1025"/>
      <c r="X2587" s="1030"/>
      <c r="Y2587" s="694">
        <f t="shared" si="345"/>
        <v>0</v>
      </c>
      <c r="Z2587" s="690"/>
      <c r="AA2587" s="690"/>
      <c r="AB2587" s="695">
        <f t="shared" si="346"/>
        <v>0</v>
      </c>
      <c r="AC2587" s="1035"/>
      <c r="AD2587" s="690"/>
      <c r="AE2587" s="1025"/>
      <c r="AF2587" s="1030"/>
      <c r="AG2587" s="690"/>
      <c r="AH2587" s="690"/>
      <c r="AI2587" s="696">
        <f t="shared" si="347"/>
        <v>15350</v>
      </c>
      <c r="AJ2587" s="697">
        <f t="shared" si="348"/>
        <v>0</v>
      </c>
    </row>
    <row r="2588" spans="1:36" s="700" customFormat="1" ht="12.75" customHeight="1">
      <c r="A2588" s="866" t="s">
        <v>206</v>
      </c>
      <c r="B2588" s="866" t="s">
        <v>400</v>
      </c>
      <c r="C2588" s="860" t="s">
        <v>1474</v>
      </c>
      <c r="D2588" s="860"/>
      <c r="E2588" s="956">
        <v>218830</v>
      </c>
      <c r="F2588" s="845">
        <v>9</v>
      </c>
      <c r="G2588" s="1025"/>
      <c r="H2588" s="690"/>
      <c r="I2588" s="1030">
        <v>247478</v>
      </c>
      <c r="J2588" s="690">
        <v>0</v>
      </c>
      <c r="K2588" s="1030"/>
      <c r="L2588" s="690"/>
      <c r="M2588" s="1025"/>
      <c r="N2588" s="1030"/>
      <c r="O2588" s="692">
        <f t="shared" si="341"/>
        <v>0</v>
      </c>
      <c r="P2588" s="1161"/>
      <c r="Q2588" s="1161"/>
      <c r="R2588" s="691">
        <f t="shared" si="342"/>
        <v>0</v>
      </c>
      <c r="S2588" s="692">
        <f t="shared" si="343"/>
        <v>247478</v>
      </c>
      <c r="T2588" s="693">
        <f t="shared" si="344"/>
        <v>0</v>
      </c>
      <c r="U2588" s="1035"/>
      <c r="V2588" s="690"/>
      <c r="W2588" s="1025"/>
      <c r="X2588" s="1030"/>
      <c r="Y2588" s="694">
        <f t="shared" si="345"/>
        <v>0</v>
      </c>
      <c r="Z2588" s="690"/>
      <c r="AA2588" s="690"/>
      <c r="AB2588" s="695">
        <f t="shared" si="346"/>
        <v>0</v>
      </c>
      <c r="AC2588" s="1035"/>
      <c r="AD2588" s="690"/>
      <c r="AE2588" s="1025"/>
      <c r="AF2588" s="1030"/>
      <c r="AG2588" s="690"/>
      <c r="AH2588" s="690"/>
      <c r="AI2588" s="696">
        <f t="shared" si="347"/>
        <v>247478</v>
      </c>
      <c r="AJ2588" s="697">
        <f t="shared" si="348"/>
        <v>0</v>
      </c>
    </row>
    <row r="2589" spans="1:36" s="700" customFormat="1" ht="12.75" customHeight="1">
      <c r="A2589" s="866" t="s">
        <v>206</v>
      </c>
      <c r="B2589" s="866" t="s">
        <v>400</v>
      </c>
      <c r="C2589" s="860" t="s">
        <v>1442</v>
      </c>
      <c r="D2589" s="860"/>
      <c r="E2589" s="956">
        <v>218830</v>
      </c>
      <c r="F2589" s="845">
        <v>9</v>
      </c>
      <c r="G2589" s="1025"/>
      <c r="H2589" s="690"/>
      <c r="I2589" s="1030">
        <v>322674</v>
      </c>
      <c r="J2589" s="818">
        <v>185841</v>
      </c>
      <c r="K2589" s="1030"/>
      <c r="L2589" s="690"/>
      <c r="M2589" s="1025"/>
      <c r="N2589" s="1030"/>
      <c r="O2589" s="692">
        <f t="shared" si="341"/>
        <v>0</v>
      </c>
      <c r="P2589" s="1161"/>
      <c r="Q2589" s="1161"/>
      <c r="R2589" s="691">
        <f t="shared" si="342"/>
        <v>0</v>
      </c>
      <c r="S2589" s="692">
        <f t="shared" si="343"/>
        <v>322674</v>
      </c>
      <c r="T2589" s="693">
        <f t="shared" si="344"/>
        <v>185841</v>
      </c>
      <c r="U2589" s="1035"/>
      <c r="V2589" s="690"/>
      <c r="W2589" s="1025"/>
      <c r="X2589" s="1030"/>
      <c r="Y2589" s="694">
        <f t="shared" si="345"/>
        <v>0</v>
      </c>
      <c r="Z2589" s="690"/>
      <c r="AA2589" s="690"/>
      <c r="AB2589" s="695">
        <f t="shared" si="346"/>
        <v>0</v>
      </c>
      <c r="AC2589" s="1035"/>
      <c r="AD2589" s="690"/>
      <c r="AE2589" s="1025"/>
      <c r="AF2589" s="1030"/>
      <c r="AG2589" s="690"/>
      <c r="AH2589" s="690"/>
      <c r="AI2589" s="696">
        <f t="shared" si="347"/>
        <v>322674</v>
      </c>
      <c r="AJ2589" s="697">
        <f t="shared" si="348"/>
        <v>185841</v>
      </c>
    </row>
    <row r="2590" spans="1:36" s="700" customFormat="1" ht="12.75" customHeight="1">
      <c r="A2590" s="866" t="s">
        <v>206</v>
      </c>
      <c r="B2590" s="866" t="s">
        <v>392</v>
      </c>
      <c r="C2590" s="1086" t="s">
        <v>1488</v>
      </c>
      <c r="D2590" s="1087" t="s">
        <v>1976</v>
      </c>
      <c r="E2590" s="956">
        <v>218885</v>
      </c>
      <c r="F2590" s="845">
        <v>9</v>
      </c>
      <c r="G2590" s="1025">
        <v>7173270</v>
      </c>
      <c r="H2590" s="818">
        <v>6380717</v>
      </c>
      <c r="I2590" s="1030"/>
      <c r="J2590" s="690"/>
      <c r="K2590" s="1030">
        <v>3530344</v>
      </c>
      <c r="L2590" s="690">
        <v>5263903</v>
      </c>
      <c r="M2590" s="1153">
        <v>22403408</v>
      </c>
      <c r="N2590" s="1155">
        <v>1024074</v>
      </c>
      <c r="O2590" s="692">
        <f t="shared" si="341"/>
        <v>23427482</v>
      </c>
      <c r="P2590" s="1159">
        <v>25555786</v>
      </c>
      <c r="Q2590" s="1160">
        <v>1265470</v>
      </c>
      <c r="R2590" s="691">
        <f t="shared" si="342"/>
        <v>26821256</v>
      </c>
      <c r="S2590" s="692">
        <f t="shared" si="343"/>
        <v>33107022</v>
      </c>
      <c r="T2590" s="693">
        <f t="shared" si="344"/>
        <v>37200406</v>
      </c>
      <c r="U2590" s="1035"/>
      <c r="V2590" s="690"/>
      <c r="W2590" s="1025"/>
      <c r="X2590" s="1030"/>
      <c r="Y2590" s="694">
        <f t="shared" si="345"/>
        <v>0</v>
      </c>
      <c r="Z2590" s="690"/>
      <c r="AA2590" s="690"/>
      <c r="AB2590" s="695">
        <f t="shared" si="346"/>
        <v>0</v>
      </c>
      <c r="AC2590" s="1035"/>
      <c r="AD2590" s="690"/>
      <c r="AE2590" s="1025"/>
      <c r="AF2590" s="1030"/>
      <c r="AG2590" s="690"/>
      <c r="AH2590" s="690"/>
      <c r="AI2590" s="696">
        <f t="shared" si="347"/>
        <v>33107022</v>
      </c>
      <c r="AJ2590" s="697">
        <f t="shared" si="348"/>
        <v>37200406</v>
      </c>
    </row>
    <row r="2591" spans="1:36" s="700" customFormat="1" ht="12.75" customHeight="1">
      <c r="A2591" s="866" t="s">
        <v>206</v>
      </c>
      <c r="B2591" s="866" t="s">
        <v>400</v>
      </c>
      <c r="C2591" s="859" t="s">
        <v>1418</v>
      </c>
      <c r="D2591" s="859"/>
      <c r="E2591" s="956">
        <v>218885</v>
      </c>
      <c r="F2591" s="845">
        <v>9</v>
      </c>
      <c r="G2591" s="1025"/>
      <c r="H2591" s="690"/>
      <c r="I2591" s="1030"/>
      <c r="J2591" s="690"/>
      <c r="K2591" s="1030"/>
      <c r="L2591" s="690"/>
      <c r="M2591" s="1156"/>
      <c r="N2591" s="1157"/>
      <c r="O2591" s="692">
        <f t="shared" si="341"/>
        <v>0</v>
      </c>
      <c r="P2591" s="1161"/>
      <c r="Q2591" s="1161"/>
      <c r="R2591" s="691">
        <f t="shared" si="342"/>
        <v>0</v>
      </c>
      <c r="S2591" s="692">
        <f t="shared" si="343"/>
        <v>0</v>
      </c>
      <c r="T2591" s="693">
        <f t="shared" si="344"/>
        <v>0</v>
      </c>
      <c r="U2591" s="1035"/>
      <c r="V2591" s="690"/>
      <c r="W2591" s="1025"/>
      <c r="X2591" s="1030"/>
      <c r="Y2591" s="694">
        <f t="shared" si="345"/>
        <v>0</v>
      </c>
      <c r="Z2591" s="690"/>
      <c r="AA2591" s="690"/>
      <c r="AB2591" s="695">
        <f t="shared" si="346"/>
        <v>0</v>
      </c>
      <c r="AC2591" s="1035"/>
      <c r="AD2591" s="690"/>
      <c r="AE2591" s="1025"/>
      <c r="AF2591" s="1030"/>
      <c r="AG2591" s="690"/>
      <c r="AH2591" s="690"/>
      <c r="AI2591" s="696">
        <f t="shared" si="347"/>
        <v>0</v>
      </c>
      <c r="AJ2591" s="697">
        <f t="shared" si="348"/>
        <v>0</v>
      </c>
    </row>
    <row r="2592" spans="1:36" s="700" customFormat="1" ht="12.75" customHeight="1">
      <c r="A2592" s="866" t="s">
        <v>206</v>
      </c>
      <c r="B2592" s="866" t="s">
        <v>400</v>
      </c>
      <c r="C2592" s="860" t="s">
        <v>1469</v>
      </c>
      <c r="D2592" s="860"/>
      <c r="E2592" s="956">
        <v>218885</v>
      </c>
      <c r="F2592" s="845">
        <v>9</v>
      </c>
      <c r="G2592" s="1025"/>
      <c r="H2592" s="690"/>
      <c r="I2592" s="1030">
        <v>14520</v>
      </c>
      <c r="J2592" s="690">
        <v>0</v>
      </c>
      <c r="K2592" s="1030"/>
      <c r="L2592" s="690"/>
      <c r="M2592" s="1156"/>
      <c r="N2592" s="1157"/>
      <c r="O2592" s="692">
        <f t="shared" si="341"/>
        <v>0</v>
      </c>
      <c r="P2592" s="1161"/>
      <c r="Q2592" s="1161"/>
      <c r="R2592" s="691">
        <f t="shared" si="342"/>
        <v>0</v>
      </c>
      <c r="S2592" s="692">
        <f t="shared" si="343"/>
        <v>14520</v>
      </c>
      <c r="T2592" s="693">
        <f t="shared" si="344"/>
        <v>0</v>
      </c>
      <c r="U2592" s="1035"/>
      <c r="V2592" s="690"/>
      <c r="W2592" s="1025"/>
      <c r="X2592" s="1030"/>
      <c r="Y2592" s="694">
        <f t="shared" si="345"/>
        <v>0</v>
      </c>
      <c r="Z2592" s="690"/>
      <c r="AA2592" s="690"/>
      <c r="AB2592" s="695">
        <f t="shared" si="346"/>
        <v>0</v>
      </c>
      <c r="AC2592" s="1035"/>
      <c r="AD2592" s="690"/>
      <c r="AE2592" s="1025"/>
      <c r="AF2592" s="1030"/>
      <c r="AG2592" s="690"/>
      <c r="AH2592" s="690"/>
      <c r="AI2592" s="696">
        <f t="shared" si="347"/>
        <v>14520</v>
      </c>
      <c r="AJ2592" s="697">
        <f t="shared" si="348"/>
        <v>0</v>
      </c>
    </row>
    <row r="2593" spans="1:36" s="700" customFormat="1" ht="12.75" customHeight="1">
      <c r="A2593" s="866" t="s">
        <v>206</v>
      </c>
      <c r="B2593" s="866" t="s">
        <v>400</v>
      </c>
      <c r="C2593" s="860" t="s">
        <v>1470</v>
      </c>
      <c r="D2593" s="860"/>
      <c r="E2593" s="956">
        <v>218885</v>
      </c>
      <c r="F2593" s="845">
        <v>9</v>
      </c>
      <c r="G2593" s="1025"/>
      <c r="H2593" s="690"/>
      <c r="I2593" s="1030">
        <v>30205</v>
      </c>
      <c r="J2593" s="690">
        <v>0</v>
      </c>
      <c r="K2593" s="1030"/>
      <c r="L2593" s="690"/>
      <c r="M2593" s="1156"/>
      <c r="N2593" s="1157"/>
      <c r="O2593" s="692">
        <f t="shared" si="341"/>
        <v>0</v>
      </c>
      <c r="P2593" s="1161"/>
      <c r="Q2593" s="1161"/>
      <c r="R2593" s="691">
        <f t="shared" si="342"/>
        <v>0</v>
      </c>
      <c r="S2593" s="692">
        <f t="shared" si="343"/>
        <v>30205</v>
      </c>
      <c r="T2593" s="693">
        <f t="shared" si="344"/>
        <v>0</v>
      </c>
      <c r="U2593" s="1035"/>
      <c r="V2593" s="690"/>
      <c r="W2593" s="1025"/>
      <c r="X2593" s="1030"/>
      <c r="Y2593" s="694">
        <f t="shared" si="345"/>
        <v>0</v>
      </c>
      <c r="Z2593" s="690"/>
      <c r="AA2593" s="690"/>
      <c r="AB2593" s="695">
        <f t="shared" si="346"/>
        <v>0</v>
      </c>
      <c r="AC2593" s="1035"/>
      <c r="AD2593" s="690"/>
      <c r="AE2593" s="1025"/>
      <c r="AF2593" s="1030"/>
      <c r="AG2593" s="690"/>
      <c r="AH2593" s="690"/>
      <c r="AI2593" s="696">
        <f t="shared" si="347"/>
        <v>30205</v>
      </c>
      <c r="AJ2593" s="697">
        <f t="shared" si="348"/>
        <v>0</v>
      </c>
    </row>
    <row r="2594" spans="1:36" s="700" customFormat="1" ht="12.75" customHeight="1">
      <c r="A2594" s="866" t="s">
        <v>206</v>
      </c>
      <c r="B2594" s="866" t="s">
        <v>400</v>
      </c>
      <c r="C2594" s="860" t="s">
        <v>1472</v>
      </c>
      <c r="D2594" s="860"/>
      <c r="E2594" s="956">
        <v>218885</v>
      </c>
      <c r="F2594" s="845">
        <v>9</v>
      </c>
      <c r="G2594" s="1025"/>
      <c r="H2594" s="690"/>
      <c r="I2594" s="1030">
        <v>44452</v>
      </c>
      <c r="J2594" s="690">
        <v>37784</v>
      </c>
      <c r="K2594" s="1030"/>
      <c r="L2594" s="690"/>
      <c r="M2594" s="1156"/>
      <c r="N2594" s="1157"/>
      <c r="O2594" s="692">
        <f t="shared" si="341"/>
        <v>0</v>
      </c>
      <c r="P2594" s="1161"/>
      <c r="Q2594" s="1161"/>
      <c r="R2594" s="691">
        <f t="shared" si="342"/>
        <v>0</v>
      </c>
      <c r="S2594" s="692">
        <f t="shared" si="343"/>
        <v>44452</v>
      </c>
      <c r="T2594" s="693">
        <f t="shared" si="344"/>
        <v>37784</v>
      </c>
      <c r="U2594" s="1035"/>
      <c r="V2594" s="690"/>
      <c r="W2594" s="1025"/>
      <c r="X2594" s="1030"/>
      <c r="Y2594" s="694">
        <f t="shared" si="345"/>
        <v>0</v>
      </c>
      <c r="Z2594" s="690"/>
      <c r="AA2594" s="690"/>
      <c r="AB2594" s="695">
        <f t="shared" si="346"/>
        <v>0</v>
      </c>
      <c r="AC2594" s="1035"/>
      <c r="AD2594" s="690"/>
      <c r="AE2594" s="1025"/>
      <c r="AF2594" s="1030"/>
      <c r="AG2594" s="690"/>
      <c r="AH2594" s="690"/>
      <c r="AI2594" s="696">
        <f t="shared" si="347"/>
        <v>44452</v>
      </c>
      <c r="AJ2594" s="697">
        <f t="shared" si="348"/>
        <v>37784</v>
      </c>
    </row>
    <row r="2595" spans="1:36" s="700" customFormat="1" ht="12.75" customHeight="1">
      <c r="A2595" s="866" t="s">
        <v>206</v>
      </c>
      <c r="B2595" s="866" t="s">
        <v>400</v>
      </c>
      <c r="C2595" s="860" t="s">
        <v>1422</v>
      </c>
      <c r="D2595" s="860"/>
      <c r="E2595" s="956">
        <v>218885</v>
      </c>
      <c r="F2595" s="845">
        <v>9</v>
      </c>
      <c r="G2595" s="1025"/>
      <c r="H2595" s="690"/>
      <c r="I2595" s="1030">
        <v>7894</v>
      </c>
      <c r="J2595" s="690">
        <v>0</v>
      </c>
      <c r="K2595" s="1030"/>
      <c r="L2595" s="690"/>
      <c r="M2595" s="1156"/>
      <c r="N2595" s="1157"/>
      <c r="O2595" s="692">
        <f t="shared" si="341"/>
        <v>0</v>
      </c>
      <c r="P2595" s="1161"/>
      <c r="Q2595" s="1161"/>
      <c r="R2595" s="691">
        <f t="shared" si="342"/>
        <v>0</v>
      </c>
      <c r="S2595" s="692">
        <f t="shared" si="343"/>
        <v>7894</v>
      </c>
      <c r="T2595" s="693">
        <f t="shared" si="344"/>
        <v>0</v>
      </c>
      <c r="U2595" s="1035"/>
      <c r="V2595" s="690"/>
      <c r="W2595" s="1025"/>
      <c r="X2595" s="1030"/>
      <c r="Y2595" s="694">
        <f t="shared" si="345"/>
        <v>0</v>
      </c>
      <c r="Z2595" s="690"/>
      <c r="AA2595" s="690"/>
      <c r="AB2595" s="695">
        <f t="shared" si="346"/>
        <v>0</v>
      </c>
      <c r="AC2595" s="1035"/>
      <c r="AD2595" s="690"/>
      <c r="AE2595" s="1025"/>
      <c r="AF2595" s="1030"/>
      <c r="AG2595" s="690"/>
      <c r="AH2595" s="690"/>
      <c r="AI2595" s="696">
        <f t="shared" si="347"/>
        <v>7894</v>
      </c>
      <c r="AJ2595" s="697">
        <f t="shared" si="348"/>
        <v>0</v>
      </c>
    </row>
    <row r="2596" spans="1:36" s="700" customFormat="1" ht="12.75" customHeight="1">
      <c r="A2596" s="866" t="s">
        <v>206</v>
      </c>
      <c r="B2596" s="866" t="s">
        <v>400</v>
      </c>
      <c r="C2596" s="860" t="s">
        <v>1423</v>
      </c>
      <c r="D2596" s="860"/>
      <c r="E2596" s="956">
        <v>218885</v>
      </c>
      <c r="F2596" s="845">
        <v>9</v>
      </c>
      <c r="G2596" s="1025"/>
      <c r="H2596" s="690"/>
      <c r="I2596" s="1030">
        <v>3791</v>
      </c>
      <c r="J2596" s="690">
        <v>0</v>
      </c>
      <c r="K2596" s="1030"/>
      <c r="L2596" s="690"/>
      <c r="M2596" s="1156"/>
      <c r="N2596" s="1157"/>
      <c r="O2596" s="692">
        <f t="shared" si="341"/>
        <v>0</v>
      </c>
      <c r="P2596" s="1161"/>
      <c r="Q2596" s="1161"/>
      <c r="R2596" s="691">
        <f t="shared" si="342"/>
        <v>0</v>
      </c>
      <c r="S2596" s="692">
        <f t="shared" si="343"/>
        <v>3791</v>
      </c>
      <c r="T2596" s="693">
        <f t="shared" si="344"/>
        <v>0</v>
      </c>
      <c r="U2596" s="1035"/>
      <c r="V2596" s="690"/>
      <c r="W2596" s="1025"/>
      <c r="X2596" s="1030"/>
      <c r="Y2596" s="694">
        <f t="shared" si="345"/>
        <v>0</v>
      </c>
      <c r="Z2596" s="690"/>
      <c r="AA2596" s="690"/>
      <c r="AB2596" s="695">
        <f t="shared" si="346"/>
        <v>0</v>
      </c>
      <c r="AC2596" s="1035"/>
      <c r="AD2596" s="690"/>
      <c r="AE2596" s="1025"/>
      <c r="AF2596" s="1030"/>
      <c r="AG2596" s="690"/>
      <c r="AH2596" s="690"/>
      <c r="AI2596" s="696">
        <f t="shared" si="347"/>
        <v>3791</v>
      </c>
      <c r="AJ2596" s="697">
        <f t="shared" si="348"/>
        <v>0</v>
      </c>
    </row>
    <row r="2597" spans="1:36" s="700" customFormat="1" ht="12.75" customHeight="1">
      <c r="A2597" s="866" t="s">
        <v>206</v>
      </c>
      <c r="B2597" s="866" t="s">
        <v>400</v>
      </c>
      <c r="C2597" s="860" t="s">
        <v>1419</v>
      </c>
      <c r="D2597" s="860"/>
      <c r="E2597" s="956">
        <v>218885</v>
      </c>
      <c r="F2597" s="845">
        <v>9</v>
      </c>
      <c r="G2597" s="1025"/>
      <c r="H2597" s="690"/>
      <c r="I2597" s="1030">
        <v>35180</v>
      </c>
      <c r="J2597" s="690" t="s">
        <v>1420</v>
      </c>
      <c r="K2597" s="1030"/>
      <c r="L2597" s="690"/>
      <c r="M2597" s="1156"/>
      <c r="N2597" s="1157"/>
      <c r="O2597" s="692">
        <f t="shared" si="341"/>
        <v>0</v>
      </c>
      <c r="P2597" s="1161"/>
      <c r="Q2597" s="1161"/>
      <c r="R2597" s="691">
        <f t="shared" si="342"/>
        <v>0</v>
      </c>
      <c r="S2597" s="692">
        <f t="shared" si="343"/>
        <v>35180</v>
      </c>
      <c r="T2597" s="693">
        <f t="shared" si="344"/>
        <v>0</v>
      </c>
      <c r="U2597" s="1035"/>
      <c r="V2597" s="690"/>
      <c r="W2597" s="1025"/>
      <c r="X2597" s="1030"/>
      <c r="Y2597" s="694">
        <f t="shared" si="345"/>
        <v>0</v>
      </c>
      <c r="Z2597" s="690"/>
      <c r="AA2597" s="690"/>
      <c r="AB2597" s="695">
        <f t="shared" si="346"/>
        <v>0</v>
      </c>
      <c r="AC2597" s="1035"/>
      <c r="AD2597" s="690"/>
      <c r="AE2597" s="1025"/>
      <c r="AF2597" s="1030"/>
      <c r="AG2597" s="690"/>
      <c r="AH2597" s="690"/>
      <c r="AI2597" s="696">
        <f t="shared" si="347"/>
        <v>35180</v>
      </c>
      <c r="AJ2597" s="697">
        <f t="shared" si="348"/>
        <v>0</v>
      </c>
    </row>
    <row r="2598" spans="1:36" s="700" customFormat="1" ht="12.75" customHeight="1">
      <c r="A2598" s="866" t="s">
        <v>206</v>
      </c>
      <c r="B2598" s="866" t="s">
        <v>400</v>
      </c>
      <c r="C2598" s="860" t="s">
        <v>1473</v>
      </c>
      <c r="D2598" s="860"/>
      <c r="E2598" s="956">
        <v>218885</v>
      </c>
      <c r="F2598" s="845">
        <v>9</v>
      </c>
      <c r="G2598" s="1025"/>
      <c r="H2598" s="690"/>
      <c r="I2598" s="1030">
        <v>41356</v>
      </c>
      <c r="J2598" s="690">
        <v>0</v>
      </c>
      <c r="K2598" s="1030"/>
      <c r="L2598" s="690"/>
      <c r="M2598" s="1156"/>
      <c r="N2598" s="1157"/>
      <c r="O2598" s="692">
        <f t="shared" si="341"/>
        <v>0</v>
      </c>
      <c r="P2598" s="1161"/>
      <c r="Q2598" s="1161"/>
      <c r="R2598" s="691">
        <f t="shared" si="342"/>
        <v>0</v>
      </c>
      <c r="S2598" s="692">
        <f t="shared" si="343"/>
        <v>41356</v>
      </c>
      <c r="T2598" s="693">
        <f t="shared" si="344"/>
        <v>0</v>
      </c>
      <c r="U2598" s="1035"/>
      <c r="V2598" s="690"/>
      <c r="W2598" s="1025"/>
      <c r="X2598" s="1030"/>
      <c r="Y2598" s="694">
        <f t="shared" si="345"/>
        <v>0</v>
      </c>
      <c r="Z2598" s="690"/>
      <c r="AA2598" s="690"/>
      <c r="AB2598" s="695">
        <f t="shared" si="346"/>
        <v>0</v>
      </c>
      <c r="AC2598" s="1035"/>
      <c r="AD2598" s="690"/>
      <c r="AE2598" s="1025"/>
      <c r="AF2598" s="1030"/>
      <c r="AG2598" s="690"/>
      <c r="AH2598" s="690"/>
      <c r="AI2598" s="696">
        <f t="shared" si="347"/>
        <v>41356</v>
      </c>
      <c r="AJ2598" s="697">
        <f t="shared" si="348"/>
        <v>0</v>
      </c>
    </row>
    <row r="2599" spans="1:36" s="700" customFormat="1" ht="12.75" customHeight="1">
      <c r="A2599" s="866" t="s">
        <v>206</v>
      </c>
      <c r="B2599" s="866" t="s">
        <v>400</v>
      </c>
      <c r="C2599" s="860" t="s">
        <v>1474</v>
      </c>
      <c r="D2599" s="860"/>
      <c r="E2599" s="956">
        <v>218885</v>
      </c>
      <c r="F2599" s="845">
        <v>9</v>
      </c>
      <c r="G2599" s="1025"/>
      <c r="H2599" s="690"/>
      <c r="I2599" s="1030">
        <v>263516</v>
      </c>
      <c r="J2599" s="690">
        <v>0</v>
      </c>
      <c r="K2599" s="1030"/>
      <c r="L2599" s="690"/>
      <c r="M2599" s="1156"/>
      <c r="N2599" s="1157"/>
      <c r="O2599" s="692">
        <f t="shared" si="341"/>
        <v>0</v>
      </c>
      <c r="P2599" s="1161"/>
      <c r="Q2599" s="1161"/>
      <c r="R2599" s="691">
        <f t="shared" si="342"/>
        <v>0</v>
      </c>
      <c r="S2599" s="692">
        <f t="shared" si="343"/>
        <v>263516</v>
      </c>
      <c r="T2599" s="693">
        <f t="shared" si="344"/>
        <v>0</v>
      </c>
      <c r="U2599" s="1035"/>
      <c r="V2599" s="690"/>
      <c r="W2599" s="1025"/>
      <c r="X2599" s="1030"/>
      <c r="Y2599" s="694">
        <f t="shared" si="345"/>
        <v>0</v>
      </c>
      <c r="Z2599" s="690"/>
      <c r="AA2599" s="690"/>
      <c r="AB2599" s="695">
        <f t="shared" si="346"/>
        <v>0</v>
      </c>
      <c r="AC2599" s="1035"/>
      <c r="AD2599" s="690"/>
      <c r="AE2599" s="1025"/>
      <c r="AF2599" s="1030"/>
      <c r="AG2599" s="690"/>
      <c r="AH2599" s="690"/>
      <c r="AI2599" s="696">
        <f t="shared" si="347"/>
        <v>263516</v>
      </c>
      <c r="AJ2599" s="697">
        <f t="shared" si="348"/>
        <v>0</v>
      </c>
    </row>
    <row r="2600" spans="1:36" s="700" customFormat="1" ht="12.75" customHeight="1">
      <c r="A2600" s="866" t="s">
        <v>206</v>
      </c>
      <c r="B2600" s="866" t="s">
        <v>400</v>
      </c>
      <c r="C2600" s="860" t="s">
        <v>1442</v>
      </c>
      <c r="D2600" s="860"/>
      <c r="E2600" s="956">
        <v>218885</v>
      </c>
      <c r="F2600" s="845">
        <v>9</v>
      </c>
      <c r="G2600" s="1025"/>
      <c r="H2600" s="690"/>
      <c r="I2600" s="1030">
        <v>349288</v>
      </c>
      <c r="J2600" s="818">
        <v>207067</v>
      </c>
      <c r="K2600" s="1030"/>
      <c r="L2600" s="690"/>
      <c r="M2600" s="1156"/>
      <c r="N2600" s="1157"/>
      <c r="O2600" s="692">
        <f t="shared" si="341"/>
        <v>0</v>
      </c>
      <c r="P2600" s="1161"/>
      <c r="Q2600" s="1161"/>
      <c r="R2600" s="691">
        <f t="shared" si="342"/>
        <v>0</v>
      </c>
      <c r="S2600" s="692">
        <f t="shared" si="343"/>
        <v>349288</v>
      </c>
      <c r="T2600" s="693">
        <f t="shared" si="344"/>
        <v>207067</v>
      </c>
      <c r="U2600" s="1035"/>
      <c r="V2600" s="690"/>
      <c r="W2600" s="1025"/>
      <c r="X2600" s="1030"/>
      <c r="Y2600" s="694">
        <f t="shared" si="345"/>
        <v>0</v>
      </c>
      <c r="Z2600" s="690"/>
      <c r="AA2600" s="690"/>
      <c r="AB2600" s="695">
        <f t="shared" si="346"/>
        <v>0</v>
      </c>
      <c r="AC2600" s="1035"/>
      <c r="AD2600" s="690"/>
      <c r="AE2600" s="1025"/>
      <c r="AF2600" s="1030"/>
      <c r="AG2600" s="690"/>
      <c r="AH2600" s="690"/>
      <c r="AI2600" s="696">
        <f t="shared" si="347"/>
        <v>349288</v>
      </c>
      <c r="AJ2600" s="697">
        <f t="shared" si="348"/>
        <v>207067</v>
      </c>
    </row>
    <row r="2601" spans="1:36" s="700" customFormat="1" ht="12.75" customHeight="1">
      <c r="A2601" s="866" t="s">
        <v>206</v>
      </c>
      <c r="B2601" s="866" t="s">
        <v>392</v>
      </c>
      <c r="C2601" s="1086" t="s">
        <v>1489</v>
      </c>
      <c r="D2601" s="1087" t="s">
        <v>1975</v>
      </c>
      <c r="E2601" s="956">
        <v>218991</v>
      </c>
      <c r="F2601" s="845">
        <v>9</v>
      </c>
      <c r="G2601" s="1025">
        <v>6286670</v>
      </c>
      <c r="H2601" s="818">
        <v>5539054</v>
      </c>
      <c r="I2601" s="1030"/>
      <c r="J2601" s="690"/>
      <c r="K2601" s="1030">
        <v>4176718</v>
      </c>
      <c r="L2601" s="690">
        <v>4234606</v>
      </c>
      <c r="M2601" s="1153">
        <v>20500438</v>
      </c>
      <c r="N2601" s="1157">
        <v>0</v>
      </c>
      <c r="O2601" s="692">
        <f t="shared" si="341"/>
        <v>20500438</v>
      </c>
      <c r="P2601" s="1159">
        <v>18428994</v>
      </c>
      <c r="Q2601" s="1160">
        <v>0</v>
      </c>
      <c r="R2601" s="691">
        <f t="shared" si="342"/>
        <v>18428994</v>
      </c>
      <c r="S2601" s="692">
        <f t="shared" si="343"/>
        <v>30963826</v>
      </c>
      <c r="T2601" s="693">
        <f t="shared" si="344"/>
        <v>28202654</v>
      </c>
      <c r="U2601" s="1035"/>
      <c r="V2601" s="690"/>
      <c r="W2601" s="1025"/>
      <c r="X2601" s="1030"/>
      <c r="Y2601" s="694">
        <f t="shared" si="345"/>
        <v>0</v>
      </c>
      <c r="Z2601" s="690"/>
      <c r="AA2601" s="690"/>
      <c r="AB2601" s="695">
        <f t="shared" si="346"/>
        <v>0</v>
      </c>
      <c r="AC2601" s="1035"/>
      <c r="AD2601" s="690"/>
      <c r="AE2601" s="1025"/>
      <c r="AF2601" s="1030"/>
      <c r="AG2601" s="690"/>
      <c r="AH2601" s="690"/>
      <c r="AI2601" s="696">
        <f t="shared" si="347"/>
        <v>30963826</v>
      </c>
      <c r="AJ2601" s="697">
        <f t="shared" si="348"/>
        <v>28202654</v>
      </c>
    </row>
    <row r="2602" spans="1:36" s="700" customFormat="1" ht="12.75" customHeight="1">
      <c r="A2602" s="866" t="s">
        <v>206</v>
      </c>
      <c r="B2602" s="866" t="s">
        <v>400</v>
      </c>
      <c r="C2602" s="859" t="s">
        <v>1418</v>
      </c>
      <c r="D2602" s="859"/>
      <c r="E2602" s="956">
        <v>218991</v>
      </c>
      <c r="F2602" s="845">
        <v>9</v>
      </c>
      <c r="G2602" s="1025"/>
      <c r="H2602" s="690"/>
      <c r="I2602" s="1030"/>
      <c r="J2602" s="690"/>
      <c r="K2602" s="1030"/>
      <c r="L2602" s="690"/>
      <c r="M2602" s="1156"/>
      <c r="N2602" s="1157"/>
      <c r="O2602" s="692">
        <f t="shared" si="341"/>
        <v>0</v>
      </c>
      <c r="P2602" s="690"/>
      <c r="Q2602" s="690"/>
      <c r="R2602" s="691">
        <f t="shared" si="342"/>
        <v>0</v>
      </c>
      <c r="S2602" s="692">
        <f t="shared" si="343"/>
        <v>0</v>
      </c>
      <c r="T2602" s="693">
        <f t="shared" si="344"/>
        <v>0</v>
      </c>
      <c r="U2602" s="1035"/>
      <c r="V2602" s="690"/>
      <c r="W2602" s="1025"/>
      <c r="X2602" s="1030"/>
      <c r="Y2602" s="694">
        <f t="shared" si="345"/>
        <v>0</v>
      </c>
      <c r="Z2602" s="690"/>
      <c r="AA2602" s="690"/>
      <c r="AB2602" s="695">
        <f t="shared" si="346"/>
        <v>0</v>
      </c>
      <c r="AC2602" s="1035"/>
      <c r="AD2602" s="690"/>
      <c r="AE2602" s="1025"/>
      <c r="AF2602" s="1030"/>
      <c r="AG2602" s="690"/>
      <c r="AH2602" s="690"/>
      <c r="AI2602" s="696">
        <f t="shared" si="347"/>
        <v>0</v>
      </c>
      <c r="AJ2602" s="697">
        <f t="shared" si="348"/>
        <v>0</v>
      </c>
    </row>
    <row r="2603" spans="1:36" s="700" customFormat="1" ht="12.75" customHeight="1">
      <c r="A2603" s="866" t="s">
        <v>206</v>
      </c>
      <c r="B2603" s="866" t="s">
        <v>400</v>
      </c>
      <c r="C2603" s="860" t="s">
        <v>1469</v>
      </c>
      <c r="D2603" s="860"/>
      <c r="E2603" s="956">
        <v>218991</v>
      </c>
      <c r="F2603" s="845">
        <v>9</v>
      </c>
      <c r="G2603" s="1025"/>
      <c r="H2603" s="690"/>
      <c r="I2603" s="1030">
        <v>12726</v>
      </c>
      <c r="J2603" s="690">
        <v>0</v>
      </c>
      <c r="K2603" s="1030"/>
      <c r="L2603" s="690"/>
      <c r="M2603" s="1156"/>
      <c r="N2603" s="1157"/>
      <c r="O2603" s="692">
        <f t="shared" si="341"/>
        <v>0</v>
      </c>
      <c r="P2603" s="690"/>
      <c r="Q2603" s="690"/>
      <c r="R2603" s="691">
        <f t="shared" si="342"/>
        <v>0</v>
      </c>
      <c r="S2603" s="692">
        <f t="shared" si="343"/>
        <v>12726</v>
      </c>
      <c r="T2603" s="693">
        <f t="shared" si="344"/>
        <v>0</v>
      </c>
      <c r="U2603" s="1035"/>
      <c r="V2603" s="690"/>
      <c r="W2603" s="1025"/>
      <c r="X2603" s="1030"/>
      <c r="Y2603" s="694">
        <f t="shared" si="345"/>
        <v>0</v>
      </c>
      <c r="Z2603" s="690"/>
      <c r="AA2603" s="690"/>
      <c r="AB2603" s="695">
        <f t="shared" si="346"/>
        <v>0</v>
      </c>
      <c r="AC2603" s="1035"/>
      <c r="AD2603" s="690"/>
      <c r="AE2603" s="1025"/>
      <c r="AF2603" s="1030"/>
      <c r="AG2603" s="690"/>
      <c r="AH2603" s="690"/>
      <c r="AI2603" s="696">
        <f t="shared" si="347"/>
        <v>12726</v>
      </c>
      <c r="AJ2603" s="697">
        <f t="shared" si="348"/>
        <v>0</v>
      </c>
    </row>
    <row r="2604" spans="1:36" s="700" customFormat="1" ht="12.75" customHeight="1">
      <c r="A2604" s="866" t="s">
        <v>206</v>
      </c>
      <c r="B2604" s="866" t="s">
        <v>400</v>
      </c>
      <c r="C2604" s="860" t="s">
        <v>1470</v>
      </c>
      <c r="D2604" s="860"/>
      <c r="E2604" s="956">
        <v>218991</v>
      </c>
      <c r="F2604" s="845">
        <v>9</v>
      </c>
      <c r="G2604" s="1025"/>
      <c r="H2604" s="690"/>
      <c r="I2604" s="1030">
        <v>26472</v>
      </c>
      <c r="J2604" s="690">
        <v>0</v>
      </c>
      <c r="K2604" s="1030"/>
      <c r="L2604" s="690"/>
      <c r="M2604" s="1156"/>
      <c r="N2604" s="1157"/>
      <c r="O2604" s="692">
        <f t="shared" si="341"/>
        <v>0</v>
      </c>
      <c r="P2604" s="690"/>
      <c r="Q2604" s="690"/>
      <c r="R2604" s="691">
        <f t="shared" si="342"/>
        <v>0</v>
      </c>
      <c r="S2604" s="692">
        <f t="shared" si="343"/>
        <v>26472</v>
      </c>
      <c r="T2604" s="693">
        <f t="shared" si="344"/>
        <v>0</v>
      </c>
      <c r="U2604" s="1035"/>
      <c r="V2604" s="690"/>
      <c r="W2604" s="1025"/>
      <c r="X2604" s="1030"/>
      <c r="Y2604" s="694">
        <f t="shared" si="345"/>
        <v>0</v>
      </c>
      <c r="Z2604" s="690"/>
      <c r="AA2604" s="690"/>
      <c r="AB2604" s="695">
        <f t="shared" si="346"/>
        <v>0</v>
      </c>
      <c r="AC2604" s="1035"/>
      <c r="AD2604" s="690"/>
      <c r="AE2604" s="1025"/>
      <c r="AF2604" s="1030"/>
      <c r="AG2604" s="690"/>
      <c r="AH2604" s="690"/>
      <c r="AI2604" s="696">
        <f t="shared" si="347"/>
        <v>26472</v>
      </c>
      <c r="AJ2604" s="697">
        <f t="shared" si="348"/>
        <v>0</v>
      </c>
    </row>
    <row r="2605" spans="1:36" s="700" customFormat="1" ht="12.75" customHeight="1">
      <c r="A2605" s="866" t="s">
        <v>206</v>
      </c>
      <c r="B2605" s="866" t="s">
        <v>400</v>
      </c>
      <c r="C2605" s="860" t="s">
        <v>1472</v>
      </c>
      <c r="D2605" s="860"/>
      <c r="E2605" s="956">
        <v>218991</v>
      </c>
      <c r="F2605" s="845">
        <v>9</v>
      </c>
      <c r="G2605" s="1025"/>
      <c r="H2605" s="690"/>
      <c r="I2605" s="1030">
        <v>44452</v>
      </c>
      <c r="J2605" s="690">
        <v>37784</v>
      </c>
      <c r="K2605" s="1030"/>
      <c r="L2605" s="690"/>
      <c r="M2605" s="1156"/>
      <c r="N2605" s="1157"/>
      <c r="O2605" s="692">
        <f t="shared" si="341"/>
        <v>0</v>
      </c>
      <c r="P2605" s="690"/>
      <c r="Q2605" s="690"/>
      <c r="R2605" s="691">
        <f t="shared" si="342"/>
        <v>0</v>
      </c>
      <c r="S2605" s="692">
        <f t="shared" si="343"/>
        <v>44452</v>
      </c>
      <c r="T2605" s="693">
        <f t="shared" si="344"/>
        <v>37784</v>
      </c>
      <c r="U2605" s="1035"/>
      <c r="V2605" s="690"/>
      <c r="W2605" s="1025"/>
      <c r="X2605" s="1030"/>
      <c r="Y2605" s="694">
        <f t="shared" si="345"/>
        <v>0</v>
      </c>
      <c r="Z2605" s="690"/>
      <c r="AA2605" s="690"/>
      <c r="AB2605" s="695">
        <f t="shared" si="346"/>
        <v>0</v>
      </c>
      <c r="AC2605" s="1035"/>
      <c r="AD2605" s="690"/>
      <c r="AE2605" s="1025"/>
      <c r="AF2605" s="1030"/>
      <c r="AG2605" s="690"/>
      <c r="AH2605" s="690"/>
      <c r="AI2605" s="696">
        <f t="shared" si="347"/>
        <v>44452</v>
      </c>
      <c r="AJ2605" s="697">
        <f t="shared" si="348"/>
        <v>37784</v>
      </c>
    </row>
    <row r="2606" spans="1:36" s="700" customFormat="1" ht="12.75" customHeight="1">
      <c r="A2606" s="866" t="s">
        <v>206</v>
      </c>
      <c r="B2606" s="866" t="s">
        <v>400</v>
      </c>
      <c r="C2606" s="860" t="s">
        <v>1422</v>
      </c>
      <c r="D2606" s="860"/>
      <c r="E2606" s="956">
        <v>218991</v>
      </c>
      <c r="F2606" s="845">
        <v>9</v>
      </c>
      <c r="G2606" s="1025"/>
      <c r="H2606" s="690"/>
      <c r="I2606" s="1030">
        <v>7455</v>
      </c>
      <c r="J2606" s="690">
        <v>0</v>
      </c>
      <c r="K2606" s="1030"/>
      <c r="L2606" s="690"/>
      <c r="M2606" s="1156"/>
      <c r="N2606" s="1157"/>
      <c r="O2606" s="692">
        <f t="shared" si="341"/>
        <v>0</v>
      </c>
      <c r="P2606" s="690"/>
      <c r="Q2606" s="690"/>
      <c r="R2606" s="691">
        <f t="shared" si="342"/>
        <v>0</v>
      </c>
      <c r="S2606" s="692">
        <f t="shared" si="343"/>
        <v>7455</v>
      </c>
      <c r="T2606" s="693">
        <f t="shared" si="344"/>
        <v>0</v>
      </c>
      <c r="U2606" s="1035"/>
      <c r="V2606" s="690"/>
      <c r="W2606" s="1025"/>
      <c r="X2606" s="1030"/>
      <c r="Y2606" s="694">
        <f t="shared" si="345"/>
        <v>0</v>
      </c>
      <c r="Z2606" s="690"/>
      <c r="AA2606" s="690"/>
      <c r="AB2606" s="695">
        <f t="shared" si="346"/>
        <v>0</v>
      </c>
      <c r="AC2606" s="1035"/>
      <c r="AD2606" s="690"/>
      <c r="AE2606" s="1025"/>
      <c r="AF2606" s="1030"/>
      <c r="AG2606" s="690"/>
      <c r="AH2606" s="690"/>
      <c r="AI2606" s="696">
        <f t="shared" si="347"/>
        <v>7455</v>
      </c>
      <c r="AJ2606" s="697">
        <f t="shared" si="348"/>
        <v>0</v>
      </c>
    </row>
    <row r="2607" spans="1:36" s="700" customFormat="1" ht="12.75" customHeight="1">
      <c r="A2607" s="866" t="s">
        <v>206</v>
      </c>
      <c r="B2607" s="866" t="s">
        <v>400</v>
      </c>
      <c r="C2607" s="860" t="s">
        <v>1423</v>
      </c>
      <c r="D2607" s="860"/>
      <c r="E2607" s="956">
        <v>218991</v>
      </c>
      <c r="F2607" s="845">
        <v>9</v>
      </c>
      <c r="G2607" s="1025"/>
      <c r="H2607" s="690"/>
      <c r="I2607" s="1030">
        <v>47</v>
      </c>
      <c r="J2607" s="690">
        <v>0</v>
      </c>
      <c r="K2607" s="1030"/>
      <c r="L2607" s="690"/>
      <c r="M2607" s="1156"/>
      <c r="N2607" s="1157"/>
      <c r="O2607" s="692">
        <f t="shared" si="341"/>
        <v>0</v>
      </c>
      <c r="P2607" s="690"/>
      <c r="Q2607" s="690"/>
      <c r="R2607" s="691">
        <f t="shared" si="342"/>
        <v>0</v>
      </c>
      <c r="S2607" s="692">
        <f t="shared" si="343"/>
        <v>47</v>
      </c>
      <c r="T2607" s="693">
        <f t="shared" si="344"/>
        <v>0</v>
      </c>
      <c r="U2607" s="1035"/>
      <c r="V2607" s="690"/>
      <c r="W2607" s="1025"/>
      <c r="X2607" s="1030"/>
      <c r="Y2607" s="694">
        <f t="shared" si="345"/>
        <v>0</v>
      </c>
      <c r="Z2607" s="690"/>
      <c r="AA2607" s="690"/>
      <c r="AB2607" s="695">
        <f t="shared" si="346"/>
        <v>0</v>
      </c>
      <c r="AC2607" s="1035"/>
      <c r="AD2607" s="690"/>
      <c r="AE2607" s="1025"/>
      <c r="AF2607" s="1030"/>
      <c r="AG2607" s="690"/>
      <c r="AH2607" s="690"/>
      <c r="AI2607" s="696">
        <f t="shared" si="347"/>
        <v>47</v>
      </c>
      <c r="AJ2607" s="697">
        <f t="shared" si="348"/>
        <v>0</v>
      </c>
    </row>
    <row r="2608" spans="1:36" s="700" customFormat="1" ht="12.75" customHeight="1">
      <c r="A2608" s="866" t="s">
        <v>206</v>
      </c>
      <c r="B2608" s="866" t="s">
        <v>400</v>
      </c>
      <c r="C2608" s="860" t="s">
        <v>1419</v>
      </c>
      <c r="D2608" s="860"/>
      <c r="E2608" s="956">
        <v>218991</v>
      </c>
      <c r="F2608" s="845">
        <v>9</v>
      </c>
      <c r="G2608" s="1025"/>
      <c r="H2608" s="690"/>
      <c r="I2608" s="1030">
        <v>8868</v>
      </c>
      <c r="J2608" s="690" t="s">
        <v>1420</v>
      </c>
      <c r="K2608" s="1030"/>
      <c r="L2608" s="690"/>
      <c r="M2608" s="1156"/>
      <c r="N2608" s="1157"/>
      <c r="O2608" s="692">
        <f t="shared" si="341"/>
        <v>0</v>
      </c>
      <c r="P2608" s="690"/>
      <c r="Q2608" s="690"/>
      <c r="R2608" s="691">
        <f t="shared" si="342"/>
        <v>0</v>
      </c>
      <c r="S2608" s="692">
        <f t="shared" si="343"/>
        <v>8868</v>
      </c>
      <c r="T2608" s="693">
        <f t="shared" si="344"/>
        <v>0</v>
      </c>
      <c r="U2608" s="1035"/>
      <c r="V2608" s="690"/>
      <c r="W2608" s="1025"/>
      <c r="X2608" s="1030"/>
      <c r="Y2608" s="694">
        <f t="shared" si="345"/>
        <v>0</v>
      </c>
      <c r="Z2608" s="690"/>
      <c r="AA2608" s="690"/>
      <c r="AB2608" s="695">
        <f t="shared" si="346"/>
        <v>0</v>
      </c>
      <c r="AC2608" s="1035"/>
      <c r="AD2608" s="690"/>
      <c r="AE2608" s="1025"/>
      <c r="AF2608" s="1030"/>
      <c r="AG2608" s="690"/>
      <c r="AH2608" s="690"/>
      <c r="AI2608" s="696">
        <f t="shared" si="347"/>
        <v>8868</v>
      </c>
      <c r="AJ2608" s="697">
        <f t="shared" si="348"/>
        <v>0</v>
      </c>
    </row>
    <row r="2609" spans="1:36" s="700" customFormat="1" ht="12.75" customHeight="1">
      <c r="A2609" s="866" t="s">
        <v>206</v>
      </c>
      <c r="B2609" s="866" t="s">
        <v>400</v>
      </c>
      <c r="C2609" s="860" t="s">
        <v>1473</v>
      </c>
      <c r="D2609" s="860"/>
      <c r="E2609" s="956">
        <v>218991</v>
      </c>
      <c r="F2609" s="845">
        <v>9</v>
      </c>
      <c r="G2609" s="1025"/>
      <c r="H2609" s="690"/>
      <c r="I2609" s="1030">
        <v>18617</v>
      </c>
      <c r="J2609" s="690">
        <v>0</v>
      </c>
      <c r="K2609" s="1030"/>
      <c r="L2609" s="690"/>
      <c r="M2609" s="1156"/>
      <c r="N2609" s="1157"/>
      <c r="O2609" s="692">
        <f t="shared" si="341"/>
        <v>0</v>
      </c>
      <c r="P2609" s="690"/>
      <c r="Q2609" s="690"/>
      <c r="R2609" s="691">
        <f t="shared" si="342"/>
        <v>0</v>
      </c>
      <c r="S2609" s="692">
        <f t="shared" si="343"/>
        <v>18617</v>
      </c>
      <c r="T2609" s="693">
        <f t="shared" si="344"/>
        <v>0</v>
      </c>
      <c r="U2609" s="1035"/>
      <c r="V2609" s="690"/>
      <c r="W2609" s="1025"/>
      <c r="X2609" s="1030"/>
      <c r="Y2609" s="694">
        <f t="shared" si="345"/>
        <v>0</v>
      </c>
      <c r="Z2609" s="690"/>
      <c r="AA2609" s="690"/>
      <c r="AB2609" s="695">
        <f t="shared" si="346"/>
        <v>0</v>
      </c>
      <c r="AC2609" s="1035"/>
      <c r="AD2609" s="690"/>
      <c r="AE2609" s="1025"/>
      <c r="AF2609" s="1030"/>
      <c r="AG2609" s="690"/>
      <c r="AH2609" s="690"/>
      <c r="AI2609" s="696">
        <f t="shared" si="347"/>
        <v>18617</v>
      </c>
      <c r="AJ2609" s="697">
        <f t="shared" si="348"/>
        <v>0</v>
      </c>
    </row>
    <row r="2610" spans="1:36" s="700" customFormat="1" ht="12.75" customHeight="1">
      <c r="A2610" s="866" t="s">
        <v>206</v>
      </c>
      <c r="B2610" s="866" t="s">
        <v>400</v>
      </c>
      <c r="C2610" s="860" t="s">
        <v>1474</v>
      </c>
      <c r="D2610" s="860"/>
      <c r="E2610" s="956">
        <v>218991</v>
      </c>
      <c r="F2610" s="845">
        <v>9</v>
      </c>
      <c r="G2610" s="1025"/>
      <c r="H2610" s="690"/>
      <c r="I2610" s="1030">
        <v>245475</v>
      </c>
      <c r="J2610" s="690">
        <v>0</v>
      </c>
      <c r="K2610" s="1030"/>
      <c r="L2610" s="690"/>
      <c r="M2610" s="1156"/>
      <c r="N2610" s="1157"/>
      <c r="O2610" s="692">
        <f t="shared" si="341"/>
        <v>0</v>
      </c>
      <c r="P2610" s="690"/>
      <c r="Q2610" s="690"/>
      <c r="R2610" s="691">
        <f t="shared" si="342"/>
        <v>0</v>
      </c>
      <c r="S2610" s="692">
        <f t="shared" si="343"/>
        <v>245475</v>
      </c>
      <c r="T2610" s="693">
        <f t="shared" si="344"/>
        <v>0</v>
      </c>
      <c r="U2610" s="1035"/>
      <c r="V2610" s="690"/>
      <c r="W2610" s="1025"/>
      <c r="X2610" s="1030"/>
      <c r="Y2610" s="694">
        <f t="shared" si="345"/>
        <v>0</v>
      </c>
      <c r="Z2610" s="690"/>
      <c r="AA2610" s="690"/>
      <c r="AB2610" s="695">
        <f t="shared" si="346"/>
        <v>0</v>
      </c>
      <c r="AC2610" s="1035"/>
      <c r="AD2610" s="690"/>
      <c r="AE2610" s="1025"/>
      <c r="AF2610" s="1030"/>
      <c r="AG2610" s="690"/>
      <c r="AH2610" s="690"/>
      <c r="AI2610" s="696">
        <f t="shared" si="347"/>
        <v>245475</v>
      </c>
      <c r="AJ2610" s="697">
        <f t="shared" si="348"/>
        <v>0</v>
      </c>
    </row>
    <row r="2611" spans="1:36" s="700" customFormat="1" ht="12.75" customHeight="1">
      <c r="A2611" s="866" t="s">
        <v>206</v>
      </c>
      <c r="B2611" s="866" t="s">
        <v>400</v>
      </c>
      <c r="C2611" s="860" t="s">
        <v>1442</v>
      </c>
      <c r="D2611" s="860"/>
      <c r="E2611" s="956">
        <v>218991</v>
      </c>
      <c r="F2611" s="845">
        <v>9</v>
      </c>
      <c r="G2611" s="1025"/>
      <c r="H2611" s="690"/>
      <c r="I2611" s="1030">
        <v>306117</v>
      </c>
      <c r="J2611" s="818">
        <v>180416</v>
      </c>
      <c r="K2611" s="1030"/>
      <c r="L2611" s="690"/>
      <c r="M2611" s="1156"/>
      <c r="N2611" s="1157"/>
      <c r="O2611" s="692">
        <f t="shared" si="341"/>
        <v>0</v>
      </c>
      <c r="P2611" s="690"/>
      <c r="Q2611" s="690"/>
      <c r="R2611" s="691">
        <f t="shared" si="342"/>
        <v>0</v>
      </c>
      <c r="S2611" s="692">
        <f t="shared" si="343"/>
        <v>306117</v>
      </c>
      <c r="T2611" s="693">
        <f t="shared" si="344"/>
        <v>180416</v>
      </c>
      <c r="U2611" s="1035"/>
      <c r="V2611" s="690"/>
      <c r="W2611" s="1025"/>
      <c r="X2611" s="1030"/>
      <c r="Y2611" s="694">
        <f t="shared" si="345"/>
        <v>0</v>
      </c>
      <c r="Z2611" s="690"/>
      <c r="AA2611" s="690"/>
      <c r="AB2611" s="695">
        <f t="shared" si="346"/>
        <v>0</v>
      </c>
      <c r="AC2611" s="1035"/>
      <c r="AD2611" s="690"/>
      <c r="AE2611" s="1025"/>
      <c r="AF2611" s="1030"/>
      <c r="AG2611" s="690"/>
      <c r="AH2611" s="690"/>
      <c r="AI2611" s="696">
        <f t="shared" si="347"/>
        <v>306117</v>
      </c>
      <c r="AJ2611" s="697">
        <f t="shared" si="348"/>
        <v>180416</v>
      </c>
    </row>
    <row r="2612" spans="1:36" s="700" customFormat="1" ht="12.75" customHeight="1">
      <c r="A2612" s="866" t="s">
        <v>206</v>
      </c>
      <c r="B2612" s="866" t="s">
        <v>392</v>
      </c>
      <c r="C2612" s="955" t="s">
        <v>1490</v>
      </c>
      <c r="D2612" s="955"/>
      <c r="E2612" s="956">
        <v>217989</v>
      </c>
      <c r="F2612" s="845">
        <v>10</v>
      </c>
      <c r="G2612" s="1025">
        <v>2876896</v>
      </c>
      <c r="H2612" s="818">
        <v>2418290</v>
      </c>
      <c r="I2612" s="1030"/>
      <c r="J2612" s="690"/>
      <c r="K2612" s="1030">
        <v>6500</v>
      </c>
      <c r="L2612" s="690">
        <v>2500</v>
      </c>
      <c r="M2612" s="1156">
        <v>2521606</v>
      </c>
      <c r="N2612" s="1157">
        <v>0</v>
      </c>
      <c r="O2612" s="692">
        <f t="shared" si="341"/>
        <v>2521606</v>
      </c>
      <c r="P2612" s="1161">
        <v>2521606</v>
      </c>
      <c r="Q2612" s="1161">
        <v>0</v>
      </c>
      <c r="R2612" s="691">
        <f t="shared" si="342"/>
        <v>2521606</v>
      </c>
      <c r="S2612" s="692">
        <f t="shared" si="343"/>
        <v>5405002</v>
      </c>
      <c r="T2612" s="693">
        <f t="shared" si="344"/>
        <v>4942396</v>
      </c>
      <c r="U2612" s="1035"/>
      <c r="V2612" s="690"/>
      <c r="W2612" s="1025"/>
      <c r="X2612" s="1030"/>
      <c r="Y2612" s="694">
        <f t="shared" si="345"/>
        <v>0</v>
      </c>
      <c r="Z2612" s="690"/>
      <c r="AA2612" s="690"/>
      <c r="AB2612" s="695">
        <f t="shared" si="346"/>
        <v>0</v>
      </c>
      <c r="AC2612" s="1035"/>
      <c r="AD2612" s="690"/>
      <c r="AE2612" s="1025"/>
      <c r="AF2612" s="1030"/>
      <c r="AG2612" s="690"/>
      <c r="AH2612" s="690"/>
      <c r="AI2612" s="696">
        <f t="shared" si="347"/>
        <v>5405002</v>
      </c>
      <c r="AJ2612" s="697">
        <f t="shared" si="348"/>
        <v>4942396</v>
      </c>
    </row>
    <row r="2613" spans="1:36" s="700" customFormat="1" ht="12.75" customHeight="1">
      <c r="A2613" s="866" t="s">
        <v>206</v>
      </c>
      <c r="B2613" s="866" t="s">
        <v>400</v>
      </c>
      <c r="C2613" s="859" t="s">
        <v>1418</v>
      </c>
      <c r="D2613" s="859"/>
      <c r="E2613" s="956">
        <v>217989</v>
      </c>
      <c r="F2613" s="845">
        <v>10</v>
      </c>
      <c r="G2613" s="1025"/>
      <c r="H2613" s="690"/>
      <c r="I2613" s="1030"/>
      <c r="J2613" s="690"/>
      <c r="K2613" s="1030"/>
      <c r="L2613" s="690"/>
      <c r="M2613" s="1025"/>
      <c r="N2613" s="1030"/>
      <c r="O2613" s="692">
        <f t="shared" si="341"/>
        <v>0</v>
      </c>
      <c r="P2613" s="1161"/>
      <c r="Q2613" s="1161"/>
      <c r="R2613" s="691">
        <f t="shared" si="342"/>
        <v>0</v>
      </c>
      <c r="S2613" s="692">
        <f t="shared" si="343"/>
        <v>0</v>
      </c>
      <c r="T2613" s="693">
        <f t="shared" si="344"/>
        <v>0</v>
      </c>
      <c r="U2613" s="1035"/>
      <c r="V2613" s="690"/>
      <c r="W2613" s="1025"/>
      <c r="X2613" s="1030"/>
      <c r="Y2613" s="694">
        <f t="shared" si="345"/>
        <v>0</v>
      </c>
      <c r="Z2613" s="690"/>
      <c r="AA2613" s="690"/>
      <c r="AB2613" s="695">
        <f t="shared" si="346"/>
        <v>0</v>
      </c>
      <c r="AC2613" s="1035"/>
      <c r="AD2613" s="690"/>
      <c r="AE2613" s="1025"/>
      <c r="AF2613" s="1030"/>
      <c r="AG2613" s="690"/>
      <c r="AH2613" s="690"/>
      <c r="AI2613" s="696">
        <f t="shared" si="347"/>
        <v>0</v>
      </c>
      <c r="AJ2613" s="697">
        <f t="shared" si="348"/>
        <v>0</v>
      </c>
    </row>
    <row r="2614" spans="1:36" s="700" customFormat="1" ht="12.75" customHeight="1">
      <c r="A2614" s="866" t="s">
        <v>206</v>
      </c>
      <c r="B2614" s="866" t="s">
        <v>400</v>
      </c>
      <c r="C2614" s="860" t="s">
        <v>1469</v>
      </c>
      <c r="D2614" s="860"/>
      <c r="E2614" s="956">
        <v>217989</v>
      </c>
      <c r="F2614" s="845">
        <v>10</v>
      </c>
      <c r="G2614" s="1025"/>
      <c r="H2614" s="690"/>
      <c r="I2614" s="1030">
        <v>5824</v>
      </c>
      <c r="J2614" s="690">
        <v>0</v>
      </c>
      <c r="K2614" s="1030"/>
      <c r="L2614" s="690"/>
      <c r="M2614" s="1025"/>
      <c r="N2614" s="1030"/>
      <c r="O2614" s="692">
        <f t="shared" si="341"/>
        <v>0</v>
      </c>
      <c r="P2614" s="1161"/>
      <c r="Q2614" s="1161"/>
      <c r="R2614" s="691">
        <f t="shared" si="342"/>
        <v>0</v>
      </c>
      <c r="S2614" s="692">
        <f t="shared" si="343"/>
        <v>5824</v>
      </c>
      <c r="T2614" s="693">
        <f t="shared" si="344"/>
        <v>0</v>
      </c>
      <c r="U2614" s="1035"/>
      <c r="V2614" s="690"/>
      <c r="W2614" s="1025"/>
      <c r="X2614" s="1030"/>
      <c r="Y2614" s="694">
        <f t="shared" si="345"/>
        <v>0</v>
      </c>
      <c r="Z2614" s="690"/>
      <c r="AA2614" s="690"/>
      <c r="AB2614" s="695">
        <f t="shared" si="346"/>
        <v>0</v>
      </c>
      <c r="AC2614" s="1035"/>
      <c r="AD2614" s="690"/>
      <c r="AE2614" s="1025"/>
      <c r="AF2614" s="1030"/>
      <c r="AG2614" s="690"/>
      <c r="AH2614" s="690"/>
      <c r="AI2614" s="696">
        <f t="shared" si="347"/>
        <v>5824</v>
      </c>
      <c r="AJ2614" s="697">
        <f t="shared" si="348"/>
        <v>0</v>
      </c>
    </row>
    <row r="2615" spans="1:36" s="700" customFormat="1" ht="12.75" customHeight="1">
      <c r="A2615" s="866" t="s">
        <v>206</v>
      </c>
      <c r="B2615" s="866" t="s">
        <v>400</v>
      </c>
      <c r="C2615" s="860" t="s">
        <v>1470</v>
      </c>
      <c r="D2615" s="860"/>
      <c r="E2615" s="956">
        <v>217989</v>
      </c>
      <c r="F2615" s="845">
        <v>10</v>
      </c>
      <c r="G2615" s="1025"/>
      <c r="H2615" s="690"/>
      <c r="I2615" s="1030">
        <v>12114</v>
      </c>
      <c r="J2615" s="690">
        <v>0</v>
      </c>
      <c r="K2615" s="1030"/>
      <c r="L2615" s="690"/>
      <c r="M2615" s="1025"/>
      <c r="N2615" s="1030"/>
      <c r="O2615" s="692">
        <f t="shared" si="341"/>
        <v>0</v>
      </c>
      <c r="P2615" s="1161"/>
      <c r="Q2615" s="1161"/>
      <c r="R2615" s="691">
        <f t="shared" si="342"/>
        <v>0</v>
      </c>
      <c r="S2615" s="692">
        <f t="shared" si="343"/>
        <v>12114</v>
      </c>
      <c r="T2615" s="693">
        <f t="shared" si="344"/>
        <v>0</v>
      </c>
      <c r="U2615" s="1035"/>
      <c r="V2615" s="690"/>
      <c r="W2615" s="1025"/>
      <c r="X2615" s="1030"/>
      <c r="Y2615" s="694">
        <f t="shared" si="345"/>
        <v>0</v>
      </c>
      <c r="Z2615" s="690"/>
      <c r="AA2615" s="690"/>
      <c r="AB2615" s="695">
        <f t="shared" si="346"/>
        <v>0</v>
      </c>
      <c r="AC2615" s="1035"/>
      <c r="AD2615" s="690"/>
      <c r="AE2615" s="1025"/>
      <c r="AF2615" s="1030"/>
      <c r="AG2615" s="690"/>
      <c r="AH2615" s="690"/>
      <c r="AI2615" s="696">
        <f t="shared" si="347"/>
        <v>12114</v>
      </c>
      <c r="AJ2615" s="697">
        <f t="shared" si="348"/>
        <v>0</v>
      </c>
    </row>
    <row r="2616" spans="1:36" s="700" customFormat="1" ht="12.75" customHeight="1">
      <c r="A2616" s="866" t="s">
        <v>206</v>
      </c>
      <c r="B2616" s="866" t="s">
        <v>400</v>
      </c>
      <c r="C2616" s="860" t="s">
        <v>1472</v>
      </c>
      <c r="D2616" s="860"/>
      <c r="E2616" s="956">
        <v>217989</v>
      </c>
      <c r="F2616" s="845">
        <v>10</v>
      </c>
      <c r="G2616" s="1025"/>
      <c r="H2616" s="690"/>
      <c r="I2616" s="1030">
        <v>44452</v>
      </c>
      <c r="J2616" s="690">
        <v>37784</v>
      </c>
      <c r="K2616" s="1030"/>
      <c r="L2616" s="690"/>
      <c r="M2616" s="1025"/>
      <c r="N2616" s="1030"/>
      <c r="O2616" s="692">
        <f t="shared" si="341"/>
        <v>0</v>
      </c>
      <c r="P2616" s="1161"/>
      <c r="Q2616" s="1161"/>
      <c r="R2616" s="691">
        <f t="shared" si="342"/>
        <v>0</v>
      </c>
      <c r="S2616" s="692">
        <f t="shared" si="343"/>
        <v>44452</v>
      </c>
      <c r="T2616" s="693">
        <f t="shared" si="344"/>
        <v>37784</v>
      </c>
      <c r="U2616" s="1035"/>
      <c r="V2616" s="690"/>
      <c r="W2616" s="1025"/>
      <c r="X2616" s="1030"/>
      <c r="Y2616" s="694">
        <f t="shared" si="345"/>
        <v>0</v>
      </c>
      <c r="Z2616" s="690"/>
      <c r="AA2616" s="690"/>
      <c r="AB2616" s="695">
        <f t="shared" si="346"/>
        <v>0</v>
      </c>
      <c r="AC2616" s="1035"/>
      <c r="AD2616" s="690"/>
      <c r="AE2616" s="1025"/>
      <c r="AF2616" s="1030"/>
      <c r="AG2616" s="690"/>
      <c r="AH2616" s="690"/>
      <c r="AI2616" s="696">
        <f t="shared" si="347"/>
        <v>44452</v>
      </c>
      <c r="AJ2616" s="697">
        <f t="shared" si="348"/>
        <v>37784</v>
      </c>
    </row>
    <row r="2617" spans="1:36" s="700" customFormat="1" ht="12.75" customHeight="1">
      <c r="A2617" s="866" t="s">
        <v>206</v>
      </c>
      <c r="B2617" s="866" t="s">
        <v>400</v>
      </c>
      <c r="C2617" s="860" t="s">
        <v>1422</v>
      </c>
      <c r="D2617" s="860"/>
      <c r="E2617" s="956">
        <v>217989</v>
      </c>
      <c r="F2617" s="845">
        <v>10</v>
      </c>
      <c r="G2617" s="1025"/>
      <c r="H2617" s="690"/>
      <c r="I2617" s="1030">
        <v>25568</v>
      </c>
      <c r="J2617" s="690">
        <v>0</v>
      </c>
      <c r="K2617" s="1030"/>
      <c r="L2617" s="690"/>
      <c r="M2617" s="1025"/>
      <c r="N2617" s="1030"/>
      <c r="O2617" s="692">
        <f t="shared" si="341"/>
        <v>0</v>
      </c>
      <c r="P2617" s="1161"/>
      <c r="Q2617" s="1161"/>
      <c r="R2617" s="691">
        <f t="shared" si="342"/>
        <v>0</v>
      </c>
      <c r="S2617" s="692">
        <f t="shared" si="343"/>
        <v>25568</v>
      </c>
      <c r="T2617" s="693">
        <f t="shared" si="344"/>
        <v>0</v>
      </c>
      <c r="U2617" s="1035"/>
      <c r="V2617" s="690"/>
      <c r="W2617" s="1025"/>
      <c r="X2617" s="1030"/>
      <c r="Y2617" s="694">
        <f t="shared" si="345"/>
        <v>0</v>
      </c>
      <c r="Z2617" s="690"/>
      <c r="AA2617" s="690"/>
      <c r="AB2617" s="695">
        <f t="shared" si="346"/>
        <v>0</v>
      </c>
      <c r="AC2617" s="1035"/>
      <c r="AD2617" s="690"/>
      <c r="AE2617" s="1025"/>
      <c r="AF2617" s="1030"/>
      <c r="AG2617" s="690"/>
      <c r="AH2617" s="690"/>
      <c r="AI2617" s="696">
        <f t="shared" si="347"/>
        <v>25568</v>
      </c>
      <c r="AJ2617" s="697">
        <f t="shared" si="348"/>
        <v>0</v>
      </c>
    </row>
    <row r="2618" spans="1:36" s="700" customFormat="1" ht="12.75" customHeight="1">
      <c r="A2618" s="866" t="s">
        <v>206</v>
      </c>
      <c r="B2618" s="866" t="s">
        <v>400</v>
      </c>
      <c r="C2618" s="860" t="s">
        <v>1473</v>
      </c>
      <c r="D2618" s="860"/>
      <c r="E2618" s="956">
        <v>217989</v>
      </c>
      <c r="F2618" s="845">
        <v>10</v>
      </c>
      <c r="G2618" s="1025"/>
      <c r="H2618" s="690"/>
      <c r="I2618" s="1030">
        <v>2221</v>
      </c>
      <c r="J2618" s="690">
        <v>0</v>
      </c>
      <c r="K2618" s="1030"/>
      <c r="L2618" s="690"/>
      <c r="M2618" s="1025"/>
      <c r="N2618" s="1030"/>
      <c r="O2618" s="692">
        <f t="shared" si="341"/>
        <v>0</v>
      </c>
      <c r="P2618" s="1161"/>
      <c r="Q2618" s="1161"/>
      <c r="R2618" s="691">
        <f t="shared" si="342"/>
        <v>0</v>
      </c>
      <c r="S2618" s="692">
        <f t="shared" si="343"/>
        <v>2221</v>
      </c>
      <c r="T2618" s="693">
        <f t="shared" si="344"/>
        <v>0</v>
      </c>
      <c r="U2618" s="1035"/>
      <c r="V2618" s="690"/>
      <c r="W2618" s="1025"/>
      <c r="X2618" s="1030"/>
      <c r="Y2618" s="694">
        <f t="shared" si="345"/>
        <v>0</v>
      </c>
      <c r="Z2618" s="690"/>
      <c r="AA2618" s="690"/>
      <c r="AB2618" s="695">
        <f t="shared" si="346"/>
        <v>0</v>
      </c>
      <c r="AC2618" s="1035"/>
      <c r="AD2618" s="690"/>
      <c r="AE2618" s="1025"/>
      <c r="AF2618" s="1030"/>
      <c r="AG2618" s="690"/>
      <c r="AH2618" s="690"/>
      <c r="AI2618" s="696">
        <f t="shared" si="347"/>
        <v>2221</v>
      </c>
      <c r="AJ2618" s="697">
        <f t="shared" si="348"/>
        <v>0</v>
      </c>
    </row>
    <row r="2619" spans="1:36" s="700" customFormat="1" ht="12.75" customHeight="1">
      <c r="A2619" s="866" t="s">
        <v>206</v>
      </c>
      <c r="B2619" s="866" t="s">
        <v>400</v>
      </c>
      <c r="C2619" s="860" t="s">
        <v>1474</v>
      </c>
      <c r="D2619" s="860"/>
      <c r="E2619" s="956">
        <v>217989</v>
      </c>
      <c r="F2619" s="845">
        <v>10</v>
      </c>
      <c r="G2619" s="1025"/>
      <c r="H2619" s="690"/>
      <c r="I2619" s="1030">
        <v>167825</v>
      </c>
      <c r="J2619" s="690">
        <v>0</v>
      </c>
      <c r="K2619" s="1030"/>
      <c r="L2619" s="690"/>
      <c r="M2619" s="1025"/>
      <c r="N2619" s="1030"/>
      <c r="O2619" s="692">
        <f t="shared" si="341"/>
        <v>0</v>
      </c>
      <c r="P2619" s="1161"/>
      <c r="Q2619" s="1161"/>
      <c r="R2619" s="691">
        <f t="shared" si="342"/>
        <v>0</v>
      </c>
      <c r="S2619" s="692">
        <f t="shared" si="343"/>
        <v>167825</v>
      </c>
      <c r="T2619" s="693">
        <f t="shared" si="344"/>
        <v>0</v>
      </c>
      <c r="U2619" s="1035"/>
      <c r="V2619" s="690"/>
      <c r="W2619" s="1025"/>
      <c r="X2619" s="1030"/>
      <c r="Y2619" s="694">
        <f t="shared" si="345"/>
        <v>0</v>
      </c>
      <c r="Z2619" s="690"/>
      <c r="AA2619" s="690"/>
      <c r="AB2619" s="695">
        <f t="shared" si="346"/>
        <v>0</v>
      </c>
      <c r="AC2619" s="1035"/>
      <c r="AD2619" s="690"/>
      <c r="AE2619" s="1025"/>
      <c r="AF2619" s="1030"/>
      <c r="AG2619" s="690"/>
      <c r="AH2619" s="690"/>
      <c r="AI2619" s="696">
        <f t="shared" si="347"/>
        <v>167825</v>
      </c>
      <c r="AJ2619" s="697">
        <f t="shared" si="348"/>
        <v>0</v>
      </c>
    </row>
    <row r="2620" spans="1:36" s="700" customFormat="1" ht="12.75" customHeight="1">
      <c r="A2620" s="866" t="s">
        <v>206</v>
      </c>
      <c r="B2620" s="866" t="s">
        <v>400</v>
      </c>
      <c r="C2620" s="860" t="s">
        <v>1442</v>
      </c>
      <c r="D2620" s="860"/>
      <c r="E2620" s="956">
        <v>217989</v>
      </c>
      <c r="F2620" s="845">
        <v>10</v>
      </c>
      <c r="G2620" s="1025"/>
      <c r="H2620" s="690"/>
      <c r="I2620" s="1030">
        <v>141037</v>
      </c>
      <c r="J2620" s="818">
        <v>71026</v>
      </c>
      <c r="K2620" s="1030"/>
      <c r="L2620" s="690"/>
      <c r="M2620" s="1025"/>
      <c r="N2620" s="1030"/>
      <c r="O2620" s="692">
        <f t="shared" si="341"/>
        <v>0</v>
      </c>
      <c r="P2620" s="1161"/>
      <c r="Q2620" s="1161"/>
      <c r="R2620" s="691">
        <f t="shared" si="342"/>
        <v>0</v>
      </c>
      <c r="S2620" s="692">
        <f t="shared" si="343"/>
        <v>141037</v>
      </c>
      <c r="T2620" s="693">
        <f t="shared" si="344"/>
        <v>71026</v>
      </c>
      <c r="U2620" s="1035"/>
      <c r="V2620" s="690"/>
      <c r="W2620" s="1025"/>
      <c r="X2620" s="1030"/>
      <c r="Y2620" s="694">
        <f t="shared" si="345"/>
        <v>0</v>
      </c>
      <c r="Z2620" s="690"/>
      <c r="AA2620" s="690"/>
      <c r="AB2620" s="695">
        <f t="shared" si="346"/>
        <v>0</v>
      </c>
      <c r="AC2620" s="1035"/>
      <c r="AD2620" s="690"/>
      <c r="AE2620" s="1025"/>
      <c r="AF2620" s="1030"/>
      <c r="AG2620" s="690"/>
      <c r="AH2620" s="690"/>
      <c r="AI2620" s="696">
        <f t="shared" si="347"/>
        <v>141037</v>
      </c>
      <c r="AJ2620" s="697">
        <f t="shared" si="348"/>
        <v>71026</v>
      </c>
    </row>
    <row r="2621" spans="1:36" s="700" customFormat="1" ht="12.75" customHeight="1">
      <c r="A2621" s="866" t="s">
        <v>206</v>
      </c>
      <c r="B2621" s="866" t="s">
        <v>392</v>
      </c>
      <c r="C2621" s="955" t="s">
        <v>1491</v>
      </c>
      <c r="D2621" s="955"/>
      <c r="E2621" s="956">
        <v>217837</v>
      </c>
      <c r="F2621" s="845">
        <v>10</v>
      </c>
      <c r="G2621" s="1025">
        <v>1832445</v>
      </c>
      <c r="H2621" s="818">
        <v>1519705</v>
      </c>
      <c r="I2621" s="1030"/>
      <c r="J2621" s="690"/>
      <c r="K2621" s="1030">
        <v>704493</v>
      </c>
      <c r="L2621" s="690">
        <v>675000</v>
      </c>
      <c r="M2621" s="1153">
        <v>4047266</v>
      </c>
      <c r="N2621" s="1157">
        <v>0</v>
      </c>
      <c r="O2621" s="692">
        <f t="shared" si="341"/>
        <v>4047266</v>
      </c>
      <c r="P2621" s="1159">
        <v>3528516</v>
      </c>
      <c r="Q2621" s="1160">
        <v>0</v>
      </c>
      <c r="R2621" s="691">
        <f t="shared" si="342"/>
        <v>3528516</v>
      </c>
      <c r="S2621" s="692">
        <f t="shared" si="343"/>
        <v>6584204</v>
      </c>
      <c r="T2621" s="693">
        <f t="shared" si="344"/>
        <v>5723221</v>
      </c>
      <c r="U2621" s="1035"/>
      <c r="V2621" s="690"/>
      <c r="W2621" s="1025"/>
      <c r="X2621" s="1030"/>
      <c r="Y2621" s="694">
        <f t="shared" si="345"/>
        <v>0</v>
      </c>
      <c r="Z2621" s="690"/>
      <c r="AA2621" s="690"/>
      <c r="AB2621" s="695">
        <f t="shared" si="346"/>
        <v>0</v>
      </c>
      <c r="AC2621" s="1035"/>
      <c r="AD2621" s="690"/>
      <c r="AE2621" s="1025"/>
      <c r="AF2621" s="1030"/>
      <c r="AG2621" s="690"/>
      <c r="AH2621" s="690"/>
      <c r="AI2621" s="696">
        <f t="shared" si="347"/>
        <v>6584204</v>
      </c>
      <c r="AJ2621" s="697">
        <f t="shared" si="348"/>
        <v>5723221</v>
      </c>
    </row>
    <row r="2622" spans="1:36" s="700" customFormat="1" ht="12.75" customHeight="1">
      <c r="A2622" s="866" t="s">
        <v>206</v>
      </c>
      <c r="B2622" s="866" t="s">
        <v>400</v>
      </c>
      <c r="C2622" s="859" t="s">
        <v>1418</v>
      </c>
      <c r="D2622" s="859"/>
      <c r="E2622" s="956">
        <v>217837</v>
      </c>
      <c r="F2622" s="845">
        <v>10</v>
      </c>
      <c r="G2622" s="1025"/>
      <c r="H2622" s="690"/>
      <c r="I2622" s="1030"/>
      <c r="J2622" s="690"/>
      <c r="K2622" s="1030"/>
      <c r="L2622" s="690"/>
      <c r="M2622" s="1156"/>
      <c r="N2622" s="1157"/>
      <c r="O2622" s="692">
        <f t="shared" si="341"/>
        <v>0</v>
      </c>
      <c r="P2622" s="1161"/>
      <c r="Q2622" s="1161"/>
      <c r="R2622" s="691">
        <f t="shared" si="342"/>
        <v>0</v>
      </c>
      <c r="S2622" s="692">
        <f t="shared" si="343"/>
        <v>0</v>
      </c>
      <c r="T2622" s="693">
        <f t="shared" si="344"/>
        <v>0</v>
      </c>
      <c r="U2622" s="1035"/>
      <c r="V2622" s="690"/>
      <c r="W2622" s="1025"/>
      <c r="X2622" s="1030"/>
      <c r="Y2622" s="694">
        <f t="shared" si="345"/>
        <v>0</v>
      </c>
      <c r="Z2622" s="690"/>
      <c r="AA2622" s="690"/>
      <c r="AB2622" s="695">
        <f t="shared" si="346"/>
        <v>0</v>
      </c>
      <c r="AC2622" s="1035"/>
      <c r="AD2622" s="690"/>
      <c r="AE2622" s="1025"/>
      <c r="AF2622" s="1030"/>
      <c r="AG2622" s="690"/>
      <c r="AH2622" s="690"/>
      <c r="AI2622" s="696">
        <f t="shared" si="347"/>
        <v>0</v>
      </c>
      <c r="AJ2622" s="697">
        <f t="shared" si="348"/>
        <v>0</v>
      </c>
    </row>
    <row r="2623" spans="1:36" s="700" customFormat="1" ht="12.75" customHeight="1">
      <c r="A2623" s="866" t="s">
        <v>206</v>
      </c>
      <c r="B2623" s="866" t="s">
        <v>400</v>
      </c>
      <c r="C2623" s="860" t="s">
        <v>1469</v>
      </c>
      <c r="D2623" s="860"/>
      <c r="E2623" s="956">
        <v>217837</v>
      </c>
      <c r="F2623" s="845">
        <v>10</v>
      </c>
      <c r="G2623" s="1025"/>
      <c r="H2623" s="690"/>
      <c r="I2623" s="1030">
        <v>3709</v>
      </c>
      <c r="J2623" s="690">
        <v>0</v>
      </c>
      <c r="K2623" s="1030"/>
      <c r="L2623" s="690"/>
      <c r="M2623" s="1156"/>
      <c r="N2623" s="1157"/>
      <c r="O2623" s="692">
        <f t="shared" si="341"/>
        <v>0</v>
      </c>
      <c r="P2623" s="1161"/>
      <c r="Q2623" s="1161"/>
      <c r="R2623" s="691">
        <f t="shared" si="342"/>
        <v>0</v>
      </c>
      <c r="S2623" s="692">
        <f t="shared" si="343"/>
        <v>3709</v>
      </c>
      <c r="T2623" s="693">
        <f t="shared" si="344"/>
        <v>0</v>
      </c>
      <c r="U2623" s="1035"/>
      <c r="V2623" s="690"/>
      <c r="W2623" s="1025"/>
      <c r="X2623" s="1030"/>
      <c r="Y2623" s="694">
        <f t="shared" si="345"/>
        <v>0</v>
      </c>
      <c r="Z2623" s="690"/>
      <c r="AA2623" s="690"/>
      <c r="AB2623" s="695">
        <f t="shared" si="346"/>
        <v>0</v>
      </c>
      <c r="AC2623" s="1035"/>
      <c r="AD2623" s="690"/>
      <c r="AE2623" s="1025"/>
      <c r="AF2623" s="1030"/>
      <c r="AG2623" s="690"/>
      <c r="AH2623" s="690"/>
      <c r="AI2623" s="696">
        <f t="shared" si="347"/>
        <v>3709</v>
      </c>
      <c r="AJ2623" s="697">
        <f t="shared" si="348"/>
        <v>0</v>
      </c>
    </row>
    <row r="2624" spans="1:36" s="700" customFormat="1" ht="12.75" customHeight="1">
      <c r="A2624" s="866" t="s">
        <v>206</v>
      </c>
      <c r="B2624" s="866" t="s">
        <v>400</v>
      </c>
      <c r="C2624" s="860" t="s">
        <v>1470</v>
      </c>
      <c r="D2624" s="860"/>
      <c r="E2624" s="956">
        <v>217837</v>
      </c>
      <c r="F2624" s="845">
        <v>10</v>
      </c>
      <c r="G2624" s="1025"/>
      <c r="H2624" s="690"/>
      <c r="I2624" s="1030">
        <v>7716</v>
      </c>
      <c r="J2624" s="690">
        <v>0</v>
      </c>
      <c r="K2624" s="1030"/>
      <c r="L2624" s="690"/>
      <c r="M2624" s="1156"/>
      <c r="N2624" s="1157"/>
      <c r="O2624" s="692">
        <f t="shared" si="341"/>
        <v>0</v>
      </c>
      <c r="P2624" s="1161"/>
      <c r="Q2624" s="1161"/>
      <c r="R2624" s="691">
        <f t="shared" si="342"/>
        <v>0</v>
      </c>
      <c r="S2624" s="692">
        <f t="shared" si="343"/>
        <v>7716</v>
      </c>
      <c r="T2624" s="693">
        <f t="shared" si="344"/>
        <v>0</v>
      </c>
      <c r="U2624" s="1035"/>
      <c r="V2624" s="690"/>
      <c r="W2624" s="1025"/>
      <c r="X2624" s="1030"/>
      <c r="Y2624" s="694">
        <f t="shared" si="345"/>
        <v>0</v>
      </c>
      <c r="Z2624" s="690"/>
      <c r="AA2624" s="690"/>
      <c r="AB2624" s="695">
        <f t="shared" si="346"/>
        <v>0</v>
      </c>
      <c r="AC2624" s="1035"/>
      <c r="AD2624" s="690"/>
      <c r="AE2624" s="1025"/>
      <c r="AF2624" s="1030"/>
      <c r="AG2624" s="690"/>
      <c r="AH2624" s="690"/>
      <c r="AI2624" s="696">
        <f t="shared" si="347"/>
        <v>7716</v>
      </c>
      <c r="AJ2624" s="697">
        <f t="shared" si="348"/>
        <v>0</v>
      </c>
    </row>
    <row r="2625" spans="1:36" s="700" customFormat="1" ht="12.75" customHeight="1">
      <c r="A2625" s="866" t="s">
        <v>206</v>
      </c>
      <c r="B2625" s="866" t="s">
        <v>400</v>
      </c>
      <c r="C2625" s="860" t="s">
        <v>1472</v>
      </c>
      <c r="D2625" s="860"/>
      <c r="E2625" s="956">
        <v>217837</v>
      </c>
      <c r="F2625" s="845">
        <v>10</v>
      </c>
      <c r="G2625" s="1025"/>
      <c r="H2625" s="690"/>
      <c r="I2625" s="1030">
        <v>44452</v>
      </c>
      <c r="J2625" s="690">
        <v>37784</v>
      </c>
      <c r="K2625" s="1030"/>
      <c r="L2625" s="690"/>
      <c r="M2625" s="1156"/>
      <c r="N2625" s="1157"/>
      <c r="O2625" s="692">
        <f t="shared" si="341"/>
        <v>0</v>
      </c>
      <c r="P2625" s="1161"/>
      <c r="Q2625" s="1161"/>
      <c r="R2625" s="691">
        <f t="shared" si="342"/>
        <v>0</v>
      </c>
      <c r="S2625" s="692">
        <f t="shared" si="343"/>
        <v>44452</v>
      </c>
      <c r="T2625" s="693">
        <f t="shared" si="344"/>
        <v>37784</v>
      </c>
      <c r="U2625" s="1035"/>
      <c r="V2625" s="690"/>
      <c r="W2625" s="1025"/>
      <c r="X2625" s="1030"/>
      <c r="Y2625" s="694">
        <f t="shared" si="345"/>
        <v>0</v>
      </c>
      <c r="Z2625" s="690"/>
      <c r="AA2625" s="690"/>
      <c r="AB2625" s="695">
        <f t="shared" si="346"/>
        <v>0</v>
      </c>
      <c r="AC2625" s="1035"/>
      <c r="AD2625" s="690"/>
      <c r="AE2625" s="1025"/>
      <c r="AF2625" s="1030"/>
      <c r="AG2625" s="690"/>
      <c r="AH2625" s="690"/>
      <c r="AI2625" s="696">
        <f t="shared" si="347"/>
        <v>44452</v>
      </c>
      <c r="AJ2625" s="697">
        <f t="shared" si="348"/>
        <v>37784</v>
      </c>
    </row>
    <row r="2626" spans="1:36" s="700" customFormat="1" ht="12.75" customHeight="1">
      <c r="A2626" s="866" t="s">
        <v>206</v>
      </c>
      <c r="B2626" s="866" t="s">
        <v>400</v>
      </c>
      <c r="C2626" s="860" t="s">
        <v>1422</v>
      </c>
      <c r="D2626" s="860"/>
      <c r="E2626" s="956">
        <v>217837</v>
      </c>
      <c r="F2626" s="845">
        <v>10</v>
      </c>
      <c r="G2626" s="1025"/>
      <c r="H2626" s="690"/>
      <c r="I2626" s="1030">
        <v>4610</v>
      </c>
      <c r="J2626" s="690">
        <v>0</v>
      </c>
      <c r="K2626" s="1030"/>
      <c r="L2626" s="690"/>
      <c r="M2626" s="1156"/>
      <c r="N2626" s="1157"/>
      <c r="O2626" s="692">
        <f t="shared" si="341"/>
        <v>0</v>
      </c>
      <c r="P2626" s="1161"/>
      <c r="Q2626" s="1161"/>
      <c r="R2626" s="691">
        <f t="shared" si="342"/>
        <v>0</v>
      </c>
      <c r="S2626" s="692">
        <f t="shared" si="343"/>
        <v>4610</v>
      </c>
      <c r="T2626" s="693">
        <f t="shared" si="344"/>
        <v>0</v>
      </c>
      <c r="U2626" s="1035"/>
      <c r="V2626" s="690"/>
      <c r="W2626" s="1025"/>
      <c r="X2626" s="1030"/>
      <c r="Y2626" s="694">
        <f t="shared" si="345"/>
        <v>0</v>
      </c>
      <c r="Z2626" s="690"/>
      <c r="AA2626" s="690"/>
      <c r="AB2626" s="695">
        <f t="shared" si="346"/>
        <v>0</v>
      </c>
      <c r="AC2626" s="1035"/>
      <c r="AD2626" s="690"/>
      <c r="AE2626" s="1025"/>
      <c r="AF2626" s="1030"/>
      <c r="AG2626" s="690"/>
      <c r="AH2626" s="690"/>
      <c r="AI2626" s="696">
        <f t="shared" si="347"/>
        <v>4610</v>
      </c>
      <c r="AJ2626" s="697">
        <f t="shared" si="348"/>
        <v>0</v>
      </c>
    </row>
    <row r="2627" spans="1:36" s="700" customFormat="1" ht="12.75" customHeight="1">
      <c r="A2627" s="866" t="s">
        <v>206</v>
      </c>
      <c r="B2627" s="866" t="s">
        <v>400</v>
      </c>
      <c r="C2627" s="860" t="s">
        <v>1423</v>
      </c>
      <c r="D2627" s="860"/>
      <c r="E2627" s="956">
        <v>217837</v>
      </c>
      <c r="F2627" s="845">
        <v>10</v>
      </c>
      <c r="G2627" s="1025"/>
      <c r="H2627" s="690"/>
      <c r="I2627" s="1030">
        <v>44</v>
      </c>
      <c r="J2627" s="690">
        <v>0</v>
      </c>
      <c r="K2627" s="1030"/>
      <c r="L2627" s="690"/>
      <c r="M2627" s="1156"/>
      <c r="N2627" s="1157"/>
      <c r="O2627" s="692">
        <f t="shared" si="341"/>
        <v>0</v>
      </c>
      <c r="P2627" s="1161"/>
      <c r="Q2627" s="1161"/>
      <c r="R2627" s="691">
        <f t="shared" si="342"/>
        <v>0</v>
      </c>
      <c r="S2627" s="692">
        <f t="shared" si="343"/>
        <v>44</v>
      </c>
      <c r="T2627" s="693">
        <f t="shared" si="344"/>
        <v>0</v>
      </c>
      <c r="U2627" s="1035"/>
      <c r="V2627" s="690"/>
      <c r="W2627" s="1025"/>
      <c r="X2627" s="1030"/>
      <c r="Y2627" s="694">
        <f t="shared" si="345"/>
        <v>0</v>
      </c>
      <c r="Z2627" s="690"/>
      <c r="AA2627" s="690"/>
      <c r="AB2627" s="695">
        <f t="shared" si="346"/>
        <v>0</v>
      </c>
      <c r="AC2627" s="1035"/>
      <c r="AD2627" s="690"/>
      <c r="AE2627" s="1025"/>
      <c r="AF2627" s="1030"/>
      <c r="AG2627" s="690"/>
      <c r="AH2627" s="690"/>
      <c r="AI2627" s="696">
        <f t="shared" si="347"/>
        <v>44</v>
      </c>
      <c r="AJ2627" s="697">
        <f t="shared" si="348"/>
        <v>0</v>
      </c>
    </row>
    <row r="2628" spans="1:36" s="700" customFormat="1" ht="12.75" customHeight="1">
      <c r="A2628" s="866" t="s">
        <v>206</v>
      </c>
      <c r="B2628" s="866" t="s">
        <v>400</v>
      </c>
      <c r="C2628" s="860" t="s">
        <v>1473</v>
      </c>
      <c r="D2628" s="860"/>
      <c r="E2628" s="956">
        <v>217837</v>
      </c>
      <c r="F2628" s="845">
        <v>10</v>
      </c>
      <c r="G2628" s="1025"/>
      <c r="H2628" s="690"/>
      <c r="I2628" s="1030">
        <v>6767</v>
      </c>
      <c r="J2628" s="690">
        <v>0</v>
      </c>
      <c r="K2628" s="1030"/>
      <c r="L2628" s="690"/>
      <c r="M2628" s="1156"/>
      <c r="N2628" s="1157"/>
      <c r="O2628" s="692">
        <f t="shared" si="341"/>
        <v>0</v>
      </c>
      <c r="P2628" s="1161"/>
      <c r="Q2628" s="1161"/>
      <c r="R2628" s="691">
        <f t="shared" si="342"/>
        <v>0</v>
      </c>
      <c r="S2628" s="692">
        <f t="shared" si="343"/>
        <v>6767</v>
      </c>
      <c r="T2628" s="693">
        <f t="shared" si="344"/>
        <v>0</v>
      </c>
      <c r="U2628" s="1035"/>
      <c r="V2628" s="690"/>
      <c r="W2628" s="1025"/>
      <c r="X2628" s="1030"/>
      <c r="Y2628" s="694">
        <f t="shared" si="345"/>
        <v>0</v>
      </c>
      <c r="Z2628" s="690"/>
      <c r="AA2628" s="690"/>
      <c r="AB2628" s="695">
        <f t="shared" si="346"/>
        <v>0</v>
      </c>
      <c r="AC2628" s="1035"/>
      <c r="AD2628" s="690"/>
      <c r="AE2628" s="1025"/>
      <c r="AF2628" s="1030"/>
      <c r="AG2628" s="690"/>
      <c r="AH2628" s="690"/>
      <c r="AI2628" s="696">
        <f t="shared" si="347"/>
        <v>6767</v>
      </c>
      <c r="AJ2628" s="697">
        <f t="shared" si="348"/>
        <v>0</v>
      </c>
    </row>
    <row r="2629" spans="1:36" s="700" customFormat="1" ht="12.75" customHeight="1">
      <c r="A2629" s="866" t="s">
        <v>206</v>
      </c>
      <c r="B2629" s="866" t="s">
        <v>400</v>
      </c>
      <c r="C2629" s="860" t="s">
        <v>1474</v>
      </c>
      <c r="D2629" s="860"/>
      <c r="E2629" s="956">
        <v>217837</v>
      </c>
      <c r="F2629" s="845">
        <v>10</v>
      </c>
      <c r="G2629" s="1025"/>
      <c r="H2629" s="690"/>
      <c r="I2629" s="1030">
        <v>157785</v>
      </c>
      <c r="J2629" s="690">
        <v>0</v>
      </c>
      <c r="K2629" s="1030"/>
      <c r="L2629" s="690"/>
      <c r="M2629" s="1156"/>
      <c r="N2629" s="1157"/>
      <c r="O2629" s="692">
        <f t="shared" si="341"/>
        <v>0</v>
      </c>
      <c r="P2629" s="1161"/>
      <c r="Q2629" s="1161"/>
      <c r="R2629" s="691">
        <f t="shared" si="342"/>
        <v>0</v>
      </c>
      <c r="S2629" s="692">
        <f t="shared" si="343"/>
        <v>157785</v>
      </c>
      <c r="T2629" s="693">
        <f t="shared" si="344"/>
        <v>0</v>
      </c>
      <c r="U2629" s="1035"/>
      <c r="V2629" s="690"/>
      <c r="W2629" s="1025"/>
      <c r="X2629" s="1030"/>
      <c r="Y2629" s="694">
        <f t="shared" si="345"/>
        <v>0</v>
      </c>
      <c r="Z2629" s="690"/>
      <c r="AA2629" s="690"/>
      <c r="AB2629" s="695">
        <f t="shared" si="346"/>
        <v>0</v>
      </c>
      <c r="AC2629" s="1035"/>
      <c r="AD2629" s="690"/>
      <c r="AE2629" s="1025"/>
      <c r="AF2629" s="1030"/>
      <c r="AG2629" s="690"/>
      <c r="AH2629" s="690"/>
      <c r="AI2629" s="696">
        <f t="shared" si="347"/>
        <v>157785</v>
      </c>
      <c r="AJ2629" s="697">
        <f t="shared" si="348"/>
        <v>0</v>
      </c>
    </row>
    <row r="2630" spans="1:36" s="700" customFormat="1" ht="12.75" customHeight="1">
      <c r="A2630" s="866" t="s">
        <v>206</v>
      </c>
      <c r="B2630" s="866" t="s">
        <v>400</v>
      </c>
      <c r="C2630" s="860" t="s">
        <v>1442</v>
      </c>
      <c r="D2630" s="860"/>
      <c r="E2630" s="956">
        <v>217837</v>
      </c>
      <c r="F2630" s="845">
        <v>10</v>
      </c>
      <c r="G2630" s="1025"/>
      <c r="H2630" s="690"/>
      <c r="I2630" s="1030">
        <v>141037</v>
      </c>
      <c r="J2630" s="818">
        <v>67858</v>
      </c>
      <c r="K2630" s="1030"/>
      <c r="L2630" s="690"/>
      <c r="M2630" s="1156"/>
      <c r="N2630" s="1157"/>
      <c r="O2630" s="692">
        <f t="shared" si="341"/>
        <v>0</v>
      </c>
      <c r="P2630" s="1161"/>
      <c r="Q2630" s="1161"/>
      <c r="R2630" s="691">
        <f t="shared" si="342"/>
        <v>0</v>
      </c>
      <c r="S2630" s="692">
        <f t="shared" si="343"/>
        <v>141037</v>
      </c>
      <c r="T2630" s="693">
        <f t="shared" si="344"/>
        <v>67858</v>
      </c>
      <c r="U2630" s="1035"/>
      <c r="V2630" s="690"/>
      <c r="W2630" s="1025"/>
      <c r="X2630" s="1030"/>
      <c r="Y2630" s="694">
        <f t="shared" si="345"/>
        <v>0</v>
      </c>
      <c r="Z2630" s="690"/>
      <c r="AA2630" s="690"/>
      <c r="AB2630" s="695">
        <f t="shared" si="346"/>
        <v>0</v>
      </c>
      <c r="AC2630" s="1035"/>
      <c r="AD2630" s="690"/>
      <c r="AE2630" s="1025"/>
      <c r="AF2630" s="1030"/>
      <c r="AG2630" s="690"/>
      <c r="AH2630" s="690"/>
      <c r="AI2630" s="696">
        <f t="shared" si="347"/>
        <v>141037</v>
      </c>
      <c r="AJ2630" s="697">
        <f t="shared" si="348"/>
        <v>67858</v>
      </c>
    </row>
    <row r="2631" spans="1:36" s="700" customFormat="1" ht="12.75" customHeight="1">
      <c r="A2631" s="866" t="s">
        <v>206</v>
      </c>
      <c r="B2631" s="866" t="s">
        <v>392</v>
      </c>
      <c r="C2631" s="955" t="s">
        <v>1492</v>
      </c>
      <c r="D2631" s="955"/>
      <c r="E2631" s="956">
        <v>217712</v>
      </c>
      <c r="F2631" s="845">
        <v>10</v>
      </c>
      <c r="G2631" s="1025">
        <v>3516519</v>
      </c>
      <c r="H2631" s="818">
        <v>2953853</v>
      </c>
      <c r="I2631" s="1030"/>
      <c r="J2631" s="690"/>
      <c r="K2631" s="1030">
        <v>2573150</v>
      </c>
      <c r="L2631" s="690">
        <v>2490000</v>
      </c>
      <c r="M2631" s="1153">
        <v>8802994</v>
      </c>
      <c r="N2631" s="1155">
        <v>105927</v>
      </c>
      <c r="O2631" s="692">
        <f t="shared" si="341"/>
        <v>8908921</v>
      </c>
      <c r="P2631" s="1159">
        <v>7020734</v>
      </c>
      <c r="Q2631" s="1160">
        <v>104537</v>
      </c>
      <c r="R2631" s="691">
        <f t="shared" si="342"/>
        <v>7125271</v>
      </c>
      <c r="S2631" s="692">
        <f t="shared" si="343"/>
        <v>14892663</v>
      </c>
      <c r="T2631" s="693">
        <f t="shared" si="344"/>
        <v>12464587</v>
      </c>
      <c r="U2631" s="1035"/>
      <c r="V2631" s="690"/>
      <c r="W2631" s="1025"/>
      <c r="X2631" s="1030"/>
      <c r="Y2631" s="694">
        <f t="shared" si="345"/>
        <v>0</v>
      </c>
      <c r="Z2631" s="690"/>
      <c r="AA2631" s="690"/>
      <c r="AB2631" s="695">
        <f t="shared" si="346"/>
        <v>0</v>
      </c>
      <c r="AC2631" s="1035"/>
      <c r="AD2631" s="690"/>
      <c r="AE2631" s="1025"/>
      <c r="AF2631" s="1030"/>
      <c r="AG2631" s="690"/>
      <c r="AH2631" s="690"/>
      <c r="AI2631" s="696">
        <f t="shared" si="347"/>
        <v>14892663</v>
      </c>
      <c r="AJ2631" s="697">
        <f t="shared" si="348"/>
        <v>12464587</v>
      </c>
    </row>
    <row r="2632" spans="1:36" s="700" customFormat="1" ht="12.75" customHeight="1">
      <c r="A2632" s="866" t="s">
        <v>206</v>
      </c>
      <c r="B2632" s="866" t="s">
        <v>400</v>
      </c>
      <c r="C2632" s="859" t="s">
        <v>1418</v>
      </c>
      <c r="D2632" s="859"/>
      <c r="E2632" s="956">
        <v>217712</v>
      </c>
      <c r="F2632" s="845">
        <v>10</v>
      </c>
      <c r="G2632" s="1025"/>
      <c r="H2632" s="690"/>
      <c r="I2632" s="1030"/>
      <c r="J2632" s="690"/>
      <c r="K2632" s="1030"/>
      <c r="L2632" s="690"/>
      <c r="M2632" s="1156"/>
      <c r="N2632" s="1157"/>
      <c r="O2632" s="692">
        <f t="shared" si="341"/>
        <v>0</v>
      </c>
      <c r="P2632" s="1161"/>
      <c r="Q2632" s="1161"/>
      <c r="R2632" s="691">
        <f t="shared" si="342"/>
        <v>0</v>
      </c>
      <c r="S2632" s="692">
        <f t="shared" si="343"/>
        <v>0</v>
      </c>
      <c r="T2632" s="693">
        <f t="shared" si="344"/>
        <v>0</v>
      </c>
      <c r="U2632" s="1035"/>
      <c r="V2632" s="690"/>
      <c r="W2632" s="1025"/>
      <c r="X2632" s="1030"/>
      <c r="Y2632" s="694">
        <f t="shared" si="345"/>
        <v>0</v>
      </c>
      <c r="Z2632" s="690"/>
      <c r="AA2632" s="690"/>
      <c r="AB2632" s="695">
        <f t="shared" si="346"/>
        <v>0</v>
      </c>
      <c r="AC2632" s="1035"/>
      <c r="AD2632" s="690"/>
      <c r="AE2632" s="1025"/>
      <c r="AF2632" s="1030"/>
      <c r="AG2632" s="690"/>
      <c r="AH2632" s="690"/>
      <c r="AI2632" s="696">
        <f t="shared" si="347"/>
        <v>0</v>
      </c>
      <c r="AJ2632" s="697">
        <f t="shared" si="348"/>
        <v>0</v>
      </c>
    </row>
    <row r="2633" spans="1:36" s="700" customFormat="1" ht="12.75" customHeight="1">
      <c r="A2633" s="866" t="s">
        <v>206</v>
      </c>
      <c r="B2633" s="866" t="s">
        <v>400</v>
      </c>
      <c r="C2633" s="860" t="s">
        <v>1469</v>
      </c>
      <c r="D2633" s="860"/>
      <c r="E2633" s="956">
        <v>217712</v>
      </c>
      <c r="F2633" s="845">
        <v>10</v>
      </c>
      <c r="G2633" s="1025"/>
      <c r="H2633" s="690"/>
      <c r="I2633" s="1030">
        <v>7118</v>
      </c>
      <c r="J2633" s="690">
        <v>0</v>
      </c>
      <c r="K2633" s="1030"/>
      <c r="L2633" s="690"/>
      <c r="M2633" s="1156"/>
      <c r="N2633" s="1157"/>
      <c r="O2633" s="692">
        <f t="shared" si="341"/>
        <v>0</v>
      </c>
      <c r="P2633" s="1161"/>
      <c r="Q2633" s="1161"/>
      <c r="R2633" s="691">
        <f t="shared" si="342"/>
        <v>0</v>
      </c>
      <c r="S2633" s="692">
        <f t="shared" si="343"/>
        <v>7118</v>
      </c>
      <c r="T2633" s="693">
        <f t="shared" si="344"/>
        <v>0</v>
      </c>
      <c r="U2633" s="1035"/>
      <c r="V2633" s="690"/>
      <c r="W2633" s="1025"/>
      <c r="X2633" s="1030"/>
      <c r="Y2633" s="694">
        <f t="shared" si="345"/>
        <v>0</v>
      </c>
      <c r="Z2633" s="690"/>
      <c r="AA2633" s="690"/>
      <c r="AB2633" s="695">
        <f t="shared" si="346"/>
        <v>0</v>
      </c>
      <c r="AC2633" s="1035"/>
      <c r="AD2633" s="690"/>
      <c r="AE2633" s="1025"/>
      <c r="AF2633" s="1030"/>
      <c r="AG2633" s="690"/>
      <c r="AH2633" s="690"/>
      <c r="AI2633" s="696">
        <f t="shared" si="347"/>
        <v>7118</v>
      </c>
      <c r="AJ2633" s="697">
        <f t="shared" si="348"/>
        <v>0</v>
      </c>
    </row>
    <row r="2634" spans="1:36" s="700" customFormat="1" ht="12.75" customHeight="1">
      <c r="A2634" s="866" t="s">
        <v>206</v>
      </c>
      <c r="B2634" s="866" t="s">
        <v>400</v>
      </c>
      <c r="C2634" s="860" t="s">
        <v>1470</v>
      </c>
      <c r="D2634" s="860"/>
      <c r="E2634" s="956">
        <v>217712</v>
      </c>
      <c r="F2634" s="845">
        <v>10</v>
      </c>
      <c r="G2634" s="1025"/>
      <c r="H2634" s="690"/>
      <c r="I2634" s="1030">
        <v>14807</v>
      </c>
      <c r="J2634" s="690">
        <v>0</v>
      </c>
      <c r="K2634" s="1030"/>
      <c r="L2634" s="690"/>
      <c r="M2634" s="1156"/>
      <c r="N2634" s="1157"/>
      <c r="O2634" s="692">
        <f t="shared" ref="O2634:O2697" si="349">SUM(M2634:N2634)</f>
        <v>0</v>
      </c>
      <c r="P2634" s="1161"/>
      <c r="Q2634" s="1161"/>
      <c r="R2634" s="691">
        <f t="shared" ref="R2634:R2697" si="350">SUM(P2634:Q2634)</f>
        <v>0</v>
      </c>
      <c r="S2634" s="692">
        <f t="shared" ref="S2634:S2697" si="351">SUM(G2634,I2634,K2634,M2634)</f>
        <v>14807</v>
      </c>
      <c r="T2634" s="693">
        <f t="shared" ref="T2634:T2697" si="352">SUM(H2634,J2634,L2634,P2634)</f>
        <v>0</v>
      </c>
      <c r="U2634" s="1035"/>
      <c r="V2634" s="690"/>
      <c r="W2634" s="1025"/>
      <c r="X2634" s="1030"/>
      <c r="Y2634" s="694">
        <f t="shared" ref="Y2634:Y2697" si="353">SUM(W2634:X2634)</f>
        <v>0</v>
      </c>
      <c r="Z2634" s="690"/>
      <c r="AA2634" s="690"/>
      <c r="AB2634" s="695">
        <f t="shared" ref="AB2634:AB2697" si="354">SUM(Z2634:AA2634)</f>
        <v>0</v>
      </c>
      <c r="AC2634" s="1035"/>
      <c r="AD2634" s="690"/>
      <c r="AE2634" s="1025"/>
      <c r="AF2634" s="1030"/>
      <c r="AG2634" s="690"/>
      <c r="AH2634" s="690"/>
      <c r="AI2634" s="696">
        <f t="shared" ref="AI2634:AI2697" si="355">SUM(S2634,U2634,W2634,AC2634,AE2634)</f>
        <v>14807</v>
      </c>
      <c r="AJ2634" s="697">
        <f t="shared" ref="AJ2634:AJ2697" si="356">SUM(T2634,V2634,Z2634,AD2634,AG2634)</f>
        <v>0</v>
      </c>
    </row>
    <row r="2635" spans="1:36" s="700" customFormat="1" ht="12.75" customHeight="1">
      <c r="A2635" s="866" t="s">
        <v>206</v>
      </c>
      <c r="B2635" s="866" t="s">
        <v>400</v>
      </c>
      <c r="C2635" s="860" t="s">
        <v>1472</v>
      </c>
      <c r="D2635" s="860"/>
      <c r="E2635" s="956">
        <v>217712</v>
      </c>
      <c r="F2635" s="845">
        <v>10</v>
      </c>
      <c r="G2635" s="1025"/>
      <c r="H2635" s="690"/>
      <c r="I2635" s="1030">
        <v>44452</v>
      </c>
      <c r="J2635" s="690">
        <v>37784</v>
      </c>
      <c r="K2635" s="1030"/>
      <c r="L2635" s="690"/>
      <c r="M2635" s="1156"/>
      <c r="N2635" s="1157"/>
      <c r="O2635" s="692">
        <f t="shared" si="349"/>
        <v>0</v>
      </c>
      <c r="P2635" s="1161"/>
      <c r="Q2635" s="1161"/>
      <c r="R2635" s="691">
        <f t="shared" si="350"/>
        <v>0</v>
      </c>
      <c r="S2635" s="692">
        <f t="shared" si="351"/>
        <v>44452</v>
      </c>
      <c r="T2635" s="693">
        <f t="shared" si="352"/>
        <v>37784</v>
      </c>
      <c r="U2635" s="1035"/>
      <c r="V2635" s="690"/>
      <c r="W2635" s="1025"/>
      <c r="X2635" s="1030"/>
      <c r="Y2635" s="694">
        <f t="shared" si="353"/>
        <v>0</v>
      </c>
      <c r="Z2635" s="690"/>
      <c r="AA2635" s="690"/>
      <c r="AB2635" s="695">
        <f t="shared" si="354"/>
        <v>0</v>
      </c>
      <c r="AC2635" s="1035"/>
      <c r="AD2635" s="690"/>
      <c r="AE2635" s="1025"/>
      <c r="AF2635" s="1030"/>
      <c r="AG2635" s="690"/>
      <c r="AH2635" s="690"/>
      <c r="AI2635" s="696">
        <f t="shared" si="355"/>
        <v>44452</v>
      </c>
      <c r="AJ2635" s="697">
        <f t="shared" si="356"/>
        <v>37784</v>
      </c>
    </row>
    <row r="2636" spans="1:36" s="700" customFormat="1" ht="12.75" customHeight="1">
      <c r="A2636" s="866" t="s">
        <v>206</v>
      </c>
      <c r="B2636" s="866" t="s">
        <v>400</v>
      </c>
      <c r="C2636" s="860" t="s">
        <v>1422</v>
      </c>
      <c r="D2636" s="860"/>
      <c r="E2636" s="956">
        <v>217712</v>
      </c>
      <c r="F2636" s="845">
        <v>10</v>
      </c>
      <c r="G2636" s="1025"/>
      <c r="H2636" s="690"/>
      <c r="I2636" s="1030">
        <v>5372</v>
      </c>
      <c r="J2636" s="690">
        <v>0</v>
      </c>
      <c r="K2636" s="1030"/>
      <c r="L2636" s="690"/>
      <c r="M2636" s="1156"/>
      <c r="N2636" s="1157"/>
      <c r="O2636" s="692">
        <f t="shared" si="349"/>
        <v>0</v>
      </c>
      <c r="P2636" s="1161"/>
      <c r="Q2636" s="1161"/>
      <c r="R2636" s="691">
        <f t="shared" si="350"/>
        <v>0</v>
      </c>
      <c r="S2636" s="692">
        <f t="shared" si="351"/>
        <v>5372</v>
      </c>
      <c r="T2636" s="693">
        <f t="shared" si="352"/>
        <v>0</v>
      </c>
      <c r="U2636" s="1035"/>
      <c r="V2636" s="690"/>
      <c r="W2636" s="1025"/>
      <c r="X2636" s="1030"/>
      <c r="Y2636" s="694">
        <f t="shared" si="353"/>
        <v>0</v>
      </c>
      <c r="Z2636" s="690"/>
      <c r="AA2636" s="690"/>
      <c r="AB2636" s="695">
        <f t="shared" si="354"/>
        <v>0</v>
      </c>
      <c r="AC2636" s="1035"/>
      <c r="AD2636" s="690"/>
      <c r="AE2636" s="1025"/>
      <c r="AF2636" s="1030"/>
      <c r="AG2636" s="690"/>
      <c r="AH2636" s="690"/>
      <c r="AI2636" s="696">
        <f t="shared" si="355"/>
        <v>5372</v>
      </c>
      <c r="AJ2636" s="697">
        <f t="shared" si="356"/>
        <v>0</v>
      </c>
    </row>
    <row r="2637" spans="1:36" s="700" customFormat="1" ht="12.75" customHeight="1">
      <c r="A2637" s="866" t="s">
        <v>206</v>
      </c>
      <c r="B2637" s="866" t="s">
        <v>400</v>
      </c>
      <c r="C2637" s="860" t="s">
        <v>1423</v>
      </c>
      <c r="D2637" s="860"/>
      <c r="E2637" s="956">
        <v>217712</v>
      </c>
      <c r="F2637" s="845">
        <v>10</v>
      </c>
      <c r="G2637" s="1025"/>
      <c r="H2637" s="690"/>
      <c r="I2637" s="1030">
        <v>565</v>
      </c>
      <c r="J2637" s="690">
        <v>0</v>
      </c>
      <c r="K2637" s="1030"/>
      <c r="L2637" s="690"/>
      <c r="M2637" s="1156"/>
      <c r="N2637" s="1157"/>
      <c r="O2637" s="692">
        <f t="shared" si="349"/>
        <v>0</v>
      </c>
      <c r="P2637" s="1161"/>
      <c r="Q2637" s="1161"/>
      <c r="R2637" s="691">
        <f t="shared" si="350"/>
        <v>0</v>
      </c>
      <c r="S2637" s="692">
        <f t="shared" si="351"/>
        <v>565</v>
      </c>
      <c r="T2637" s="693">
        <f t="shared" si="352"/>
        <v>0</v>
      </c>
      <c r="U2637" s="1035"/>
      <c r="V2637" s="690"/>
      <c r="W2637" s="1025"/>
      <c r="X2637" s="1030"/>
      <c r="Y2637" s="694">
        <f t="shared" si="353"/>
        <v>0</v>
      </c>
      <c r="Z2637" s="690"/>
      <c r="AA2637" s="690"/>
      <c r="AB2637" s="695">
        <f t="shared" si="354"/>
        <v>0</v>
      </c>
      <c r="AC2637" s="1035"/>
      <c r="AD2637" s="690"/>
      <c r="AE2637" s="1025"/>
      <c r="AF2637" s="1030"/>
      <c r="AG2637" s="690"/>
      <c r="AH2637" s="690"/>
      <c r="AI2637" s="696">
        <f t="shared" si="355"/>
        <v>565</v>
      </c>
      <c r="AJ2637" s="697">
        <f t="shared" si="356"/>
        <v>0</v>
      </c>
    </row>
    <row r="2638" spans="1:36" s="700" customFormat="1" ht="12.75" customHeight="1">
      <c r="A2638" s="866" t="s">
        <v>206</v>
      </c>
      <c r="B2638" s="866" t="s">
        <v>400</v>
      </c>
      <c r="C2638" s="860" t="s">
        <v>1419</v>
      </c>
      <c r="D2638" s="860"/>
      <c r="E2638" s="956">
        <v>217712</v>
      </c>
      <c r="F2638" s="845">
        <v>10</v>
      </c>
      <c r="G2638" s="1025"/>
      <c r="H2638" s="690"/>
      <c r="I2638" s="1030">
        <v>17752</v>
      </c>
      <c r="J2638" s="690" t="s">
        <v>1420</v>
      </c>
      <c r="K2638" s="1030"/>
      <c r="L2638" s="690"/>
      <c r="M2638" s="1156"/>
      <c r="N2638" s="1157"/>
      <c r="O2638" s="692">
        <f t="shared" si="349"/>
        <v>0</v>
      </c>
      <c r="P2638" s="1161"/>
      <c r="Q2638" s="1161"/>
      <c r="R2638" s="691">
        <f t="shared" si="350"/>
        <v>0</v>
      </c>
      <c r="S2638" s="692">
        <f t="shared" si="351"/>
        <v>17752</v>
      </c>
      <c r="T2638" s="693">
        <f t="shared" si="352"/>
        <v>0</v>
      </c>
      <c r="U2638" s="1035"/>
      <c r="V2638" s="690"/>
      <c r="W2638" s="1025"/>
      <c r="X2638" s="1030"/>
      <c r="Y2638" s="694">
        <f t="shared" si="353"/>
        <v>0</v>
      </c>
      <c r="Z2638" s="690"/>
      <c r="AA2638" s="690"/>
      <c r="AB2638" s="695">
        <f t="shared" si="354"/>
        <v>0</v>
      </c>
      <c r="AC2638" s="1035"/>
      <c r="AD2638" s="690"/>
      <c r="AE2638" s="1025"/>
      <c r="AF2638" s="1030"/>
      <c r="AG2638" s="690"/>
      <c r="AH2638" s="690"/>
      <c r="AI2638" s="696">
        <f t="shared" si="355"/>
        <v>17752</v>
      </c>
      <c r="AJ2638" s="697">
        <f t="shared" si="356"/>
        <v>0</v>
      </c>
    </row>
    <row r="2639" spans="1:36" s="700" customFormat="1" ht="12.75" customHeight="1">
      <c r="A2639" s="866" t="s">
        <v>206</v>
      </c>
      <c r="B2639" s="866" t="s">
        <v>400</v>
      </c>
      <c r="C2639" s="860" t="s">
        <v>1473</v>
      </c>
      <c r="D2639" s="860"/>
      <c r="E2639" s="956">
        <v>217712</v>
      </c>
      <c r="F2639" s="845">
        <v>10</v>
      </c>
      <c r="G2639" s="1025"/>
      <c r="H2639" s="690"/>
      <c r="I2639" s="1030">
        <v>20988</v>
      </c>
      <c r="J2639" s="690">
        <v>0</v>
      </c>
      <c r="K2639" s="1030"/>
      <c r="L2639" s="690"/>
      <c r="M2639" s="1156"/>
      <c r="N2639" s="1157"/>
      <c r="O2639" s="692">
        <f t="shared" si="349"/>
        <v>0</v>
      </c>
      <c r="P2639" s="1161"/>
      <c r="Q2639" s="1161"/>
      <c r="R2639" s="691">
        <f t="shared" si="350"/>
        <v>0</v>
      </c>
      <c r="S2639" s="692">
        <f t="shared" si="351"/>
        <v>20988</v>
      </c>
      <c r="T2639" s="693">
        <f t="shared" si="352"/>
        <v>0</v>
      </c>
      <c r="U2639" s="1035"/>
      <c r="V2639" s="690"/>
      <c r="W2639" s="1025"/>
      <c r="X2639" s="1030"/>
      <c r="Y2639" s="694">
        <f t="shared" si="353"/>
        <v>0</v>
      </c>
      <c r="Z2639" s="690"/>
      <c r="AA2639" s="690"/>
      <c r="AB2639" s="695">
        <f t="shared" si="354"/>
        <v>0</v>
      </c>
      <c r="AC2639" s="1035"/>
      <c r="AD2639" s="690"/>
      <c r="AE2639" s="1025"/>
      <c r="AF2639" s="1030"/>
      <c r="AG2639" s="690"/>
      <c r="AH2639" s="690"/>
      <c r="AI2639" s="696">
        <f t="shared" si="355"/>
        <v>20988</v>
      </c>
      <c r="AJ2639" s="697">
        <f t="shared" si="356"/>
        <v>0</v>
      </c>
    </row>
    <row r="2640" spans="1:36" s="700" customFormat="1" ht="12.75" customHeight="1">
      <c r="A2640" s="866" t="s">
        <v>206</v>
      </c>
      <c r="B2640" s="866" t="s">
        <v>400</v>
      </c>
      <c r="C2640" s="860" t="s">
        <v>1474</v>
      </c>
      <c r="D2640" s="860"/>
      <c r="E2640" s="956">
        <v>217712</v>
      </c>
      <c r="F2640" s="845">
        <v>10</v>
      </c>
      <c r="G2640" s="1025"/>
      <c r="H2640" s="690"/>
      <c r="I2640" s="1030">
        <v>179133</v>
      </c>
      <c r="J2640" s="690">
        <v>0</v>
      </c>
      <c r="K2640" s="1030"/>
      <c r="L2640" s="690"/>
      <c r="M2640" s="1156"/>
      <c r="N2640" s="1157"/>
      <c r="O2640" s="692">
        <f t="shared" si="349"/>
        <v>0</v>
      </c>
      <c r="P2640" s="1161"/>
      <c r="Q2640" s="1161"/>
      <c r="R2640" s="691">
        <f t="shared" si="350"/>
        <v>0</v>
      </c>
      <c r="S2640" s="692">
        <f t="shared" si="351"/>
        <v>179133</v>
      </c>
      <c r="T2640" s="693">
        <f t="shared" si="352"/>
        <v>0</v>
      </c>
      <c r="U2640" s="1035"/>
      <c r="V2640" s="690"/>
      <c r="W2640" s="1025"/>
      <c r="X2640" s="1030"/>
      <c r="Y2640" s="694">
        <f t="shared" si="353"/>
        <v>0</v>
      </c>
      <c r="Z2640" s="690"/>
      <c r="AA2640" s="690"/>
      <c r="AB2640" s="695">
        <f t="shared" si="354"/>
        <v>0</v>
      </c>
      <c r="AC2640" s="1035"/>
      <c r="AD2640" s="690"/>
      <c r="AE2640" s="1025"/>
      <c r="AF2640" s="1030"/>
      <c r="AG2640" s="690"/>
      <c r="AH2640" s="690"/>
      <c r="AI2640" s="696">
        <f t="shared" si="355"/>
        <v>179133</v>
      </c>
      <c r="AJ2640" s="697">
        <f t="shared" si="356"/>
        <v>0</v>
      </c>
    </row>
    <row r="2641" spans="1:36" s="700" customFormat="1" ht="12.75" customHeight="1">
      <c r="A2641" s="866" t="s">
        <v>206</v>
      </c>
      <c r="B2641" s="866" t="s">
        <v>400</v>
      </c>
      <c r="C2641" s="860" t="s">
        <v>1442</v>
      </c>
      <c r="D2641" s="860"/>
      <c r="E2641" s="956">
        <v>217712</v>
      </c>
      <c r="F2641" s="845">
        <v>10</v>
      </c>
      <c r="G2641" s="1025"/>
      <c r="H2641" s="690"/>
      <c r="I2641" s="1030">
        <v>138083</v>
      </c>
      <c r="J2641" s="818">
        <v>82752</v>
      </c>
      <c r="K2641" s="1030"/>
      <c r="L2641" s="690"/>
      <c r="M2641" s="1156"/>
      <c r="N2641" s="1157"/>
      <c r="O2641" s="692">
        <f t="shared" si="349"/>
        <v>0</v>
      </c>
      <c r="P2641" s="1161"/>
      <c r="Q2641" s="1161"/>
      <c r="R2641" s="691">
        <f t="shared" si="350"/>
        <v>0</v>
      </c>
      <c r="S2641" s="692">
        <f t="shared" si="351"/>
        <v>138083</v>
      </c>
      <c r="T2641" s="693">
        <f t="shared" si="352"/>
        <v>82752</v>
      </c>
      <c r="U2641" s="1035"/>
      <c r="V2641" s="690"/>
      <c r="W2641" s="1025"/>
      <c r="X2641" s="1030"/>
      <c r="Y2641" s="694">
        <f t="shared" si="353"/>
        <v>0</v>
      </c>
      <c r="Z2641" s="690"/>
      <c r="AA2641" s="690"/>
      <c r="AB2641" s="695">
        <f t="shared" si="354"/>
        <v>0</v>
      </c>
      <c r="AC2641" s="1035"/>
      <c r="AD2641" s="690"/>
      <c r="AE2641" s="1025"/>
      <c r="AF2641" s="1030"/>
      <c r="AG2641" s="690"/>
      <c r="AH2641" s="690"/>
      <c r="AI2641" s="696">
        <f t="shared" si="355"/>
        <v>138083</v>
      </c>
      <c r="AJ2641" s="697">
        <f t="shared" si="356"/>
        <v>82752</v>
      </c>
    </row>
    <row r="2642" spans="1:36" s="700" customFormat="1" ht="12.75" customHeight="1">
      <c r="A2642" s="866" t="s">
        <v>206</v>
      </c>
      <c r="B2642" s="866" t="s">
        <v>392</v>
      </c>
      <c r="C2642" s="955" t="s">
        <v>1493</v>
      </c>
      <c r="D2642" s="955"/>
      <c r="E2642" s="956">
        <v>218672</v>
      </c>
      <c r="F2642" s="845">
        <v>10</v>
      </c>
      <c r="G2642" s="1025">
        <v>1611857</v>
      </c>
      <c r="H2642" s="690">
        <v>1275000</v>
      </c>
      <c r="I2642" s="1030"/>
      <c r="J2642" s="690"/>
      <c r="K2642" s="1030"/>
      <c r="L2642" s="690"/>
      <c r="M2642" s="1153">
        <v>6569170</v>
      </c>
      <c r="N2642" s="1155">
        <v>47419</v>
      </c>
      <c r="O2642" s="692">
        <f t="shared" si="349"/>
        <v>6616589</v>
      </c>
      <c r="P2642" s="1159">
        <v>7117666</v>
      </c>
      <c r="Q2642" s="1160">
        <v>19823</v>
      </c>
      <c r="R2642" s="691">
        <f t="shared" si="350"/>
        <v>7137489</v>
      </c>
      <c r="S2642" s="692">
        <f t="shared" si="351"/>
        <v>8181027</v>
      </c>
      <c r="T2642" s="693">
        <f t="shared" si="352"/>
        <v>8392666</v>
      </c>
      <c r="U2642" s="1035"/>
      <c r="V2642" s="690"/>
      <c r="W2642" s="1025"/>
      <c r="X2642" s="1030"/>
      <c r="Y2642" s="694">
        <f t="shared" si="353"/>
        <v>0</v>
      </c>
      <c r="Z2642" s="690"/>
      <c r="AA2642" s="690"/>
      <c r="AB2642" s="695">
        <f t="shared" si="354"/>
        <v>0</v>
      </c>
      <c r="AC2642" s="1035"/>
      <c r="AD2642" s="690"/>
      <c r="AE2642" s="1025"/>
      <c r="AF2642" s="1030"/>
      <c r="AG2642" s="690"/>
      <c r="AH2642" s="690"/>
      <c r="AI2642" s="696">
        <f t="shared" si="355"/>
        <v>8181027</v>
      </c>
      <c r="AJ2642" s="697">
        <f t="shared" si="356"/>
        <v>8392666</v>
      </c>
    </row>
    <row r="2643" spans="1:36" s="700" customFormat="1" ht="12.75" customHeight="1">
      <c r="A2643" s="866" t="s">
        <v>206</v>
      </c>
      <c r="B2643" s="866" t="s">
        <v>392</v>
      </c>
      <c r="C2643" s="860" t="s">
        <v>1414</v>
      </c>
      <c r="D2643" s="860"/>
      <c r="E2643" s="956">
        <v>218672</v>
      </c>
      <c r="F2643" s="845">
        <v>10</v>
      </c>
      <c r="G2643" s="1025">
        <v>320139</v>
      </c>
      <c r="H2643" s="690">
        <v>267935</v>
      </c>
      <c r="I2643" s="1030"/>
      <c r="J2643" s="690"/>
      <c r="K2643" s="1030"/>
      <c r="L2643" s="690"/>
      <c r="M2643" s="1025"/>
      <c r="N2643" s="1030"/>
      <c r="O2643" s="692">
        <f t="shared" si="349"/>
        <v>0</v>
      </c>
      <c r="P2643" s="690"/>
      <c r="Q2643" s="690"/>
      <c r="R2643" s="691">
        <f t="shared" si="350"/>
        <v>0</v>
      </c>
      <c r="S2643" s="692">
        <f t="shared" si="351"/>
        <v>320139</v>
      </c>
      <c r="T2643" s="693">
        <f t="shared" si="352"/>
        <v>267935</v>
      </c>
      <c r="U2643" s="1035"/>
      <c r="V2643" s="690"/>
      <c r="W2643" s="1025"/>
      <c r="X2643" s="1030"/>
      <c r="Y2643" s="694">
        <f t="shared" si="353"/>
        <v>0</v>
      </c>
      <c r="Z2643" s="690"/>
      <c r="AA2643" s="690"/>
      <c r="AB2643" s="695">
        <f t="shared" si="354"/>
        <v>0</v>
      </c>
      <c r="AC2643" s="1035"/>
      <c r="AD2643" s="690"/>
      <c r="AE2643" s="1025"/>
      <c r="AF2643" s="1030"/>
      <c r="AG2643" s="690"/>
      <c r="AH2643" s="690"/>
      <c r="AI2643" s="696">
        <f t="shared" si="355"/>
        <v>320139</v>
      </c>
      <c r="AJ2643" s="697">
        <f t="shared" si="356"/>
        <v>267935</v>
      </c>
    </row>
    <row r="2644" spans="1:36" s="700" customFormat="1" ht="12.75" customHeight="1">
      <c r="A2644" s="866" t="s">
        <v>206</v>
      </c>
      <c r="B2644" s="866" t="s">
        <v>400</v>
      </c>
      <c r="C2644" s="859" t="s">
        <v>1418</v>
      </c>
      <c r="D2644" s="859"/>
      <c r="E2644" s="956">
        <v>218672</v>
      </c>
      <c r="F2644" s="845">
        <v>10</v>
      </c>
      <c r="G2644" s="1025"/>
      <c r="H2644" s="690"/>
      <c r="I2644" s="1030"/>
      <c r="J2644" s="690"/>
      <c r="K2644" s="1030"/>
      <c r="L2644" s="690"/>
      <c r="M2644" s="1025"/>
      <c r="N2644" s="1030"/>
      <c r="O2644" s="692">
        <f t="shared" si="349"/>
        <v>0</v>
      </c>
      <c r="P2644" s="690"/>
      <c r="Q2644" s="690"/>
      <c r="R2644" s="691">
        <f t="shared" si="350"/>
        <v>0</v>
      </c>
      <c r="S2644" s="692">
        <f t="shared" si="351"/>
        <v>0</v>
      </c>
      <c r="T2644" s="693">
        <f t="shared" si="352"/>
        <v>0</v>
      </c>
      <c r="U2644" s="1035"/>
      <c r="V2644" s="690"/>
      <c r="W2644" s="1025"/>
      <c r="X2644" s="1030"/>
      <c r="Y2644" s="694">
        <f t="shared" si="353"/>
        <v>0</v>
      </c>
      <c r="Z2644" s="690"/>
      <c r="AA2644" s="690"/>
      <c r="AB2644" s="695">
        <f t="shared" si="354"/>
        <v>0</v>
      </c>
      <c r="AC2644" s="1035"/>
      <c r="AD2644" s="690"/>
      <c r="AE2644" s="1025"/>
      <c r="AF2644" s="1030"/>
      <c r="AG2644" s="690"/>
      <c r="AH2644" s="690"/>
      <c r="AI2644" s="696">
        <f t="shared" si="355"/>
        <v>0</v>
      </c>
      <c r="AJ2644" s="697">
        <f t="shared" si="356"/>
        <v>0</v>
      </c>
    </row>
    <row r="2645" spans="1:36" s="700" customFormat="1" ht="12.75" customHeight="1">
      <c r="A2645" s="866" t="s">
        <v>206</v>
      </c>
      <c r="B2645" s="866" t="s">
        <v>400</v>
      </c>
      <c r="C2645" s="860" t="s">
        <v>1494</v>
      </c>
      <c r="D2645" s="860"/>
      <c r="E2645" s="956">
        <v>218672</v>
      </c>
      <c r="F2645" s="845">
        <v>10</v>
      </c>
      <c r="G2645" s="1025"/>
      <c r="H2645" s="690"/>
      <c r="I2645" s="1030"/>
      <c r="J2645" s="690"/>
      <c r="K2645" s="1030"/>
      <c r="L2645" s="690"/>
      <c r="M2645" s="1025"/>
      <c r="N2645" s="1030"/>
      <c r="O2645" s="692">
        <f t="shared" si="349"/>
        <v>0</v>
      </c>
      <c r="P2645" s="690"/>
      <c r="Q2645" s="690"/>
      <c r="R2645" s="691">
        <f t="shared" si="350"/>
        <v>0</v>
      </c>
      <c r="S2645" s="692">
        <f t="shared" si="351"/>
        <v>0</v>
      </c>
      <c r="T2645" s="693">
        <f t="shared" si="352"/>
        <v>0</v>
      </c>
      <c r="U2645" s="1035"/>
      <c r="V2645" s="690"/>
      <c r="W2645" s="1025"/>
      <c r="X2645" s="1030"/>
      <c r="Y2645" s="694">
        <f t="shared" si="353"/>
        <v>0</v>
      </c>
      <c r="Z2645" s="690"/>
      <c r="AA2645" s="690"/>
      <c r="AB2645" s="695">
        <f t="shared" si="354"/>
        <v>0</v>
      </c>
      <c r="AC2645" s="1035"/>
      <c r="AD2645" s="690"/>
      <c r="AE2645" s="1025"/>
      <c r="AF2645" s="1030"/>
      <c r="AG2645" s="690"/>
      <c r="AH2645" s="690"/>
      <c r="AI2645" s="696">
        <f t="shared" si="355"/>
        <v>0</v>
      </c>
      <c r="AJ2645" s="697">
        <f t="shared" si="356"/>
        <v>0</v>
      </c>
    </row>
    <row r="2646" spans="1:36" s="700" customFormat="1" ht="12.75" customHeight="1">
      <c r="A2646" s="866" t="s">
        <v>206</v>
      </c>
      <c r="B2646" s="866" t="s">
        <v>400</v>
      </c>
      <c r="C2646" s="860" t="s">
        <v>1422</v>
      </c>
      <c r="D2646" s="860"/>
      <c r="E2646" s="956">
        <v>218672</v>
      </c>
      <c r="F2646" s="845">
        <v>10</v>
      </c>
      <c r="G2646" s="1025"/>
      <c r="H2646" s="690"/>
      <c r="I2646" s="1030">
        <v>5067</v>
      </c>
      <c r="J2646" s="690">
        <v>0</v>
      </c>
      <c r="K2646" s="1030"/>
      <c r="L2646" s="690"/>
      <c r="M2646" s="1025"/>
      <c r="N2646" s="1030"/>
      <c r="O2646" s="692">
        <f t="shared" si="349"/>
        <v>0</v>
      </c>
      <c r="P2646" s="690"/>
      <c r="Q2646" s="690"/>
      <c r="R2646" s="691">
        <f t="shared" si="350"/>
        <v>0</v>
      </c>
      <c r="S2646" s="692">
        <f t="shared" si="351"/>
        <v>5067</v>
      </c>
      <c r="T2646" s="693">
        <f t="shared" si="352"/>
        <v>0</v>
      </c>
      <c r="U2646" s="1035"/>
      <c r="V2646" s="690"/>
      <c r="W2646" s="1025"/>
      <c r="X2646" s="1030"/>
      <c r="Y2646" s="694">
        <f t="shared" si="353"/>
        <v>0</v>
      </c>
      <c r="Z2646" s="690"/>
      <c r="AA2646" s="690"/>
      <c r="AB2646" s="695">
        <f t="shared" si="354"/>
        <v>0</v>
      </c>
      <c r="AC2646" s="1035"/>
      <c r="AD2646" s="690"/>
      <c r="AE2646" s="1025"/>
      <c r="AF2646" s="1030"/>
      <c r="AG2646" s="690"/>
      <c r="AH2646" s="690"/>
      <c r="AI2646" s="696">
        <f t="shared" si="355"/>
        <v>5067</v>
      </c>
      <c r="AJ2646" s="697">
        <f t="shared" si="356"/>
        <v>0</v>
      </c>
    </row>
    <row r="2647" spans="1:36" s="700" customFormat="1" ht="12.75" customHeight="1">
      <c r="A2647" s="866" t="s">
        <v>206</v>
      </c>
      <c r="B2647" s="866" t="s">
        <v>400</v>
      </c>
      <c r="C2647" s="860" t="s">
        <v>1423</v>
      </c>
      <c r="D2647" s="860"/>
      <c r="E2647" s="956">
        <v>218672</v>
      </c>
      <c r="F2647" s="845">
        <v>10</v>
      </c>
      <c r="G2647" s="1025"/>
      <c r="H2647" s="690"/>
      <c r="I2647" s="1030">
        <v>6949</v>
      </c>
      <c r="J2647" s="690">
        <v>3638</v>
      </c>
      <c r="K2647" s="1030"/>
      <c r="L2647" s="690"/>
      <c r="M2647" s="1025"/>
      <c r="N2647" s="1030"/>
      <c r="O2647" s="692">
        <f t="shared" si="349"/>
        <v>0</v>
      </c>
      <c r="P2647" s="690"/>
      <c r="Q2647" s="690"/>
      <c r="R2647" s="691">
        <f t="shared" si="350"/>
        <v>0</v>
      </c>
      <c r="S2647" s="692">
        <f t="shared" si="351"/>
        <v>6949</v>
      </c>
      <c r="T2647" s="693">
        <f t="shared" si="352"/>
        <v>3638</v>
      </c>
      <c r="U2647" s="1035"/>
      <c r="V2647" s="690"/>
      <c r="W2647" s="1025"/>
      <c r="X2647" s="1030"/>
      <c r="Y2647" s="694">
        <f t="shared" si="353"/>
        <v>0</v>
      </c>
      <c r="Z2647" s="690"/>
      <c r="AA2647" s="690"/>
      <c r="AB2647" s="695">
        <f t="shared" si="354"/>
        <v>0</v>
      </c>
      <c r="AC2647" s="1035"/>
      <c r="AD2647" s="690"/>
      <c r="AE2647" s="1025"/>
      <c r="AF2647" s="1030"/>
      <c r="AG2647" s="690"/>
      <c r="AH2647" s="690"/>
      <c r="AI2647" s="696">
        <f t="shared" si="355"/>
        <v>6949</v>
      </c>
      <c r="AJ2647" s="697">
        <f t="shared" si="356"/>
        <v>3638</v>
      </c>
    </row>
    <row r="2648" spans="1:36" s="700" customFormat="1" ht="12.75" customHeight="1">
      <c r="A2648" s="866" t="s">
        <v>206</v>
      </c>
      <c r="B2648" s="866" t="s">
        <v>400</v>
      </c>
      <c r="C2648" s="860" t="s">
        <v>1419</v>
      </c>
      <c r="D2648" s="860"/>
      <c r="E2648" s="956">
        <v>218672</v>
      </c>
      <c r="F2648" s="845">
        <v>10</v>
      </c>
      <c r="G2648" s="1025"/>
      <c r="H2648" s="690"/>
      <c r="I2648" s="1030">
        <v>3143</v>
      </c>
      <c r="J2648" s="690">
        <v>0</v>
      </c>
      <c r="K2648" s="1030"/>
      <c r="L2648" s="690"/>
      <c r="M2648" s="1025"/>
      <c r="N2648" s="1030"/>
      <c r="O2648" s="692">
        <f t="shared" si="349"/>
        <v>0</v>
      </c>
      <c r="P2648" s="690"/>
      <c r="Q2648" s="690"/>
      <c r="R2648" s="691">
        <f t="shared" si="350"/>
        <v>0</v>
      </c>
      <c r="S2648" s="692">
        <f t="shared" si="351"/>
        <v>3143</v>
      </c>
      <c r="T2648" s="693">
        <f t="shared" si="352"/>
        <v>0</v>
      </c>
      <c r="U2648" s="1035"/>
      <c r="V2648" s="690"/>
      <c r="W2648" s="1025"/>
      <c r="X2648" s="1030"/>
      <c r="Y2648" s="694">
        <f t="shared" si="353"/>
        <v>0</v>
      </c>
      <c r="Z2648" s="690"/>
      <c r="AA2648" s="690"/>
      <c r="AB2648" s="695">
        <f t="shared" si="354"/>
        <v>0</v>
      </c>
      <c r="AC2648" s="1035"/>
      <c r="AD2648" s="690"/>
      <c r="AE2648" s="1025"/>
      <c r="AF2648" s="1030"/>
      <c r="AG2648" s="690"/>
      <c r="AH2648" s="690"/>
      <c r="AI2648" s="696">
        <f t="shared" si="355"/>
        <v>3143</v>
      </c>
      <c r="AJ2648" s="697">
        <f t="shared" si="356"/>
        <v>0</v>
      </c>
    </row>
    <row r="2649" spans="1:36" s="700" customFormat="1" ht="12.75" customHeight="1">
      <c r="A2649" s="866" t="s">
        <v>206</v>
      </c>
      <c r="B2649" s="866" t="s">
        <v>400</v>
      </c>
      <c r="C2649" s="860" t="s">
        <v>1421</v>
      </c>
      <c r="D2649" s="860"/>
      <c r="E2649" s="956">
        <v>218672</v>
      </c>
      <c r="F2649" s="845">
        <v>10</v>
      </c>
      <c r="G2649" s="1025"/>
      <c r="H2649" s="690"/>
      <c r="I2649" s="1030">
        <v>8701</v>
      </c>
      <c r="J2649" s="690">
        <v>0</v>
      </c>
      <c r="K2649" s="1030"/>
      <c r="L2649" s="690"/>
      <c r="M2649" s="1025"/>
      <c r="N2649" s="1030"/>
      <c r="O2649" s="692">
        <f t="shared" si="349"/>
        <v>0</v>
      </c>
      <c r="P2649" s="690"/>
      <c r="Q2649" s="690"/>
      <c r="R2649" s="691">
        <f t="shared" si="350"/>
        <v>0</v>
      </c>
      <c r="S2649" s="692">
        <f t="shared" si="351"/>
        <v>8701</v>
      </c>
      <c r="T2649" s="693">
        <f t="shared" si="352"/>
        <v>0</v>
      </c>
      <c r="U2649" s="1035"/>
      <c r="V2649" s="690"/>
      <c r="W2649" s="1025"/>
      <c r="X2649" s="1030"/>
      <c r="Y2649" s="694">
        <f t="shared" si="353"/>
        <v>0</v>
      </c>
      <c r="Z2649" s="690"/>
      <c r="AA2649" s="690"/>
      <c r="AB2649" s="695">
        <f t="shared" si="354"/>
        <v>0</v>
      </c>
      <c r="AC2649" s="1035"/>
      <c r="AD2649" s="690"/>
      <c r="AE2649" s="1025"/>
      <c r="AF2649" s="1030"/>
      <c r="AG2649" s="690"/>
      <c r="AH2649" s="690"/>
      <c r="AI2649" s="696">
        <f t="shared" si="355"/>
        <v>8701</v>
      </c>
      <c r="AJ2649" s="697">
        <f t="shared" si="356"/>
        <v>0</v>
      </c>
    </row>
    <row r="2650" spans="1:36" s="700" customFormat="1" ht="12.75" customHeight="1">
      <c r="A2650" s="866" t="s">
        <v>206</v>
      </c>
      <c r="B2650" s="866" t="s">
        <v>400</v>
      </c>
      <c r="C2650" s="860" t="s">
        <v>1442</v>
      </c>
      <c r="D2650" s="860"/>
      <c r="E2650" s="956">
        <v>218672</v>
      </c>
      <c r="F2650" s="845">
        <v>10</v>
      </c>
      <c r="G2650" s="1025"/>
      <c r="H2650" s="690"/>
      <c r="I2650" s="1030">
        <v>125000</v>
      </c>
      <c r="J2650" s="690">
        <v>69419</v>
      </c>
      <c r="K2650" s="1030"/>
      <c r="L2650" s="690"/>
      <c r="M2650" s="1025"/>
      <c r="N2650" s="1030"/>
      <c r="O2650" s="692">
        <f t="shared" si="349"/>
        <v>0</v>
      </c>
      <c r="P2650" s="690"/>
      <c r="Q2650" s="690"/>
      <c r="R2650" s="691">
        <f t="shared" si="350"/>
        <v>0</v>
      </c>
      <c r="S2650" s="692">
        <f t="shared" si="351"/>
        <v>125000</v>
      </c>
      <c r="T2650" s="693">
        <f t="shared" si="352"/>
        <v>69419</v>
      </c>
      <c r="U2650" s="1035"/>
      <c r="V2650" s="690"/>
      <c r="W2650" s="1025"/>
      <c r="X2650" s="1030"/>
      <c r="Y2650" s="694">
        <f t="shared" si="353"/>
        <v>0</v>
      </c>
      <c r="Z2650" s="690"/>
      <c r="AA2650" s="690"/>
      <c r="AB2650" s="695">
        <f t="shared" si="354"/>
        <v>0</v>
      </c>
      <c r="AC2650" s="1035"/>
      <c r="AD2650" s="690"/>
      <c r="AE2650" s="1025"/>
      <c r="AF2650" s="1030"/>
      <c r="AG2650" s="690"/>
      <c r="AH2650" s="690"/>
      <c r="AI2650" s="696">
        <f t="shared" si="355"/>
        <v>125000</v>
      </c>
      <c r="AJ2650" s="697">
        <f t="shared" si="356"/>
        <v>69419</v>
      </c>
    </row>
    <row r="2651" spans="1:36" s="700" customFormat="1" ht="12.75" customHeight="1">
      <c r="A2651" s="866" t="s">
        <v>206</v>
      </c>
      <c r="B2651" s="866" t="s">
        <v>392</v>
      </c>
      <c r="C2651" s="955" t="s">
        <v>1495</v>
      </c>
      <c r="D2651" s="955"/>
      <c r="E2651" s="956">
        <v>218681</v>
      </c>
      <c r="F2651" s="845">
        <v>10</v>
      </c>
      <c r="G2651" s="1025">
        <v>1285000</v>
      </c>
      <c r="H2651" s="690">
        <v>1010000</v>
      </c>
      <c r="I2651" s="1030"/>
      <c r="J2651" s="690"/>
      <c r="K2651" s="1030"/>
      <c r="L2651" s="690"/>
      <c r="M2651" s="1153">
        <v>4595615</v>
      </c>
      <c r="N2651" s="1155">
        <v>25756</v>
      </c>
      <c r="O2651" s="692">
        <f t="shared" si="349"/>
        <v>4621371</v>
      </c>
      <c r="P2651" s="1159">
        <v>5673914</v>
      </c>
      <c r="Q2651" s="1160">
        <v>31856</v>
      </c>
      <c r="R2651" s="691">
        <f t="shared" si="350"/>
        <v>5705770</v>
      </c>
      <c r="S2651" s="692">
        <f t="shared" si="351"/>
        <v>5880615</v>
      </c>
      <c r="T2651" s="693">
        <f t="shared" si="352"/>
        <v>6683914</v>
      </c>
      <c r="U2651" s="1035"/>
      <c r="V2651" s="690"/>
      <c r="W2651" s="1025"/>
      <c r="X2651" s="1030"/>
      <c r="Y2651" s="694">
        <f t="shared" si="353"/>
        <v>0</v>
      </c>
      <c r="Z2651" s="690"/>
      <c r="AA2651" s="690"/>
      <c r="AB2651" s="695">
        <f t="shared" si="354"/>
        <v>0</v>
      </c>
      <c r="AC2651" s="1035"/>
      <c r="AD2651" s="690"/>
      <c r="AE2651" s="1025"/>
      <c r="AF2651" s="1030"/>
      <c r="AG2651" s="690"/>
      <c r="AH2651" s="690"/>
      <c r="AI2651" s="696">
        <f t="shared" si="355"/>
        <v>5880615</v>
      </c>
      <c r="AJ2651" s="697">
        <f t="shared" si="356"/>
        <v>6683914</v>
      </c>
    </row>
    <row r="2652" spans="1:36" s="700" customFormat="1" ht="12.75" customHeight="1">
      <c r="A2652" s="866" t="s">
        <v>206</v>
      </c>
      <c r="B2652" s="866" t="s">
        <v>392</v>
      </c>
      <c r="C2652" s="860" t="s">
        <v>1414</v>
      </c>
      <c r="D2652" s="860"/>
      <c r="E2652" s="956">
        <v>218681</v>
      </c>
      <c r="F2652" s="845">
        <v>10</v>
      </c>
      <c r="G2652" s="1025">
        <v>263754</v>
      </c>
      <c r="H2652" s="690">
        <v>204299</v>
      </c>
      <c r="I2652" s="1030"/>
      <c r="J2652" s="690"/>
      <c r="K2652" s="1030"/>
      <c r="L2652" s="690"/>
      <c r="M2652" s="1156"/>
      <c r="N2652" s="1157"/>
      <c r="O2652" s="692">
        <f t="shared" si="349"/>
        <v>0</v>
      </c>
      <c r="P2652" s="1161"/>
      <c r="Q2652" s="1161"/>
      <c r="R2652" s="691">
        <f t="shared" si="350"/>
        <v>0</v>
      </c>
      <c r="S2652" s="692">
        <f t="shared" si="351"/>
        <v>263754</v>
      </c>
      <c r="T2652" s="693">
        <f t="shared" si="352"/>
        <v>204299</v>
      </c>
      <c r="U2652" s="1035"/>
      <c r="V2652" s="690"/>
      <c r="W2652" s="1025"/>
      <c r="X2652" s="1030"/>
      <c r="Y2652" s="694">
        <f t="shared" si="353"/>
        <v>0</v>
      </c>
      <c r="Z2652" s="690"/>
      <c r="AA2652" s="690"/>
      <c r="AB2652" s="695">
        <f t="shared" si="354"/>
        <v>0</v>
      </c>
      <c r="AC2652" s="1035"/>
      <c r="AD2652" s="690"/>
      <c r="AE2652" s="1025"/>
      <c r="AF2652" s="1030"/>
      <c r="AG2652" s="690"/>
      <c r="AH2652" s="690"/>
      <c r="AI2652" s="696">
        <f t="shared" si="355"/>
        <v>263754</v>
      </c>
      <c r="AJ2652" s="697">
        <f t="shared" si="356"/>
        <v>204299</v>
      </c>
    </row>
    <row r="2653" spans="1:36" s="700" customFormat="1" ht="12.75" customHeight="1">
      <c r="A2653" s="866" t="s">
        <v>206</v>
      </c>
      <c r="B2653" s="866" t="s">
        <v>394</v>
      </c>
      <c r="C2653" s="859" t="s">
        <v>451</v>
      </c>
      <c r="D2653" s="859"/>
      <c r="E2653" s="956">
        <v>218681</v>
      </c>
      <c r="F2653" s="845">
        <v>10</v>
      </c>
      <c r="G2653" s="1025"/>
      <c r="H2653" s="690"/>
      <c r="I2653" s="1030"/>
      <c r="J2653" s="690"/>
      <c r="K2653" s="1030"/>
      <c r="L2653" s="690"/>
      <c r="M2653" s="1156"/>
      <c r="N2653" s="1157"/>
      <c r="O2653" s="692">
        <f t="shared" si="349"/>
        <v>0</v>
      </c>
      <c r="P2653" s="1161"/>
      <c r="Q2653" s="1161"/>
      <c r="R2653" s="691">
        <f t="shared" si="350"/>
        <v>0</v>
      </c>
      <c r="S2653" s="692">
        <f t="shared" si="351"/>
        <v>0</v>
      </c>
      <c r="T2653" s="693">
        <f t="shared" si="352"/>
        <v>0</v>
      </c>
      <c r="U2653" s="1035"/>
      <c r="V2653" s="690"/>
      <c r="W2653" s="1025"/>
      <c r="X2653" s="1030"/>
      <c r="Y2653" s="694">
        <f t="shared" si="353"/>
        <v>0</v>
      </c>
      <c r="Z2653" s="690"/>
      <c r="AA2653" s="690"/>
      <c r="AB2653" s="695">
        <f t="shared" si="354"/>
        <v>0</v>
      </c>
      <c r="AC2653" s="1035"/>
      <c r="AD2653" s="690"/>
      <c r="AE2653" s="1025"/>
      <c r="AF2653" s="1030"/>
      <c r="AG2653" s="690"/>
      <c r="AH2653" s="690"/>
      <c r="AI2653" s="696">
        <f t="shared" si="355"/>
        <v>0</v>
      </c>
      <c r="AJ2653" s="697">
        <f t="shared" si="356"/>
        <v>0</v>
      </c>
    </row>
    <row r="2654" spans="1:36" s="700" customFormat="1" ht="12.75" customHeight="1">
      <c r="A2654" s="866" t="s">
        <v>206</v>
      </c>
      <c r="B2654" s="866" t="s">
        <v>394</v>
      </c>
      <c r="C2654" s="860" t="s">
        <v>1496</v>
      </c>
      <c r="D2654" s="860"/>
      <c r="E2654" s="956">
        <v>218681</v>
      </c>
      <c r="F2654" s="845">
        <v>10</v>
      </c>
      <c r="G2654" s="1025"/>
      <c r="H2654" s="690"/>
      <c r="I2654" s="1030">
        <v>100460</v>
      </c>
      <c r="J2654" s="690">
        <v>100460</v>
      </c>
      <c r="K2654" s="1030"/>
      <c r="L2654" s="690"/>
      <c r="M2654" s="1156"/>
      <c r="N2654" s="1157"/>
      <c r="O2654" s="692">
        <f t="shared" si="349"/>
        <v>0</v>
      </c>
      <c r="P2654" s="1161"/>
      <c r="Q2654" s="1161"/>
      <c r="R2654" s="691">
        <f t="shared" si="350"/>
        <v>0</v>
      </c>
      <c r="S2654" s="692">
        <f t="shared" si="351"/>
        <v>100460</v>
      </c>
      <c r="T2654" s="693">
        <f t="shared" si="352"/>
        <v>100460</v>
      </c>
      <c r="U2654" s="1035"/>
      <c r="V2654" s="690"/>
      <c r="W2654" s="1025"/>
      <c r="X2654" s="1030"/>
      <c r="Y2654" s="694">
        <f t="shared" si="353"/>
        <v>0</v>
      </c>
      <c r="Z2654" s="690"/>
      <c r="AA2654" s="690"/>
      <c r="AB2654" s="695">
        <f t="shared" si="354"/>
        <v>0</v>
      </c>
      <c r="AC2654" s="1035"/>
      <c r="AD2654" s="690"/>
      <c r="AE2654" s="1025"/>
      <c r="AF2654" s="1030"/>
      <c r="AG2654" s="690"/>
      <c r="AH2654" s="690"/>
      <c r="AI2654" s="696">
        <f t="shared" si="355"/>
        <v>100460</v>
      </c>
      <c r="AJ2654" s="697">
        <f t="shared" si="356"/>
        <v>100460</v>
      </c>
    </row>
    <row r="2655" spans="1:36" s="700" customFormat="1" ht="12.75" customHeight="1">
      <c r="A2655" s="866" t="s">
        <v>206</v>
      </c>
      <c r="B2655" s="866" t="s">
        <v>400</v>
      </c>
      <c r="C2655" s="859" t="s">
        <v>1418</v>
      </c>
      <c r="D2655" s="859"/>
      <c r="E2655" s="956">
        <v>218681</v>
      </c>
      <c r="F2655" s="845">
        <v>10</v>
      </c>
      <c r="G2655" s="1025"/>
      <c r="H2655" s="690"/>
      <c r="I2655" s="1030"/>
      <c r="J2655" s="690"/>
      <c r="K2655" s="1030"/>
      <c r="L2655" s="690"/>
      <c r="M2655" s="1156"/>
      <c r="N2655" s="1157"/>
      <c r="O2655" s="692">
        <f t="shared" si="349"/>
        <v>0</v>
      </c>
      <c r="P2655" s="1161"/>
      <c r="Q2655" s="1161"/>
      <c r="R2655" s="691">
        <f t="shared" si="350"/>
        <v>0</v>
      </c>
      <c r="S2655" s="692">
        <f t="shared" si="351"/>
        <v>0</v>
      </c>
      <c r="T2655" s="693">
        <f t="shared" si="352"/>
        <v>0</v>
      </c>
      <c r="U2655" s="1035"/>
      <c r="V2655" s="690"/>
      <c r="W2655" s="1025"/>
      <c r="X2655" s="1030"/>
      <c r="Y2655" s="694">
        <f t="shared" si="353"/>
        <v>0</v>
      </c>
      <c r="Z2655" s="690"/>
      <c r="AA2655" s="690"/>
      <c r="AB2655" s="695">
        <f t="shared" si="354"/>
        <v>0</v>
      </c>
      <c r="AC2655" s="1035"/>
      <c r="AD2655" s="690"/>
      <c r="AE2655" s="1025"/>
      <c r="AF2655" s="1030"/>
      <c r="AG2655" s="690"/>
      <c r="AH2655" s="690"/>
      <c r="AI2655" s="696">
        <f t="shared" si="355"/>
        <v>0</v>
      </c>
      <c r="AJ2655" s="697">
        <f t="shared" si="356"/>
        <v>0</v>
      </c>
    </row>
    <row r="2656" spans="1:36" s="700" customFormat="1" ht="12.75" customHeight="1">
      <c r="A2656" s="866" t="s">
        <v>206</v>
      </c>
      <c r="B2656" s="866" t="s">
        <v>400</v>
      </c>
      <c r="C2656" s="860" t="s">
        <v>1422</v>
      </c>
      <c r="D2656" s="860"/>
      <c r="E2656" s="956">
        <v>218681</v>
      </c>
      <c r="F2656" s="845">
        <v>10</v>
      </c>
      <c r="G2656" s="1025"/>
      <c r="H2656" s="690"/>
      <c r="I2656" s="1030">
        <v>4579</v>
      </c>
      <c r="J2656" s="690">
        <v>0</v>
      </c>
      <c r="K2656" s="1030"/>
      <c r="L2656" s="690"/>
      <c r="M2656" s="1156"/>
      <c r="N2656" s="1157"/>
      <c r="O2656" s="692">
        <f t="shared" si="349"/>
        <v>0</v>
      </c>
      <c r="P2656" s="1161"/>
      <c r="Q2656" s="1161"/>
      <c r="R2656" s="691">
        <f t="shared" si="350"/>
        <v>0</v>
      </c>
      <c r="S2656" s="692">
        <f t="shared" si="351"/>
        <v>4579</v>
      </c>
      <c r="T2656" s="693">
        <f t="shared" si="352"/>
        <v>0</v>
      </c>
      <c r="U2656" s="1035"/>
      <c r="V2656" s="690"/>
      <c r="W2656" s="1025"/>
      <c r="X2656" s="1030"/>
      <c r="Y2656" s="694">
        <f t="shared" si="353"/>
        <v>0</v>
      </c>
      <c r="Z2656" s="690"/>
      <c r="AA2656" s="690"/>
      <c r="AB2656" s="695">
        <f t="shared" si="354"/>
        <v>0</v>
      </c>
      <c r="AC2656" s="1035"/>
      <c r="AD2656" s="690"/>
      <c r="AE2656" s="1025"/>
      <c r="AF2656" s="1030"/>
      <c r="AG2656" s="690"/>
      <c r="AH2656" s="690"/>
      <c r="AI2656" s="696">
        <f t="shared" si="355"/>
        <v>4579</v>
      </c>
      <c r="AJ2656" s="697">
        <f t="shared" si="356"/>
        <v>0</v>
      </c>
    </row>
    <row r="2657" spans="1:36" s="700" customFormat="1" ht="12.75" customHeight="1">
      <c r="A2657" s="866" t="s">
        <v>206</v>
      </c>
      <c r="B2657" s="866" t="s">
        <v>400</v>
      </c>
      <c r="C2657" s="860" t="s">
        <v>1423</v>
      </c>
      <c r="D2657" s="860"/>
      <c r="E2657" s="956">
        <v>218681</v>
      </c>
      <c r="F2657" s="845">
        <v>10</v>
      </c>
      <c r="G2657" s="1025"/>
      <c r="H2657" s="690"/>
      <c r="I2657" s="1030">
        <v>590</v>
      </c>
      <c r="J2657" s="690">
        <v>273</v>
      </c>
      <c r="K2657" s="1030"/>
      <c r="L2657" s="690"/>
      <c r="M2657" s="1156"/>
      <c r="N2657" s="1157"/>
      <c r="O2657" s="692">
        <f t="shared" si="349"/>
        <v>0</v>
      </c>
      <c r="P2657" s="1161"/>
      <c r="Q2657" s="1161"/>
      <c r="R2657" s="691">
        <f t="shared" si="350"/>
        <v>0</v>
      </c>
      <c r="S2657" s="692">
        <f t="shared" si="351"/>
        <v>590</v>
      </c>
      <c r="T2657" s="693">
        <f t="shared" si="352"/>
        <v>273</v>
      </c>
      <c r="U2657" s="1035"/>
      <c r="V2657" s="690"/>
      <c r="W2657" s="1025"/>
      <c r="X2657" s="1030"/>
      <c r="Y2657" s="694">
        <f t="shared" si="353"/>
        <v>0</v>
      </c>
      <c r="Z2657" s="690"/>
      <c r="AA2657" s="690"/>
      <c r="AB2657" s="695">
        <f t="shared" si="354"/>
        <v>0</v>
      </c>
      <c r="AC2657" s="1035"/>
      <c r="AD2657" s="690"/>
      <c r="AE2657" s="1025"/>
      <c r="AF2657" s="1030"/>
      <c r="AG2657" s="690"/>
      <c r="AH2657" s="690"/>
      <c r="AI2657" s="696">
        <f t="shared" si="355"/>
        <v>590</v>
      </c>
      <c r="AJ2657" s="697">
        <f t="shared" si="356"/>
        <v>273</v>
      </c>
    </row>
    <row r="2658" spans="1:36" s="700" customFormat="1" ht="12.75" customHeight="1">
      <c r="A2658" s="866" t="s">
        <v>206</v>
      </c>
      <c r="B2658" s="866" t="s">
        <v>400</v>
      </c>
      <c r="C2658" s="860" t="s">
        <v>1421</v>
      </c>
      <c r="D2658" s="860"/>
      <c r="E2658" s="956">
        <v>218681</v>
      </c>
      <c r="F2658" s="845">
        <v>10</v>
      </c>
      <c r="G2658" s="1025"/>
      <c r="H2658" s="690"/>
      <c r="I2658" s="1030">
        <v>4366</v>
      </c>
      <c r="J2658" s="690">
        <v>0</v>
      </c>
      <c r="K2658" s="1030"/>
      <c r="L2658" s="690"/>
      <c r="M2658" s="1156"/>
      <c r="N2658" s="1157"/>
      <c r="O2658" s="692">
        <f t="shared" si="349"/>
        <v>0</v>
      </c>
      <c r="P2658" s="1161"/>
      <c r="Q2658" s="1161"/>
      <c r="R2658" s="691">
        <f t="shared" si="350"/>
        <v>0</v>
      </c>
      <c r="S2658" s="692">
        <f t="shared" si="351"/>
        <v>4366</v>
      </c>
      <c r="T2658" s="693">
        <f t="shared" si="352"/>
        <v>0</v>
      </c>
      <c r="U2658" s="1035"/>
      <c r="V2658" s="690"/>
      <c r="W2658" s="1025"/>
      <c r="X2658" s="1030"/>
      <c r="Y2658" s="694">
        <f t="shared" si="353"/>
        <v>0</v>
      </c>
      <c r="Z2658" s="690"/>
      <c r="AA2658" s="690"/>
      <c r="AB2658" s="695">
        <f t="shared" si="354"/>
        <v>0</v>
      </c>
      <c r="AC2658" s="1035"/>
      <c r="AD2658" s="690"/>
      <c r="AE2658" s="1025"/>
      <c r="AF2658" s="1030"/>
      <c r="AG2658" s="690"/>
      <c r="AH2658" s="690"/>
      <c r="AI2658" s="696">
        <f t="shared" si="355"/>
        <v>4366</v>
      </c>
      <c r="AJ2658" s="697">
        <f t="shared" si="356"/>
        <v>0</v>
      </c>
    </row>
    <row r="2659" spans="1:36" s="700" customFormat="1" ht="12.75" customHeight="1">
      <c r="A2659" s="866" t="s">
        <v>206</v>
      </c>
      <c r="B2659" s="866" t="s">
        <v>400</v>
      </c>
      <c r="C2659" s="860" t="s">
        <v>1442</v>
      </c>
      <c r="D2659" s="860"/>
      <c r="E2659" s="956">
        <v>218681</v>
      </c>
      <c r="F2659" s="845">
        <v>10</v>
      </c>
      <c r="G2659" s="1025"/>
      <c r="H2659" s="690"/>
      <c r="I2659" s="1030">
        <v>125000</v>
      </c>
      <c r="J2659" s="690">
        <v>69419</v>
      </c>
      <c r="K2659" s="1030"/>
      <c r="L2659" s="690"/>
      <c r="M2659" s="1156"/>
      <c r="N2659" s="1157"/>
      <c r="O2659" s="692">
        <f t="shared" si="349"/>
        <v>0</v>
      </c>
      <c r="P2659" s="1161"/>
      <c r="Q2659" s="1161"/>
      <c r="R2659" s="691">
        <f t="shared" si="350"/>
        <v>0</v>
      </c>
      <c r="S2659" s="692">
        <f t="shared" si="351"/>
        <v>125000</v>
      </c>
      <c r="T2659" s="693">
        <f t="shared" si="352"/>
        <v>69419</v>
      </c>
      <c r="U2659" s="1035"/>
      <c r="V2659" s="690"/>
      <c r="W2659" s="1025"/>
      <c r="X2659" s="1030"/>
      <c r="Y2659" s="694">
        <f t="shared" si="353"/>
        <v>0</v>
      </c>
      <c r="Z2659" s="690"/>
      <c r="AA2659" s="690"/>
      <c r="AB2659" s="695">
        <f t="shared" si="354"/>
        <v>0</v>
      </c>
      <c r="AC2659" s="1035"/>
      <c r="AD2659" s="690"/>
      <c r="AE2659" s="1025"/>
      <c r="AF2659" s="1030"/>
      <c r="AG2659" s="690"/>
      <c r="AH2659" s="690"/>
      <c r="AI2659" s="696">
        <f t="shared" si="355"/>
        <v>125000</v>
      </c>
      <c r="AJ2659" s="697">
        <f t="shared" si="356"/>
        <v>69419</v>
      </c>
    </row>
    <row r="2660" spans="1:36" s="700" customFormat="1" ht="12.75" customHeight="1">
      <c r="A2660" s="866" t="s">
        <v>206</v>
      </c>
      <c r="B2660" s="866" t="s">
        <v>392</v>
      </c>
      <c r="C2660" s="955" t="s">
        <v>1497</v>
      </c>
      <c r="D2660" s="955"/>
      <c r="E2660" s="956">
        <v>218690</v>
      </c>
      <c r="F2660" s="845">
        <v>10</v>
      </c>
      <c r="G2660" s="1025">
        <v>2537500</v>
      </c>
      <c r="H2660" s="690">
        <v>1830000</v>
      </c>
      <c r="I2660" s="1030"/>
      <c r="J2660" s="690"/>
      <c r="K2660" s="1030"/>
      <c r="L2660" s="690"/>
      <c r="M2660" s="1153">
        <v>5161506</v>
      </c>
      <c r="N2660" s="1155">
        <v>73595</v>
      </c>
      <c r="O2660" s="692">
        <f t="shared" si="349"/>
        <v>5235101</v>
      </c>
      <c r="P2660" s="1159">
        <v>5463094</v>
      </c>
      <c r="Q2660" s="1160">
        <v>73854</v>
      </c>
      <c r="R2660" s="691">
        <f t="shared" si="350"/>
        <v>5536948</v>
      </c>
      <c r="S2660" s="692">
        <f t="shared" si="351"/>
        <v>7699006</v>
      </c>
      <c r="T2660" s="693">
        <f t="shared" si="352"/>
        <v>7293094</v>
      </c>
      <c r="U2660" s="1035"/>
      <c r="V2660" s="690"/>
      <c r="W2660" s="1025"/>
      <c r="X2660" s="1030"/>
      <c r="Y2660" s="694">
        <f t="shared" si="353"/>
        <v>0</v>
      </c>
      <c r="Z2660" s="690"/>
      <c r="AA2660" s="690"/>
      <c r="AB2660" s="695">
        <f t="shared" si="354"/>
        <v>0</v>
      </c>
      <c r="AC2660" s="1035"/>
      <c r="AD2660" s="690"/>
      <c r="AE2660" s="1025"/>
      <c r="AF2660" s="1030"/>
      <c r="AG2660" s="690"/>
      <c r="AH2660" s="690"/>
      <c r="AI2660" s="696">
        <f t="shared" si="355"/>
        <v>7699006</v>
      </c>
      <c r="AJ2660" s="697">
        <f t="shared" si="356"/>
        <v>7293094</v>
      </c>
    </row>
    <row r="2661" spans="1:36" s="700" customFormat="1" ht="12.75" customHeight="1">
      <c r="A2661" s="866" t="s">
        <v>206</v>
      </c>
      <c r="B2661" s="866" t="s">
        <v>392</v>
      </c>
      <c r="C2661" s="860" t="s">
        <v>1414</v>
      </c>
      <c r="D2661" s="860"/>
      <c r="E2661" s="956">
        <v>218690</v>
      </c>
      <c r="F2661" s="845">
        <v>10</v>
      </c>
      <c r="G2661" s="1025">
        <v>523816</v>
      </c>
      <c r="H2661" s="690">
        <v>433785</v>
      </c>
      <c r="I2661" s="1030"/>
      <c r="J2661" s="690"/>
      <c r="K2661" s="1030"/>
      <c r="L2661" s="690"/>
      <c r="M2661" s="1156"/>
      <c r="N2661" s="1157"/>
      <c r="O2661" s="692">
        <f t="shared" si="349"/>
        <v>0</v>
      </c>
      <c r="P2661" s="1161"/>
      <c r="Q2661" s="1161"/>
      <c r="R2661" s="691">
        <f t="shared" si="350"/>
        <v>0</v>
      </c>
      <c r="S2661" s="692">
        <f t="shared" si="351"/>
        <v>523816</v>
      </c>
      <c r="T2661" s="693">
        <f t="shared" si="352"/>
        <v>433785</v>
      </c>
      <c r="U2661" s="1035"/>
      <c r="V2661" s="690"/>
      <c r="W2661" s="1025"/>
      <c r="X2661" s="1030"/>
      <c r="Y2661" s="694">
        <f t="shared" si="353"/>
        <v>0</v>
      </c>
      <c r="Z2661" s="690"/>
      <c r="AA2661" s="690"/>
      <c r="AB2661" s="695">
        <f t="shared" si="354"/>
        <v>0</v>
      </c>
      <c r="AC2661" s="1035"/>
      <c r="AD2661" s="690"/>
      <c r="AE2661" s="1025"/>
      <c r="AF2661" s="1030"/>
      <c r="AG2661" s="690"/>
      <c r="AH2661" s="690"/>
      <c r="AI2661" s="696">
        <f t="shared" si="355"/>
        <v>523816</v>
      </c>
      <c r="AJ2661" s="697">
        <f t="shared" si="356"/>
        <v>433785</v>
      </c>
    </row>
    <row r="2662" spans="1:36" s="700" customFormat="1" ht="12.75" customHeight="1">
      <c r="A2662" s="866" t="s">
        <v>206</v>
      </c>
      <c r="B2662" s="866" t="s">
        <v>400</v>
      </c>
      <c r="C2662" s="859" t="s">
        <v>1418</v>
      </c>
      <c r="D2662" s="859"/>
      <c r="E2662" s="956">
        <v>218690</v>
      </c>
      <c r="F2662" s="845">
        <v>10</v>
      </c>
      <c r="G2662" s="1025"/>
      <c r="H2662" s="690"/>
      <c r="I2662" s="1030"/>
      <c r="J2662" s="690"/>
      <c r="K2662" s="1030"/>
      <c r="L2662" s="690"/>
      <c r="M2662" s="1156"/>
      <c r="N2662" s="1157"/>
      <c r="O2662" s="692">
        <f t="shared" si="349"/>
        <v>0</v>
      </c>
      <c r="P2662" s="1161"/>
      <c r="Q2662" s="1161"/>
      <c r="R2662" s="691">
        <f t="shared" si="350"/>
        <v>0</v>
      </c>
      <c r="S2662" s="692">
        <f t="shared" si="351"/>
        <v>0</v>
      </c>
      <c r="T2662" s="693">
        <f t="shared" si="352"/>
        <v>0</v>
      </c>
      <c r="U2662" s="1035"/>
      <c r="V2662" s="690"/>
      <c r="W2662" s="1025"/>
      <c r="X2662" s="1030"/>
      <c r="Y2662" s="694">
        <f t="shared" si="353"/>
        <v>0</v>
      </c>
      <c r="Z2662" s="690"/>
      <c r="AA2662" s="690"/>
      <c r="AB2662" s="695">
        <f t="shared" si="354"/>
        <v>0</v>
      </c>
      <c r="AC2662" s="1035"/>
      <c r="AD2662" s="690"/>
      <c r="AE2662" s="1025"/>
      <c r="AF2662" s="1030"/>
      <c r="AG2662" s="690"/>
      <c r="AH2662" s="690"/>
      <c r="AI2662" s="696">
        <f t="shared" si="355"/>
        <v>0</v>
      </c>
      <c r="AJ2662" s="697">
        <f t="shared" si="356"/>
        <v>0</v>
      </c>
    </row>
    <row r="2663" spans="1:36" s="700" customFormat="1" ht="12.75" customHeight="1">
      <c r="A2663" s="866" t="s">
        <v>206</v>
      </c>
      <c r="B2663" s="866" t="s">
        <v>400</v>
      </c>
      <c r="C2663" s="860" t="s">
        <v>1422</v>
      </c>
      <c r="D2663" s="860"/>
      <c r="E2663" s="956">
        <v>218690</v>
      </c>
      <c r="F2663" s="845">
        <v>10</v>
      </c>
      <c r="G2663" s="1025"/>
      <c r="H2663" s="690"/>
      <c r="I2663" s="1030">
        <v>4767</v>
      </c>
      <c r="J2663" s="690">
        <v>0</v>
      </c>
      <c r="K2663" s="1030"/>
      <c r="L2663" s="690"/>
      <c r="M2663" s="1156"/>
      <c r="N2663" s="1157"/>
      <c r="O2663" s="692">
        <f t="shared" si="349"/>
        <v>0</v>
      </c>
      <c r="P2663" s="1161"/>
      <c r="Q2663" s="1161"/>
      <c r="R2663" s="691">
        <f t="shared" si="350"/>
        <v>0</v>
      </c>
      <c r="S2663" s="692">
        <f t="shared" si="351"/>
        <v>4767</v>
      </c>
      <c r="T2663" s="693">
        <f t="shared" si="352"/>
        <v>0</v>
      </c>
      <c r="U2663" s="1035"/>
      <c r="V2663" s="690"/>
      <c r="W2663" s="1025"/>
      <c r="X2663" s="1030"/>
      <c r="Y2663" s="694">
        <f t="shared" si="353"/>
        <v>0</v>
      </c>
      <c r="Z2663" s="690"/>
      <c r="AA2663" s="690"/>
      <c r="AB2663" s="695">
        <f t="shared" si="354"/>
        <v>0</v>
      </c>
      <c r="AC2663" s="1035"/>
      <c r="AD2663" s="690"/>
      <c r="AE2663" s="1025"/>
      <c r="AF2663" s="1030"/>
      <c r="AG2663" s="690"/>
      <c r="AH2663" s="690"/>
      <c r="AI2663" s="696">
        <f t="shared" si="355"/>
        <v>4767</v>
      </c>
      <c r="AJ2663" s="697">
        <f t="shared" si="356"/>
        <v>0</v>
      </c>
    </row>
    <row r="2664" spans="1:36" s="700" customFormat="1" ht="12.75" customHeight="1">
      <c r="A2664" s="866" t="s">
        <v>206</v>
      </c>
      <c r="B2664" s="866" t="s">
        <v>400</v>
      </c>
      <c r="C2664" s="860" t="s">
        <v>1423</v>
      </c>
      <c r="D2664" s="860"/>
      <c r="E2664" s="956">
        <v>218690</v>
      </c>
      <c r="F2664" s="845">
        <v>10</v>
      </c>
      <c r="G2664" s="1025"/>
      <c r="H2664" s="690"/>
      <c r="I2664" s="1030">
        <v>1375</v>
      </c>
      <c r="J2664" s="690">
        <v>833</v>
      </c>
      <c r="K2664" s="1030"/>
      <c r="L2664" s="690"/>
      <c r="M2664" s="1156"/>
      <c r="N2664" s="1157"/>
      <c r="O2664" s="692">
        <f t="shared" si="349"/>
        <v>0</v>
      </c>
      <c r="P2664" s="1161"/>
      <c r="Q2664" s="1161"/>
      <c r="R2664" s="691">
        <f t="shared" si="350"/>
        <v>0</v>
      </c>
      <c r="S2664" s="692">
        <f t="shared" si="351"/>
        <v>1375</v>
      </c>
      <c r="T2664" s="693">
        <f t="shared" si="352"/>
        <v>833</v>
      </c>
      <c r="U2664" s="1035"/>
      <c r="V2664" s="690"/>
      <c r="W2664" s="1025"/>
      <c r="X2664" s="1030"/>
      <c r="Y2664" s="694">
        <f t="shared" si="353"/>
        <v>0</v>
      </c>
      <c r="Z2664" s="690"/>
      <c r="AA2664" s="690"/>
      <c r="AB2664" s="695">
        <f t="shared" si="354"/>
        <v>0</v>
      </c>
      <c r="AC2664" s="1035"/>
      <c r="AD2664" s="690"/>
      <c r="AE2664" s="1025"/>
      <c r="AF2664" s="1030"/>
      <c r="AG2664" s="690"/>
      <c r="AH2664" s="690"/>
      <c r="AI2664" s="696">
        <f t="shared" si="355"/>
        <v>1375</v>
      </c>
      <c r="AJ2664" s="697">
        <f t="shared" si="356"/>
        <v>833</v>
      </c>
    </row>
    <row r="2665" spans="1:36" s="700" customFormat="1" ht="12.75" customHeight="1">
      <c r="A2665" s="866" t="s">
        <v>206</v>
      </c>
      <c r="B2665" s="866" t="s">
        <v>400</v>
      </c>
      <c r="C2665" s="860" t="s">
        <v>1442</v>
      </c>
      <c r="D2665" s="860"/>
      <c r="E2665" s="956">
        <v>218690</v>
      </c>
      <c r="F2665" s="845">
        <v>10</v>
      </c>
      <c r="G2665" s="1025"/>
      <c r="H2665" s="690"/>
      <c r="I2665" s="1030">
        <v>125000</v>
      </c>
      <c r="J2665" s="690">
        <v>69419</v>
      </c>
      <c r="K2665" s="1030"/>
      <c r="L2665" s="690"/>
      <c r="M2665" s="1156"/>
      <c r="N2665" s="1157"/>
      <c r="O2665" s="692">
        <f t="shared" si="349"/>
        <v>0</v>
      </c>
      <c r="P2665" s="1161"/>
      <c r="Q2665" s="1161"/>
      <c r="R2665" s="691">
        <f t="shared" si="350"/>
        <v>0</v>
      </c>
      <c r="S2665" s="692">
        <f t="shared" si="351"/>
        <v>125000</v>
      </c>
      <c r="T2665" s="693">
        <f t="shared" si="352"/>
        <v>69419</v>
      </c>
      <c r="U2665" s="1035"/>
      <c r="V2665" s="690"/>
      <c r="W2665" s="1025"/>
      <c r="X2665" s="1030"/>
      <c r="Y2665" s="694">
        <f t="shared" si="353"/>
        <v>0</v>
      </c>
      <c r="Z2665" s="690"/>
      <c r="AA2665" s="690"/>
      <c r="AB2665" s="695">
        <f t="shared" si="354"/>
        <v>0</v>
      </c>
      <c r="AC2665" s="1035"/>
      <c r="AD2665" s="690"/>
      <c r="AE2665" s="1025"/>
      <c r="AF2665" s="1030"/>
      <c r="AG2665" s="690"/>
      <c r="AH2665" s="690"/>
      <c r="AI2665" s="696">
        <f t="shared" si="355"/>
        <v>125000</v>
      </c>
      <c r="AJ2665" s="697">
        <f t="shared" si="356"/>
        <v>69419</v>
      </c>
    </row>
    <row r="2666" spans="1:36" s="700" customFormat="1" ht="12.75" customHeight="1">
      <c r="A2666" s="866" t="s">
        <v>206</v>
      </c>
      <c r="B2666" s="866" t="s">
        <v>392</v>
      </c>
      <c r="C2666" s="955" t="s">
        <v>1498</v>
      </c>
      <c r="D2666" s="955"/>
      <c r="E2666" s="956">
        <v>218706</v>
      </c>
      <c r="F2666" s="845">
        <v>10</v>
      </c>
      <c r="G2666" s="1025">
        <v>631000</v>
      </c>
      <c r="H2666" s="690">
        <v>501000</v>
      </c>
      <c r="I2666" s="1030"/>
      <c r="J2666" s="690"/>
      <c r="K2666" s="1030"/>
      <c r="L2666" s="690"/>
      <c r="M2666" s="1153">
        <v>1965097</v>
      </c>
      <c r="N2666" s="1155">
        <v>21979</v>
      </c>
      <c r="O2666" s="692">
        <f t="shared" si="349"/>
        <v>1987076</v>
      </c>
      <c r="P2666" s="1159">
        <v>2277668</v>
      </c>
      <c r="Q2666" s="1160">
        <v>23764</v>
      </c>
      <c r="R2666" s="691">
        <f t="shared" si="350"/>
        <v>2301432</v>
      </c>
      <c r="S2666" s="692">
        <f t="shared" si="351"/>
        <v>2596097</v>
      </c>
      <c r="T2666" s="693">
        <f t="shared" si="352"/>
        <v>2778668</v>
      </c>
      <c r="U2666" s="1035"/>
      <c r="V2666" s="690"/>
      <c r="W2666" s="1025"/>
      <c r="X2666" s="1030"/>
      <c r="Y2666" s="694">
        <f t="shared" si="353"/>
        <v>0</v>
      </c>
      <c r="Z2666" s="690"/>
      <c r="AA2666" s="690"/>
      <c r="AB2666" s="695">
        <f t="shared" si="354"/>
        <v>0</v>
      </c>
      <c r="AC2666" s="1035"/>
      <c r="AD2666" s="690"/>
      <c r="AE2666" s="1025"/>
      <c r="AF2666" s="1030"/>
      <c r="AG2666" s="690"/>
      <c r="AH2666" s="690"/>
      <c r="AI2666" s="696">
        <f t="shared" si="355"/>
        <v>2596097</v>
      </c>
      <c r="AJ2666" s="697">
        <f t="shared" si="356"/>
        <v>2778668</v>
      </c>
    </row>
    <row r="2667" spans="1:36" s="700" customFormat="1" ht="12.75" customHeight="1">
      <c r="A2667" s="866" t="s">
        <v>206</v>
      </c>
      <c r="B2667" s="866" t="s">
        <v>392</v>
      </c>
      <c r="C2667" s="860" t="s">
        <v>1414</v>
      </c>
      <c r="D2667" s="860"/>
      <c r="E2667" s="956">
        <v>218706</v>
      </c>
      <c r="F2667" s="845">
        <v>10</v>
      </c>
      <c r="G2667" s="1025">
        <v>115001</v>
      </c>
      <c r="H2667" s="690">
        <v>95398</v>
      </c>
      <c r="I2667" s="1030"/>
      <c r="J2667" s="690"/>
      <c r="K2667" s="1030"/>
      <c r="L2667" s="690"/>
      <c r="M2667" s="1025"/>
      <c r="N2667" s="1030"/>
      <c r="O2667" s="692">
        <f t="shared" si="349"/>
        <v>0</v>
      </c>
      <c r="P2667" s="1161"/>
      <c r="Q2667" s="1161"/>
      <c r="R2667" s="691">
        <f t="shared" si="350"/>
        <v>0</v>
      </c>
      <c r="S2667" s="692">
        <f t="shared" si="351"/>
        <v>115001</v>
      </c>
      <c r="T2667" s="693">
        <f t="shared" si="352"/>
        <v>95398</v>
      </c>
      <c r="U2667" s="1035"/>
      <c r="V2667" s="690"/>
      <c r="W2667" s="1025"/>
      <c r="X2667" s="1030"/>
      <c r="Y2667" s="694">
        <f t="shared" si="353"/>
        <v>0</v>
      </c>
      <c r="Z2667" s="690"/>
      <c r="AA2667" s="690"/>
      <c r="AB2667" s="695">
        <f t="shared" si="354"/>
        <v>0</v>
      </c>
      <c r="AC2667" s="1035"/>
      <c r="AD2667" s="690"/>
      <c r="AE2667" s="1025"/>
      <c r="AF2667" s="1030"/>
      <c r="AG2667" s="690"/>
      <c r="AH2667" s="690"/>
      <c r="AI2667" s="696">
        <f t="shared" si="355"/>
        <v>115001</v>
      </c>
      <c r="AJ2667" s="697">
        <f t="shared" si="356"/>
        <v>95398</v>
      </c>
    </row>
    <row r="2668" spans="1:36" s="700" customFormat="1" ht="12.75" customHeight="1">
      <c r="A2668" s="866" t="s">
        <v>206</v>
      </c>
      <c r="B2668" s="866" t="s">
        <v>400</v>
      </c>
      <c r="C2668" s="859" t="s">
        <v>1418</v>
      </c>
      <c r="D2668" s="859"/>
      <c r="E2668" s="956">
        <v>218706</v>
      </c>
      <c r="F2668" s="845">
        <v>10</v>
      </c>
      <c r="G2668" s="1025"/>
      <c r="H2668" s="690"/>
      <c r="I2668" s="1030"/>
      <c r="J2668" s="690"/>
      <c r="K2668" s="1030"/>
      <c r="L2668" s="690"/>
      <c r="M2668" s="1025"/>
      <c r="N2668" s="1030"/>
      <c r="O2668" s="692">
        <f t="shared" si="349"/>
        <v>0</v>
      </c>
      <c r="P2668" s="1161"/>
      <c r="Q2668" s="1161"/>
      <c r="R2668" s="691">
        <f t="shared" si="350"/>
        <v>0</v>
      </c>
      <c r="S2668" s="692">
        <f t="shared" si="351"/>
        <v>0</v>
      </c>
      <c r="T2668" s="693">
        <f t="shared" si="352"/>
        <v>0</v>
      </c>
      <c r="U2668" s="1035"/>
      <c r="V2668" s="690"/>
      <c r="W2668" s="1025"/>
      <c r="X2668" s="1030"/>
      <c r="Y2668" s="694">
        <f t="shared" si="353"/>
        <v>0</v>
      </c>
      <c r="Z2668" s="690"/>
      <c r="AA2668" s="690"/>
      <c r="AB2668" s="695">
        <f t="shared" si="354"/>
        <v>0</v>
      </c>
      <c r="AC2668" s="1035"/>
      <c r="AD2668" s="690"/>
      <c r="AE2668" s="1025"/>
      <c r="AF2668" s="1030"/>
      <c r="AG2668" s="690"/>
      <c r="AH2668" s="690"/>
      <c r="AI2668" s="696">
        <f t="shared" si="355"/>
        <v>0</v>
      </c>
      <c r="AJ2668" s="697">
        <f t="shared" si="356"/>
        <v>0</v>
      </c>
    </row>
    <row r="2669" spans="1:36" s="700" customFormat="1" ht="12.75" customHeight="1">
      <c r="A2669" s="866" t="s">
        <v>206</v>
      </c>
      <c r="B2669" s="866" t="s">
        <v>400</v>
      </c>
      <c r="C2669" s="860" t="s">
        <v>1422</v>
      </c>
      <c r="D2669" s="860"/>
      <c r="E2669" s="956">
        <v>218706</v>
      </c>
      <c r="F2669" s="845">
        <v>10</v>
      </c>
      <c r="G2669" s="1025"/>
      <c r="H2669" s="690"/>
      <c r="I2669" s="1030">
        <v>4164</v>
      </c>
      <c r="J2669" s="690">
        <v>0</v>
      </c>
      <c r="K2669" s="1030"/>
      <c r="L2669" s="690"/>
      <c r="M2669" s="1025"/>
      <c r="N2669" s="1030"/>
      <c r="O2669" s="692">
        <f t="shared" si="349"/>
        <v>0</v>
      </c>
      <c r="P2669" s="1161"/>
      <c r="Q2669" s="1161"/>
      <c r="R2669" s="691">
        <f t="shared" si="350"/>
        <v>0</v>
      </c>
      <c r="S2669" s="692">
        <f t="shared" si="351"/>
        <v>4164</v>
      </c>
      <c r="T2669" s="693">
        <f t="shared" si="352"/>
        <v>0</v>
      </c>
      <c r="U2669" s="1035"/>
      <c r="V2669" s="690"/>
      <c r="W2669" s="1025"/>
      <c r="X2669" s="1030"/>
      <c r="Y2669" s="694">
        <f t="shared" si="353"/>
        <v>0</v>
      </c>
      <c r="Z2669" s="690"/>
      <c r="AA2669" s="690"/>
      <c r="AB2669" s="695">
        <f t="shared" si="354"/>
        <v>0</v>
      </c>
      <c r="AC2669" s="1035"/>
      <c r="AD2669" s="690"/>
      <c r="AE2669" s="1025"/>
      <c r="AF2669" s="1030"/>
      <c r="AG2669" s="690"/>
      <c r="AH2669" s="690"/>
      <c r="AI2669" s="696">
        <f t="shared" si="355"/>
        <v>4164</v>
      </c>
      <c r="AJ2669" s="697">
        <f t="shared" si="356"/>
        <v>0</v>
      </c>
    </row>
    <row r="2670" spans="1:36" s="700" customFormat="1" ht="12.75" customHeight="1">
      <c r="A2670" s="866" t="s">
        <v>206</v>
      </c>
      <c r="B2670" s="866" t="s">
        <v>400</v>
      </c>
      <c r="C2670" s="860" t="s">
        <v>1423</v>
      </c>
      <c r="D2670" s="860"/>
      <c r="E2670" s="956">
        <v>218706</v>
      </c>
      <c r="F2670" s="845">
        <v>10</v>
      </c>
      <c r="G2670" s="1025"/>
      <c r="H2670" s="690"/>
      <c r="I2670" s="1030">
        <v>519</v>
      </c>
      <c r="J2670" s="690">
        <v>235</v>
      </c>
      <c r="K2670" s="1030"/>
      <c r="L2670" s="690"/>
      <c r="M2670" s="1025"/>
      <c r="N2670" s="1030"/>
      <c r="O2670" s="692">
        <f t="shared" si="349"/>
        <v>0</v>
      </c>
      <c r="P2670" s="1161"/>
      <c r="Q2670" s="1161"/>
      <c r="R2670" s="691">
        <f t="shared" si="350"/>
        <v>0</v>
      </c>
      <c r="S2670" s="692">
        <f t="shared" si="351"/>
        <v>519</v>
      </c>
      <c r="T2670" s="693">
        <f t="shared" si="352"/>
        <v>235</v>
      </c>
      <c r="U2670" s="1035"/>
      <c r="V2670" s="690"/>
      <c r="W2670" s="1025"/>
      <c r="X2670" s="1030"/>
      <c r="Y2670" s="694">
        <f t="shared" si="353"/>
        <v>0</v>
      </c>
      <c r="Z2670" s="690"/>
      <c r="AA2670" s="690"/>
      <c r="AB2670" s="695">
        <f t="shared" si="354"/>
        <v>0</v>
      </c>
      <c r="AC2670" s="1035"/>
      <c r="AD2670" s="690"/>
      <c r="AE2670" s="1025"/>
      <c r="AF2670" s="1030"/>
      <c r="AG2670" s="690"/>
      <c r="AH2670" s="690"/>
      <c r="AI2670" s="696">
        <f t="shared" si="355"/>
        <v>519</v>
      </c>
      <c r="AJ2670" s="697">
        <f t="shared" si="356"/>
        <v>235</v>
      </c>
    </row>
    <row r="2671" spans="1:36" s="700" customFormat="1" ht="12.75" customHeight="1">
      <c r="A2671" s="866" t="s">
        <v>206</v>
      </c>
      <c r="B2671" s="866" t="s">
        <v>400</v>
      </c>
      <c r="C2671" s="860" t="s">
        <v>1442</v>
      </c>
      <c r="D2671" s="860"/>
      <c r="E2671" s="956">
        <v>218706</v>
      </c>
      <c r="F2671" s="845">
        <v>10</v>
      </c>
      <c r="G2671" s="1025"/>
      <c r="H2671" s="690"/>
      <c r="I2671" s="1030">
        <v>125000</v>
      </c>
      <c r="J2671" s="690">
        <v>69419</v>
      </c>
      <c r="K2671" s="1030"/>
      <c r="L2671" s="690"/>
      <c r="M2671" s="1025"/>
      <c r="N2671" s="1030"/>
      <c r="O2671" s="692">
        <f t="shared" si="349"/>
        <v>0</v>
      </c>
      <c r="P2671" s="1161"/>
      <c r="Q2671" s="1161"/>
      <c r="R2671" s="691">
        <f t="shared" si="350"/>
        <v>0</v>
      </c>
      <c r="S2671" s="692">
        <f t="shared" si="351"/>
        <v>125000</v>
      </c>
      <c r="T2671" s="693">
        <f t="shared" si="352"/>
        <v>69419</v>
      </c>
      <c r="U2671" s="1035"/>
      <c r="V2671" s="690"/>
      <c r="W2671" s="1025"/>
      <c r="X2671" s="1030"/>
      <c r="Y2671" s="694">
        <f t="shared" si="353"/>
        <v>0</v>
      </c>
      <c r="Z2671" s="690"/>
      <c r="AA2671" s="690"/>
      <c r="AB2671" s="695">
        <f t="shared" si="354"/>
        <v>0</v>
      </c>
      <c r="AC2671" s="1035"/>
      <c r="AD2671" s="690"/>
      <c r="AE2671" s="1025"/>
      <c r="AF2671" s="1030"/>
      <c r="AG2671" s="690"/>
      <c r="AH2671" s="690"/>
      <c r="AI2671" s="696">
        <f t="shared" si="355"/>
        <v>125000</v>
      </c>
      <c r="AJ2671" s="697">
        <f t="shared" si="356"/>
        <v>69419</v>
      </c>
    </row>
    <row r="2672" spans="1:36" s="700" customFormat="1" ht="12.75" customHeight="1">
      <c r="A2672" s="866" t="s">
        <v>206</v>
      </c>
      <c r="B2672" s="866" t="s">
        <v>392</v>
      </c>
      <c r="C2672" s="955" t="s">
        <v>1499</v>
      </c>
      <c r="D2672" s="955"/>
      <c r="E2672" s="956">
        <v>218955</v>
      </c>
      <c r="F2672" s="845">
        <v>10</v>
      </c>
      <c r="G2672" s="1025">
        <v>1164758</v>
      </c>
      <c r="H2672" s="818">
        <v>1510899</v>
      </c>
      <c r="I2672" s="1030"/>
      <c r="J2672" s="690"/>
      <c r="K2672" s="1030">
        <v>506144</v>
      </c>
      <c r="L2672" s="690">
        <v>505643</v>
      </c>
      <c r="M2672" s="1025">
        <v>1841531</v>
      </c>
      <c r="N2672" s="1030">
        <v>0</v>
      </c>
      <c r="O2672" s="692">
        <f t="shared" si="349"/>
        <v>1841531</v>
      </c>
      <c r="P2672" s="1161">
        <v>1841531</v>
      </c>
      <c r="Q2672" s="1161">
        <v>0</v>
      </c>
      <c r="R2672" s="691">
        <f t="shared" si="350"/>
        <v>1841531</v>
      </c>
      <c r="S2672" s="692">
        <f t="shared" si="351"/>
        <v>3512433</v>
      </c>
      <c r="T2672" s="693">
        <f t="shared" si="352"/>
        <v>3858073</v>
      </c>
      <c r="U2672" s="1035"/>
      <c r="V2672" s="690"/>
      <c r="W2672" s="1025"/>
      <c r="X2672" s="1030"/>
      <c r="Y2672" s="694">
        <f t="shared" si="353"/>
        <v>0</v>
      </c>
      <c r="Z2672" s="690"/>
      <c r="AA2672" s="690"/>
      <c r="AB2672" s="695">
        <f t="shared" si="354"/>
        <v>0</v>
      </c>
      <c r="AC2672" s="1035"/>
      <c r="AD2672" s="690"/>
      <c r="AE2672" s="1025"/>
      <c r="AF2672" s="1030"/>
      <c r="AG2672" s="690"/>
      <c r="AH2672" s="690"/>
      <c r="AI2672" s="696">
        <f t="shared" si="355"/>
        <v>3512433</v>
      </c>
      <c r="AJ2672" s="697">
        <f t="shared" si="356"/>
        <v>3858073</v>
      </c>
    </row>
    <row r="2673" spans="1:36" s="700" customFormat="1" ht="12.75" customHeight="1">
      <c r="A2673" s="866" t="s">
        <v>206</v>
      </c>
      <c r="B2673" s="866" t="s">
        <v>400</v>
      </c>
      <c r="C2673" s="859" t="s">
        <v>1418</v>
      </c>
      <c r="D2673" s="859"/>
      <c r="E2673" s="956">
        <v>218955</v>
      </c>
      <c r="F2673" s="845">
        <v>10</v>
      </c>
      <c r="G2673" s="1025"/>
      <c r="H2673" s="690"/>
      <c r="I2673" s="1030"/>
      <c r="J2673" s="690"/>
      <c r="K2673" s="1030"/>
      <c r="L2673" s="690"/>
      <c r="M2673" s="1025"/>
      <c r="N2673" s="1030"/>
      <c r="O2673" s="692">
        <f t="shared" si="349"/>
        <v>0</v>
      </c>
      <c r="P2673" s="690"/>
      <c r="Q2673" s="690"/>
      <c r="R2673" s="691">
        <f t="shared" si="350"/>
        <v>0</v>
      </c>
      <c r="S2673" s="692">
        <f t="shared" si="351"/>
        <v>0</v>
      </c>
      <c r="T2673" s="693">
        <f t="shared" si="352"/>
        <v>0</v>
      </c>
      <c r="U2673" s="1035"/>
      <c r="V2673" s="690"/>
      <c r="W2673" s="1025"/>
      <c r="X2673" s="1030"/>
      <c r="Y2673" s="694">
        <f t="shared" si="353"/>
        <v>0</v>
      </c>
      <c r="Z2673" s="690"/>
      <c r="AA2673" s="690"/>
      <c r="AB2673" s="695">
        <f t="shared" si="354"/>
        <v>0</v>
      </c>
      <c r="AC2673" s="1035"/>
      <c r="AD2673" s="690"/>
      <c r="AE2673" s="1025"/>
      <c r="AF2673" s="1030"/>
      <c r="AG2673" s="690"/>
      <c r="AH2673" s="690"/>
      <c r="AI2673" s="696">
        <f t="shared" si="355"/>
        <v>0</v>
      </c>
      <c r="AJ2673" s="697">
        <f t="shared" si="356"/>
        <v>0</v>
      </c>
    </row>
    <row r="2674" spans="1:36" s="700" customFormat="1" ht="12.75" customHeight="1">
      <c r="A2674" s="866" t="s">
        <v>206</v>
      </c>
      <c r="B2674" s="866" t="s">
        <v>400</v>
      </c>
      <c r="C2674" s="860" t="s">
        <v>1469</v>
      </c>
      <c r="D2674" s="860"/>
      <c r="E2674" s="956">
        <v>218955</v>
      </c>
      <c r="F2674" s="845">
        <v>10</v>
      </c>
      <c r="G2674" s="1025"/>
      <c r="H2674" s="690"/>
      <c r="I2674" s="1030">
        <v>2358</v>
      </c>
      <c r="J2674" s="690">
        <v>0</v>
      </c>
      <c r="K2674" s="1030"/>
      <c r="L2674" s="690"/>
      <c r="M2674" s="1025"/>
      <c r="N2674" s="1030"/>
      <c r="O2674" s="692">
        <f t="shared" si="349"/>
        <v>0</v>
      </c>
      <c r="P2674" s="690"/>
      <c r="Q2674" s="690"/>
      <c r="R2674" s="691">
        <f t="shared" si="350"/>
        <v>0</v>
      </c>
      <c r="S2674" s="692">
        <f t="shared" si="351"/>
        <v>2358</v>
      </c>
      <c r="T2674" s="693">
        <f t="shared" si="352"/>
        <v>0</v>
      </c>
      <c r="U2674" s="1035"/>
      <c r="V2674" s="690"/>
      <c r="W2674" s="1025"/>
      <c r="X2674" s="1030"/>
      <c r="Y2674" s="694">
        <f t="shared" si="353"/>
        <v>0</v>
      </c>
      <c r="Z2674" s="690"/>
      <c r="AA2674" s="690"/>
      <c r="AB2674" s="695">
        <f t="shared" si="354"/>
        <v>0</v>
      </c>
      <c r="AC2674" s="1035"/>
      <c r="AD2674" s="690"/>
      <c r="AE2674" s="1025"/>
      <c r="AF2674" s="1030"/>
      <c r="AG2674" s="690"/>
      <c r="AH2674" s="690"/>
      <c r="AI2674" s="696">
        <f t="shared" si="355"/>
        <v>2358</v>
      </c>
      <c r="AJ2674" s="697">
        <f t="shared" si="356"/>
        <v>0</v>
      </c>
    </row>
    <row r="2675" spans="1:36" s="700" customFormat="1" ht="12.75" customHeight="1">
      <c r="A2675" s="866" t="s">
        <v>206</v>
      </c>
      <c r="B2675" s="866" t="s">
        <v>400</v>
      </c>
      <c r="C2675" s="860" t="s">
        <v>1470</v>
      </c>
      <c r="D2675" s="860"/>
      <c r="E2675" s="956">
        <v>218955</v>
      </c>
      <c r="F2675" s="845">
        <v>10</v>
      </c>
      <c r="G2675" s="1025"/>
      <c r="H2675" s="690"/>
      <c r="I2675" s="1030">
        <v>4905</v>
      </c>
      <c r="J2675" s="690">
        <v>0</v>
      </c>
      <c r="K2675" s="1030"/>
      <c r="L2675" s="690"/>
      <c r="M2675" s="1025"/>
      <c r="N2675" s="1030"/>
      <c r="O2675" s="692">
        <f t="shared" si="349"/>
        <v>0</v>
      </c>
      <c r="P2675" s="690"/>
      <c r="Q2675" s="690"/>
      <c r="R2675" s="691">
        <f t="shared" si="350"/>
        <v>0</v>
      </c>
      <c r="S2675" s="692">
        <f t="shared" si="351"/>
        <v>4905</v>
      </c>
      <c r="T2675" s="693">
        <f t="shared" si="352"/>
        <v>0</v>
      </c>
      <c r="U2675" s="1035"/>
      <c r="V2675" s="690"/>
      <c r="W2675" s="1025"/>
      <c r="X2675" s="1030"/>
      <c r="Y2675" s="694">
        <f t="shared" si="353"/>
        <v>0</v>
      </c>
      <c r="Z2675" s="690"/>
      <c r="AA2675" s="690"/>
      <c r="AB2675" s="695">
        <f t="shared" si="354"/>
        <v>0</v>
      </c>
      <c r="AC2675" s="1035"/>
      <c r="AD2675" s="690"/>
      <c r="AE2675" s="1025"/>
      <c r="AF2675" s="1030"/>
      <c r="AG2675" s="690"/>
      <c r="AH2675" s="690"/>
      <c r="AI2675" s="696">
        <f t="shared" si="355"/>
        <v>4905</v>
      </c>
      <c r="AJ2675" s="697">
        <f t="shared" si="356"/>
        <v>0</v>
      </c>
    </row>
    <row r="2676" spans="1:36" s="700" customFormat="1" ht="12.75" customHeight="1">
      <c r="A2676" s="866" t="s">
        <v>206</v>
      </c>
      <c r="B2676" s="866" t="s">
        <v>400</v>
      </c>
      <c r="C2676" s="860" t="s">
        <v>1472</v>
      </c>
      <c r="D2676" s="860"/>
      <c r="E2676" s="956">
        <v>218955</v>
      </c>
      <c r="F2676" s="845">
        <v>10</v>
      </c>
      <c r="G2676" s="1025"/>
      <c r="H2676" s="690"/>
      <c r="I2676" s="1030">
        <v>44452</v>
      </c>
      <c r="J2676" s="690">
        <v>37784</v>
      </c>
      <c r="K2676" s="1030"/>
      <c r="L2676" s="690"/>
      <c r="M2676" s="1025"/>
      <c r="N2676" s="1030"/>
      <c r="O2676" s="692">
        <f t="shared" si="349"/>
        <v>0</v>
      </c>
      <c r="P2676" s="690"/>
      <c r="Q2676" s="690"/>
      <c r="R2676" s="691">
        <f t="shared" si="350"/>
        <v>0</v>
      </c>
      <c r="S2676" s="692">
        <f t="shared" si="351"/>
        <v>44452</v>
      </c>
      <c r="T2676" s="693">
        <f t="shared" si="352"/>
        <v>37784</v>
      </c>
      <c r="U2676" s="1035"/>
      <c r="V2676" s="690"/>
      <c r="W2676" s="1025"/>
      <c r="X2676" s="1030"/>
      <c r="Y2676" s="694">
        <f t="shared" si="353"/>
        <v>0</v>
      </c>
      <c r="Z2676" s="690"/>
      <c r="AA2676" s="690"/>
      <c r="AB2676" s="695">
        <f t="shared" si="354"/>
        <v>0</v>
      </c>
      <c r="AC2676" s="1035"/>
      <c r="AD2676" s="690"/>
      <c r="AE2676" s="1025"/>
      <c r="AF2676" s="1030"/>
      <c r="AG2676" s="690"/>
      <c r="AH2676" s="690"/>
      <c r="AI2676" s="696">
        <f t="shared" si="355"/>
        <v>44452</v>
      </c>
      <c r="AJ2676" s="697">
        <f t="shared" si="356"/>
        <v>37784</v>
      </c>
    </row>
    <row r="2677" spans="1:36" s="700" customFormat="1" ht="12.75" customHeight="1">
      <c r="A2677" s="866" t="s">
        <v>206</v>
      </c>
      <c r="B2677" s="866" t="s">
        <v>400</v>
      </c>
      <c r="C2677" s="860" t="s">
        <v>1422</v>
      </c>
      <c r="D2677" s="860"/>
      <c r="E2677" s="956">
        <v>218955</v>
      </c>
      <c r="F2677" s="845">
        <v>10</v>
      </c>
      <c r="G2677" s="1025"/>
      <c r="H2677" s="690"/>
      <c r="I2677" s="1030">
        <v>4354</v>
      </c>
      <c r="J2677" s="690">
        <v>0</v>
      </c>
      <c r="K2677" s="1030"/>
      <c r="L2677" s="690"/>
      <c r="M2677" s="1025"/>
      <c r="N2677" s="1030"/>
      <c r="O2677" s="692">
        <f t="shared" si="349"/>
        <v>0</v>
      </c>
      <c r="P2677" s="690"/>
      <c r="Q2677" s="690"/>
      <c r="R2677" s="691">
        <f t="shared" si="350"/>
        <v>0</v>
      </c>
      <c r="S2677" s="692">
        <f t="shared" si="351"/>
        <v>4354</v>
      </c>
      <c r="T2677" s="693">
        <f t="shared" si="352"/>
        <v>0</v>
      </c>
      <c r="U2677" s="1035"/>
      <c r="V2677" s="690"/>
      <c r="W2677" s="1025"/>
      <c r="X2677" s="1030"/>
      <c r="Y2677" s="694">
        <f t="shared" si="353"/>
        <v>0</v>
      </c>
      <c r="Z2677" s="690"/>
      <c r="AA2677" s="690"/>
      <c r="AB2677" s="695">
        <f t="shared" si="354"/>
        <v>0</v>
      </c>
      <c r="AC2677" s="1035"/>
      <c r="AD2677" s="690"/>
      <c r="AE2677" s="1025"/>
      <c r="AF2677" s="1030"/>
      <c r="AG2677" s="690"/>
      <c r="AH2677" s="690"/>
      <c r="AI2677" s="696">
        <f t="shared" si="355"/>
        <v>4354</v>
      </c>
      <c r="AJ2677" s="697">
        <f t="shared" si="356"/>
        <v>0</v>
      </c>
    </row>
    <row r="2678" spans="1:36" s="700" customFormat="1" ht="12.75" customHeight="1">
      <c r="A2678" s="866" t="s">
        <v>206</v>
      </c>
      <c r="B2678" s="866" t="s">
        <v>400</v>
      </c>
      <c r="C2678" s="860" t="s">
        <v>1423</v>
      </c>
      <c r="D2678" s="860"/>
      <c r="E2678" s="956">
        <v>218955</v>
      </c>
      <c r="F2678" s="845">
        <v>10</v>
      </c>
      <c r="G2678" s="1025"/>
      <c r="H2678" s="690"/>
      <c r="I2678" s="1030">
        <v>109</v>
      </c>
      <c r="J2678" s="690">
        <v>0</v>
      </c>
      <c r="K2678" s="1030"/>
      <c r="L2678" s="690"/>
      <c r="M2678" s="1025"/>
      <c r="N2678" s="1030"/>
      <c r="O2678" s="692">
        <f t="shared" si="349"/>
        <v>0</v>
      </c>
      <c r="P2678" s="690"/>
      <c r="Q2678" s="690"/>
      <c r="R2678" s="691">
        <f t="shared" si="350"/>
        <v>0</v>
      </c>
      <c r="S2678" s="692">
        <f t="shared" si="351"/>
        <v>109</v>
      </c>
      <c r="T2678" s="693">
        <f t="shared" si="352"/>
        <v>0</v>
      </c>
      <c r="U2678" s="1035"/>
      <c r="V2678" s="690"/>
      <c r="W2678" s="1025"/>
      <c r="X2678" s="1030"/>
      <c r="Y2678" s="694">
        <f t="shared" si="353"/>
        <v>0</v>
      </c>
      <c r="Z2678" s="690"/>
      <c r="AA2678" s="690"/>
      <c r="AB2678" s="695">
        <f t="shared" si="354"/>
        <v>0</v>
      </c>
      <c r="AC2678" s="1035"/>
      <c r="AD2678" s="690"/>
      <c r="AE2678" s="1025"/>
      <c r="AF2678" s="1030"/>
      <c r="AG2678" s="690"/>
      <c r="AH2678" s="690"/>
      <c r="AI2678" s="696">
        <f t="shared" si="355"/>
        <v>109</v>
      </c>
      <c r="AJ2678" s="697">
        <f t="shared" si="356"/>
        <v>0</v>
      </c>
    </row>
    <row r="2679" spans="1:36" s="700" customFormat="1" ht="12.75" customHeight="1">
      <c r="A2679" s="866" t="s">
        <v>206</v>
      </c>
      <c r="B2679" s="866" t="s">
        <v>400</v>
      </c>
      <c r="C2679" s="860" t="s">
        <v>1473</v>
      </c>
      <c r="D2679" s="860"/>
      <c r="E2679" s="956">
        <v>218955</v>
      </c>
      <c r="F2679" s="845">
        <v>10</v>
      </c>
      <c r="G2679" s="1025"/>
      <c r="H2679" s="690"/>
      <c r="I2679" s="1030">
        <v>2445</v>
      </c>
      <c r="J2679" s="690">
        <v>0</v>
      </c>
      <c r="K2679" s="1030"/>
      <c r="L2679" s="690"/>
      <c r="M2679" s="1025"/>
      <c r="N2679" s="1030"/>
      <c r="O2679" s="692">
        <f t="shared" si="349"/>
        <v>0</v>
      </c>
      <c r="P2679" s="690"/>
      <c r="Q2679" s="690"/>
      <c r="R2679" s="691">
        <f t="shared" si="350"/>
        <v>0</v>
      </c>
      <c r="S2679" s="692">
        <f t="shared" si="351"/>
        <v>2445</v>
      </c>
      <c r="T2679" s="693">
        <f t="shared" si="352"/>
        <v>0</v>
      </c>
      <c r="U2679" s="1035"/>
      <c r="V2679" s="690"/>
      <c r="W2679" s="1025"/>
      <c r="X2679" s="1030"/>
      <c r="Y2679" s="694">
        <f t="shared" si="353"/>
        <v>0</v>
      </c>
      <c r="Z2679" s="690"/>
      <c r="AA2679" s="690"/>
      <c r="AB2679" s="695">
        <f t="shared" si="354"/>
        <v>0</v>
      </c>
      <c r="AC2679" s="1035"/>
      <c r="AD2679" s="690"/>
      <c r="AE2679" s="1025"/>
      <c r="AF2679" s="1030"/>
      <c r="AG2679" s="690"/>
      <c r="AH2679" s="690"/>
      <c r="AI2679" s="696">
        <f t="shared" si="355"/>
        <v>2445</v>
      </c>
      <c r="AJ2679" s="697">
        <f t="shared" si="356"/>
        <v>0</v>
      </c>
    </row>
    <row r="2680" spans="1:36" s="700" customFormat="1" ht="12.75" customHeight="1">
      <c r="A2680" s="866" t="s">
        <v>206</v>
      </c>
      <c r="B2680" s="866" t="s">
        <v>400</v>
      </c>
      <c r="C2680" s="860" t="s">
        <v>1474</v>
      </c>
      <c r="D2680" s="860"/>
      <c r="E2680" s="956">
        <v>218955</v>
      </c>
      <c r="F2680" s="845">
        <v>10</v>
      </c>
      <c r="G2680" s="1025"/>
      <c r="H2680" s="690"/>
      <c r="I2680" s="1030">
        <v>146657</v>
      </c>
      <c r="J2680" s="690">
        <v>0</v>
      </c>
      <c r="K2680" s="1030"/>
      <c r="L2680" s="690"/>
      <c r="M2680" s="1025"/>
      <c r="N2680" s="1030"/>
      <c r="O2680" s="692">
        <f t="shared" si="349"/>
        <v>0</v>
      </c>
      <c r="P2680" s="690"/>
      <c r="Q2680" s="690"/>
      <c r="R2680" s="691">
        <f t="shared" si="350"/>
        <v>0</v>
      </c>
      <c r="S2680" s="692">
        <f t="shared" si="351"/>
        <v>146657</v>
      </c>
      <c r="T2680" s="693">
        <f t="shared" si="352"/>
        <v>0</v>
      </c>
      <c r="U2680" s="1035"/>
      <c r="V2680" s="690"/>
      <c r="W2680" s="1025"/>
      <c r="X2680" s="1030"/>
      <c r="Y2680" s="694">
        <f t="shared" si="353"/>
        <v>0</v>
      </c>
      <c r="Z2680" s="690"/>
      <c r="AA2680" s="690"/>
      <c r="AB2680" s="695">
        <f t="shared" si="354"/>
        <v>0</v>
      </c>
      <c r="AC2680" s="1035"/>
      <c r="AD2680" s="690"/>
      <c r="AE2680" s="1025"/>
      <c r="AF2680" s="1030"/>
      <c r="AG2680" s="690"/>
      <c r="AH2680" s="690"/>
      <c r="AI2680" s="696">
        <f t="shared" si="355"/>
        <v>146657</v>
      </c>
      <c r="AJ2680" s="697">
        <f t="shared" si="356"/>
        <v>0</v>
      </c>
    </row>
    <row r="2681" spans="1:36" s="700" customFormat="1" ht="12.75" customHeight="1">
      <c r="A2681" s="866" t="s">
        <v>206</v>
      </c>
      <c r="B2681" s="866" t="s">
        <v>400</v>
      </c>
      <c r="C2681" s="860" t="s">
        <v>1442</v>
      </c>
      <c r="D2681" s="860"/>
      <c r="E2681" s="956">
        <v>218955</v>
      </c>
      <c r="F2681" s="845">
        <v>10</v>
      </c>
      <c r="G2681" s="1025"/>
      <c r="H2681" s="690"/>
      <c r="I2681" s="1030">
        <v>141037</v>
      </c>
      <c r="J2681" s="818">
        <v>67827</v>
      </c>
      <c r="K2681" s="1030"/>
      <c r="L2681" s="690"/>
      <c r="M2681" s="1025"/>
      <c r="N2681" s="1030"/>
      <c r="O2681" s="692">
        <f t="shared" si="349"/>
        <v>0</v>
      </c>
      <c r="P2681" s="690"/>
      <c r="Q2681" s="690"/>
      <c r="R2681" s="691">
        <f t="shared" si="350"/>
        <v>0</v>
      </c>
      <c r="S2681" s="692">
        <f t="shared" si="351"/>
        <v>141037</v>
      </c>
      <c r="T2681" s="693">
        <f t="shared" si="352"/>
        <v>67827</v>
      </c>
      <c r="U2681" s="1035"/>
      <c r="V2681" s="690"/>
      <c r="W2681" s="1025"/>
      <c r="X2681" s="1030"/>
      <c r="Y2681" s="694">
        <f t="shared" si="353"/>
        <v>0</v>
      </c>
      <c r="Z2681" s="690"/>
      <c r="AA2681" s="690"/>
      <c r="AB2681" s="695">
        <f t="shared" si="354"/>
        <v>0</v>
      </c>
      <c r="AC2681" s="1035"/>
      <c r="AD2681" s="690"/>
      <c r="AE2681" s="1025"/>
      <c r="AF2681" s="1030"/>
      <c r="AG2681" s="690"/>
      <c r="AH2681" s="690"/>
      <c r="AI2681" s="696">
        <f t="shared" si="355"/>
        <v>141037</v>
      </c>
      <c r="AJ2681" s="697">
        <f t="shared" si="356"/>
        <v>67827</v>
      </c>
    </row>
    <row r="2682" spans="1:36" s="700" customFormat="1" ht="12.75" customHeight="1">
      <c r="A2682" s="866" t="s">
        <v>206</v>
      </c>
      <c r="B2682" s="866" t="s">
        <v>429</v>
      </c>
      <c r="C2682" s="955" t="s">
        <v>1500</v>
      </c>
      <c r="D2682" s="955"/>
      <c r="E2682" s="956">
        <v>218335</v>
      </c>
      <c r="F2682" s="845">
        <v>15</v>
      </c>
      <c r="G2682" s="1025"/>
      <c r="H2682" s="690"/>
      <c r="I2682" s="1030"/>
      <c r="J2682" s="690"/>
      <c r="K2682" s="1030"/>
      <c r="L2682" s="690"/>
      <c r="M2682" s="1025"/>
      <c r="N2682" s="1030"/>
      <c r="O2682" s="692">
        <f t="shared" si="349"/>
        <v>0</v>
      </c>
      <c r="P2682" s="690"/>
      <c r="Q2682" s="690"/>
      <c r="R2682" s="691">
        <f t="shared" si="350"/>
        <v>0</v>
      </c>
      <c r="S2682" s="692">
        <f t="shared" si="351"/>
        <v>0</v>
      </c>
      <c r="T2682" s="693">
        <f t="shared" si="352"/>
        <v>0</v>
      </c>
      <c r="U2682" s="1035"/>
      <c r="V2682" s="690"/>
      <c r="W2682" s="1025"/>
      <c r="X2682" s="1030"/>
      <c r="Y2682" s="694">
        <f t="shared" si="353"/>
        <v>0</v>
      </c>
      <c r="Z2682" s="690"/>
      <c r="AA2682" s="690"/>
      <c r="AB2682" s="695">
        <f t="shared" si="354"/>
        <v>0</v>
      </c>
      <c r="AC2682" s="1035">
        <v>52352856</v>
      </c>
      <c r="AD2682" s="690">
        <v>42729251</v>
      </c>
      <c r="AE2682" s="1153">
        <v>56151713</v>
      </c>
      <c r="AF2682" s="1155">
        <v>9203966</v>
      </c>
      <c r="AG2682" s="1159">
        <v>61971854</v>
      </c>
      <c r="AH2682" s="1160">
        <v>10656001</v>
      </c>
      <c r="AI2682" s="696">
        <f t="shared" si="355"/>
        <v>108504569</v>
      </c>
      <c r="AJ2682" s="697">
        <f t="shared" si="356"/>
        <v>104701105</v>
      </c>
    </row>
    <row r="2683" spans="1:36" s="700" customFormat="1" ht="12.75" customHeight="1">
      <c r="A2683" s="866" t="s">
        <v>206</v>
      </c>
      <c r="B2683" s="866" t="s">
        <v>429</v>
      </c>
      <c r="C2683" s="860" t="s">
        <v>1414</v>
      </c>
      <c r="D2683" s="860"/>
      <c r="E2683" s="956">
        <v>218335</v>
      </c>
      <c r="F2683" s="845">
        <v>15</v>
      </c>
      <c r="G2683" s="1025"/>
      <c r="H2683" s="690"/>
      <c r="I2683" s="1030"/>
      <c r="J2683" s="690"/>
      <c r="K2683" s="1030"/>
      <c r="L2683" s="690"/>
      <c r="M2683" s="1025"/>
      <c r="N2683" s="1030"/>
      <c r="O2683" s="692">
        <f t="shared" si="349"/>
        <v>0</v>
      </c>
      <c r="P2683" s="690"/>
      <c r="Q2683" s="690"/>
      <c r="R2683" s="691">
        <f t="shared" si="350"/>
        <v>0</v>
      </c>
      <c r="S2683" s="692">
        <f t="shared" si="351"/>
        <v>0</v>
      </c>
      <c r="T2683" s="693">
        <f t="shared" si="352"/>
        <v>0</v>
      </c>
      <c r="U2683" s="1035"/>
      <c r="V2683" s="690"/>
      <c r="W2683" s="1025"/>
      <c r="X2683" s="1030"/>
      <c r="Y2683" s="694">
        <f t="shared" si="353"/>
        <v>0</v>
      </c>
      <c r="Z2683" s="690"/>
      <c r="AA2683" s="690"/>
      <c r="AB2683" s="695">
        <f t="shared" si="354"/>
        <v>0</v>
      </c>
      <c r="AC2683" s="1035">
        <v>14126832</v>
      </c>
      <c r="AD2683" s="690">
        <v>11073517</v>
      </c>
      <c r="AE2683" s="1025"/>
      <c r="AF2683" s="1030"/>
      <c r="AG2683" s="690"/>
      <c r="AH2683" s="690"/>
      <c r="AI2683" s="696">
        <f t="shared" si="355"/>
        <v>14126832</v>
      </c>
      <c r="AJ2683" s="697">
        <f t="shared" si="356"/>
        <v>11073517</v>
      </c>
    </row>
    <row r="2684" spans="1:36" s="700" customFormat="1" ht="12.75" customHeight="1">
      <c r="A2684" s="866" t="s">
        <v>206</v>
      </c>
      <c r="B2684" s="866" t="s">
        <v>429</v>
      </c>
      <c r="C2684" s="860" t="s">
        <v>1422</v>
      </c>
      <c r="D2684" s="860"/>
      <c r="E2684" s="956">
        <v>218335</v>
      </c>
      <c r="F2684" s="845">
        <v>15</v>
      </c>
      <c r="G2684" s="1025"/>
      <c r="H2684" s="690"/>
      <c r="I2684" s="1030"/>
      <c r="J2684" s="690"/>
      <c r="K2684" s="1030"/>
      <c r="L2684" s="690"/>
      <c r="M2684" s="1025"/>
      <c r="N2684" s="1030"/>
      <c r="O2684" s="692">
        <f t="shared" si="349"/>
        <v>0</v>
      </c>
      <c r="P2684" s="690"/>
      <c r="Q2684" s="690"/>
      <c r="R2684" s="691">
        <f t="shared" si="350"/>
        <v>0</v>
      </c>
      <c r="S2684" s="692">
        <f t="shared" si="351"/>
        <v>0</v>
      </c>
      <c r="T2684" s="693">
        <f t="shared" si="352"/>
        <v>0</v>
      </c>
      <c r="U2684" s="1035"/>
      <c r="V2684" s="690"/>
      <c r="W2684" s="1025"/>
      <c r="X2684" s="1030"/>
      <c r="Y2684" s="694">
        <f t="shared" si="353"/>
        <v>0</v>
      </c>
      <c r="Z2684" s="690"/>
      <c r="AA2684" s="690"/>
      <c r="AB2684" s="695">
        <f t="shared" si="354"/>
        <v>0</v>
      </c>
      <c r="AC2684" s="1035">
        <v>33021</v>
      </c>
      <c r="AD2684" s="690">
        <v>0</v>
      </c>
      <c r="AE2684" s="1025"/>
      <c r="AF2684" s="1030"/>
      <c r="AG2684" s="690"/>
      <c r="AH2684" s="690"/>
      <c r="AI2684" s="696">
        <f t="shared" si="355"/>
        <v>33021</v>
      </c>
      <c r="AJ2684" s="697">
        <f t="shared" si="356"/>
        <v>0</v>
      </c>
    </row>
    <row r="2685" spans="1:36" s="700" customFormat="1" ht="12.75" customHeight="1">
      <c r="A2685" s="866" t="s">
        <v>206</v>
      </c>
      <c r="B2685" s="866" t="s">
        <v>429</v>
      </c>
      <c r="C2685" s="860" t="s">
        <v>1423</v>
      </c>
      <c r="D2685" s="860"/>
      <c r="E2685" s="956">
        <v>218335</v>
      </c>
      <c r="F2685" s="845">
        <v>15</v>
      </c>
      <c r="G2685" s="1025"/>
      <c r="H2685" s="690"/>
      <c r="I2685" s="1030"/>
      <c r="J2685" s="690"/>
      <c r="K2685" s="1030"/>
      <c r="L2685" s="690"/>
      <c r="M2685" s="1025"/>
      <c r="N2685" s="1030"/>
      <c r="O2685" s="692">
        <f t="shared" si="349"/>
        <v>0</v>
      </c>
      <c r="P2685" s="690"/>
      <c r="Q2685" s="690"/>
      <c r="R2685" s="691">
        <f t="shared" si="350"/>
        <v>0</v>
      </c>
      <c r="S2685" s="692">
        <f t="shared" si="351"/>
        <v>0</v>
      </c>
      <c r="T2685" s="693">
        <f t="shared" si="352"/>
        <v>0</v>
      </c>
      <c r="U2685" s="1035"/>
      <c r="V2685" s="690"/>
      <c r="W2685" s="1025"/>
      <c r="X2685" s="1030"/>
      <c r="Y2685" s="694">
        <f t="shared" si="353"/>
        <v>0</v>
      </c>
      <c r="Z2685" s="690"/>
      <c r="AA2685" s="690"/>
      <c r="AB2685" s="695">
        <f t="shared" si="354"/>
        <v>0</v>
      </c>
      <c r="AC2685" s="1035">
        <v>60033</v>
      </c>
      <c r="AD2685" s="690">
        <v>41337</v>
      </c>
      <c r="AE2685" s="1025"/>
      <c r="AF2685" s="1030"/>
      <c r="AG2685" s="690"/>
      <c r="AH2685" s="690"/>
      <c r="AI2685" s="696">
        <f t="shared" si="355"/>
        <v>60033</v>
      </c>
      <c r="AJ2685" s="697">
        <f t="shared" si="356"/>
        <v>41337</v>
      </c>
    </row>
    <row r="2686" spans="1:36" s="700" customFormat="1" ht="12.75" customHeight="1">
      <c r="A2686" s="866" t="s">
        <v>206</v>
      </c>
      <c r="B2686" s="866" t="s">
        <v>429</v>
      </c>
      <c r="C2686" s="860" t="s">
        <v>1419</v>
      </c>
      <c r="D2686" s="860"/>
      <c r="E2686" s="956">
        <v>218335</v>
      </c>
      <c r="F2686" s="845">
        <v>15</v>
      </c>
      <c r="G2686" s="1025"/>
      <c r="H2686" s="690"/>
      <c r="I2686" s="1030"/>
      <c r="J2686" s="690"/>
      <c r="K2686" s="1030"/>
      <c r="L2686" s="690"/>
      <c r="M2686" s="1025"/>
      <c r="N2686" s="1030"/>
      <c r="O2686" s="692">
        <f t="shared" si="349"/>
        <v>0</v>
      </c>
      <c r="P2686" s="690"/>
      <c r="Q2686" s="690"/>
      <c r="R2686" s="691">
        <f t="shared" si="350"/>
        <v>0</v>
      </c>
      <c r="S2686" s="692">
        <f t="shared" si="351"/>
        <v>0</v>
      </c>
      <c r="T2686" s="693">
        <f t="shared" si="352"/>
        <v>0</v>
      </c>
      <c r="U2686" s="1035"/>
      <c r="V2686" s="690"/>
      <c r="W2686" s="1025"/>
      <c r="X2686" s="1030"/>
      <c r="Y2686" s="694">
        <f t="shared" si="353"/>
        <v>0</v>
      </c>
      <c r="Z2686" s="690"/>
      <c r="AA2686" s="690"/>
      <c r="AB2686" s="695">
        <f t="shared" si="354"/>
        <v>0</v>
      </c>
      <c r="AC2686" s="1035">
        <v>93197</v>
      </c>
      <c r="AD2686" s="690">
        <v>0</v>
      </c>
      <c r="AE2686" s="1025"/>
      <c r="AF2686" s="1030"/>
      <c r="AG2686" s="690"/>
      <c r="AH2686" s="690"/>
      <c r="AI2686" s="696">
        <f t="shared" si="355"/>
        <v>93197</v>
      </c>
      <c r="AJ2686" s="697">
        <f t="shared" si="356"/>
        <v>0</v>
      </c>
    </row>
    <row r="2687" spans="1:36" s="700" customFormat="1" ht="12.75" customHeight="1">
      <c r="A2687" s="866" t="s">
        <v>206</v>
      </c>
      <c r="B2687" s="866" t="s">
        <v>429</v>
      </c>
      <c r="C2687" s="860" t="s">
        <v>1501</v>
      </c>
      <c r="D2687" s="860"/>
      <c r="E2687" s="956">
        <v>218335</v>
      </c>
      <c r="F2687" s="845">
        <v>15</v>
      </c>
      <c r="G2687" s="1025"/>
      <c r="H2687" s="690"/>
      <c r="I2687" s="1030"/>
      <c r="J2687" s="690"/>
      <c r="K2687" s="1030"/>
      <c r="L2687" s="690"/>
      <c r="M2687" s="1025"/>
      <c r="N2687" s="1030"/>
      <c r="O2687" s="692">
        <f t="shared" si="349"/>
        <v>0</v>
      </c>
      <c r="P2687" s="690"/>
      <c r="Q2687" s="690"/>
      <c r="R2687" s="691">
        <f t="shared" si="350"/>
        <v>0</v>
      </c>
      <c r="S2687" s="692">
        <f t="shared" si="351"/>
        <v>0</v>
      </c>
      <c r="T2687" s="693">
        <f t="shared" si="352"/>
        <v>0</v>
      </c>
      <c r="U2687" s="1035"/>
      <c r="V2687" s="690"/>
      <c r="W2687" s="1025"/>
      <c r="X2687" s="1030"/>
      <c r="Y2687" s="694">
        <f t="shared" si="353"/>
        <v>0</v>
      </c>
      <c r="Z2687" s="690"/>
      <c r="AA2687" s="690"/>
      <c r="AB2687" s="695">
        <f t="shared" si="354"/>
        <v>0</v>
      </c>
      <c r="AC2687" s="1035">
        <v>83989</v>
      </c>
      <c r="AD2687" s="690">
        <v>0</v>
      </c>
      <c r="AE2687" s="1025"/>
      <c r="AF2687" s="1030"/>
      <c r="AG2687" s="690"/>
      <c r="AH2687" s="690"/>
      <c r="AI2687" s="696">
        <f t="shared" si="355"/>
        <v>83989</v>
      </c>
      <c r="AJ2687" s="697">
        <f t="shared" si="356"/>
        <v>0</v>
      </c>
    </row>
    <row r="2688" spans="1:36" s="700" customFormat="1" ht="12.75" customHeight="1">
      <c r="A2688" s="866" t="s">
        <v>206</v>
      </c>
      <c r="B2688" s="866" t="s">
        <v>429</v>
      </c>
      <c r="C2688" s="860" t="s">
        <v>1502</v>
      </c>
      <c r="D2688" s="860"/>
      <c r="E2688" s="956">
        <v>218335</v>
      </c>
      <c r="F2688" s="845">
        <v>15</v>
      </c>
      <c r="G2688" s="1025"/>
      <c r="H2688" s="690"/>
      <c r="I2688" s="1030"/>
      <c r="J2688" s="690"/>
      <c r="K2688" s="1030"/>
      <c r="L2688" s="690"/>
      <c r="M2688" s="1025"/>
      <c r="N2688" s="1030"/>
      <c r="O2688" s="692">
        <f t="shared" si="349"/>
        <v>0</v>
      </c>
      <c r="P2688" s="690"/>
      <c r="Q2688" s="690"/>
      <c r="R2688" s="691">
        <f t="shared" si="350"/>
        <v>0</v>
      </c>
      <c r="S2688" s="692">
        <f t="shared" si="351"/>
        <v>0</v>
      </c>
      <c r="T2688" s="693">
        <f t="shared" si="352"/>
        <v>0</v>
      </c>
      <c r="U2688" s="1035"/>
      <c r="V2688" s="690"/>
      <c r="W2688" s="1025"/>
      <c r="X2688" s="1030"/>
      <c r="Y2688" s="694">
        <f t="shared" si="353"/>
        <v>0</v>
      </c>
      <c r="Z2688" s="690"/>
      <c r="AA2688" s="690"/>
      <c r="AB2688" s="695">
        <f t="shared" si="354"/>
        <v>0</v>
      </c>
      <c r="AC2688" s="1035">
        <v>512741</v>
      </c>
      <c r="AD2688" s="690">
        <v>0</v>
      </c>
      <c r="AE2688" s="1025"/>
      <c r="AF2688" s="1030"/>
      <c r="AG2688" s="690"/>
      <c r="AH2688" s="690"/>
      <c r="AI2688" s="696">
        <f t="shared" si="355"/>
        <v>512741</v>
      </c>
      <c r="AJ2688" s="697">
        <f t="shared" si="356"/>
        <v>0</v>
      </c>
    </row>
    <row r="2689" spans="1:36" s="700" customFormat="1" ht="12.75" customHeight="1">
      <c r="A2689" s="866" t="s">
        <v>206</v>
      </c>
      <c r="B2689" s="866" t="s">
        <v>429</v>
      </c>
      <c r="C2689" s="860" t="s">
        <v>1503</v>
      </c>
      <c r="D2689" s="860"/>
      <c r="E2689" s="956">
        <v>218335</v>
      </c>
      <c r="F2689" s="845">
        <v>15</v>
      </c>
      <c r="G2689" s="1025"/>
      <c r="H2689" s="690"/>
      <c r="I2689" s="1030"/>
      <c r="J2689" s="690"/>
      <c r="K2689" s="1030"/>
      <c r="L2689" s="690"/>
      <c r="M2689" s="1025"/>
      <c r="N2689" s="1030"/>
      <c r="O2689" s="692">
        <f t="shared" si="349"/>
        <v>0</v>
      </c>
      <c r="P2689" s="690"/>
      <c r="Q2689" s="690"/>
      <c r="R2689" s="691">
        <f t="shared" si="350"/>
        <v>0</v>
      </c>
      <c r="S2689" s="692">
        <f t="shared" si="351"/>
        <v>0</v>
      </c>
      <c r="T2689" s="693">
        <f t="shared" si="352"/>
        <v>0</v>
      </c>
      <c r="U2689" s="1035"/>
      <c r="V2689" s="690"/>
      <c r="W2689" s="1025"/>
      <c r="X2689" s="1030"/>
      <c r="Y2689" s="694">
        <f t="shared" si="353"/>
        <v>0</v>
      </c>
      <c r="Z2689" s="690"/>
      <c r="AA2689" s="690"/>
      <c r="AB2689" s="695">
        <f t="shared" si="354"/>
        <v>0</v>
      </c>
      <c r="AC2689" s="1035">
        <v>289088</v>
      </c>
      <c r="AD2689" s="690">
        <v>0</v>
      </c>
      <c r="AE2689" s="1025"/>
      <c r="AF2689" s="1030"/>
      <c r="AG2689" s="690"/>
      <c r="AH2689" s="690"/>
      <c r="AI2689" s="696">
        <f t="shared" si="355"/>
        <v>289088</v>
      </c>
      <c r="AJ2689" s="697">
        <f t="shared" si="356"/>
        <v>0</v>
      </c>
    </row>
    <row r="2690" spans="1:36" s="700" customFormat="1" ht="12.75" customHeight="1">
      <c r="A2690" s="866" t="s">
        <v>206</v>
      </c>
      <c r="B2690" s="866" t="s">
        <v>429</v>
      </c>
      <c r="C2690" s="860" t="s">
        <v>1504</v>
      </c>
      <c r="D2690" s="860"/>
      <c r="E2690" s="956">
        <v>218335</v>
      </c>
      <c r="F2690" s="845">
        <v>15</v>
      </c>
      <c r="G2690" s="1025"/>
      <c r="H2690" s="690"/>
      <c r="I2690" s="1030"/>
      <c r="J2690" s="690"/>
      <c r="K2690" s="1030"/>
      <c r="L2690" s="690"/>
      <c r="M2690" s="1025"/>
      <c r="N2690" s="1030"/>
      <c r="O2690" s="692">
        <f t="shared" si="349"/>
        <v>0</v>
      </c>
      <c r="P2690" s="690"/>
      <c r="Q2690" s="690"/>
      <c r="R2690" s="691">
        <f t="shared" si="350"/>
        <v>0</v>
      </c>
      <c r="S2690" s="692">
        <f t="shared" si="351"/>
        <v>0</v>
      </c>
      <c r="T2690" s="693">
        <f t="shared" si="352"/>
        <v>0</v>
      </c>
      <c r="U2690" s="1035"/>
      <c r="V2690" s="690"/>
      <c r="W2690" s="1025"/>
      <c r="X2690" s="1030"/>
      <c r="Y2690" s="694">
        <f t="shared" si="353"/>
        <v>0</v>
      </c>
      <c r="Z2690" s="690"/>
      <c r="AA2690" s="690"/>
      <c r="AB2690" s="695">
        <f t="shared" si="354"/>
        <v>0</v>
      </c>
      <c r="AC2690" s="1035"/>
      <c r="AD2690" s="690">
        <v>250000</v>
      </c>
      <c r="AE2690" s="1025"/>
      <c r="AF2690" s="1030"/>
      <c r="AG2690" s="690"/>
      <c r="AH2690" s="690"/>
      <c r="AI2690" s="696">
        <f t="shared" si="355"/>
        <v>0</v>
      </c>
      <c r="AJ2690" s="697">
        <f t="shared" si="356"/>
        <v>250000</v>
      </c>
    </row>
    <row r="2691" spans="1:36" s="700" customFormat="1" ht="12.75" customHeight="1">
      <c r="A2691" s="866" t="s">
        <v>206</v>
      </c>
      <c r="B2691" s="866" t="s">
        <v>429</v>
      </c>
      <c r="C2691" s="860" t="s">
        <v>1505</v>
      </c>
      <c r="D2691" s="860"/>
      <c r="E2691" s="956">
        <v>218335</v>
      </c>
      <c r="F2691" s="845">
        <v>15</v>
      </c>
      <c r="G2691" s="1025"/>
      <c r="H2691" s="690"/>
      <c r="I2691" s="1030"/>
      <c r="J2691" s="690"/>
      <c r="K2691" s="1030"/>
      <c r="L2691" s="690"/>
      <c r="M2691" s="1025"/>
      <c r="N2691" s="1030"/>
      <c r="O2691" s="692">
        <f t="shared" si="349"/>
        <v>0</v>
      </c>
      <c r="P2691" s="690"/>
      <c r="Q2691" s="690"/>
      <c r="R2691" s="691">
        <f t="shared" si="350"/>
        <v>0</v>
      </c>
      <c r="S2691" s="692">
        <f t="shared" si="351"/>
        <v>0</v>
      </c>
      <c r="T2691" s="693">
        <f t="shared" si="352"/>
        <v>0</v>
      </c>
      <c r="U2691" s="1035"/>
      <c r="V2691" s="690"/>
      <c r="W2691" s="1025"/>
      <c r="X2691" s="1030"/>
      <c r="Y2691" s="694">
        <f t="shared" si="353"/>
        <v>0</v>
      </c>
      <c r="Z2691" s="690"/>
      <c r="AA2691" s="690"/>
      <c r="AB2691" s="695">
        <f t="shared" si="354"/>
        <v>0</v>
      </c>
      <c r="AC2691" s="1035"/>
      <c r="AD2691" s="690">
        <v>0</v>
      </c>
      <c r="AE2691" s="1025"/>
      <c r="AF2691" s="1030"/>
      <c r="AG2691" s="690"/>
      <c r="AH2691" s="690"/>
      <c r="AI2691" s="696">
        <f t="shared" si="355"/>
        <v>0</v>
      </c>
      <c r="AJ2691" s="697">
        <f t="shared" si="356"/>
        <v>0</v>
      </c>
    </row>
    <row r="2692" spans="1:36" s="700" customFormat="1" ht="12.75" customHeight="1">
      <c r="A2692" s="866" t="s">
        <v>206</v>
      </c>
      <c r="B2692" s="866" t="s">
        <v>429</v>
      </c>
      <c r="C2692" s="860" t="s">
        <v>1506</v>
      </c>
      <c r="D2692" s="860"/>
      <c r="E2692" s="956">
        <v>218335</v>
      </c>
      <c r="F2692" s="845">
        <v>15</v>
      </c>
      <c r="G2692" s="1025"/>
      <c r="H2692" s="690"/>
      <c r="I2692" s="1030"/>
      <c r="J2692" s="690"/>
      <c r="K2692" s="1030"/>
      <c r="L2692" s="690"/>
      <c r="M2692" s="1025"/>
      <c r="N2692" s="1030"/>
      <c r="O2692" s="692">
        <f t="shared" si="349"/>
        <v>0</v>
      </c>
      <c r="P2692" s="690"/>
      <c r="Q2692" s="690"/>
      <c r="R2692" s="691">
        <f t="shared" si="350"/>
        <v>0</v>
      </c>
      <c r="S2692" s="692">
        <f t="shared" si="351"/>
        <v>0</v>
      </c>
      <c r="T2692" s="693">
        <f t="shared" si="352"/>
        <v>0</v>
      </c>
      <c r="U2692" s="1035"/>
      <c r="V2692" s="690"/>
      <c r="W2692" s="1025"/>
      <c r="X2692" s="1030"/>
      <c r="Y2692" s="694">
        <f t="shared" si="353"/>
        <v>0</v>
      </c>
      <c r="Z2692" s="690"/>
      <c r="AA2692" s="690"/>
      <c r="AB2692" s="695">
        <f t="shared" si="354"/>
        <v>0</v>
      </c>
      <c r="AC2692" s="1035">
        <v>248649</v>
      </c>
      <c r="AD2692" s="690">
        <v>0</v>
      </c>
      <c r="AE2692" s="1025"/>
      <c r="AF2692" s="1030"/>
      <c r="AG2692" s="690"/>
      <c r="AH2692" s="690"/>
      <c r="AI2692" s="696">
        <f t="shared" si="355"/>
        <v>248649</v>
      </c>
      <c r="AJ2692" s="697">
        <f t="shared" si="356"/>
        <v>0</v>
      </c>
    </row>
    <row r="2693" spans="1:36" s="700" customFormat="1" ht="12.75" customHeight="1">
      <c r="A2693" s="866" t="s">
        <v>206</v>
      </c>
      <c r="B2693" s="866" t="s">
        <v>429</v>
      </c>
      <c r="C2693" s="860" t="s">
        <v>1424</v>
      </c>
      <c r="D2693" s="860"/>
      <c r="E2693" s="956">
        <v>218335</v>
      </c>
      <c r="F2693" s="845">
        <v>15</v>
      </c>
      <c r="G2693" s="1025"/>
      <c r="H2693" s="690"/>
      <c r="I2693" s="1030"/>
      <c r="J2693" s="690"/>
      <c r="K2693" s="1030"/>
      <c r="L2693" s="690"/>
      <c r="M2693" s="1025"/>
      <c r="N2693" s="1030"/>
      <c r="O2693" s="692">
        <f t="shared" si="349"/>
        <v>0</v>
      </c>
      <c r="P2693" s="690"/>
      <c r="Q2693" s="690"/>
      <c r="R2693" s="691">
        <f t="shared" si="350"/>
        <v>0</v>
      </c>
      <c r="S2693" s="692">
        <f t="shared" si="351"/>
        <v>0</v>
      </c>
      <c r="T2693" s="693">
        <f t="shared" si="352"/>
        <v>0</v>
      </c>
      <c r="U2693" s="1035"/>
      <c r="V2693" s="690"/>
      <c r="W2693" s="1025"/>
      <c r="X2693" s="1030"/>
      <c r="Y2693" s="694">
        <f t="shared" si="353"/>
        <v>0</v>
      </c>
      <c r="Z2693" s="690"/>
      <c r="AA2693" s="690"/>
      <c r="AB2693" s="695">
        <f t="shared" si="354"/>
        <v>0</v>
      </c>
      <c r="AC2693" s="1035"/>
      <c r="AD2693" s="690"/>
      <c r="AE2693" s="1025"/>
      <c r="AF2693" s="1030"/>
      <c r="AG2693" s="690"/>
      <c r="AH2693" s="690"/>
      <c r="AI2693" s="696">
        <f t="shared" si="355"/>
        <v>0</v>
      </c>
      <c r="AJ2693" s="697">
        <f t="shared" si="356"/>
        <v>0</v>
      </c>
    </row>
    <row r="2694" spans="1:36" s="700" customFormat="1" ht="12.75" customHeight="1">
      <c r="A2694" s="866" t="s">
        <v>206</v>
      </c>
      <c r="B2694" s="866" t="s">
        <v>429</v>
      </c>
      <c r="C2694" s="860" t="s">
        <v>1507</v>
      </c>
      <c r="D2694" s="860"/>
      <c r="E2694" s="956">
        <v>218335</v>
      </c>
      <c r="F2694" s="845">
        <v>15</v>
      </c>
      <c r="G2694" s="1025"/>
      <c r="H2694" s="690"/>
      <c r="I2694" s="1030"/>
      <c r="J2694" s="690"/>
      <c r="K2694" s="1030"/>
      <c r="L2694" s="690"/>
      <c r="M2694" s="1025"/>
      <c r="N2694" s="1030"/>
      <c r="O2694" s="692">
        <f t="shared" si="349"/>
        <v>0</v>
      </c>
      <c r="P2694" s="690"/>
      <c r="Q2694" s="690"/>
      <c r="R2694" s="691">
        <f t="shared" si="350"/>
        <v>0</v>
      </c>
      <c r="S2694" s="692">
        <f t="shared" si="351"/>
        <v>0</v>
      </c>
      <c r="T2694" s="693">
        <f t="shared" si="352"/>
        <v>0</v>
      </c>
      <c r="U2694" s="1035"/>
      <c r="V2694" s="690"/>
      <c r="W2694" s="1025"/>
      <c r="X2694" s="1030"/>
      <c r="Y2694" s="694">
        <f t="shared" si="353"/>
        <v>0</v>
      </c>
      <c r="Z2694" s="690"/>
      <c r="AA2694" s="690"/>
      <c r="AB2694" s="695">
        <f t="shared" si="354"/>
        <v>0</v>
      </c>
      <c r="AC2694" s="1035">
        <v>7500000</v>
      </c>
      <c r="AD2694" s="690">
        <v>0</v>
      </c>
      <c r="AE2694" s="1025"/>
      <c r="AF2694" s="1030"/>
      <c r="AG2694" s="690"/>
      <c r="AH2694" s="690"/>
      <c r="AI2694" s="696">
        <f t="shared" si="355"/>
        <v>7500000</v>
      </c>
      <c r="AJ2694" s="697">
        <f t="shared" si="356"/>
        <v>0</v>
      </c>
    </row>
    <row r="2695" spans="1:36" s="700" customFormat="1" ht="12.75" customHeight="1">
      <c r="A2695" s="866" t="s">
        <v>206</v>
      </c>
      <c r="B2695" s="866" t="s">
        <v>429</v>
      </c>
      <c r="C2695" s="860" t="s">
        <v>1508</v>
      </c>
      <c r="D2695" s="860"/>
      <c r="E2695" s="956">
        <v>218335</v>
      </c>
      <c r="F2695" s="845">
        <v>15</v>
      </c>
      <c r="G2695" s="1025"/>
      <c r="H2695" s="690"/>
      <c r="I2695" s="1030"/>
      <c r="J2695" s="690"/>
      <c r="K2695" s="1030"/>
      <c r="L2695" s="690"/>
      <c r="M2695" s="1025"/>
      <c r="N2695" s="1030"/>
      <c r="O2695" s="692">
        <f t="shared" si="349"/>
        <v>0</v>
      </c>
      <c r="P2695" s="690"/>
      <c r="Q2695" s="690"/>
      <c r="R2695" s="691">
        <f t="shared" si="350"/>
        <v>0</v>
      </c>
      <c r="S2695" s="692">
        <f t="shared" si="351"/>
        <v>0</v>
      </c>
      <c r="T2695" s="693">
        <f t="shared" si="352"/>
        <v>0</v>
      </c>
      <c r="U2695" s="1035"/>
      <c r="V2695" s="690"/>
      <c r="W2695" s="1025"/>
      <c r="X2695" s="1030"/>
      <c r="Y2695" s="694">
        <f t="shared" si="353"/>
        <v>0</v>
      </c>
      <c r="Z2695" s="690"/>
      <c r="AA2695" s="690"/>
      <c r="AB2695" s="695">
        <f t="shared" si="354"/>
        <v>0</v>
      </c>
      <c r="AC2695" s="1035">
        <v>100000</v>
      </c>
      <c r="AD2695" s="690">
        <v>0</v>
      </c>
      <c r="AE2695" s="1025"/>
      <c r="AF2695" s="1030"/>
      <c r="AG2695" s="690"/>
      <c r="AH2695" s="690"/>
      <c r="AI2695" s="696">
        <f t="shared" si="355"/>
        <v>100000</v>
      </c>
      <c r="AJ2695" s="697">
        <f t="shared" si="356"/>
        <v>0</v>
      </c>
    </row>
    <row r="2696" spans="1:36" s="700" customFormat="1" ht="12.75" customHeight="1">
      <c r="A2696" s="866" t="s">
        <v>206</v>
      </c>
      <c r="B2696" s="866" t="s">
        <v>429</v>
      </c>
      <c r="C2696" s="860" t="s">
        <v>1509</v>
      </c>
      <c r="D2696" s="860"/>
      <c r="E2696" s="956">
        <v>218335</v>
      </c>
      <c r="F2696" s="845">
        <v>15</v>
      </c>
      <c r="G2696" s="1025"/>
      <c r="H2696" s="690"/>
      <c r="I2696" s="1030"/>
      <c r="J2696" s="690"/>
      <c r="K2696" s="1030"/>
      <c r="L2696" s="690"/>
      <c r="M2696" s="1025"/>
      <c r="N2696" s="1030"/>
      <c r="O2696" s="692">
        <f t="shared" si="349"/>
        <v>0</v>
      </c>
      <c r="P2696" s="690"/>
      <c r="Q2696" s="690"/>
      <c r="R2696" s="691">
        <f t="shared" si="350"/>
        <v>0</v>
      </c>
      <c r="S2696" s="692">
        <f t="shared" si="351"/>
        <v>0</v>
      </c>
      <c r="T2696" s="693">
        <f t="shared" si="352"/>
        <v>0</v>
      </c>
      <c r="U2696" s="1035"/>
      <c r="V2696" s="690"/>
      <c r="W2696" s="1025"/>
      <c r="X2696" s="1030"/>
      <c r="Y2696" s="694">
        <f t="shared" si="353"/>
        <v>0</v>
      </c>
      <c r="Z2696" s="690"/>
      <c r="AA2696" s="690"/>
      <c r="AB2696" s="695">
        <f t="shared" si="354"/>
        <v>0</v>
      </c>
      <c r="AC2696" s="1035"/>
      <c r="AD2696" s="690"/>
      <c r="AE2696" s="1025"/>
      <c r="AF2696" s="1030"/>
      <c r="AG2696" s="690"/>
      <c r="AH2696" s="690"/>
      <c r="AI2696" s="696">
        <f t="shared" si="355"/>
        <v>0</v>
      </c>
      <c r="AJ2696" s="697">
        <f t="shared" si="356"/>
        <v>0</v>
      </c>
    </row>
    <row r="2697" spans="1:36" s="700" customFormat="1" ht="12.75" customHeight="1">
      <c r="A2697" s="866" t="s">
        <v>206</v>
      </c>
      <c r="B2697" s="866" t="s">
        <v>429</v>
      </c>
      <c r="C2697" s="860" t="s">
        <v>1510</v>
      </c>
      <c r="D2697" s="860"/>
      <c r="E2697" s="956">
        <v>218335</v>
      </c>
      <c r="F2697" s="845">
        <v>15</v>
      </c>
      <c r="G2697" s="1025"/>
      <c r="H2697" s="690"/>
      <c r="I2697" s="1030"/>
      <c r="J2697" s="690"/>
      <c r="K2697" s="1030"/>
      <c r="L2697" s="690"/>
      <c r="M2697" s="1025"/>
      <c r="N2697" s="1030"/>
      <c r="O2697" s="692">
        <f t="shared" si="349"/>
        <v>0</v>
      </c>
      <c r="P2697" s="690"/>
      <c r="Q2697" s="690"/>
      <c r="R2697" s="691">
        <f t="shared" si="350"/>
        <v>0</v>
      </c>
      <c r="S2697" s="692">
        <f t="shared" si="351"/>
        <v>0</v>
      </c>
      <c r="T2697" s="693">
        <f t="shared" si="352"/>
        <v>0</v>
      </c>
      <c r="U2697" s="1035"/>
      <c r="V2697" s="690"/>
      <c r="W2697" s="1025"/>
      <c r="X2697" s="1030"/>
      <c r="Y2697" s="694">
        <f t="shared" si="353"/>
        <v>0</v>
      </c>
      <c r="Z2697" s="690"/>
      <c r="AA2697" s="690"/>
      <c r="AB2697" s="695">
        <f t="shared" si="354"/>
        <v>0</v>
      </c>
      <c r="AC2697" s="1035">
        <v>3065587</v>
      </c>
      <c r="AD2697" s="690">
        <v>3059323</v>
      </c>
      <c r="AE2697" s="1025"/>
      <c r="AF2697" s="1030"/>
      <c r="AG2697" s="690"/>
      <c r="AH2697" s="690"/>
      <c r="AI2697" s="696">
        <f t="shared" si="355"/>
        <v>3065587</v>
      </c>
      <c r="AJ2697" s="697">
        <f t="shared" si="356"/>
        <v>3059323</v>
      </c>
    </row>
    <row r="2698" spans="1:36" s="700" customFormat="1" ht="12.75" customHeight="1">
      <c r="A2698" s="866" t="s">
        <v>206</v>
      </c>
      <c r="B2698" s="866" t="s">
        <v>429</v>
      </c>
      <c r="C2698" s="860" t="s">
        <v>1511</v>
      </c>
      <c r="D2698" s="860"/>
      <c r="E2698" s="956">
        <v>218335</v>
      </c>
      <c r="F2698" s="845">
        <v>15</v>
      </c>
      <c r="G2698" s="1025"/>
      <c r="H2698" s="690"/>
      <c r="I2698" s="1030"/>
      <c r="J2698" s="690"/>
      <c r="K2698" s="1030"/>
      <c r="L2698" s="690"/>
      <c r="M2698" s="1025"/>
      <c r="N2698" s="1030"/>
      <c r="O2698" s="692">
        <f t="shared" ref="O2698:O2763" si="357">SUM(M2698:N2698)</f>
        <v>0</v>
      </c>
      <c r="P2698" s="690"/>
      <c r="Q2698" s="690"/>
      <c r="R2698" s="691">
        <f t="shared" ref="R2698:R2763" si="358">SUM(P2698:Q2698)</f>
        <v>0</v>
      </c>
      <c r="S2698" s="692">
        <f t="shared" ref="S2698:S2763" si="359">SUM(G2698,I2698,K2698,M2698)</f>
        <v>0</v>
      </c>
      <c r="T2698" s="693">
        <f t="shared" ref="T2698:T2763" si="360">SUM(H2698,J2698,L2698,P2698)</f>
        <v>0</v>
      </c>
      <c r="U2698" s="1035"/>
      <c r="V2698" s="690"/>
      <c r="W2698" s="1025"/>
      <c r="X2698" s="1030"/>
      <c r="Y2698" s="694">
        <f t="shared" ref="Y2698:Y2763" si="361">SUM(W2698:X2698)</f>
        <v>0</v>
      </c>
      <c r="Z2698" s="690"/>
      <c r="AA2698" s="690"/>
      <c r="AB2698" s="695">
        <f t="shared" ref="AB2698:AB2763" si="362">SUM(Z2698:AA2698)</f>
        <v>0</v>
      </c>
      <c r="AC2698" s="1035">
        <v>906185</v>
      </c>
      <c r="AD2698" s="690">
        <v>937087</v>
      </c>
      <c r="AE2698" s="1025"/>
      <c r="AF2698" s="1030"/>
      <c r="AG2698" s="690"/>
      <c r="AH2698" s="690"/>
      <c r="AI2698" s="696">
        <f t="shared" ref="AI2698:AI2763" si="363">SUM(S2698,U2698,W2698,AC2698,AE2698)</f>
        <v>906185</v>
      </c>
      <c r="AJ2698" s="697">
        <f t="shared" ref="AJ2698:AJ2763" si="364">SUM(T2698,V2698,Z2698,AD2698,AG2698)</f>
        <v>937087</v>
      </c>
    </row>
    <row r="2699" spans="1:36" s="700" customFormat="1" ht="12.75" customHeight="1">
      <c r="A2699" s="866" t="s">
        <v>206</v>
      </c>
      <c r="B2699" s="866" t="s">
        <v>429</v>
      </c>
      <c r="C2699" s="860" t="s">
        <v>1512</v>
      </c>
      <c r="D2699" s="860"/>
      <c r="E2699" s="956">
        <v>218335</v>
      </c>
      <c r="F2699" s="845">
        <v>15</v>
      </c>
      <c r="G2699" s="1025"/>
      <c r="H2699" s="690"/>
      <c r="I2699" s="1030"/>
      <c r="J2699" s="690"/>
      <c r="K2699" s="1030"/>
      <c r="L2699" s="690"/>
      <c r="M2699" s="1025"/>
      <c r="N2699" s="1030"/>
      <c r="O2699" s="692">
        <f t="shared" si="357"/>
        <v>0</v>
      </c>
      <c r="P2699" s="690"/>
      <c r="Q2699" s="690"/>
      <c r="R2699" s="691">
        <f t="shared" si="358"/>
        <v>0</v>
      </c>
      <c r="S2699" s="692">
        <f t="shared" si="359"/>
        <v>0</v>
      </c>
      <c r="T2699" s="693">
        <f t="shared" si="360"/>
        <v>0</v>
      </c>
      <c r="U2699" s="1035"/>
      <c r="V2699" s="690"/>
      <c r="W2699" s="1025"/>
      <c r="X2699" s="1030"/>
      <c r="Y2699" s="694">
        <f t="shared" si="361"/>
        <v>0</v>
      </c>
      <c r="Z2699" s="690"/>
      <c r="AA2699" s="690"/>
      <c r="AB2699" s="695">
        <f t="shared" si="362"/>
        <v>0</v>
      </c>
      <c r="AC2699" s="1035">
        <v>6818186</v>
      </c>
      <c r="AD2699" s="690">
        <v>4639801</v>
      </c>
      <c r="AE2699" s="1025"/>
      <c r="AF2699" s="1030"/>
      <c r="AG2699" s="690"/>
      <c r="AH2699" s="690"/>
      <c r="AI2699" s="696">
        <f t="shared" si="363"/>
        <v>6818186</v>
      </c>
      <c r="AJ2699" s="697">
        <f t="shared" si="364"/>
        <v>4639801</v>
      </c>
    </row>
    <row r="2700" spans="1:36" s="700" customFormat="1" ht="12.75" customHeight="1">
      <c r="A2700" s="866" t="s">
        <v>206</v>
      </c>
      <c r="B2700" s="866" t="s">
        <v>429</v>
      </c>
      <c r="C2700" s="860" t="s">
        <v>1513</v>
      </c>
      <c r="D2700" s="860"/>
      <c r="E2700" s="956">
        <v>218335</v>
      </c>
      <c r="F2700" s="845">
        <v>15</v>
      </c>
      <c r="G2700" s="1025"/>
      <c r="H2700" s="690"/>
      <c r="I2700" s="1030"/>
      <c r="J2700" s="690"/>
      <c r="K2700" s="1030"/>
      <c r="L2700" s="690"/>
      <c r="M2700" s="1025"/>
      <c r="N2700" s="1030"/>
      <c r="O2700" s="692">
        <f t="shared" si="357"/>
        <v>0</v>
      </c>
      <c r="P2700" s="690"/>
      <c r="Q2700" s="690"/>
      <c r="R2700" s="691">
        <f t="shared" si="358"/>
        <v>0</v>
      </c>
      <c r="S2700" s="692">
        <f t="shared" si="359"/>
        <v>0</v>
      </c>
      <c r="T2700" s="693">
        <f t="shared" si="360"/>
        <v>0</v>
      </c>
      <c r="U2700" s="1035"/>
      <c r="V2700" s="690"/>
      <c r="W2700" s="1025"/>
      <c r="X2700" s="1030"/>
      <c r="Y2700" s="694">
        <f t="shared" si="361"/>
        <v>0</v>
      </c>
      <c r="Z2700" s="690"/>
      <c r="AA2700" s="690"/>
      <c r="AB2700" s="695">
        <f t="shared" si="362"/>
        <v>0</v>
      </c>
      <c r="AC2700" s="1035">
        <v>459455</v>
      </c>
      <c r="AD2700" s="690">
        <v>37211</v>
      </c>
      <c r="AE2700" s="1025"/>
      <c r="AF2700" s="1030"/>
      <c r="AG2700" s="690"/>
      <c r="AH2700" s="690"/>
      <c r="AI2700" s="696">
        <f t="shared" si="363"/>
        <v>459455</v>
      </c>
      <c r="AJ2700" s="697">
        <f t="shared" si="364"/>
        <v>37211</v>
      </c>
    </row>
    <row r="2701" spans="1:36" s="700" customFormat="1" ht="12.75" customHeight="1">
      <c r="A2701" s="866" t="s">
        <v>206</v>
      </c>
      <c r="B2701" s="866" t="s">
        <v>429</v>
      </c>
      <c r="C2701" s="860" t="s">
        <v>1514</v>
      </c>
      <c r="D2701" s="860"/>
      <c r="E2701" s="956">
        <v>218335</v>
      </c>
      <c r="F2701" s="845">
        <v>15</v>
      </c>
      <c r="G2701" s="1025"/>
      <c r="H2701" s="690"/>
      <c r="I2701" s="1030"/>
      <c r="J2701" s="690"/>
      <c r="K2701" s="1030"/>
      <c r="L2701" s="690"/>
      <c r="M2701" s="1025"/>
      <c r="N2701" s="1030"/>
      <c r="O2701" s="692">
        <f t="shared" si="357"/>
        <v>0</v>
      </c>
      <c r="P2701" s="690"/>
      <c r="Q2701" s="690"/>
      <c r="R2701" s="691">
        <f t="shared" si="358"/>
        <v>0</v>
      </c>
      <c r="S2701" s="692">
        <f t="shared" si="359"/>
        <v>0</v>
      </c>
      <c r="T2701" s="693">
        <f t="shared" si="360"/>
        <v>0</v>
      </c>
      <c r="U2701" s="1035"/>
      <c r="V2701" s="690"/>
      <c r="W2701" s="1025"/>
      <c r="X2701" s="1030"/>
      <c r="Y2701" s="694">
        <f t="shared" si="361"/>
        <v>0</v>
      </c>
      <c r="Z2701" s="690"/>
      <c r="AA2701" s="690"/>
      <c r="AB2701" s="695">
        <f t="shared" si="362"/>
        <v>0</v>
      </c>
      <c r="AC2701" s="1035">
        <v>250000</v>
      </c>
      <c r="AD2701" s="690">
        <v>0</v>
      </c>
      <c r="AE2701" s="1025"/>
      <c r="AF2701" s="1030"/>
      <c r="AG2701" s="690"/>
      <c r="AH2701" s="690"/>
      <c r="AI2701" s="696">
        <f t="shared" si="363"/>
        <v>250000</v>
      </c>
      <c r="AJ2701" s="697">
        <f t="shared" si="364"/>
        <v>0</v>
      </c>
    </row>
    <row r="2702" spans="1:36" s="700" customFormat="1" ht="12.75" customHeight="1">
      <c r="A2702" s="866" t="s">
        <v>206</v>
      </c>
      <c r="B2702" s="866" t="s">
        <v>429</v>
      </c>
      <c r="C2702" s="860" t="s">
        <v>1515</v>
      </c>
      <c r="D2702" s="860"/>
      <c r="E2702" s="956">
        <v>218335</v>
      </c>
      <c r="F2702" s="845">
        <v>15</v>
      </c>
      <c r="G2702" s="1025"/>
      <c r="H2702" s="690"/>
      <c r="I2702" s="1030"/>
      <c r="J2702" s="690"/>
      <c r="K2702" s="1030"/>
      <c r="L2702" s="690"/>
      <c r="M2702" s="1025"/>
      <c r="N2702" s="1030"/>
      <c r="O2702" s="692">
        <f t="shared" si="357"/>
        <v>0</v>
      </c>
      <c r="P2702" s="690"/>
      <c r="Q2702" s="690"/>
      <c r="R2702" s="691">
        <f t="shared" si="358"/>
        <v>0</v>
      </c>
      <c r="S2702" s="692">
        <f t="shared" si="359"/>
        <v>0</v>
      </c>
      <c r="T2702" s="693">
        <f t="shared" si="360"/>
        <v>0</v>
      </c>
      <c r="U2702" s="1035"/>
      <c r="V2702" s="690"/>
      <c r="W2702" s="1025"/>
      <c r="X2702" s="1030"/>
      <c r="Y2702" s="694">
        <f t="shared" si="361"/>
        <v>0</v>
      </c>
      <c r="Z2702" s="690"/>
      <c r="AA2702" s="690"/>
      <c r="AB2702" s="695">
        <f t="shared" si="362"/>
        <v>0</v>
      </c>
      <c r="AC2702" s="1035">
        <v>250000</v>
      </c>
      <c r="AD2702" s="690">
        <v>0</v>
      </c>
      <c r="AE2702" s="1025"/>
      <c r="AF2702" s="1030"/>
      <c r="AG2702" s="690"/>
      <c r="AH2702" s="690"/>
      <c r="AI2702" s="696">
        <f t="shared" si="363"/>
        <v>250000</v>
      </c>
      <c r="AJ2702" s="697">
        <f t="shared" si="364"/>
        <v>0</v>
      </c>
    </row>
    <row r="2703" spans="1:36" s="700" customFormat="1" ht="12.75" customHeight="1">
      <c r="A2703" s="866" t="s">
        <v>206</v>
      </c>
      <c r="B2703" s="866" t="s">
        <v>429</v>
      </c>
      <c r="C2703" s="860" t="s">
        <v>1516</v>
      </c>
      <c r="D2703" s="860"/>
      <c r="E2703" s="956">
        <v>218335</v>
      </c>
      <c r="F2703" s="845">
        <v>15</v>
      </c>
      <c r="G2703" s="1025"/>
      <c r="H2703" s="690"/>
      <c r="I2703" s="1030"/>
      <c r="J2703" s="690"/>
      <c r="K2703" s="1030"/>
      <c r="L2703" s="690"/>
      <c r="M2703" s="1025"/>
      <c r="N2703" s="1030"/>
      <c r="O2703" s="692">
        <f t="shared" si="357"/>
        <v>0</v>
      </c>
      <c r="P2703" s="690"/>
      <c r="Q2703" s="690"/>
      <c r="R2703" s="691">
        <f t="shared" si="358"/>
        <v>0</v>
      </c>
      <c r="S2703" s="692">
        <f t="shared" si="359"/>
        <v>0</v>
      </c>
      <c r="T2703" s="693">
        <f t="shared" si="360"/>
        <v>0</v>
      </c>
      <c r="U2703" s="1035"/>
      <c r="V2703" s="690"/>
      <c r="W2703" s="1025"/>
      <c r="X2703" s="1030"/>
      <c r="Y2703" s="694">
        <f t="shared" si="361"/>
        <v>0</v>
      </c>
      <c r="Z2703" s="690"/>
      <c r="AA2703" s="690"/>
      <c r="AB2703" s="695">
        <f t="shared" si="362"/>
        <v>0</v>
      </c>
      <c r="AC2703" s="1035">
        <v>37955</v>
      </c>
      <c r="AD2703" s="690">
        <v>37955</v>
      </c>
      <c r="AE2703" s="1025"/>
      <c r="AF2703" s="1030"/>
      <c r="AG2703" s="690"/>
      <c r="AH2703" s="690"/>
      <c r="AI2703" s="696">
        <f t="shared" si="363"/>
        <v>37955</v>
      </c>
      <c r="AJ2703" s="697">
        <f t="shared" si="364"/>
        <v>37955</v>
      </c>
    </row>
    <row r="2704" spans="1:36" s="700" customFormat="1" ht="12.75" customHeight="1">
      <c r="A2704" s="866" t="s">
        <v>206</v>
      </c>
      <c r="B2704" s="866" t="s">
        <v>429</v>
      </c>
      <c r="C2704" s="860" t="s">
        <v>1517</v>
      </c>
      <c r="D2704" s="860"/>
      <c r="E2704" s="956">
        <v>218335</v>
      </c>
      <c r="F2704" s="845">
        <v>15</v>
      </c>
      <c r="G2704" s="1025"/>
      <c r="H2704" s="690"/>
      <c r="I2704" s="1030"/>
      <c r="J2704" s="690"/>
      <c r="K2704" s="1030"/>
      <c r="L2704" s="690"/>
      <c r="M2704" s="1025"/>
      <c r="N2704" s="1030"/>
      <c r="O2704" s="692">
        <f t="shared" si="357"/>
        <v>0</v>
      </c>
      <c r="P2704" s="690"/>
      <c r="Q2704" s="690"/>
      <c r="R2704" s="691">
        <f t="shared" si="358"/>
        <v>0</v>
      </c>
      <c r="S2704" s="692">
        <f t="shared" si="359"/>
        <v>0</v>
      </c>
      <c r="T2704" s="693">
        <f t="shared" si="360"/>
        <v>0</v>
      </c>
      <c r="U2704" s="1035"/>
      <c r="V2704" s="690"/>
      <c r="W2704" s="1025"/>
      <c r="X2704" s="1030"/>
      <c r="Y2704" s="694">
        <f t="shared" si="361"/>
        <v>0</v>
      </c>
      <c r="Z2704" s="690"/>
      <c r="AA2704" s="690"/>
      <c r="AB2704" s="695">
        <f t="shared" si="362"/>
        <v>0</v>
      </c>
      <c r="AC2704" s="1035">
        <v>393974</v>
      </c>
      <c r="AD2704" s="690">
        <v>0</v>
      </c>
      <c r="AE2704" s="1025"/>
      <c r="AF2704" s="1030"/>
      <c r="AG2704" s="690"/>
      <c r="AH2704" s="690"/>
      <c r="AI2704" s="696">
        <f t="shared" si="363"/>
        <v>393974</v>
      </c>
      <c r="AJ2704" s="697">
        <f t="shared" si="364"/>
        <v>0</v>
      </c>
    </row>
    <row r="2705" spans="1:36" s="700" customFormat="1" ht="12.75" customHeight="1">
      <c r="A2705" s="866" t="s">
        <v>206</v>
      </c>
      <c r="B2705" s="866" t="s">
        <v>431</v>
      </c>
      <c r="C2705" s="960" t="s">
        <v>1518</v>
      </c>
      <c r="D2705" s="960"/>
      <c r="E2705" s="844"/>
      <c r="F2705" s="845"/>
      <c r="G2705" s="1025"/>
      <c r="H2705" s="690"/>
      <c r="I2705" s="1030"/>
      <c r="J2705" s="690"/>
      <c r="K2705" s="1030"/>
      <c r="L2705" s="690"/>
      <c r="M2705" s="1025"/>
      <c r="N2705" s="1030"/>
      <c r="O2705" s="692">
        <f t="shared" si="357"/>
        <v>0</v>
      </c>
      <c r="P2705" s="690"/>
      <c r="Q2705" s="690"/>
      <c r="R2705" s="691">
        <f t="shared" si="358"/>
        <v>0</v>
      </c>
      <c r="S2705" s="692">
        <f t="shared" si="359"/>
        <v>0</v>
      </c>
      <c r="T2705" s="693">
        <f t="shared" si="360"/>
        <v>0</v>
      </c>
      <c r="U2705" s="1035"/>
      <c r="V2705" s="690"/>
      <c r="W2705" s="1025"/>
      <c r="X2705" s="1030"/>
      <c r="Y2705" s="694">
        <f t="shared" si="361"/>
        <v>0</v>
      </c>
      <c r="Z2705" s="690"/>
      <c r="AA2705" s="690"/>
      <c r="AB2705" s="695">
        <f t="shared" si="362"/>
        <v>0</v>
      </c>
      <c r="AC2705" s="1035"/>
      <c r="AD2705" s="690"/>
      <c r="AE2705" s="1025"/>
      <c r="AF2705" s="1030"/>
      <c r="AG2705" s="690"/>
      <c r="AH2705" s="690"/>
      <c r="AI2705" s="696">
        <f t="shared" si="363"/>
        <v>0</v>
      </c>
      <c r="AJ2705" s="697">
        <f t="shared" si="364"/>
        <v>0</v>
      </c>
    </row>
    <row r="2706" spans="1:36" s="700" customFormat="1" ht="12.75" customHeight="1">
      <c r="A2706" s="866" t="s">
        <v>206</v>
      </c>
      <c r="B2706" s="866" t="s">
        <v>431</v>
      </c>
      <c r="C2706" s="860" t="s">
        <v>1519</v>
      </c>
      <c r="D2706" s="860"/>
      <c r="E2706" s="844"/>
      <c r="F2706" s="845"/>
      <c r="G2706" s="1025"/>
      <c r="H2706" s="690"/>
      <c r="I2706" s="1030"/>
      <c r="J2706" s="690"/>
      <c r="K2706" s="1030"/>
      <c r="L2706" s="690"/>
      <c r="M2706" s="1025"/>
      <c r="N2706" s="1030"/>
      <c r="O2706" s="692">
        <f t="shared" si="357"/>
        <v>0</v>
      </c>
      <c r="P2706" s="690"/>
      <c r="Q2706" s="690"/>
      <c r="R2706" s="691">
        <f t="shared" si="358"/>
        <v>0</v>
      </c>
      <c r="S2706" s="692">
        <f t="shared" si="359"/>
        <v>0</v>
      </c>
      <c r="T2706" s="693">
        <f t="shared" si="360"/>
        <v>0</v>
      </c>
      <c r="U2706" s="1035"/>
      <c r="V2706" s="690"/>
      <c r="W2706" s="1025"/>
      <c r="X2706" s="1030"/>
      <c r="Y2706" s="694">
        <f t="shared" si="361"/>
        <v>0</v>
      </c>
      <c r="Z2706" s="690"/>
      <c r="AA2706" s="690"/>
      <c r="AB2706" s="695">
        <f t="shared" si="362"/>
        <v>0</v>
      </c>
      <c r="AC2706" s="1035"/>
      <c r="AD2706" s="690"/>
      <c r="AE2706" s="1025"/>
      <c r="AF2706" s="1030"/>
      <c r="AG2706" s="690"/>
      <c r="AH2706" s="690"/>
      <c r="AI2706" s="696">
        <f t="shared" si="363"/>
        <v>0</v>
      </c>
      <c r="AJ2706" s="697">
        <f t="shared" si="364"/>
        <v>0</v>
      </c>
    </row>
    <row r="2707" spans="1:36" s="700" customFormat="1" ht="12.75" customHeight="1">
      <c r="A2707" s="866" t="s">
        <v>206</v>
      </c>
      <c r="B2707" s="866" t="s">
        <v>431</v>
      </c>
      <c r="C2707" s="860" t="s">
        <v>1520</v>
      </c>
      <c r="D2707" s="860"/>
      <c r="E2707" s="868"/>
      <c r="F2707" s="869"/>
      <c r="G2707" s="1025"/>
      <c r="H2707" s="690"/>
      <c r="I2707" s="1030">
        <v>742426</v>
      </c>
      <c r="J2707" s="690">
        <v>614729</v>
      </c>
      <c r="K2707" s="1030"/>
      <c r="L2707" s="690"/>
      <c r="M2707" s="1025"/>
      <c r="N2707" s="1030"/>
      <c r="O2707" s="692">
        <f t="shared" si="357"/>
        <v>0</v>
      </c>
      <c r="P2707" s="690"/>
      <c r="Q2707" s="690"/>
      <c r="R2707" s="691">
        <f t="shared" si="358"/>
        <v>0</v>
      </c>
      <c r="S2707" s="692">
        <f t="shared" si="359"/>
        <v>742426</v>
      </c>
      <c r="T2707" s="693">
        <f t="shared" si="360"/>
        <v>614729</v>
      </c>
      <c r="U2707" s="1035"/>
      <c r="V2707" s="690"/>
      <c r="W2707" s="1025"/>
      <c r="X2707" s="1030"/>
      <c r="Y2707" s="694">
        <f t="shared" si="361"/>
        <v>0</v>
      </c>
      <c r="Z2707" s="690"/>
      <c r="AA2707" s="690"/>
      <c r="AB2707" s="695">
        <f t="shared" si="362"/>
        <v>0</v>
      </c>
      <c r="AC2707" s="1035"/>
      <c r="AD2707" s="690"/>
      <c r="AE2707" s="1025"/>
      <c r="AF2707" s="1030"/>
      <c r="AG2707" s="690"/>
      <c r="AH2707" s="690"/>
      <c r="AI2707" s="696">
        <f t="shared" si="363"/>
        <v>742426</v>
      </c>
      <c r="AJ2707" s="697">
        <f t="shared" si="364"/>
        <v>614729</v>
      </c>
    </row>
    <row r="2708" spans="1:36" s="700" customFormat="1" ht="12.75" customHeight="1">
      <c r="A2708" s="866" t="s">
        <v>206</v>
      </c>
      <c r="B2708" s="866" t="s">
        <v>431</v>
      </c>
      <c r="C2708" s="860" t="s">
        <v>1521</v>
      </c>
      <c r="D2708" s="860"/>
      <c r="E2708" s="844"/>
      <c r="F2708" s="845"/>
      <c r="G2708" s="1025"/>
      <c r="H2708" s="690"/>
      <c r="I2708" s="1030">
        <v>82086</v>
      </c>
      <c r="J2708" s="690">
        <v>0</v>
      </c>
      <c r="K2708" s="1030"/>
      <c r="L2708" s="690"/>
      <c r="M2708" s="1025"/>
      <c r="N2708" s="1030"/>
      <c r="O2708" s="692">
        <f t="shared" si="357"/>
        <v>0</v>
      </c>
      <c r="P2708" s="690"/>
      <c r="Q2708" s="690"/>
      <c r="R2708" s="691">
        <f t="shared" si="358"/>
        <v>0</v>
      </c>
      <c r="S2708" s="692">
        <f t="shared" si="359"/>
        <v>82086</v>
      </c>
      <c r="T2708" s="693">
        <f t="shared" si="360"/>
        <v>0</v>
      </c>
      <c r="U2708" s="1035"/>
      <c r="V2708" s="690"/>
      <c r="W2708" s="1025"/>
      <c r="X2708" s="1030"/>
      <c r="Y2708" s="694">
        <f t="shared" si="361"/>
        <v>0</v>
      </c>
      <c r="Z2708" s="690"/>
      <c r="AA2708" s="690"/>
      <c r="AB2708" s="695">
        <f t="shared" si="362"/>
        <v>0</v>
      </c>
      <c r="AC2708" s="1035"/>
      <c r="AD2708" s="690"/>
      <c r="AE2708" s="1025"/>
      <c r="AF2708" s="1030"/>
      <c r="AG2708" s="690"/>
      <c r="AH2708" s="690"/>
      <c r="AI2708" s="696">
        <f t="shared" si="363"/>
        <v>82086</v>
      </c>
      <c r="AJ2708" s="697">
        <f t="shared" si="364"/>
        <v>0</v>
      </c>
    </row>
    <row r="2709" spans="1:36" s="700" customFormat="1" ht="12.75" customHeight="1">
      <c r="A2709" s="866" t="s">
        <v>206</v>
      </c>
      <c r="B2709" s="866" t="s">
        <v>431</v>
      </c>
      <c r="C2709" s="860" t="s">
        <v>1522</v>
      </c>
      <c r="D2709" s="860"/>
      <c r="E2709" s="868"/>
      <c r="F2709" s="869"/>
      <c r="G2709" s="1025"/>
      <c r="H2709" s="690"/>
      <c r="I2709" s="1030">
        <v>245902</v>
      </c>
      <c r="J2709" s="690">
        <v>1122021</v>
      </c>
      <c r="K2709" s="1030"/>
      <c r="L2709" s="690"/>
      <c r="M2709" s="1025"/>
      <c r="N2709" s="1030"/>
      <c r="O2709" s="692">
        <f t="shared" si="357"/>
        <v>0</v>
      </c>
      <c r="P2709" s="690"/>
      <c r="Q2709" s="690"/>
      <c r="R2709" s="691">
        <f t="shared" si="358"/>
        <v>0</v>
      </c>
      <c r="S2709" s="692">
        <f t="shared" si="359"/>
        <v>245902</v>
      </c>
      <c r="T2709" s="693">
        <f t="shared" si="360"/>
        <v>1122021</v>
      </c>
      <c r="U2709" s="1035"/>
      <c r="V2709" s="690"/>
      <c r="W2709" s="1025"/>
      <c r="X2709" s="1030"/>
      <c r="Y2709" s="694">
        <f t="shared" si="361"/>
        <v>0</v>
      </c>
      <c r="Z2709" s="690"/>
      <c r="AA2709" s="690"/>
      <c r="AB2709" s="695">
        <f t="shared" si="362"/>
        <v>0</v>
      </c>
      <c r="AC2709" s="1035"/>
      <c r="AD2709" s="690"/>
      <c r="AE2709" s="1025"/>
      <c r="AF2709" s="1030"/>
      <c r="AG2709" s="690"/>
      <c r="AH2709" s="690"/>
      <c r="AI2709" s="696">
        <f t="shared" si="363"/>
        <v>245902</v>
      </c>
      <c r="AJ2709" s="697">
        <f t="shared" si="364"/>
        <v>1122021</v>
      </c>
    </row>
    <row r="2710" spans="1:36" s="700" customFormat="1" ht="12.75" customHeight="1">
      <c r="A2710" s="866" t="s">
        <v>206</v>
      </c>
      <c r="B2710" s="866" t="s">
        <v>431</v>
      </c>
      <c r="C2710" s="860" t="s">
        <v>1523</v>
      </c>
      <c r="D2710" s="860"/>
      <c r="E2710" s="868"/>
      <c r="F2710" s="869"/>
      <c r="G2710" s="1025"/>
      <c r="H2710" s="690"/>
      <c r="I2710" s="1030">
        <v>135560</v>
      </c>
      <c r="J2710" s="690">
        <v>0</v>
      </c>
      <c r="K2710" s="1030"/>
      <c r="L2710" s="690"/>
      <c r="M2710" s="1025"/>
      <c r="N2710" s="1030"/>
      <c r="O2710" s="692">
        <f t="shared" si="357"/>
        <v>0</v>
      </c>
      <c r="P2710" s="690"/>
      <c r="Q2710" s="690"/>
      <c r="R2710" s="691">
        <f t="shared" si="358"/>
        <v>0</v>
      </c>
      <c r="S2710" s="692">
        <f t="shared" si="359"/>
        <v>135560</v>
      </c>
      <c r="T2710" s="693">
        <f t="shared" si="360"/>
        <v>0</v>
      </c>
      <c r="U2710" s="1035"/>
      <c r="V2710" s="690"/>
      <c r="W2710" s="1025"/>
      <c r="X2710" s="1030"/>
      <c r="Y2710" s="694">
        <f t="shared" si="361"/>
        <v>0</v>
      </c>
      <c r="Z2710" s="690"/>
      <c r="AA2710" s="690"/>
      <c r="AB2710" s="695">
        <f t="shared" si="362"/>
        <v>0</v>
      </c>
      <c r="AC2710" s="1035"/>
      <c r="AD2710" s="690"/>
      <c r="AE2710" s="1025"/>
      <c r="AF2710" s="1030"/>
      <c r="AG2710" s="690"/>
      <c r="AH2710" s="690"/>
      <c r="AI2710" s="696">
        <f t="shared" si="363"/>
        <v>135560</v>
      </c>
      <c r="AJ2710" s="697">
        <f t="shared" si="364"/>
        <v>0</v>
      </c>
    </row>
    <row r="2711" spans="1:36" s="700" customFormat="1" ht="12.75" customHeight="1">
      <c r="A2711" s="866" t="s">
        <v>206</v>
      </c>
      <c r="B2711" s="866" t="s">
        <v>431</v>
      </c>
      <c r="C2711" s="860" t="s">
        <v>1524</v>
      </c>
      <c r="D2711" s="860"/>
      <c r="E2711" s="868"/>
      <c r="F2711" s="869"/>
      <c r="G2711" s="1025"/>
      <c r="H2711" s="690"/>
      <c r="I2711" s="1030">
        <v>500000</v>
      </c>
      <c r="J2711" s="690">
        <v>0</v>
      </c>
      <c r="K2711" s="1030"/>
      <c r="L2711" s="690"/>
      <c r="M2711" s="1025"/>
      <c r="N2711" s="1030"/>
      <c r="O2711" s="692">
        <f t="shared" si="357"/>
        <v>0</v>
      </c>
      <c r="P2711" s="690"/>
      <c r="Q2711" s="690"/>
      <c r="R2711" s="691">
        <f t="shared" si="358"/>
        <v>0</v>
      </c>
      <c r="S2711" s="692">
        <f t="shared" si="359"/>
        <v>500000</v>
      </c>
      <c r="T2711" s="693">
        <f t="shared" si="360"/>
        <v>0</v>
      </c>
      <c r="U2711" s="1035"/>
      <c r="V2711" s="690"/>
      <c r="W2711" s="1025"/>
      <c r="X2711" s="1030"/>
      <c r="Y2711" s="694">
        <f t="shared" si="361"/>
        <v>0</v>
      </c>
      <c r="Z2711" s="690"/>
      <c r="AA2711" s="690"/>
      <c r="AB2711" s="695">
        <f t="shared" si="362"/>
        <v>0</v>
      </c>
      <c r="AC2711" s="1035"/>
      <c r="AD2711" s="690"/>
      <c r="AE2711" s="1025"/>
      <c r="AF2711" s="1030"/>
      <c r="AG2711" s="690"/>
      <c r="AH2711" s="690"/>
      <c r="AI2711" s="696">
        <f t="shared" si="363"/>
        <v>500000</v>
      </c>
      <c r="AJ2711" s="697">
        <f t="shared" si="364"/>
        <v>0</v>
      </c>
    </row>
    <row r="2712" spans="1:36" s="700" customFormat="1" ht="12.75" customHeight="1">
      <c r="A2712" s="866" t="s">
        <v>206</v>
      </c>
      <c r="B2712" s="866" t="s">
        <v>431</v>
      </c>
      <c r="C2712" s="860" t="s">
        <v>1525</v>
      </c>
      <c r="D2712" s="860"/>
      <c r="E2712" s="868"/>
      <c r="F2712" s="869"/>
      <c r="G2712" s="1025"/>
      <c r="H2712" s="690"/>
      <c r="I2712" s="1030">
        <v>980632</v>
      </c>
      <c r="J2712" s="690">
        <v>811963</v>
      </c>
      <c r="K2712" s="1030"/>
      <c r="L2712" s="690"/>
      <c r="M2712" s="1025"/>
      <c r="N2712" s="1030"/>
      <c r="O2712" s="692">
        <f t="shared" si="357"/>
        <v>0</v>
      </c>
      <c r="P2712" s="690"/>
      <c r="Q2712" s="690"/>
      <c r="R2712" s="691">
        <f t="shared" si="358"/>
        <v>0</v>
      </c>
      <c r="S2712" s="692">
        <f t="shared" si="359"/>
        <v>980632</v>
      </c>
      <c r="T2712" s="693">
        <f t="shared" si="360"/>
        <v>811963</v>
      </c>
      <c r="U2712" s="1035"/>
      <c r="V2712" s="690"/>
      <c r="W2712" s="1025"/>
      <c r="X2712" s="1030"/>
      <c r="Y2712" s="694">
        <f t="shared" si="361"/>
        <v>0</v>
      </c>
      <c r="Z2712" s="690"/>
      <c r="AA2712" s="690"/>
      <c r="AB2712" s="695">
        <f t="shared" si="362"/>
        <v>0</v>
      </c>
      <c r="AC2712" s="1035"/>
      <c r="AD2712" s="690"/>
      <c r="AE2712" s="1025"/>
      <c r="AF2712" s="1030"/>
      <c r="AG2712" s="690"/>
      <c r="AH2712" s="690"/>
      <c r="AI2712" s="696">
        <f t="shared" si="363"/>
        <v>980632</v>
      </c>
      <c r="AJ2712" s="697">
        <f t="shared" si="364"/>
        <v>811963</v>
      </c>
    </row>
    <row r="2713" spans="1:36" s="700" customFormat="1" ht="12.75" customHeight="1">
      <c r="A2713" s="866" t="s">
        <v>206</v>
      </c>
      <c r="B2713" s="866" t="s">
        <v>431</v>
      </c>
      <c r="C2713" s="860" t="s">
        <v>1526</v>
      </c>
      <c r="D2713" s="860"/>
      <c r="E2713" s="868"/>
      <c r="F2713" s="869"/>
      <c r="G2713" s="1025"/>
      <c r="H2713" s="690"/>
      <c r="I2713" s="1030">
        <v>160390</v>
      </c>
      <c r="J2713" s="690">
        <v>0</v>
      </c>
      <c r="K2713" s="1030"/>
      <c r="L2713" s="690"/>
      <c r="M2713" s="1025"/>
      <c r="N2713" s="1030"/>
      <c r="O2713" s="692">
        <f t="shared" si="357"/>
        <v>0</v>
      </c>
      <c r="P2713" s="690"/>
      <c r="Q2713" s="690"/>
      <c r="R2713" s="691">
        <f t="shared" si="358"/>
        <v>0</v>
      </c>
      <c r="S2713" s="692">
        <f t="shared" si="359"/>
        <v>160390</v>
      </c>
      <c r="T2713" s="693">
        <f t="shared" si="360"/>
        <v>0</v>
      </c>
      <c r="U2713" s="1035"/>
      <c r="V2713" s="690"/>
      <c r="W2713" s="1025"/>
      <c r="X2713" s="1030"/>
      <c r="Y2713" s="694">
        <f t="shared" si="361"/>
        <v>0</v>
      </c>
      <c r="Z2713" s="690"/>
      <c r="AA2713" s="690"/>
      <c r="AB2713" s="695">
        <f t="shared" si="362"/>
        <v>0</v>
      </c>
      <c r="AC2713" s="1035"/>
      <c r="AD2713" s="690"/>
      <c r="AE2713" s="1025"/>
      <c r="AF2713" s="1030"/>
      <c r="AG2713" s="690"/>
      <c r="AH2713" s="690"/>
      <c r="AI2713" s="696">
        <f t="shared" si="363"/>
        <v>160390</v>
      </c>
      <c r="AJ2713" s="697">
        <f t="shared" si="364"/>
        <v>0</v>
      </c>
    </row>
    <row r="2714" spans="1:36" s="700" customFormat="1" ht="12.75" customHeight="1">
      <c r="A2714" s="866" t="s">
        <v>206</v>
      </c>
      <c r="B2714" s="866" t="s">
        <v>431</v>
      </c>
      <c r="C2714" s="860" t="s">
        <v>1527</v>
      </c>
      <c r="D2714" s="860"/>
      <c r="E2714" s="868"/>
      <c r="F2714" s="869"/>
      <c r="G2714" s="1025"/>
      <c r="H2714" s="690"/>
      <c r="I2714" s="1030">
        <v>186502</v>
      </c>
      <c r="J2714" s="690">
        <v>122345</v>
      </c>
      <c r="K2714" s="1030"/>
      <c r="L2714" s="690"/>
      <c r="M2714" s="1025"/>
      <c r="N2714" s="1030"/>
      <c r="O2714" s="692">
        <f t="shared" si="357"/>
        <v>0</v>
      </c>
      <c r="P2714" s="690"/>
      <c r="Q2714" s="690"/>
      <c r="R2714" s="691">
        <f t="shared" si="358"/>
        <v>0</v>
      </c>
      <c r="S2714" s="692">
        <f t="shared" si="359"/>
        <v>186502</v>
      </c>
      <c r="T2714" s="693">
        <f t="shared" si="360"/>
        <v>122345</v>
      </c>
      <c r="U2714" s="1035"/>
      <c r="V2714" s="690"/>
      <c r="W2714" s="1025"/>
      <c r="X2714" s="1030"/>
      <c r="Y2714" s="694">
        <f t="shared" si="361"/>
        <v>0</v>
      </c>
      <c r="Z2714" s="690"/>
      <c r="AA2714" s="690"/>
      <c r="AB2714" s="695">
        <f t="shared" si="362"/>
        <v>0</v>
      </c>
      <c r="AC2714" s="1035"/>
      <c r="AD2714" s="690"/>
      <c r="AE2714" s="1025"/>
      <c r="AF2714" s="1030"/>
      <c r="AG2714" s="690"/>
      <c r="AH2714" s="690"/>
      <c r="AI2714" s="696">
        <f t="shared" si="363"/>
        <v>186502</v>
      </c>
      <c r="AJ2714" s="697">
        <f t="shared" si="364"/>
        <v>122345</v>
      </c>
    </row>
    <row r="2715" spans="1:36" s="700" customFormat="1" ht="12.75" customHeight="1">
      <c r="A2715" s="866" t="s">
        <v>206</v>
      </c>
      <c r="B2715" s="866" t="s">
        <v>431</v>
      </c>
      <c r="C2715" s="860" t="s">
        <v>1528</v>
      </c>
      <c r="D2715" s="860"/>
      <c r="E2715" s="868"/>
      <c r="F2715" s="869"/>
      <c r="G2715" s="1025"/>
      <c r="H2715" s="690"/>
      <c r="I2715" s="1030">
        <v>851917</v>
      </c>
      <c r="J2715" s="690">
        <v>705387</v>
      </c>
      <c r="K2715" s="1030"/>
      <c r="L2715" s="690"/>
      <c r="M2715" s="1025"/>
      <c r="N2715" s="1030"/>
      <c r="O2715" s="692">
        <f t="shared" si="357"/>
        <v>0</v>
      </c>
      <c r="P2715" s="690"/>
      <c r="Q2715" s="690"/>
      <c r="R2715" s="691">
        <f t="shared" si="358"/>
        <v>0</v>
      </c>
      <c r="S2715" s="692">
        <f t="shared" si="359"/>
        <v>851917</v>
      </c>
      <c r="T2715" s="693">
        <f t="shared" si="360"/>
        <v>705387</v>
      </c>
      <c r="U2715" s="1035"/>
      <c r="V2715" s="690"/>
      <c r="W2715" s="1025"/>
      <c r="X2715" s="1030"/>
      <c r="Y2715" s="694">
        <f t="shared" si="361"/>
        <v>0</v>
      </c>
      <c r="Z2715" s="690"/>
      <c r="AA2715" s="690"/>
      <c r="AB2715" s="695">
        <f t="shared" si="362"/>
        <v>0</v>
      </c>
      <c r="AC2715" s="1035"/>
      <c r="AD2715" s="690"/>
      <c r="AE2715" s="1025"/>
      <c r="AF2715" s="1030"/>
      <c r="AG2715" s="690"/>
      <c r="AH2715" s="690"/>
      <c r="AI2715" s="696">
        <f t="shared" si="363"/>
        <v>851917</v>
      </c>
      <c r="AJ2715" s="697">
        <f t="shared" si="364"/>
        <v>705387</v>
      </c>
    </row>
    <row r="2716" spans="1:36" s="700" customFormat="1" ht="12.75" customHeight="1">
      <c r="A2716" s="866" t="s">
        <v>206</v>
      </c>
      <c r="B2716" s="866" t="s">
        <v>431</v>
      </c>
      <c r="C2716" s="860" t="s">
        <v>1529</v>
      </c>
      <c r="D2716" s="860"/>
      <c r="E2716" s="868"/>
      <c r="F2716" s="869"/>
      <c r="G2716" s="1025"/>
      <c r="H2716" s="690"/>
      <c r="I2716" s="1030">
        <v>133269</v>
      </c>
      <c r="J2716" s="690">
        <v>124517</v>
      </c>
      <c r="K2716" s="1030"/>
      <c r="L2716" s="690"/>
      <c r="M2716" s="1025"/>
      <c r="N2716" s="1030"/>
      <c r="O2716" s="692">
        <f t="shared" si="357"/>
        <v>0</v>
      </c>
      <c r="P2716" s="690"/>
      <c r="Q2716" s="690"/>
      <c r="R2716" s="691">
        <f t="shared" si="358"/>
        <v>0</v>
      </c>
      <c r="S2716" s="692">
        <f t="shared" si="359"/>
        <v>133269</v>
      </c>
      <c r="T2716" s="693">
        <f t="shared" si="360"/>
        <v>124517</v>
      </c>
      <c r="U2716" s="1035"/>
      <c r="V2716" s="690"/>
      <c r="W2716" s="1025"/>
      <c r="X2716" s="1030"/>
      <c r="Y2716" s="694">
        <f t="shared" si="361"/>
        <v>0</v>
      </c>
      <c r="Z2716" s="690"/>
      <c r="AA2716" s="690"/>
      <c r="AB2716" s="695">
        <f t="shared" si="362"/>
        <v>0</v>
      </c>
      <c r="AC2716" s="1035"/>
      <c r="AD2716" s="690"/>
      <c r="AE2716" s="1025"/>
      <c r="AF2716" s="1030"/>
      <c r="AG2716" s="690"/>
      <c r="AH2716" s="690"/>
      <c r="AI2716" s="696">
        <f t="shared" si="363"/>
        <v>133269</v>
      </c>
      <c r="AJ2716" s="697">
        <f t="shared" si="364"/>
        <v>124517</v>
      </c>
    </row>
    <row r="2717" spans="1:36" s="700" customFormat="1" ht="12.75" customHeight="1">
      <c r="A2717" s="866" t="s">
        <v>206</v>
      </c>
      <c r="B2717" s="866" t="s">
        <v>431</v>
      </c>
      <c r="C2717" s="860" t="s">
        <v>1530</v>
      </c>
      <c r="D2717" s="860"/>
      <c r="E2717" s="868"/>
      <c r="F2717" s="869"/>
      <c r="G2717" s="1025"/>
      <c r="H2717" s="690"/>
      <c r="I2717" s="1030">
        <v>150481</v>
      </c>
      <c r="J2717" s="690">
        <v>162773</v>
      </c>
      <c r="K2717" s="1030"/>
      <c r="L2717" s="690"/>
      <c r="M2717" s="1025"/>
      <c r="N2717" s="1030"/>
      <c r="O2717" s="692">
        <f t="shared" si="357"/>
        <v>0</v>
      </c>
      <c r="P2717" s="690"/>
      <c r="Q2717" s="690"/>
      <c r="R2717" s="691">
        <f t="shared" si="358"/>
        <v>0</v>
      </c>
      <c r="S2717" s="692">
        <f t="shared" si="359"/>
        <v>150481</v>
      </c>
      <c r="T2717" s="693">
        <f t="shared" si="360"/>
        <v>162773</v>
      </c>
      <c r="U2717" s="1035"/>
      <c r="V2717" s="690"/>
      <c r="W2717" s="1025"/>
      <c r="X2717" s="1030"/>
      <c r="Y2717" s="694">
        <f t="shared" si="361"/>
        <v>0</v>
      </c>
      <c r="Z2717" s="690"/>
      <c r="AA2717" s="690"/>
      <c r="AB2717" s="695">
        <f t="shared" si="362"/>
        <v>0</v>
      </c>
      <c r="AC2717" s="1035"/>
      <c r="AD2717" s="690"/>
      <c r="AE2717" s="1025"/>
      <c r="AF2717" s="1030"/>
      <c r="AG2717" s="690"/>
      <c r="AH2717" s="690"/>
      <c r="AI2717" s="696">
        <f t="shared" si="363"/>
        <v>150481</v>
      </c>
      <c r="AJ2717" s="697">
        <f t="shared" si="364"/>
        <v>162773</v>
      </c>
    </row>
    <row r="2718" spans="1:36" s="700" customFormat="1" ht="12.75" customHeight="1">
      <c r="A2718" s="866" t="s">
        <v>206</v>
      </c>
      <c r="B2718" s="866" t="s">
        <v>431</v>
      </c>
      <c r="C2718" s="860" t="s">
        <v>1531</v>
      </c>
      <c r="D2718" s="860"/>
      <c r="E2718" s="956"/>
      <c r="F2718" s="845"/>
      <c r="G2718" s="1025"/>
      <c r="H2718" s="690"/>
      <c r="I2718" s="1030">
        <v>18308</v>
      </c>
      <c r="J2718" s="690">
        <v>0</v>
      </c>
      <c r="K2718" s="1030"/>
      <c r="L2718" s="690"/>
      <c r="M2718" s="1025"/>
      <c r="N2718" s="1030"/>
      <c r="O2718" s="692">
        <f t="shared" si="357"/>
        <v>0</v>
      </c>
      <c r="P2718" s="690"/>
      <c r="Q2718" s="690"/>
      <c r="R2718" s="691">
        <f t="shared" si="358"/>
        <v>0</v>
      </c>
      <c r="S2718" s="692">
        <f t="shared" si="359"/>
        <v>18308</v>
      </c>
      <c r="T2718" s="693">
        <f t="shared" si="360"/>
        <v>0</v>
      </c>
      <c r="U2718" s="1035"/>
      <c r="V2718" s="690"/>
      <c r="W2718" s="1025"/>
      <c r="X2718" s="1030"/>
      <c r="Y2718" s="694">
        <f t="shared" si="361"/>
        <v>0</v>
      </c>
      <c r="Z2718" s="690"/>
      <c r="AA2718" s="690"/>
      <c r="AB2718" s="695">
        <f t="shared" si="362"/>
        <v>0</v>
      </c>
      <c r="AC2718" s="1035"/>
      <c r="AD2718" s="690"/>
      <c r="AE2718" s="1025"/>
      <c r="AF2718" s="1030"/>
      <c r="AG2718" s="690"/>
      <c r="AH2718" s="690"/>
      <c r="AI2718" s="696">
        <f t="shared" si="363"/>
        <v>18308</v>
      </c>
      <c r="AJ2718" s="697">
        <f t="shared" si="364"/>
        <v>0</v>
      </c>
    </row>
    <row r="2719" spans="1:36" s="700" customFormat="1" ht="12.75" customHeight="1">
      <c r="A2719" s="866" t="s">
        <v>206</v>
      </c>
      <c r="B2719" s="866" t="s">
        <v>431</v>
      </c>
      <c r="C2719" s="860" t="s">
        <v>1532</v>
      </c>
      <c r="D2719" s="860"/>
      <c r="E2719" s="844"/>
      <c r="F2719" s="845"/>
      <c r="G2719" s="1025"/>
      <c r="H2719" s="690"/>
      <c r="I2719" s="1030">
        <v>1391437</v>
      </c>
      <c r="J2719" s="690">
        <v>208543</v>
      </c>
      <c r="K2719" s="1030"/>
      <c r="L2719" s="690"/>
      <c r="M2719" s="1025"/>
      <c r="N2719" s="1030"/>
      <c r="O2719" s="692">
        <f t="shared" si="357"/>
        <v>0</v>
      </c>
      <c r="P2719" s="690"/>
      <c r="Q2719" s="690"/>
      <c r="R2719" s="691">
        <f t="shared" si="358"/>
        <v>0</v>
      </c>
      <c r="S2719" s="692">
        <f t="shared" si="359"/>
        <v>1391437</v>
      </c>
      <c r="T2719" s="693">
        <f t="shared" si="360"/>
        <v>208543</v>
      </c>
      <c r="U2719" s="1035"/>
      <c r="V2719" s="690"/>
      <c r="W2719" s="1025"/>
      <c r="X2719" s="1030"/>
      <c r="Y2719" s="694">
        <f t="shared" si="361"/>
        <v>0</v>
      </c>
      <c r="Z2719" s="690"/>
      <c r="AA2719" s="690"/>
      <c r="AB2719" s="695">
        <f t="shared" si="362"/>
        <v>0</v>
      </c>
      <c r="AC2719" s="1035"/>
      <c r="AD2719" s="690"/>
      <c r="AE2719" s="1025"/>
      <c r="AF2719" s="1030"/>
      <c r="AG2719" s="690"/>
      <c r="AH2719" s="690"/>
      <c r="AI2719" s="696">
        <f t="shared" si="363"/>
        <v>1391437</v>
      </c>
      <c r="AJ2719" s="697">
        <f t="shared" si="364"/>
        <v>208543</v>
      </c>
    </row>
    <row r="2720" spans="1:36" s="700" customFormat="1" ht="12.75" customHeight="1">
      <c r="A2720" s="866" t="s">
        <v>206</v>
      </c>
      <c r="B2720" s="866" t="s">
        <v>431</v>
      </c>
      <c r="C2720" s="860" t="s">
        <v>1533</v>
      </c>
      <c r="D2720" s="860"/>
      <c r="E2720" s="956"/>
      <c r="F2720" s="845"/>
      <c r="G2720" s="1025"/>
      <c r="H2720" s="690"/>
      <c r="I2720" s="1030">
        <v>223803</v>
      </c>
      <c r="J2720" s="690">
        <v>185309</v>
      </c>
      <c r="K2720" s="1030"/>
      <c r="L2720" s="690"/>
      <c r="M2720" s="1025"/>
      <c r="N2720" s="1030"/>
      <c r="O2720" s="692">
        <f t="shared" si="357"/>
        <v>0</v>
      </c>
      <c r="P2720" s="690"/>
      <c r="Q2720" s="690"/>
      <c r="R2720" s="691">
        <f t="shared" si="358"/>
        <v>0</v>
      </c>
      <c r="S2720" s="692">
        <f t="shared" si="359"/>
        <v>223803</v>
      </c>
      <c r="T2720" s="693">
        <f t="shared" si="360"/>
        <v>185309</v>
      </c>
      <c r="U2720" s="1035"/>
      <c r="V2720" s="690"/>
      <c r="W2720" s="1025"/>
      <c r="X2720" s="1030"/>
      <c r="Y2720" s="694">
        <f t="shared" si="361"/>
        <v>0</v>
      </c>
      <c r="Z2720" s="690"/>
      <c r="AA2720" s="690"/>
      <c r="AB2720" s="695">
        <f t="shared" si="362"/>
        <v>0</v>
      </c>
      <c r="AC2720" s="1035"/>
      <c r="AD2720" s="690"/>
      <c r="AE2720" s="1025"/>
      <c r="AF2720" s="1030"/>
      <c r="AG2720" s="690"/>
      <c r="AH2720" s="690"/>
      <c r="AI2720" s="696">
        <f t="shared" si="363"/>
        <v>223803</v>
      </c>
      <c r="AJ2720" s="697">
        <f t="shared" si="364"/>
        <v>185309</v>
      </c>
    </row>
    <row r="2721" spans="1:36" s="700" customFormat="1" ht="12.75" customHeight="1">
      <c r="A2721" s="866" t="s">
        <v>206</v>
      </c>
      <c r="B2721" s="866" t="s">
        <v>431</v>
      </c>
      <c r="C2721" s="860" t="s">
        <v>1457</v>
      </c>
      <c r="D2721" s="860"/>
      <c r="E2721" s="956"/>
      <c r="F2721" s="845"/>
      <c r="G2721" s="1025"/>
      <c r="H2721" s="690"/>
      <c r="I2721" s="1030">
        <v>38569</v>
      </c>
      <c r="J2721" s="690">
        <v>32470</v>
      </c>
      <c r="K2721" s="1030"/>
      <c r="L2721" s="690"/>
      <c r="M2721" s="1025"/>
      <c r="N2721" s="1030"/>
      <c r="O2721" s="692">
        <f t="shared" si="357"/>
        <v>0</v>
      </c>
      <c r="P2721" s="690"/>
      <c r="Q2721" s="690"/>
      <c r="R2721" s="691">
        <f t="shared" si="358"/>
        <v>0</v>
      </c>
      <c r="S2721" s="692">
        <f t="shared" si="359"/>
        <v>38569</v>
      </c>
      <c r="T2721" s="693">
        <f t="shared" si="360"/>
        <v>32470</v>
      </c>
      <c r="U2721" s="1035"/>
      <c r="V2721" s="690"/>
      <c r="W2721" s="1025"/>
      <c r="X2721" s="1030"/>
      <c r="Y2721" s="694">
        <f t="shared" si="361"/>
        <v>0</v>
      </c>
      <c r="Z2721" s="690"/>
      <c r="AA2721" s="690"/>
      <c r="AB2721" s="695">
        <f t="shared" si="362"/>
        <v>0</v>
      </c>
      <c r="AC2721" s="1035"/>
      <c r="AD2721" s="690"/>
      <c r="AE2721" s="1025"/>
      <c r="AF2721" s="1030"/>
      <c r="AG2721" s="690"/>
      <c r="AH2721" s="690"/>
      <c r="AI2721" s="696">
        <f t="shared" si="363"/>
        <v>38569</v>
      </c>
      <c r="AJ2721" s="697">
        <f t="shared" si="364"/>
        <v>32470</v>
      </c>
    </row>
    <row r="2722" spans="1:36" s="700" customFormat="1" ht="12.75" customHeight="1">
      <c r="A2722" s="866" t="s">
        <v>206</v>
      </c>
      <c r="B2722" s="866" t="s">
        <v>409</v>
      </c>
      <c r="C2722" s="960" t="s">
        <v>157</v>
      </c>
      <c r="D2722" s="960"/>
      <c r="E2722" s="844"/>
      <c r="F2722" s="845"/>
      <c r="G2722" s="1025"/>
      <c r="H2722" s="690"/>
      <c r="I2722" s="1030"/>
      <c r="J2722" s="690"/>
      <c r="K2722" s="1030"/>
      <c r="L2722" s="690"/>
      <c r="M2722" s="1025"/>
      <c r="N2722" s="1030"/>
      <c r="O2722" s="692">
        <f t="shared" si="357"/>
        <v>0</v>
      </c>
      <c r="P2722" s="690"/>
      <c r="Q2722" s="690"/>
      <c r="R2722" s="691">
        <f t="shared" si="358"/>
        <v>0</v>
      </c>
      <c r="S2722" s="692">
        <f t="shared" si="359"/>
        <v>0</v>
      </c>
      <c r="T2722" s="693">
        <f t="shared" si="360"/>
        <v>0</v>
      </c>
      <c r="U2722" s="1035"/>
      <c r="V2722" s="690"/>
      <c r="W2722" s="1025"/>
      <c r="X2722" s="1030"/>
      <c r="Y2722" s="694">
        <f t="shared" si="361"/>
        <v>0</v>
      </c>
      <c r="Z2722" s="690"/>
      <c r="AA2722" s="690"/>
      <c r="AB2722" s="695">
        <f t="shared" si="362"/>
        <v>0</v>
      </c>
      <c r="AC2722" s="1035"/>
      <c r="AD2722" s="690"/>
      <c r="AE2722" s="1025"/>
      <c r="AF2722" s="1030"/>
      <c r="AG2722" s="690"/>
      <c r="AH2722" s="690"/>
      <c r="AI2722" s="696">
        <f t="shared" si="363"/>
        <v>0</v>
      </c>
      <c r="AJ2722" s="697">
        <f t="shared" si="364"/>
        <v>0</v>
      </c>
    </row>
    <row r="2723" spans="1:36" s="700" customFormat="1" ht="12.75" customHeight="1">
      <c r="A2723" s="866" t="s">
        <v>206</v>
      </c>
      <c r="B2723" s="866" t="s">
        <v>410</v>
      </c>
      <c r="C2723" s="859" t="s">
        <v>200</v>
      </c>
      <c r="D2723" s="859"/>
      <c r="E2723" s="844"/>
      <c r="F2723" s="845"/>
      <c r="G2723" s="1025"/>
      <c r="H2723" s="690"/>
      <c r="I2723" s="1030"/>
      <c r="J2723" s="690"/>
      <c r="K2723" s="1030"/>
      <c r="L2723" s="690"/>
      <c r="M2723" s="1025"/>
      <c r="N2723" s="1030"/>
      <c r="O2723" s="692">
        <f t="shared" si="357"/>
        <v>0</v>
      </c>
      <c r="P2723" s="690"/>
      <c r="Q2723" s="690"/>
      <c r="R2723" s="691">
        <f t="shared" si="358"/>
        <v>0</v>
      </c>
      <c r="S2723" s="692">
        <f t="shared" si="359"/>
        <v>0</v>
      </c>
      <c r="T2723" s="693">
        <f t="shared" si="360"/>
        <v>0</v>
      </c>
      <c r="U2723" s="1035"/>
      <c r="V2723" s="690"/>
      <c r="W2723" s="1025"/>
      <c r="X2723" s="1030"/>
      <c r="Y2723" s="694">
        <f t="shared" si="361"/>
        <v>0</v>
      </c>
      <c r="Z2723" s="690"/>
      <c r="AA2723" s="690"/>
      <c r="AB2723" s="695">
        <f t="shared" si="362"/>
        <v>0</v>
      </c>
      <c r="AC2723" s="1035"/>
      <c r="AD2723" s="690"/>
      <c r="AE2723" s="1025"/>
      <c r="AF2723" s="1030"/>
      <c r="AG2723" s="690"/>
      <c r="AH2723" s="690"/>
      <c r="AI2723" s="696">
        <f t="shared" si="363"/>
        <v>0</v>
      </c>
      <c r="AJ2723" s="697">
        <f t="shared" si="364"/>
        <v>0</v>
      </c>
    </row>
    <row r="2724" spans="1:36" s="700" customFormat="1" ht="12.75" customHeight="1">
      <c r="A2724" s="866" t="s">
        <v>206</v>
      </c>
      <c r="B2724" s="866" t="s">
        <v>410</v>
      </c>
      <c r="C2724" s="860" t="s">
        <v>1534</v>
      </c>
      <c r="D2724" s="860"/>
      <c r="E2724" s="844"/>
      <c r="F2724" s="845"/>
      <c r="G2724" s="1025"/>
      <c r="H2724" s="690"/>
      <c r="I2724" s="1030"/>
      <c r="J2724" s="690"/>
      <c r="K2724" s="1030"/>
      <c r="L2724" s="690"/>
      <c r="M2724" s="1025"/>
      <c r="N2724" s="1030"/>
      <c r="O2724" s="692">
        <f t="shared" si="357"/>
        <v>0</v>
      </c>
      <c r="P2724" s="690"/>
      <c r="Q2724" s="690"/>
      <c r="R2724" s="691">
        <f t="shared" si="358"/>
        <v>0</v>
      </c>
      <c r="S2724" s="692">
        <f t="shared" si="359"/>
        <v>0</v>
      </c>
      <c r="T2724" s="693">
        <f t="shared" si="360"/>
        <v>0</v>
      </c>
      <c r="U2724" s="1035">
        <v>2250172</v>
      </c>
      <c r="V2724" s="818">
        <v>2086155</v>
      </c>
      <c r="W2724" s="1025"/>
      <c r="X2724" s="1030"/>
      <c r="Y2724" s="694">
        <f t="shared" si="361"/>
        <v>0</v>
      </c>
      <c r="Z2724" s="690"/>
      <c r="AA2724" s="690"/>
      <c r="AB2724" s="695">
        <f t="shared" si="362"/>
        <v>0</v>
      </c>
      <c r="AC2724" s="1035"/>
      <c r="AD2724" s="690"/>
      <c r="AE2724" s="1025"/>
      <c r="AF2724" s="1030"/>
      <c r="AG2724" s="690"/>
      <c r="AH2724" s="690"/>
      <c r="AI2724" s="696">
        <f t="shared" si="363"/>
        <v>2250172</v>
      </c>
      <c r="AJ2724" s="697">
        <f t="shared" si="364"/>
        <v>2086155</v>
      </c>
    </row>
    <row r="2725" spans="1:36" s="700" customFormat="1" ht="12.75" customHeight="1">
      <c r="A2725" s="866" t="s">
        <v>206</v>
      </c>
      <c r="B2725" s="866" t="s">
        <v>410</v>
      </c>
      <c r="C2725" s="860" t="s">
        <v>1535</v>
      </c>
      <c r="D2725" s="860"/>
      <c r="E2725" s="956"/>
      <c r="F2725" s="845"/>
      <c r="G2725" s="1025"/>
      <c r="H2725" s="690"/>
      <c r="I2725" s="1030"/>
      <c r="J2725" s="690"/>
      <c r="K2725" s="1030"/>
      <c r="L2725" s="690"/>
      <c r="M2725" s="1025"/>
      <c r="N2725" s="1030"/>
      <c r="O2725" s="692">
        <f t="shared" si="357"/>
        <v>0</v>
      </c>
      <c r="P2725" s="690"/>
      <c r="Q2725" s="690"/>
      <c r="R2725" s="691">
        <f t="shared" si="358"/>
        <v>0</v>
      </c>
      <c r="S2725" s="692">
        <f t="shared" si="359"/>
        <v>0</v>
      </c>
      <c r="T2725" s="693">
        <f t="shared" si="360"/>
        <v>0</v>
      </c>
      <c r="U2725" s="1035">
        <v>12440</v>
      </c>
      <c r="V2725" s="690">
        <v>0</v>
      </c>
      <c r="W2725" s="1025"/>
      <c r="X2725" s="1030"/>
      <c r="Y2725" s="694">
        <f t="shared" si="361"/>
        <v>0</v>
      </c>
      <c r="Z2725" s="690"/>
      <c r="AA2725" s="690"/>
      <c r="AB2725" s="695">
        <f t="shared" si="362"/>
        <v>0</v>
      </c>
      <c r="AC2725" s="1035"/>
      <c r="AD2725" s="690"/>
      <c r="AE2725" s="1025"/>
      <c r="AF2725" s="1030"/>
      <c r="AG2725" s="690"/>
      <c r="AH2725" s="690"/>
      <c r="AI2725" s="696">
        <f t="shared" si="363"/>
        <v>12440</v>
      </c>
      <c r="AJ2725" s="697">
        <f t="shared" si="364"/>
        <v>0</v>
      </c>
    </row>
    <row r="2726" spans="1:36" s="700" customFormat="1" ht="12.75" customHeight="1">
      <c r="A2726" s="866" t="s">
        <v>206</v>
      </c>
      <c r="B2726" s="866" t="s">
        <v>410</v>
      </c>
      <c r="C2726" s="860" t="s">
        <v>1536</v>
      </c>
      <c r="D2726" s="860"/>
      <c r="E2726" s="956"/>
      <c r="F2726" s="845"/>
      <c r="G2726" s="1025"/>
      <c r="H2726" s="690"/>
      <c r="I2726" s="1030"/>
      <c r="J2726" s="690"/>
      <c r="K2726" s="1030"/>
      <c r="L2726" s="690"/>
      <c r="M2726" s="1025"/>
      <c r="N2726" s="1030"/>
      <c r="O2726" s="692">
        <f t="shared" si="357"/>
        <v>0</v>
      </c>
      <c r="P2726" s="690"/>
      <c r="Q2726" s="690"/>
      <c r="R2726" s="691">
        <f t="shared" si="358"/>
        <v>0</v>
      </c>
      <c r="S2726" s="692">
        <f t="shared" si="359"/>
        <v>0</v>
      </c>
      <c r="T2726" s="693">
        <f t="shared" si="360"/>
        <v>0</v>
      </c>
      <c r="U2726" s="1035">
        <v>124517</v>
      </c>
      <c r="V2726" s="690">
        <v>124517</v>
      </c>
      <c r="W2726" s="1025"/>
      <c r="X2726" s="1030"/>
      <c r="Y2726" s="694">
        <f t="shared" si="361"/>
        <v>0</v>
      </c>
      <c r="Z2726" s="690"/>
      <c r="AA2726" s="690"/>
      <c r="AB2726" s="695">
        <f t="shared" si="362"/>
        <v>0</v>
      </c>
      <c r="AC2726" s="1035"/>
      <c r="AD2726" s="690"/>
      <c r="AE2726" s="1025"/>
      <c r="AF2726" s="1030"/>
      <c r="AG2726" s="690"/>
      <c r="AH2726" s="690"/>
      <c r="AI2726" s="696">
        <f t="shared" si="363"/>
        <v>124517</v>
      </c>
      <c r="AJ2726" s="697">
        <f t="shared" si="364"/>
        <v>124517</v>
      </c>
    </row>
    <row r="2727" spans="1:36" s="700" customFormat="1" ht="12.75" customHeight="1">
      <c r="A2727" s="866" t="s">
        <v>206</v>
      </c>
      <c r="B2727" s="866" t="s">
        <v>410</v>
      </c>
      <c r="C2727" s="860" t="s">
        <v>1537</v>
      </c>
      <c r="D2727" s="860"/>
      <c r="E2727" s="956"/>
      <c r="F2727" s="845"/>
      <c r="G2727" s="1025"/>
      <c r="H2727" s="690"/>
      <c r="I2727" s="1030"/>
      <c r="J2727" s="690"/>
      <c r="K2727" s="1030"/>
      <c r="L2727" s="690"/>
      <c r="M2727" s="1025"/>
      <c r="N2727" s="1030"/>
      <c r="O2727" s="692">
        <f t="shared" si="357"/>
        <v>0</v>
      </c>
      <c r="P2727" s="690"/>
      <c r="Q2727" s="690"/>
      <c r="R2727" s="691">
        <f t="shared" si="358"/>
        <v>0</v>
      </c>
      <c r="S2727" s="692">
        <f t="shared" si="359"/>
        <v>0</v>
      </c>
      <c r="T2727" s="693">
        <f t="shared" si="360"/>
        <v>0</v>
      </c>
      <c r="U2727" s="1035">
        <v>1213065</v>
      </c>
      <c r="V2727" s="690">
        <v>1213065</v>
      </c>
      <c r="W2727" s="1025"/>
      <c r="X2727" s="1030"/>
      <c r="Y2727" s="694">
        <f t="shared" si="361"/>
        <v>0</v>
      </c>
      <c r="Z2727" s="690"/>
      <c r="AA2727" s="690"/>
      <c r="AB2727" s="695">
        <f t="shared" si="362"/>
        <v>0</v>
      </c>
      <c r="AC2727" s="1035"/>
      <c r="AD2727" s="690"/>
      <c r="AE2727" s="1025"/>
      <c r="AF2727" s="1030"/>
      <c r="AG2727" s="690"/>
      <c r="AH2727" s="690"/>
      <c r="AI2727" s="696">
        <f t="shared" si="363"/>
        <v>1213065</v>
      </c>
      <c r="AJ2727" s="697">
        <f t="shared" si="364"/>
        <v>1213065</v>
      </c>
    </row>
    <row r="2728" spans="1:36" s="700" customFormat="1" ht="12.75" customHeight="1">
      <c r="A2728" s="866" t="s">
        <v>206</v>
      </c>
      <c r="B2728" s="866" t="s">
        <v>410</v>
      </c>
      <c r="C2728" s="860" t="s">
        <v>1457</v>
      </c>
      <c r="D2728" s="860"/>
      <c r="E2728" s="956"/>
      <c r="F2728" s="845"/>
      <c r="G2728" s="1025"/>
      <c r="H2728" s="690"/>
      <c r="I2728" s="1030"/>
      <c r="J2728" s="690"/>
      <c r="K2728" s="1030"/>
      <c r="L2728" s="690"/>
      <c r="M2728" s="1025"/>
      <c r="N2728" s="1030"/>
      <c r="O2728" s="692">
        <f t="shared" si="357"/>
        <v>0</v>
      </c>
      <c r="P2728" s="690"/>
      <c r="Q2728" s="690"/>
      <c r="R2728" s="691">
        <f t="shared" si="358"/>
        <v>0</v>
      </c>
      <c r="S2728" s="692">
        <f t="shared" si="359"/>
        <v>0</v>
      </c>
      <c r="T2728" s="693">
        <f t="shared" si="360"/>
        <v>0</v>
      </c>
      <c r="U2728" s="1035"/>
      <c r="V2728" s="690"/>
      <c r="W2728" s="1025"/>
      <c r="X2728" s="1030"/>
      <c r="Y2728" s="694">
        <f t="shared" si="361"/>
        <v>0</v>
      </c>
      <c r="Z2728" s="690"/>
      <c r="AA2728" s="690"/>
      <c r="AB2728" s="695">
        <f t="shared" si="362"/>
        <v>0</v>
      </c>
      <c r="AC2728" s="1035"/>
      <c r="AD2728" s="690"/>
      <c r="AE2728" s="1025"/>
      <c r="AF2728" s="1030"/>
      <c r="AG2728" s="690"/>
      <c r="AH2728" s="690"/>
      <c r="AI2728" s="696">
        <f t="shared" si="363"/>
        <v>0</v>
      </c>
      <c r="AJ2728" s="697">
        <f t="shared" si="364"/>
        <v>0</v>
      </c>
    </row>
    <row r="2729" spans="1:36" s="700" customFormat="1" ht="12.75" customHeight="1">
      <c r="A2729" s="866" t="s">
        <v>206</v>
      </c>
      <c r="B2729" s="866" t="s">
        <v>410</v>
      </c>
      <c r="C2729" s="860" t="s">
        <v>1538</v>
      </c>
      <c r="D2729" s="860"/>
      <c r="E2729" s="956"/>
      <c r="F2729" s="845"/>
      <c r="G2729" s="1025"/>
      <c r="H2729" s="690"/>
      <c r="I2729" s="1030"/>
      <c r="J2729" s="690"/>
      <c r="K2729" s="1030"/>
      <c r="L2729" s="690"/>
      <c r="M2729" s="1025"/>
      <c r="N2729" s="1030"/>
      <c r="O2729" s="692">
        <f t="shared" si="357"/>
        <v>0</v>
      </c>
      <c r="P2729" s="690"/>
      <c r="Q2729" s="690"/>
      <c r="R2729" s="691">
        <f t="shared" si="358"/>
        <v>0</v>
      </c>
      <c r="S2729" s="692">
        <f t="shared" si="359"/>
        <v>0</v>
      </c>
      <c r="T2729" s="693">
        <f t="shared" si="360"/>
        <v>0</v>
      </c>
      <c r="U2729" s="1035">
        <v>19193</v>
      </c>
      <c r="V2729" s="690">
        <v>6901</v>
      </c>
      <c r="W2729" s="1025"/>
      <c r="X2729" s="1030"/>
      <c r="Y2729" s="694">
        <f t="shared" si="361"/>
        <v>0</v>
      </c>
      <c r="Z2729" s="690"/>
      <c r="AA2729" s="690"/>
      <c r="AB2729" s="695">
        <f t="shared" si="362"/>
        <v>0</v>
      </c>
      <c r="AC2729" s="1035"/>
      <c r="AD2729" s="690"/>
      <c r="AE2729" s="1025"/>
      <c r="AF2729" s="1030"/>
      <c r="AG2729" s="690"/>
      <c r="AH2729" s="690"/>
      <c r="AI2729" s="696">
        <f t="shared" si="363"/>
        <v>19193</v>
      </c>
      <c r="AJ2729" s="697">
        <f t="shared" si="364"/>
        <v>6901</v>
      </c>
    </row>
    <row r="2730" spans="1:36" s="700" customFormat="1" ht="12.75" customHeight="1">
      <c r="A2730" s="866" t="s">
        <v>206</v>
      </c>
      <c r="B2730" s="866" t="s">
        <v>410</v>
      </c>
      <c r="C2730" s="860" t="s">
        <v>1539</v>
      </c>
      <c r="D2730" s="860"/>
      <c r="E2730" s="956"/>
      <c r="F2730" s="845"/>
      <c r="G2730" s="1025"/>
      <c r="H2730" s="690"/>
      <c r="I2730" s="1030"/>
      <c r="J2730" s="690"/>
      <c r="K2730" s="1030"/>
      <c r="L2730" s="690"/>
      <c r="M2730" s="1025"/>
      <c r="N2730" s="1030"/>
      <c r="O2730" s="692">
        <f t="shared" si="357"/>
        <v>0</v>
      </c>
      <c r="P2730" s="690"/>
      <c r="Q2730" s="690"/>
      <c r="R2730" s="691">
        <f t="shared" si="358"/>
        <v>0</v>
      </c>
      <c r="S2730" s="692">
        <f t="shared" si="359"/>
        <v>0</v>
      </c>
      <c r="T2730" s="693">
        <f t="shared" si="360"/>
        <v>0</v>
      </c>
      <c r="U2730" s="1035">
        <v>380</v>
      </c>
      <c r="V2730" s="690">
        <v>0</v>
      </c>
      <c r="W2730" s="1025"/>
      <c r="X2730" s="1030"/>
      <c r="Y2730" s="694">
        <f t="shared" si="361"/>
        <v>0</v>
      </c>
      <c r="Z2730" s="690"/>
      <c r="AA2730" s="690"/>
      <c r="AB2730" s="695">
        <f t="shared" si="362"/>
        <v>0</v>
      </c>
      <c r="AC2730" s="1035"/>
      <c r="AD2730" s="690"/>
      <c r="AE2730" s="1025"/>
      <c r="AF2730" s="1030"/>
      <c r="AG2730" s="690"/>
      <c r="AH2730" s="690"/>
      <c r="AI2730" s="696">
        <f t="shared" si="363"/>
        <v>380</v>
      </c>
      <c r="AJ2730" s="697">
        <f t="shared" si="364"/>
        <v>0</v>
      </c>
    </row>
    <row r="2731" spans="1:36" s="700" customFormat="1" ht="12.75" customHeight="1">
      <c r="A2731" s="866" t="s">
        <v>206</v>
      </c>
      <c r="B2731" s="866" t="s">
        <v>410</v>
      </c>
      <c r="C2731" s="860" t="s">
        <v>1540</v>
      </c>
      <c r="D2731" s="860"/>
      <c r="E2731" s="956"/>
      <c r="F2731" s="845"/>
      <c r="G2731" s="1025"/>
      <c r="H2731" s="690"/>
      <c r="I2731" s="1030"/>
      <c r="J2731" s="690"/>
      <c r="K2731" s="1030"/>
      <c r="L2731" s="690"/>
      <c r="M2731" s="1025"/>
      <c r="N2731" s="1030"/>
      <c r="O2731" s="692">
        <f t="shared" si="357"/>
        <v>0</v>
      </c>
      <c r="P2731" s="690"/>
      <c r="Q2731" s="690"/>
      <c r="R2731" s="691">
        <f t="shared" si="358"/>
        <v>0</v>
      </c>
      <c r="S2731" s="692">
        <f t="shared" si="359"/>
        <v>0</v>
      </c>
      <c r="T2731" s="693">
        <f t="shared" si="360"/>
        <v>0</v>
      </c>
      <c r="U2731" s="1035">
        <v>99495</v>
      </c>
      <c r="V2731" s="690">
        <v>91734</v>
      </c>
      <c r="W2731" s="1025"/>
      <c r="X2731" s="1030"/>
      <c r="Y2731" s="694">
        <f t="shared" si="361"/>
        <v>0</v>
      </c>
      <c r="Z2731" s="690"/>
      <c r="AA2731" s="690"/>
      <c r="AB2731" s="695">
        <f t="shared" si="362"/>
        <v>0</v>
      </c>
      <c r="AC2731" s="1035"/>
      <c r="AD2731" s="690"/>
      <c r="AE2731" s="1025"/>
      <c r="AF2731" s="1030"/>
      <c r="AG2731" s="690"/>
      <c r="AH2731" s="690"/>
      <c r="AI2731" s="696">
        <f t="shared" si="363"/>
        <v>99495</v>
      </c>
      <c r="AJ2731" s="697">
        <f t="shared" si="364"/>
        <v>91734</v>
      </c>
    </row>
    <row r="2732" spans="1:36" s="700" customFormat="1" ht="12.75" customHeight="1">
      <c r="A2732" s="866" t="s">
        <v>206</v>
      </c>
      <c r="B2732" s="866" t="s">
        <v>410</v>
      </c>
      <c r="C2732" s="860" t="s">
        <v>1541</v>
      </c>
      <c r="D2732" s="860"/>
      <c r="E2732" s="956"/>
      <c r="F2732" s="845"/>
      <c r="G2732" s="1025"/>
      <c r="H2732" s="690"/>
      <c r="I2732" s="1030"/>
      <c r="J2732" s="690"/>
      <c r="K2732" s="1030"/>
      <c r="L2732" s="690"/>
      <c r="M2732" s="1025"/>
      <c r="N2732" s="1030"/>
      <c r="O2732" s="692">
        <f t="shared" si="357"/>
        <v>0</v>
      </c>
      <c r="P2732" s="690"/>
      <c r="Q2732" s="690"/>
      <c r="R2732" s="691">
        <f t="shared" si="358"/>
        <v>0</v>
      </c>
      <c r="S2732" s="692">
        <f t="shared" si="359"/>
        <v>0</v>
      </c>
      <c r="T2732" s="693">
        <f t="shared" si="360"/>
        <v>0</v>
      </c>
      <c r="U2732" s="1035">
        <v>260000</v>
      </c>
      <c r="V2732" s="690">
        <v>260000</v>
      </c>
      <c r="W2732" s="1025"/>
      <c r="X2732" s="1030"/>
      <c r="Y2732" s="694">
        <f t="shared" si="361"/>
        <v>0</v>
      </c>
      <c r="Z2732" s="690"/>
      <c r="AA2732" s="690"/>
      <c r="AB2732" s="695">
        <f t="shared" si="362"/>
        <v>0</v>
      </c>
      <c r="AC2732" s="1035"/>
      <c r="AD2732" s="690"/>
      <c r="AE2732" s="1025"/>
      <c r="AF2732" s="1030"/>
      <c r="AG2732" s="690"/>
      <c r="AH2732" s="690"/>
      <c r="AI2732" s="696">
        <f t="shared" si="363"/>
        <v>260000</v>
      </c>
      <c r="AJ2732" s="697">
        <f t="shared" si="364"/>
        <v>260000</v>
      </c>
    </row>
    <row r="2733" spans="1:36" s="700" customFormat="1" ht="12.75" customHeight="1">
      <c r="A2733" s="866" t="s">
        <v>206</v>
      </c>
      <c r="B2733" s="866" t="s">
        <v>411</v>
      </c>
      <c r="C2733" s="859" t="s">
        <v>199</v>
      </c>
      <c r="D2733" s="859"/>
      <c r="E2733" s="844"/>
      <c r="F2733" s="845"/>
      <c r="G2733" s="1025"/>
      <c r="H2733" s="690"/>
      <c r="I2733" s="1030"/>
      <c r="J2733" s="690"/>
      <c r="K2733" s="1030"/>
      <c r="L2733" s="690"/>
      <c r="M2733" s="1025"/>
      <c r="N2733" s="1030"/>
      <c r="O2733" s="692">
        <f t="shared" si="357"/>
        <v>0</v>
      </c>
      <c r="P2733" s="690"/>
      <c r="Q2733" s="690"/>
      <c r="R2733" s="691">
        <f t="shared" si="358"/>
        <v>0</v>
      </c>
      <c r="S2733" s="692">
        <f t="shared" si="359"/>
        <v>0</v>
      </c>
      <c r="T2733" s="693">
        <f t="shared" si="360"/>
        <v>0</v>
      </c>
      <c r="U2733" s="1035"/>
      <c r="V2733" s="690"/>
      <c r="W2733" s="1025"/>
      <c r="X2733" s="1030"/>
      <c r="Y2733" s="694">
        <f t="shared" si="361"/>
        <v>0</v>
      </c>
      <c r="Z2733" s="690"/>
      <c r="AA2733" s="690"/>
      <c r="AB2733" s="695">
        <f t="shared" si="362"/>
        <v>0</v>
      </c>
      <c r="AC2733" s="1035"/>
      <c r="AD2733" s="690"/>
      <c r="AE2733" s="1025"/>
      <c r="AF2733" s="1030"/>
      <c r="AG2733" s="690"/>
      <c r="AH2733" s="690"/>
      <c r="AI2733" s="696">
        <f t="shared" si="363"/>
        <v>0</v>
      </c>
      <c r="AJ2733" s="697">
        <f t="shared" si="364"/>
        <v>0</v>
      </c>
    </row>
    <row r="2734" spans="1:36" s="700" customFormat="1" ht="12.75" customHeight="1">
      <c r="A2734" s="866" t="s">
        <v>206</v>
      </c>
      <c r="B2734" s="866" t="s">
        <v>411</v>
      </c>
      <c r="C2734" s="860" t="s">
        <v>1542</v>
      </c>
      <c r="D2734" s="860"/>
      <c r="E2734" s="844"/>
      <c r="F2734" s="845"/>
      <c r="G2734" s="1025"/>
      <c r="H2734" s="690"/>
      <c r="I2734" s="1030"/>
      <c r="J2734" s="690"/>
      <c r="K2734" s="1030"/>
      <c r="L2734" s="690"/>
      <c r="M2734" s="1025"/>
      <c r="N2734" s="1030"/>
      <c r="O2734" s="692">
        <f t="shared" si="357"/>
        <v>0</v>
      </c>
      <c r="P2734" s="690"/>
      <c r="Q2734" s="690"/>
      <c r="R2734" s="691">
        <f t="shared" si="358"/>
        <v>0</v>
      </c>
      <c r="S2734" s="692">
        <f t="shared" si="359"/>
        <v>0</v>
      </c>
      <c r="T2734" s="693">
        <f t="shared" si="360"/>
        <v>0</v>
      </c>
      <c r="U2734" s="1035">
        <v>3167588</v>
      </c>
      <c r="V2734" s="818">
        <v>2817303</v>
      </c>
      <c r="W2734" s="1025"/>
      <c r="X2734" s="1030"/>
      <c r="Y2734" s="694">
        <f t="shared" si="361"/>
        <v>0</v>
      </c>
      <c r="Z2734" s="690"/>
      <c r="AA2734" s="690"/>
      <c r="AB2734" s="695">
        <f t="shared" si="362"/>
        <v>0</v>
      </c>
      <c r="AC2734" s="1035"/>
      <c r="AD2734" s="690"/>
      <c r="AE2734" s="1025"/>
      <c r="AF2734" s="1030"/>
      <c r="AG2734" s="690"/>
      <c r="AH2734" s="690"/>
      <c r="AI2734" s="696">
        <f t="shared" si="363"/>
        <v>3167588</v>
      </c>
      <c r="AJ2734" s="697">
        <f t="shared" si="364"/>
        <v>2817303</v>
      </c>
    </row>
    <row r="2735" spans="1:36" s="700" customFormat="1" ht="12.75" customHeight="1">
      <c r="A2735" s="866" t="s">
        <v>206</v>
      </c>
      <c r="B2735" s="866" t="s">
        <v>411</v>
      </c>
      <c r="C2735" s="860" t="s">
        <v>1543</v>
      </c>
      <c r="D2735" s="860"/>
      <c r="E2735" s="844"/>
      <c r="F2735" s="845"/>
      <c r="G2735" s="1025"/>
      <c r="H2735" s="690"/>
      <c r="I2735" s="1030"/>
      <c r="J2735" s="690"/>
      <c r="K2735" s="1030"/>
      <c r="L2735" s="690"/>
      <c r="M2735" s="1025"/>
      <c r="N2735" s="1030"/>
      <c r="O2735" s="692">
        <f t="shared" si="357"/>
        <v>0</v>
      </c>
      <c r="P2735" s="690"/>
      <c r="Q2735" s="690"/>
      <c r="R2735" s="691">
        <f t="shared" si="358"/>
        <v>0</v>
      </c>
      <c r="S2735" s="692">
        <f t="shared" si="359"/>
        <v>0</v>
      </c>
      <c r="T2735" s="693">
        <f t="shared" si="360"/>
        <v>0</v>
      </c>
      <c r="U2735" s="1035">
        <v>723015</v>
      </c>
      <c r="V2735" s="818">
        <v>806432</v>
      </c>
      <c r="W2735" s="1025"/>
      <c r="X2735" s="1030"/>
      <c r="Y2735" s="694">
        <f t="shared" si="361"/>
        <v>0</v>
      </c>
      <c r="Z2735" s="690"/>
      <c r="AA2735" s="690"/>
      <c r="AB2735" s="695">
        <f t="shared" si="362"/>
        <v>0</v>
      </c>
      <c r="AC2735" s="1035"/>
      <c r="AD2735" s="690"/>
      <c r="AE2735" s="1025"/>
      <c r="AF2735" s="1030"/>
      <c r="AG2735" s="690"/>
      <c r="AH2735" s="690"/>
      <c r="AI2735" s="696">
        <f t="shared" si="363"/>
        <v>723015</v>
      </c>
      <c r="AJ2735" s="697">
        <f t="shared" si="364"/>
        <v>806432</v>
      </c>
    </row>
    <row r="2736" spans="1:36" s="700" customFormat="1" ht="12.75" customHeight="1">
      <c r="A2736" s="866" t="s">
        <v>206</v>
      </c>
      <c r="B2736" s="866" t="s">
        <v>411</v>
      </c>
      <c r="C2736" s="860" t="s">
        <v>1544</v>
      </c>
      <c r="D2736" s="860"/>
      <c r="E2736" s="844"/>
      <c r="F2736" s="845"/>
      <c r="G2736" s="1025"/>
      <c r="H2736" s="690"/>
      <c r="I2736" s="1030"/>
      <c r="J2736" s="690"/>
      <c r="K2736" s="1030"/>
      <c r="L2736" s="690"/>
      <c r="M2736" s="1025"/>
      <c r="N2736" s="1030"/>
      <c r="O2736" s="692">
        <f t="shared" si="357"/>
        <v>0</v>
      </c>
      <c r="P2736" s="690"/>
      <c r="Q2736" s="690"/>
      <c r="R2736" s="691">
        <f t="shared" si="358"/>
        <v>0</v>
      </c>
      <c r="S2736" s="692">
        <f t="shared" si="359"/>
        <v>0</v>
      </c>
      <c r="T2736" s="693">
        <f t="shared" si="360"/>
        <v>0</v>
      </c>
      <c r="U2736" s="1035">
        <v>1181370</v>
      </c>
      <c r="V2736" s="818">
        <v>813646</v>
      </c>
      <c r="W2736" s="1025"/>
      <c r="X2736" s="1030"/>
      <c r="Y2736" s="694">
        <f t="shared" si="361"/>
        <v>0</v>
      </c>
      <c r="Z2736" s="690"/>
      <c r="AA2736" s="690"/>
      <c r="AB2736" s="695">
        <f t="shared" si="362"/>
        <v>0</v>
      </c>
      <c r="AC2736" s="1035"/>
      <c r="AD2736" s="690"/>
      <c r="AE2736" s="1025"/>
      <c r="AF2736" s="1030"/>
      <c r="AG2736" s="690"/>
      <c r="AH2736" s="690"/>
      <c r="AI2736" s="696">
        <f t="shared" si="363"/>
        <v>1181370</v>
      </c>
      <c r="AJ2736" s="697">
        <f t="shared" si="364"/>
        <v>813646</v>
      </c>
    </row>
    <row r="2737" spans="1:36" s="700" customFormat="1" ht="12.75" customHeight="1">
      <c r="A2737" s="866" t="s">
        <v>206</v>
      </c>
      <c r="B2737" s="866" t="s">
        <v>411</v>
      </c>
      <c r="C2737" s="860" t="s">
        <v>1545</v>
      </c>
      <c r="D2737" s="860"/>
      <c r="E2737" s="844"/>
      <c r="F2737" s="845"/>
      <c r="G2737" s="1025"/>
      <c r="H2737" s="690"/>
      <c r="I2737" s="1030"/>
      <c r="J2737" s="690"/>
      <c r="K2737" s="1030"/>
      <c r="L2737" s="690"/>
      <c r="M2737" s="1025"/>
      <c r="N2737" s="1030"/>
      <c r="O2737" s="692">
        <f t="shared" si="357"/>
        <v>0</v>
      </c>
      <c r="P2737" s="690"/>
      <c r="Q2737" s="690"/>
      <c r="R2737" s="691">
        <f t="shared" si="358"/>
        <v>0</v>
      </c>
      <c r="S2737" s="692">
        <f t="shared" si="359"/>
        <v>0</v>
      </c>
      <c r="T2737" s="693">
        <f t="shared" si="360"/>
        <v>0</v>
      </c>
      <c r="U2737" s="1035">
        <v>20571</v>
      </c>
      <c r="V2737" s="690">
        <v>20571</v>
      </c>
      <c r="W2737" s="1025"/>
      <c r="X2737" s="1030"/>
      <c r="Y2737" s="694">
        <f t="shared" si="361"/>
        <v>0</v>
      </c>
      <c r="Z2737" s="690"/>
      <c r="AA2737" s="690"/>
      <c r="AB2737" s="695">
        <f t="shared" si="362"/>
        <v>0</v>
      </c>
      <c r="AC2737" s="1035"/>
      <c r="AD2737" s="690"/>
      <c r="AE2737" s="1025"/>
      <c r="AF2737" s="1030"/>
      <c r="AG2737" s="690"/>
      <c r="AH2737" s="690"/>
      <c r="AI2737" s="696">
        <f t="shared" si="363"/>
        <v>20571</v>
      </c>
      <c r="AJ2737" s="697">
        <f t="shared" si="364"/>
        <v>20571</v>
      </c>
    </row>
    <row r="2738" spans="1:36" s="700" customFormat="1" ht="12.75" customHeight="1">
      <c r="A2738" s="866" t="s">
        <v>206</v>
      </c>
      <c r="B2738" s="866" t="s">
        <v>411</v>
      </c>
      <c r="C2738" s="860" t="s">
        <v>1546</v>
      </c>
      <c r="D2738" s="860"/>
      <c r="E2738" s="956"/>
      <c r="F2738" s="845"/>
      <c r="G2738" s="1025"/>
      <c r="H2738" s="690"/>
      <c r="I2738" s="1030"/>
      <c r="J2738" s="690"/>
      <c r="K2738" s="1030"/>
      <c r="L2738" s="690"/>
      <c r="M2738" s="1025"/>
      <c r="N2738" s="1030"/>
      <c r="O2738" s="692">
        <f t="shared" si="357"/>
        <v>0</v>
      </c>
      <c r="P2738" s="690"/>
      <c r="Q2738" s="690"/>
      <c r="R2738" s="691">
        <f t="shared" si="358"/>
        <v>0</v>
      </c>
      <c r="S2738" s="692">
        <f t="shared" si="359"/>
        <v>0</v>
      </c>
      <c r="T2738" s="693">
        <f t="shared" si="360"/>
        <v>0</v>
      </c>
      <c r="U2738" s="1035">
        <v>4086634</v>
      </c>
      <c r="V2738" s="690">
        <v>2354584</v>
      </c>
      <c r="W2738" s="1025"/>
      <c r="X2738" s="1030"/>
      <c r="Y2738" s="694">
        <f t="shared" si="361"/>
        <v>0</v>
      </c>
      <c r="Z2738" s="690"/>
      <c r="AA2738" s="690"/>
      <c r="AB2738" s="695">
        <f t="shared" si="362"/>
        <v>0</v>
      </c>
      <c r="AC2738" s="1035"/>
      <c r="AD2738" s="690"/>
      <c r="AE2738" s="1025"/>
      <c r="AF2738" s="1030"/>
      <c r="AG2738" s="690"/>
      <c r="AH2738" s="690"/>
      <c r="AI2738" s="696">
        <f t="shared" si="363"/>
        <v>4086634</v>
      </c>
      <c r="AJ2738" s="697">
        <f t="shared" si="364"/>
        <v>2354584</v>
      </c>
    </row>
    <row r="2739" spans="1:36" s="700" customFormat="1" ht="12.75" customHeight="1">
      <c r="A2739" s="866" t="s">
        <v>206</v>
      </c>
      <c r="B2739" s="866" t="s">
        <v>412</v>
      </c>
      <c r="C2739" s="1158" t="s">
        <v>2016</v>
      </c>
      <c r="D2739" s="860"/>
      <c r="E2739" s="956"/>
      <c r="F2739" s="845"/>
      <c r="G2739" s="1025"/>
      <c r="H2739" s="690"/>
      <c r="I2739" s="1030"/>
      <c r="J2739" s="690"/>
      <c r="K2739" s="1030"/>
      <c r="L2739" s="690"/>
      <c r="M2739" s="1025"/>
      <c r="N2739" s="1030"/>
      <c r="O2739" s="692"/>
      <c r="P2739" s="690"/>
      <c r="Q2739" s="690"/>
      <c r="R2739" s="691"/>
      <c r="S2739" s="692"/>
      <c r="T2739" s="693"/>
      <c r="U2739" s="1035"/>
      <c r="V2739" s="818">
        <v>1023916</v>
      </c>
      <c r="W2739" s="1025"/>
      <c r="X2739" s="1030"/>
      <c r="Y2739" s="694"/>
      <c r="Z2739" s="690"/>
      <c r="AA2739" s="690"/>
      <c r="AB2739" s="695"/>
      <c r="AC2739" s="1035"/>
      <c r="AD2739" s="690"/>
      <c r="AE2739" s="1025"/>
      <c r="AF2739" s="1030"/>
      <c r="AG2739" s="690"/>
      <c r="AH2739" s="690"/>
      <c r="AI2739" s="696"/>
      <c r="AJ2739" s="697"/>
    </row>
    <row r="2740" spans="1:36" s="700" customFormat="1" ht="12.75" customHeight="1">
      <c r="A2740" s="866" t="s">
        <v>206</v>
      </c>
      <c r="B2740" s="866" t="s">
        <v>411</v>
      </c>
      <c r="C2740" s="860" t="s">
        <v>1547</v>
      </c>
      <c r="D2740" s="860"/>
      <c r="E2740" s="956"/>
      <c r="F2740" s="845"/>
      <c r="G2740" s="1025"/>
      <c r="H2740" s="690"/>
      <c r="I2740" s="1030"/>
      <c r="J2740" s="690"/>
      <c r="K2740" s="1030"/>
      <c r="L2740" s="690"/>
      <c r="M2740" s="1025"/>
      <c r="N2740" s="1030"/>
      <c r="O2740" s="692">
        <f t="shared" si="357"/>
        <v>0</v>
      </c>
      <c r="P2740" s="690"/>
      <c r="Q2740" s="690"/>
      <c r="R2740" s="691">
        <f t="shared" si="358"/>
        <v>0</v>
      </c>
      <c r="S2740" s="692">
        <f t="shared" si="359"/>
        <v>0</v>
      </c>
      <c r="T2740" s="693">
        <f t="shared" si="360"/>
        <v>0</v>
      </c>
      <c r="U2740" s="1035">
        <v>2000000</v>
      </c>
      <c r="V2740" s="690">
        <v>7000000</v>
      </c>
      <c r="W2740" s="1025"/>
      <c r="X2740" s="1030"/>
      <c r="Y2740" s="694">
        <f t="shared" si="361"/>
        <v>0</v>
      </c>
      <c r="Z2740" s="690"/>
      <c r="AA2740" s="690"/>
      <c r="AB2740" s="695">
        <f t="shared" si="362"/>
        <v>0</v>
      </c>
      <c r="AC2740" s="1035"/>
      <c r="AD2740" s="690"/>
      <c r="AE2740" s="1025"/>
      <c r="AF2740" s="1030"/>
      <c r="AG2740" s="690"/>
      <c r="AH2740" s="690"/>
      <c r="AI2740" s="696">
        <f t="shared" si="363"/>
        <v>2000000</v>
      </c>
      <c r="AJ2740" s="697">
        <f t="shared" si="364"/>
        <v>7000000</v>
      </c>
    </row>
    <row r="2741" spans="1:36" s="700" customFormat="1" ht="12.75" customHeight="1">
      <c r="A2741" s="866" t="s">
        <v>206</v>
      </c>
      <c r="B2741" s="866" t="s">
        <v>412</v>
      </c>
      <c r="C2741" s="1158" t="s">
        <v>2017</v>
      </c>
      <c r="D2741" s="860"/>
      <c r="E2741" s="956"/>
      <c r="F2741" s="845"/>
      <c r="G2741" s="1025"/>
      <c r="H2741" s="690"/>
      <c r="I2741" s="1030"/>
      <c r="J2741" s="690"/>
      <c r="K2741" s="1030"/>
      <c r="L2741" s="690"/>
      <c r="M2741" s="1025"/>
      <c r="N2741" s="1030"/>
      <c r="O2741" s="692"/>
      <c r="P2741" s="690"/>
      <c r="Q2741" s="690"/>
      <c r="R2741" s="691"/>
      <c r="S2741" s="692"/>
      <c r="T2741" s="693"/>
      <c r="U2741" s="1035"/>
      <c r="V2741" s="818">
        <v>1000000</v>
      </c>
      <c r="W2741" s="1025"/>
      <c r="X2741" s="1030"/>
      <c r="Y2741" s="694"/>
      <c r="Z2741" s="690"/>
      <c r="AA2741" s="690"/>
      <c r="AB2741" s="695"/>
      <c r="AC2741" s="1035"/>
      <c r="AD2741" s="690"/>
      <c r="AE2741" s="1025"/>
      <c r="AF2741" s="1030"/>
      <c r="AG2741" s="690"/>
      <c r="AH2741" s="690"/>
      <c r="AI2741" s="696"/>
      <c r="AJ2741" s="697"/>
    </row>
    <row r="2742" spans="1:36" s="700" customFormat="1" ht="12.75" customHeight="1">
      <c r="A2742" s="866" t="s">
        <v>206</v>
      </c>
      <c r="B2742" s="866" t="s">
        <v>411</v>
      </c>
      <c r="C2742" s="860" t="s">
        <v>1548</v>
      </c>
      <c r="D2742" s="860"/>
      <c r="E2742" s="956"/>
      <c r="F2742" s="845"/>
      <c r="G2742" s="1025"/>
      <c r="H2742" s="690"/>
      <c r="I2742" s="1030"/>
      <c r="J2742" s="690"/>
      <c r="K2742" s="1030"/>
      <c r="L2742" s="690"/>
      <c r="M2742" s="1025"/>
      <c r="N2742" s="1030"/>
      <c r="O2742" s="692">
        <f t="shared" si="357"/>
        <v>0</v>
      </c>
      <c r="P2742" s="690"/>
      <c r="Q2742" s="690"/>
      <c r="R2742" s="691">
        <f t="shared" si="358"/>
        <v>0</v>
      </c>
      <c r="S2742" s="692">
        <f t="shared" si="359"/>
        <v>0</v>
      </c>
      <c r="T2742" s="693">
        <f t="shared" si="360"/>
        <v>0</v>
      </c>
      <c r="U2742" s="1035"/>
      <c r="V2742" s="818">
        <v>0</v>
      </c>
      <c r="W2742" s="1025"/>
      <c r="X2742" s="1030"/>
      <c r="Y2742" s="694">
        <f t="shared" si="361"/>
        <v>0</v>
      </c>
      <c r="Z2742" s="690"/>
      <c r="AA2742" s="690"/>
      <c r="AB2742" s="695">
        <f t="shared" si="362"/>
        <v>0</v>
      </c>
      <c r="AC2742" s="1035"/>
      <c r="AD2742" s="690"/>
      <c r="AE2742" s="1025"/>
      <c r="AF2742" s="1030"/>
      <c r="AG2742" s="690"/>
      <c r="AH2742" s="690"/>
      <c r="AI2742" s="696">
        <f t="shared" si="363"/>
        <v>0</v>
      </c>
      <c r="AJ2742" s="697">
        <f t="shared" si="364"/>
        <v>0</v>
      </c>
    </row>
    <row r="2743" spans="1:36" s="700" customFormat="1" ht="12.75" customHeight="1">
      <c r="A2743" s="866" t="s">
        <v>206</v>
      </c>
      <c r="B2743" s="866" t="s">
        <v>412</v>
      </c>
      <c r="C2743" s="859" t="s">
        <v>198</v>
      </c>
      <c r="D2743" s="859"/>
      <c r="E2743" s="844"/>
      <c r="F2743" s="845"/>
      <c r="G2743" s="1025"/>
      <c r="H2743" s="690"/>
      <c r="I2743" s="1030"/>
      <c r="J2743" s="690"/>
      <c r="K2743" s="1030"/>
      <c r="L2743" s="690"/>
      <c r="M2743" s="1025"/>
      <c r="N2743" s="1030"/>
      <c r="O2743" s="692">
        <f t="shared" si="357"/>
        <v>0</v>
      </c>
      <c r="P2743" s="690"/>
      <c r="Q2743" s="690"/>
      <c r="R2743" s="691">
        <f t="shared" si="358"/>
        <v>0</v>
      </c>
      <c r="S2743" s="692">
        <f t="shared" si="359"/>
        <v>0</v>
      </c>
      <c r="T2743" s="693">
        <f t="shared" si="360"/>
        <v>0</v>
      </c>
      <c r="U2743" s="1035"/>
      <c r="V2743" s="690"/>
      <c r="W2743" s="1025"/>
      <c r="X2743" s="1030"/>
      <c r="Y2743" s="694">
        <f t="shared" si="361"/>
        <v>0</v>
      </c>
      <c r="Z2743" s="690"/>
      <c r="AA2743" s="690"/>
      <c r="AB2743" s="695">
        <f t="shared" si="362"/>
        <v>0</v>
      </c>
      <c r="AC2743" s="1035"/>
      <c r="AD2743" s="690"/>
      <c r="AE2743" s="1025"/>
      <c r="AF2743" s="1030"/>
      <c r="AG2743" s="690"/>
      <c r="AH2743" s="690"/>
      <c r="AI2743" s="696">
        <f t="shared" si="363"/>
        <v>0</v>
      </c>
      <c r="AJ2743" s="697">
        <f t="shared" si="364"/>
        <v>0</v>
      </c>
    </row>
    <row r="2744" spans="1:36" s="700" customFormat="1" ht="12.75" customHeight="1">
      <c r="A2744" s="866" t="s">
        <v>206</v>
      </c>
      <c r="B2744" s="866" t="s">
        <v>412</v>
      </c>
      <c r="C2744" s="860" t="s">
        <v>684</v>
      </c>
      <c r="D2744" s="860"/>
      <c r="E2744" s="844"/>
      <c r="F2744" s="845"/>
      <c r="G2744" s="1025"/>
      <c r="H2744" s="690"/>
      <c r="I2744" s="1030"/>
      <c r="J2744" s="690"/>
      <c r="K2744" s="1030"/>
      <c r="L2744" s="690"/>
      <c r="M2744" s="1025"/>
      <c r="N2744" s="1030"/>
      <c r="O2744" s="692">
        <f t="shared" si="357"/>
        <v>0</v>
      </c>
      <c r="P2744" s="690"/>
      <c r="Q2744" s="690"/>
      <c r="R2744" s="691">
        <f t="shared" si="358"/>
        <v>0</v>
      </c>
      <c r="S2744" s="692">
        <f t="shared" si="359"/>
        <v>0</v>
      </c>
      <c r="T2744" s="693">
        <f t="shared" si="360"/>
        <v>0</v>
      </c>
      <c r="U2744" s="1035">
        <v>193092</v>
      </c>
      <c r="V2744" s="690">
        <v>193550</v>
      </c>
      <c r="W2744" s="1025"/>
      <c r="X2744" s="1030"/>
      <c r="Y2744" s="694">
        <f t="shared" si="361"/>
        <v>0</v>
      </c>
      <c r="Z2744" s="690"/>
      <c r="AA2744" s="690"/>
      <c r="AB2744" s="695">
        <f t="shared" si="362"/>
        <v>0</v>
      </c>
      <c r="AC2744" s="1035"/>
      <c r="AD2744" s="690"/>
      <c r="AE2744" s="1025"/>
      <c r="AF2744" s="1030"/>
      <c r="AG2744" s="690"/>
      <c r="AH2744" s="690"/>
      <c r="AI2744" s="696">
        <f t="shared" si="363"/>
        <v>193092</v>
      </c>
      <c r="AJ2744" s="697">
        <f t="shared" si="364"/>
        <v>193550</v>
      </c>
    </row>
    <row r="2745" spans="1:36" s="700" customFormat="1" ht="12.75" customHeight="1">
      <c r="A2745" s="866" t="s">
        <v>206</v>
      </c>
      <c r="B2745" s="866" t="s">
        <v>413</v>
      </c>
      <c r="C2745" s="859" t="s">
        <v>632</v>
      </c>
      <c r="D2745" s="859"/>
      <c r="E2745" s="844"/>
      <c r="F2745" s="845"/>
      <c r="G2745" s="1025"/>
      <c r="H2745" s="690"/>
      <c r="I2745" s="1030"/>
      <c r="J2745" s="690"/>
      <c r="K2745" s="1030"/>
      <c r="L2745" s="690"/>
      <c r="M2745" s="1025"/>
      <c r="N2745" s="1030"/>
      <c r="O2745" s="692">
        <f t="shared" si="357"/>
        <v>0</v>
      </c>
      <c r="P2745" s="690"/>
      <c r="Q2745" s="690"/>
      <c r="R2745" s="691">
        <f t="shared" si="358"/>
        <v>0</v>
      </c>
      <c r="S2745" s="692">
        <f t="shared" si="359"/>
        <v>0</v>
      </c>
      <c r="T2745" s="693">
        <f t="shared" si="360"/>
        <v>0</v>
      </c>
      <c r="U2745" s="1035"/>
      <c r="V2745" s="690"/>
      <c r="W2745" s="1025"/>
      <c r="X2745" s="1030"/>
      <c r="Y2745" s="694">
        <f t="shared" si="361"/>
        <v>0</v>
      </c>
      <c r="Z2745" s="690"/>
      <c r="AA2745" s="690"/>
      <c r="AB2745" s="695">
        <f t="shared" si="362"/>
        <v>0</v>
      </c>
      <c r="AC2745" s="1035"/>
      <c r="AD2745" s="690"/>
      <c r="AE2745" s="1025"/>
      <c r="AF2745" s="1030"/>
      <c r="AG2745" s="690"/>
      <c r="AH2745" s="690"/>
      <c r="AI2745" s="696">
        <f t="shared" si="363"/>
        <v>0</v>
      </c>
      <c r="AJ2745" s="697">
        <f t="shared" si="364"/>
        <v>0</v>
      </c>
    </row>
    <row r="2746" spans="1:36" s="700" customFormat="1" ht="12.75" customHeight="1">
      <c r="A2746" s="866" t="s">
        <v>206</v>
      </c>
      <c r="B2746" s="866" t="s">
        <v>414</v>
      </c>
      <c r="C2746" s="960" t="s">
        <v>160</v>
      </c>
      <c r="D2746" s="960"/>
      <c r="E2746" s="844"/>
      <c r="F2746" s="845"/>
      <c r="G2746" s="1025"/>
      <c r="H2746" s="690"/>
      <c r="I2746" s="1030"/>
      <c r="J2746" s="690"/>
      <c r="K2746" s="1030"/>
      <c r="L2746" s="690"/>
      <c r="M2746" s="1025"/>
      <c r="N2746" s="1030"/>
      <c r="O2746" s="692">
        <f t="shared" si="357"/>
        <v>0</v>
      </c>
      <c r="P2746" s="690"/>
      <c r="Q2746" s="690"/>
      <c r="R2746" s="691">
        <f t="shared" si="358"/>
        <v>0</v>
      </c>
      <c r="S2746" s="692">
        <f t="shared" si="359"/>
        <v>0</v>
      </c>
      <c r="T2746" s="693">
        <f t="shared" si="360"/>
        <v>0</v>
      </c>
      <c r="U2746" s="1035"/>
      <c r="V2746" s="690"/>
      <c r="W2746" s="1025"/>
      <c r="X2746" s="1030"/>
      <c r="Y2746" s="694">
        <f t="shared" si="361"/>
        <v>0</v>
      </c>
      <c r="Z2746" s="690"/>
      <c r="AA2746" s="690"/>
      <c r="AB2746" s="695">
        <f t="shared" si="362"/>
        <v>0</v>
      </c>
      <c r="AC2746" s="1035"/>
      <c r="AD2746" s="690"/>
      <c r="AE2746" s="1025"/>
      <c r="AF2746" s="1030"/>
      <c r="AG2746" s="690"/>
      <c r="AH2746" s="690"/>
      <c r="AI2746" s="696">
        <f t="shared" si="363"/>
        <v>0</v>
      </c>
      <c r="AJ2746" s="697">
        <f t="shared" si="364"/>
        <v>0</v>
      </c>
    </row>
    <row r="2747" spans="1:36" s="700" customFormat="1" ht="12.75" customHeight="1">
      <c r="A2747" s="866" t="s">
        <v>206</v>
      </c>
      <c r="B2747" s="866" t="s">
        <v>414</v>
      </c>
      <c r="C2747" s="860" t="s">
        <v>1549</v>
      </c>
      <c r="D2747" s="860"/>
      <c r="E2747" s="868"/>
      <c r="F2747" s="869"/>
      <c r="G2747" s="1025"/>
      <c r="H2747" s="690"/>
      <c r="I2747" s="1030"/>
      <c r="J2747" s="690"/>
      <c r="K2747" s="1030"/>
      <c r="L2747" s="690"/>
      <c r="M2747" s="1025"/>
      <c r="N2747" s="1030"/>
      <c r="O2747" s="692">
        <f t="shared" si="357"/>
        <v>0</v>
      </c>
      <c r="P2747" s="690"/>
      <c r="Q2747" s="690"/>
      <c r="R2747" s="691">
        <f t="shared" si="358"/>
        <v>0</v>
      </c>
      <c r="S2747" s="692">
        <f t="shared" si="359"/>
        <v>0</v>
      </c>
      <c r="T2747" s="693">
        <f t="shared" si="360"/>
        <v>0</v>
      </c>
      <c r="U2747" s="1035">
        <v>4112500</v>
      </c>
      <c r="V2747" s="690">
        <v>3000000</v>
      </c>
      <c r="W2747" s="1025"/>
      <c r="X2747" s="1030"/>
      <c r="Y2747" s="694">
        <f t="shared" si="361"/>
        <v>0</v>
      </c>
      <c r="Z2747" s="690"/>
      <c r="AA2747" s="690"/>
      <c r="AB2747" s="695">
        <f t="shared" si="362"/>
        <v>0</v>
      </c>
      <c r="AC2747" s="1035"/>
      <c r="AD2747" s="690"/>
      <c r="AE2747" s="1025"/>
      <c r="AF2747" s="1030"/>
      <c r="AG2747" s="690"/>
      <c r="AH2747" s="690"/>
      <c r="AI2747" s="696">
        <f t="shared" si="363"/>
        <v>4112500</v>
      </c>
      <c r="AJ2747" s="697">
        <f t="shared" si="364"/>
        <v>3000000</v>
      </c>
    </row>
    <row r="2748" spans="1:36" s="700" customFormat="1" ht="12.75" customHeight="1">
      <c r="A2748" s="866" t="s">
        <v>206</v>
      </c>
      <c r="B2748" s="866" t="s">
        <v>415</v>
      </c>
      <c r="C2748" s="960" t="s">
        <v>165</v>
      </c>
      <c r="D2748" s="960"/>
      <c r="E2748" s="844"/>
      <c r="F2748" s="845"/>
      <c r="G2748" s="1025"/>
      <c r="H2748" s="690"/>
      <c r="I2748" s="1030"/>
      <c r="J2748" s="690"/>
      <c r="K2748" s="1030"/>
      <c r="L2748" s="690"/>
      <c r="M2748" s="1025"/>
      <c r="N2748" s="1030"/>
      <c r="O2748" s="692">
        <f t="shared" si="357"/>
        <v>0</v>
      </c>
      <c r="P2748" s="690"/>
      <c r="Q2748" s="690"/>
      <c r="R2748" s="691">
        <f t="shared" si="358"/>
        <v>0</v>
      </c>
      <c r="S2748" s="692">
        <f t="shared" si="359"/>
        <v>0</v>
      </c>
      <c r="T2748" s="693">
        <f t="shared" si="360"/>
        <v>0</v>
      </c>
      <c r="U2748" s="1035"/>
      <c r="V2748" s="690"/>
      <c r="W2748" s="1025"/>
      <c r="X2748" s="1030"/>
      <c r="Y2748" s="694">
        <f t="shared" si="361"/>
        <v>0</v>
      </c>
      <c r="Z2748" s="690"/>
      <c r="AA2748" s="690"/>
      <c r="AB2748" s="695">
        <f t="shared" si="362"/>
        <v>0</v>
      </c>
      <c r="AC2748" s="1035"/>
      <c r="AD2748" s="690"/>
      <c r="AE2748" s="1025"/>
      <c r="AF2748" s="1030"/>
      <c r="AG2748" s="690"/>
      <c r="AH2748" s="690"/>
      <c r="AI2748" s="696">
        <f t="shared" si="363"/>
        <v>0</v>
      </c>
      <c r="AJ2748" s="697">
        <f t="shared" si="364"/>
        <v>0</v>
      </c>
    </row>
    <row r="2749" spans="1:36" s="700" customFormat="1" ht="12.75" customHeight="1">
      <c r="A2749" s="866" t="s">
        <v>206</v>
      </c>
      <c r="B2749" s="866" t="s">
        <v>416</v>
      </c>
      <c r="C2749" s="859" t="s">
        <v>166</v>
      </c>
      <c r="D2749" s="859"/>
      <c r="E2749" s="844"/>
      <c r="F2749" s="845"/>
      <c r="G2749" s="1025"/>
      <c r="H2749" s="690"/>
      <c r="I2749" s="1030"/>
      <c r="J2749" s="690"/>
      <c r="K2749" s="1030"/>
      <c r="L2749" s="690"/>
      <c r="M2749" s="1025"/>
      <c r="N2749" s="1030"/>
      <c r="O2749" s="692">
        <f t="shared" si="357"/>
        <v>0</v>
      </c>
      <c r="P2749" s="690"/>
      <c r="Q2749" s="690"/>
      <c r="R2749" s="691">
        <f t="shared" si="358"/>
        <v>0</v>
      </c>
      <c r="S2749" s="692">
        <f t="shared" si="359"/>
        <v>0</v>
      </c>
      <c r="T2749" s="693">
        <f t="shared" si="360"/>
        <v>0</v>
      </c>
      <c r="U2749" s="1035"/>
      <c r="V2749" s="690"/>
      <c r="W2749" s="1025"/>
      <c r="X2749" s="1030"/>
      <c r="Y2749" s="694">
        <f t="shared" si="361"/>
        <v>0</v>
      </c>
      <c r="Z2749" s="690"/>
      <c r="AA2749" s="690"/>
      <c r="AB2749" s="695">
        <f t="shared" si="362"/>
        <v>0</v>
      </c>
      <c r="AC2749" s="1035"/>
      <c r="AD2749" s="690"/>
      <c r="AE2749" s="1025"/>
      <c r="AF2749" s="1030"/>
      <c r="AG2749" s="690"/>
      <c r="AH2749" s="690"/>
      <c r="AI2749" s="696">
        <f t="shared" si="363"/>
        <v>0</v>
      </c>
      <c r="AJ2749" s="697">
        <f t="shared" si="364"/>
        <v>0</v>
      </c>
    </row>
    <row r="2750" spans="1:36" s="700" customFormat="1" ht="12.75" customHeight="1">
      <c r="A2750" s="866" t="s">
        <v>206</v>
      </c>
      <c r="B2750" s="866" t="s">
        <v>416</v>
      </c>
      <c r="C2750" s="860" t="s">
        <v>955</v>
      </c>
      <c r="D2750" s="860"/>
      <c r="E2750" s="844"/>
      <c r="F2750" s="845"/>
      <c r="G2750" s="1025"/>
      <c r="H2750" s="690"/>
      <c r="I2750" s="1030"/>
      <c r="J2750" s="690"/>
      <c r="K2750" s="1030"/>
      <c r="L2750" s="690"/>
      <c r="M2750" s="1025"/>
      <c r="N2750" s="1030"/>
      <c r="O2750" s="692">
        <f t="shared" si="357"/>
        <v>0</v>
      </c>
      <c r="P2750" s="690"/>
      <c r="Q2750" s="690"/>
      <c r="R2750" s="691">
        <f t="shared" si="358"/>
        <v>0</v>
      </c>
      <c r="S2750" s="692">
        <f t="shared" si="359"/>
        <v>0</v>
      </c>
      <c r="T2750" s="693">
        <f t="shared" si="360"/>
        <v>0</v>
      </c>
      <c r="U2750" s="1035">
        <v>283135</v>
      </c>
      <c r="V2750" s="690">
        <v>355580</v>
      </c>
      <c r="W2750" s="1025"/>
      <c r="X2750" s="1030"/>
      <c r="Y2750" s="694">
        <f t="shared" si="361"/>
        <v>0</v>
      </c>
      <c r="Z2750" s="690"/>
      <c r="AA2750" s="690"/>
      <c r="AB2750" s="695">
        <f t="shared" si="362"/>
        <v>0</v>
      </c>
      <c r="AC2750" s="1035"/>
      <c r="AD2750" s="690"/>
      <c r="AE2750" s="1025"/>
      <c r="AF2750" s="1030"/>
      <c r="AG2750" s="690"/>
      <c r="AH2750" s="690"/>
      <c r="AI2750" s="696">
        <f t="shared" si="363"/>
        <v>283135</v>
      </c>
      <c r="AJ2750" s="697">
        <f t="shared" si="364"/>
        <v>355580</v>
      </c>
    </row>
    <row r="2751" spans="1:36" s="700" customFormat="1" ht="12.75" customHeight="1">
      <c r="A2751" s="866" t="s">
        <v>206</v>
      </c>
      <c r="B2751" s="866" t="s">
        <v>416</v>
      </c>
      <c r="C2751" s="860" t="s">
        <v>636</v>
      </c>
      <c r="D2751" s="860"/>
      <c r="E2751" s="844"/>
      <c r="F2751" s="845"/>
      <c r="G2751" s="1025"/>
      <c r="H2751" s="690"/>
      <c r="I2751" s="1030"/>
      <c r="J2751" s="690"/>
      <c r="K2751" s="1030"/>
      <c r="L2751" s="690"/>
      <c r="M2751" s="1025"/>
      <c r="N2751" s="1030"/>
      <c r="O2751" s="692">
        <f t="shared" si="357"/>
        <v>0</v>
      </c>
      <c r="P2751" s="690"/>
      <c r="Q2751" s="690"/>
      <c r="R2751" s="691">
        <f t="shared" si="358"/>
        <v>0</v>
      </c>
      <c r="S2751" s="692">
        <f t="shared" si="359"/>
        <v>0</v>
      </c>
      <c r="T2751" s="693">
        <f t="shared" si="360"/>
        <v>0</v>
      </c>
      <c r="U2751" s="1035">
        <v>150116</v>
      </c>
      <c r="V2751" s="690">
        <v>81695</v>
      </c>
      <c r="W2751" s="1025"/>
      <c r="X2751" s="1030"/>
      <c r="Y2751" s="694">
        <f t="shared" si="361"/>
        <v>0</v>
      </c>
      <c r="Z2751" s="690"/>
      <c r="AA2751" s="690"/>
      <c r="AB2751" s="695">
        <f t="shared" si="362"/>
        <v>0</v>
      </c>
      <c r="AC2751" s="1035"/>
      <c r="AD2751" s="690"/>
      <c r="AE2751" s="1025"/>
      <c r="AF2751" s="1030"/>
      <c r="AG2751" s="690"/>
      <c r="AH2751" s="690"/>
      <c r="AI2751" s="696">
        <f t="shared" si="363"/>
        <v>150116</v>
      </c>
      <c r="AJ2751" s="697">
        <f t="shared" si="364"/>
        <v>81695</v>
      </c>
    </row>
    <row r="2752" spans="1:36" s="700" customFormat="1" ht="12.75" customHeight="1">
      <c r="A2752" s="866" t="s">
        <v>206</v>
      </c>
      <c r="B2752" s="866" t="s">
        <v>417</v>
      </c>
      <c r="C2752" s="859" t="s">
        <v>168</v>
      </c>
      <c r="D2752" s="859"/>
      <c r="E2752" s="844"/>
      <c r="F2752" s="845"/>
      <c r="G2752" s="1025"/>
      <c r="H2752" s="690"/>
      <c r="I2752" s="1030"/>
      <c r="J2752" s="690"/>
      <c r="K2752" s="1030"/>
      <c r="L2752" s="690"/>
      <c r="M2752" s="1025"/>
      <c r="N2752" s="1030"/>
      <c r="O2752" s="692">
        <f t="shared" si="357"/>
        <v>0</v>
      </c>
      <c r="P2752" s="690"/>
      <c r="Q2752" s="690"/>
      <c r="R2752" s="691">
        <f t="shared" si="358"/>
        <v>0</v>
      </c>
      <c r="S2752" s="692">
        <f t="shared" si="359"/>
        <v>0</v>
      </c>
      <c r="T2752" s="693">
        <f t="shared" si="360"/>
        <v>0</v>
      </c>
      <c r="U2752" s="1035"/>
      <c r="V2752" s="690"/>
      <c r="W2752" s="1025"/>
      <c r="X2752" s="1030"/>
      <c r="Y2752" s="694">
        <f t="shared" si="361"/>
        <v>0</v>
      </c>
      <c r="Z2752" s="690"/>
      <c r="AA2752" s="690"/>
      <c r="AB2752" s="695">
        <f t="shared" si="362"/>
        <v>0</v>
      </c>
      <c r="AC2752" s="1035"/>
      <c r="AD2752" s="690"/>
      <c r="AE2752" s="1025"/>
      <c r="AF2752" s="1030"/>
      <c r="AG2752" s="690"/>
      <c r="AH2752" s="690"/>
      <c r="AI2752" s="696">
        <f t="shared" si="363"/>
        <v>0</v>
      </c>
      <c r="AJ2752" s="697">
        <f t="shared" si="364"/>
        <v>0</v>
      </c>
    </row>
    <row r="2753" spans="1:36" s="700" customFormat="1" ht="12.75" customHeight="1">
      <c r="A2753" s="866" t="s">
        <v>206</v>
      </c>
      <c r="B2753" s="866" t="s">
        <v>417</v>
      </c>
      <c r="C2753" s="860" t="s">
        <v>957</v>
      </c>
      <c r="D2753" s="860"/>
      <c r="E2753" s="844"/>
      <c r="F2753" s="845"/>
      <c r="G2753" s="1025"/>
      <c r="H2753" s="690"/>
      <c r="I2753" s="1030"/>
      <c r="J2753" s="690"/>
      <c r="K2753" s="1030"/>
      <c r="L2753" s="690"/>
      <c r="M2753" s="1025"/>
      <c r="N2753" s="1030"/>
      <c r="O2753" s="692">
        <f t="shared" si="357"/>
        <v>0</v>
      </c>
      <c r="P2753" s="690"/>
      <c r="Q2753" s="690"/>
      <c r="R2753" s="691">
        <f t="shared" si="358"/>
        <v>0</v>
      </c>
      <c r="S2753" s="692">
        <f t="shared" si="359"/>
        <v>0</v>
      </c>
      <c r="T2753" s="693">
        <f t="shared" si="360"/>
        <v>0</v>
      </c>
      <c r="U2753" s="1035">
        <v>87568</v>
      </c>
      <c r="V2753" s="690">
        <v>108927</v>
      </c>
      <c r="W2753" s="1025"/>
      <c r="X2753" s="1030"/>
      <c r="Y2753" s="694">
        <f t="shared" si="361"/>
        <v>0</v>
      </c>
      <c r="Z2753" s="690"/>
      <c r="AA2753" s="690"/>
      <c r="AB2753" s="695">
        <f t="shared" si="362"/>
        <v>0</v>
      </c>
      <c r="AC2753" s="1035"/>
      <c r="AD2753" s="690"/>
      <c r="AE2753" s="1025"/>
      <c r="AF2753" s="1030"/>
      <c r="AG2753" s="690"/>
      <c r="AH2753" s="690"/>
      <c r="AI2753" s="696">
        <f t="shared" si="363"/>
        <v>87568</v>
      </c>
      <c r="AJ2753" s="697">
        <f t="shared" si="364"/>
        <v>108927</v>
      </c>
    </row>
    <row r="2754" spans="1:36" s="700" customFormat="1" ht="12.75" customHeight="1">
      <c r="A2754" s="866" t="s">
        <v>206</v>
      </c>
      <c r="B2754" s="866" t="s">
        <v>417</v>
      </c>
      <c r="C2754" s="860" t="s">
        <v>1550</v>
      </c>
      <c r="D2754" s="860"/>
      <c r="E2754" s="844"/>
      <c r="F2754" s="845"/>
      <c r="G2754" s="1025"/>
      <c r="H2754" s="690"/>
      <c r="I2754" s="1030"/>
      <c r="J2754" s="690"/>
      <c r="K2754" s="1030"/>
      <c r="L2754" s="690"/>
      <c r="M2754" s="1025"/>
      <c r="N2754" s="1030"/>
      <c r="O2754" s="692">
        <f t="shared" si="357"/>
        <v>0</v>
      </c>
      <c r="P2754" s="690"/>
      <c r="Q2754" s="690"/>
      <c r="R2754" s="691">
        <f t="shared" si="358"/>
        <v>0</v>
      </c>
      <c r="S2754" s="692">
        <f t="shared" si="359"/>
        <v>0</v>
      </c>
      <c r="T2754" s="693">
        <f t="shared" si="360"/>
        <v>0</v>
      </c>
      <c r="U2754" s="1035">
        <v>1459233</v>
      </c>
      <c r="V2754" s="690">
        <v>1564553</v>
      </c>
      <c r="W2754" s="1025"/>
      <c r="X2754" s="1030"/>
      <c r="Y2754" s="694">
        <f t="shared" si="361"/>
        <v>0</v>
      </c>
      <c r="Z2754" s="690"/>
      <c r="AA2754" s="690"/>
      <c r="AB2754" s="695">
        <f t="shared" si="362"/>
        <v>0</v>
      </c>
      <c r="AC2754" s="1035"/>
      <c r="AD2754" s="690"/>
      <c r="AE2754" s="1025"/>
      <c r="AF2754" s="1030"/>
      <c r="AG2754" s="690"/>
      <c r="AH2754" s="690"/>
      <c r="AI2754" s="696">
        <f t="shared" si="363"/>
        <v>1459233</v>
      </c>
      <c r="AJ2754" s="697">
        <f t="shared" si="364"/>
        <v>1564553</v>
      </c>
    </row>
    <row r="2755" spans="1:36" s="700" customFormat="1" ht="12.75" customHeight="1">
      <c r="A2755" s="866" t="s">
        <v>206</v>
      </c>
      <c r="B2755" s="866" t="s">
        <v>417</v>
      </c>
      <c r="C2755" s="860" t="s">
        <v>640</v>
      </c>
      <c r="D2755" s="860"/>
      <c r="E2755" s="844"/>
      <c r="F2755" s="845"/>
      <c r="G2755" s="1025"/>
      <c r="H2755" s="690"/>
      <c r="I2755" s="1030"/>
      <c r="J2755" s="690"/>
      <c r="K2755" s="1030"/>
      <c r="L2755" s="690"/>
      <c r="M2755" s="1025"/>
      <c r="N2755" s="1030"/>
      <c r="O2755" s="692">
        <f t="shared" si="357"/>
        <v>0</v>
      </c>
      <c r="P2755" s="690"/>
      <c r="Q2755" s="690"/>
      <c r="R2755" s="691">
        <f t="shared" si="358"/>
        <v>0</v>
      </c>
      <c r="S2755" s="692">
        <f t="shared" si="359"/>
        <v>0</v>
      </c>
      <c r="T2755" s="693">
        <f t="shared" si="360"/>
        <v>0</v>
      </c>
      <c r="U2755" s="1035">
        <v>435592</v>
      </c>
      <c r="V2755" s="690">
        <v>474107</v>
      </c>
      <c r="W2755" s="1025"/>
      <c r="X2755" s="1030"/>
      <c r="Y2755" s="694">
        <f t="shared" si="361"/>
        <v>0</v>
      </c>
      <c r="Z2755" s="690"/>
      <c r="AA2755" s="690"/>
      <c r="AB2755" s="695">
        <f t="shared" si="362"/>
        <v>0</v>
      </c>
      <c r="AC2755" s="1035"/>
      <c r="AD2755" s="690"/>
      <c r="AE2755" s="1025"/>
      <c r="AF2755" s="1030"/>
      <c r="AG2755" s="690"/>
      <c r="AH2755" s="690"/>
      <c r="AI2755" s="696">
        <f t="shared" si="363"/>
        <v>435592</v>
      </c>
      <c r="AJ2755" s="697">
        <f t="shared" si="364"/>
        <v>474107</v>
      </c>
    </row>
    <row r="2756" spans="1:36" s="700" customFormat="1" ht="12.75" customHeight="1">
      <c r="A2756" s="866" t="s">
        <v>206</v>
      </c>
      <c r="B2756" s="866" t="s">
        <v>418</v>
      </c>
      <c r="C2756" s="859" t="s">
        <v>197</v>
      </c>
      <c r="D2756" s="859"/>
      <c r="E2756" s="844"/>
      <c r="F2756" s="845"/>
      <c r="G2756" s="1025"/>
      <c r="H2756" s="690"/>
      <c r="I2756" s="1030"/>
      <c r="J2756" s="690"/>
      <c r="K2756" s="1030"/>
      <c r="L2756" s="690"/>
      <c r="M2756" s="1025"/>
      <c r="N2756" s="1030"/>
      <c r="O2756" s="692">
        <f t="shared" si="357"/>
        <v>0</v>
      </c>
      <c r="P2756" s="690"/>
      <c r="Q2756" s="690"/>
      <c r="R2756" s="691">
        <f t="shared" si="358"/>
        <v>0</v>
      </c>
      <c r="S2756" s="692">
        <f t="shared" si="359"/>
        <v>0</v>
      </c>
      <c r="T2756" s="693">
        <f t="shared" si="360"/>
        <v>0</v>
      </c>
      <c r="U2756" s="1035"/>
      <c r="V2756" s="690"/>
      <c r="W2756" s="1025"/>
      <c r="X2756" s="1030"/>
      <c r="Y2756" s="694">
        <f t="shared" si="361"/>
        <v>0</v>
      </c>
      <c r="Z2756" s="690"/>
      <c r="AA2756" s="690"/>
      <c r="AB2756" s="695">
        <f t="shared" si="362"/>
        <v>0</v>
      </c>
      <c r="AC2756" s="1035"/>
      <c r="AD2756" s="690"/>
      <c r="AE2756" s="1025"/>
      <c r="AF2756" s="1030"/>
      <c r="AG2756" s="690"/>
      <c r="AH2756" s="690"/>
      <c r="AI2756" s="696">
        <f t="shared" si="363"/>
        <v>0</v>
      </c>
      <c r="AJ2756" s="697">
        <f t="shared" si="364"/>
        <v>0</v>
      </c>
    </row>
    <row r="2757" spans="1:36" s="700" customFormat="1" ht="12.75" customHeight="1">
      <c r="A2757" s="866" t="s">
        <v>206</v>
      </c>
      <c r="B2757" s="866" t="s">
        <v>418</v>
      </c>
      <c r="C2757" s="860" t="s">
        <v>1551</v>
      </c>
      <c r="D2757" s="860"/>
      <c r="E2757" s="956"/>
      <c r="F2757" s="845"/>
      <c r="G2757" s="1025"/>
      <c r="H2757" s="690"/>
      <c r="I2757" s="1030"/>
      <c r="J2757" s="690"/>
      <c r="K2757" s="1030"/>
      <c r="L2757" s="690"/>
      <c r="M2757" s="1025"/>
      <c r="N2757" s="1030"/>
      <c r="O2757" s="692">
        <f t="shared" si="357"/>
        <v>0</v>
      </c>
      <c r="P2757" s="690"/>
      <c r="Q2757" s="690"/>
      <c r="R2757" s="691">
        <f t="shared" si="358"/>
        <v>0</v>
      </c>
      <c r="S2757" s="692">
        <f t="shared" si="359"/>
        <v>0</v>
      </c>
      <c r="T2757" s="693">
        <f t="shared" si="360"/>
        <v>0</v>
      </c>
      <c r="U2757" s="1035">
        <v>269995</v>
      </c>
      <c r="V2757" s="690">
        <v>293868</v>
      </c>
      <c r="W2757" s="1025"/>
      <c r="X2757" s="1030"/>
      <c r="Y2757" s="694">
        <f t="shared" si="361"/>
        <v>0</v>
      </c>
      <c r="Z2757" s="690"/>
      <c r="AA2757" s="690"/>
      <c r="AB2757" s="695">
        <f t="shared" si="362"/>
        <v>0</v>
      </c>
      <c r="AC2757" s="1035"/>
      <c r="AD2757" s="690"/>
      <c r="AE2757" s="1025"/>
      <c r="AF2757" s="1030"/>
      <c r="AG2757" s="690"/>
      <c r="AH2757" s="690"/>
      <c r="AI2757" s="696">
        <f t="shared" si="363"/>
        <v>269995</v>
      </c>
      <c r="AJ2757" s="697">
        <f t="shared" si="364"/>
        <v>293868</v>
      </c>
    </row>
    <row r="2758" spans="1:36" s="700" customFormat="1" ht="12.75" customHeight="1">
      <c r="A2758" s="866" t="s">
        <v>206</v>
      </c>
      <c r="B2758" s="866" t="s">
        <v>418</v>
      </c>
      <c r="C2758" s="860" t="s">
        <v>1216</v>
      </c>
      <c r="D2758" s="860"/>
      <c r="E2758" s="956"/>
      <c r="F2758" s="845"/>
      <c r="G2758" s="1025"/>
      <c r="H2758" s="690"/>
      <c r="I2758" s="1030"/>
      <c r="J2758" s="690"/>
      <c r="K2758" s="1030"/>
      <c r="L2758" s="690"/>
      <c r="M2758" s="1025"/>
      <c r="N2758" s="1030"/>
      <c r="O2758" s="692">
        <f t="shared" si="357"/>
        <v>0</v>
      </c>
      <c r="P2758" s="690"/>
      <c r="Q2758" s="690"/>
      <c r="R2758" s="691">
        <f t="shared" si="358"/>
        <v>0</v>
      </c>
      <c r="S2758" s="692">
        <f t="shared" si="359"/>
        <v>0</v>
      </c>
      <c r="T2758" s="693">
        <f t="shared" si="360"/>
        <v>0</v>
      </c>
      <c r="U2758" s="1035">
        <v>7422</v>
      </c>
      <c r="V2758" s="690">
        <v>7422</v>
      </c>
      <c r="W2758" s="1025"/>
      <c r="X2758" s="1030"/>
      <c r="Y2758" s="694">
        <f t="shared" si="361"/>
        <v>0</v>
      </c>
      <c r="Z2758" s="690"/>
      <c r="AA2758" s="690"/>
      <c r="AB2758" s="695">
        <f t="shared" si="362"/>
        <v>0</v>
      </c>
      <c r="AC2758" s="1035"/>
      <c r="AD2758" s="690"/>
      <c r="AE2758" s="1025"/>
      <c r="AF2758" s="1030"/>
      <c r="AG2758" s="690"/>
      <c r="AH2758" s="690"/>
      <c r="AI2758" s="696">
        <f t="shared" si="363"/>
        <v>7422</v>
      </c>
      <c r="AJ2758" s="697">
        <f t="shared" si="364"/>
        <v>7422</v>
      </c>
    </row>
    <row r="2759" spans="1:36" s="700" customFormat="1" ht="12.75" customHeight="1">
      <c r="A2759" s="866" t="s">
        <v>206</v>
      </c>
      <c r="B2759" s="866" t="s">
        <v>419</v>
      </c>
      <c r="C2759" s="960" t="s">
        <v>50</v>
      </c>
      <c r="D2759" s="960"/>
      <c r="E2759" s="844"/>
      <c r="F2759" s="845"/>
      <c r="G2759" s="1025"/>
      <c r="H2759" s="690"/>
      <c r="I2759" s="1030"/>
      <c r="J2759" s="690"/>
      <c r="K2759" s="1030"/>
      <c r="L2759" s="690"/>
      <c r="M2759" s="1025"/>
      <c r="N2759" s="1030"/>
      <c r="O2759" s="692">
        <f t="shared" si="357"/>
        <v>0</v>
      </c>
      <c r="P2759" s="690"/>
      <c r="Q2759" s="690"/>
      <c r="R2759" s="691">
        <f t="shared" si="358"/>
        <v>0</v>
      </c>
      <c r="S2759" s="692">
        <f t="shared" si="359"/>
        <v>0</v>
      </c>
      <c r="T2759" s="693">
        <f t="shared" si="360"/>
        <v>0</v>
      </c>
      <c r="U2759" s="1035"/>
      <c r="V2759" s="690"/>
      <c r="W2759" s="1025"/>
      <c r="X2759" s="1030"/>
      <c r="Y2759" s="694">
        <f t="shared" si="361"/>
        <v>0</v>
      </c>
      <c r="Z2759" s="690"/>
      <c r="AA2759" s="690"/>
      <c r="AB2759" s="695">
        <f t="shared" si="362"/>
        <v>0</v>
      </c>
      <c r="AC2759" s="1035"/>
      <c r="AD2759" s="690"/>
      <c r="AE2759" s="1025"/>
      <c r="AF2759" s="1030"/>
      <c r="AG2759" s="690"/>
      <c r="AH2759" s="690"/>
      <c r="AI2759" s="696">
        <f t="shared" si="363"/>
        <v>0</v>
      </c>
      <c r="AJ2759" s="697">
        <f t="shared" si="364"/>
        <v>0</v>
      </c>
    </row>
    <row r="2760" spans="1:36" s="700" customFormat="1" ht="12.75" customHeight="1">
      <c r="A2760" s="866" t="s">
        <v>206</v>
      </c>
      <c r="B2760" s="866" t="s">
        <v>420</v>
      </c>
      <c r="C2760" s="867" t="s">
        <v>51</v>
      </c>
      <c r="D2760" s="867"/>
      <c r="E2760" s="844"/>
      <c r="F2760" s="845"/>
      <c r="G2760" s="1025"/>
      <c r="H2760" s="690"/>
      <c r="I2760" s="1030"/>
      <c r="J2760" s="690"/>
      <c r="K2760" s="1030"/>
      <c r="L2760" s="690"/>
      <c r="M2760" s="1025"/>
      <c r="N2760" s="1030"/>
      <c r="O2760" s="692">
        <f t="shared" si="357"/>
        <v>0</v>
      </c>
      <c r="P2760" s="690"/>
      <c r="Q2760" s="690"/>
      <c r="R2760" s="691">
        <f t="shared" si="358"/>
        <v>0</v>
      </c>
      <c r="S2760" s="692">
        <f t="shared" si="359"/>
        <v>0</v>
      </c>
      <c r="T2760" s="693">
        <f t="shared" si="360"/>
        <v>0</v>
      </c>
      <c r="U2760" s="1035"/>
      <c r="V2760" s="690"/>
      <c r="W2760" s="1025"/>
      <c r="X2760" s="1030"/>
      <c r="Y2760" s="694">
        <f t="shared" si="361"/>
        <v>0</v>
      </c>
      <c r="Z2760" s="690"/>
      <c r="AA2760" s="690"/>
      <c r="AB2760" s="695">
        <f t="shared" si="362"/>
        <v>0</v>
      </c>
      <c r="AC2760" s="1035"/>
      <c r="AD2760" s="690"/>
      <c r="AE2760" s="1025"/>
      <c r="AF2760" s="1030"/>
      <c r="AG2760" s="690"/>
      <c r="AH2760" s="690"/>
      <c r="AI2760" s="696">
        <f t="shared" si="363"/>
        <v>0</v>
      </c>
      <c r="AJ2760" s="697">
        <f t="shared" si="364"/>
        <v>0</v>
      </c>
    </row>
    <row r="2761" spans="1:36" s="700" customFormat="1" ht="12.75" customHeight="1">
      <c r="A2761" s="866" t="s">
        <v>206</v>
      </c>
      <c r="B2761" s="866" t="s">
        <v>420</v>
      </c>
      <c r="C2761" s="961" t="s">
        <v>1552</v>
      </c>
      <c r="D2761" s="961"/>
      <c r="E2761" s="844"/>
      <c r="F2761" s="845"/>
      <c r="G2761" s="1025"/>
      <c r="H2761" s="690"/>
      <c r="I2761" s="1030"/>
      <c r="J2761" s="690"/>
      <c r="K2761" s="1030"/>
      <c r="L2761" s="690"/>
      <c r="M2761" s="1025"/>
      <c r="N2761" s="1030"/>
      <c r="O2761" s="692">
        <f t="shared" si="357"/>
        <v>0</v>
      </c>
      <c r="P2761" s="690"/>
      <c r="Q2761" s="690"/>
      <c r="R2761" s="691">
        <f t="shared" si="358"/>
        <v>0</v>
      </c>
      <c r="S2761" s="692">
        <f t="shared" si="359"/>
        <v>0</v>
      </c>
      <c r="T2761" s="693">
        <f t="shared" si="360"/>
        <v>0</v>
      </c>
      <c r="U2761" s="1035"/>
      <c r="V2761" s="690"/>
      <c r="W2761" s="1025"/>
      <c r="X2761" s="1030"/>
      <c r="Y2761" s="694">
        <f t="shared" si="361"/>
        <v>0</v>
      </c>
      <c r="Z2761" s="690"/>
      <c r="AA2761" s="690"/>
      <c r="AB2761" s="695">
        <f t="shared" si="362"/>
        <v>0</v>
      </c>
      <c r="AC2761" s="1035"/>
      <c r="AD2761" s="690"/>
      <c r="AE2761" s="1025"/>
      <c r="AF2761" s="1030"/>
      <c r="AG2761" s="690"/>
      <c r="AH2761" s="690"/>
      <c r="AI2761" s="696">
        <f t="shared" si="363"/>
        <v>0</v>
      </c>
      <c r="AJ2761" s="697">
        <f t="shared" si="364"/>
        <v>0</v>
      </c>
    </row>
    <row r="2762" spans="1:36" s="700" customFormat="1" ht="12.75" customHeight="1">
      <c r="A2762" s="866" t="s">
        <v>206</v>
      </c>
      <c r="B2762" s="863" t="s">
        <v>295</v>
      </c>
      <c r="C2762" s="864" t="s">
        <v>53</v>
      </c>
      <c r="D2762" s="864"/>
      <c r="E2762" s="868"/>
      <c r="F2762" s="869"/>
      <c r="G2762" s="1025"/>
      <c r="H2762" s="690"/>
      <c r="I2762" s="1030"/>
      <c r="J2762" s="690"/>
      <c r="K2762" s="1030"/>
      <c r="L2762" s="690"/>
      <c r="M2762" s="1025"/>
      <c r="N2762" s="1030"/>
      <c r="O2762" s="692">
        <f t="shared" si="357"/>
        <v>0</v>
      </c>
      <c r="P2762" s="690"/>
      <c r="Q2762" s="690"/>
      <c r="R2762" s="691">
        <f t="shared" si="358"/>
        <v>0</v>
      </c>
      <c r="S2762" s="692">
        <f t="shared" si="359"/>
        <v>0</v>
      </c>
      <c r="T2762" s="693">
        <f t="shared" si="360"/>
        <v>0</v>
      </c>
      <c r="U2762" s="1035"/>
      <c r="V2762" s="690"/>
      <c r="W2762" s="1025"/>
      <c r="X2762" s="1030"/>
      <c r="Y2762" s="694">
        <f t="shared" si="361"/>
        <v>0</v>
      </c>
      <c r="Z2762" s="690"/>
      <c r="AA2762" s="690"/>
      <c r="AB2762" s="695">
        <f t="shared" si="362"/>
        <v>0</v>
      </c>
      <c r="AC2762" s="1035"/>
      <c r="AD2762" s="690"/>
      <c r="AE2762" s="1025"/>
      <c r="AF2762" s="1030"/>
      <c r="AG2762" s="690"/>
      <c r="AH2762" s="690"/>
      <c r="AI2762" s="696">
        <f t="shared" si="363"/>
        <v>0</v>
      </c>
      <c r="AJ2762" s="697">
        <f t="shared" si="364"/>
        <v>0</v>
      </c>
    </row>
    <row r="2763" spans="1:36" s="700" customFormat="1" ht="12.75" customHeight="1">
      <c r="A2763" s="866" t="s">
        <v>206</v>
      </c>
      <c r="B2763" s="863" t="s">
        <v>296</v>
      </c>
      <c r="C2763" s="864" t="s">
        <v>443</v>
      </c>
      <c r="D2763" s="864"/>
      <c r="E2763" s="868"/>
      <c r="F2763" s="869"/>
      <c r="G2763" s="1025"/>
      <c r="H2763" s="690"/>
      <c r="I2763" s="1030"/>
      <c r="J2763" s="690"/>
      <c r="K2763" s="1030"/>
      <c r="L2763" s="690"/>
      <c r="M2763" s="1025"/>
      <c r="N2763" s="1030"/>
      <c r="O2763" s="692">
        <f t="shared" si="357"/>
        <v>0</v>
      </c>
      <c r="P2763" s="690"/>
      <c r="Q2763" s="690"/>
      <c r="R2763" s="691">
        <f t="shared" si="358"/>
        <v>0</v>
      </c>
      <c r="S2763" s="692">
        <f t="shared" si="359"/>
        <v>0</v>
      </c>
      <c r="T2763" s="693">
        <f t="shared" si="360"/>
        <v>0</v>
      </c>
      <c r="U2763" s="1035"/>
      <c r="V2763" s="690"/>
      <c r="W2763" s="1025"/>
      <c r="X2763" s="1030"/>
      <c r="Y2763" s="694">
        <f t="shared" si="361"/>
        <v>0</v>
      </c>
      <c r="Z2763" s="690"/>
      <c r="AA2763" s="690"/>
      <c r="AB2763" s="695">
        <f t="shared" si="362"/>
        <v>0</v>
      </c>
      <c r="AC2763" s="1035"/>
      <c r="AD2763" s="690"/>
      <c r="AE2763" s="1025"/>
      <c r="AF2763" s="1030"/>
      <c r="AG2763" s="690"/>
      <c r="AH2763" s="690"/>
      <c r="AI2763" s="696">
        <f t="shared" si="363"/>
        <v>0</v>
      </c>
      <c r="AJ2763" s="697">
        <f t="shared" si="364"/>
        <v>0</v>
      </c>
    </row>
    <row r="2764" spans="1:36" s="700" customFormat="1" ht="12.75" customHeight="1">
      <c r="A2764" s="866" t="s">
        <v>206</v>
      </c>
      <c r="B2764" s="863" t="s">
        <v>278</v>
      </c>
      <c r="C2764" s="864" t="s">
        <v>377</v>
      </c>
      <c r="D2764" s="864"/>
      <c r="E2764" s="868"/>
      <c r="F2764" s="869"/>
      <c r="G2764" s="1025"/>
      <c r="H2764" s="690"/>
      <c r="I2764" s="1030"/>
      <c r="J2764" s="690"/>
      <c r="K2764" s="1030"/>
      <c r="L2764" s="690"/>
      <c r="M2764" s="1025"/>
      <c r="N2764" s="1030"/>
      <c r="O2764" s="692">
        <f t="shared" ref="O2764:O2827" si="365">SUM(M2764:N2764)</f>
        <v>0</v>
      </c>
      <c r="P2764" s="690"/>
      <c r="Q2764" s="690"/>
      <c r="R2764" s="691">
        <f t="shared" ref="R2764:R2827" si="366">SUM(P2764:Q2764)</f>
        <v>0</v>
      </c>
      <c r="S2764" s="692">
        <f t="shared" ref="S2764:S2827" si="367">SUM(G2764,I2764,K2764,M2764)</f>
        <v>0</v>
      </c>
      <c r="T2764" s="693">
        <f t="shared" ref="T2764:T2827" si="368">SUM(H2764,J2764,L2764,P2764)</f>
        <v>0</v>
      </c>
      <c r="U2764" s="1035">
        <v>127194081.42099641</v>
      </c>
      <c r="V2764" s="690">
        <v>141913982</v>
      </c>
      <c r="W2764" s="1025"/>
      <c r="X2764" s="1030"/>
      <c r="Y2764" s="694">
        <f t="shared" ref="Y2764:Y2827" si="369">SUM(W2764:X2764)</f>
        <v>0</v>
      </c>
      <c r="Z2764" s="690"/>
      <c r="AA2764" s="690"/>
      <c r="AB2764" s="695">
        <f t="shared" ref="AB2764:AB2827" si="370">SUM(Z2764:AA2764)</f>
        <v>0</v>
      </c>
      <c r="AC2764" s="1035"/>
      <c r="AD2764" s="690"/>
      <c r="AE2764" s="1025"/>
      <c r="AF2764" s="1030"/>
      <c r="AG2764" s="690"/>
      <c r="AH2764" s="690"/>
      <c r="AI2764" s="696">
        <f t="shared" ref="AI2764:AI2827" si="371">SUM(S2764,U2764,W2764,AC2764,AE2764)</f>
        <v>127194081.42099641</v>
      </c>
      <c r="AJ2764" s="697">
        <f t="shared" ref="AJ2764:AJ2827" si="372">SUM(T2764,V2764,Z2764,AD2764,AG2764)</f>
        <v>141913982</v>
      </c>
    </row>
    <row r="2765" spans="1:36" s="700" customFormat="1" ht="12.75" customHeight="1">
      <c r="A2765" s="866" t="s">
        <v>206</v>
      </c>
      <c r="B2765" s="863" t="s">
        <v>279</v>
      </c>
      <c r="C2765" s="864" t="s">
        <v>54</v>
      </c>
      <c r="D2765" s="864"/>
      <c r="E2765" s="868"/>
      <c r="F2765" s="869"/>
      <c r="G2765" s="1025"/>
      <c r="H2765" s="690"/>
      <c r="I2765" s="1030"/>
      <c r="J2765" s="690"/>
      <c r="K2765" s="1030"/>
      <c r="L2765" s="690"/>
      <c r="M2765" s="1025"/>
      <c r="N2765" s="1030"/>
      <c r="O2765" s="692">
        <f t="shared" si="365"/>
        <v>0</v>
      </c>
      <c r="P2765" s="690"/>
      <c r="Q2765" s="690"/>
      <c r="R2765" s="691">
        <f t="shared" si="366"/>
        <v>0</v>
      </c>
      <c r="S2765" s="692">
        <f t="shared" si="367"/>
        <v>0</v>
      </c>
      <c r="T2765" s="693">
        <f t="shared" si="368"/>
        <v>0</v>
      </c>
      <c r="U2765" s="1035"/>
      <c r="V2765" s="690"/>
      <c r="W2765" s="1025"/>
      <c r="X2765" s="1030"/>
      <c r="Y2765" s="694">
        <f t="shared" si="369"/>
        <v>0</v>
      </c>
      <c r="Z2765" s="690"/>
      <c r="AA2765" s="690"/>
      <c r="AB2765" s="695">
        <f t="shared" si="370"/>
        <v>0</v>
      </c>
      <c r="AC2765" s="1035"/>
      <c r="AD2765" s="690"/>
      <c r="AE2765" s="1025"/>
      <c r="AF2765" s="1030"/>
      <c r="AG2765" s="690"/>
      <c r="AH2765" s="690"/>
      <c r="AI2765" s="696">
        <f t="shared" si="371"/>
        <v>0</v>
      </c>
      <c r="AJ2765" s="697">
        <f t="shared" si="372"/>
        <v>0</v>
      </c>
    </row>
    <row r="2766" spans="1:36" s="700" customFormat="1" ht="12.75" customHeight="1">
      <c r="A2766" s="866" t="s">
        <v>206</v>
      </c>
      <c r="B2766" s="863" t="s">
        <v>317</v>
      </c>
      <c r="C2766" s="864" t="s">
        <v>443</v>
      </c>
      <c r="D2766" s="864"/>
      <c r="E2766" s="868"/>
      <c r="F2766" s="869"/>
      <c r="G2766" s="1025"/>
      <c r="H2766" s="690"/>
      <c r="I2766" s="1030"/>
      <c r="J2766" s="690"/>
      <c r="K2766" s="1030"/>
      <c r="L2766" s="690"/>
      <c r="M2766" s="1025"/>
      <c r="N2766" s="1030"/>
      <c r="O2766" s="692">
        <f t="shared" si="365"/>
        <v>0</v>
      </c>
      <c r="P2766" s="690"/>
      <c r="Q2766" s="690"/>
      <c r="R2766" s="691">
        <f t="shared" si="366"/>
        <v>0</v>
      </c>
      <c r="S2766" s="692">
        <f t="shared" si="367"/>
        <v>0</v>
      </c>
      <c r="T2766" s="693">
        <f t="shared" si="368"/>
        <v>0</v>
      </c>
      <c r="U2766" s="1035"/>
      <c r="V2766" s="690"/>
      <c r="W2766" s="1025"/>
      <c r="X2766" s="1030"/>
      <c r="Y2766" s="694">
        <f t="shared" si="369"/>
        <v>0</v>
      </c>
      <c r="Z2766" s="690"/>
      <c r="AA2766" s="690"/>
      <c r="AB2766" s="695">
        <f t="shared" si="370"/>
        <v>0</v>
      </c>
      <c r="AC2766" s="1035"/>
      <c r="AD2766" s="690"/>
      <c r="AE2766" s="1025"/>
      <c r="AF2766" s="1030"/>
      <c r="AG2766" s="690"/>
      <c r="AH2766" s="690"/>
      <c r="AI2766" s="696">
        <f t="shared" si="371"/>
        <v>0</v>
      </c>
      <c r="AJ2766" s="697">
        <f t="shared" si="372"/>
        <v>0</v>
      </c>
    </row>
    <row r="2767" spans="1:36" s="700" customFormat="1" ht="12.75" customHeight="1">
      <c r="A2767" s="866" t="s">
        <v>206</v>
      </c>
      <c r="B2767" s="863" t="s">
        <v>318</v>
      </c>
      <c r="C2767" s="864" t="s">
        <v>377</v>
      </c>
      <c r="D2767" s="864"/>
      <c r="E2767" s="868"/>
      <c r="F2767" s="869"/>
      <c r="G2767" s="1025"/>
      <c r="H2767" s="690"/>
      <c r="I2767" s="1030"/>
      <c r="J2767" s="690"/>
      <c r="K2767" s="1030"/>
      <c r="L2767" s="690"/>
      <c r="M2767" s="1025"/>
      <c r="N2767" s="1030"/>
      <c r="O2767" s="692">
        <f t="shared" si="365"/>
        <v>0</v>
      </c>
      <c r="P2767" s="690"/>
      <c r="Q2767" s="690"/>
      <c r="R2767" s="691">
        <f t="shared" si="366"/>
        <v>0</v>
      </c>
      <c r="S2767" s="692">
        <f t="shared" si="367"/>
        <v>0</v>
      </c>
      <c r="T2767" s="693">
        <f t="shared" si="368"/>
        <v>0</v>
      </c>
      <c r="U2767" s="1035">
        <v>29094907.579003591</v>
      </c>
      <c r="V2767" s="690">
        <v>31222380</v>
      </c>
      <c r="W2767" s="1025"/>
      <c r="X2767" s="1030"/>
      <c r="Y2767" s="694">
        <f t="shared" si="369"/>
        <v>0</v>
      </c>
      <c r="Z2767" s="690"/>
      <c r="AA2767" s="690"/>
      <c r="AB2767" s="695">
        <f t="shared" si="370"/>
        <v>0</v>
      </c>
      <c r="AC2767" s="1035"/>
      <c r="AD2767" s="690"/>
      <c r="AE2767" s="1025"/>
      <c r="AF2767" s="1030"/>
      <c r="AG2767" s="690"/>
      <c r="AH2767" s="690"/>
      <c r="AI2767" s="696">
        <f t="shared" si="371"/>
        <v>29094907.579003591</v>
      </c>
      <c r="AJ2767" s="697">
        <f t="shared" si="372"/>
        <v>31222380</v>
      </c>
    </row>
    <row r="2768" spans="1:36" s="700" customFormat="1" ht="12.75" customHeight="1">
      <c r="A2768" s="866" t="s">
        <v>206</v>
      </c>
      <c r="B2768" s="866" t="s">
        <v>420</v>
      </c>
      <c r="C2768" s="961" t="s">
        <v>1553</v>
      </c>
      <c r="D2768" s="961"/>
      <c r="E2768" s="844"/>
      <c r="F2768" s="845"/>
      <c r="G2768" s="1025"/>
      <c r="H2768" s="690"/>
      <c r="I2768" s="1030"/>
      <c r="J2768" s="690"/>
      <c r="K2768" s="1030"/>
      <c r="L2768" s="690"/>
      <c r="M2768" s="1025"/>
      <c r="N2768" s="1030"/>
      <c r="O2768" s="692">
        <f t="shared" si="365"/>
        <v>0</v>
      </c>
      <c r="P2768" s="690"/>
      <c r="Q2768" s="690"/>
      <c r="R2768" s="691">
        <f t="shared" si="366"/>
        <v>0</v>
      </c>
      <c r="S2768" s="692">
        <f t="shared" si="367"/>
        <v>0</v>
      </c>
      <c r="T2768" s="693">
        <f t="shared" si="368"/>
        <v>0</v>
      </c>
      <c r="U2768" s="1035"/>
      <c r="V2768" s="690"/>
      <c r="W2768" s="1025"/>
      <c r="X2768" s="1030"/>
      <c r="Y2768" s="694">
        <f t="shared" si="369"/>
        <v>0</v>
      </c>
      <c r="Z2768" s="690"/>
      <c r="AA2768" s="690"/>
      <c r="AB2768" s="695">
        <f t="shared" si="370"/>
        <v>0</v>
      </c>
      <c r="AC2768" s="1035"/>
      <c r="AD2768" s="690"/>
      <c r="AE2768" s="1025"/>
      <c r="AF2768" s="1030"/>
      <c r="AG2768" s="690"/>
      <c r="AH2768" s="690"/>
      <c r="AI2768" s="696">
        <f t="shared" si="371"/>
        <v>0</v>
      </c>
      <c r="AJ2768" s="697">
        <f t="shared" si="372"/>
        <v>0</v>
      </c>
    </row>
    <row r="2769" spans="1:36" s="700" customFormat="1" ht="12.75" customHeight="1">
      <c r="A2769" s="866" t="s">
        <v>206</v>
      </c>
      <c r="B2769" s="863" t="s">
        <v>295</v>
      </c>
      <c r="C2769" s="864" t="s">
        <v>53</v>
      </c>
      <c r="D2769" s="864"/>
      <c r="E2769" s="868"/>
      <c r="F2769" s="869"/>
      <c r="G2769" s="1025"/>
      <c r="H2769" s="690"/>
      <c r="I2769" s="1030"/>
      <c r="J2769" s="690"/>
      <c r="K2769" s="1030"/>
      <c r="L2769" s="690"/>
      <c r="M2769" s="1025"/>
      <c r="N2769" s="1030"/>
      <c r="O2769" s="692">
        <f t="shared" si="365"/>
        <v>0</v>
      </c>
      <c r="P2769" s="690"/>
      <c r="Q2769" s="690"/>
      <c r="R2769" s="691">
        <f t="shared" si="366"/>
        <v>0</v>
      </c>
      <c r="S2769" s="692">
        <f t="shared" si="367"/>
        <v>0</v>
      </c>
      <c r="T2769" s="693">
        <f t="shared" si="368"/>
        <v>0</v>
      </c>
      <c r="U2769" s="1035"/>
      <c r="V2769" s="690"/>
      <c r="W2769" s="1025"/>
      <c r="X2769" s="1030"/>
      <c r="Y2769" s="694">
        <f t="shared" si="369"/>
        <v>0</v>
      </c>
      <c r="Z2769" s="690"/>
      <c r="AA2769" s="690"/>
      <c r="AB2769" s="695">
        <f t="shared" si="370"/>
        <v>0</v>
      </c>
      <c r="AC2769" s="1035"/>
      <c r="AD2769" s="690"/>
      <c r="AE2769" s="1025"/>
      <c r="AF2769" s="1030"/>
      <c r="AG2769" s="690"/>
      <c r="AH2769" s="690"/>
      <c r="AI2769" s="696">
        <f t="shared" si="371"/>
        <v>0</v>
      </c>
      <c r="AJ2769" s="697">
        <f t="shared" si="372"/>
        <v>0</v>
      </c>
    </row>
    <row r="2770" spans="1:36" s="700" customFormat="1" ht="12.75" customHeight="1">
      <c r="A2770" s="866" t="s">
        <v>206</v>
      </c>
      <c r="B2770" s="863" t="s">
        <v>296</v>
      </c>
      <c r="C2770" s="864" t="s">
        <v>443</v>
      </c>
      <c r="D2770" s="864"/>
      <c r="E2770" s="868"/>
      <c r="F2770" s="869"/>
      <c r="G2770" s="1025"/>
      <c r="H2770" s="690"/>
      <c r="I2770" s="1030"/>
      <c r="J2770" s="690"/>
      <c r="K2770" s="1030"/>
      <c r="L2770" s="690"/>
      <c r="M2770" s="1025"/>
      <c r="N2770" s="1030"/>
      <c r="O2770" s="692">
        <f t="shared" si="365"/>
        <v>0</v>
      </c>
      <c r="P2770" s="690"/>
      <c r="Q2770" s="690"/>
      <c r="R2770" s="691">
        <f t="shared" si="366"/>
        <v>0</v>
      </c>
      <c r="S2770" s="692">
        <f t="shared" si="367"/>
        <v>0</v>
      </c>
      <c r="T2770" s="693">
        <f t="shared" si="368"/>
        <v>0</v>
      </c>
      <c r="U2770" s="1035"/>
      <c r="V2770" s="690"/>
      <c r="W2770" s="1025"/>
      <c r="X2770" s="1030"/>
      <c r="Y2770" s="694">
        <f t="shared" si="369"/>
        <v>0</v>
      </c>
      <c r="Z2770" s="690"/>
      <c r="AA2770" s="690"/>
      <c r="AB2770" s="695">
        <f t="shared" si="370"/>
        <v>0</v>
      </c>
      <c r="AC2770" s="1035"/>
      <c r="AD2770" s="690"/>
      <c r="AE2770" s="1025"/>
      <c r="AF2770" s="1030"/>
      <c r="AG2770" s="690"/>
      <c r="AH2770" s="690"/>
      <c r="AI2770" s="696">
        <f t="shared" si="371"/>
        <v>0</v>
      </c>
      <c r="AJ2770" s="697">
        <f t="shared" si="372"/>
        <v>0</v>
      </c>
    </row>
    <row r="2771" spans="1:36" s="700" customFormat="1" ht="12.75" customHeight="1">
      <c r="A2771" s="866" t="s">
        <v>206</v>
      </c>
      <c r="B2771" s="863" t="s">
        <v>278</v>
      </c>
      <c r="C2771" s="864" t="s">
        <v>377</v>
      </c>
      <c r="D2771" s="864"/>
      <c r="E2771" s="868"/>
      <c r="F2771" s="869"/>
      <c r="G2771" s="1025"/>
      <c r="H2771" s="690"/>
      <c r="I2771" s="1030"/>
      <c r="J2771" s="690"/>
      <c r="K2771" s="1030"/>
      <c r="L2771" s="690"/>
      <c r="M2771" s="1025"/>
      <c r="N2771" s="1030"/>
      <c r="O2771" s="692">
        <f t="shared" si="365"/>
        <v>0</v>
      </c>
      <c r="P2771" s="690"/>
      <c r="Q2771" s="690"/>
      <c r="R2771" s="691">
        <f t="shared" si="366"/>
        <v>0</v>
      </c>
      <c r="S2771" s="692">
        <f t="shared" si="367"/>
        <v>0</v>
      </c>
      <c r="T2771" s="693">
        <f t="shared" si="368"/>
        <v>0</v>
      </c>
      <c r="U2771" s="1035">
        <v>46339352.646517538</v>
      </c>
      <c r="V2771" s="690">
        <v>46299886</v>
      </c>
      <c r="W2771" s="1025"/>
      <c r="X2771" s="1030"/>
      <c r="Y2771" s="694">
        <f t="shared" si="369"/>
        <v>0</v>
      </c>
      <c r="Z2771" s="690"/>
      <c r="AA2771" s="690"/>
      <c r="AB2771" s="695">
        <f t="shared" si="370"/>
        <v>0</v>
      </c>
      <c r="AC2771" s="1035"/>
      <c r="AD2771" s="690"/>
      <c r="AE2771" s="1025"/>
      <c r="AF2771" s="1030"/>
      <c r="AG2771" s="690"/>
      <c r="AH2771" s="690"/>
      <c r="AI2771" s="696">
        <f t="shared" si="371"/>
        <v>46339352.646517538</v>
      </c>
      <c r="AJ2771" s="697">
        <f t="shared" si="372"/>
        <v>46299886</v>
      </c>
    </row>
    <row r="2772" spans="1:36" s="700" customFormat="1" ht="12.75" customHeight="1">
      <c r="A2772" s="866" t="s">
        <v>206</v>
      </c>
      <c r="B2772" s="863" t="s">
        <v>279</v>
      </c>
      <c r="C2772" s="864" t="s">
        <v>54</v>
      </c>
      <c r="D2772" s="864"/>
      <c r="E2772" s="868"/>
      <c r="F2772" s="869"/>
      <c r="G2772" s="1025"/>
      <c r="H2772" s="690"/>
      <c r="I2772" s="1030"/>
      <c r="J2772" s="690"/>
      <c r="K2772" s="1030"/>
      <c r="L2772" s="690"/>
      <c r="M2772" s="1025"/>
      <c r="N2772" s="1030"/>
      <c r="O2772" s="692">
        <f t="shared" si="365"/>
        <v>0</v>
      </c>
      <c r="P2772" s="690"/>
      <c r="Q2772" s="690"/>
      <c r="R2772" s="691">
        <f t="shared" si="366"/>
        <v>0</v>
      </c>
      <c r="S2772" s="692">
        <f t="shared" si="367"/>
        <v>0</v>
      </c>
      <c r="T2772" s="693">
        <f t="shared" si="368"/>
        <v>0</v>
      </c>
      <c r="U2772" s="1035"/>
      <c r="V2772" s="690"/>
      <c r="W2772" s="1025"/>
      <c r="X2772" s="1030"/>
      <c r="Y2772" s="694">
        <f t="shared" si="369"/>
        <v>0</v>
      </c>
      <c r="Z2772" s="690"/>
      <c r="AA2772" s="690"/>
      <c r="AB2772" s="695">
        <f t="shared" si="370"/>
        <v>0</v>
      </c>
      <c r="AC2772" s="1035"/>
      <c r="AD2772" s="690"/>
      <c r="AE2772" s="1025"/>
      <c r="AF2772" s="1030"/>
      <c r="AG2772" s="690"/>
      <c r="AH2772" s="690"/>
      <c r="AI2772" s="696">
        <f t="shared" si="371"/>
        <v>0</v>
      </c>
      <c r="AJ2772" s="697">
        <f t="shared" si="372"/>
        <v>0</v>
      </c>
    </row>
    <row r="2773" spans="1:36" s="700" customFormat="1" ht="12.75" customHeight="1">
      <c r="A2773" s="866" t="s">
        <v>206</v>
      </c>
      <c r="B2773" s="863" t="s">
        <v>317</v>
      </c>
      <c r="C2773" s="864" t="s">
        <v>443</v>
      </c>
      <c r="D2773" s="864"/>
      <c r="E2773" s="868"/>
      <c r="F2773" s="869"/>
      <c r="G2773" s="1025"/>
      <c r="H2773" s="690"/>
      <c r="I2773" s="1030"/>
      <c r="J2773" s="690"/>
      <c r="K2773" s="1030"/>
      <c r="L2773" s="690"/>
      <c r="M2773" s="1025"/>
      <c r="N2773" s="1030"/>
      <c r="O2773" s="692">
        <f t="shared" si="365"/>
        <v>0</v>
      </c>
      <c r="P2773" s="690"/>
      <c r="Q2773" s="690"/>
      <c r="R2773" s="691">
        <f t="shared" si="366"/>
        <v>0</v>
      </c>
      <c r="S2773" s="692">
        <f t="shared" si="367"/>
        <v>0</v>
      </c>
      <c r="T2773" s="693">
        <f t="shared" si="368"/>
        <v>0</v>
      </c>
      <c r="U2773" s="1035"/>
      <c r="V2773" s="690"/>
      <c r="W2773" s="1025"/>
      <c r="X2773" s="1030"/>
      <c r="Y2773" s="694">
        <f t="shared" si="369"/>
        <v>0</v>
      </c>
      <c r="Z2773" s="690"/>
      <c r="AA2773" s="690"/>
      <c r="AB2773" s="695">
        <f t="shared" si="370"/>
        <v>0</v>
      </c>
      <c r="AC2773" s="1035"/>
      <c r="AD2773" s="690"/>
      <c r="AE2773" s="1025"/>
      <c r="AF2773" s="1030"/>
      <c r="AG2773" s="690"/>
      <c r="AH2773" s="690"/>
      <c r="AI2773" s="696">
        <f t="shared" si="371"/>
        <v>0</v>
      </c>
      <c r="AJ2773" s="697">
        <f t="shared" si="372"/>
        <v>0</v>
      </c>
    </row>
    <row r="2774" spans="1:36" s="700" customFormat="1" ht="12.75" customHeight="1">
      <c r="A2774" s="866" t="s">
        <v>206</v>
      </c>
      <c r="B2774" s="863" t="s">
        <v>318</v>
      </c>
      <c r="C2774" s="864" t="s">
        <v>377</v>
      </c>
      <c r="D2774" s="864"/>
      <c r="E2774" s="868"/>
      <c r="F2774" s="869"/>
      <c r="G2774" s="1025"/>
      <c r="H2774" s="690"/>
      <c r="I2774" s="1030"/>
      <c r="J2774" s="690"/>
      <c r="K2774" s="1030"/>
      <c r="L2774" s="690"/>
      <c r="M2774" s="1025"/>
      <c r="N2774" s="1030"/>
      <c r="O2774" s="692">
        <f t="shared" si="365"/>
        <v>0</v>
      </c>
      <c r="P2774" s="690"/>
      <c r="Q2774" s="690"/>
      <c r="R2774" s="691">
        <f t="shared" si="366"/>
        <v>0</v>
      </c>
      <c r="S2774" s="692">
        <f t="shared" si="367"/>
        <v>0</v>
      </c>
      <c r="T2774" s="693">
        <f t="shared" si="368"/>
        <v>0</v>
      </c>
      <c r="U2774" s="1035">
        <v>660647.35348246421</v>
      </c>
      <c r="V2774" s="690">
        <v>700114</v>
      </c>
      <c r="W2774" s="1025"/>
      <c r="X2774" s="1030"/>
      <c r="Y2774" s="694">
        <f t="shared" si="369"/>
        <v>0</v>
      </c>
      <c r="Z2774" s="690"/>
      <c r="AA2774" s="690"/>
      <c r="AB2774" s="695">
        <f t="shared" si="370"/>
        <v>0</v>
      </c>
      <c r="AC2774" s="1035"/>
      <c r="AD2774" s="690"/>
      <c r="AE2774" s="1025"/>
      <c r="AF2774" s="1030"/>
      <c r="AG2774" s="690"/>
      <c r="AH2774" s="690"/>
      <c r="AI2774" s="696">
        <f t="shared" si="371"/>
        <v>660647.35348246421</v>
      </c>
      <c r="AJ2774" s="697">
        <f t="shared" si="372"/>
        <v>700114</v>
      </c>
    </row>
    <row r="2775" spans="1:36" s="700" customFormat="1" ht="12.75" customHeight="1">
      <c r="A2775" s="866" t="s">
        <v>206</v>
      </c>
      <c r="B2775" s="866" t="s">
        <v>420</v>
      </c>
      <c r="C2775" s="961" t="s">
        <v>1554</v>
      </c>
      <c r="D2775" s="961"/>
      <c r="E2775" s="844"/>
      <c r="F2775" s="845"/>
      <c r="G2775" s="1025"/>
      <c r="H2775" s="690"/>
      <c r="I2775" s="1030"/>
      <c r="J2775" s="690"/>
      <c r="K2775" s="1030"/>
      <c r="L2775" s="690"/>
      <c r="M2775" s="1025"/>
      <c r="N2775" s="1030"/>
      <c r="O2775" s="692">
        <f t="shared" si="365"/>
        <v>0</v>
      </c>
      <c r="P2775" s="690"/>
      <c r="Q2775" s="690"/>
      <c r="R2775" s="691">
        <f t="shared" si="366"/>
        <v>0</v>
      </c>
      <c r="S2775" s="692">
        <f t="shared" si="367"/>
        <v>0</v>
      </c>
      <c r="T2775" s="693">
        <f t="shared" si="368"/>
        <v>0</v>
      </c>
      <c r="U2775" s="1035"/>
      <c r="V2775" s="690"/>
      <c r="W2775" s="1025"/>
      <c r="X2775" s="1030"/>
      <c r="Y2775" s="694">
        <f t="shared" si="369"/>
        <v>0</v>
      </c>
      <c r="Z2775" s="690"/>
      <c r="AA2775" s="690"/>
      <c r="AB2775" s="695">
        <f t="shared" si="370"/>
        <v>0</v>
      </c>
      <c r="AC2775" s="1035"/>
      <c r="AD2775" s="690"/>
      <c r="AE2775" s="1025"/>
      <c r="AF2775" s="1030"/>
      <c r="AG2775" s="690"/>
      <c r="AH2775" s="690"/>
      <c r="AI2775" s="696">
        <f t="shared" si="371"/>
        <v>0</v>
      </c>
      <c r="AJ2775" s="697">
        <f t="shared" si="372"/>
        <v>0</v>
      </c>
    </row>
    <row r="2776" spans="1:36" s="700" customFormat="1" ht="12.75" customHeight="1">
      <c r="A2776" s="866" t="s">
        <v>206</v>
      </c>
      <c r="B2776" s="863" t="s">
        <v>295</v>
      </c>
      <c r="C2776" s="864" t="s">
        <v>53</v>
      </c>
      <c r="D2776" s="864"/>
      <c r="E2776" s="868"/>
      <c r="F2776" s="869"/>
      <c r="G2776" s="1025"/>
      <c r="H2776" s="690"/>
      <c r="I2776" s="1030"/>
      <c r="J2776" s="690"/>
      <c r="K2776" s="1030"/>
      <c r="L2776" s="690"/>
      <c r="M2776" s="1025"/>
      <c r="N2776" s="1030"/>
      <c r="O2776" s="692">
        <f t="shared" si="365"/>
        <v>0</v>
      </c>
      <c r="P2776" s="690"/>
      <c r="Q2776" s="690"/>
      <c r="R2776" s="691">
        <f t="shared" si="366"/>
        <v>0</v>
      </c>
      <c r="S2776" s="692">
        <f t="shared" si="367"/>
        <v>0</v>
      </c>
      <c r="T2776" s="693">
        <f t="shared" si="368"/>
        <v>0</v>
      </c>
      <c r="U2776" s="1035"/>
      <c r="V2776" s="690"/>
      <c r="W2776" s="1025"/>
      <c r="X2776" s="1030"/>
      <c r="Y2776" s="694">
        <f t="shared" si="369"/>
        <v>0</v>
      </c>
      <c r="Z2776" s="690"/>
      <c r="AA2776" s="690"/>
      <c r="AB2776" s="695">
        <f t="shared" si="370"/>
        <v>0</v>
      </c>
      <c r="AC2776" s="1035"/>
      <c r="AD2776" s="690"/>
      <c r="AE2776" s="1025"/>
      <c r="AF2776" s="1030"/>
      <c r="AG2776" s="690"/>
      <c r="AH2776" s="690"/>
      <c r="AI2776" s="696">
        <f t="shared" si="371"/>
        <v>0</v>
      </c>
      <c r="AJ2776" s="697">
        <f t="shared" si="372"/>
        <v>0</v>
      </c>
    </row>
    <row r="2777" spans="1:36" s="700" customFormat="1" ht="12.75" customHeight="1">
      <c r="A2777" s="866" t="s">
        <v>206</v>
      </c>
      <c r="B2777" s="863" t="s">
        <v>296</v>
      </c>
      <c r="C2777" s="864" t="s">
        <v>443</v>
      </c>
      <c r="D2777" s="864"/>
      <c r="E2777" s="868"/>
      <c r="F2777" s="869"/>
      <c r="G2777" s="1025"/>
      <c r="H2777" s="690"/>
      <c r="I2777" s="1030"/>
      <c r="J2777" s="690"/>
      <c r="K2777" s="1030"/>
      <c r="L2777" s="690"/>
      <c r="M2777" s="1025"/>
      <c r="N2777" s="1030"/>
      <c r="O2777" s="692">
        <f t="shared" si="365"/>
        <v>0</v>
      </c>
      <c r="P2777" s="690"/>
      <c r="Q2777" s="690"/>
      <c r="R2777" s="691">
        <f t="shared" si="366"/>
        <v>0</v>
      </c>
      <c r="S2777" s="692">
        <f t="shared" si="367"/>
        <v>0</v>
      </c>
      <c r="T2777" s="693">
        <f t="shared" si="368"/>
        <v>0</v>
      </c>
      <c r="U2777" s="1035"/>
      <c r="V2777" s="690"/>
      <c r="W2777" s="1025"/>
      <c r="X2777" s="1030"/>
      <c r="Y2777" s="694">
        <f t="shared" si="369"/>
        <v>0</v>
      </c>
      <c r="Z2777" s="690"/>
      <c r="AA2777" s="690"/>
      <c r="AB2777" s="695">
        <f t="shared" si="370"/>
        <v>0</v>
      </c>
      <c r="AC2777" s="1035"/>
      <c r="AD2777" s="690"/>
      <c r="AE2777" s="1025"/>
      <c r="AF2777" s="1030"/>
      <c r="AG2777" s="690"/>
      <c r="AH2777" s="690"/>
      <c r="AI2777" s="696">
        <f t="shared" si="371"/>
        <v>0</v>
      </c>
      <c r="AJ2777" s="697">
        <f t="shared" si="372"/>
        <v>0</v>
      </c>
    </row>
    <row r="2778" spans="1:36" s="700" customFormat="1" ht="12.75" customHeight="1">
      <c r="A2778" s="866" t="s">
        <v>206</v>
      </c>
      <c r="B2778" s="863" t="s">
        <v>278</v>
      </c>
      <c r="C2778" s="864" t="s">
        <v>377</v>
      </c>
      <c r="D2778" s="864"/>
      <c r="E2778" s="868"/>
      <c r="F2778" s="869"/>
      <c r="G2778" s="1025"/>
      <c r="H2778" s="690"/>
      <c r="I2778" s="1030"/>
      <c r="J2778" s="690"/>
      <c r="K2778" s="1030"/>
      <c r="L2778" s="690"/>
      <c r="M2778" s="1025"/>
      <c r="N2778" s="1030"/>
      <c r="O2778" s="692">
        <f t="shared" si="365"/>
        <v>0</v>
      </c>
      <c r="P2778" s="690"/>
      <c r="Q2778" s="690"/>
      <c r="R2778" s="691">
        <f t="shared" si="366"/>
        <v>0</v>
      </c>
      <c r="S2778" s="692">
        <f t="shared" si="367"/>
        <v>0</v>
      </c>
      <c r="T2778" s="693">
        <f t="shared" si="368"/>
        <v>0</v>
      </c>
      <c r="U2778" s="1035">
        <v>32156258.942205749</v>
      </c>
      <c r="V2778" s="690">
        <v>32244816</v>
      </c>
      <c r="W2778" s="1025"/>
      <c r="X2778" s="1030"/>
      <c r="Y2778" s="694">
        <f t="shared" si="369"/>
        <v>0</v>
      </c>
      <c r="Z2778" s="690"/>
      <c r="AA2778" s="690"/>
      <c r="AB2778" s="695">
        <f t="shared" si="370"/>
        <v>0</v>
      </c>
      <c r="AC2778" s="1035"/>
      <c r="AD2778" s="690"/>
      <c r="AE2778" s="1025"/>
      <c r="AF2778" s="1030"/>
      <c r="AG2778" s="690"/>
      <c r="AH2778" s="690"/>
      <c r="AI2778" s="696">
        <f t="shared" si="371"/>
        <v>32156258.942205749</v>
      </c>
      <c r="AJ2778" s="697">
        <f t="shared" si="372"/>
        <v>32244816</v>
      </c>
    </row>
    <row r="2779" spans="1:36" s="700" customFormat="1" ht="12.75" customHeight="1">
      <c r="A2779" s="866" t="s">
        <v>206</v>
      </c>
      <c r="B2779" s="863" t="s">
        <v>279</v>
      </c>
      <c r="C2779" s="864" t="s">
        <v>54</v>
      </c>
      <c r="D2779" s="864"/>
      <c r="E2779" s="868"/>
      <c r="F2779" s="869"/>
      <c r="G2779" s="1025"/>
      <c r="H2779" s="690"/>
      <c r="I2779" s="1030"/>
      <c r="J2779" s="690"/>
      <c r="K2779" s="1030"/>
      <c r="L2779" s="690"/>
      <c r="M2779" s="1025"/>
      <c r="N2779" s="1030"/>
      <c r="O2779" s="692">
        <f t="shared" si="365"/>
        <v>0</v>
      </c>
      <c r="P2779" s="690"/>
      <c r="Q2779" s="690"/>
      <c r="R2779" s="691">
        <f t="shared" si="366"/>
        <v>0</v>
      </c>
      <c r="S2779" s="692">
        <f t="shared" si="367"/>
        <v>0</v>
      </c>
      <c r="T2779" s="693">
        <f t="shared" si="368"/>
        <v>0</v>
      </c>
      <c r="U2779" s="1035"/>
      <c r="V2779" s="690"/>
      <c r="W2779" s="1025"/>
      <c r="X2779" s="1030"/>
      <c r="Y2779" s="694">
        <f t="shared" si="369"/>
        <v>0</v>
      </c>
      <c r="Z2779" s="690"/>
      <c r="AA2779" s="690"/>
      <c r="AB2779" s="695">
        <f t="shared" si="370"/>
        <v>0</v>
      </c>
      <c r="AC2779" s="1035"/>
      <c r="AD2779" s="690"/>
      <c r="AE2779" s="1025"/>
      <c r="AF2779" s="1030"/>
      <c r="AG2779" s="690"/>
      <c r="AH2779" s="690"/>
      <c r="AI2779" s="696">
        <f t="shared" si="371"/>
        <v>0</v>
      </c>
      <c r="AJ2779" s="697">
        <f t="shared" si="372"/>
        <v>0</v>
      </c>
    </row>
    <row r="2780" spans="1:36" s="700" customFormat="1" ht="12.75" customHeight="1">
      <c r="A2780" s="866" t="s">
        <v>206</v>
      </c>
      <c r="B2780" s="863" t="s">
        <v>317</v>
      </c>
      <c r="C2780" s="864" t="s">
        <v>443</v>
      </c>
      <c r="D2780" s="864"/>
      <c r="E2780" s="868"/>
      <c r="F2780" s="869"/>
      <c r="G2780" s="1025"/>
      <c r="H2780" s="690"/>
      <c r="I2780" s="1030"/>
      <c r="J2780" s="690"/>
      <c r="K2780" s="1030"/>
      <c r="L2780" s="690"/>
      <c r="M2780" s="1025"/>
      <c r="N2780" s="1030"/>
      <c r="O2780" s="692">
        <f t="shared" si="365"/>
        <v>0</v>
      </c>
      <c r="P2780" s="690"/>
      <c r="Q2780" s="690"/>
      <c r="R2780" s="691">
        <f t="shared" si="366"/>
        <v>0</v>
      </c>
      <c r="S2780" s="692">
        <f t="shared" si="367"/>
        <v>0</v>
      </c>
      <c r="T2780" s="693">
        <f t="shared" si="368"/>
        <v>0</v>
      </c>
      <c r="U2780" s="1035"/>
      <c r="V2780" s="690"/>
      <c r="W2780" s="1025"/>
      <c r="X2780" s="1030"/>
      <c r="Y2780" s="694">
        <f t="shared" si="369"/>
        <v>0</v>
      </c>
      <c r="Z2780" s="690"/>
      <c r="AA2780" s="690"/>
      <c r="AB2780" s="695">
        <f t="shared" si="370"/>
        <v>0</v>
      </c>
      <c r="AC2780" s="1035"/>
      <c r="AD2780" s="690"/>
      <c r="AE2780" s="1025"/>
      <c r="AF2780" s="1030"/>
      <c r="AG2780" s="690"/>
      <c r="AH2780" s="690"/>
      <c r="AI2780" s="696">
        <f t="shared" si="371"/>
        <v>0</v>
      </c>
      <c r="AJ2780" s="697">
        <f t="shared" si="372"/>
        <v>0</v>
      </c>
    </row>
    <row r="2781" spans="1:36" s="700" customFormat="1" ht="12.75" customHeight="1">
      <c r="A2781" s="866" t="s">
        <v>206</v>
      </c>
      <c r="B2781" s="863" t="s">
        <v>318</v>
      </c>
      <c r="C2781" s="864" t="s">
        <v>377</v>
      </c>
      <c r="D2781" s="864"/>
      <c r="E2781" s="868"/>
      <c r="F2781" s="869"/>
      <c r="G2781" s="1025"/>
      <c r="H2781" s="690"/>
      <c r="I2781" s="1030"/>
      <c r="J2781" s="690"/>
      <c r="K2781" s="1030"/>
      <c r="L2781" s="690"/>
      <c r="M2781" s="1025"/>
      <c r="N2781" s="1030"/>
      <c r="O2781" s="692">
        <f t="shared" si="365"/>
        <v>0</v>
      </c>
      <c r="P2781" s="690"/>
      <c r="Q2781" s="690"/>
      <c r="R2781" s="691">
        <f t="shared" si="366"/>
        <v>0</v>
      </c>
      <c r="S2781" s="692">
        <f t="shared" si="367"/>
        <v>0</v>
      </c>
      <c r="T2781" s="693">
        <f t="shared" si="368"/>
        <v>0</v>
      </c>
      <c r="U2781" s="1035">
        <v>10120981.057794252</v>
      </c>
      <c r="V2781" s="690">
        <v>10032424</v>
      </c>
      <c r="W2781" s="1025"/>
      <c r="X2781" s="1030"/>
      <c r="Y2781" s="694">
        <f t="shared" si="369"/>
        <v>0</v>
      </c>
      <c r="Z2781" s="690"/>
      <c r="AA2781" s="690"/>
      <c r="AB2781" s="695">
        <f t="shared" si="370"/>
        <v>0</v>
      </c>
      <c r="AC2781" s="1035"/>
      <c r="AD2781" s="690"/>
      <c r="AE2781" s="1025"/>
      <c r="AF2781" s="1030"/>
      <c r="AG2781" s="690"/>
      <c r="AH2781" s="690"/>
      <c r="AI2781" s="696">
        <f t="shared" si="371"/>
        <v>10120981.057794252</v>
      </c>
      <c r="AJ2781" s="697">
        <f t="shared" si="372"/>
        <v>10032424</v>
      </c>
    </row>
    <row r="2782" spans="1:36" s="700" customFormat="1" ht="12.75" customHeight="1">
      <c r="A2782" s="866" t="s">
        <v>206</v>
      </c>
      <c r="B2782" s="866" t="s">
        <v>420</v>
      </c>
      <c r="C2782" s="961" t="s">
        <v>1555</v>
      </c>
      <c r="D2782" s="961"/>
      <c r="E2782" s="844"/>
      <c r="F2782" s="845"/>
      <c r="G2782" s="1025"/>
      <c r="H2782" s="690"/>
      <c r="I2782" s="1030"/>
      <c r="J2782" s="690"/>
      <c r="K2782" s="1030"/>
      <c r="L2782" s="690"/>
      <c r="M2782" s="1025"/>
      <c r="N2782" s="1030"/>
      <c r="O2782" s="692">
        <f t="shared" si="365"/>
        <v>0</v>
      </c>
      <c r="P2782" s="690"/>
      <c r="Q2782" s="690"/>
      <c r="R2782" s="691">
        <f t="shared" si="366"/>
        <v>0</v>
      </c>
      <c r="S2782" s="692">
        <f t="shared" si="367"/>
        <v>0</v>
      </c>
      <c r="T2782" s="693">
        <f t="shared" si="368"/>
        <v>0</v>
      </c>
      <c r="U2782" s="1035"/>
      <c r="V2782" s="690"/>
      <c r="W2782" s="1025"/>
      <c r="X2782" s="1030"/>
      <c r="Y2782" s="694">
        <f t="shared" si="369"/>
        <v>0</v>
      </c>
      <c r="Z2782" s="690"/>
      <c r="AA2782" s="690"/>
      <c r="AB2782" s="695">
        <f t="shared" si="370"/>
        <v>0</v>
      </c>
      <c r="AC2782" s="1035"/>
      <c r="AD2782" s="690"/>
      <c r="AE2782" s="1025"/>
      <c r="AF2782" s="1030"/>
      <c r="AG2782" s="690"/>
      <c r="AH2782" s="690"/>
      <c r="AI2782" s="696">
        <f t="shared" si="371"/>
        <v>0</v>
      </c>
      <c r="AJ2782" s="697">
        <f t="shared" si="372"/>
        <v>0</v>
      </c>
    </row>
    <row r="2783" spans="1:36" s="700" customFormat="1" ht="12.75" customHeight="1">
      <c r="A2783" s="866" t="s">
        <v>206</v>
      </c>
      <c r="B2783" s="863" t="s">
        <v>295</v>
      </c>
      <c r="C2783" s="864" t="s">
        <v>53</v>
      </c>
      <c r="D2783" s="864"/>
      <c r="E2783" s="868"/>
      <c r="F2783" s="869"/>
      <c r="G2783" s="1025"/>
      <c r="H2783" s="690"/>
      <c r="I2783" s="1030"/>
      <c r="J2783" s="690"/>
      <c r="K2783" s="1030"/>
      <c r="L2783" s="690"/>
      <c r="M2783" s="1025"/>
      <c r="N2783" s="1030"/>
      <c r="O2783" s="692">
        <f t="shared" si="365"/>
        <v>0</v>
      </c>
      <c r="P2783" s="690"/>
      <c r="Q2783" s="690"/>
      <c r="R2783" s="691">
        <f t="shared" si="366"/>
        <v>0</v>
      </c>
      <c r="S2783" s="692">
        <f t="shared" si="367"/>
        <v>0</v>
      </c>
      <c r="T2783" s="693">
        <f t="shared" si="368"/>
        <v>0</v>
      </c>
      <c r="U2783" s="1035"/>
      <c r="V2783" s="690"/>
      <c r="W2783" s="1025"/>
      <c r="X2783" s="1030"/>
      <c r="Y2783" s="694">
        <f t="shared" si="369"/>
        <v>0</v>
      </c>
      <c r="Z2783" s="690"/>
      <c r="AA2783" s="690"/>
      <c r="AB2783" s="695">
        <f t="shared" si="370"/>
        <v>0</v>
      </c>
      <c r="AC2783" s="1035"/>
      <c r="AD2783" s="690"/>
      <c r="AE2783" s="1025"/>
      <c r="AF2783" s="1030"/>
      <c r="AG2783" s="690"/>
      <c r="AH2783" s="690"/>
      <c r="AI2783" s="696">
        <f t="shared" si="371"/>
        <v>0</v>
      </c>
      <c r="AJ2783" s="697">
        <f t="shared" si="372"/>
        <v>0</v>
      </c>
    </row>
    <row r="2784" spans="1:36" s="700" customFormat="1" ht="12.75" customHeight="1">
      <c r="A2784" s="866" t="s">
        <v>206</v>
      </c>
      <c r="B2784" s="863" t="s">
        <v>296</v>
      </c>
      <c r="C2784" s="864" t="s">
        <v>443</v>
      </c>
      <c r="D2784" s="864"/>
      <c r="E2784" s="868"/>
      <c r="F2784" s="869"/>
      <c r="G2784" s="1025"/>
      <c r="H2784" s="690"/>
      <c r="I2784" s="1030"/>
      <c r="J2784" s="690"/>
      <c r="K2784" s="1030"/>
      <c r="L2784" s="690"/>
      <c r="M2784" s="1025"/>
      <c r="N2784" s="1030"/>
      <c r="O2784" s="692">
        <f t="shared" si="365"/>
        <v>0</v>
      </c>
      <c r="P2784" s="690"/>
      <c r="Q2784" s="690"/>
      <c r="R2784" s="691">
        <f t="shared" si="366"/>
        <v>0</v>
      </c>
      <c r="S2784" s="692">
        <f t="shared" si="367"/>
        <v>0</v>
      </c>
      <c r="T2784" s="693">
        <f t="shared" si="368"/>
        <v>0</v>
      </c>
      <c r="U2784" s="1035"/>
      <c r="V2784" s="690"/>
      <c r="W2784" s="1025"/>
      <c r="X2784" s="1030"/>
      <c r="Y2784" s="694">
        <f t="shared" si="369"/>
        <v>0</v>
      </c>
      <c r="Z2784" s="690"/>
      <c r="AA2784" s="690"/>
      <c r="AB2784" s="695">
        <f t="shared" si="370"/>
        <v>0</v>
      </c>
      <c r="AC2784" s="1035"/>
      <c r="AD2784" s="690"/>
      <c r="AE2784" s="1025"/>
      <c r="AF2784" s="1030"/>
      <c r="AG2784" s="690"/>
      <c r="AH2784" s="690"/>
      <c r="AI2784" s="696">
        <f t="shared" si="371"/>
        <v>0</v>
      </c>
      <c r="AJ2784" s="697">
        <f t="shared" si="372"/>
        <v>0</v>
      </c>
    </row>
    <row r="2785" spans="1:36" s="700" customFormat="1" ht="12.75" customHeight="1">
      <c r="A2785" s="866" t="s">
        <v>206</v>
      </c>
      <c r="B2785" s="863" t="s">
        <v>278</v>
      </c>
      <c r="C2785" s="864" t="s">
        <v>377</v>
      </c>
      <c r="D2785" s="864"/>
      <c r="E2785" s="868"/>
      <c r="F2785" s="869"/>
      <c r="G2785" s="1025"/>
      <c r="H2785" s="690"/>
      <c r="I2785" s="1030"/>
      <c r="J2785" s="690"/>
      <c r="K2785" s="1030"/>
      <c r="L2785" s="690"/>
      <c r="M2785" s="1025"/>
      <c r="N2785" s="1030"/>
      <c r="O2785" s="692">
        <f t="shared" si="365"/>
        <v>0</v>
      </c>
      <c r="P2785" s="690"/>
      <c r="Q2785" s="690"/>
      <c r="R2785" s="691">
        <f t="shared" si="366"/>
        <v>0</v>
      </c>
      <c r="S2785" s="692">
        <f t="shared" si="367"/>
        <v>0</v>
      </c>
      <c r="T2785" s="693">
        <f t="shared" si="368"/>
        <v>0</v>
      </c>
      <c r="U2785" s="1035">
        <v>5368733.4993156726</v>
      </c>
      <c r="V2785" s="690">
        <v>5985737</v>
      </c>
      <c r="W2785" s="1025"/>
      <c r="X2785" s="1030"/>
      <c r="Y2785" s="694">
        <f t="shared" si="369"/>
        <v>0</v>
      </c>
      <c r="Z2785" s="690"/>
      <c r="AA2785" s="690"/>
      <c r="AB2785" s="695">
        <f t="shared" si="370"/>
        <v>0</v>
      </c>
      <c r="AC2785" s="1035"/>
      <c r="AD2785" s="690"/>
      <c r="AE2785" s="1025"/>
      <c r="AF2785" s="1030"/>
      <c r="AG2785" s="690"/>
      <c r="AH2785" s="690"/>
      <c r="AI2785" s="696">
        <f t="shared" si="371"/>
        <v>5368733.4993156726</v>
      </c>
      <c r="AJ2785" s="697">
        <f t="shared" si="372"/>
        <v>5985737</v>
      </c>
    </row>
    <row r="2786" spans="1:36" s="700" customFormat="1" ht="12.75" customHeight="1">
      <c r="A2786" s="866" t="s">
        <v>206</v>
      </c>
      <c r="B2786" s="863" t="s">
        <v>279</v>
      </c>
      <c r="C2786" s="864" t="s">
        <v>54</v>
      </c>
      <c r="D2786" s="864"/>
      <c r="E2786" s="868"/>
      <c r="F2786" s="869"/>
      <c r="G2786" s="1025"/>
      <c r="H2786" s="690"/>
      <c r="I2786" s="1030"/>
      <c r="J2786" s="690"/>
      <c r="K2786" s="1030"/>
      <c r="L2786" s="690"/>
      <c r="M2786" s="1025"/>
      <c r="N2786" s="1030"/>
      <c r="O2786" s="692">
        <f t="shared" si="365"/>
        <v>0</v>
      </c>
      <c r="P2786" s="690"/>
      <c r="Q2786" s="690"/>
      <c r="R2786" s="691">
        <f t="shared" si="366"/>
        <v>0</v>
      </c>
      <c r="S2786" s="692">
        <f t="shared" si="367"/>
        <v>0</v>
      </c>
      <c r="T2786" s="693">
        <f t="shared" si="368"/>
        <v>0</v>
      </c>
      <c r="U2786" s="1035"/>
      <c r="V2786" s="690"/>
      <c r="W2786" s="1025"/>
      <c r="X2786" s="1030"/>
      <c r="Y2786" s="694">
        <f t="shared" si="369"/>
        <v>0</v>
      </c>
      <c r="Z2786" s="690"/>
      <c r="AA2786" s="690"/>
      <c r="AB2786" s="695">
        <f t="shared" si="370"/>
        <v>0</v>
      </c>
      <c r="AC2786" s="1035"/>
      <c r="AD2786" s="690"/>
      <c r="AE2786" s="1025"/>
      <c r="AF2786" s="1030"/>
      <c r="AG2786" s="690"/>
      <c r="AH2786" s="690"/>
      <c r="AI2786" s="696">
        <f t="shared" si="371"/>
        <v>0</v>
      </c>
      <c r="AJ2786" s="697">
        <f t="shared" si="372"/>
        <v>0</v>
      </c>
    </row>
    <row r="2787" spans="1:36" s="700" customFormat="1" ht="12.75" customHeight="1">
      <c r="A2787" s="866" t="s">
        <v>206</v>
      </c>
      <c r="B2787" s="863" t="s">
        <v>317</v>
      </c>
      <c r="C2787" s="864" t="s">
        <v>443</v>
      </c>
      <c r="D2787" s="864"/>
      <c r="E2787" s="868"/>
      <c r="F2787" s="869"/>
      <c r="G2787" s="1025"/>
      <c r="H2787" s="690"/>
      <c r="I2787" s="1030"/>
      <c r="J2787" s="690"/>
      <c r="K2787" s="1030"/>
      <c r="L2787" s="690"/>
      <c r="M2787" s="1025"/>
      <c r="N2787" s="1030"/>
      <c r="O2787" s="692">
        <f t="shared" si="365"/>
        <v>0</v>
      </c>
      <c r="P2787" s="690"/>
      <c r="Q2787" s="690"/>
      <c r="R2787" s="691">
        <f t="shared" si="366"/>
        <v>0</v>
      </c>
      <c r="S2787" s="692">
        <f t="shared" si="367"/>
        <v>0</v>
      </c>
      <c r="T2787" s="693">
        <f t="shared" si="368"/>
        <v>0</v>
      </c>
      <c r="U2787" s="1035"/>
      <c r="V2787" s="690"/>
      <c r="W2787" s="1025"/>
      <c r="X2787" s="1030"/>
      <c r="Y2787" s="694">
        <f t="shared" si="369"/>
        <v>0</v>
      </c>
      <c r="Z2787" s="690"/>
      <c r="AA2787" s="690"/>
      <c r="AB2787" s="695">
        <f t="shared" si="370"/>
        <v>0</v>
      </c>
      <c r="AC2787" s="1035"/>
      <c r="AD2787" s="690"/>
      <c r="AE2787" s="1025"/>
      <c r="AF2787" s="1030"/>
      <c r="AG2787" s="690"/>
      <c r="AH2787" s="690"/>
      <c r="AI2787" s="696">
        <f t="shared" si="371"/>
        <v>0</v>
      </c>
      <c r="AJ2787" s="697">
        <f t="shared" si="372"/>
        <v>0</v>
      </c>
    </row>
    <row r="2788" spans="1:36" s="700" customFormat="1" ht="12.75" customHeight="1">
      <c r="A2788" s="866" t="s">
        <v>206</v>
      </c>
      <c r="B2788" s="863" t="s">
        <v>318</v>
      </c>
      <c r="C2788" s="864" t="s">
        <v>377</v>
      </c>
      <c r="D2788" s="864"/>
      <c r="E2788" s="868"/>
      <c r="F2788" s="869"/>
      <c r="G2788" s="1025"/>
      <c r="H2788" s="690"/>
      <c r="I2788" s="1030"/>
      <c r="J2788" s="690"/>
      <c r="K2788" s="1030"/>
      <c r="L2788" s="690"/>
      <c r="M2788" s="1025"/>
      <c r="N2788" s="1030"/>
      <c r="O2788" s="692">
        <f t="shared" si="365"/>
        <v>0</v>
      </c>
      <c r="P2788" s="690"/>
      <c r="Q2788" s="690"/>
      <c r="R2788" s="691">
        <f t="shared" si="366"/>
        <v>0</v>
      </c>
      <c r="S2788" s="692">
        <f t="shared" si="367"/>
        <v>0</v>
      </c>
      <c r="T2788" s="693">
        <f t="shared" si="368"/>
        <v>0</v>
      </c>
      <c r="U2788" s="1035">
        <v>2454740.5006843279</v>
      </c>
      <c r="V2788" s="690">
        <v>2269464</v>
      </c>
      <c r="W2788" s="1025"/>
      <c r="X2788" s="1030"/>
      <c r="Y2788" s="694">
        <f t="shared" si="369"/>
        <v>0</v>
      </c>
      <c r="Z2788" s="690"/>
      <c r="AA2788" s="690"/>
      <c r="AB2788" s="695">
        <f t="shared" si="370"/>
        <v>0</v>
      </c>
      <c r="AC2788" s="1035"/>
      <c r="AD2788" s="690"/>
      <c r="AE2788" s="1025"/>
      <c r="AF2788" s="1030"/>
      <c r="AG2788" s="690"/>
      <c r="AH2788" s="690"/>
      <c r="AI2788" s="696">
        <f t="shared" si="371"/>
        <v>2454740.5006843279</v>
      </c>
      <c r="AJ2788" s="697">
        <f t="shared" si="372"/>
        <v>2269464</v>
      </c>
    </row>
    <row r="2789" spans="1:36" s="700" customFormat="1" ht="12.75" customHeight="1">
      <c r="A2789" s="866" t="s">
        <v>206</v>
      </c>
      <c r="B2789" s="866" t="s">
        <v>420</v>
      </c>
      <c r="C2789" s="961" t="s">
        <v>1556</v>
      </c>
      <c r="D2789" s="961"/>
      <c r="E2789" s="844"/>
      <c r="F2789" s="845"/>
      <c r="G2789" s="1025"/>
      <c r="H2789" s="690"/>
      <c r="I2789" s="1030"/>
      <c r="J2789" s="690"/>
      <c r="K2789" s="1030"/>
      <c r="L2789" s="690"/>
      <c r="M2789" s="1025"/>
      <c r="N2789" s="1030"/>
      <c r="O2789" s="692">
        <f t="shared" si="365"/>
        <v>0</v>
      </c>
      <c r="P2789" s="690"/>
      <c r="Q2789" s="690"/>
      <c r="R2789" s="691">
        <f t="shared" si="366"/>
        <v>0</v>
      </c>
      <c r="S2789" s="692">
        <f t="shared" si="367"/>
        <v>0</v>
      </c>
      <c r="T2789" s="693">
        <f t="shared" si="368"/>
        <v>0</v>
      </c>
      <c r="U2789" s="1035"/>
      <c r="V2789" s="690"/>
      <c r="W2789" s="1025"/>
      <c r="X2789" s="1030"/>
      <c r="Y2789" s="694">
        <f t="shared" si="369"/>
        <v>0</v>
      </c>
      <c r="Z2789" s="690"/>
      <c r="AA2789" s="690"/>
      <c r="AB2789" s="695">
        <f t="shared" si="370"/>
        <v>0</v>
      </c>
      <c r="AC2789" s="1035"/>
      <c r="AD2789" s="690"/>
      <c r="AE2789" s="1025"/>
      <c r="AF2789" s="1030"/>
      <c r="AG2789" s="690"/>
      <c r="AH2789" s="690"/>
      <c r="AI2789" s="696">
        <f t="shared" si="371"/>
        <v>0</v>
      </c>
      <c r="AJ2789" s="697">
        <f t="shared" si="372"/>
        <v>0</v>
      </c>
    </row>
    <row r="2790" spans="1:36" s="700" customFormat="1" ht="12.75" customHeight="1">
      <c r="A2790" s="866" t="s">
        <v>206</v>
      </c>
      <c r="B2790" s="863" t="s">
        <v>295</v>
      </c>
      <c r="C2790" s="864" t="s">
        <v>53</v>
      </c>
      <c r="D2790" s="864"/>
      <c r="E2790" s="868"/>
      <c r="F2790" s="869"/>
      <c r="G2790" s="1025"/>
      <c r="H2790" s="690"/>
      <c r="I2790" s="1030"/>
      <c r="J2790" s="690"/>
      <c r="K2790" s="1030"/>
      <c r="L2790" s="690"/>
      <c r="M2790" s="1025"/>
      <c r="N2790" s="1030"/>
      <c r="O2790" s="692">
        <f t="shared" si="365"/>
        <v>0</v>
      </c>
      <c r="P2790" s="690"/>
      <c r="Q2790" s="690"/>
      <c r="R2790" s="691">
        <f t="shared" si="366"/>
        <v>0</v>
      </c>
      <c r="S2790" s="692">
        <f t="shared" si="367"/>
        <v>0</v>
      </c>
      <c r="T2790" s="693">
        <f t="shared" si="368"/>
        <v>0</v>
      </c>
      <c r="U2790" s="1035"/>
      <c r="V2790" s="690"/>
      <c r="W2790" s="1025"/>
      <c r="X2790" s="1030"/>
      <c r="Y2790" s="694">
        <f t="shared" si="369"/>
        <v>0</v>
      </c>
      <c r="Z2790" s="690"/>
      <c r="AA2790" s="690"/>
      <c r="AB2790" s="695">
        <f t="shared" si="370"/>
        <v>0</v>
      </c>
      <c r="AC2790" s="1035"/>
      <c r="AD2790" s="690"/>
      <c r="AE2790" s="1025"/>
      <c r="AF2790" s="1030"/>
      <c r="AG2790" s="690"/>
      <c r="AH2790" s="690"/>
      <c r="AI2790" s="696">
        <f t="shared" si="371"/>
        <v>0</v>
      </c>
      <c r="AJ2790" s="697">
        <f t="shared" si="372"/>
        <v>0</v>
      </c>
    </row>
    <row r="2791" spans="1:36" s="700" customFormat="1" ht="12.75" customHeight="1">
      <c r="A2791" s="866" t="s">
        <v>206</v>
      </c>
      <c r="B2791" s="863" t="s">
        <v>296</v>
      </c>
      <c r="C2791" s="864" t="s">
        <v>443</v>
      </c>
      <c r="D2791" s="864"/>
      <c r="E2791" s="868"/>
      <c r="F2791" s="869"/>
      <c r="G2791" s="1025"/>
      <c r="H2791" s="690"/>
      <c r="I2791" s="1030"/>
      <c r="J2791" s="690"/>
      <c r="K2791" s="1030"/>
      <c r="L2791" s="690"/>
      <c r="M2791" s="1025"/>
      <c r="N2791" s="1030"/>
      <c r="O2791" s="692">
        <f t="shared" si="365"/>
        <v>0</v>
      </c>
      <c r="P2791" s="690"/>
      <c r="Q2791" s="690"/>
      <c r="R2791" s="691">
        <f t="shared" si="366"/>
        <v>0</v>
      </c>
      <c r="S2791" s="692">
        <f t="shared" si="367"/>
        <v>0</v>
      </c>
      <c r="T2791" s="693">
        <f t="shared" si="368"/>
        <v>0</v>
      </c>
      <c r="U2791" s="1035">
        <v>19862906.429579724</v>
      </c>
      <c r="V2791" s="690">
        <v>19187764</v>
      </c>
      <c r="W2791" s="1025"/>
      <c r="X2791" s="1030"/>
      <c r="Y2791" s="694">
        <f t="shared" si="369"/>
        <v>0</v>
      </c>
      <c r="Z2791" s="690"/>
      <c r="AA2791" s="690"/>
      <c r="AB2791" s="695">
        <f t="shared" si="370"/>
        <v>0</v>
      </c>
      <c r="AC2791" s="1035"/>
      <c r="AD2791" s="690"/>
      <c r="AE2791" s="1025"/>
      <c r="AF2791" s="1030"/>
      <c r="AG2791" s="690"/>
      <c r="AH2791" s="690"/>
      <c r="AI2791" s="696">
        <f t="shared" si="371"/>
        <v>19862906.429579724</v>
      </c>
      <c r="AJ2791" s="697">
        <f t="shared" si="372"/>
        <v>19187764</v>
      </c>
    </row>
    <row r="2792" spans="1:36" s="700" customFormat="1" ht="12.75" customHeight="1">
      <c r="A2792" s="866" t="s">
        <v>206</v>
      </c>
      <c r="B2792" s="863" t="s">
        <v>278</v>
      </c>
      <c r="C2792" s="864" t="s">
        <v>377</v>
      </c>
      <c r="D2792" s="864"/>
      <c r="E2792" s="868"/>
      <c r="F2792" s="869"/>
      <c r="G2792" s="1025"/>
      <c r="H2792" s="690"/>
      <c r="I2792" s="1030"/>
      <c r="J2792" s="690"/>
      <c r="K2792" s="1030"/>
      <c r="L2792" s="690"/>
      <c r="M2792" s="1025"/>
      <c r="N2792" s="1030"/>
      <c r="O2792" s="692">
        <f t="shared" si="365"/>
        <v>0</v>
      </c>
      <c r="P2792" s="690"/>
      <c r="Q2792" s="690"/>
      <c r="R2792" s="691">
        <f t="shared" si="366"/>
        <v>0</v>
      </c>
      <c r="S2792" s="692">
        <f t="shared" si="367"/>
        <v>0</v>
      </c>
      <c r="T2792" s="693">
        <f t="shared" si="368"/>
        <v>0</v>
      </c>
      <c r="U2792" s="1035"/>
      <c r="V2792" s="690"/>
      <c r="W2792" s="1025"/>
      <c r="X2792" s="1030"/>
      <c r="Y2792" s="694">
        <f t="shared" si="369"/>
        <v>0</v>
      </c>
      <c r="Z2792" s="690"/>
      <c r="AA2792" s="690"/>
      <c r="AB2792" s="695">
        <f t="shared" si="370"/>
        <v>0</v>
      </c>
      <c r="AC2792" s="1035"/>
      <c r="AD2792" s="690"/>
      <c r="AE2792" s="1025"/>
      <c r="AF2792" s="1030"/>
      <c r="AG2792" s="690"/>
      <c r="AH2792" s="690"/>
      <c r="AI2792" s="696">
        <f t="shared" si="371"/>
        <v>0</v>
      </c>
      <c r="AJ2792" s="697">
        <f t="shared" si="372"/>
        <v>0</v>
      </c>
    </row>
    <row r="2793" spans="1:36" s="700" customFormat="1" ht="12.75" customHeight="1">
      <c r="A2793" s="866" t="s">
        <v>206</v>
      </c>
      <c r="B2793" s="863" t="s">
        <v>279</v>
      </c>
      <c r="C2793" s="864" t="s">
        <v>54</v>
      </c>
      <c r="D2793" s="864"/>
      <c r="E2793" s="868"/>
      <c r="F2793" s="869"/>
      <c r="G2793" s="1025"/>
      <c r="H2793" s="690"/>
      <c r="I2793" s="1030"/>
      <c r="J2793" s="690"/>
      <c r="K2793" s="1030"/>
      <c r="L2793" s="690"/>
      <c r="M2793" s="1025"/>
      <c r="N2793" s="1030"/>
      <c r="O2793" s="692">
        <f t="shared" si="365"/>
        <v>0</v>
      </c>
      <c r="P2793" s="690"/>
      <c r="Q2793" s="690"/>
      <c r="R2793" s="691">
        <f t="shared" si="366"/>
        <v>0</v>
      </c>
      <c r="S2793" s="692">
        <f t="shared" si="367"/>
        <v>0</v>
      </c>
      <c r="T2793" s="693">
        <f t="shared" si="368"/>
        <v>0</v>
      </c>
      <c r="U2793" s="1035"/>
      <c r="V2793" s="690"/>
      <c r="W2793" s="1025"/>
      <c r="X2793" s="1030"/>
      <c r="Y2793" s="694">
        <f t="shared" si="369"/>
        <v>0</v>
      </c>
      <c r="Z2793" s="690"/>
      <c r="AA2793" s="690"/>
      <c r="AB2793" s="695">
        <f t="shared" si="370"/>
        <v>0</v>
      </c>
      <c r="AC2793" s="1035"/>
      <c r="AD2793" s="690"/>
      <c r="AE2793" s="1025"/>
      <c r="AF2793" s="1030"/>
      <c r="AG2793" s="690"/>
      <c r="AH2793" s="690"/>
      <c r="AI2793" s="696">
        <f t="shared" si="371"/>
        <v>0</v>
      </c>
      <c r="AJ2793" s="697">
        <f t="shared" si="372"/>
        <v>0</v>
      </c>
    </row>
    <row r="2794" spans="1:36" s="700" customFormat="1" ht="12.75" customHeight="1">
      <c r="A2794" s="866" t="s">
        <v>206</v>
      </c>
      <c r="B2794" s="863" t="s">
        <v>317</v>
      </c>
      <c r="C2794" s="864" t="s">
        <v>443</v>
      </c>
      <c r="D2794" s="864"/>
      <c r="E2794" s="868"/>
      <c r="F2794" s="869"/>
      <c r="G2794" s="1025"/>
      <c r="H2794" s="690"/>
      <c r="I2794" s="1030"/>
      <c r="J2794" s="690"/>
      <c r="K2794" s="1030"/>
      <c r="L2794" s="690"/>
      <c r="M2794" s="1025"/>
      <c r="N2794" s="1030"/>
      <c r="O2794" s="692">
        <f t="shared" si="365"/>
        <v>0</v>
      </c>
      <c r="P2794" s="690"/>
      <c r="Q2794" s="690"/>
      <c r="R2794" s="691">
        <f t="shared" si="366"/>
        <v>0</v>
      </c>
      <c r="S2794" s="692">
        <f t="shared" si="367"/>
        <v>0</v>
      </c>
      <c r="T2794" s="693">
        <f t="shared" si="368"/>
        <v>0</v>
      </c>
      <c r="U2794" s="1035">
        <v>5268659.5704202773</v>
      </c>
      <c r="V2794" s="690">
        <v>4443802</v>
      </c>
      <c r="W2794" s="1025"/>
      <c r="X2794" s="1030"/>
      <c r="Y2794" s="694">
        <f t="shared" si="369"/>
        <v>0</v>
      </c>
      <c r="Z2794" s="690"/>
      <c r="AA2794" s="690"/>
      <c r="AB2794" s="695">
        <f t="shared" si="370"/>
        <v>0</v>
      </c>
      <c r="AC2794" s="1035"/>
      <c r="AD2794" s="690"/>
      <c r="AE2794" s="1025"/>
      <c r="AF2794" s="1030"/>
      <c r="AG2794" s="690"/>
      <c r="AH2794" s="690"/>
      <c r="AI2794" s="696">
        <f t="shared" si="371"/>
        <v>5268659.5704202773</v>
      </c>
      <c r="AJ2794" s="697">
        <f t="shared" si="372"/>
        <v>4443802</v>
      </c>
    </row>
    <row r="2795" spans="1:36" s="700" customFormat="1" ht="12.75" customHeight="1">
      <c r="A2795" s="866" t="s">
        <v>206</v>
      </c>
      <c r="B2795" s="863" t="s">
        <v>318</v>
      </c>
      <c r="C2795" s="864" t="s">
        <v>377</v>
      </c>
      <c r="D2795" s="864"/>
      <c r="E2795" s="868"/>
      <c r="F2795" s="869"/>
      <c r="G2795" s="1025"/>
      <c r="H2795" s="690"/>
      <c r="I2795" s="1030"/>
      <c r="J2795" s="690"/>
      <c r="K2795" s="1030"/>
      <c r="L2795" s="690"/>
      <c r="M2795" s="1025"/>
      <c r="N2795" s="1030"/>
      <c r="O2795" s="692">
        <f t="shared" si="365"/>
        <v>0</v>
      </c>
      <c r="P2795" s="690"/>
      <c r="Q2795" s="690"/>
      <c r="R2795" s="691">
        <f t="shared" si="366"/>
        <v>0</v>
      </c>
      <c r="S2795" s="692">
        <f t="shared" si="367"/>
        <v>0</v>
      </c>
      <c r="T2795" s="693">
        <f t="shared" si="368"/>
        <v>0</v>
      </c>
      <c r="U2795" s="1035"/>
      <c r="V2795" s="690"/>
      <c r="W2795" s="1025"/>
      <c r="X2795" s="1030"/>
      <c r="Y2795" s="694">
        <f t="shared" si="369"/>
        <v>0</v>
      </c>
      <c r="Z2795" s="690"/>
      <c r="AA2795" s="690"/>
      <c r="AB2795" s="695">
        <f t="shared" si="370"/>
        <v>0</v>
      </c>
      <c r="AC2795" s="1035"/>
      <c r="AD2795" s="690"/>
      <c r="AE2795" s="1025"/>
      <c r="AF2795" s="1030"/>
      <c r="AG2795" s="690"/>
      <c r="AH2795" s="690"/>
      <c r="AI2795" s="696">
        <f t="shared" si="371"/>
        <v>0</v>
      </c>
      <c r="AJ2795" s="697">
        <f t="shared" si="372"/>
        <v>0</v>
      </c>
    </row>
    <row r="2796" spans="1:36" s="700" customFormat="1" ht="12.75" customHeight="1">
      <c r="A2796" s="866" t="s">
        <v>206</v>
      </c>
      <c r="B2796" s="863" t="s">
        <v>420</v>
      </c>
      <c r="C2796" s="962" t="s">
        <v>1557</v>
      </c>
      <c r="D2796" s="962"/>
      <c r="E2796" s="868"/>
      <c r="F2796" s="869"/>
      <c r="G2796" s="1025"/>
      <c r="H2796" s="690"/>
      <c r="I2796" s="1030"/>
      <c r="J2796" s="690"/>
      <c r="K2796" s="1030"/>
      <c r="L2796" s="690"/>
      <c r="M2796" s="1025"/>
      <c r="N2796" s="1030"/>
      <c r="O2796" s="692">
        <f t="shared" si="365"/>
        <v>0</v>
      </c>
      <c r="P2796" s="690"/>
      <c r="Q2796" s="690"/>
      <c r="R2796" s="691">
        <f t="shared" si="366"/>
        <v>0</v>
      </c>
      <c r="S2796" s="692">
        <f t="shared" si="367"/>
        <v>0</v>
      </c>
      <c r="T2796" s="693">
        <f t="shared" si="368"/>
        <v>0</v>
      </c>
      <c r="U2796" s="1035"/>
      <c r="V2796" s="690"/>
      <c r="W2796" s="1025"/>
      <c r="X2796" s="1030"/>
      <c r="Y2796" s="694">
        <f t="shared" si="369"/>
        <v>0</v>
      </c>
      <c r="Z2796" s="690"/>
      <c r="AA2796" s="690"/>
      <c r="AB2796" s="695">
        <f t="shared" si="370"/>
        <v>0</v>
      </c>
      <c r="AC2796" s="1035"/>
      <c r="AD2796" s="690"/>
      <c r="AE2796" s="1025"/>
      <c r="AF2796" s="1030"/>
      <c r="AG2796" s="690"/>
      <c r="AH2796" s="690"/>
      <c r="AI2796" s="696">
        <f t="shared" si="371"/>
        <v>0</v>
      </c>
      <c r="AJ2796" s="697">
        <f t="shared" si="372"/>
        <v>0</v>
      </c>
    </row>
    <row r="2797" spans="1:36" s="700" customFormat="1" ht="12.75" customHeight="1">
      <c r="A2797" s="866" t="s">
        <v>206</v>
      </c>
      <c r="B2797" s="863" t="s">
        <v>442</v>
      </c>
      <c r="C2797" s="864" t="s">
        <v>443</v>
      </c>
      <c r="D2797" s="864"/>
      <c r="E2797" s="868"/>
      <c r="F2797" s="869"/>
      <c r="G2797" s="1025"/>
      <c r="H2797" s="690"/>
      <c r="I2797" s="1030"/>
      <c r="J2797" s="690"/>
      <c r="K2797" s="1030"/>
      <c r="L2797" s="690"/>
      <c r="M2797" s="1025"/>
      <c r="N2797" s="1030"/>
      <c r="O2797" s="692">
        <f t="shared" si="365"/>
        <v>0</v>
      </c>
      <c r="P2797" s="690"/>
      <c r="Q2797" s="690"/>
      <c r="R2797" s="691">
        <f t="shared" si="366"/>
        <v>0</v>
      </c>
      <c r="S2797" s="692">
        <f t="shared" si="367"/>
        <v>0</v>
      </c>
      <c r="T2797" s="693">
        <f t="shared" si="368"/>
        <v>0</v>
      </c>
      <c r="U2797" s="1035"/>
      <c r="V2797" s="690"/>
      <c r="W2797" s="1025"/>
      <c r="X2797" s="1030"/>
      <c r="Y2797" s="694">
        <f t="shared" si="369"/>
        <v>0</v>
      </c>
      <c r="Z2797" s="690"/>
      <c r="AA2797" s="690"/>
      <c r="AB2797" s="695">
        <f t="shared" si="370"/>
        <v>0</v>
      </c>
      <c r="AC2797" s="1035"/>
      <c r="AD2797" s="690"/>
      <c r="AE2797" s="1025"/>
      <c r="AF2797" s="1030"/>
      <c r="AG2797" s="690"/>
      <c r="AH2797" s="690"/>
      <c r="AI2797" s="696">
        <f t="shared" si="371"/>
        <v>0</v>
      </c>
      <c r="AJ2797" s="697">
        <f t="shared" si="372"/>
        <v>0</v>
      </c>
    </row>
    <row r="2798" spans="1:36" s="700" customFormat="1" ht="12.75" customHeight="1">
      <c r="A2798" s="866" t="s">
        <v>206</v>
      </c>
      <c r="B2798" s="863" t="s">
        <v>379</v>
      </c>
      <c r="C2798" s="864" t="s">
        <v>377</v>
      </c>
      <c r="D2798" s="864"/>
      <c r="E2798" s="868"/>
      <c r="F2798" s="869"/>
      <c r="G2798" s="1025"/>
      <c r="H2798" s="690"/>
      <c r="I2798" s="1030"/>
      <c r="J2798" s="690"/>
      <c r="K2798" s="1030"/>
      <c r="L2798" s="690"/>
      <c r="M2798" s="1025"/>
      <c r="N2798" s="1030"/>
      <c r="O2798" s="692">
        <f t="shared" si="365"/>
        <v>0</v>
      </c>
      <c r="P2798" s="690"/>
      <c r="Q2798" s="690"/>
      <c r="R2798" s="691">
        <f t="shared" si="366"/>
        <v>0</v>
      </c>
      <c r="S2798" s="692">
        <f t="shared" si="367"/>
        <v>0</v>
      </c>
      <c r="T2798" s="693">
        <f t="shared" si="368"/>
        <v>0</v>
      </c>
      <c r="U2798" s="1035">
        <v>1700000</v>
      </c>
      <c r="V2798" s="690">
        <v>1700000</v>
      </c>
      <c r="W2798" s="1025"/>
      <c r="X2798" s="1030"/>
      <c r="Y2798" s="694">
        <f t="shared" si="369"/>
        <v>0</v>
      </c>
      <c r="Z2798" s="690"/>
      <c r="AA2798" s="690"/>
      <c r="AB2798" s="695">
        <f t="shared" si="370"/>
        <v>0</v>
      </c>
      <c r="AC2798" s="1035"/>
      <c r="AD2798" s="690"/>
      <c r="AE2798" s="1025"/>
      <c r="AF2798" s="1030"/>
      <c r="AG2798" s="690"/>
      <c r="AH2798" s="690"/>
      <c r="AI2798" s="696">
        <f t="shared" si="371"/>
        <v>1700000</v>
      </c>
      <c r="AJ2798" s="697">
        <f t="shared" si="372"/>
        <v>1700000</v>
      </c>
    </row>
    <row r="2799" spans="1:36" s="700" customFormat="1" ht="12.75" customHeight="1">
      <c r="A2799" s="866" t="s">
        <v>206</v>
      </c>
      <c r="B2799" s="863" t="s">
        <v>420</v>
      </c>
      <c r="C2799" s="961" t="s">
        <v>1558</v>
      </c>
      <c r="D2799" s="961"/>
      <c r="E2799" s="868"/>
      <c r="F2799" s="869"/>
      <c r="G2799" s="1025"/>
      <c r="H2799" s="690"/>
      <c r="I2799" s="1030"/>
      <c r="J2799" s="690"/>
      <c r="K2799" s="1030"/>
      <c r="L2799" s="690"/>
      <c r="M2799" s="1025"/>
      <c r="N2799" s="1030"/>
      <c r="O2799" s="692">
        <f t="shared" si="365"/>
        <v>0</v>
      </c>
      <c r="P2799" s="690"/>
      <c r="Q2799" s="690"/>
      <c r="R2799" s="691">
        <f t="shared" si="366"/>
        <v>0</v>
      </c>
      <c r="S2799" s="692">
        <f t="shared" si="367"/>
        <v>0</v>
      </c>
      <c r="T2799" s="693">
        <f t="shared" si="368"/>
        <v>0</v>
      </c>
      <c r="U2799" s="1035"/>
      <c r="V2799" s="690"/>
      <c r="W2799" s="1025"/>
      <c r="X2799" s="1030"/>
      <c r="Y2799" s="694">
        <f t="shared" si="369"/>
        <v>0</v>
      </c>
      <c r="Z2799" s="690"/>
      <c r="AA2799" s="690"/>
      <c r="AB2799" s="695">
        <f t="shared" si="370"/>
        <v>0</v>
      </c>
      <c r="AC2799" s="1035"/>
      <c r="AD2799" s="690"/>
      <c r="AE2799" s="1025"/>
      <c r="AF2799" s="1030"/>
      <c r="AG2799" s="690"/>
      <c r="AH2799" s="690"/>
      <c r="AI2799" s="696">
        <f t="shared" si="371"/>
        <v>0</v>
      </c>
      <c r="AJ2799" s="697">
        <f t="shared" si="372"/>
        <v>0</v>
      </c>
    </row>
    <row r="2800" spans="1:36" s="700" customFormat="1" ht="12.75" customHeight="1">
      <c r="A2800" s="866" t="s">
        <v>206</v>
      </c>
      <c r="B2800" s="863" t="s">
        <v>420</v>
      </c>
      <c r="C2800" s="860" t="s">
        <v>1559</v>
      </c>
      <c r="D2800" s="860"/>
      <c r="E2800" s="868"/>
      <c r="F2800" s="869"/>
      <c r="G2800" s="1025"/>
      <c r="H2800" s="690"/>
      <c r="I2800" s="1030"/>
      <c r="J2800" s="690"/>
      <c r="K2800" s="1030"/>
      <c r="L2800" s="690"/>
      <c r="M2800" s="1025"/>
      <c r="N2800" s="1030"/>
      <c r="O2800" s="692">
        <f t="shared" si="365"/>
        <v>0</v>
      </c>
      <c r="P2800" s="690"/>
      <c r="Q2800" s="690"/>
      <c r="R2800" s="691">
        <f t="shared" si="366"/>
        <v>0</v>
      </c>
      <c r="S2800" s="692">
        <f t="shared" si="367"/>
        <v>0</v>
      </c>
      <c r="T2800" s="693">
        <f t="shared" si="368"/>
        <v>0</v>
      </c>
      <c r="U2800" s="1035"/>
      <c r="V2800" s="690"/>
      <c r="W2800" s="1025"/>
      <c r="X2800" s="1030"/>
      <c r="Y2800" s="694">
        <f t="shared" si="369"/>
        <v>0</v>
      </c>
      <c r="Z2800" s="690"/>
      <c r="AA2800" s="690"/>
      <c r="AB2800" s="695">
        <f t="shared" si="370"/>
        <v>0</v>
      </c>
      <c r="AC2800" s="1035"/>
      <c r="AD2800" s="690"/>
      <c r="AE2800" s="1025"/>
      <c r="AF2800" s="1030"/>
      <c r="AG2800" s="690"/>
      <c r="AH2800" s="690"/>
      <c r="AI2800" s="696">
        <f t="shared" si="371"/>
        <v>0</v>
      </c>
      <c r="AJ2800" s="697">
        <f t="shared" si="372"/>
        <v>0</v>
      </c>
    </row>
    <row r="2801" spans="1:36" s="700" customFormat="1" ht="12.75" customHeight="1">
      <c r="A2801" s="866" t="s">
        <v>206</v>
      </c>
      <c r="B2801" s="863" t="s">
        <v>420</v>
      </c>
      <c r="C2801" s="860" t="s">
        <v>1560</v>
      </c>
      <c r="D2801" s="860"/>
      <c r="E2801" s="868"/>
      <c r="F2801" s="869"/>
      <c r="G2801" s="1025"/>
      <c r="H2801" s="690"/>
      <c r="I2801" s="1030"/>
      <c r="J2801" s="690"/>
      <c r="K2801" s="1030"/>
      <c r="L2801" s="690"/>
      <c r="M2801" s="1025"/>
      <c r="N2801" s="1030"/>
      <c r="O2801" s="692">
        <f t="shared" si="365"/>
        <v>0</v>
      </c>
      <c r="P2801" s="690"/>
      <c r="Q2801" s="690"/>
      <c r="R2801" s="691">
        <f t="shared" si="366"/>
        <v>0</v>
      </c>
      <c r="S2801" s="692">
        <f t="shared" si="367"/>
        <v>0</v>
      </c>
      <c r="T2801" s="693">
        <f t="shared" si="368"/>
        <v>0</v>
      </c>
      <c r="U2801" s="1035"/>
      <c r="V2801" s="690"/>
      <c r="W2801" s="1025"/>
      <c r="X2801" s="1030"/>
      <c r="Y2801" s="694">
        <f t="shared" si="369"/>
        <v>0</v>
      </c>
      <c r="Z2801" s="690"/>
      <c r="AA2801" s="690"/>
      <c r="AB2801" s="695">
        <f t="shared" si="370"/>
        <v>0</v>
      </c>
      <c r="AC2801" s="1035"/>
      <c r="AD2801" s="690"/>
      <c r="AE2801" s="1025"/>
      <c r="AF2801" s="1030"/>
      <c r="AG2801" s="690"/>
      <c r="AH2801" s="690"/>
      <c r="AI2801" s="696">
        <f t="shared" si="371"/>
        <v>0</v>
      </c>
      <c r="AJ2801" s="697">
        <f t="shared" si="372"/>
        <v>0</v>
      </c>
    </row>
    <row r="2802" spans="1:36" s="700" customFormat="1" ht="12.75" customHeight="1">
      <c r="A2802" s="866" t="s">
        <v>206</v>
      </c>
      <c r="B2802" s="866" t="s">
        <v>421</v>
      </c>
      <c r="C2802" s="867" t="s">
        <v>181</v>
      </c>
      <c r="D2802" s="867"/>
      <c r="E2802" s="844"/>
      <c r="F2802" s="845"/>
      <c r="G2802" s="1025"/>
      <c r="H2802" s="690"/>
      <c r="I2802" s="1030"/>
      <c r="J2802" s="690"/>
      <c r="K2802" s="1030"/>
      <c r="L2802" s="690"/>
      <c r="M2802" s="1025"/>
      <c r="N2802" s="1030"/>
      <c r="O2802" s="692">
        <f t="shared" si="365"/>
        <v>0</v>
      </c>
      <c r="P2802" s="690"/>
      <c r="Q2802" s="690"/>
      <c r="R2802" s="691">
        <f t="shared" si="366"/>
        <v>0</v>
      </c>
      <c r="S2802" s="692">
        <f t="shared" si="367"/>
        <v>0</v>
      </c>
      <c r="T2802" s="693">
        <f t="shared" si="368"/>
        <v>0</v>
      </c>
      <c r="U2802" s="1035"/>
      <c r="V2802" s="690"/>
      <c r="W2802" s="1025"/>
      <c r="X2802" s="1030"/>
      <c r="Y2802" s="694">
        <f t="shared" si="369"/>
        <v>0</v>
      </c>
      <c r="Z2802" s="690"/>
      <c r="AA2802" s="690"/>
      <c r="AB2802" s="695">
        <f t="shared" si="370"/>
        <v>0</v>
      </c>
      <c r="AC2802" s="1035"/>
      <c r="AD2802" s="690"/>
      <c r="AE2802" s="1025"/>
      <c r="AF2802" s="1030"/>
      <c r="AG2802" s="690"/>
      <c r="AH2802" s="690"/>
      <c r="AI2802" s="696">
        <f t="shared" si="371"/>
        <v>0</v>
      </c>
      <c r="AJ2802" s="697">
        <f t="shared" si="372"/>
        <v>0</v>
      </c>
    </row>
    <row r="2803" spans="1:36" s="700" customFormat="1" ht="12.75" customHeight="1">
      <c r="A2803" s="866" t="s">
        <v>206</v>
      </c>
      <c r="B2803" s="866" t="s">
        <v>422</v>
      </c>
      <c r="C2803" s="867" t="s">
        <v>439</v>
      </c>
      <c r="D2803" s="867"/>
      <c r="E2803" s="844"/>
      <c r="F2803" s="845"/>
      <c r="G2803" s="1025"/>
      <c r="H2803" s="690"/>
      <c r="I2803" s="1030"/>
      <c r="J2803" s="690"/>
      <c r="K2803" s="1030"/>
      <c r="L2803" s="690"/>
      <c r="M2803" s="1025"/>
      <c r="N2803" s="1030"/>
      <c r="O2803" s="692">
        <f t="shared" si="365"/>
        <v>0</v>
      </c>
      <c r="P2803" s="690"/>
      <c r="Q2803" s="690"/>
      <c r="R2803" s="691">
        <f t="shared" si="366"/>
        <v>0</v>
      </c>
      <c r="S2803" s="692">
        <f t="shared" si="367"/>
        <v>0</v>
      </c>
      <c r="T2803" s="693">
        <f t="shared" si="368"/>
        <v>0</v>
      </c>
      <c r="U2803" s="1035"/>
      <c r="V2803" s="690"/>
      <c r="W2803" s="1025"/>
      <c r="X2803" s="1030"/>
      <c r="Y2803" s="694">
        <f t="shared" si="369"/>
        <v>0</v>
      </c>
      <c r="Z2803" s="690"/>
      <c r="AA2803" s="690"/>
      <c r="AB2803" s="695">
        <f t="shared" si="370"/>
        <v>0</v>
      </c>
      <c r="AC2803" s="1035"/>
      <c r="AD2803" s="690"/>
      <c r="AE2803" s="1025"/>
      <c r="AF2803" s="1030"/>
      <c r="AG2803" s="690"/>
      <c r="AH2803" s="690"/>
      <c r="AI2803" s="696">
        <f t="shared" si="371"/>
        <v>0</v>
      </c>
      <c r="AJ2803" s="697">
        <f t="shared" si="372"/>
        <v>0</v>
      </c>
    </row>
    <row r="2804" spans="1:36" s="700" customFormat="1" ht="12.75" customHeight="1">
      <c r="A2804" s="866" t="s">
        <v>206</v>
      </c>
      <c r="B2804" s="866" t="s">
        <v>422</v>
      </c>
      <c r="C2804" s="961" t="s">
        <v>1561</v>
      </c>
      <c r="D2804" s="961"/>
      <c r="E2804" s="844"/>
      <c r="F2804" s="845"/>
      <c r="G2804" s="1025"/>
      <c r="H2804" s="690"/>
      <c r="I2804" s="1030"/>
      <c r="J2804" s="690"/>
      <c r="K2804" s="1030"/>
      <c r="L2804" s="690"/>
      <c r="M2804" s="1025"/>
      <c r="N2804" s="1030"/>
      <c r="O2804" s="692">
        <f t="shared" si="365"/>
        <v>0</v>
      </c>
      <c r="P2804" s="690"/>
      <c r="Q2804" s="690"/>
      <c r="R2804" s="691">
        <f t="shared" si="366"/>
        <v>0</v>
      </c>
      <c r="S2804" s="692">
        <f t="shared" si="367"/>
        <v>0</v>
      </c>
      <c r="T2804" s="693">
        <f t="shared" si="368"/>
        <v>0</v>
      </c>
      <c r="U2804" s="1035"/>
      <c r="V2804" s="690"/>
      <c r="W2804" s="1025"/>
      <c r="X2804" s="1030"/>
      <c r="Y2804" s="694">
        <f t="shared" si="369"/>
        <v>0</v>
      </c>
      <c r="Z2804" s="690"/>
      <c r="AA2804" s="690"/>
      <c r="AB2804" s="695">
        <f t="shared" si="370"/>
        <v>0</v>
      </c>
      <c r="AC2804" s="1035"/>
      <c r="AD2804" s="690"/>
      <c r="AE2804" s="1025"/>
      <c r="AF2804" s="1030"/>
      <c r="AG2804" s="690"/>
      <c r="AH2804" s="690"/>
      <c r="AI2804" s="696">
        <f t="shared" si="371"/>
        <v>0</v>
      </c>
      <c r="AJ2804" s="697">
        <f t="shared" si="372"/>
        <v>0</v>
      </c>
    </row>
    <row r="2805" spans="1:36" s="700" customFormat="1" ht="12.75" customHeight="1">
      <c r="A2805" s="866" t="s">
        <v>206</v>
      </c>
      <c r="B2805" s="863" t="s">
        <v>382</v>
      </c>
      <c r="C2805" s="864" t="s">
        <v>443</v>
      </c>
      <c r="D2805" s="864"/>
      <c r="E2805" s="868"/>
      <c r="F2805" s="869"/>
      <c r="G2805" s="1025"/>
      <c r="H2805" s="690"/>
      <c r="I2805" s="1030"/>
      <c r="J2805" s="690"/>
      <c r="K2805" s="1030"/>
      <c r="L2805" s="690"/>
      <c r="M2805" s="1025"/>
      <c r="N2805" s="1030"/>
      <c r="O2805" s="692">
        <f t="shared" si="365"/>
        <v>0</v>
      </c>
      <c r="P2805" s="690"/>
      <c r="Q2805" s="690"/>
      <c r="R2805" s="691">
        <f t="shared" si="366"/>
        <v>0</v>
      </c>
      <c r="S2805" s="692">
        <f t="shared" si="367"/>
        <v>0</v>
      </c>
      <c r="T2805" s="693">
        <f t="shared" si="368"/>
        <v>0</v>
      </c>
      <c r="U2805" s="1035">
        <v>29536855</v>
      </c>
      <c r="V2805" s="690">
        <v>29560426</v>
      </c>
      <c r="W2805" s="1025"/>
      <c r="X2805" s="1030"/>
      <c r="Y2805" s="694">
        <f t="shared" si="369"/>
        <v>0</v>
      </c>
      <c r="Z2805" s="690"/>
      <c r="AA2805" s="690"/>
      <c r="AB2805" s="695">
        <f t="shared" si="370"/>
        <v>0</v>
      </c>
      <c r="AC2805" s="1035"/>
      <c r="AD2805" s="690"/>
      <c r="AE2805" s="1025"/>
      <c r="AF2805" s="1030"/>
      <c r="AG2805" s="690"/>
      <c r="AH2805" s="690"/>
      <c r="AI2805" s="696">
        <f t="shared" si="371"/>
        <v>29536855</v>
      </c>
      <c r="AJ2805" s="697">
        <f t="shared" si="372"/>
        <v>29560426</v>
      </c>
    </row>
    <row r="2806" spans="1:36" s="700" customFormat="1" ht="12.75" customHeight="1">
      <c r="A2806" s="866" t="s">
        <v>206</v>
      </c>
      <c r="B2806" s="863" t="s">
        <v>383</v>
      </c>
      <c r="C2806" s="864" t="s">
        <v>377</v>
      </c>
      <c r="D2806" s="864"/>
      <c r="E2806" s="868"/>
      <c r="F2806" s="869"/>
      <c r="G2806" s="1025"/>
      <c r="H2806" s="690"/>
      <c r="I2806" s="1030"/>
      <c r="J2806" s="690"/>
      <c r="K2806" s="1030"/>
      <c r="L2806" s="690"/>
      <c r="M2806" s="1025"/>
      <c r="N2806" s="1030"/>
      <c r="O2806" s="692">
        <f t="shared" si="365"/>
        <v>0</v>
      </c>
      <c r="P2806" s="690"/>
      <c r="Q2806" s="690"/>
      <c r="R2806" s="691">
        <f t="shared" si="366"/>
        <v>0</v>
      </c>
      <c r="S2806" s="692">
        <f t="shared" si="367"/>
        <v>0</v>
      </c>
      <c r="T2806" s="693">
        <f t="shared" si="368"/>
        <v>0</v>
      </c>
      <c r="U2806" s="1035"/>
      <c r="V2806" s="690"/>
      <c r="W2806" s="1025"/>
      <c r="X2806" s="1030"/>
      <c r="Y2806" s="694">
        <f t="shared" si="369"/>
        <v>0</v>
      </c>
      <c r="Z2806" s="690"/>
      <c r="AA2806" s="690"/>
      <c r="AB2806" s="695">
        <f t="shared" si="370"/>
        <v>0</v>
      </c>
      <c r="AC2806" s="1035"/>
      <c r="AD2806" s="690"/>
      <c r="AE2806" s="1025"/>
      <c r="AF2806" s="1030"/>
      <c r="AG2806" s="690"/>
      <c r="AH2806" s="690"/>
      <c r="AI2806" s="696">
        <f t="shared" si="371"/>
        <v>0</v>
      </c>
      <c r="AJ2806" s="697">
        <f t="shared" si="372"/>
        <v>0</v>
      </c>
    </row>
    <row r="2807" spans="1:36" s="700" customFormat="1" ht="12.75" customHeight="1">
      <c r="A2807" s="747" t="s">
        <v>215</v>
      </c>
      <c r="B2807" s="747" t="s">
        <v>392</v>
      </c>
      <c r="C2807" s="877" t="s">
        <v>1562</v>
      </c>
      <c r="D2807" s="877"/>
      <c r="E2807" s="963">
        <v>220862</v>
      </c>
      <c r="F2807" s="964">
        <v>1</v>
      </c>
      <c r="G2807" s="1025">
        <v>111306144</v>
      </c>
      <c r="H2807" s="690">
        <v>128551859</v>
      </c>
      <c r="I2807" s="1030"/>
      <c r="J2807" s="690"/>
      <c r="K2807" s="1030"/>
      <c r="L2807" s="690"/>
      <c r="M2807" s="1025">
        <v>121381948</v>
      </c>
      <c r="N2807" s="1030">
        <v>3975100</v>
      </c>
      <c r="O2807" s="692">
        <f t="shared" si="365"/>
        <v>125357048</v>
      </c>
      <c r="P2807" s="690">
        <v>133193148</v>
      </c>
      <c r="Q2807" s="690">
        <v>4255136</v>
      </c>
      <c r="R2807" s="691">
        <f t="shared" si="366"/>
        <v>137448284</v>
      </c>
      <c r="S2807" s="692">
        <f t="shared" si="367"/>
        <v>232688092</v>
      </c>
      <c r="T2807" s="693">
        <f t="shared" si="368"/>
        <v>261745007</v>
      </c>
      <c r="U2807" s="1035"/>
      <c r="V2807" s="690"/>
      <c r="W2807" s="1025"/>
      <c r="X2807" s="1030"/>
      <c r="Y2807" s="694">
        <f t="shared" si="369"/>
        <v>0</v>
      </c>
      <c r="Z2807" s="690"/>
      <c r="AA2807" s="690"/>
      <c r="AB2807" s="695">
        <f t="shared" si="370"/>
        <v>0</v>
      </c>
      <c r="AC2807" s="1035"/>
      <c r="AD2807" s="690"/>
      <c r="AE2807" s="1025"/>
      <c r="AF2807" s="1030"/>
      <c r="AG2807" s="690"/>
      <c r="AH2807" s="690"/>
      <c r="AI2807" s="696">
        <f t="shared" si="371"/>
        <v>232688092</v>
      </c>
      <c r="AJ2807" s="697">
        <f t="shared" si="372"/>
        <v>261745007</v>
      </c>
    </row>
    <row r="2808" spans="1:36" s="700" customFormat="1" ht="12.75" customHeight="1">
      <c r="A2808" s="747" t="s">
        <v>215</v>
      </c>
      <c r="B2808" s="747" t="s">
        <v>392</v>
      </c>
      <c r="C2808" s="965" t="s">
        <v>1563</v>
      </c>
      <c r="D2808" s="965"/>
      <c r="E2808" s="872">
        <v>221759</v>
      </c>
      <c r="F2808" s="873">
        <v>1</v>
      </c>
      <c r="G2808" s="1025">
        <v>174104500</v>
      </c>
      <c r="H2808" s="690">
        <v>209275536.13881433</v>
      </c>
      <c r="I2808" s="1030"/>
      <c r="J2808" s="690"/>
      <c r="K2808" s="1030"/>
      <c r="L2808" s="690"/>
      <c r="M2808" s="1025">
        <v>202582000</v>
      </c>
      <c r="N2808" s="1030">
        <v>1100000</v>
      </c>
      <c r="O2808" s="692">
        <f t="shared" si="365"/>
        <v>203682000</v>
      </c>
      <c r="P2808" s="690">
        <v>217544500</v>
      </c>
      <c r="Q2808" s="690">
        <v>1100124</v>
      </c>
      <c r="R2808" s="691">
        <f t="shared" si="366"/>
        <v>218644624</v>
      </c>
      <c r="S2808" s="692">
        <f t="shared" si="367"/>
        <v>376686500</v>
      </c>
      <c r="T2808" s="693">
        <f t="shared" si="368"/>
        <v>426820036.13881433</v>
      </c>
      <c r="U2808" s="1035"/>
      <c r="V2808" s="690"/>
      <c r="W2808" s="1025"/>
      <c r="X2808" s="1030"/>
      <c r="Y2808" s="694">
        <f t="shared" si="369"/>
        <v>0</v>
      </c>
      <c r="Z2808" s="690"/>
      <c r="AA2808" s="690"/>
      <c r="AB2808" s="695">
        <f t="shared" si="370"/>
        <v>0</v>
      </c>
      <c r="AC2808" s="1035"/>
      <c r="AD2808" s="690"/>
      <c r="AE2808" s="1025"/>
      <c r="AF2808" s="1030"/>
      <c r="AG2808" s="690"/>
      <c r="AH2808" s="690"/>
      <c r="AI2808" s="696">
        <f t="shared" si="371"/>
        <v>376686500</v>
      </c>
      <c r="AJ2808" s="697">
        <f t="shared" si="372"/>
        <v>426820036.13881433</v>
      </c>
    </row>
    <row r="2809" spans="1:36" s="700" customFormat="1" ht="12.75" customHeight="1">
      <c r="A2809" s="747" t="s">
        <v>215</v>
      </c>
      <c r="B2809" s="747" t="s">
        <v>394</v>
      </c>
      <c r="C2809" s="966" t="s">
        <v>1564</v>
      </c>
      <c r="D2809" s="966"/>
      <c r="E2809" s="872">
        <v>221759</v>
      </c>
      <c r="F2809" s="873">
        <v>1</v>
      </c>
      <c r="G2809" s="1025"/>
      <c r="H2809" s="690"/>
      <c r="I2809" s="1030"/>
      <c r="J2809" s="690"/>
      <c r="K2809" s="1030"/>
      <c r="L2809" s="690"/>
      <c r="M2809" s="1025"/>
      <c r="N2809" s="1030"/>
      <c r="O2809" s="692">
        <f t="shared" si="365"/>
        <v>0</v>
      </c>
      <c r="P2809" s="690"/>
      <c r="Q2809" s="690"/>
      <c r="R2809" s="691">
        <f t="shared" si="366"/>
        <v>0</v>
      </c>
      <c r="S2809" s="692">
        <f t="shared" si="367"/>
        <v>0</v>
      </c>
      <c r="T2809" s="693">
        <f t="shared" si="368"/>
        <v>0</v>
      </c>
      <c r="U2809" s="1035"/>
      <c r="V2809" s="690"/>
      <c r="W2809" s="1025"/>
      <c r="X2809" s="1030"/>
      <c r="Y2809" s="694">
        <f t="shared" si="369"/>
        <v>0</v>
      </c>
      <c r="Z2809" s="690"/>
      <c r="AA2809" s="690"/>
      <c r="AB2809" s="695">
        <f t="shared" si="370"/>
        <v>0</v>
      </c>
      <c r="AC2809" s="1035"/>
      <c r="AD2809" s="690"/>
      <c r="AE2809" s="1025"/>
      <c r="AF2809" s="1030"/>
      <c r="AG2809" s="690"/>
      <c r="AH2809" s="690"/>
      <c r="AI2809" s="696">
        <f t="shared" si="371"/>
        <v>0</v>
      </c>
      <c r="AJ2809" s="697">
        <f t="shared" si="372"/>
        <v>0</v>
      </c>
    </row>
    <row r="2810" spans="1:36" s="700" customFormat="1" ht="12.75" customHeight="1">
      <c r="A2810" s="747" t="s">
        <v>215</v>
      </c>
      <c r="B2810" s="747" t="s">
        <v>394</v>
      </c>
      <c r="C2810" s="967" t="s">
        <v>1565</v>
      </c>
      <c r="D2810" s="967"/>
      <c r="E2810" s="872">
        <v>221759</v>
      </c>
      <c r="F2810" s="873">
        <v>1</v>
      </c>
      <c r="G2810" s="1025"/>
      <c r="H2810" s="690"/>
      <c r="I2810" s="1030">
        <v>2645300</v>
      </c>
      <c r="J2810" s="690">
        <v>2791439</v>
      </c>
      <c r="K2810" s="1030"/>
      <c r="L2810" s="690"/>
      <c r="M2810" s="1025"/>
      <c r="N2810" s="1030"/>
      <c r="O2810" s="692">
        <f t="shared" si="365"/>
        <v>0</v>
      </c>
      <c r="P2810" s="690"/>
      <c r="Q2810" s="690"/>
      <c r="R2810" s="691">
        <f t="shared" si="366"/>
        <v>0</v>
      </c>
      <c r="S2810" s="692">
        <f t="shared" si="367"/>
        <v>2645300</v>
      </c>
      <c r="T2810" s="693">
        <f t="shared" si="368"/>
        <v>2791439</v>
      </c>
      <c r="U2810" s="1035"/>
      <c r="V2810" s="690"/>
      <c r="W2810" s="1025"/>
      <c r="X2810" s="1030"/>
      <c r="Y2810" s="694">
        <f t="shared" si="369"/>
        <v>0</v>
      </c>
      <c r="Z2810" s="690"/>
      <c r="AA2810" s="690"/>
      <c r="AB2810" s="695">
        <f t="shared" si="370"/>
        <v>0</v>
      </c>
      <c r="AC2810" s="1035"/>
      <c r="AD2810" s="690"/>
      <c r="AE2810" s="1025"/>
      <c r="AF2810" s="1030"/>
      <c r="AG2810" s="690"/>
      <c r="AH2810" s="690"/>
      <c r="AI2810" s="696">
        <f t="shared" si="371"/>
        <v>2645300</v>
      </c>
      <c r="AJ2810" s="697">
        <f t="shared" si="372"/>
        <v>2791439</v>
      </c>
    </row>
    <row r="2811" spans="1:36" s="700" customFormat="1" ht="12.75" customHeight="1">
      <c r="A2811" s="747" t="s">
        <v>215</v>
      </c>
      <c r="B2811" s="747" t="s">
        <v>394</v>
      </c>
      <c r="C2811" s="967" t="s">
        <v>1566</v>
      </c>
      <c r="D2811" s="967"/>
      <c r="E2811" s="872">
        <v>221759</v>
      </c>
      <c r="F2811" s="873">
        <v>1</v>
      </c>
      <c r="G2811" s="1025"/>
      <c r="H2811" s="690"/>
      <c r="I2811" s="1030">
        <v>1548100</v>
      </c>
      <c r="J2811" s="690">
        <v>1656339</v>
      </c>
      <c r="K2811" s="1030"/>
      <c r="L2811" s="690"/>
      <c r="M2811" s="1025"/>
      <c r="N2811" s="1030"/>
      <c r="O2811" s="692">
        <f t="shared" si="365"/>
        <v>0</v>
      </c>
      <c r="P2811" s="690"/>
      <c r="Q2811" s="690"/>
      <c r="R2811" s="691">
        <f t="shared" si="366"/>
        <v>0</v>
      </c>
      <c r="S2811" s="692">
        <f t="shared" si="367"/>
        <v>1548100</v>
      </c>
      <c r="T2811" s="693">
        <f t="shared" si="368"/>
        <v>1656339</v>
      </c>
      <c r="U2811" s="1035"/>
      <c r="V2811" s="690"/>
      <c r="W2811" s="1025"/>
      <c r="X2811" s="1030"/>
      <c r="Y2811" s="694">
        <f t="shared" si="369"/>
        <v>0</v>
      </c>
      <c r="Z2811" s="690"/>
      <c r="AA2811" s="690"/>
      <c r="AB2811" s="695">
        <f t="shared" si="370"/>
        <v>0</v>
      </c>
      <c r="AC2811" s="1035"/>
      <c r="AD2811" s="690"/>
      <c r="AE2811" s="1025"/>
      <c r="AF2811" s="1030"/>
      <c r="AG2811" s="690"/>
      <c r="AH2811" s="690"/>
      <c r="AI2811" s="696">
        <f t="shared" si="371"/>
        <v>1548100</v>
      </c>
      <c r="AJ2811" s="697">
        <f t="shared" si="372"/>
        <v>1656339</v>
      </c>
    </row>
    <row r="2812" spans="1:36" s="700" customFormat="1" ht="12.75" customHeight="1">
      <c r="A2812" s="747" t="s">
        <v>215</v>
      </c>
      <c r="B2812" s="747" t="s">
        <v>394</v>
      </c>
      <c r="C2812" s="967" t="s">
        <v>1567</v>
      </c>
      <c r="D2812" s="967"/>
      <c r="E2812" s="872">
        <v>221759</v>
      </c>
      <c r="F2812" s="873">
        <v>1</v>
      </c>
      <c r="G2812" s="1025"/>
      <c r="H2812" s="690"/>
      <c r="I2812" s="1030">
        <v>4796600</v>
      </c>
      <c r="J2812" s="690">
        <v>4798857</v>
      </c>
      <c r="K2812" s="1030"/>
      <c r="L2812" s="690"/>
      <c r="M2812" s="1025"/>
      <c r="N2812" s="1030"/>
      <c r="O2812" s="692">
        <f t="shared" si="365"/>
        <v>0</v>
      </c>
      <c r="P2812" s="690"/>
      <c r="Q2812" s="690"/>
      <c r="R2812" s="691">
        <f t="shared" si="366"/>
        <v>0</v>
      </c>
      <c r="S2812" s="692">
        <f t="shared" si="367"/>
        <v>4796600</v>
      </c>
      <c r="T2812" s="693">
        <f t="shared" si="368"/>
        <v>4798857</v>
      </c>
      <c r="U2812" s="1035"/>
      <c r="V2812" s="690"/>
      <c r="W2812" s="1025"/>
      <c r="X2812" s="1030"/>
      <c r="Y2812" s="694">
        <f t="shared" si="369"/>
        <v>0</v>
      </c>
      <c r="Z2812" s="690"/>
      <c r="AA2812" s="690"/>
      <c r="AB2812" s="695">
        <f t="shared" si="370"/>
        <v>0</v>
      </c>
      <c r="AC2812" s="1035"/>
      <c r="AD2812" s="690"/>
      <c r="AE2812" s="1025"/>
      <c r="AF2812" s="1030"/>
      <c r="AG2812" s="690"/>
      <c r="AH2812" s="690"/>
      <c r="AI2812" s="696">
        <f t="shared" si="371"/>
        <v>4796600</v>
      </c>
      <c r="AJ2812" s="697">
        <f t="shared" si="372"/>
        <v>4798857</v>
      </c>
    </row>
    <row r="2813" spans="1:36" s="700" customFormat="1" ht="12.75" customHeight="1">
      <c r="A2813" s="747" t="s">
        <v>215</v>
      </c>
      <c r="B2813" s="747" t="s">
        <v>396</v>
      </c>
      <c r="C2813" s="966" t="s">
        <v>385</v>
      </c>
      <c r="D2813" s="966"/>
      <c r="E2813" s="872">
        <v>221759</v>
      </c>
      <c r="F2813" s="873">
        <v>1</v>
      </c>
      <c r="G2813" s="1025"/>
      <c r="H2813" s="690"/>
      <c r="I2813" s="1030">
        <v>29085000</v>
      </c>
      <c r="J2813" s="690">
        <v>30509976</v>
      </c>
      <c r="K2813" s="1030"/>
      <c r="L2813" s="690"/>
      <c r="M2813" s="1025"/>
      <c r="N2813" s="1030"/>
      <c r="O2813" s="692">
        <f t="shared" si="365"/>
        <v>0</v>
      </c>
      <c r="P2813" s="690"/>
      <c r="Q2813" s="690"/>
      <c r="R2813" s="691">
        <f t="shared" si="366"/>
        <v>0</v>
      </c>
      <c r="S2813" s="692">
        <f t="shared" si="367"/>
        <v>29085000</v>
      </c>
      <c r="T2813" s="693">
        <f t="shared" si="368"/>
        <v>30509976</v>
      </c>
      <c r="U2813" s="1035"/>
      <c r="V2813" s="690"/>
      <c r="W2813" s="1025"/>
      <c r="X2813" s="1030"/>
      <c r="Y2813" s="694">
        <f t="shared" si="369"/>
        <v>0</v>
      </c>
      <c r="Z2813" s="690"/>
      <c r="AA2813" s="690"/>
      <c r="AB2813" s="695">
        <f t="shared" si="370"/>
        <v>0</v>
      </c>
      <c r="AC2813" s="1035"/>
      <c r="AD2813" s="690"/>
      <c r="AE2813" s="1025"/>
      <c r="AF2813" s="1030"/>
      <c r="AG2813" s="690"/>
      <c r="AH2813" s="690"/>
      <c r="AI2813" s="696">
        <f t="shared" si="371"/>
        <v>29085000</v>
      </c>
      <c r="AJ2813" s="697">
        <f t="shared" si="372"/>
        <v>30509976</v>
      </c>
    </row>
    <row r="2814" spans="1:36" s="700" customFormat="1" ht="12.75" customHeight="1">
      <c r="A2814" s="747" t="s">
        <v>215</v>
      </c>
      <c r="B2814" s="747" t="s">
        <v>397</v>
      </c>
      <c r="C2814" s="966" t="s">
        <v>384</v>
      </c>
      <c r="D2814" s="966"/>
      <c r="E2814" s="872">
        <v>221759</v>
      </c>
      <c r="F2814" s="873">
        <v>1</v>
      </c>
      <c r="G2814" s="1025"/>
      <c r="H2814" s="690"/>
      <c r="I2814" s="1030">
        <v>24257200</v>
      </c>
      <c r="J2814" s="690">
        <v>25470415</v>
      </c>
      <c r="K2814" s="1030"/>
      <c r="L2814" s="690"/>
      <c r="M2814" s="1025"/>
      <c r="N2814" s="1030"/>
      <c r="O2814" s="692">
        <f t="shared" si="365"/>
        <v>0</v>
      </c>
      <c r="P2814" s="690"/>
      <c r="Q2814" s="690"/>
      <c r="R2814" s="691">
        <f t="shared" si="366"/>
        <v>0</v>
      </c>
      <c r="S2814" s="692">
        <f t="shared" si="367"/>
        <v>24257200</v>
      </c>
      <c r="T2814" s="693">
        <f t="shared" si="368"/>
        <v>25470415</v>
      </c>
      <c r="U2814" s="1035"/>
      <c r="V2814" s="690"/>
      <c r="W2814" s="1025"/>
      <c r="X2814" s="1030"/>
      <c r="Y2814" s="694">
        <f t="shared" si="369"/>
        <v>0</v>
      </c>
      <c r="Z2814" s="690"/>
      <c r="AA2814" s="690"/>
      <c r="AB2814" s="695">
        <f t="shared" si="370"/>
        <v>0</v>
      </c>
      <c r="AC2814" s="1035"/>
      <c r="AD2814" s="690"/>
      <c r="AE2814" s="1025"/>
      <c r="AF2814" s="1030"/>
      <c r="AG2814" s="690"/>
      <c r="AH2814" s="690"/>
      <c r="AI2814" s="696">
        <f t="shared" si="371"/>
        <v>24257200</v>
      </c>
      <c r="AJ2814" s="697">
        <f t="shared" si="372"/>
        <v>25470415</v>
      </c>
    </row>
    <row r="2815" spans="1:36" s="700" customFormat="1" ht="12.75" customHeight="1">
      <c r="A2815" s="747" t="s">
        <v>215</v>
      </c>
      <c r="B2815" s="747" t="s">
        <v>392</v>
      </c>
      <c r="C2815" s="965" t="s">
        <v>1568</v>
      </c>
      <c r="D2815" s="965"/>
      <c r="E2815" s="872">
        <v>220075</v>
      </c>
      <c r="F2815" s="873">
        <v>3</v>
      </c>
      <c r="G2815" s="1025">
        <v>54010592.770000003</v>
      </c>
      <c r="H2815" s="690">
        <v>64152640</v>
      </c>
      <c r="I2815" s="1030"/>
      <c r="J2815" s="690"/>
      <c r="K2815" s="1030"/>
      <c r="L2815" s="690"/>
      <c r="M2815" s="1025">
        <v>75036540</v>
      </c>
      <c r="N2815" s="1030">
        <v>2566000</v>
      </c>
      <c r="O2815" s="692">
        <f t="shared" si="365"/>
        <v>77602540</v>
      </c>
      <c r="P2815" s="690">
        <v>83893100</v>
      </c>
      <c r="Q2815" s="690">
        <v>2561000</v>
      </c>
      <c r="R2815" s="691">
        <f t="shared" si="366"/>
        <v>86454100</v>
      </c>
      <c r="S2815" s="692">
        <f t="shared" si="367"/>
        <v>129047132.77000001</v>
      </c>
      <c r="T2815" s="693">
        <f t="shared" si="368"/>
        <v>148045740</v>
      </c>
      <c r="U2815" s="1035"/>
      <c r="V2815" s="690"/>
      <c r="W2815" s="1025"/>
      <c r="X2815" s="1030"/>
      <c r="Y2815" s="694">
        <f t="shared" si="369"/>
        <v>0</v>
      </c>
      <c r="Z2815" s="690"/>
      <c r="AA2815" s="690"/>
      <c r="AB2815" s="695">
        <f t="shared" si="370"/>
        <v>0</v>
      </c>
      <c r="AC2815" s="1035"/>
      <c r="AD2815" s="690"/>
      <c r="AE2815" s="1025"/>
      <c r="AF2815" s="1030"/>
      <c r="AG2815" s="690"/>
      <c r="AH2815" s="690"/>
      <c r="AI2815" s="696">
        <f t="shared" si="371"/>
        <v>129047132.77000001</v>
      </c>
      <c r="AJ2815" s="697">
        <f t="shared" si="372"/>
        <v>148045740</v>
      </c>
    </row>
    <row r="2816" spans="1:36" s="700" customFormat="1" ht="12.75" customHeight="1">
      <c r="A2816" s="747" t="s">
        <v>215</v>
      </c>
      <c r="B2816" s="747" t="s">
        <v>408</v>
      </c>
      <c r="C2816" s="967" t="s">
        <v>713</v>
      </c>
      <c r="D2816" s="967"/>
      <c r="E2816" s="872">
        <v>220075</v>
      </c>
      <c r="F2816" s="873">
        <v>3</v>
      </c>
      <c r="G2816" s="1025"/>
      <c r="H2816" s="690"/>
      <c r="I2816" s="1030"/>
      <c r="J2816" s="690"/>
      <c r="K2816" s="1030"/>
      <c r="L2816" s="690"/>
      <c r="M2816" s="1025"/>
      <c r="N2816" s="1030"/>
      <c r="O2816" s="692">
        <f t="shared" si="365"/>
        <v>0</v>
      </c>
      <c r="P2816" s="690"/>
      <c r="Q2816" s="690"/>
      <c r="R2816" s="691">
        <f t="shared" si="366"/>
        <v>0</v>
      </c>
      <c r="S2816" s="692">
        <f t="shared" si="367"/>
        <v>0</v>
      </c>
      <c r="T2816" s="693">
        <f t="shared" si="368"/>
        <v>0</v>
      </c>
      <c r="U2816" s="1035"/>
      <c r="V2816" s="690"/>
      <c r="W2816" s="1025"/>
      <c r="X2816" s="1030"/>
      <c r="Y2816" s="694">
        <f t="shared" si="369"/>
        <v>0</v>
      </c>
      <c r="Z2816" s="690"/>
      <c r="AA2816" s="690"/>
      <c r="AB2816" s="695">
        <f t="shared" si="370"/>
        <v>0</v>
      </c>
      <c r="AC2816" s="1035">
        <v>32847900</v>
      </c>
      <c r="AD2816" s="690">
        <v>35148900</v>
      </c>
      <c r="AE2816" s="1025">
        <v>6722300</v>
      </c>
      <c r="AF2816" s="1030">
        <v>123300</v>
      </c>
      <c r="AG2816" s="690">
        <v>7530100</v>
      </c>
      <c r="AH2816" s="690">
        <v>128400</v>
      </c>
      <c r="AI2816" s="696">
        <f t="shared" si="371"/>
        <v>39570200</v>
      </c>
      <c r="AJ2816" s="697">
        <f t="shared" si="372"/>
        <v>42679000</v>
      </c>
    </row>
    <row r="2817" spans="1:36" s="700" customFormat="1" ht="12.75" customHeight="1">
      <c r="A2817" s="747" t="s">
        <v>215</v>
      </c>
      <c r="B2817" s="747" t="s">
        <v>392</v>
      </c>
      <c r="C2817" s="965" t="s">
        <v>1569</v>
      </c>
      <c r="D2817" s="965"/>
      <c r="E2817" s="872">
        <v>220978</v>
      </c>
      <c r="F2817" s="873">
        <v>3</v>
      </c>
      <c r="G2817" s="1025">
        <v>85052853</v>
      </c>
      <c r="H2817" s="690">
        <v>101858466</v>
      </c>
      <c r="I2817" s="1030"/>
      <c r="J2817" s="690"/>
      <c r="K2817" s="1030"/>
      <c r="L2817" s="690"/>
      <c r="M2817" s="1025">
        <v>127643918</v>
      </c>
      <c r="N2817" s="1030">
        <v>8825000</v>
      </c>
      <c r="O2817" s="692">
        <f t="shared" si="365"/>
        <v>136468918</v>
      </c>
      <c r="P2817" s="690">
        <v>141819541</v>
      </c>
      <c r="Q2817" s="690">
        <v>9125000</v>
      </c>
      <c r="R2817" s="691">
        <f t="shared" si="366"/>
        <v>150944541</v>
      </c>
      <c r="S2817" s="692">
        <f t="shared" si="367"/>
        <v>212696771</v>
      </c>
      <c r="T2817" s="693">
        <f t="shared" si="368"/>
        <v>243678007</v>
      </c>
      <c r="U2817" s="1035"/>
      <c r="V2817" s="690"/>
      <c r="W2817" s="1025"/>
      <c r="X2817" s="1030"/>
      <c r="Y2817" s="694">
        <f t="shared" si="369"/>
        <v>0</v>
      </c>
      <c r="Z2817" s="690"/>
      <c r="AA2817" s="690"/>
      <c r="AB2817" s="695">
        <f t="shared" si="370"/>
        <v>0</v>
      </c>
      <c r="AC2817" s="1035"/>
      <c r="AD2817" s="690"/>
      <c r="AE2817" s="1025"/>
      <c r="AF2817" s="1030"/>
      <c r="AG2817" s="690"/>
      <c r="AH2817" s="690"/>
      <c r="AI2817" s="696">
        <f t="shared" si="371"/>
        <v>212696771</v>
      </c>
      <c r="AJ2817" s="697">
        <f t="shared" si="372"/>
        <v>243678007</v>
      </c>
    </row>
    <row r="2818" spans="1:36" s="700" customFormat="1" ht="12.75" customHeight="1">
      <c r="A2818" s="747" t="s">
        <v>215</v>
      </c>
      <c r="B2818" s="747" t="s">
        <v>392</v>
      </c>
      <c r="C2818" s="877" t="s">
        <v>1570</v>
      </c>
      <c r="D2818" s="877"/>
      <c r="E2818" s="963">
        <v>221847</v>
      </c>
      <c r="F2818" s="964">
        <v>3</v>
      </c>
      <c r="G2818" s="1025">
        <v>46023724.539999999</v>
      </c>
      <c r="H2818" s="690">
        <v>53245700</v>
      </c>
      <c r="I2818" s="1030"/>
      <c r="J2818" s="690"/>
      <c r="K2818" s="1030"/>
      <c r="L2818" s="690"/>
      <c r="M2818" s="1025">
        <v>54640160</v>
      </c>
      <c r="N2818" s="1030">
        <v>550900</v>
      </c>
      <c r="O2818" s="692">
        <f t="shared" si="365"/>
        <v>55191060</v>
      </c>
      <c r="P2818" s="690">
        <v>59195900</v>
      </c>
      <c r="Q2818" s="690">
        <v>564400</v>
      </c>
      <c r="R2818" s="691">
        <f t="shared" si="366"/>
        <v>59760300</v>
      </c>
      <c r="S2818" s="692">
        <f t="shared" si="367"/>
        <v>100663884.53999999</v>
      </c>
      <c r="T2818" s="693">
        <f t="shared" si="368"/>
        <v>112441600</v>
      </c>
      <c r="U2818" s="1035"/>
      <c r="V2818" s="690"/>
      <c r="W2818" s="1025"/>
      <c r="X2818" s="1030"/>
      <c r="Y2818" s="694">
        <f t="shared" si="369"/>
        <v>0</v>
      </c>
      <c r="Z2818" s="690"/>
      <c r="AA2818" s="690"/>
      <c r="AB2818" s="695">
        <f t="shared" si="370"/>
        <v>0</v>
      </c>
      <c r="AC2818" s="1035"/>
      <c r="AD2818" s="690"/>
      <c r="AE2818" s="1025"/>
      <c r="AF2818" s="1030"/>
      <c r="AG2818" s="690"/>
      <c r="AH2818" s="690"/>
      <c r="AI2818" s="696">
        <f t="shared" si="371"/>
        <v>100663884.53999999</v>
      </c>
      <c r="AJ2818" s="697">
        <f t="shared" si="372"/>
        <v>112441600</v>
      </c>
    </row>
    <row r="2819" spans="1:36" s="700" customFormat="1" ht="12.75" customHeight="1">
      <c r="A2819" s="747" t="s">
        <v>215</v>
      </c>
      <c r="B2819" s="747" t="s">
        <v>392</v>
      </c>
      <c r="C2819" s="877" t="s">
        <v>1571</v>
      </c>
      <c r="D2819" s="1074" t="s">
        <v>1977</v>
      </c>
      <c r="E2819" s="872">
        <v>221838</v>
      </c>
      <c r="F2819" s="873">
        <v>3</v>
      </c>
      <c r="G2819" s="1025">
        <v>37112504</v>
      </c>
      <c r="H2819" s="690">
        <v>44986076</v>
      </c>
      <c r="I2819" s="1030"/>
      <c r="J2819" s="690"/>
      <c r="K2819" s="1030"/>
      <c r="L2819" s="690"/>
      <c r="M2819" s="1025">
        <v>55227500</v>
      </c>
      <c r="N2819" s="1030">
        <v>1350000</v>
      </c>
      <c r="O2819" s="692">
        <f t="shared" si="365"/>
        <v>56577500</v>
      </c>
      <c r="P2819" s="690">
        <v>58755000</v>
      </c>
      <c r="Q2819" s="690">
        <v>1549800</v>
      </c>
      <c r="R2819" s="691">
        <f t="shared" si="366"/>
        <v>60304800</v>
      </c>
      <c r="S2819" s="692">
        <f t="shared" si="367"/>
        <v>92340004</v>
      </c>
      <c r="T2819" s="693">
        <f t="shared" si="368"/>
        <v>103741076</v>
      </c>
      <c r="U2819" s="1035"/>
      <c r="V2819" s="690"/>
      <c r="W2819" s="1025"/>
      <c r="X2819" s="1030"/>
      <c r="Y2819" s="694">
        <f t="shared" si="369"/>
        <v>0</v>
      </c>
      <c r="Z2819" s="690"/>
      <c r="AA2819" s="690"/>
      <c r="AB2819" s="695">
        <f t="shared" si="370"/>
        <v>0</v>
      </c>
      <c r="AC2819" s="1035"/>
      <c r="AD2819" s="690"/>
      <c r="AE2819" s="1025"/>
      <c r="AF2819" s="1030"/>
      <c r="AG2819" s="690"/>
      <c r="AH2819" s="690"/>
      <c r="AI2819" s="696">
        <f t="shared" si="371"/>
        <v>92340004</v>
      </c>
      <c r="AJ2819" s="697">
        <f t="shared" si="372"/>
        <v>103741076</v>
      </c>
    </row>
    <row r="2820" spans="1:36" s="700" customFormat="1" ht="12.75" customHeight="1">
      <c r="A2820" s="747" t="s">
        <v>215</v>
      </c>
      <c r="B2820" s="747" t="s">
        <v>396</v>
      </c>
      <c r="C2820" s="966" t="s">
        <v>384</v>
      </c>
      <c r="D2820" s="966"/>
      <c r="E2820" s="872">
        <v>221838</v>
      </c>
      <c r="F2820" s="873">
        <v>3</v>
      </c>
      <c r="G2820" s="1025"/>
      <c r="H2820" s="690"/>
      <c r="I2820" s="1030"/>
      <c r="J2820" s="690"/>
      <c r="K2820" s="1030"/>
      <c r="L2820" s="690"/>
      <c r="M2820" s="1025"/>
      <c r="N2820" s="1030"/>
      <c r="O2820" s="692">
        <f t="shared" si="365"/>
        <v>0</v>
      </c>
      <c r="P2820" s="690"/>
      <c r="Q2820" s="690"/>
      <c r="R2820" s="691">
        <f t="shared" si="366"/>
        <v>0</v>
      </c>
      <c r="S2820" s="692">
        <f t="shared" si="367"/>
        <v>0</v>
      </c>
      <c r="T2820" s="693">
        <f t="shared" si="368"/>
        <v>0</v>
      </c>
      <c r="U2820" s="1035"/>
      <c r="V2820" s="690"/>
      <c r="W2820" s="1025"/>
      <c r="X2820" s="1030"/>
      <c r="Y2820" s="694">
        <f t="shared" si="369"/>
        <v>0</v>
      </c>
      <c r="Z2820" s="690"/>
      <c r="AA2820" s="690"/>
      <c r="AB2820" s="695">
        <f t="shared" si="370"/>
        <v>0</v>
      </c>
      <c r="AC2820" s="1035"/>
      <c r="AD2820" s="690"/>
      <c r="AE2820" s="1025"/>
      <c r="AF2820" s="1030"/>
      <c r="AG2820" s="690"/>
      <c r="AH2820" s="690"/>
      <c r="AI2820" s="696">
        <f t="shared" si="371"/>
        <v>0</v>
      </c>
      <c r="AJ2820" s="697">
        <f t="shared" si="372"/>
        <v>0</v>
      </c>
    </row>
    <row r="2821" spans="1:36" s="700" customFormat="1" ht="12.75" customHeight="1">
      <c r="A2821" s="747" t="s">
        <v>215</v>
      </c>
      <c r="B2821" s="747" t="s">
        <v>396</v>
      </c>
      <c r="C2821" s="967" t="s">
        <v>1572</v>
      </c>
      <c r="D2821" s="967"/>
      <c r="E2821" s="872">
        <v>221838</v>
      </c>
      <c r="F2821" s="873">
        <v>3</v>
      </c>
      <c r="G2821" s="1025"/>
      <c r="H2821" s="690"/>
      <c r="I2821" s="1030">
        <v>521500</v>
      </c>
      <c r="J2821" s="690">
        <v>570600</v>
      </c>
      <c r="K2821" s="1030"/>
      <c r="L2821" s="690"/>
      <c r="M2821" s="1025"/>
      <c r="N2821" s="1030"/>
      <c r="O2821" s="692">
        <f t="shared" si="365"/>
        <v>0</v>
      </c>
      <c r="P2821" s="690"/>
      <c r="Q2821" s="690"/>
      <c r="R2821" s="691">
        <f t="shared" si="366"/>
        <v>0</v>
      </c>
      <c r="S2821" s="692">
        <f t="shared" si="367"/>
        <v>521500</v>
      </c>
      <c r="T2821" s="693">
        <f t="shared" si="368"/>
        <v>570600</v>
      </c>
      <c r="U2821" s="1035"/>
      <c r="V2821" s="690"/>
      <c r="W2821" s="1025"/>
      <c r="X2821" s="1030"/>
      <c r="Y2821" s="694">
        <f t="shared" si="369"/>
        <v>0</v>
      </c>
      <c r="Z2821" s="690"/>
      <c r="AA2821" s="690"/>
      <c r="AB2821" s="695">
        <f t="shared" si="370"/>
        <v>0</v>
      </c>
      <c r="AC2821" s="1035"/>
      <c r="AD2821" s="690"/>
      <c r="AE2821" s="1025"/>
      <c r="AF2821" s="1030"/>
      <c r="AG2821" s="690"/>
      <c r="AH2821" s="690"/>
      <c r="AI2821" s="696">
        <f t="shared" si="371"/>
        <v>521500</v>
      </c>
      <c r="AJ2821" s="697">
        <f t="shared" si="372"/>
        <v>570600</v>
      </c>
    </row>
    <row r="2822" spans="1:36" s="968" customFormat="1" ht="12.75" customHeight="1">
      <c r="A2822" s="747" t="s">
        <v>215</v>
      </c>
      <c r="B2822" s="747" t="s">
        <v>396</v>
      </c>
      <c r="C2822" s="967" t="s">
        <v>1573</v>
      </c>
      <c r="D2822" s="967"/>
      <c r="E2822" s="872">
        <v>221838</v>
      </c>
      <c r="F2822" s="873">
        <v>3</v>
      </c>
      <c r="G2822" s="1025"/>
      <c r="H2822" s="690"/>
      <c r="I2822" s="1030">
        <v>2179200</v>
      </c>
      <c r="J2822" s="690">
        <v>2324700</v>
      </c>
      <c r="K2822" s="1030"/>
      <c r="L2822" s="690"/>
      <c r="M2822" s="1025"/>
      <c r="N2822" s="1030"/>
      <c r="O2822" s="692">
        <f t="shared" si="365"/>
        <v>0</v>
      </c>
      <c r="P2822" s="690"/>
      <c r="Q2822" s="690"/>
      <c r="R2822" s="691">
        <f t="shared" si="366"/>
        <v>0</v>
      </c>
      <c r="S2822" s="692">
        <f t="shared" si="367"/>
        <v>2179200</v>
      </c>
      <c r="T2822" s="693">
        <f t="shared" si="368"/>
        <v>2324700</v>
      </c>
      <c r="U2822" s="1035"/>
      <c r="V2822" s="690"/>
      <c r="W2822" s="1025"/>
      <c r="X2822" s="1030"/>
      <c r="Y2822" s="694">
        <f t="shared" si="369"/>
        <v>0</v>
      </c>
      <c r="Z2822" s="690"/>
      <c r="AA2822" s="690"/>
      <c r="AB2822" s="695">
        <f t="shared" si="370"/>
        <v>0</v>
      </c>
      <c r="AC2822" s="1035"/>
      <c r="AD2822" s="690"/>
      <c r="AE2822" s="1025"/>
      <c r="AF2822" s="1030"/>
      <c r="AG2822" s="690"/>
      <c r="AH2822" s="690"/>
      <c r="AI2822" s="696">
        <f t="shared" si="371"/>
        <v>2179200</v>
      </c>
      <c r="AJ2822" s="697">
        <f t="shared" si="372"/>
        <v>2324700</v>
      </c>
    </row>
    <row r="2823" spans="1:36" s="968" customFormat="1" ht="12.75" customHeight="1">
      <c r="A2823" s="747" t="s">
        <v>215</v>
      </c>
      <c r="B2823" s="747" t="s">
        <v>396</v>
      </c>
      <c r="C2823" s="967" t="s">
        <v>1574</v>
      </c>
      <c r="D2823" s="967"/>
      <c r="E2823" s="872">
        <v>221838</v>
      </c>
      <c r="F2823" s="873">
        <v>3</v>
      </c>
      <c r="G2823" s="1025"/>
      <c r="H2823" s="690"/>
      <c r="I2823" s="1030">
        <v>2433200</v>
      </c>
      <c r="J2823" s="690">
        <v>3067700</v>
      </c>
      <c r="K2823" s="1030"/>
      <c r="L2823" s="690"/>
      <c r="M2823" s="1025"/>
      <c r="N2823" s="1030"/>
      <c r="O2823" s="692">
        <f t="shared" si="365"/>
        <v>0</v>
      </c>
      <c r="P2823" s="690"/>
      <c r="Q2823" s="690"/>
      <c r="R2823" s="691">
        <f t="shared" si="366"/>
        <v>0</v>
      </c>
      <c r="S2823" s="692">
        <f t="shared" si="367"/>
        <v>2433200</v>
      </c>
      <c r="T2823" s="693">
        <f t="shared" si="368"/>
        <v>3067700</v>
      </c>
      <c r="U2823" s="1035"/>
      <c r="V2823" s="690"/>
      <c r="W2823" s="1025"/>
      <c r="X2823" s="1030"/>
      <c r="Y2823" s="694">
        <f t="shared" si="369"/>
        <v>0</v>
      </c>
      <c r="Z2823" s="690"/>
      <c r="AA2823" s="690"/>
      <c r="AB2823" s="695">
        <f t="shared" si="370"/>
        <v>0</v>
      </c>
      <c r="AC2823" s="1035"/>
      <c r="AD2823" s="690"/>
      <c r="AE2823" s="1025"/>
      <c r="AF2823" s="1030"/>
      <c r="AG2823" s="690"/>
      <c r="AH2823" s="690"/>
      <c r="AI2823" s="696">
        <f t="shared" si="371"/>
        <v>2433200</v>
      </c>
      <c r="AJ2823" s="697">
        <f t="shared" si="372"/>
        <v>3067700</v>
      </c>
    </row>
    <row r="2824" spans="1:36" s="968" customFormat="1" ht="12.75" customHeight="1">
      <c r="A2824" s="747" t="s">
        <v>215</v>
      </c>
      <c r="B2824" s="747" t="s">
        <v>396</v>
      </c>
      <c r="C2824" s="967" t="s">
        <v>1575</v>
      </c>
      <c r="D2824" s="967"/>
      <c r="E2824" s="872">
        <v>221838</v>
      </c>
      <c r="F2824" s="873">
        <v>3</v>
      </c>
      <c r="G2824" s="1025"/>
      <c r="H2824" s="690"/>
      <c r="I2824" s="1030">
        <v>185400</v>
      </c>
      <c r="J2824" s="690">
        <v>171900</v>
      </c>
      <c r="K2824" s="1030"/>
      <c r="L2824" s="690"/>
      <c r="M2824" s="1025"/>
      <c r="N2824" s="1030"/>
      <c r="O2824" s="692">
        <f t="shared" si="365"/>
        <v>0</v>
      </c>
      <c r="P2824" s="690"/>
      <c r="Q2824" s="690"/>
      <c r="R2824" s="691">
        <f t="shared" si="366"/>
        <v>0</v>
      </c>
      <c r="S2824" s="692">
        <f t="shared" si="367"/>
        <v>185400</v>
      </c>
      <c r="T2824" s="693">
        <f t="shared" si="368"/>
        <v>171900</v>
      </c>
      <c r="U2824" s="1035"/>
      <c r="V2824" s="690"/>
      <c r="W2824" s="1025"/>
      <c r="X2824" s="1030"/>
      <c r="Y2824" s="694">
        <f t="shared" si="369"/>
        <v>0</v>
      </c>
      <c r="Z2824" s="690"/>
      <c r="AA2824" s="690"/>
      <c r="AB2824" s="695">
        <f t="shared" si="370"/>
        <v>0</v>
      </c>
      <c r="AC2824" s="1035"/>
      <c r="AD2824" s="690"/>
      <c r="AE2824" s="1025"/>
      <c r="AF2824" s="1030"/>
      <c r="AG2824" s="690"/>
      <c r="AH2824" s="690"/>
      <c r="AI2824" s="696">
        <f t="shared" si="371"/>
        <v>185400</v>
      </c>
      <c r="AJ2824" s="697">
        <f t="shared" si="372"/>
        <v>171900</v>
      </c>
    </row>
    <row r="2825" spans="1:36" s="700" customFormat="1" ht="12.75" customHeight="1">
      <c r="A2825" s="747" t="s">
        <v>215</v>
      </c>
      <c r="B2825" s="747" t="s">
        <v>392</v>
      </c>
      <c r="C2825" s="965" t="s">
        <v>1576</v>
      </c>
      <c r="D2825" s="965"/>
      <c r="E2825" s="872">
        <v>221740</v>
      </c>
      <c r="F2825" s="873">
        <v>3</v>
      </c>
      <c r="G2825" s="1025">
        <v>40994800</v>
      </c>
      <c r="H2825" s="690">
        <v>47625853.15269576</v>
      </c>
      <c r="I2825" s="1030"/>
      <c r="J2825" s="690"/>
      <c r="K2825" s="1030"/>
      <c r="L2825" s="690"/>
      <c r="M2825" s="1025">
        <v>48953656</v>
      </c>
      <c r="N2825" s="1030">
        <v>2500000</v>
      </c>
      <c r="O2825" s="692">
        <f t="shared" si="365"/>
        <v>51453656</v>
      </c>
      <c r="P2825" s="690">
        <v>55022239</v>
      </c>
      <c r="Q2825" s="690">
        <v>2500000</v>
      </c>
      <c r="R2825" s="691">
        <f t="shared" si="366"/>
        <v>57522239</v>
      </c>
      <c r="S2825" s="692">
        <f t="shared" si="367"/>
        <v>89948456</v>
      </c>
      <c r="T2825" s="693">
        <f t="shared" si="368"/>
        <v>102648092.15269576</v>
      </c>
      <c r="U2825" s="1035"/>
      <c r="V2825" s="690"/>
      <c r="W2825" s="1025"/>
      <c r="X2825" s="1030"/>
      <c r="Y2825" s="694">
        <f t="shared" si="369"/>
        <v>0</v>
      </c>
      <c r="Z2825" s="690"/>
      <c r="AA2825" s="690"/>
      <c r="AB2825" s="695">
        <f t="shared" si="370"/>
        <v>0</v>
      </c>
      <c r="AC2825" s="1035"/>
      <c r="AD2825" s="690"/>
      <c r="AE2825" s="1025"/>
      <c r="AF2825" s="1030"/>
      <c r="AG2825" s="690"/>
      <c r="AH2825" s="690"/>
      <c r="AI2825" s="696">
        <f t="shared" si="371"/>
        <v>89948456</v>
      </c>
      <c r="AJ2825" s="697">
        <f t="shared" si="372"/>
        <v>102648092.15269576</v>
      </c>
    </row>
    <row r="2826" spans="1:36" s="700" customFormat="1" ht="12.75" customHeight="1">
      <c r="A2826" s="747" t="s">
        <v>215</v>
      </c>
      <c r="B2826" s="747" t="s">
        <v>392</v>
      </c>
      <c r="C2826" s="1088" t="s">
        <v>1577</v>
      </c>
      <c r="D2826" s="1108" t="s">
        <v>1943</v>
      </c>
      <c r="E2826" s="872">
        <v>219602</v>
      </c>
      <c r="F2826" s="1089">
        <v>3</v>
      </c>
      <c r="G2826" s="1025">
        <v>31202500</v>
      </c>
      <c r="H2826" s="690">
        <v>37118400</v>
      </c>
      <c r="I2826" s="1030"/>
      <c r="J2826" s="690"/>
      <c r="K2826" s="1030"/>
      <c r="L2826" s="690"/>
      <c r="M2826" s="1025">
        <v>46568700</v>
      </c>
      <c r="N2826" s="1030">
        <v>1630000</v>
      </c>
      <c r="O2826" s="692">
        <f t="shared" si="365"/>
        <v>48198700</v>
      </c>
      <c r="P2826" s="690">
        <v>55211100</v>
      </c>
      <c r="Q2826" s="690">
        <v>2147100</v>
      </c>
      <c r="R2826" s="691">
        <f t="shared" si="366"/>
        <v>57358200</v>
      </c>
      <c r="S2826" s="692">
        <f t="shared" si="367"/>
        <v>77771200</v>
      </c>
      <c r="T2826" s="693">
        <f t="shared" si="368"/>
        <v>92329500</v>
      </c>
      <c r="U2826" s="1035"/>
      <c r="V2826" s="690"/>
      <c r="W2826" s="1025"/>
      <c r="X2826" s="1030"/>
      <c r="Y2826" s="694">
        <f t="shared" si="369"/>
        <v>0</v>
      </c>
      <c r="Z2826" s="690"/>
      <c r="AA2826" s="690"/>
      <c r="AB2826" s="695">
        <f t="shared" si="370"/>
        <v>0</v>
      </c>
      <c r="AC2826" s="1035"/>
      <c r="AD2826" s="690"/>
      <c r="AE2826" s="1025"/>
      <c r="AF2826" s="1030"/>
      <c r="AG2826" s="690"/>
      <c r="AH2826" s="690"/>
      <c r="AI2826" s="696">
        <f t="shared" si="371"/>
        <v>77771200</v>
      </c>
      <c r="AJ2826" s="697">
        <f t="shared" si="372"/>
        <v>92329500</v>
      </c>
    </row>
    <row r="2827" spans="1:36" s="700" customFormat="1" ht="12.75" customHeight="1">
      <c r="A2827" s="747" t="s">
        <v>215</v>
      </c>
      <c r="B2827" s="747" t="s">
        <v>392</v>
      </c>
      <c r="C2827" s="965" t="s">
        <v>1578</v>
      </c>
      <c r="D2827" s="965"/>
      <c r="E2827" s="872">
        <v>221768</v>
      </c>
      <c r="F2827" s="873">
        <v>5</v>
      </c>
      <c r="G2827" s="1025">
        <v>29114100</v>
      </c>
      <c r="H2827" s="690">
        <v>34093355.342817701</v>
      </c>
      <c r="I2827" s="1030"/>
      <c r="J2827" s="690"/>
      <c r="K2827" s="1030"/>
      <c r="L2827" s="690"/>
      <c r="M2827" s="1025">
        <v>39342000</v>
      </c>
      <c r="N2827" s="1030">
        <v>1800000</v>
      </c>
      <c r="O2827" s="692">
        <f t="shared" si="365"/>
        <v>41142000</v>
      </c>
      <c r="P2827" s="690">
        <v>43458000</v>
      </c>
      <c r="Q2827" s="690">
        <v>2500000</v>
      </c>
      <c r="R2827" s="691">
        <f t="shared" si="366"/>
        <v>45958000</v>
      </c>
      <c r="S2827" s="692">
        <f t="shared" si="367"/>
        <v>68456100</v>
      </c>
      <c r="T2827" s="693">
        <f t="shared" si="368"/>
        <v>77551355.342817694</v>
      </c>
      <c r="U2827" s="1035"/>
      <c r="V2827" s="690"/>
      <c r="W2827" s="1025"/>
      <c r="X2827" s="1030"/>
      <c r="Y2827" s="694">
        <f t="shared" si="369"/>
        <v>0</v>
      </c>
      <c r="Z2827" s="690"/>
      <c r="AA2827" s="690"/>
      <c r="AB2827" s="695">
        <f t="shared" si="370"/>
        <v>0</v>
      </c>
      <c r="AC2827" s="1035"/>
      <c r="AD2827" s="690"/>
      <c r="AE2827" s="1025"/>
      <c r="AF2827" s="1030"/>
      <c r="AG2827" s="690"/>
      <c r="AH2827" s="690"/>
      <c r="AI2827" s="696">
        <f t="shared" si="371"/>
        <v>68456100</v>
      </c>
      <c r="AJ2827" s="697">
        <f t="shared" si="372"/>
        <v>77551355.342817694</v>
      </c>
    </row>
    <row r="2828" spans="1:36" s="700" customFormat="1" ht="12.75" customHeight="1">
      <c r="A2828" s="747" t="s">
        <v>215</v>
      </c>
      <c r="B2828" s="747" t="s">
        <v>392</v>
      </c>
      <c r="C2828" s="965" t="s">
        <v>1579</v>
      </c>
      <c r="D2828" s="965"/>
      <c r="E2828" s="872">
        <v>219824</v>
      </c>
      <c r="F2828" s="873">
        <v>8</v>
      </c>
      <c r="G2828" s="1025">
        <v>22475500</v>
      </c>
      <c r="H2828" s="690">
        <v>25688562</v>
      </c>
      <c r="I2828" s="1030"/>
      <c r="J2828" s="690"/>
      <c r="K2828" s="1030"/>
      <c r="L2828" s="690"/>
      <c r="M2828" s="1025">
        <v>24905000</v>
      </c>
      <c r="N2828" s="1030"/>
      <c r="O2828" s="692">
        <f t="shared" ref="O2828:O2891" si="373">SUM(M2828:N2828)</f>
        <v>24905000</v>
      </c>
      <c r="P2828" s="690">
        <v>29000000</v>
      </c>
      <c r="Q2828" s="690"/>
      <c r="R2828" s="691">
        <f t="shared" ref="R2828:R2891" si="374">SUM(P2828:Q2828)</f>
        <v>29000000</v>
      </c>
      <c r="S2828" s="692">
        <f t="shared" ref="S2828:S2891" si="375">SUM(G2828,I2828,K2828,M2828)</f>
        <v>47380500</v>
      </c>
      <c r="T2828" s="693">
        <f t="shared" ref="T2828:T2891" si="376">SUM(H2828,J2828,L2828,P2828)</f>
        <v>54688562</v>
      </c>
      <c r="U2828" s="1035"/>
      <c r="V2828" s="690"/>
      <c r="W2828" s="1025"/>
      <c r="X2828" s="1030"/>
      <c r="Y2828" s="694">
        <f t="shared" ref="Y2828:Y2891" si="377">SUM(W2828:X2828)</f>
        <v>0</v>
      </c>
      <c r="Z2828" s="690"/>
      <c r="AA2828" s="690"/>
      <c r="AB2828" s="695">
        <f t="shared" ref="AB2828:AB2891" si="378">SUM(Z2828:AA2828)</f>
        <v>0</v>
      </c>
      <c r="AC2828" s="1035"/>
      <c r="AD2828" s="690"/>
      <c r="AE2828" s="1025"/>
      <c r="AF2828" s="1030"/>
      <c r="AG2828" s="690"/>
      <c r="AH2828" s="690"/>
      <c r="AI2828" s="696">
        <f t="shared" ref="AI2828:AI2891" si="379">SUM(S2828,U2828,W2828,AC2828,AE2828)</f>
        <v>47380500</v>
      </c>
      <c r="AJ2828" s="697">
        <f t="shared" ref="AJ2828:AJ2891" si="380">SUM(T2828,V2828,Z2828,AD2828,AG2828)</f>
        <v>54688562</v>
      </c>
    </row>
    <row r="2829" spans="1:36" s="700" customFormat="1" ht="12.75" customHeight="1">
      <c r="A2829" s="747" t="s">
        <v>215</v>
      </c>
      <c r="B2829" s="747" t="s">
        <v>392</v>
      </c>
      <c r="C2829" s="965" t="s">
        <v>1580</v>
      </c>
      <c r="D2829" s="965"/>
      <c r="E2829" s="872">
        <v>221643</v>
      </c>
      <c r="F2829" s="873">
        <v>8</v>
      </c>
      <c r="G2829" s="1025">
        <v>19270324</v>
      </c>
      <c r="H2829" s="690">
        <v>22227320</v>
      </c>
      <c r="I2829" s="1030"/>
      <c r="J2829" s="690"/>
      <c r="K2829" s="1030"/>
      <c r="L2829" s="690"/>
      <c r="M2829" s="1025">
        <v>25000000</v>
      </c>
      <c r="N2829" s="1030">
        <v>275000</v>
      </c>
      <c r="O2829" s="692">
        <f t="shared" si="373"/>
        <v>25275000</v>
      </c>
      <c r="P2829" s="690">
        <v>30350000</v>
      </c>
      <c r="Q2829" s="690">
        <v>310000</v>
      </c>
      <c r="R2829" s="691">
        <f t="shared" si="374"/>
        <v>30660000</v>
      </c>
      <c r="S2829" s="692">
        <f t="shared" si="375"/>
        <v>44270324</v>
      </c>
      <c r="T2829" s="693">
        <f t="shared" si="376"/>
        <v>52577320</v>
      </c>
      <c r="U2829" s="1035"/>
      <c r="V2829" s="690"/>
      <c r="W2829" s="1025"/>
      <c r="X2829" s="1030"/>
      <c r="Y2829" s="694">
        <f t="shared" si="377"/>
        <v>0</v>
      </c>
      <c r="Z2829" s="690"/>
      <c r="AA2829" s="690"/>
      <c r="AB2829" s="695">
        <f t="shared" si="378"/>
        <v>0</v>
      </c>
      <c r="AC2829" s="1035"/>
      <c r="AD2829" s="690"/>
      <c r="AE2829" s="1025"/>
      <c r="AF2829" s="1030"/>
      <c r="AG2829" s="690"/>
      <c r="AH2829" s="690"/>
      <c r="AI2829" s="696">
        <f t="shared" si="379"/>
        <v>44270324</v>
      </c>
      <c r="AJ2829" s="697">
        <f t="shared" si="380"/>
        <v>52577320</v>
      </c>
    </row>
    <row r="2830" spans="1:36" s="700" customFormat="1" ht="12.75" customHeight="1">
      <c r="A2830" s="747" t="s">
        <v>215</v>
      </c>
      <c r="B2830" s="747" t="s">
        <v>392</v>
      </c>
      <c r="C2830" s="965" t="s">
        <v>1581</v>
      </c>
      <c r="D2830" s="965"/>
      <c r="E2830" s="872">
        <v>221485</v>
      </c>
      <c r="F2830" s="873">
        <v>8</v>
      </c>
      <c r="G2830" s="1025">
        <v>36365700</v>
      </c>
      <c r="H2830" s="690">
        <v>40551000</v>
      </c>
      <c r="I2830" s="1030"/>
      <c r="J2830" s="690"/>
      <c r="K2830" s="1030"/>
      <c r="L2830" s="690"/>
      <c r="M2830" s="1025">
        <v>32570500</v>
      </c>
      <c r="N2830" s="1030"/>
      <c r="O2830" s="692">
        <f t="shared" si="373"/>
        <v>32570500</v>
      </c>
      <c r="P2830" s="690">
        <v>34582600</v>
      </c>
      <c r="Q2830" s="690"/>
      <c r="R2830" s="691">
        <f t="shared" si="374"/>
        <v>34582600</v>
      </c>
      <c r="S2830" s="692">
        <f t="shared" si="375"/>
        <v>68936200</v>
      </c>
      <c r="T2830" s="693">
        <f t="shared" si="376"/>
        <v>75133600</v>
      </c>
      <c r="U2830" s="1035"/>
      <c r="V2830" s="690"/>
      <c r="W2830" s="1025"/>
      <c r="X2830" s="1030"/>
      <c r="Y2830" s="694">
        <f t="shared" si="377"/>
        <v>0</v>
      </c>
      <c r="Z2830" s="690"/>
      <c r="AA2830" s="690"/>
      <c r="AB2830" s="695">
        <f t="shared" si="378"/>
        <v>0</v>
      </c>
      <c r="AC2830" s="1035"/>
      <c r="AD2830" s="690"/>
      <c r="AE2830" s="1025"/>
      <c r="AF2830" s="1030"/>
      <c r="AG2830" s="690"/>
      <c r="AH2830" s="690"/>
      <c r="AI2830" s="696">
        <f t="shared" si="379"/>
        <v>68936200</v>
      </c>
      <c r="AJ2830" s="697">
        <f t="shared" si="380"/>
        <v>75133600</v>
      </c>
    </row>
    <row r="2831" spans="1:36" s="700" customFormat="1" ht="12.75" customHeight="1">
      <c r="A2831" s="747" t="s">
        <v>215</v>
      </c>
      <c r="B2831" s="747" t="s">
        <v>392</v>
      </c>
      <c r="C2831" s="965" t="s">
        <v>1582</v>
      </c>
      <c r="D2831" s="965"/>
      <c r="E2831" s="872">
        <v>219879</v>
      </c>
      <c r="F2831" s="873">
        <v>9</v>
      </c>
      <c r="G2831" s="1025">
        <v>9942100</v>
      </c>
      <c r="H2831" s="690">
        <v>11129950</v>
      </c>
      <c r="I2831" s="1030"/>
      <c r="J2831" s="690"/>
      <c r="K2831" s="1030"/>
      <c r="L2831" s="690"/>
      <c r="M2831" s="1025">
        <v>8478500</v>
      </c>
      <c r="N2831" s="1030"/>
      <c r="O2831" s="692">
        <f t="shared" si="373"/>
        <v>8478500</v>
      </c>
      <c r="P2831" s="690">
        <v>9794900</v>
      </c>
      <c r="Q2831" s="690"/>
      <c r="R2831" s="691">
        <f t="shared" si="374"/>
        <v>9794900</v>
      </c>
      <c r="S2831" s="692">
        <f t="shared" si="375"/>
        <v>18420600</v>
      </c>
      <c r="T2831" s="693">
        <f t="shared" si="376"/>
        <v>20924850</v>
      </c>
      <c r="U2831" s="1035"/>
      <c r="V2831" s="690"/>
      <c r="W2831" s="1025"/>
      <c r="X2831" s="1030"/>
      <c r="Y2831" s="694">
        <f t="shared" si="377"/>
        <v>0</v>
      </c>
      <c r="Z2831" s="690"/>
      <c r="AA2831" s="690"/>
      <c r="AB2831" s="695">
        <f t="shared" si="378"/>
        <v>0</v>
      </c>
      <c r="AC2831" s="1035"/>
      <c r="AD2831" s="690"/>
      <c r="AE2831" s="1025"/>
      <c r="AF2831" s="1030"/>
      <c r="AG2831" s="690"/>
      <c r="AH2831" s="690"/>
      <c r="AI2831" s="696">
        <f t="shared" si="379"/>
        <v>18420600</v>
      </c>
      <c r="AJ2831" s="697">
        <f t="shared" si="380"/>
        <v>20924850</v>
      </c>
    </row>
    <row r="2832" spans="1:36" s="700" customFormat="1" ht="12.75" customHeight="1">
      <c r="A2832" s="747" t="s">
        <v>215</v>
      </c>
      <c r="B2832" s="747" t="s">
        <v>392</v>
      </c>
      <c r="C2832" s="965" t="s">
        <v>1583</v>
      </c>
      <c r="D2832" s="965"/>
      <c r="E2832" s="872">
        <v>219888</v>
      </c>
      <c r="F2832" s="873">
        <v>9</v>
      </c>
      <c r="G2832" s="1025">
        <v>12775200</v>
      </c>
      <c r="H2832" s="690">
        <v>14354400</v>
      </c>
      <c r="I2832" s="1030"/>
      <c r="J2832" s="690"/>
      <c r="K2832" s="1030"/>
      <c r="L2832" s="690"/>
      <c r="M2832" s="1025">
        <v>12401200</v>
      </c>
      <c r="N2832" s="1030"/>
      <c r="O2832" s="692">
        <f t="shared" si="373"/>
        <v>12401200</v>
      </c>
      <c r="P2832" s="690">
        <v>13576800</v>
      </c>
      <c r="Q2832" s="690"/>
      <c r="R2832" s="691">
        <f t="shared" si="374"/>
        <v>13576800</v>
      </c>
      <c r="S2832" s="692">
        <f t="shared" si="375"/>
        <v>25176400</v>
      </c>
      <c r="T2832" s="693">
        <f t="shared" si="376"/>
        <v>27931200</v>
      </c>
      <c r="U2832" s="1035"/>
      <c r="V2832" s="690"/>
      <c r="W2832" s="1025"/>
      <c r="X2832" s="1030"/>
      <c r="Y2832" s="694">
        <f t="shared" si="377"/>
        <v>0</v>
      </c>
      <c r="Z2832" s="690"/>
      <c r="AA2832" s="690"/>
      <c r="AB2832" s="695">
        <f t="shared" si="378"/>
        <v>0</v>
      </c>
      <c r="AC2832" s="1035"/>
      <c r="AD2832" s="690"/>
      <c r="AE2832" s="1025"/>
      <c r="AF2832" s="1030"/>
      <c r="AG2832" s="690"/>
      <c r="AH2832" s="690"/>
      <c r="AI2832" s="696">
        <f t="shared" si="379"/>
        <v>25176400</v>
      </c>
      <c r="AJ2832" s="697">
        <f t="shared" si="380"/>
        <v>27931200</v>
      </c>
    </row>
    <row r="2833" spans="1:36" s="700" customFormat="1" ht="12.75" customHeight="1">
      <c r="A2833" s="747" t="s">
        <v>215</v>
      </c>
      <c r="B2833" s="747" t="s">
        <v>392</v>
      </c>
      <c r="C2833" s="965" t="s">
        <v>1584</v>
      </c>
      <c r="D2833" s="965"/>
      <c r="E2833" s="872">
        <v>220400</v>
      </c>
      <c r="F2833" s="873">
        <v>9</v>
      </c>
      <c r="G2833" s="1025">
        <v>11805600</v>
      </c>
      <c r="H2833" s="690">
        <v>13352900</v>
      </c>
      <c r="I2833" s="1030"/>
      <c r="J2833" s="690"/>
      <c r="K2833" s="1030"/>
      <c r="L2833" s="690"/>
      <c r="M2833" s="1025">
        <v>13116100</v>
      </c>
      <c r="N2833" s="1030"/>
      <c r="O2833" s="692">
        <f t="shared" si="373"/>
        <v>13116100</v>
      </c>
      <c r="P2833" s="690">
        <v>14102900</v>
      </c>
      <c r="Q2833" s="690"/>
      <c r="R2833" s="691">
        <f t="shared" si="374"/>
        <v>14102900</v>
      </c>
      <c r="S2833" s="692">
        <f t="shared" si="375"/>
        <v>24921700</v>
      </c>
      <c r="T2833" s="693">
        <f t="shared" si="376"/>
        <v>27455800</v>
      </c>
      <c r="U2833" s="1035"/>
      <c r="V2833" s="690"/>
      <c r="W2833" s="1025"/>
      <c r="X2833" s="1030"/>
      <c r="Y2833" s="694">
        <f t="shared" si="377"/>
        <v>0</v>
      </c>
      <c r="Z2833" s="690"/>
      <c r="AA2833" s="690"/>
      <c r="AB2833" s="695">
        <f t="shared" si="378"/>
        <v>0</v>
      </c>
      <c r="AC2833" s="1035"/>
      <c r="AD2833" s="690"/>
      <c r="AE2833" s="1025"/>
      <c r="AF2833" s="1030"/>
      <c r="AG2833" s="690"/>
      <c r="AH2833" s="690"/>
      <c r="AI2833" s="696">
        <f t="shared" si="379"/>
        <v>24921700</v>
      </c>
      <c r="AJ2833" s="697">
        <f t="shared" si="380"/>
        <v>27455800</v>
      </c>
    </row>
    <row r="2834" spans="1:36" s="700" customFormat="1" ht="12.75" customHeight="1">
      <c r="A2834" s="747" t="s">
        <v>215</v>
      </c>
      <c r="B2834" s="747" t="s">
        <v>392</v>
      </c>
      <c r="C2834" s="965" t="s">
        <v>1585</v>
      </c>
      <c r="D2834" s="965"/>
      <c r="E2834" s="872">
        <v>221096</v>
      </c>
      <c r="F2834" s="873">
        <v>9</v>
      </c>
      <c r="G2834" s="1025">
        <v>9771300</v>
      </c>
      <c r="H2834" s="690">
        <v>11170300</v>
      </c>
      <c r="I2834" s="1030"/>
      <c r="J2834" s="690"/>
      <c r="K2834" s="1030"/>
      <c r="L2834" s="690"/>
      <c r="M2834" s="1025">
        <v>11411000</v>
      </c>
      <c r="N2834" s="1030"/>
      <c r="O2834" s="692">
        <f t="shared" si="373"/>
        <v>11411000</v>
      </c>
      <c r="P2834" s="690">
        <v>12645000</v>
      </c>
      <c r="Q2834" s="690"/>
      <c r="R2834" s="691">
        <f t="shared" si="374"/>
        <v>12645000</v>
      </c>
      <c r="S2834" s="692">
        <f t="shared" si="375"/>
        <v>21182300</v>
      </c>
      <c r="T2834" s="693">
        <f t="shared" si="376"/>
        <v>23815300</v>
      </c>
      <c r="U2834" s="1035"/>
      <c r="V2834" s="690"/>
      <c r="W2834" s="1025"/>
      <c r="X2834" s="1030"/>
      <c r="Y2834" s="694">
        <f t="shared" si="377"/>
        <v>0</v>
      </c>
      <c r="Z2834" s="690"/>
      <c r="AA2834" s="690"/>
      <c r="AB2834" s="695">
        <f t="shared" si="378"/>
        <v>0</v>
      </c>
      <c r="AC2834" s="1035"/>
      <c r="AD2834" s="690"/>
      <c r="AE2834" s="1025"/>
      <c r="AF2834" s="1030"/>
      <c r="AG2834" s="690"/>
      <c r="AH2834" s="690"/>
      <c r="AI2834" s="696">
        <f t="shared" si="379"/>
        <v>21182300</v>
      </c>
      <c r="AJ2834" s="697">
        <f t="shared" si="380"/>
        <v>23815300</v>
      </c>
    </row>
    <row r="2835" spans="1:36" s="700" customFormat="1" ht="12.75" customHeight="1">
      <c r="A2835" s="747" t="s">
        <v>215</v>
      </c>
      <c r="B2835" s="747" t="s">
        <v>392</v>
      </c>
      <c r="C2835" s="877" t="s">
        <v>1586</v>
      </c>
      <c r="D2835" s="1074" t="s">
        <v>1976</v>
      </c>
      <c r="E2835" s="872">
        <v>221184</v>
      </c>
      <c r="F2835" s="873">
        <v>9</v>
      </c>
      <c r="G2835" s="1025">
        <v>14244100</v>
      </c>
      <c r="H2835" s="690">
        <v>16587600</v>
      </c>
      <c r="I2835" s="1030"/>
      <c r="J2835" s="690"/>
      <c r="K2835" s="1030"/>
      <c r="L2835" s="690"/>
      <c r="M2835" s="1025">
        <v>18845100</v>
      </c>
      <c r="N2835" s="1030"/>
      <c r="O2835" s="692">
        <f t="shared" si="373"/>
        <v>18845100</v>
      </c>
      <c r="P2835" s="690">
        <v>23753570</v>
      </c>
      <c r="Q2835" s="690"/>
      <c r="R2835" s="691">
        <f t="shared" si="374"/>
        <v>23753570</v>
      </c>
      <c r="S2835" s="692">
        <f t="shared" si="375"/>
        <v>33089200</v>
      </c>
      <c r="T2835" s="693">
        <f t="shared" si="376"/>
        <v>40341170</v>
      </c>
      <c r="U2835" s="1035"/>
      <c r="V2835" s="690"/>
      <c r="W2835" s="1025"/>
      <c r="X2835" s="1030"/>
      <c r="Y2835" s="694">
        <f t="shared" si="377"/>
        <v>0</v>
      </c>
      <c r="Z2835" s="690"/>
      <c r="AA2835" s="690"/>
      <c r="AB2835" s="695">
        <f t="shared" si="378"/>
        <v>0</v>
      </c>
      <c r="AC2835" s="1035"/>
      <c r="AD2835" s="690"/>
      <c r="AE2835" s="1025"/>
      <c r="AF2835" s="1030"/>
      <c r="AG2835" s="690"/>
      <c r="AH2835" s="690"/>
      <c r="AI2835" s="696">
        <f t="shared" si="379"/>
        <v>33089200</v>
      </c>
      <c r="AJ2835" s="697">
        <f t="shared" si="380"/>
        <v>40341170</v>
      </c>
    </row>
    <row r="2836" spans="1:36" s="700" customFormat="1" ht="12.75" customHeight="1">
      <c r="A2836" s="747" t="s">
        <v>215</v>
      </c>
      <c r="B2836" s="747" t="s">
        <v>392</v>
      </c>
      <c r="C2836" s="965" t="s">
        <v>1587</v>
      </c>
      <c r="D2836" s="965"/>
      <c r="E2836" s="872">
        <v>221908</v>
      </c>
      <c r="F2836" s="873">
        <v>9</v>
      </c>
      <c r="G2836" s="1025">
        <v>11717500</v>
      </c>
      <c r="H2836" s="690">
        <v>13415700</v>
      </c>
      <c r="I2836" s="1030"/>
      <c r="J2836" s="690"/>
      <c r="K2836" s="1030"/>
      <c r="L2836" s="690"/>
      <c r="M2836" s="1025">
        <v>13405400</v>
      </c>
      <c r="N2836" s="1030"/>
      <c r="O2836" s="692">
        <f t="shared" si="373"/>
        <v>13405400</v>
      </c>
      <c r="P2836" s="690">
        <v>16952800</v>
      </c>
      <c r="Q2836" s="690"/>
      <c r="R2836" s="691">
        <f t="shared" si="374"/>
        <v>16952800</v>
      </c>
      <c r="S2836" s="692">
        <f t="shared" si="375"/>
        <v>25122900</v>
      </c>
      <c r="T2836" s="693">
        <f t="shared" si="376"/>
        <v>30368500</v>
      </c>
      <c r="U2836" s="1035"/>
      <c r="V2836" s="690"/>
      <c r="W2836" s="1025"/>
      <c r="X2836" s="1030"/>
      <c r="Y2836" s="694">
        <f t="shared" si="377"/>
        <v>0</v>
      </c>
      <c r="Z2836" s="690"/>
      <c r="AA2836" s="690"/>
      <c r="AB2836" s="695">
        <f t="shared" si="378"/>
        <v>0</v>
      </c>
      <c r="AC2836" s="1035"/>
      <c r="AD2836" s="690"/>
      <c r="AE2836" s="1025"/>
      <c r="AF2836" s="1030"/>
      <c r="AG2836" s="690"/>
      <c r="AH2836" s="690"/>
      <c r="AI2836" s="696">
        <f t="shared" si="379"/>
        <v>25122900</v>
      </c>
      <c r="AJ2836" s="697">
        <f t="shared" si="380"/>
        <v>30368500</v>
      </c>
    </row>
    <row r="2837" spans="1:36" s="700" customFormat="1" ht="12.75" customHeight="1">
      <c r="A2837" s="747" t="s">
        <v>215</v>
      </c>
      <c r="B2837" s="747" t="s">
        <v>392</v>
      </c>
      <c r="C2837" s="965" t="s">
        <v>1588</v>
      </c>
      <c r="D2837" s="965"/>
      <c r="E2837" s="872">
        <v>221397</v>
      </c>
      <c r="F2837" s="873">
        <v>9</v>
      </c>
      <c r="G2837" s="1025">
        <v>17293492.600000001</v>
      </c>
      <c r="H2837" s="690">
        <v>19435643</v>
      </c>
      <c r="I2837" s="1030"/>
      <c r="J2837" s="690"/>
      <c r="K2837" s="1030"/>
      <c r="L2837" s="690"/>
      <c r="M2837" s="1025">
        <v>15490100</v>
      </c>
      <c r="N2837" s="1030"/>
      <c r="O2837" s="692">
        <f t="shared" si="373"/>
        <v>15490100</v>
      </c>
      <c r="P2837" s="690">
        <v>17478900</v>
      </c>
      <c r="Q2837" s="690"/>
      <c r="R2837" s="691">
        <f t="shared" si="374"/>
        <v>17478900</v>
      </c>
      <c r="S2837" s="692">
        <f t="shared" si="375"/>
        <v>32783592.600000001</v>
      </c>
      <c r="T2837" s="693">
        <f t="shared" si="376"/>
        <v>36914543</v>
      </c>
      <c r="U2837" s="1035"/>
      <c r="V2837" s="690"/>
      <c r="W2837" s="1025"/>
      <c r="X2837" s="1030"/>
      <c r="Y2837" s="694">
        <f t="shared" si="377"/>
        <v>0</v>
      </c>
      <c r="Z2837" s="690"/>
      <c r="AA2837" s="690"/>
      <c r="AB2837" s="695">
        <f t="shared" si="378"/>
        <v>0</v>
      </c>
      <c r="AC2837" s="1035"/>
      <c r="AD2837" s="690"/>
      <c r="AE2837" s="1025"/>
      <c r="AF2837" s="1030"/>
      <c r="AG2837" s="690"/>
      <c r="AH2837" s="690"/>
      <c r="AI2837" s="696">
        <f t="shared" si="379"/>
        <v>32783592.600000001</v>
      </c>
      <c r="AJ2837" s="697">
        <f t="shared" si="380"/>
        <v>36914543</v>
      </c>
    </row>
    <row r="2838" spans="1:36" s="700" customFormat="1" ht="12.75" customHeight="1">
      <c r="A2838" s="747" t="s">
        <v>215</v>
      </c>
      <c r="B2838" s="747" t="s">
        <v>392</v>
      </c>
      <c r="C2838" s="877" t="s">
        <v>1589</v>
      </c>
      <c r="D2838" s="1074" t="s">
        <v>1909</v>
      </c>
      <c r="E2838" s="872">
        <v>222053</v>
      </c>
      <c r="F2838" s="873">
        <v>9</v>
      </c>
      <c r="G2838" s="1025">
        <v>17308715</v>
      </c>
      <c r="H2838" s="690">
        <v>19642140</v>
      </c>
      <c r="I2838" s="1030"/>
      <c r="J2838" s="690"/>
      <c r="K2838" s="1030"/>
      <c r="L2838" s="690"/>
      <c r="M2838" s="1025">
        <v>18356675</v>
      </c>
      <c r="N2838" s="1030"/>
      <c r="O2838" s="692">
        <f t="shared" si="373"/>
        <v>18356675</v>
      </c>
      <c r="P2838" s="690">
        <v>21120350</v>
      </c>
      <c r="Q2838" s="690"/>
      <c r="R2838" s="691">
        <f t="shared" si="374"/>
        <v>21120350</v>
      </c>
      <c r="S2838" s="692">
        <f t="shared" si="375"/>
        <v>35665390</v>
      </c>
      <c r="T2838" s="693">
        <f t="shared" si="376"/>
        <v>40762490</v>
      </c>
      <c r="U2838" s="1035"/>
      <c r="V2838" s="690"/>
      <c r="W2838" s="1025"/>
      <c r="X2838" s="1030"/>
      <c r="Y2838" s="694">
        <f t="shared" si="377"/>
        <v>0</v>
      </c>
      <c r="Z2838" s="690"/>
      <c r="AA2838" s="690"/>
      <c r="AB2838" s="695">
        <f t="shared" si="378"/>
        <v>0</v>
      </c>
      <c r="AC2838" s="1035"/>
      <c r="AD2838" s="690"/>
      <c r="AE2838" s="1025"/>
      <c r="AF2838" s="1030"/>
      <c r="AG2838" s="690"/>
      <c r="AH2838" s="690"/>
      <c r="AI2838" s="696">
        <f t="shared" si="379"/>
        <v>35665390</v>
      </c>
      <c r="AJ2838" s="697">
        <f t="shared" si="380"/>
        <v>40762490</v>
      </c>
    </row>
    <row r="2839" spans="1:36" s="700" customFormat="1" ht="12.75" customHeight="1">
      <c r="A2839" s="747" t="s">
        <v>215</v>
      </c>
      <c r="B2839" s="747" t="s">
        <v>392</v>
      </c>
      <c r="C2839" s="965" t="s">
        <v>1590</v>
      </c>
      <c r="D2839" s="965"/>
      <c r="E2839" s="872">
        <v>222062</v>
      </c>
      <c r="F2839" s="873">
        <v>9</v>
      </c>
      <c r="G2839" s="1025">
        <v>17504000</v>
      </c>
      <c r="H2839" s="690">
        <v>19803416</v>
      </c>
      <c r="I2839" s="1030"/>
      <c r="J2839" s="690"/>
      <c r="K2839" s="1030"/>
      <c r="L2839" s="690"/>
      <c r="M2839" s="1025">
        <v>17778800</v>
      </c>
      <c r="N2839" s="1030"/>
      <c r="O2839" s="692">
        <f t="shared" si="373"/>
        <v>17778800</v>
      </c>
      <c r="P2839" s="690">
        <v>19678700</v>
      </c>
      <c r="Q2839" s="690"/>
      <c r="R2839" s="691">
        <f t="shared" si="374"/>
        <v>19678700</v>
      </c>
      <c r="S2839" s="692">
        <f t="shared" si="375"/>
        <v>35282800</v>
      </c>
      <c r="T2839" s="693">
        <f t="shared" si="376"/>
        <v>39482116</v>
      </c>
      <c r="U2839" s="1035"/>
      <c r="V2839" s="690"/>
      <c r="W2839" s="1025"/>
      <c r="X2839" s="1030"/>
      <c r="Y2839" s="694">
        <f t="shared" si="377"/>
        <v>0</v>
      </c>
      <c r="Z2839" s="690"/>
      <c r="AA2839" s="690"/>
      <c r="AB2839" s="695">
        <f t="shared" si="378"/>
        <v>0</v>
      </c>
      <c r="AC2839" s="1035"/>
      <c r="AD2839" s="690"/>
      <c r="AE2839" s="1025"/>
      <c r="AF2839" s="1030"/>
      <c r="AG2839" s="690"/>
      <c r="AH2839" s="690"/>
      <c r="AI2839" s="696">
        <f t="shared" si="379"/>
        <v>35282800</v>
      </c>
      <c r="AJ2839" s="697">
        <f t="shared" si="380"/>
        <v>39482116</v>
      </c>
    </row>
    <row r="2840" spans="1:36" s="700" customFormat="1" ht="12.75" customHeight="1">
      <c r="A2840" s="747" t="s">
        <v>215</v>
      </c>
      <c r="B2840" s="747" t="s">
        <v>392</v>
      </c>
      <c r="C2840" s="877" t="s">
        <v>1591</v>
      </c>
      <c r="D2840" s="1074" t="s">
        <v>1938</v>
      </c>
      <c r="E2840" s="872">
        <v>220057</v>
      </c>
      <c r="F2840" s="873">
        <v>10</v>
      </c>
      <c r="G2840" s="1025">
        <v>6977000</v>
      </c>
      <c r="H2840" s="690">
        <v>7857000</v>
      </c>
      <c r="I2840" s="1030"/>
      <c r="J2840" s="690"/>
      <c r="K2840" s="1030"/>
      <c r="L2840" s="690"/>
      <c r="M2840" s="1025">
        <v>7223700</v>
      </c>
      <c r="N2840" s="1030"/>
      <c r="O2840" s="692">
        <f t="shared" si="373"/>
        <v>7223700</v>
      </c>
      <c r="P2840" s="690">
        <v>8993400</v>
      </c>
      <c r="Q2840" s="690"/>
      <c r="R2840" s="691">
        <f t="shared" si="374"/>
        <v>8993400</v>
      </c>
      <c r="S2840" s="692">
        <f t="shared" si="375"/>
        <v>14200700</v>
      </c>
      <c r="T2840" s="693">
        <f t="shared" si="376"/>
        <v>16850400</v>
      </c>
      <c r="U2840" s="1035"/>
      <c r="V2840" s="690"/>
      <c r="W2840" s="1025"/>
      <c r="X2840" s="1030"/>
      <c r="Y2840" s="694">
        <f t="shared" si="377"/>
        <v>0</v>
      </c>
      <c r="Z2840" s="690"/>
      <c r="AA2840" s="690"/>
      <c r="AB2840" s="695">
        <f t="shared" si="378"/>
        <v>0</v>
      </c>
      <c r="AC2840" s="1035"/>
      <c r="AD2840" s="690"/>
      <c r="AE2840" s="1025"/>
      <c r="AF2840" s="1030"/>
      <c r="AG2840" s="690"/>
      <c r="AH2840" s="690"/>
      <c r="AI2840" s="696">
        <f t="shared" si="379"/>
        <v>14200700</v>
      </c>
      <c r="AJ2840" s="697">
        <f t="shared" si="380"/>
        <v>16850400</v>
      </c>
    </row>
    <row r="2841" spans="1:36" s="700" customFormat="1" ht="12.75" customHeight="1">
      <c r="A2841" s="747" t="s">
        <v>215</v>
      </c>
      <c r="B2841" s="747" t="s">
        <v>392</v>
      </c>
      <c r="C2841" s="965" t="s">
        <v>1592</v>
      </c>
      <c r="D2841" s="965"/>
      <c r="E2841" s="872">
        <v>219596</v>
      </c>
      <c r="F2841" s="873">
        <v>13</v>
      </c>
      <c r="G2841" s="1025">
        <v>1271000</v>
      </c>
      <c r="H2841" s="690">
        <v>1393700</v>
      </c>
      <c r="I2841" s="1030"/>
      <c r="J2841" s="690"/>
      <c r="K2841" s="1030"/>
      <c r="L2841" s="690"/>
      <c r="M2841" s="1025">
        <v>470730.40492085787</v>
      </c>
      <c r="N2841" s="1030"/>
      <c r="O2841" s="692">
        <f t="shared" si="373"/>
        <v>470730.40492085787</v>
      </c>
      <c r="P2841" s="690">
        <v>518000</v>
      </c>
      <c r="Q2841" s="690"/>
      <c r="R2841" s="691">
        <f t="shared" si="374"/>
        <v>518000</v>
      </c>
      <c r="S2841" s="692">
        <f t="shared" si="375"/>
        <v>1741730.4049208579</v>
      </c>
      <c r="T2841" s="693">
        <f t="shared" si="376"/>
        <v>1911700</v>
      </c>
      <c r="U2841" s="1035"/>
      <c r="V2841" s="690"/>
      <c r="W2841" s="1025"/>
      <c r="X2841" s="1030"/>
      <c r="Y2841" s="694">
        <f t="shared" si="377"/>
        <v>0</v>
      </c>
      <c r="Z2841" s="690"/>
      <c r="AA2841" s="690"/>
      <c r="AB2841" s="695">
        <f t="shared" si="378"/>
        <v>0</v>
      </c>
      <c r="AC2841" s="1035"/>
      <c r="AD2841" s="690"/>
      <c r="AE2841" s="1025"/>
      <c r="AF2841" s="1030"/>
      <c r="AG2841" s="690"/>
      <c r="AH2841" s="690"/>
      <c r="AI2841" s="696">
        <f t="shared" si="379"/>
        <v>1741730.4049208579</v>
      </c>
      <c r="AJ2841" s="697">
        <f t="shared" si="380"/>
        <v>1911700</v>
      </c>
    </row>
    <row r="2842" spans="1:36" s="700" customFormat="1" ht="12.75" customHeight="1">
      <c r="A2842" s="747" t="s">
        <v>215</v>
      </c>
      <c r="B2842" s="747" t="s">
        <v>392</v>
      </c>
      <c r="C2842" s="877" t="s">
        <v>1593</v>
      </c>
      <c r="D2842" s="1074" t="s">
        <v>1978</v>
      </c>
      <c r="E2842" s="872" t="s">
        <v>1594</v>
      </c>
      <c r="F2842" s="873">
        <v>13</v>
      </c>
      <c r="G2842" s="1025">
        <v>2921600</v>
      </c>
      <c r="H2842" s="690">
        <v>3203800</v>
      </c>
      <c r="I2842" s="1030"/>
      <c r="J2842" s="690"/>
      <c r="K2842" s="1030"/>
      <c r="L2842" s="690"/>
      <c r="M2842" s="1025">
        <v>1649931.3183630707</v>
      </c>
      <c r="N2842" s="1030"/>
      <c r="O2842" s="692">
        <f t="shared" si="373"/>
        <v>1649931.3183630707</v>
      </c>
      <c r="P2842" s="690">
        <v>2000000</v>
      </c>
      <c r="Q2842" s="690"/>
      <c r="R2842" s="691">
        <f t="shared" si="374"/>
        <v>2000000</v>
      </c>
      <c r="S2842" s="692">
        <f t="shared" si="375"/>
        <v>4571531.3183630705</v>
      </c>
      <c r="T2842" s="693">
        <f t="shared" si="376"/>
        <v>5203800</v>
      </c>
      <c r="U2842" s="1035"/>
      <c r="V2842" s="690"/>
      <c r="W2842" s="1025"/>
      <c r="X2842" s="1030"/>
      <c r="Y2842" s="694">
        <f t="shared" si="377"/>
        <v>0</v>
      </c>
      <c r="Z2842" s="690"/>
      <c r="AA2842" s="690"/>
      <c r="AB2842" s="695">
        <f t="shared" si="378"/>
        <v>0</v>
      </c>
      <c r="AC2842" s="1035"/>
      <c r="AD2842" s="690"/>
      <c r="AE2842" s="1025"/>
      <c r="AF2842" s="1030"/>
      <c r="AG2842" s="690"/>
      <c r="AH2842" s="690"/>
      <c r="AI2842" s="696">
        <f t="shared" si="379"/>
        <v>4571531.3183630705</v>
      </c>
      <c r="AJ2842" s="697">
        <f t="shared" si="380"/>
        <v>5203800</v>
      </c>
    </row>
    <row r="2843" spans="1:36" s="700" customFormat="1" ht="12.75" customHeight="1">
      <c r="A2843" s="747" t="s">
        <v>215</v>
      </c>
      <c r="B2843" s="747" t="s">
        <v>392</v>
      </c>
      <c r="C2843" s="965" t="s">
        <v>1595</v>
      </c>
      <c r="D2843" s="965"/>
      <c r="E2843" s="872">
        <v>219921</v>
      </c>
      <c r="F2843" s="873">
        <v>13</v>
      </c>
      <c r="G2843" s="1025">
        <v>1065800</v>
      </c>
      <c r="H2843" s="690">
        <v>1168700</v>
      </c>
      <c r="I2843" s="1030"/>
      <c r="J2843" s="690"/>
      <c r="K2843" s="1030"/>
      <c r="L2843" s="690"/>
      <c r="M2843" s="1025">
        <v>287488.03274508048</v>
      </c>
      <c r="N2843" s="1030"/>
      <c r="O2843" s="692">
        <f t="shared" si="373"/>
        <v>287488.03274508048</v>
      </c>
      <c r="P2843" s="690">
        <v>408000</v>
      </c>
      <c r="Q2843" s="690"/>
      <c r="R2843" s="691">
        <f t="shared" si="374"/>
        <v>408000</v>
      </c>
      <c r="S2843" s="692">
        <f t="shared" si="375"/>
        <v>1353288.0327450805</v>
      </c>
      <c r="T2843" s="693">
        <f t="shared" si="376"/>
        <v>1576700</v>
      </c>
      <c r="U2843" s="1035"/>
      <c r="V2843" s="690"/>
      <c r="W2843" s="1025"/>
      <c r="X2843" s="1030"/>
      <c r="Y2843" s="694">
        <f t="shared" si="377"/>
        <v>0</v>
      </c>
      <c r="Z2843" s="690"/>
      <c r="AA2843" s="690"/>
      <c r="AB2843" s="695">
        <f t="shared" si="378"/>
        <v>0</v>
      </c>
      <c r="AC2843" s="1035"/>
      <c r="AD2843" s="690"/>
      <c r="AE2843" s="1025"/>
      <c r="AF2843" s="1030"/>
      <c r="AG2843" s="690"/>
      <c r="AH2843" s="690"/>
      <c r="AI2843" s="696">
        <f t="shared" si="379"/>
        <v>1353288.0327450805</v>
      </c>
      <c r="AJ2843" s="697">
        <f t="shared" si="380"/>
        <v>1576700</v>
      </c>
    </row>
    <row r="2844" spans="1:36" s="700" customFormat="1" ht="12.75" customHeight="1">
      <c r="A2844" s="747" t="s">
        <v>215</v>
      </c>
      <c r="B2844" s="747" t="s">
        <v>392</v>
      </c>
      <c r="C2844" s="965" t="s">
        <v>1596</v>
      </c>
      <c r="D2844" s="965"/>
      <c r="E2844" s="872">
        <v>221591</v>
      </c>
      <c r="F2844" s="873">
        <v>13</v>
      </c>
      <c r="G2844" s="1025">
        <v>2132000</v>
      </c>
      <c r="H2844" s="690">
        <v>2337900</v>
      </c>
      <c r="I2844" s="1030"/>
      <c r="J2844" s="690"/>
      <c r="K2844" s="1030"/>
      <c r="L2844" s="690"/>
      <c r="M2844" s="1025">
        <v>737469.3013895544</v>
      </c>
      <c r="N2844" s="1030"/>
      <c r="O2844" s="692">
        <f t="shared" si="373"/>
        <v>737469.3013895544</v>
      </c>
      <c r="P2844" s="690">
        <v>865000</v>
      </c>
      <c r="Q2844" s="690"/>
      <c r="R2844" s="691">
        <f t="shared" si="374"/>
        <v>865000</v>
      </c>
      <c r="S2844" s="692">
        <f t="shared" si="375"/>
        <v>2869469.3013895545</v>
      </c>
      <c r="T2844" s="693">
        <f t="shared" si="376"/>
        <v>3202900</v>
      </c>
      <c r="U2844" s="1035"/>
      <c r="V2844" s="690"/>
      <c r="W2844" s="1025"/>
      <c r="X2844" s="1030"/>
      <c r="Y2844" s="694">
        <f t="shared" si="377"/>
        <v>0</v>
      </c>
      <c r="Z2844" s="690"/>
      <c r="AA2844" s="690"/>
      <c r="AB2844" s="695">
        <f t="shared" si="378"/>
        <v>0</v>
      </c>
      <c r="AC2844" s="1035"/>
      <c r="AD2844" s="690"/>
      <c r="AE2844" s="1025"/>
      <c r="AF2844" s="1030"/>
      <c r="AG2844" s="690"/>
      <c r="AH2844" s="690"/>
      <c r="AI2844" s="696">
        <f t="shared" si="379"/>
        <v>2869469.3013895545</v>
      </c>
      <c r="AJ2844" s="697">
        <f t="shared" si="380"/>
        <v>3202900</v>
      </c>
    </row>
    <row r="2845" spans="1:36" s="700" customFormat="1" ht="12.75" customHeight="1">
      <c r="A2845" s="747" t="s">
        <v>215</v>
      </c>
      <c r="B2845" s="747" t="s">
        <v>392</v>
      </c>
      <c r="C2845" s="965" t="s">
        <v>1597</v>
      </c>
      <c r="D2845" s="965"/>
      <c r="E2845" s="872">
        <v>221430</v>
      </c>
      <c r="F2845" s="873">
        <v>13</v>
      </c>
      <c r="G2845" s="1025">
        <v>1467600</v>
      </c>
      <c r="H2845" s="690">
        <v>1609300</v>
      </c>
      <c r="I2845" s="1030"/>
      <c r="J2845" s="690"/>
      <c r="K2845" s="1030"/>
      <c r="L2845" s="690"/>
      <c r="M2845" s="1025">
        <v>480604.99387166713</v>
      </c>
      <c r="N2845" s="1030"/>
      <c r="O2845" s="692">
        <f t="shared" si="373"/>
        <v>480604.99387166713</v>
      </c>
      <c r="P2845" s="690">
        <v>646000</v>
      </c>
      <c r="Q2845" s="690"/>
      <c r="R2845" s="691">
        <f t="shared" si="374"/>
        <v>646000</v>
      </c>
      <c r="S2845" s="692">
        <f t="shared" si="375"/>
        <v>1948204.9938716672</v>
      </c>
      <c r="T2845" s="693">
        <f t="shared" si="376"/>
        <v>2255300</v>
      </c>
      <c r="U2845" s="1035"/>
      <c r="V2845" s="690"/>
      <c r="W2845" s="1025"/>
      <c r="X2845" s="1030"/>
      <c r="Y2845" s="694">
        <f t="shared" si="377"/>
        <v>0</v>
      </c>
      <c r="Z2845" s="690"/>
      <c r="AA2845" s="690"/>
      <c r="AB2845" s="695">
        <f t="shared" si="378"/>
        <v>0</v>
      </c>
      <c r="AC2845" s="1035"/>
      <c r="AD2845" s="690"/>
      <c r="AE2845" s="1025"/>
      <c r="AF2845" s="1030"/>
      <c r="AG2845" s="690"/>
      <c r="AH2845" s="690"/>
      <c r="AI2845" s="696">
        <f t="shared" si="379"/>
        <v>1948204.9938716672</v>
      </c>
      <c r="AJ2845" s="697">
        <f t="shared" si="380"/>
        <v>2255300</v>
      </c>
    </row>
    <row r="2846" spans="1:36" s="700" customFormat="1" ht="12.75" customHeight="1">
      <c r="A2846" s="747" t="s">
        <v>215</v>
      </c>
      <c r="B2846" s="747" t="s">
        <v>392</v>
      </c>
      <c r="C2846" s="965" t="s">
        <v>1598</v>
      </c>
      <c r="D2846" s="965"/>
      <c r="E2846" s="872">
        <v>219994</v>
      </c>
      <c r="F2846" s="873">
        <v>13</v>
      </c>
      <c r="G2846" s="1025">
        <v>2172400</v>
      </c>
      <c r="H2846" s="690">
        <v>2382200</v>
      </c>
      <c r="I2846" s="1030"/>
      <c r="J2846" s="690"/>
      <c r="K2846" s="1030"/>
      <c r="L2846" s="690"/>
      <c r="M2846" s="1025">
        <v>927461.39259499882</v>
      </c>
      <c r="N2846" s="1030"/>
      <c r="O2846" s="692">
        <f t="shared" si="373"/>
        <v>927461.39259499882</v>
      </c>
      <c r="P2846" s="690">
        <v>1252000</v>
      </c>
      <c r="Q2846" s="690"/>
      <c r="R2846" s="691">
        <f t="shared" si="374"/>
        <v>1252000</v>
      </c>
      <c r="S2846" s="692">
        <f t="shared" si="375"/>
        <v>3099861.3925949987</v>
      </c>
      <c r="T2846" s="693">
        <f t="shared" si="376"/>
        <v>3634200</v>
      </c>
      <c r="U2846" s="1035"/>
      <c r="V2846" s="690"/>
      <c r="W2846" s="1025"/>
      <c r="X2846" s="1030"/>
      <c r="Y2846" s="694">
        <f t="shared" si="377"/>
        <v>0</v>
      </c>
      <c r="Z2846" s="690"/>
      <c r="AA2846" s="690"/>
      <c r="AB2846" s="695">
        <f t="shared" si="378"/>
        <v>0</v>
      </c>
      <c r="AC2846" s="1035"/>
      <c r="AD2846" s="690"/>
      <c r="AE2846" s="1025"/>
      <c r="AF2846" s="1030"/>
      <c r="AG2846" s="690"/>
      <c r="AH2846" s="690"/>
      <c r="AI2846" s="696">
        <f t="shared" si="379"/>
        <v>3099861.3925949987</v>
      </c>
      <c r="AJ2846" s="697">
        <f t="shared" si="380"/>
        <v>3634200</v>
      </c>
    </row>
    <row r="2847" spans="1:36" s="700" customFormat="1" ht="12.75" customHeight="1">
      <c r="A2847" s="747" t="s">
        <v>215</v>
      </c>
      <c r="B2847" s="747" t="s">
        <v>392</v>
      </c>
      <c r="C2847" s="965" t="s">
        <v>1599</v>
      </c>
      <c r="D2847" s="965"/>
      <c r="E2847" s="872">
        <v>220127</v>
      </c>
      <c r="F2847" s="873">
        <v>13</v>
      </c>
      <c r="G2847" s="1025">
        <v>1405400</v>
      </c>
      <c r="H2847" s="690">
        <v>1541100</v>
      </c>
      <c r="I2847" s="1030"/>
      <c r="J2847" s="690"/>
      <c r="K2847" s="1030"/>
      <c r="L2847" s="690"/>
      <c r="M2847" s="1025">
        <v>989833.79622099665</v>
      </c>
      <c r="N2847" s="1030"/>
      <c r="O2847" s="692">
        <f t="shared" si="373"/>
        <v>989833.79622099665</v>
      </c>
      <c r="P2847" s="690">
        <v>1052600</v>
      </c>
      <c r="Q2847" s="690"/>
      <c r="R2847" s="691">
        <f t="shared" si="374"/>
        <v>1052600</v>
      </c>
      <c r="S2847" s="692">
        <f t="shared" si="375"/>
        <v>2395233.7962209964</v>
      </c>
      <c r="T2847" s="693">
        <f t="shared" si="376"/>
        <v>2593700</v>
      </c>
      <c r="U2847" s="1035"/>
      <c r="V2847" s="690"/>
      <c r="W2847" s="1025"/>
      <c r="X2847" s="1030"/>
      <c r="Y2847" s="694">
        <f t="shared" si="377"/>
        <v>0</v>
      </c>
      <c r="Z2847" s="690"/>
      <c r="AA2847" s="690"/>
      <c r="AB2847" s="695">
        <f t="shared" si="378"/>
        <v>0</v>
      </c>
      <c r="AC2847" s="1035"/>
      <c r="AD2847" s="690"/>
      <c r="AE2847" s="1025"/>
      <c r="AF2847" s="1030"/>
      <c r="AG2847" s="690"/>
      <c r="AH2847" s="690"/>
      <c r="AI2847" s="696">
        <f t="shared" si="379"/>
        <v>2395233.7962209964</v>
      </c>
      <c r="AJ2847" s="697">
        <f t="shared" si="380"/>
        <v>2593700</v>
      </c>
    </row>
    <row r="2848" spans="1:36" s="700" customFormat="1" ht="12.75" customHeight="1">
      <c r="A2848" s="747" t="s">
        <v>215</v>
      </c>
      <c r="B2848" s="747" t="s">
        <v>392</v>
      </c>
      <c r="C2848" s="965" t="s">
        <v>1600</v>
      </c>
      <c r="D2848" s="965"/>
      <c r="E2848" s="872">
        <v>220251</v>
      </c>
      <c r="F2848" s="873">
        <v>13</v>
      </c>
      <c r="G2848" s="1025">
        <v>1311700</v>
      </c>
      <c r="H2848" s="690">
        <v>1438400</v>
      </c>
      <c r="I2848" s="1030"/>
      <c r="J2848" s="690"/>
      <c r="K2848" s="1030"/>
      <c r="L2848" s="690"/>
      <c r="M2848" s="1025">
        <v>457105.97206467798</v>
      </c>
      <c r="N2848" s="1030"/>
      <c r="O2848" s="692">
        <f t="shared" si="373"/>
        <v>457105.97206467798</v>
      </c>
      <c r="P2848" s="690">
        <v>524500</v>
      </c>
      <c r="Q2848" s="690"/>
      <c r="R2848" s="691">
        <f t="shared" si="374"/>
        <v>524500</v>
      </c>
      <c r="S2848" s="692">
        <f t="shared" si="375"/>
        <v>1768805.9720646781</v>
      </c>
      <c r="T2848" s="693">
        <f t="shared" si="376"/>
        <v>1962900</v>
      </c>
      <c r="U2848" s="1035"/>
      <c r="V2848" s="690"/>
      <c r="W2848" s="1025"/>
      <c r="X2848" s="1030"/>
      <c r="Y2848" s="694">
        <f t="shared" si="377"/>
        <v>0</v>
      </c>
      <c r="Z2848" s="690"/>
      <c r="AA2848" s="690"/>
      <c r="AB2848" s="695">
        <f t="shared" si="378"/>
        <v>0</v>
      </c>
      <c r="AC2848" s="1035"/>
      <c r="AD2848" s="690"/>
      <c r="AE2848" s="1025"/>
      <c r="AF2848" s="1030"/>
      <c r="AG2848" s="690"/>
      <c r="AH2848" s="690"/>
      <c r="AI2848" s="696">
        <f t="shared" si="379"/>
        <v>1768805.9720646781</v>
      </c>
      <c r="AJ2848" s="697">
        <f t="shared" si="380"/>
        <v>1962900</v>
      </c>
    </row>
    <row r="2849" spans="1:36" s="700" customFormat="1" ht="12.75" customHeight="1">
      <c r="A2849" s="747" t="s">
        <v>215</v>
      </c>
      <c r="B2849" s="747" t="s">
        <v>392</v>
      </c>
      <c r="C2849" s="965" t="s">
        <v>1601</v>
      </c>
      <c r="D2849" s="965"/>
      <c r="E2849" s="872">
        <v>220279</v>
      </c>
      <c r="F2849" s="873">
        <v>13</v>
      </c>
      <c r="G2849" s="1025">
        <v>1043400</v>
      </c>
      <c r="H2849" s="690">
        <v>1144200</v>
      </c>
      <c r="I2849" s="1030"/>
      <c r="J2849" s="690"/>
      <c r="K2849" s="1030"/>
      <c r="L2849" s="690"/>
      <c r="M2849" s="1025">
        <v>468105.51418709848</v>
      </c>
      <c r="N2849" s="1030"/>
      <c r="O2849" s="692">
        <f t="shared" si="373"/>
        <v>468105.51418709848</v>
      </c>
      <c r="P2849" s="690">
        <v>908200</v>
      </c>
      <c r="Q2849" s="690"/>
      <c r="R2849" s="691">
        <f t="shared" si="374"/>
        <v>908200</v>
      </c>
      <c r="S2849" s="692">
        <f t="shared" si="375"/>
        <v>1511505.5141870985</v>
      </c>
      <c r="T2849" s="693">
        <f t="shared" si="376"/>
        <v>2052400</v>
      </c>
      <c r="U2849" s="1035"/>
      <c r="V2849" s="690"/>
      <c r="W2849" s="1025"/>
      <c r="X2849" s="1030"/>
      <c r="Y2849" s="694">
        <f t="shared" si="377"/>
        <v>0</v>
      </c>
      <c r="Z2849" s="690"/>
      <c r="AA2849" s="690"/>
      <c r="AB2849" s="695">
        <f t="shared" si="378"/>
        <v>0</v>
      </c>
      <c r="AC2849" s="1035"/>
      <c r="AD2849" s="690"/>
      <c r="AE2849" s="1025"/>
      <c r="AF2849" s="1030"/>
      <c r="AG2849" s="690"/>
      <c r="AH2849" s="690"/>
      <c r="AI2849" s="696">
        <f t="shared" si="379"/>
        <v>1511505.5141870985</v>
      </c>
      <c r="AJ2849" s="697">
        <f t="shared" si="380"/>
        <v>2052400</v>
      </c>
    </row>
    <row r="2850" spans="1:36" s="700" customFormat="1" ht="12.75" customHeight="1">
      <c r="A2850" s="747" t="s">
        <v>215</v>
      </c>
      <c r="B2850" s="747" t="s">
        <v>392</v>
      </c>
      <c r="C2850" s="965" t="s">
        <v>1602</v>
      </c>
      <c r="D2850" s="965"/>
      <c r="E2850" s="872">
        <v>220321</v>
      </c>
      <c r="F2850" s="873">
        <v>13</v>
      </c>
      <c r="G2850" s="1025">
        <v>1427300</v>
      </c>
      <c r="H2850" s="690">
        <v>1565100</v>
      </c>
      <c r="I2850" s="1030"/>
      <c r="J2850" s="690"/>
      <c r="K2850" s="1030"/>
      <c r="L2850" s="690"/>
      <c r="M2850" s="1025">
        <v>902462.43322586152</v>
      </c>
      <c r="N2850" s="1030"/>
      <c r="O2850" s="692">
        <f t="shared" si="373"/>
        <v>902462.43322586152</v>
      </c>
      <c r="P2850" s="690">
        <v>1020000</v>
      </c>
      <c r="Q2850" s="690"/>
      <c r="R2850" s="691">
        <f t="shared" si="374"/>
        <v>1020000</v>
      </c>
      <c r="S2850" s="692">
        <f t="shared" si="375"/>
        <v>2329762.4332258618</v>
      </c>
      <c r="T2850" s="693">
        <f t="shared" si="376"/>
        <v>2585100</v>
      </c>
      <c r="U2850" s="1035"/>
      <c r="V2850" s="690"/>
      <c r="W2850" s="1025"/>
      <c r="X2850" s="1030"/>
      <c r="Y2850" s="694">
        <f t="shared" si="377"/>
        <v>0</v>
      </c>
      <c r="Z2850" s="690"/>
      <c r="AA2850" s="690"/>
      <c r="AB2850" s="695">
        <f t="shared" si="378"/>
        <v>0</v>
      </c>
      <c r="AC2850" s="1035"/>
      <c r="AD2850" s="690"/>
      <c r="AE2850" s="1025"/>
      <c r="AF2850" s="1030"/>
      <c r="AG2850" s="690"/>
      <c r="AH2850" s="690"/>
      <c r="AI2850" s="696">
        <f t="shared" si="379"/>
        <v>2329762.4332258618</v>
      </c>
      <c r="AJ2850" s="697">
        <f t="shared" si="380"/>
        <v>2585100</v>
      </c>
    </row>
    <row r="2851" spans="1:36" s="700" customFormat="1" ht="12.75" customHeight="1">
      <c r="A2851" s="747" t="s">
        <v>215</v>
      </c>
      <c r="B2851" s="747" t="s">
        <v>392</v>
      </c>
      <c r="C2851" s="965" t="s">
        <v>1603</v>
      </c>
      <c r="D2851" s="965"/>
      <c r="E2851" s="872">
        <v>220394</v>
      </c>
      <c r="F2851" s="873">
        <v>13</v>
      </c>
      <c r="G2851" s="1025">
        <v>1224000</v>
      </c>
      <c r="H2851" s="690">
        <v>1342200</v>
      </c>
      <c r="I2851" s="1030"/>
      <c r="J2851" s="690"/>
      <c r="K2851" s="1030"/>
      <c r="L2851" s="690"/>
      <c r="M2851" s="1025">
        <v>324986.47179878666</v>
      </c>
      <c r="N2851" s="1030"/>
      <c r="O2851" s="692">
        <f t="shared" si="373"/>
        <v>324986.47179878666</v>
      </c>
      <c r="P2851" s="690">
        <v>356400</v>
      </c>
      <c r="Q2851" s="690"/>
      <c r="R2851" s="691">
        <f t="shared" si="374"/>
        <v>356400</v>
      </c>
      <c r="S2851" s="692">
        <f t="shared" si="375"/>
        <v>1548986.4717987867</v>
      </c>
      <c r="T2851" s="693">
        <f t="shared" si="376"/>
        <v>1698600</v>
      </c>
      <c r="U2851" s="1035"/>
      <c r="V2851" s="690"/>
      <c r="W2851" s="1025"/>
      <c r="X2851" s="1030"/>
      <c r="Y2851" s="694">
        <f t="shared" si="377"/>
        <v>0</v>
      </c>
      <c r="Z2851" s="690"/>
      <c r="AA2851" s="690"/>
      <c r="AB2851" s="695">
        <f t="shared" si="378"/>
        <v>0</v>
      </c>
      <c r="AC2851" s="1035"/>
      <c r="AD2851" s="690"/>
      <c r="AE2851" s="1025"/>
      <c r="AF2851" s="1030"/>
      <c r="AG2851" s="690"/>
      <c r="AH2851" s="690"/>
      <c r="AI2851" s="696">
        <f t="shared" si="379"/>
        <v>1548986.4717987867</v>
      </c>
      <c r="AJ2851" s="697">
        <f t="shared" si="380"/>
        <v>1698600</v>
      </c>
    </row>
    <row r="2852" spans="1:36" s="700" customFormat="1" ht="12.75" customHeight="1">
      <c r="A2852" s="747" t="s">
        <v>215</v>
      </c>
      <c r="B2852" s="747" t="s">
        <v>392</v>
      </c>
      <c r="C2852" s="965" t="s">
        <v>1604</v>
      </c>
      <c r="D2852" s="965"/>
      <c r="E2852" s="872">
        <v>221616</v>
      </c>
      <c r="F2852" s="873">
        <v>13</v>
      </c>
      <c r="G2852" s="1025">
        <v>2820400</v>
      </c>
      <c r="H2852" s="690">
        <v>3092700</v>
      </c>
      <c r="I2852" s="1030"/>
      <c r="J2852" s="690"/>
      <c r="K2852" s="1030"/>
      <c r="L2852" s="690"/>
      <c r="M2852" s="1025">
        <v>1066205.6170937116</v>
      </c>
      <c r="N2852" s="1030"/>
      <c r="O2852" s="692">
        <f t="shared" si="373"/>
        <v>1066205.6170937116</v>
      </c>
      <c r="P2852" s="690">
        <v>1242000</v>
      </c>
      <c r="Q2852" s="690"/>
      <c r="R2852" s="691">
        <f t="shared" si="374"/>
        <v>1242000</v>
      </c>
      <c r="S2852" s="692">
        <f t="shared" si="375"/>
        <v>3886605.6170937116</v>
      </c>
      <c r="T2852" s="693">
        <f t="shared" si="376"/>
        <v>4334700</v>
      </c>
      <c r="U2852" s="1035"/>
      <c r="V2852" s="690"/>
      <c r="W2852" s="1025"/>
      <c r="X2852" s="1030"/>
      <c r="Y2852" s="694">
        <f t="shared" si="377"/>
        <v>0</v>
      </c>
      <c r="Z2852" s="690"/>
      <c r="AA2852" s="690"/>
      <c r="AB2852" s="695">
        <f t="shared" si="378"/>
        <v>0</v>
      </c>
      <c r="AC2852" s="1035"/>
      <c r="AD2852" s="690"/>
      <c r="AE2852" s="1025"/>
      <c r="AF2852" s="1030"/>
      <c r="AG2852" s="690"/>
      <c r="AH2852" s="690"/>
      <c r="AI2852" s="696">
        <f t="shared" si="379"/>
        <v>3886605.6170937116</v>
      </c>
      <c r="AJ2852" s="697">
        <f t="shared" si="380"/>
        <v>4334700</v>
      </c>
    </row>
    <row r="2853" spans="1:36" s="700" customFormat="1" ht="12.75" customHeight="1">
      <c r="A2853" s="747" t="s">
        <v>215</v>
      </c>
      <c r="B2853" s="747" t="s">
        <v>392</v>
      </c>
      <c r="C2853" s="965" t="s">
        <v>1605</v>
      </c>
      <c r="D2853" s="965"/>
      <c r="E2853" s="872">
        <v>221625</v>
      </c>
      <c r="F2853" s="873">
        <v>13</v>
      </c>
      <c r="G2853" s="1025">
        <v>2953100</v>
      </c>
      <c r="H2853" s="690">
        <v>3238300</v>
      </c>
      <c r="I2853" s="1030"/>
      <c r="J2853" s="690"/>
      <c r="K2853" s="1030"/>
      <c r="L2853" s="690"/>
      <c r="M2853" s="1025">
        <v>1256197.7082991563</v>
      </c>
      <c r="N2853" s="1030"/>
      <c r="O2853" s="692">
        <f t="shared" si="373"/>
        <v>1256197.7082991563</v>
      </c>
      <c r="P2853" s="690">
        <v>1499000</v>
      </c>
      <c r="Q2853" s="690"/>
      <c r="R2853" s="691">
        <f t="shared" si="374"/>
        <v>1499000</v>
      </c>
      <c r="S2853" s="692">
        <f t="shared" si="375"/>
        <v>4209297.7082991563</v>
      </c>
      <c r="T2853" s="693">
        <f t="shared" si="376"/>
        <v>4737300</v>
      </c>
      <c r="U2853" s="1035"/>
      <c r="V2853" s="690"/>
      <c r="W2853" s="1025"/>
      <c r="X2853" s="1030"/>
      <c r="Y2853" s="694">
        <f t="shared" si="377"/>
        <v>0</v>
      </c>
      <c r="Z2853" s="690"/>
      <c r="AA2853" s="690"/>
      <c r="AB2853" s="695">
        <f t="shared" si="378"/>
        <v>0</v>
      </c>
      <c r="AC2853" s="1035"/>
      <c r="AD2853" s="690"/>
      <c r="AE2853" s="1025"/>
      <c r="AF2853" s="1030"/>
      <c r="AG2853" s="690"/>
      <c r="AH2853" s="690"/>
      <c r="AI2853" s="696">
        <f t="shared" si="379"/>
        <v>4209297.7082991563</v>
      </c>
      <c r="AJ2853" s="697">
        <f t="shared" si="380"/>
        <v>4737300</v>
      </c>
    </row>
    <row r="2854" spans="1:36" s="700" customFormat="1" ht="12.75" customHeight="1">
      <c r="A2854" s="747" t="s">
        <v>215</v>
      </c>
      <c r="B2854" s="747" t="s">
        <v>392</v>
      </c>
      <c r="C2854" s="965" t="s">
        <v>1606</v>
      </c>
      <c r="D2854" s="965"/>
      <c r="E2854" s="872">
        <v>220640</v>
      </c>
      <c r="F2854" s="873">
        <v>13</v>
      </c>
      <c r="G2854" s="1025">
        <v>1964700</v>
      </c>
      <c r="H2854" s="690">
        <v>2154400</v>
      </c>
      <c r="I2854" s="1030"/>
      <c r="J2854" s="690"/>
      <c r="K2854" s="1030"/>
      <c r="L2854" s="690"/>
      <c r="M2854" s="1025">
        <v>876213.52588826709</v>
      </c>
      <c r="N2854" s="1030"/>
      <c r="O2854" s="692">
        <f t="shared" si="373"/>
        <v>876213.52588826709</v>
      </c>
      <c r="P2854" s="690">
        <v>882000</v>
      </c>
      <c r="Q2854" s="690"/>
      <c r="R2854" s="691">
        <f t="shared" si="374"/>
        <v>882000</v>
      </c>
      <c r="S2854" s="692">
        <f t="shared" si="375"/>
        <v>2840913.525888267</v>
      </c>
      <c r="T2854" s="693">
        <f t="shared" si="376"/>
        <v>3036400</v>
      </c>
      <c r="U2854" s="1035"/>
      <c r="V2854" s="690"/>
      <c r="W2854" s="1025"/>
      <c r="X2854" s="1030"/>
      <c r="Y2854" s="694">
        <f t="shared" si="377"/>
        <v>0</v>
      </c>
      <c r="Z2854" s="690"/>
      <c r="AA2854" s="690"/>
      <c r="AB2854" s="695">
        <f t="shared" si="378"/>
        <v>0</v>
      </c>
      <c r="AC2854" s="1035"/>
      <c r="AD2854" s="690"/>
      <c r="AE2854" s="1025"/>
      <c r="AF2854" s="1030"/>
      <c r="AG2854" s="690"/>
      <c r="AH2854" s="690"/>
      <c r="AI2854" s="696">
        <f t="shared" si="379"/>
        <v>2840913.525888267</v>
      </c>
      <c r="AJ2854" s="697">
        <f t="shared" si="380"/>
        <v>3036400</v>
      </c>
    </row>
    <row r="2855" spans="1:36" s="700" customFormat="1" ht="12.75" customHeight="1">
      <c r="A2855" s="747" t="s">
        <v>215</v>
      </c>
      <c r="B2855" s="747" t="s">
        <v>392</v>
      </c>
      <c r="C2855" s="965" t="s">
        <v>1607</v>
      </c>
      <c r="D2855" s="965"/>
      <c r="E2855" s="872">
        <v>220756</v>
      </c>
      <c r="F2855" s="873">
        <v>13</v>
      </c>
      <c r="G2855" s="1025">
        <v>1177000</v>
      </c>
      <c r="H2855" s="690">
        <v>1290700</v>
      </c>
      <c r="I2855" s="1030"/>
      <c r="J2855" s="690"/>
      <c r="K2855" s="1030"/>
      <c r="L2855" s="690"/>
      <c r="M2855" s="1025">
        <v>505228.96885026753</v>
      </c>
      <c r="N2855" s="1030"/>
      <c r="O2855" s="692">
        <f t="shared" si="373"/>
        <v>505228.96885026753</v>
      </c>
      <c r="P2855" s="690">
        <v>544900</v>
      </c>
      <c r="Q2855" s="690"/>
      <c r="R2855" s="691">
        <f t="shared" si="374"/>
        <v>544900</v>
      </c>
      <c r="S2855" s="692">
        <f t="shared" si="375"/>
        <v>1682228.9688502676</v>
      </c>
      <c r="T2855" s="693">
        <f t="shared" si="376"/>
        <v>1835600</v>
      </c>
      <c r="U2855" s="1035"/>
      <c r="V2855" s="690"/>
      <c r="W2855" s="1025"/>
      <c r="X2855" s="1030"/>
      <c r="Y2855" s="694">
        <f t="shared" si="377"/>
        <v>0</v>
      </c>
      <c r="Z2855" s="690"/>
      <c r="AA2855" s="690"/>
      <c r="AB2855" s="695">
        <f t="shared" si="378"/>
        <v>0</v>
      </c>
      <c r="AC2855" s="1035"/>
      <c r="AD2855" s="690"/>
      <c r="AE2855" s="1025"/>
      <c r="AF2855" s="1030"/>
      <c r="AG2855" s="690"/>
      <c r="AH2855" s="690"/>
      <c r="AI2855" s="696">
        <f t="shared" si="379"/>
        <v>1682228.9688502676</v>
      </c>
      <c r="AJ2855" s="697">
        <f t="shared" si="380"/>
        <v>1835600</v>
      </c>
    </row>
    <row r="2856" spans="1:36" s="700" customFormat="1" ht="12.75" customHeight="1">
      <c r="A2856" s="747" t="s">
        <v>215</v>
      </c>
      <c r="B2856" s="747" t="s">
        <v>392</v>
      </c>
      <c r="C2856" s="965" t="s">
        <v>1608</v>
      </c>
      <c r="D2856" s="965"/>
      <c r="E2856" s="872">
        <v>221607</v>
      </c>
      <c r="F2856" s="873">
        <v>13</v>
      </c>
      <c r="G2856" s="1025">
        <v>1290000</v>
      </c>
      <c r="H2856" s="690">
        <v>1414600</v>
      </c>
      <c r="I2856" s="1030"/>
      <c r="J2856" s="690"/>
      <c r="K2856" s="1030"/>
      <c r="L2856" s="690"/>
      <c r="M2856" s="1025">
        <v>554351.92401062255</v>
      </c>
      <c r="N2856" s="1030"/>
      <c r="O2856" s="692">
        <f t="shared" si="373"/>
        <v>554351.92401062255</v>
      </c>
      <c r="P2856" s="690">
        <v>511800</v>
      </c>
      <c r="Q2856" s="690"/>
      <c r="R2856" s="691">
        <f t="shared" si="374"/>
        <v>511800</v>
      </c>
      <c r="S2856" s="692">
        <f t="shared" si="375"/>
        <v>1844351.9240106225</v>
      </c>
      <c r="T2856" s="693">
        <f t="shared" si="376"/>
        <v>1926400</v>
      </c>
      <c r="U2856" s="1035"/>
      <c r="V2856" s="690"/>
      <c r="W2856" s="1025"/>
      <c r="X2856" s="1030"/>
      <c r="Y2856" s="694">
        <f t="shared" si="377"/>
        <v>0</v>
      </c>
      <c r="Z2856" s="690"/>
      <c r="AA2856" s="690"/>
      <c r="AB2856" s="695">
        <f t="shared" si="378"/>
        <v>0</v>
      </c>
      <c r="AC2856" s="1035"/>
      <c r="AD2856" s="690"/>
      <c r="AE2856" s="1025"/>
      <c r="AF2856" s="1030"/>
      <c r="AG2856" s="690"/>
      <c r="AH2856" s="690"/>
      <c r="AI2856" s="696">
        <f t="shared" si="379"/>
        <v>1844351.9240106225</v>
      </c>
      <c r="AJ2856" s="697">
        <f t="shared" si="380"/>
        <v>1926400</v>
      </c>
    </row>
    <row r="2857" spans="1:36" s="700" customFormat="1" ht="12.75" customHeight="1">
      <c r="A2857" s="747" t="s">
        <v>215</v>
      </c>
      <c r="B2857" s="747" t="s">
        <v>392</v>
      </c>
      <c r="C2857" s="969" t="s">
        <v>1609</v>
      </c>
      <c r="D2857" s="969"/>
      <c r="E2857" s="872">
        <v>220853</v>
      </c>
      <c r="F2857" s="873">
        <v>13</v>
      </c>
      <c r="G2857" s="1025">
        <v>3905100</v>
      </c>
      <c r="H2857" s="690">
        <v>4282200</v>
      </c>
      <c r="I2857" s="1030"/>
      <c r="J2857" s="690"/>
      <c r="K2857" s="1030"/>
      <c r="L2857" s="690"/>
      <c r="M2857" s="1025">
        <v>1974417.8109744748</v>
      </c>
      <c r="N2857" s="1030"/>
      <c r="O2857" s="692">
        <f t="shared" si="373"/>
        <v>1974417.8109744748</v>
      </c>
      <c r="P2857" s="690">
        <v>1705900</v>
      </c>
      <c r="Q2857" s="690"/>
      <c r="R2857" s="691">
        <f t="shared" si="374"/>
        <v>1705900</v>
      </c>
      <c r="S2857" s="692">
        <f t="shared" si="375"/>
        <v>5879517.810974475</v>
      </c>
      <c r="T2857" s="693">
        <f t="shared" si="376"/>
        <v>5988100</v>
      </c>
      <c r="U2857" s="1035"/>
      <c r="V2857" s="690"/>
      <c r="W2857" s="1025"/>
      <c r="X2857" s="1030"/>
      <c r="Y2857" s="694">
        <f t="shared" si="377"/>
        <v>0</v>
      </c>
      <c r="Z2857" s="690"/>
      <c r="AA2857" s="690"/>
      <c r="AB2857" s="695">
        <f t="shared" si="378"/>
        <v>0</v>
      </c>
      <c r="AC2857" s="1035"/>
      <c r="AD2857" s="690"/>
      <c r="AE2857" s="1025"/>
      <c r="AF2857" s="1030"/>
      <c r="AG2857" s="690"/>
      <c r="AH2857" s="690"/>
      <c r="AI2857" s="696">
        <f t="shared" si="379"/>
        <v>5879517.810974475</v>
      </c>
      <c r="AJ2857" s="697">
        <f t="shared" si="380"/>
        <v>5988100</v>
      </c>
    </row>
    <row r="2858" spans="1:36" s="700" customFormat="1" ht="12.75" customHeight="1">
      <c r="A2858" s="747" t="s">
        <v>215</v>
      </c>
      <c r="B2858" s="747" t="s">
        <v>392</v>
      </c>
      <c r="C2858" s="965" t="s">
        <v>1610</v>
      </c>
      <c r="D2858" s="965"/>
      <c r="E2858" s="872">
        <v>221050</v>
      </c>
      <c r="F2858" s="873">
        <v>13</v>
      </c>
      <c r="G2858" s="1025">
        <v>3606400</v>
      </c>
      <c r="H2858" s="690">
        <v>3954700</v>
      </c>
      <c r="I2858" s="1030"/>
      <c r="J2858" s="690"/>
      <c r="K2858" s="1030"/>
      <c r="L2858" s="690"/>
      <c r="M2858" s="1025">
        <v>1312445.3668797154</v>
      </c>
      <c r="N2858" s="1030"/>
      <c r="O2858" s="692">
        <f t="shared" si="373"/>
        <v>1312445.3668797154</v>
      </c>
      <c r="P2858" s="690">
        <v>1466000</v>
      </c>
      <c r="Q2858" s="690"/>
      <c r="R2858" s="691">
        <f t="shared" si="374"/>
        <v>1466000</v>
      </c>
      <c r="S2858" s="692">
        <f t="shared" si="375"/>
        <v>4918845.3668797156</v>
      </c>
      <c r="T2858" s="693">
        <f t="shared" si="376"/>
        <v>5420700</v>
      </c>
      <c r="U2858" s="1035"/>
      <c r="V2858" s="690"/>
      <c r="W2858" s="1025"/>
      <c r="X2858" s="1030"/>
      <c r="Y2858" s="694">
        <f t="shared" si="377"/>
        <v>0</v>
      </c>
      <c r="Z2858" s="690"/>
      <c r="AA2858" s="690"/>
      <c r="AB2858" s="695">
        <f t="shared" si="378"/>
        <v>0</v>
      </c>
      <c r="AC2858" s="1035"/>
      <c r="AD2858" s="690"/>
      <c r="AE2858" s="1025"/>
      <c r="AF2858" s="1030"/>
      <c r="AG2858" s="690"/>
      <c r="AH2858" s="690"/>
      <c r="AI2858" s="696">
        <f t="shared" si="379"/>
        <v>4918845.3668797156</v>
      </c>
      <c r="AJ2858" s="697">
        <f t="shared" si="380"/>
        <v>5420700</v>
      </c>
    </row>
    <row r="2859" spans="1:36" s="700" customFormat="1" ht="12.75" customHeight="1">
      <c r="A2859" s="747" t="s">
        <v>215</v>
      </c>
      <c r="B2859" s="747" t="s">
        <v>392</v>
      </c>
      <c r="C2859" s="965" t="s">
        <v>1611</v>
      </c>
      <c r="D2859" s="965"/>
      <c r="E2859" s="872">
        <v>221102</v>
      </c>
      <c r="F2859" s="873">
        <v>13</v>
      </c>
      <c r="G2859" s="1025">
        <v>1597200</v>
      </c>
      <c r="H2859" s="690">
        <v>1751400</v>
      </c>
      <c r="I2859" s="1030"/>
      <c r="J2859" s="690"/>
      <c r="K2859" s="1030"/>
      <c r="L2859" s="690"/>
      <c r="M2859" s="1025">
        <v>800716.6685934721</v>
      </c>
      <c r="N2859" s="1030"/>
      <c r="O2859" s="692">
        <f t="shared" si="373"/>
        <v>800716.6685934721</v>
      </c>
      <c r="P2859" s="690">
        <v>920000</v>
      </c>
      <c r="Q2859" s="690"/>
      <c r="R2859" s="691">
        <f t="shared" si="374"/>
        <v>920000</v>
      </c>
      <c r="S2859" s="692">
        <f t="shared" si="375"/>
        <v>2397916.6685934719</v>
      </c>
      <c r="T2859" s="693">
        <f t="shared" si="376"/>
        <v>2671400</v>
      </c>
      <c r="U2859" s="1035"/>
      <c r="V2859" s="690"/>
      <c r="W2859" s="1025"/>
      <c r="X2859" s="1030"/>
      <c r="Y2859" s="694">
        <f t="shared" si="377"/>
        <v>0</v>
      </c>
      <c r="Z2859" s="690"/>
      <c r="AA2859" s="690"/>
      <c r="AB2859" s="695">
        <f t="shared" si="378"/>
        <v>0</v>
      </c>
      <c r="AC2859" s="1035"/>
      <c r="AD2859" s="690"/>
      <c r="AE2859" s="1025"/>
      <c r="AF2859" s="1030"/>
      <c r="AG2859" s="690"/>
      <c r="AH2859" s="690"/>
      <c r="AI2859" s="696">
        <f t="shared" si="379"/>
        <v>2397916.6685934719</v>
      </c>
      <c r="AJ2859" s="697">
        <f t="shared" si="380"/>
        <v>2671400</v>
      </c>
    </row>
    <row r="2860" spans="1:36" s="700" customFormat="1" ht="12.75" customHeight="1">
      <c r="A2860" s="747" t="s">
        <v>215</v>
      </c>
      <c r="B2860" s="747" t="s">
        <v>392</v>
      </c>
      <c r="C2860" s="965" t="s">
        <v>1612</v>
      </c>
      <c r="D2860" s="965"/>
      <c r="E2860" s="872">
        <v>248925</v>
      </c>
      <c r="F2860" s="873">
        <v>13</v>
      </c>
      <c r="G2860" s="1025">
        <v>3380900</v>
      </c>
      <c r="H2860" s="690">
        <v>3707400</v>
      </c>
      <c r="I2860" s="1030"/>
      <c r="J2860" s="690"/>
      <c r="K2860" s="1030"/>
      <c r="L2860" s="690"/>
      <c r="M2860" s="1025">
        <v>1728678.0403758537</v>
      </c>
      <c r="N2860" s="1030"/>
      <c r="O2860" s="692">
        <f t="shared" si="373"/>
        <v>1728678.0403758537</v>
      </c>
      <c r="P2860" s="690">
        <v>1890000</v>
      </c>
      <c r="Q2860" s="690"/>
      <c r="R2860" s="691">
        <f t="shared" si="374"/>
        <v>1890000</v>
      </c>
      <c r="S2860" s="692">
        <f t="shared" si="375"/>
        <v>5109578.0403758539</v>
      </c>
      <c r="T2860" s="693">
        <f t="shared" si="376"/>
        <v>5597400</v>
      </c>
      <c r="U2860" s="1035"/>
      <c r="V2860" s="690"/>
      <c r="W2860" s="1025"/>
      <c r="X2860" s="1030"/>
      <c r="Y2860" s="694">
        <f t="shared" si="377"/>
        <v>0</v>
      </c>
      <c r="Z2860" s="690"/>
      <c r="AA2860" s="690"/>
      <c r="AB2860" s="695">
        <f t="shared" si="378"/>
        <v>0</v>
      </c>
      <c r="AC2860" s="1035"/>
      <c r="AD2860" s="690"/>
      <c r="AE2860" s="1025"/>
      <c r="AF2860" s="1030"/>
      <c r="AG2860" s="690"/>
      <c r="AH2860" s="690"/>
      <c r="AI2860" s="696">
        <f t="shared" si="379"/>
        <v>5109578.0403758539</v>
      </c>
      <c r="AJ2860" s="697">
        <f t="shared" si="380"/>
        <v>5597400</v>
      </c>
    </row>
    <row r="2861" spans="1:36" s="700" customFormat="1" ht="12.75" customHeight="1">
      <c r="A2861" s="747" t="s">
        <v>215</v>
      </c>
      <c r="B2861" s="747" t="s">
        <v>392</v>
      </c>
      <c r="C2861" s="965" t="s">
        <v>1613</v>
      </c>
      <c r="D2861" s="965"/>
      <c r="E2861" s="872">
        <v>221236</v>
      </c>
      <c r="F2861" s="873">
        <v>13</v>
      </c>
      <c r="G2861" s="1025">
        <v>1280700</v>
      </c>
      <c r="H2861" s="690">
        <v>1404400</v>
      </c>
      <c r="I2861" s="1030"/>
      <c r="J2861" s="690"/>
      <c r="K2861" s="1030"/>
      <c r="L2861" s="690"/>
      <c r="M2861" s="1025">
        <v>458105.93043944344</v>
      </c>
      <c r="N2861" s="1030"/>
      <c r="O2861" s="692">
        <f t="shared" si="373"/>
        <v>458105.93043944344</v>
      </c>
      <c r="P2861" s="690">
        <v>547000</v>
      </c>
      <c r="Q2861" s="690"/>
      <c r="R2861" s="691">
        <f t="shared" si="374"/>
        <v>547000</v>
      </c>
      <c r="S2861" s="692">
        <f t="shared" si="375"/>
        <v>1738805.9304394433</v>
      </c>
      <c r="T2861" s="693">
        <f t="shared" si="376"/>
        <v>1951400</v>
      </c>
      <c r="U2861" s="1035"/>
      <c r="V2861" s="690"/>
      <c r="W2861" s="1025"/>
      <c r="X2861" s="1030"/>
      <c r="Y2861" s="694">
        <f t="shared" si="377"/>
        <v>0</v>
      </c>
      <c r="Z2861" s="690"/>
      <c r="AA2861" s="690"/>
      <c r="AB2861" s="695">
        <f t="shared" si="378"/>
        <v>0</v>
      </c>
      <c r="AC2861" s="1035"/>
      <c r="AD2861" s="690"/>
      <c r="AE2861" s="1025"/>
      <c r="AF2861" s="1030"/>
      <c r="AG2861" s="690"/>
      <c r="AH2861" s="690"/>
      <c r="AI2861" s="696">
        <f t="shared" si="379"/>
        <v>1738805.9304394433</v>
      </c>
      <c r="AJ2861" s="697">
        <f t="shared" si="380"/>
        <v>1951400</v>
      </c>
    </row>
    <row r="2862" spans="1:36" s="700" customFormat="1" ht="12.75" customHeight="1">
      <c r="A2862" s="747" t="s">
        <v>215</v>
      </c>
      <c r="B2862" s="747" t="s">
        <v>392</v>
      </c>
      <c r="C2862" s="965" t="s">
        <v>1614</v>
      </c>
      <c r="D2862" s="965"/>
      <c r="E2862" s="872">
        <v>221582</v>
      </c>
      <c r="F2862" s="873">
        <v>13</v>
      </c>
      <c r="G2862" s="1025">
        <v>1224100</v>
      </c>
      <c r="H2862" s="690">
        <v>1342300</v>
      </c>
      <c r="I2862" s="1030"/>
      <c r="J2862" s="690"/>
      <c r="K2862" s="1030"/>
      <c r="L2862" s="690"/>
      <c r="M2862" s="1025">
        <v>534102.76692162128</v>
      </c>
      <c r="N2862" s="1030"/>
      <c r="O2862" s="692">
        <f t="shared" si="373"/>
        <v>534102.76692162128</v>
      </c>
      <c r="P2862" s="690">
        <v>646700</v>
      </c>
      <c r="Q2862" s="690"/>
      <c r="R2862" s="691">
        <f t="shared" si="374"/>
        <v>646700</v>
      </c>
      <c r="S2862" s="692">
        <f t="shared" si="375"/>
        <v>1758202.7669216213</v>
      </c>
      <c r="T2862" s="693">
        <f t="shared" si="376"/>
        <v>1989000</v>
      </c>
      <c r="U2862" s="1035"/>
      <c r="V2862" s="690"/>
      <c r="W2862" s="1025"/>
      <c r="X2862" s="1030"/>
      <c r="Y2862" s="694">
        <f t="shared" si="377"/>
        <v>0</v>
      </c>
      <c r="Z2862" s="690"/>
      <c r="AA2862" s="690"/>
      <c r="AB2862" s="695">
        <f t="shared" si="378"/>
        <v>0</v>
      </c>
      <c r="AC2862" s="1035"/>
      <c r="AD2862" s="690"/>
      <c r="AE2862" s="1025"/>
      <c r="AF2862" s="1030"/>
      <c r="AG2862" s="690"/>
      <c r="AH2862" s="690"/>
      <c r="AI2862" s="696">
        <f t="shared" si="379"/>
        <v>1758202.7669216213</v>
      </c>
      <c r="AJ2862" s="697">
        <f t="shared" si="380"/>
        <v>1989000</v>
      </c>
    </row>
    <row r="2863" spans="1:36" s="700" customFormat="1" ht="12.75" customHeight="1">
      <c r="A2863" s="747" t="s">
        <v>215</v>
      </c>
      <c r="B2863" s="747" t="s">
        <v>392</v>
      </c>
      <c r="C2863" s="965" t="s">
        <v>1615</v>
      </c>
      <c r="D2863" s="965"/>
      <c r="E2863" s="872">
        <v>221281</v>
      </c>
      <c r="F2863" s="873">
        <v>13</v>
      </c>
      <c r="G2863" s="1025">
        <v>1638700</v>
      </c>
      <c r="H2863" s="690">
        <v>1797000</v>
      </c>
      <c r="I2863" s="1030"/>
      <c r="J2863" s="690"/>
      <c r="K2863" s="1030"/>
      <c r="L2863" s="690"/>
      <c r="M2863" s="1025">
        <v>872338.68718605093</v>
      </c>
      <c r="N2863" s="1030"/>
      <c r="O2863" s="692">
        <f t="shared" si="373"/>
        <v>872338.68718605093</v>
      </c>
      <c r="P2863" s="690">
        <v>880400</v>
      </c>
      <c r="Q2863" s="690"/>
      <c r="R2863" s="691">
        <f t="shared" si="374"/>
        <v>880400</v>
      </c>
      <c r="S2863" s="692">
        <f t="shared" si="375"/>
        <v>2511038.6871860512</v>
      </c>
      <c r="T2863" s="693">
        <f t="shared" si="376"/>
        <v>2677400</v>
      </c>
      <c r="U2863" s="1035"/>
      <c r="V2863" s="690"/>
      <c r="W2863" s="1025"/>
      <c r="X2863" s="1030"/>
      <c r="Y2863" s="694">
        <f t="shared" si="377"/>
        <v>0</v>
      </c>
      <c r="Z2863" s="690"/>
      <c r="AA2863" s="690"/>
      <c r="AB2863" s="695">
        <f t="shared" si="378"/>
        <v>0</v>
      </c>
      <c r="AC2863" s="1035"/>
      <c r="AD2863" s="690"/>
      <c r="AE2863" s="1025"/>
      <c r="AF2863" s="1030"/>
      <c r="AG2863" s="690"/>
      <c r="AH2863" s="690"/>
      <c r="AI2863" s="696">
        <f t="shared" si="379"/>
        <v>2511038.6871860512</v>
      </c>
      <c r="AJ2863" s="697">
        <f t="shared" si="380"/>
        <v>2677400</v>
      </c>
    </row>
    <row r="2864" spans="1:36" s="700" customFormat="1" ht="12.75" customHeight="1">
      <c r="A2864" s="747" t="s">
        <v>215</v>
      </c>
      <c r="B2864" s="747" t="s">
        <v>392</v>
      </c>
      <c r="C2864" s="965" t="s">
        <v>1616</v>
      </c>
      <c r="D2864" s="965"/>
      <c r="E2864" s="872">
        <v>221333</v>
      </c>
      <c r="F2864" s="873">
        <v>13</v>
      </c>
      <c r="G2864" s="1025">
        <v>1300100</v>
      </c>
      <c r="H2864" s="690">
        <v>1425700</v>
      </c>
      <c r="I2864" s="1030"/>
      <c r="J2864" s="690"/>
      <c r="K2864" s="1030"/>
      <c r="L2864" s="690"/>
      <c r="M2864" s="1025">
        <v>578725.90939553163</v>
      </c>
      <c r="N2864" s="1030"/>
      <c r="O2864" s="692">
        <f t="shared" si="373"/>
        <v>578725.90939553163</v>
      </c>
      <c r="P2864" s="690">
        <v>787000</v>
      </c>
      <c r="Q2864" s="690"/>
      <c r="R2864" s="691">
        <f t="shared" si="374"/>
        <v>787000</v>
      </c>
      <c r="S2864" s="692">
        <f t="shared" si="375"/>
        <v>1878825.9093955318</v>
      </c>
      <c r="T2864" s="693">
        <f t="shared" si="376"/>
        <v>2212700</v>
      </c>
      <c r="U2864" s="1035"/>
      <c r="V2864" s="690"/>
      <c r="W2864" s="1025"/>
      <c r="X2864" s="1030"/>
      <c r="Y2864" s="694">
        <f t="shared" si="377"/>
        <v>0</v>
      </c>
      <c r="Z2864" s="690"/>
      <c r="AA2864" s="690"/>
      <c r="AB2864" s="695">
        <f t="shared" si="378"/>
        <v>0</v>
      </c>
      <c r="AC2864" s="1035"/>
      <c r="AD2864" s="690"/>
      <c r="AE2864" s="1025"/>
      <c r="AF2864" s="1030"/>
      <c r="AG2864" s="690"/>
      <c r="AH2864" s="690"/>
      <c r="AI2864" s="696">
        <f t="shared" si="379"/>
        <v>1878825.9093955318</v>
      </c>
      <c r="AJ2864" s="697">
        <f t="shared" si="380"/>
        <v>2212700</v>
      </c>
    </row>
    <row r="2865" spans="1:36" s="700" customFormat="1" ht="12.75" customHeight="1">
      <c r="A2865" s="747" t="s">
        <v>215</v>
      </c>
      <c r="B2865" s="747" t="s">
        <v>392</v>
      </c>
      <c r="C2865" s="965" t="s">
        <v>1617</v>
      </c>
      <c r="D2865" s="965"/>
      <c r="E2865" s="872">
        <v>221388</v>
      </c>
      <c r="F2865" s="873">
        <v>13</v>
      </c>
      <c r="G2865" s="1025">
        <v>1042700</v>
      </c>
      <c r="H2865" s="690">
        <v>1143400</v>
      </c>
      <c r="I2865" s="1030"/>
      <c r="J2865" s="690"/>
      <c r="K2865" s="1030"/>
      <c r="L2865" s="690"/>
      <c r="M2865" s="1025">
        <v>293612.77779051923</v>
      </c>
      <c r="N2865" s="1030"/>
      <c r="O2865" s="692">
        <f t="shared" si="373"/>
        <v>293612.77779051923</v>
      </c>
      <c r="P2865" s="690">
        <v>356700</v>
      </c>
      <c r="Q2865" s="690"/>
      <c r="R2865" s="691">
        <f t="shared" si="374"/>
        <v>356700</v>
      </c>
      <c r="S2865" s="692">
        <f t="shared" si="375"/>
        <v>1336312.7777905192</v>
      </c>
      <c r="T2865" s="693">
        <f t="shared" si="376"/>
        <v>1500100</v>
      </c>
      <c r="U2865" s="1035"/>
      <c r="V2865" s="690"/>
      <c r="W2865" s="1025"/>
      <c r="X2865" s="1030"/>
      <c r="Y2865" s="694">
        <f t="shared" si="377"/>
        <v>0</v>
      </c>
      <c r="Z2865" s="690"/>
      <c r="AA2865" s="690"/>
      <c r="AB2865" s="695">
        <f t="shared" si="378"/>
        <v>0</v>
      </c>
      <c r="AC2865" s="1035"/>
      <c r="AD2865" s="690"/>
      <c r="AE2865" s="1025"/>
      <c r="AF2865" s="1030"/>
      <c r="AG2865" s="690"/>
      <c r="AH2865" s="690"/>
      <c r="AI2865" s="696">
        <f t="shared" si="379"/>
        <v>1336312.7777905192</v>
      </c>
      <c r="AJ2865" s="697">
        <f t="shared" si="380"/>
        <v>1500100</v>
      </c>
    </row>
    <row r="2866" spans="1:36" s="700" customFormat="1" ht="12.75" customHeight="1">
      <c r="A2866" s="747" t="s">
        <v>215</v>
      </c>
      <c r="B2866" s="747" t="s">
        <v>392</v>
      </c>
      <c r="C2866" s="965" t="s">
        <v>1618</v>
      </c>
      <c r="D2866" s="965"/>
      <c r="E2866" s="872">
        <v>221494</v>
      </c>
      <c r="F2866" s="873">
        <v>13</v>
      </c>
      <c r="G2866" s="1025">
        <v>1835500</v>
      </c>
      <c r="H2866" s="690">
        <v>2012800</v>
      </c>
      <c r="I2866" s="1030"/>
      <c r="J2866" s="690"/>
      <c r="K2866" s="1030"/>
      <c r="L2866" s="690"/>
      <c r="M2866" s="1025">
        <v>1247448.0725199578</v>
      </c>
      <c r="N2866" s="1030"/>
      <c r="O2866" s="692">
        <f t="shared" si="373"/>
        <v>1247448.0725199578</v>
      </c>
      <c r="P2866" s="690">
        <v>1282900</v>
      </c>
      <c r="Q2866" s="690"/>
      <c r="R2866" s="691">
        <f t="shared" si="374"/>
        <v>1282900</v>
      </c>
      <c r="S2866" s="692">
        <f t="shared" si="375"/>
        <v>3082948.072519958</v>
      </c>
      <c r="T2866" s="693">
        <f t="shared" si="376"/>
        <v>3295700</v>
      </c>
      <c r="U2866" s="1035"/>
      <c r="V2866" s="690"/>
      <c r="W2866" s="1025"/>
      <c r="X2866" s="1030"/>
      <c r="Y2866" s="694">
        <f t="shared" si="377"/>
        <v>0</v>
      </c>
      <c r="Z2866" s="690"/>
      <c r="AA2866" s="690"/>
      <c r="AB2866" s="695">
        <f t="shared" si="378"/>
        <v>0</v>
      </c>
      <c r="AC2866" s="1035"/>
      <c r="AD2866" s="690"/>
      <c r="AE2866" s="1025"/>
      <c r="AF2866" s="1030"/>
      <c r="AG2866" s="690"/>
      <c r="AH2866" s="690"/>
      <c r="AI2866" s="696">
        <f t="shared" si="379"/>
        <v>3082948.072519958</v>
      </c>
      <c r="AJ2866" s="697">
        <f t="shared" si="380"/>
        <v>3295700</v>
      </c>
    </row>
    <row r="2867" spans="1:36" s="700" customFormat="1" ht="12.75" customHeight="1">
      <c r="A2867" s="747" t="s">
        <v>215</v>
      </c>
      <c r="B2867" s="747" t="s">
        <v>392</v>
      </c>
      <c r="C2867" s="965" t="s">
        <v>1619</v>
      </c>
      <c r="D2867" s="965"/>
      <c r="E2867" s="872">
        <v>221634</v>
      </c>
      <c r="F2867" s="873">
        <v>13</v>
      </c>
      <c r="G2867" s="1025">
        <v>1198500</v>
      </c>
      <c r="H2867" s="690">
        <v>1314200</v>
      </c>
      <c r="I2867" s="1030"/>
      <c r="J2867" s="690"/>
      <c r="K2867" s="1030"/>
      <c r="L2867" s="690"/>
      <c r="M2867" s="1025">
        <v>379609.19802035193</v>
      </c>
      <c r="N2867" s="1030"/>
      <c r="O2867" s="692">
        <f t="shared" si="373"/>
        <v>379609.19802035193</v>
      </c>
      <c r="P2867" s="690">
        <v>399000</v>
      </c>
      <c r="Q2867" s="690"/>
      <c r="R2867" s="691">
        <f t="shared" si="374"/>
        <v>399000</v>
      </c>
      <c r="S2867" s="692">
        <f t="shared" si="375"/>
        <v>1578109.1980203521</v>
      </c>
      <c r="T2867" s="693">
        <f t="shared" si="376"/>
        <v>1713200</v>
      </c>
      <c r="U2867" s="1035"/>
      <c r="V2867" s="690"/>
      <c r="W2867" s="1025"/>
      <c r="X2867" s="1030"/>
      <c r="Y2867" s="694">
        <f t="shared" si="377"/>
        <v>0</v>
      </c>
      <c r="Z2867" s="690"/>
      <c r="AA2867" s="690"/>
      <c r="AB2867" s="695">
        <f t="shared" si="378"/>
        <v>0</v>
      </c>
      <c r="AC2867" s="1035"/>
      <c r="AD2867" s="690"/>
      <c r="AE2867" s="1025"/>
      <c r="AF2867" s="1030"/>
      <c r="AG2867" s="690"/>
      <c r="AH2867" s="690"/>
      <c r="AI2867" s="696">
        <f t="shared" si="379"/>
        <v>1578109.1980203521</v>
      </c>
      <c r="AJ2867" s="697">
        <f t="shared" si="380"/>
        <v>1713200</v>
      </c>
    </row>
    <row r="2868" spans="1:36" s="700" customFormat="1" ht="12.75" customHeight="1">
      <c r="A2868" s="747" t="s">
        <v>215</v>
      </c>
      <c r="B2868" s="747" t="s">
        <v>429</v>
      </c>
      <c r="C2868" s="965" t="s">
        <v>1620</v>
      </c>
      <c r="D2868" s="965"/>
      <c r="E2868" s="872">
        <v>221704</v>
      </c>
      <c r="F2868" s="873">
        <v>15</v>
      </c>
      <c r="G2868" s="1025"/>
      <c r="H2868" s="690"/>
      <c r="I2868" s="1030"/>
      <c r="J2868" s="690"/>
      <c r="K2868" s="1030"/>
      <c r="L2868" s="690"/>
      <c r="M2868" s="1025"/>
      <c r="N2868" s="1030"/>
      <c r="O2868" s="692">
        <f t="shared" si="373"/>
        <v>0</v>
      </c>
      <c r="P2868" s="690"/>
      <c r="Q2868" s="690"/>
      <c r="R2868" s="691">
        <f t="shared" si="374"/>
        <v>0</v>
      </c>
      <c r="S2868" s="692">
        <f t="shared" si="375"/>
        <v>0</v>
      </c>
      <c r="T2868" s="693">
        <f t="shared" si="376"/>
        <v>0</v>
      </c>
      <c r="U2868" s="1035"/>
      <c r="V2868" s="690"/>
      <c r="W2868" s="1025"/>
      <c r="X2868" s="1030"/>
      <c r="Y2868" s="694">
        <f t="shared" si="377"/>
        <v>0</v>
      </c>
      <c r="Z2868" s="690"/>
      <c r="AA2868" s="690"/>
      <c r="AB2868" s="695">
        <f t="shared" si="378"/>
        <v>0</v>
      </c>
      <c r="AC2868" s="1035"/>
      <c r="AD2868" s="690"/>
      <c r="AE2868" s="1025"/>
      <c r="AF2868" s="1030"/>
      <c r="AG2868" s="690"/>
      <c r="AH2868" s="690"/>
      <c r="AI2868" s="696">
        <f t="shared" si="379"/>
        <v>0</v>
      </c>
      <c r="AJ2868" s="697">
        <f t="shared" si="380"/>
        <v>0</v>
      </c>
    </row>
    <row r="2869" spans="1:36" s="700" customFormat="1" ht="12.75" customHeight="1">
      <c r="A2869" s="747" t="s">
        <v>215</v>
      </c>
      <c r="B2869" s="747" t="s">
        <v>429</v>
      </c>
      <c r="C2869" s="966" t="s">
        <v>965</v>
      </c>
      <c r="D2869" s="966"/>
      <c r="E2869" s="872">
        <v>221704</v>
      </c>
      <c r="F2869" s="873">
        <v>15</v>
      </c>
      <c r="G2869" s="1025"/>
      <c r="H2869" s="690"/>
      <c r="I2869" s="1030"/>
      <c r="J2869" s="690"/>
      <c r="K2869" s="1030"/>
      <c r="L2869" s="690"/>
      <c r="M2869" s="1025"/>
      <c r="N2869" s="1030"/>
      <c r="O2869" s="692">
        <f t="shared" si="373"/>
        <v>0</v>
      </c>
      <c r="P2869" s="690"/>
      <c r="Q2869" s="690"/>
      <c r="R2869" s="691">
        <f t="shared" si="374"/>
        <v>0</v>
      </c>
      <c r="S2869" s="692">
        <f t="shared" si="375"/>
        <v>0</v>
      </c>
      <c r="T2869" s="693">
        <f t="shared" si="376"/>
        <v>0</v>
      </c>
      <c r="U2869" s="1035"/>
      <c r="V2869" s="690"/>
      <c r="W2869" s="1025"/>
      <c r="X2869" s="1030">
        <v>124200</v>
      </c>
      <c r="Y2869" s="694">
        <f t="shared" si="377"/>
        <v>124200</v>
      </c>
      <c r="Z2869" s="690"/>
      <c r="AA2869" s="690">
        <v>126105</v>
      </c>
      <c r="AB2869" s="695">
        <f t="shared" si="378"/>
        <v>126105</v>
      </c>
      <c r="AC2869" s="1035">
        <v>69847100</v>
      </c>
      <c r="AD2869" s="690">
        <v>76282891.704501882</v>
      </c>
      <c r="AE2869" s="1025">
        <v>34348600</v>
      </c>
      <c r="AF2869" s="1030"/>
      <c r="AG2869" s="690">
        <v>36265400</v>
      </c>
      <c r="AH2869" s="690"/>
      <c r="AI2869" s="696">
        <f t="shared" si="379"/>
        <v>104195700</v>
      </c>
      <c r="AJ2869" s="697">
        <f t="shared" si="380"/>
        <v>112548291.70450188</v>
      </c>
    </row>
    <row r="2870" spans="1:36" s="700" customFormat="1" ht="12.75" customHeight="1">
      <c r="A2870" s="747" t="s">
        <v>215</v>
      </c>
      <c r="B2870" s="747" t="s">
        <v>429</v>
      </c>
      <c r="C2870" s="967" t="s">
        <v>713</v>
      </c>
      <c r="D2870" s="967"/>
      <c r="E2870" s="872">
        <v>221704</v>
      </c>
      <c r="F2870" s="873">
        <v>15</v>
      </c>
      <c r="G2870" s="1025"/>
      <c r="H2870" s="690"/>
      <c r="I2870" s="1030"/>
      <c r="J2870" s="690"/>
      <c r="K2870" s="1030"/>
      <c r="L2870" s="690"/>
      <c r="M2870" s="1025"/>
      <c r="N2870" s="1030"/>
      <c r="O2870" s="692">
        <f t="shared" si="373"/>
        <v>0</v>
      </c>
      <c r="P2870" s="690"/>
      <c r="Q2870" s="690"/>
      <c r="R2870" s="691">
        <f t="shared" si="374"/>
        <v>0</v>
      </c>
      <c r="S2870" s="692">
        <f t="shared" si="375"/>
        <v>0</v>
      </c>
      <c r="T2870" s="693">
        <f t="shared" si="376"/>
        <v>0</v>
      </c>
      <c r="U2870" s="1035"/>
      <c r="V2870" s="690"/>
      <c r="W2870" s="1025"/>
      <c r="X2870" s="1030"/>
      <c r="Y2870" s="694">
        <f t="shared" si="377"/>
        <v>0</v>
      </c>
      <c r="Z2870" s="690"/>
      <c r="AA2870" s="690"/>
      <c r="AB2870" s="695">
        <f t="shared" si="378"/>
        <v>0</v>
      </c>
      <c r="AC2870" s="1035">
        <v>55484200</v>
      </c>
      <c r="AD2870" s="690">
        <v>59650900</v>
      </c>
      <c r="AE2870" s="1025">
        <v>14501930</v>
      </c>
      <c r="AF2870" s="1030"/>
      <c r="AG2870" s="690">
        <v>17721100</v>
      </c>
      <c r="AH2870" s="690"/>
      <c r="AI2870" s="696">
        <f t="shared" si="379"/>
        <v>69986130</v>
      </c>
      <c r="AJ2870" s="697">
        <f t="shared" si="380"/>
        <v>77372000</v>
      </c>
    </row>
    <row r="2871" spans="1:36" s="700" customFormat="1" ht="12.75" customHeight="1">
      <c r="A2871" s="747" t="s">
        <v>215</v>
      </c>
      <c r="B2871" s="747" t="s">
        <v>429</v>
      </c>
      <c r="C2871" s="967" t="s">
        <v>88</v>
      </c>
      <c r="D2871" s="967"/>
      <c r="E2871" s="872">
        <v>221704</v>
      </c>
      <c r="F2871" s="873">
        <v>15</v>
      </c>
      <c r="G2871" s="1025"/>
      <c r="H2871" s="690"/>
      <c r="I2871" s="1030"/>
      <c r="J2871" s="690"/>
      <c r="K2871" s="1030"/>
      <c r="L2871" s="690"/>
      <c r="M2871" s="1025"/>
      <c r="N2871" s="1030"/>
      <c r="O2871" s="692">
        <f t="shared" si="373"/>
        <v>0</v>
      </c>
      <c r="P2871" s="690"/>
      <c r="Q2871" s="690"/>
      <c r="R2871" s="691">
        <f t="shared" si="374"/>
        <v>0</v>
      </c>
      <c r="S2871" s="692">
        <f t="shared" si="375"/>
        <v>0</v>
      </c>
      <c r="T2871" s="693">
        <f t="shared" si="376"/>
        <v>0</v>
      </c>
      <c r="U2871" s="1035"/>
      <c r="V2871" s="690"/>
      <c r="W2871" s="1025"/>
      <c r="X2871" s="1030"/>
      <c r="Y2871" s="694">
        <f t="shared" si="377"/>
        <v>0</v>
      </c>
      <c r="Z2871" s="690"/>
      <c r="AA2871" s="690"/>
      <c r="AB2871" s="695">
        <f t="shared" si="378"/>
        <v>0</v>
      </c>
      <c r="AC2871" s="1035">
        <v>16146800</v>
      </c>
      <c r="AD2871" s="690">
        <v>17693689</v>
      </c>
      <c r="AE2871" s="1025">
        <v>8292665</v>
      </c>
      <c r="AF2871" s="1030"/>
      <c r="AG2871" s="690">
        <v>9353554</v>
      </c>
      <c r="AH2871" s="690"/>
      <c r="AI2871" s="696">
        <f t="shared" si="379"/>
        <v>24439465</v>
      </c>
      <c r="AJ2871" s="697">
        <f t="shared" si="380"/>
        <v>27047243</v>
      </c>
    </row>
    <row r="2872" spans="1:36" s="700" customFormat="1" ht="12.75" customHeight="1">
      <c r="A2872" s="747" t="s">
        <v>215</v>
      </c>
      <c r="B2872" s="747" t="s">
        <v>430</v>
      </c>
      <c r="C2872" s="967" t="s">
        <v>1621</v>
      </c>
      <c r="D2872" s="967"/>
      <c r="E2872" s="872">
        <v>221704</v>
      </c>
      <c r="F2872" s="873">
        <v>15</v>
      </c>
      <c r="G2872" s="1025"/>
      <c r="H2872" s="690"/>
      <c r="I2872" s="1030"/>
      <c r="J2872" s="690"/>
      <c r="K2872" s="1030"/>
      <c r="L2872" s="690"/>
      <c r="M2872" s="1025"/>
      <c r="N2872" s="1030"/>
      <c r="O2872" s="692">
        <f t="shared" si="373"/>
        <v>0</v>
      </c>
      <c r="P2872" s="690"/>
      <c r="Q2872" s="690"/>
      <c r="R2872" s="691">
        <f t="shared" si="374"/>
        <v>0</v>
      </c>
      <c r="S2872" s="692">
        <f t="shared" si="375"/>
        <v>0</v>
      </c>
      <c r="T2872" s="693">
        <f t="shared" si="376"/>
        <v>0</v>
      </c>
      <c r="U2872" s="1035">
        <v>8832100</v>
      </c>
      <c r="V2872" s="690">
        <v>9382381.3677429259</v>
      </c>
      <c r="W2872" s="1025">
        <v>1618000</v>
      </c>
      <c r="X2872" s="1030"/>
      <c r="Y2872" s="694">
        <f t="shared" si="377"/>
        <v>1618000</v>
      </c>
      <c r="Z2872" s="690">
        <v>1499381</v>
      </c>
      <c r="AA2872" s="690"/>
      <c r="AB2872" s="695">
        <f t="shared" si="378"/>
        <v>1499381</v>
      </c>
      <c r="AC2872" s="1035"/>
      <c r="AD2872" s="690"/>
      <c r="AE2872" s="1025"/>
      <c r="AF2872" s="1030"/>
      <c r="AG2872" s="690"/>
      <c r="AH2872" s="690"/>
      <c r="AI2872" s="696">
        <f t="shared" si="379"/>
        <v>10450100</v>
      </c>
      <c r="AJ2872" s="697">
        <f t="shared" si="380"/>
        <v>10881762.367742926</v>
      </c>
    </row>
    <row r="2873" spans="1:36" s="700" customFormat="1" ht="12.75" customHeight="1">
      <c r="A2873" s="747" t="s">
        <v>215</v>
      </c>
      <c r="B2873" s="747" t="s">
        <v>431</v>
      </c>
      <c r="C2873" s="970" t="s">
        <v>1518</v>
      </c>
      <c r="D2873" s="970"/>
      <c r="E2873" s="872"/>
      <c r="F2873" s="873"/>
      <c r="G2873" s="1025"/>
      <c r="H2873" s="690"/>
      <c r="I2873" s="1030"/>
      <c r="J2873" s="690"/>
      <c r="K2873" s="1030"/>
      <c r="L2873" s="690"/>
      <c r="M2873" s="1025"/>
      <c r="N2873" s="1030"/>
      <c r="O2873" s="692">
        <f t="shared" si="373"/>
        <v>0</v>
      </c>
      <c r="P2873" s="690"/>
      <c r="Q2873" s="690"/>
      <c r="R2873" s="691">
        <f t="shared" si="374"/>
        <v>0</v>
      </c>
      <c r="S2873" s="692">
        <f t="shared" si="375"/>
        <v>0</v>
      </c>
      <c r="T2873" s="693">
        <f t="shared" si="376"/>
        <v>0</v>
      </c>
      <c r="U2873" s="1035"/>
      <c r="V2873" s="690"/>
      <c r="W2873" s="1025"/>
      <c r="X2873" s="1030"/>
      <c r="Y2873" s="694">
        <f t="shared" si="377"/>
        <v>0</v>
      </c>
      <c r="Z2873" s="690"/>
      <c r="AA2873" s="690"/>
      <c r="AB2873" s="695">
        <f t="shared" si="378"/>
        <v>0</v>
      </c>
      <c r="AC2873" s="1035"/>
      <c r="AD2873" s="690"/>
      <c r="AE2873" s="1025"/>
      <c r="AF2873" s="1030"/>
      <c r="AG2873" s="690"/>
      <c r="AH2873" s="690"/>
      <c r="AI2873" s="696">
        <f t="shared" si="379"/>
        <v>0</v>
      </c>
      <c r="AJ2873" s="697">
        <f t="shared" si="380"/>
        <v>0</v>
      </c>
    </row>
    <row r="2874" spans="1:36" s="700" customFormat="1" ht="12.75" customHeight="1">
      <c r="A2874" s="747" t="s">
        <v>215</v>
      </c>
      <c r="B2874" s="747" t="s">
        <v>431</v>
      </c>
      <c r="C2874" s="967" t="s">
        <v>1622</v>
      </c>
      <c r="D2874" s="967"/>
      <c r="E2874" s="872"/>
      <c r="F2874" s="873"/>
      <c r="G2874" s="1025"/>
      <c r="H2874" s="690"/>
      <c r="I2874" s="1030">
        <v>370700</v>
      </c>
      <c r="J2874" s="690">
        <v>356100</v>
      </c>
      <c r="K2874" s="1030"/>
      <c r="L2874" s="690"/>
      <c r="M2874" s="1025"/>
      <c r="N2874" s="1030"/>
      <c r="O2874" s="692">
        <f t="shared" si="373"/>
        <v>0</v>
      </c>
      <c r="P2874" s="690"/>
      <c r="Q2874" s="690"/>
      <c r="R2874" s="691">
        <f t="shared" si="374"/>
        <v>0</v>
      </c>
      <c r="S2874" s="692">
        <f t="shared" si="375"/>
        <v>370700</v>
      </c>
      <c r="T2874" s="693">
        <f t="shared" si="376"/>
        <v>356100</v>
      </c>
      <c r="U2874" s="1035"/>
      <c r="V2874" s="690"/>
      <c r="W2874" s="1025"/>
      <c r="X2874" s="1030"/>
      <c r="Y2874" s="694">
        <f t="shared" si="377"/>
        <v>0</v>
      </c>
      <c r="Z2874" s="690"/>
      <c r="AA2874" s="690"/>
      <c r="AB2874" s="695">
        <f t="shared" si="378"/>
        <v>0</v>
      </c>
      <c r="AC2874" s="1035"/>
      <c r="AD2874" s="690"/>
      <c r="AE2874" s="1025"/>
      <c r="AF2874" s="1030"/>
      <c r="AG2874" s="690"/>
      <c r="AH2874" s="690"/>
      <c r="AI2874" s="696">
        <f t="shared" si="379"/>
        <v>370700</v>
      </c>
      <c r="AJ2874" s="697">
        <f t="shared" si="380"/>
        <v>356100</v>
      </c>
    </row>
    <row r="2875" spans="1:36" s="700" customFormat="1" ht="12.75" customHeight="1">
      <c r="A2875" s="747" t="s">
        <v>215</v>
      </c>
      <c r="B2875" s="747" t="s">
        <v>409</v>
      </c>
      <c r="C2875" s="970" t="s">
        <v>157</v>
      </c>
      <c r="D2875" s="970"/>
      <c r="E2875" s="872"/>
      <c r="F2875" s="873"/>
      <c r="G2875" s="1025"/>
      <c r="H2875" s="690"/>
      <c r="I2875" s="1030"/>
      <c r="J2875" s="690"/>
      <c r="K2875" s="1030"/>
      <c r="L2875" s="690"/>
      <c r="M2875" s="1025"/>
      <c r="N2875" s="1030"/>
      <c r="O2875" s="692">
        <f t="shared" si="373"/>
        <v>0</v>
      </c>
      <c r="P2875" s="690"/>
      <c r="Q2875" s="690"/>
      <c r="R2875" s="691">
        <f t="shared" si="374"/>
        <v>0</v>
      </c>
      <c r="S2875" s="692">
        <f t="shared" si="375"/>
        <v>0</v>
      </c>
      <c r="T2875" s="693">
        <f t="shared" si="376"/>
        <v>0</v>
      </c>
      <c r="U2875" s="1035"/>
      <c r="V2875" s="690"/>
      <c r="W2875" s="1025"/>
      <c r="X2875" s="1030"/>
      <c r="Y2875" s="694">
        <f t="shared" si="377"/>
        <v>0</v>
      </c>
      <c r="Z2875" s="690"/>
      <c r="AA2875" s="690"/>
      <c r="AB2875" s="695">
        <f t="shared" si="378"/>
        <v>0</v>
      </c>
      <c r="AC2875" s="1035"/>
      <c r="AD2875" s="690"/>
      <c r="AE2875" s="1025"/>
      <c r="AF2875" s="1030"/>
      <c r="AG2875" s="690"/>
      <c r="AH2875" s="690"/>
      <c r="AI2875" s="696">
        <f t="shared" si="379"/>
        <v>0</v>
      </c>
      <c r="AJ2875" s="697">
        <f t="shared" si="380"/>
        <v>0</v>
      </c>
    </row>
    <row r="2876" spans="1:36" s="700" customFormat="1" ht="12.75" customHeight="1">
      <c r="A2876" s="747" t="s">
        <v>215</v>
      </c>
      <c r="B2876" s="747" t="s">
        <v>410</v>
      </c>
      <c r="C2876" s="966" t="s">
        <v>200</v>
      </c>
      <c r="D2876" s="966"/>
      <c r="E2876" s="872"/>
      <c r="F2876" s="873"/>
      <c r="G2876" s="1025"/>
      <c r="H2876" s="690"/>
      <c r="I2876" s="1030"/>
      <c r="J2876" s="690"/>
      <c r="K2876" s="1030"/>
      <c r="L2876" s="690"/>
      <c r="M2876" s="1025"/>
      <c r="N2876" s="1030"/>
      <c r="O2876" s="692">
        <f t="shared" si="373"/>
        <v>0</v>
      </c>
      <c r="P2876" s="690"/>
      <c r="Q2876" s="690"/>
      <c r="R2876" s="691">
        <f t="shared" si="374"/>
        <v>0</v>
      </c>
      <c r="S2876" s="692">
        <f t="shared" si="375"/>
        <v>0</v>
      </c>
      <c r="T2876" s="693">
        <f t="shared" si="376"/>
        <v>0</v>
      </c>
      <c r="U2876" s="1035"/>
      <c r="V2876" s="690"/>
      <c r="W2876" s="1025"/>
      <c r="X2876" s="1030"/>
      <c r="Y2876" s="694">
        <f t="shared" si="377"/>
        <v>0</v>
      </c>
      <c r="Z2876" s="690"/>
      <c r="AA2876" s="690"/>
      <c r="AB2876" s="695">
        <f t="shared" si="378"/>
        <v>0</v>
      </c>
      <c r="AC2876" s="1035"/>
      <c r="AD2876" s="690"/>
      <c r="AE2876" s="1025"/>
      <c r="AF2876" s="1030"/>
      <c r="AG2876" s="690"/>
      <c r="AH2876" s="690"/>
      <c r="AI2876" s="696">
        <f t="shared" si="379"/>
        <v>0</v>
      </c>
      <c r="AJ2876" s="697">
        <f t="shared" si="380"/>
        <v>0</v>
      </c>
    </row>
    <row r="2877" spans="1:36" s="700" customFormat="1" ht="12.75" customHeight="1">
      <c r="A2877" s="747" t="s">
        <v>215</v>
      </c>
      <c r="B2877" s="747" t="s">
        <v>410</v>
      </c>
      <c r="C2877" s="967" t="s">
        <v>1623</v>
      </c>
      <c r="D2877" s="967"/>
      <c r="E2877" s="872"/>
      <c r="F2877" s="873"/>
      <c r="G2877" s="1025"/>
      <c r="H2877" s="690"/>
      <c r="I2877" s="1030"/>
      <c r="J2877" s="690"/>
      <c r="K2877" s="1030"/>
      <c r="L2877" s="690"/>
      <c r="M2877" s="1025"/>
      <c r="N2877" s="1030"/>
      <c r="O2877" s="692">
        <f t="shared" si="373"/>
        <v>0</v>
      </c>
      <c r="P2877" s="690"/>
      <c r="Q2877" s="690"/>
      <c r="R2877" s="691">
        <f t="shared" si="374"/>
        <v>0</v>
      </c>
      <c r="S2877" s="692">
        <f t="shared" si="375"/>
        <v>0</v>
      </c>
      <c r="T2877" s="693">
        <f t="shared" si="376"/>
        <v>0</v>
      </c>
      <c r="U2877" s="1035">
        <v>2186500</v>
      </c>
      <c r="V2877" s="690">
        <v>1960300</v>
      </c>
      <c r="W2877" s="1025"/>
      <c r="X2877" s="1030"/>
      <c r="Y2877" s="694">
        <f t="shared" si="377"/>
        <v>0</v>
      </c>
      <c r="Z2877" s="690"/>
      <c r="AA2877" s="690"/>
      <c r="AB2877" s="695">
        <f t="shared" si="378"/>
        <v>0</v>
      </c>
      <c r="AC2877" s="1035"/>
      <c r="AD2877" s="690"/>
      <c r="AE2877" s="1025"/>
      <c r="AF2877" s="1030"/>
      <c r="AG2877" s="690"/>
      <c r="AH2877" s="690"/>
      <c r="AI2877" s="696">
        <f t="shared" si="379"/>
        <v>2186500</v>
      </c>
      <c r="AJ2877" s="697">
        <f t="shared" si="380"/>
        <v>1960300</v>
      </c>
    </row>
    <row r="2878" spans="1:36" s="700" customFormat="1" ht="12.75" customHeight="1">
      <c r="A2878" s="747" t="s">
        <v>215</v>
      </c>
      <c r="B2878" s="747" t="s">
        <v>410</v>
      </c>
      <c r="C2878" s="967" t="s">
        <v>1624</v>
      </c>
      <c r="D2878" s="967"/>
      <c r="E2878" s="872"/>
      <c r="F2878" s="873"/>
      <c r="G2878" s="1025"/>
      <c r="H2878" s="690"/>
      <c r="I2878" s="1030"/>
      <c r="J2878" s="690"/>
      <c r="K2878" s="1030"/>
      <c r="L2878" s="690"/>
      <c r="M2878" s="1025"/>
      <c r="N2878" s="1030"/>
      <c r="O2878" s="692">
        <f t="shared" si="373"/>
        <v>0</v>
      </c>
      <c r="P2878" s="690"/>
      <c r="Q2878" s="690"/>
      <c r="R2878" s="691">
        <f t="shared" si="374"/>
        <v>0</v>
      </c>
      <c r="S2878" s="692">
        <f t="shared" si="375"/>
        <v>0</v>
      </c>
      <c r="T2878" s="693">
        <f t="shared" si="376"/>
        <v>0</v>
      </c>
      <c r="U2878" s="1035">
        <v>8874600</v>
      </c>
      <c r="V2878" s="690">
        <v>8802483</v>
      </c>
      <c r="W2878" s="1025"/>
      <c r="X2878" s="1030"/>
      <c r="Y2878" s="694">
        <f t="shared" si="377"/>
        <v>0</v>
      </c>
      <c r="Z2878" s="690"/>
      <c r="AA2878" s="690"/>
      <c r="AB2878" s="695">
        <f t="shared" si="378"/>
        <v>0</v>
      </c>
      <c r="AC2878" s="1035"/>
      <c r="AD2878" s="690"/>
      <c r="AE2878" s="1025"/>
      <c r="AF2878" s="1030"/>
      <c r="AG2878" s="690"/>
      <c r="AH2878" s="690"/>
      <c r="AI2878" s="696">
        <f t="shared" si="379"/>
        <v>8874600</v>
      </c>
      <c r="AJ2878" s="697">
        <f t="shared" si="380"/>
        <v>8802483</v>
      </c>
    </row>
    <row r="2879" spans="1:36" s="700" customFormat="1" ht="12.75" customHeight="1">
      <c r="A2879" s="747" t="s">
        <v>215</v>
      </c>
      <c r="B2879" s="747" t="s">
        <v>412</v>
      </c>
      <c r="C2879" s="966" t="s">
        <v>198</v>
      </c>
      <c r="D2879" s="966"/>
      <c r="E2879" s="872"/>
      <c r="F2879" s="873"/>
      <c r="G2879" s="1025"/>
      <c r="H2879" s="690"/>
      <c r="I2879" s="1030"/>
      <c r="J2879" s="690"/>
      <c r="K2879" s="1030"/>
      <c r="L2879" s="690"/>
      <c r="M2879" s="1025"/>
      <c r="N2879" s="1030"/>
      <c r="O2879" s="692">
        <f t="shared" si="373"/>
        <v>0</v>
      </c>
      <c r="P2879" s="690"/>
      <c r="Q2879" s="690"/>
      <c r="R2879" s="691">
        <f t="shared" si="374"/>
        <v>0</v>
      </c>
      <c r="S2879" s="692">
        <f t="shared" si="375"/>
        <v>0</v>
      </c>
      <c r="T2879" s="693">
        <f t="shared" si="376"/>
        <v>0</v>
      </c>
      <c r="U2879" s="1035"/>
      <c r="V2879" s="690"/>
      <c r="W2879" s="1025"/>
      <c r="X2879" s="1030"/>
      <c r="Y2879" s="694">
        <f t="shared" si="377"/>
        <v>0</v>
      </c>
      <c r="Z2879" s="690"/>
      <c r="AA2879" s="690"/>
      <c r="AB2879" s="695">
        <f t="shared" si="378"/>
        <v>0</v>
      </c>
      <c r="AC2879" s="1035"/>
      <c r="AD2879" s="690"/>
      <c r="AE2879" s="1025"/>
      <c r="AF2879" s="1030"/>
      <c r="AG2879" s="690"/>
      <c r="AH2879" s="690"/>
      <c r="AI2879" s="696">
        <f t="shared" si="379"/>
        <v>0</v>
      </c>
      <c r="AJ2879" s="697">
        <f t="shared" si="380"/>
        <v>0</v>
      </c>
    </row>
    <row r="2880" spans="1:36" s="700" customFormat="1" ht="12.75" customHeight="1">
      <c r="A2880" s="747" t="s">
        <v>215</v>
      </c>
      <c r="B2880" s="747" t="s">
        <v>412</v>
      </c>
      <c r="C2880" s="967" t="s">
        <v>684</v>
      </c>
      <c r="D2880" s="967"/>
      <c r="E2880" s="872"/>
      <c r="F2880" s="873"/>
      <c r="G2880" s="1025"/>
      <c r="H2880" s="690"/>
      <c r="I2880" s="1030"/>
      <c r="J2880" s="690"/>
      <c r="K2880" s="1030"/>
      <c r="L2880" s="690"/>
      <c r="M2880" s="1025"/>
      <c r="N2880" s="1030"/>
      <c r="O2880" s="692">
        <f t="shared" si="373"/>
        <v>0</v>
      </c>
      <c r="P2880" s="690"/>
      <c r="Q2880" s="690"/>
      <c r="R2880" s="691">
        <f t="shared" si="374"/>
        <v>0</v>
      </c>
      <c r="S2880" s="692">
        <f t="shared" si="375"/>
        <v>0</v>
      </c>
      <c r="T2880" s="693">
        <f t="shared" si="376"/>
        <v>0</v>
      </c>
      <c r="U2880" s="1035"/>
      <c r="V2880" s="690"/>
      <c r="W2880" s="1025"/>
      <c r="X2880" s="1030"/>
      <c r="Y2880" s="694">
        <f t="shared" si="377"/>
        <v>0</v>
      </c>
      <c r="Z2880" s="690"/>
      <c r="AA2880" s="690"/>
      <c r="AB2880" s="695">
        <f t="shared" si="378"/>
        <v>0</v>
      </c>
      <c r="AC2880" s="1035"/>
      <c r="AD2880" s="690"/>
      <c r="AE2880" s="1025"/>
      <c r="AF2880" s="1030"/>
      <c r="AG2880" s="690"/>
      <c r="AH2880" s="690"/>
      <c r="AI2880" s="696">
        <f t="shared" si="379"/>
        <v>0</v>
      </c>
      <c r="AJ2880" s="697">
        <f t="shared" si="380"/>
        <v>0</v>
      </c>
    </row>
    <row r="2881" spans="1:36" s="700" customFormat="1" ht="12.75" customHeight="1">
      <c r="A2881" s="747" t="s">
        <v>215</v>
      </c>
      <c r="B2881" s="747" t="s">
        <v>413</v>
      </c>
      <c r="C2881" s="875" t="s">
        <v>632</v>
      </c>
      <c r="D2881" s="875"/>
      <c r="E2881" s="872"/>
      <c r="F2881" s="873"/>
      <c r="G2881" s="1025"/>
      <c r="H2881" s="690"/>
      <c r="I2881" s="1030"/>
      <c r="J2881" s="690"/>
      <c r="K2881" s="1030"/>
      <c r="L2881" s="690"/>
      <c r="M2881" s="1025"/>
      <c r="N2881" s="1030"/>
      <c r="O2881" s="692">
        <f t="shared" si="373"/>
        <v>0</v>
      </c>
      <c r="P2881" s="690"/>
      <c r="Q2881" s="690"/>
      <c r="R2881" s="691">
        <f t="shared" si="374"/>
        <v>0</v>
      </c>
      <c r="S2881" s="692">
        <f t="shared" si="375"/>
        <v>0</v>
      </c>
      <c r="T2881" s="693">
        <f t="shared" si="376"/>
        <v>0</v>
      </c>
      <c r="U2881" s="1035">
        <v>1236000</v>
      </c>
      <c r="V2881" s="690">
        <v>1213600</v>
      </c>
      <c r="W2881" s="1025"/>
      <c r="X2881" s="1030"/>
      <c r="Y2881" s="694">
        <f t="shared" si="377"/>
        <v>0</v>
      </c>
      <c r="Z2881" s="690"/>
      <c r="AA2881" s="690"/>
      <c r="AB2881" s="695">
        <f t="shared" si="378"/>
        <v>0</v>
      </c>
      <c r="AC2881" s="1035"/>
      <c r="AD2881" s="690"/>
      <c r="AE2881" s="1025"/>
      <c r="AF2881" s="1030"/>
      <c r="AG2881" s="690"/>
      <c r="AH2881" s="690"/>
      <c r="AI2881" s="696">
        <f t="shared" si="379"/>
        <v>1236000</v>
      </c>
      <c r="AJ2881" s="697">
        <f t="shared" si="380"/>
        <v>1213600</v>
      </c>
    </row>
    <row r="2882" spans="1:36" s="700" customFormat="1" ht="12.75" customHeight="1">
      <c r="A2882" s="747" t="s">
        <v>215</v>
      </c>
      <c r="B2882" s="747" t="s">
        <v>414</v>
      </c>
      <c r="C2882" s="970" t="s">
        <v>160</v>
      </c>
      <c r="D2882" s="970"/>
      <c r="E2882" s="872"/>
      <c r="F2882" s="873"/>
      <c r="G2882" s="1025"/>
      <c r="H2882" s="690"/>
      <c r="I2882" s="1030"/>
      <c r="J2882" s="690"/>
      <c r="K2882" s="1030"/>
      <c r="L2882" s="690"/>
      <c r="M2882" s="1025"/>
      <c r="N2882" s="1030"/>
      <c r="O2882" s="692">
        <f t="shared" si="373"/>
        <v>0</v>
      </c>
      <c r="P2882" s="690"/>
      <c r="Q2882" s="690"/>
      <c r="R2882" s="691">
        <f t="shared" si="374"/>
        <v>0</v>
      </c>
      <c r="S2882" s="692">
        <f t="shared" si="375"/>
        <v>0</v>
      </c>
      <c r="T2882" s="693">
        <f t="shared" si="376"/>
        <v>0</v>
      </c>
      <c r="U2882" s="1035"/>
      <c r="V2882" s="690"/>
      <c r="W2882" s="1025"/>
      <c r="X2882" s="1030"/>
      <c r="Y2882" s="694">
        <f t="shared" si="377"/>
        <v>0</v>
      </c>
      <c r="Z2882" s="690"/>
      <c r="AA2882" s="690"/>
      <c r="AB2882" s="695">
        <f t="shared" si="378"/>
        <v>0</v>
      </c>
      <c r="AC2882" s="1035"/>
      <c r="AD2882" s="690"/>
      <c r="AE2882" s="1025"/>
      <c r="AF2882" s="1030"/>
      <c r="AG2882" s="690"/>
      <c r="AH2882" s="690"/>
      <c r="AI2882" s="696">
        <f t="shared" si="379"/>
        <v>0</v>
      </c>
      <c r="AJ2882" s="697">
        <f t="shared" si="380"/>
        <v>0</v>
      </c>
    </row>
    <row r="2883" spans="1:36" s="700" customFormat="1" ht="12.75" customHeight="1">
      <c r="A2883" s="747" t="s">
        <v>215</v>
      </c>
      <c r="B2883" s="747" t="s">
        <v>415</v>
      </c>
      <c r="C2883" s="970" t="s">
        <v>165</v>
      </c>
      <c r="D2883" s="970"/>
      <c r="E2883" s="872"/>
      <c r="F2883" s="873"/>
      <c r="G2883" s="1025"/>
      <c r="H2883" s="690"/>
      <c r="I2883" s="1030"/>
      <c r="J2883" s="690"/>
      <c r="K2883" s="1030"/>
      <c r="L2883" s="690"/>
      <c r="M2883" s="1025"/>
      <c r="N2883" s="1030"/>
      <c r="O2883" s="692">
        <f t="shared" si="373"/>
        <v>0</v>
      </c>
      <c r="P2883" s="690"/>
      <c r="Q2883" s="690"/>
      <c r="R2883" s="691">
        <f t="shared" si="374"/>
        <v>0</v>
      </c>
      <c r="S2883" s="692">
        <f t="shared" si="375"/>
        <v>0</v>
      </c>
      <c r="T2883" s="693">
        <f t="shared" si="376"/>
        <v>0</v>
      </c>
      <c r="U2883" s="1035"/>
      <c r="V2883" s="690"/>
      <c r="W2883" s="1025"/>
      <c r="X2883" s="1030"/>
      <c r="Y2883" s="694">
        <f t="shared" si="377"/>
        <v>0</v>
      </c>
      <c r="Z2883" s="690"/>
      <c r="AA2883" s="690"/>
      <c r="AB2883" s="695">
        <f t="shared" si="378"/>
        <v>0</v>
      </c>
      <c r="AC2883" s="1035"/>
      <c r="AD2883" s="690"/>
      <c r="AE2883" s="1025"/>
      <c r="AF2883" s="1030"/>
      <c r="AG2883" s="690"/>
      <c r="AH2883" s="690"/>
      <c r="AI2883" s="696">
        <f t="shared" si="379"/>
        <v>0</v>
      </c>
      <c r="AJ2883" s="697">
        <f t="shared" si="380"/>
        <v>0</v>
      </c>
    </row>
    <row r="2884" spans="1:36" s="700" customFormat="1" ht="12.75" customHeight="1">
      <c r="A2884" s="747" t="s">
        <v>215</v>
      </c>
      <c r="B2884" s="747" t="s">
        <v>416</v>
      </c>
      <c r="C2884" s="966" t="s">
        <v>166</v>
      </c>
      <c r="D2884" s="966"/>
      <c r="E2884" s="872"/>
      <c r="F2884" s="873"/>
      <c r="G2884" s="1025"/>
      <c r="H2884" s="690"/>
      <c r="I2884" s="1030"/>
      <c r="J2884" s="690"/>
      <c r="K2884" s="1030"/>
      <c r="L2884" s="690"/>
      <c r="M2884" s="1025"/>
      <c r="N2884" s="1030"/>
      <c r="O2884" s="692">
        <f t="shared" si="373"/>
        <v>0</v>
      </c>
      <c r="P2884" s="690"/>
      <c r="Q2884" s="690"/>
      <c r="R2884" s="691">
        <f t="shared" si="374"/>
        <v>0</v>
      </c>
      <c r="S2884" s="692">
        <f t="shared" si="375"/>
        <v>0</v>
      </c>
      <c r="T2884" s="693">
        <f t="shared" si="376"/>
        <v>0</v>
      </c>
      <c r="U2884" s="1035">
        <v>2289700</v>
      </c>
      <c r="V2884" s="690">
        <v>2005000</v>
      </c>
      <c r="W2884" s="1025"/>
      <c r="X2884" s="1030"/>
      <c r="Y2884" s="694">
        <f t="shared" si="377"/>
        <v>0</v>
      </c>
      <c r="Z2884" s="690"/>
      <c r="AA2884" s="690"/>
      <c r="AB2884" s="695">
        <f t="shared" si="378"/>
        <v>0</v>
      </c>
      <c r="AC2884" s="1035"/>
      <c r="AD2884" s="690"/>
      <c r="AE2884" s="1025"/>
      <c r="AF2884" s="1030"/>
      <c r="AG2884" s="690"/>
      <c r="AH2884" s="690"/>
      <c r="AI2884" s="696">
        <f t="shared" si="379"/>
        <v>2289700</v>
      </c>
      <c r="AJ2884" s="697">
        <f t="shared" si="380"/>
        <v>2005000</v>
      </c>
    </row>
    <row r="2885" spans="1:36" s="700" customFormat="1" ht="12.75" customHeight="1">
      <c r="A2885" s="747" t="s">
        <v>215</v>
      </c>
      <c r="B2885" s="747" t="s">
        <v>416</v>
      </c>
      <c r="C2885" s="967" t="s">
        <v>1229</v>
      </c>
      <c r="D2885" s="967"/>
      <c r="E2885" s="872"/>
      <c r="F2885" s="873"/>
      <c r="G2885" s="1025"/>
      <c r="H2885" s="690"/>
      <c r="I2885" s="1030"/>
      <c r="J2885" s="690"/>
      <c r="K2885" s="1030"/>
      <c r="L2885" s="690"/>
      <c r="M2885" s="1025"/>
      <c r="N2885" s="1030"/>
      <c r="O2885" s="692">
        <f t="shared" si="373"/>
        <v>0</v>
      </c>
      <c r="P2885" s="690"/>
      <c r="Q2885" s="690"/>
      <c r="R2885" s="691">
        <f t="shared" si="374"/>
        <v>0</v>
      </c>
      <c r="S2885" s="692">
        <f t="shared" si="375"/>
        <v>0</v>
      </c>
      <c r="T2885" s="693">
        <f t="shared" si="376"/>
        <v>0</v>
      </c>
      <c r="U2885" s="1035"/>
      <c r="V2885" s="690"/>
      <c r="W2885" s="1025"/>
      <c r="X2885" s="1030"/>
      <c r="Y2885" s="694">
        <f t="shared" si="377"/>
        <v>0</v>
      </c>
      <c r="Z2885" s="690"/>
      <c r="AA2885" s="690"/>
      <c r="AB2885" s="695">
        <f t="shared" si="378"/>
        <v>0</v>
      </c>
      <c r="AC2885" s="1035"/>
      <c r="AD2885" s="690"/>
      <c r="AE2885" s="1025"/>
      <c r="AF2885" s="1030"/>
      <c r="AG2885" s="690"/>
      <c r="AH2885" s="690"/>
      <c r="AI2885" s="696">
        <f t="shared" si="379"/>
        <v>0</v>
      </c>
      <c r="AJ2885" s="697">
        <f t="shared" si="380"/>
        <v>0</v>
      </c>
    </row>
    <row r="2886" spans="1:36" s="700" customFormat="1" ht="12.75" customHeight="1">
      <c r="A2886" s="747" t="s">
        <v>215</v>
      </c>
      <c r="B2886" s="747" t="s">
        <v>416</v>
      </c>
      <c r="C2886" s="967" t="s">
        <v>636</v>
      </c>
      <c r="D2886" s="967"/>
      <c r="E2886" s="872"/>
      <c r="F2886" s="873"/>
      <c r="G2886" s="1025"/>
      <c r="H2886" s="690"/>
      <c r="I2886" s="1030"/>
      <c r="J2886" s="690"/>
      <c r="K2886" s="1030"/>
      <c r="L2886" s="690"/>
      <c r="M2886" s="1025"/>
      <c r="N2886" s="1030"/>
      <c r="O2886" s="692">
        <f t="shared" si="373"/>
        <v>0</v>
      </c>
      <c r="P2886" s="690"/>
      <c r="Q2886" s="690"/>
      <c r="R2886" s="691">
        <f t="shared" si="374"/>
        <v>0</v>
      </c>
      <c r="S2886" s="692">
        <f t="shared" si="375"/>
        <v>0</v>
      </c>
      <c r="T2886" s="693">
        <f t="shared" si="376"/>
        <v>0</v>
      </c>
      <c r="U2886" s="1035"/>
      <c r="V2886" s="690"/>
      <c r="W2886" s="1025"/>
      <c r="X2886" s="1030"/>
      <c r="Y2886" s="694">
        <f t="shared" si="377"/>
        <v>0</v>
      </c>
      <c r="Z2886" s="690"/>
      <c r="AA2886" s="690"/>
      <c r="AB2886" s="695">
        <f t="shared" si="378"/>
        <v>0</v>
      </c>
      <c r="AC2886" s="1035"/>
      <c r="AD2886" s="690"/>
      <c r="AE2886" s="1025"/>
      <c r="AF2886" s="1030"/>
      <c r="AG2886" s="690"/>
      <c r="AH2886" s="690"/>
      <c r="AI2886" s="696">
        <f t="shared" si="379"/>
        <v>0</v>
      </c>
      <c r="AJ2886" s="697">
        <f t="shared" si="380"/>
        <v>0</v>
      </c>
    </row>
    <row r="2887" spans="1:36" s="700" customFormat="1" ht="12.75" customHeight="1">
      <c r="A2887" s="747" t="s">
        <v>215</v>
      </c>
      <c r="B2887" s="747" t="s">
        <v>417</v>
      </c>
      <c r="C2887" s="966" t="s">
        <v>168</v>
      </c>
      <c r="D2887" s="966"/>
      <c r="E2887" s="872"/>
      <c r="F2887" s="873"/>
      <c r="G2887" s="1025"/>
      <c r="H2887" s="690"/>
      <c r="I2887" s="1030"/>
      <c r="J2887" s="690"/>
      <c r="K2887" s="1030"/>
      <c r="L2887" s="690"/>
      <c r="M2887" s="1025"/>
      <c r="N2887" s="1030"/>
      <c r="O2887" s="692">
        <f t="shared" si="373"/>
        <v>0</v>
      </c>
      <c r="P2887" s="690"/>
      <c r="Q2887" s="690"/>
      <c r="R2887" s="691">
        <f t="shared" si="374"/>
        <v>0</v>
      </c>
      <c r="S2887" s="692">
        <f t="shared" si="375"/>
        <v>0</v>
      </c>
      <c r="T2887" s="693">
        <f t="shared" si="376"/>
        <v>0</v>
      </c>
      <c r="U2887" s="1035"/>
      <c r="V2887" s="690"/>
      <c r="W2887" s="1025"/>
      <c r="X2887" s="1030"/>
      <c r="Y2887" s="694">
        <f t="shared" si="377"/>
        <v>0</v>
      </c>
      <c r="Z2887" s="690"/>
      <c r="AA2887" s="690"/>
      <c r="AB2887" s="695">
        <f t="shared" si="378"/>
        <v>0</v>
      </c>
      <c r="AC2887" s="1035"/>
      <c r="AD2887" s="690"/>
      <c r="AE2887" s="1025"/>
      <c r="AF2887" s="1030"/>
      <c r="AG2887" s="690"/>
      <c r="AH2887" s="690"/>
      <c r="AI2887" s="696">
        <f t="shared" si="379"/>
        <v>0</v>
      </c>
      <c r="AJ2887" s="697">
        <f t="shared" si="380"/>
        <v>0</v>
      </c>
    </row>
    <row r="2888" spans="1:36" s="700" customFormat="1" ht="12.75" customHeight="1">
      <c r="A2888" s="747" t="s">
        <v>215</v>
      </c>
      <c r="B2888" s="747" t="s">
        <v>418</v>
      </c>
      <c r="C2888" s="966" t="s">
        <v>197</v>
      </c>
      <c r="D2888" s="966"/>
      <c r="E2888" s="872"/>
      <c r="F2888" s="873"/>
      <c r="G2888" s="1025"/>
      <c r="H2888" s="690"/>
      <c r="I2888" s="1030"/>
      <c r="J2888" s="690"/>
      <c r="K2888" s="1030"/>
      <c r="L2888" s="690"/>
      <c r="M2888" s="1025"/>
      <c r="N2888" s="1030"/>
      <c r="O2888" s="692">
        <f t="shared" si="373"/>
        <v>0</v>
      </c>
      <c r="P2888" s="690"/>
      <c r="Q2888" s="690"/>
      <c r="R2888" s="691">
        <f t="shared" si="374"/>
        <v>0</v>
      </c>
      <c r="S2888" s="692">
        <f t="shared" si="375"/>
        <v>0</v>
      </c>
      <c r="T2888" s="693">
        <f t="shared" si="376"/>
        <v>0</v>
      </c>
      <c r="U2888" s="1035"/>
      <c r="V2888" s="690"/>
      <c r="W2888" s="1025"/>
      <c r="X2888" s="1030"/>
      <c r="Y2888" s="694">
        <f t="shared" si="377"/>
        <v>0</v>
      </c>
      <c r="Z2888" s="690"/>
      <c r="AA2888" s="690"/>
      <c r="AB2888" s="695">
        <f t="shared" si="378"/>
        <v>0</v>
      </c>
      <c r="AC2888" s="1035"/>
      <c r="AD2888" s="690"/>
      <c r="AE2888" s="1025"/>
      <c r="AF2888" s="1030"/>
      <c r="AG2888" s="690"/>
      <c r="AH2888" s="690"/>
      <c r="AI2888" s="696">
        <f t="shared" si="379"/>
        <v>0</v>
      </c>
      <c r="AJ2888" s="697">
        <f t="shared" si="380"/>
        <v>0</v>
      </c>
    </row>
    <row r="2889" spans="1:36" s="700" customFormat="1" ht="12.75" customHeight="1">
      <c r="A2889" s="747" t="s">
        <v>215</v>
      </c>
      <c r="B2889" s="747" t="s">
        <v>419</v>
      </c>
      <c r="C2889" s="970" t="s">
        <v>50</v>
      </c>
      <c r="D2889" s="970"/>
      <c r="E2889" s="872"/>
      <c r="F2889" s="873"/>
      <c r="G2889" s="1025"/>
      <c r="H2889" s="690"/>
      <c r="I2889" s="1030"/>
      <c r="J2889" s="690"/>
      <c r="K2889" s="1030"/>
      <c r="L2889" s="690"/>
      <c r="M2889" s="1025"/>
      <c r="N2889" s="1030"/>
      <c r="O2889" s="692">
        <f t="shared" si="373"/>
        <v>0</v>
      </c>
      <c r="P2889" s="690"/>
      <c r="Q2889" s="690"/>
      <c r="R2889" s="691">
        <f t="shared" si="374"/>
        <v>0</v>
      </c>
      <c r="S2889" s="692">
        <f t="shared" si="375"/>
        <v>0</v>
      </c>
      <c r="T2889" s="693">
        <f t="shared" si="376"/>
        <v>0</v>
      </c>
      <c r="U2889" s="1035"/>
      <c r="V2889" s="690"/>
      <c r="W2889" s="1025"/>
      <c r="X2889" s="1030"/>
      <c r="Y2889" s="694">
        <f t="shared" si="377"/>
        <v>0</v>
      </c>
      <c r="Z2889" s="690"/>
      <c r="AA2889" s="690"/>
      <c r="AB2889" s="695">
        <f t="shared" si="378"/>
        <v>0</v>
      </c>
      <c r="AC2889" s="1035"/>
      <c r="AD2889" s="690"/>
      <c r="AE2889" s="1025"/>
      <c r="AF2889" s="1030"/>
      <c r="AG2889" s="690"/>
      <c r="AH2889" s="690"/>
      <c r="AI2889" s="696">
        <f t="shared" si="379"/>
        <v>0</v>
      </c>
      <c r="AJ2889" s="697">
        <f t="shared" si="380"/>
        <v>0</v>
      </c>
    </row>
    <row r="2890" spans="1:36" s="700" customFormat="1" ht="12.75" customHeight="1">
      <c r="A2890" s="747" t="s">
        <v>215</v>
      </c>
      <c r="B2890" s="747" t="s">
        <v>420</v>
      </c>
      <c r="C2890" s="971" t="s">
        <v>51</v>
      </c>
      <c r="D2890" s="971"/>
      <c r="E2890" s="872"/>
      <c r="F2890" s="873"/>
      <c r="G2890" s="1025"/>
      <c r="H2890" s="690"/>
      <c r="I2890" s="1030"/>
      <c r="J2890" s="690"/>
      <c r="K2890" s="1030"/>
      <c r="L2890" s="690"/>
      <c r="M2890" s="1025"/>
      <c r="N2890" s="1030"/>
      <c r="O2890" s="692">
        <f t="shared" si="373"/>
        <v>0</v>
      </c>
      <c r="P2890" s="690"/>
      <c r="Q2890" s="690"/>
      <c r="R2890" s="691">
        <f t="shared" si="374"/>
        <v>0</v>
      </c>
      <c r="S2890" s="692">
        <f t="shared" si="375"/>
        <v>0</v>
      </c>
      <c r="T2890" s="693">
        <f t="shared" si="376"/>
        <v>0</v>
      </c>
      <c r="U2890" s="1035"/>
      <c r="V2890" s="690"/>
      <c r="W2890" s="1025"/>
      <c r="X2890" s="1030"/>
      <c r="Y2890" s="694">
        <f t="shared" si="377"/>
        <v>0</v>
      </c>
      <c r="Z2890" s="690"/>
      <c r="AA2890" s="690"/>
      <c r="AB2890" s="695">
        <f t="shared" si="378"/>
        <v>0</v>
      </c>
      <c r="AC2890" s="1035"/>
      <c r="AD2890" s="690"/>
      <c r="AE2890" s="1025"/>
      <c r="AF2890" s="1030"/>
      <c r="AG2890" s="690"/>
      <c r="AH2890" s="690"/>
      <c r="AI2890" s="696">
        <f t="shared" si="379"/>
        <v>0</v>
      </c>
      <c r="AJ2890" s="697">
        <f t="shared" si="380"/>
        <v>0</v>
      </c>
    </row>
    <row r="2891" spans="1:36" s="700" customFormat="1" ht="12.75" customHeight="1">
      <c r="A2891" s="747" t="s">
        <v>215</v>
      </c>
      <c r="B2891" s="747" t="s">
        <v>420</v>
      </c>
      <c r="C2891" s="972" t="s">
        <v>1625</v>
      </c>
      <c r="D2891" s="972"/>
      <c r="E2891" s="872"/>
      <c r="F2891" s="873"/>
      <c r="G2891" s="1025"/>
      <c r="H2891" s="690"/>
      <c r="I2891" s="1030"/>
      <c r="J2891" s="690"/>
      <c r="K2891" s="1030"/>
      <c r="L2891" s="690"/>
      <c r="M2891" s="1025"/>
      <c r="N2891" s="1030"/>
      <c r="O2891" s="692">
        <f t="shared" si="373"/>
        <v>0</v>
      </c>
      <c r="P2891" s="690"/>
      <c r="Q2891" s="690"/>
      <c r="R2891" s="691">
        <f t="shared" si="374"/>
        <v>0</v>
      </c>
      <c r="S2891" s="692">
        <f t="shared" si="375"/>
        <v>0</v>
      </c>
      <c r="T2891" s="693">
        <f t="shared" si="376"/>
        <v>0</v>
      </c>
      <c r="U2891" s="1035"/>
      <c r="V2891" s="690"/>
      <c r="W2891" s="1025"/>
      <c r="X2891" s="1030"/>
      <c r="Y2891" s="694">
        <f t="shared" si="377"/>
        <v>0</v>
      </c>
      <c r="Z2891" s="690"/>
      <c r="AA2891" s="690"/>
      <c r="AB2891" s="695">
        <f t="shared" si="378"/>
        <v>0</v>
      </c>
      <c r="AC2891" s="1035"/>
      <c r="AD2891" s="690"/>
      <c r="AE2891" s="1025"/>
      <c r="AF2891" s="1030"/>
      <c r="AG2891" s="690"/>
      <c r="AH2891" s="690"/>
      <c r="AI2891" s="696">
        <f t="shared" si="379"/>
        <v>0</v>
      </c>
      <c r="AJ2891" s="697">
        <f t="shared" si="380"/>
        <v>0</v>
      </c>
    </row>
    <row r="2892" spans="1:36" s="700" customFormat="1" ht="12.75" customHeight="1">
      <c r="A2892" s="747" t="s">
        <v>215</v>
      </c>
      <c r="B2892" s="739" t="s">
        <v>295</v>
      </c>
      <c r="C2892" s="746" t="s">
        <v>53</v>
      </c>
      <c r="D2892" s="746"/>
      <c r="E2892" s="741"/>
      <c r="F2892" s="742"/>
      <c r="G2892" s="1025"/>
      <c r="H2892" s="690"/>
      <c r="I2892" s="1030"/>
      <c r="J2892" s="690"/>
      <c r="K2892" s="1030"/>
      <c r="L2892" s="690"/>
      <c r="M2892" s="1025"/>
      <c r="N2892" s="1030"/>
      <c r="O2892" s="692">
        <f t="shared" ref="O2892:O2955" si="381">SUM(M2892:N2892)</f>
        <v>0</v>
      </c>
      <c r="P2892" s="690"/>
      <c r="Q2892" s="690"/>
      <c r="R2892" s="691">
        <f t="shared" ref="R2892:R2955" si="382">SUM(P2892:Q2892)</f>
        <v>0</v>
      </c>
      <c r="S2892" s="692">
        <f t="shared" ref="S2892:S2955" si="383">SUM(G2892,I2892,K2892,M2892)</f>
        <v>0</v>
      </c>
      <c r="T2892" s="693">
        <f t="shared" ref="T2892:T2955" si="384">SUM(H2892,J2892,L2892,P2892)</f>
        <v>0</v>
      </c>
      <c r="U2892" s="1035"/>
      <c r="V2892" s="690"/>
      <c r="W2892" s="1025"/>
      <c r="X2892" s="1030"/>
      <c r="Y2892" s="694">
        <f t="shared" ref="Y2892:Y2955" si="385">SUM(W2892:X2892)</f>
        <v>0</v>
      </c>
      <c r="Z2892" s="690"/>
      <c r="AA2892" s="690"/>
      <c r="AB2892" s="695">
        <f t="shared" ref="AB2892:AB2955" si="386">SUM(Z2892:AA2892)</f>
        <v>0</v>
      </c>
      <c r="AC2892" s="1035"/>
      <c r="AD2892" s="690"/>
      <c r="AE2892" s="1025"/>
      <c r="AF2892" s="1030"/>
      <c r="AG2892" s="690"/>
      <c r="AH2892" s="690"/>
      <c r="AI2892" s="696">
        <f t="shared" ref="AI2892:AI2955" si="387">SUM(S2892,U2892,W2892,AC2892,AE2892)</f>
        <v>0</v>
      </c>
      <c r="AJ2892" s="697">
        <f t="shared" ref="AJ2892:AJ2955" si="388">SUM(T2892,V2892,Z2892,AD2892,AG2892)</f>
        <v>0</v>
      </c>
    </row>
    <row r="2893" spans="1:36" s="700" customFormat="1" ht="12.75" customHeight="1">
      <c r="A2893" s="747" t="s">
        <v>215</v>
      </c>
      <c r="B2893" s="739" t="s">
        <v>296</v>
      </c>
      <c r="C2893" s="746" t="s">
        <v>443</v>
      </c>
      <c r="D2893" s="746"/>
      <c r="E2893" s="741"/>
      <c r="F2893" s="742"/>
      <c r="G2893" s="1025"/>
      <c r="H2893" s="690"/>
      <c r="I2893" s="1030"/>
      <c r="J2893" s="690"/>
      <c r="K2893" s="1030"/>
      <c r="L2893" s="690"/>
      <c r="M2893" s="1025"/>
      <c r="N2893" s="1030"/>
      <c r="O2893" s="692">
        <f t="shared" si="381"/>
        <v>0</v>
      </c>
      <c r="P2893" s="690"/>
      <c r="Q2893" s="690"/>
      <c r="R2893" s="691">
        <f t="shared" si="382"/>
        <v>0</v>
      </c>
      <c r="S2893" s="692">
        <f t="shared" si="383"/>
        <v>0</v>
      </c>
      <c r="T2893" s="693">
        <f t="shared" si="384"/>
        <v>0</v>
      </c>
      <c r="U2893" s="1154">
        <v>98861027</v>
      </c>
      <c r="V2893" s="818">
        <v>109647988</v>
      </c>
      <c r="W2893" s="1025"/>
      <c r="X2893" s="1030"/>
      <c r="Y2893" s="694">
        <f t="shared" si="385"/>
        <v>0</v>
      </c>
      <c r="Z2893" s="690"/>
      <c r="AA2893" s="690"/>
      <c r="AB2893" s="695">
        <f t="shared" si="386"/>
        <v>0</v>
      </c>
      <c r="AC2893" s="1035"/>
      <c r="AD2893" s="690"/>
      <c r="AE2893" s="1025"/>
      <c r="AF2893" s="1030"/>
      <c r="AG2893" s="690"/>
      <c r="AH2893" s="690"/>
      <c r="AI2893" s="696">
        <f t="shared" si="387"/>
        <v>98861027</v>
      </c>
      <c r="AJ2893" s="697">
        <f t="shared" si="388"/>
        <v>109647988</v>
      </c>
    </row>
    <row r="2894" spans="1:36" s="700" customFormat="1" ht="12.75" customHeight="1">
      <c r="A2894" s="747" t="s">
        <v>215</v>
      </c>
      <c r="B2894" s="739" t="s">
        <v>278</v>
      </c>
      <c r="C2894" s="746" t="s">
        <v>377</v>
      </c>
      <c r="D2894" s="746"/>
      <c r="E2894" s="741"/>
      <c r="F2894" s="742"/>
      <c r="G2894" s="1025"/>
      <c r="H2894" s="690"/>
      <c r="I2894" s="1030"/>
      <c r="J2894" s="690"/>
      <c r="K2894" s="1030"/>
      <c r="L2894" s="690"/>
      <c r="M2894" s="1025"/>
      <c r="N2894" s="1030"/>
      <c r="O2894" s="692">
        <f t="shared" si="381"/>
        <v>0</v>
      </c>
      <c r="P2894" s="690"/>
      <c r="Q2894" s="690"/>
      <c r="R2894" s="691">
        <f t="shared" si="382"/>
        <v>0</v>
      </c>
      <c r="S2894" s="692">
        <f t="shared" si="383"/>
        <v>0</v>
      </c>
      <c r="T2894" s="693">
        <f t="shared" si="384"/>
        <v>0</v>
      </c>
      <c r="U2894" s="1154">
        <v>162616383</v>
      </c>
      <c r="V2894" s="818">
        <v>163467430</v>
      </c>
      <c r="W2894" s="1025"/>
      <c r="X2894" s="1030"/>
      <c r="Y2894" s="694">
        <f t="shared" si="385"/>
        <v>0</v>
      </c>
      <c r="Z2894" s="690"/>
      <c r="AA2894" s="690"/>
      <c r="AB2894" s="695">
        <f t="shared" si="386"/>
        <v>0</v>
      </c>
      <c r="AC2894" s="1035"/>
      <c r="AD2894" s="690"/>
      <c r="AE2894" s="1025"/>
      <c r="AF2894" s="1030"/>
      <c r="AG2894" s="690"/>
      <c r="AH2894" s="690"/>
      <c r="AI2894" s="696">
        <f t="shared" si="387"/>
        <v>162616383</v>
      </c>
      <c r="AJ2894" s="697">
        <f t="shared" si="388"/>
        <v>163467430</v>
      </c>
    </row>
    <row r="2895" spans="1:36" s="700" customFormat="1" ht="12.75" customHeight="1">
      <c r="A2895" s="747" t="s">
        <v>215</v>
      </c>
      <c r="B2895" s="739" t="s">
        <v>279</v>
      </c>
      <c r="C2895" s="746" t="s">
        <v>54</v>
      </c>
      <c r="D2895" s="746"/>
      <c r="E2895" s="741"/>
      <c r="F2895" s="742"/>
      <c r="G2895" s="1025"/>
      <c r="H2895" s="690"/>
      <c r="I2895" s="1030"/>
      <c r="J2895" s="690"/>
      <c r="K2895" s="1030"/>
      <c r="L2895" s="690"/>
      <c r="M2895" s="1025"/>
      <c r="N2895" s="1030"/>
      <c r="O2895" s="692">
        <f t="shared" si="381"/>
        <v>0</v>
      </c>
      <c r="P2895" s="690"/>
      <c r="Q2895" s="690"/>
      <c r="R2895" s="691">
        <f t="shared" si="382"/>
        <v>0</v>
      </c>
      <c r="S2895" s="692">
        <f t="shared" si="383"/>
        <v>0</v>
      </c>
      <c r="T2895" s="693">
        <f t="shared" si="384"/>
        <v>0</v>
      </c>
      <c r="U2895" s="1035"/>
      <c r="V2895" s="690"/>
      <c r="W2895" s="1025"/>
      <c r="X2895" s="1030"/>
      <c r="Y2895" s="694">
        <f t="shared" si="385"/>
        <v>0</v>
      </c>
      <c r="Z2895" s="690"/>
      <c r="AA2895" s="690"/>
      <c r="AB2895" s="695">
        <f t="shared" si="386"/>
        <v>0</v>
      </c>
      <c r="AC2895" s="1035"/>
      <c r="AD2895" s="690"/>
      <c r="AE2895" s="1025"/>
      <c r="AF2895" s="1030"/>
      <c r="AG2895" s="690"/>
      <c r="AH2895" s="690"/>
      <c r="AI2895" s="696">
        <f t="shared" si="387"/>
        <v>0</v>
      </c>
      <c r="AJ2895" s="697">
        <f t="shared" si="388"/>
        <v>0</v>
      </c>
    </row>
    <row r="2896" spans="1:36" s="700" customFormat="1" ht="12.75" customHeight="1">
      <c r="A2896" s="747" t="s">
        <v>215</v>
      </c>
      <c r="B2896" s="739" t="s">
        <v>317</v>
      </c>
      <c r="C2896" s="746" t="s">
        <v>443</v>
      </c>
      <c r="D2896" s="746"/>
      <c r="E2896" s="741"/>
      <c r="F2896" s="742"/>
      <c r="G2896" s="1025"/>
      <c r="H2896" s="690"/>
      <c r="I2896" s="1030"/>
      <c r="J2896" s="690"/>
      <c r="K2896" s="1030"/>
      <c r="L2896" s="690"/>
      <c r="M2896" s="1025"/>
      <c r="N2896" s="1030"/>
      <c r="O2896" s="692">
        <f t="shared" si="381"/>
        <v>0</v>
      </c>
      <c r="P2896" s="690"/>
      <c r="Q2896" s="690"/>
      <c r="R2896" s="691">
        <f t="shared" si="382"/>
        <v>0</v>
      </c>
      <c r="S2896" s="692">
        <f t="shared" si="383"/>
        <v>0</v>
      </c>
      <c r="T2896" s="693">
        <f t="shared" si="384"/>
        <v>0</v>
      </c>
      <c r="U2896" s="1154">
        <v>41142203</v>
      </c>
      <c r="V2896" s="818">
        <v>43977224</v>
      </c>
      <c r="W2896" s="1025"/>
      <c r="X2896" s="1030"/>
      <c r="Y2896" s="694">
        <f t="shared" si="385"/>
        <v>0</v>
      </c>
      <c r="Z2896" s="690"/>
      <c r="AA2896" s="690"/>
      <c r="AB2896" s="695">
        <f t="shared" si="386"/>
        <v>0</v>
      </c>
      <c r="AC2896" s="1035"/>
      <c r="AD2896" s="690"/>
      <c r="AE2896" s="1025"/>
      <c r="AF2896" s="1030"/>
      <c r="AG2896" s="690"/>
      <c r="AH2896" s="690"/>
      <c r="AI2896" s="696">
        <f t="shared" si="387"/>
        <v>41142203</v>
      </c>
      <c r="AJ2896" s="697">
        <f t="shared" si="388"/>
        <v>43977224</v>
      </c>
    </row>
    <row r="2897" spans="1:36" s="700" customFormat="1" ht="12.75" customHeight="1">
      <c r="A2897" s="747" t="s">
        <v>215</v>
      </c>
      <c r="B2897" s="739" t="s">
        <v>318</v>
      </c>
      <c r="C2897" s="746" t="s">
        <v>377</v>
      </c>
      <c r="D2897" s="746"/>
      <c r="E2897" s="741"/>
      <c r="F2897" s="742"/>
      <c r="G2897" s="1025"/>
      <c r="H2897" s="690"/>
      <c r="I2897" s="1030"/>
      <c r="J2897" s="690"/>
      <c r="K2897" s="1030"/>
      <c r="L2897" s="690"/>
      <c r="M2897" s="1025"/>
      <c r="N2897" s="1030"/>
      <c r="O2897" s="692">
        <f t="shared" si="381"/>
        <v>0</v>
      </c>
      <c r="P2897" s="690"/>
      <c r="Q2897" s="690"/>
      <c r="R2897" s="691">
        <f t="shared" si="382"/>
        <v>0</v>
      </c>
      <c r="S2897" s="692">
        <f t="shared" si="383"/>
        <v>0</v>
      </c>
      <c r="T2897" s="693">
        <f t="shared" si="384"/>
        <v>0</v>
      </c>
      <c r="U2897" s="1154">
        <v>37920321</v>
      </c>
      <c r="V2897" s="818">
        <v>38830369</v>
      </c>
      <c r="W2897" s="1025"/>
      <c r="X2897" s="1030"/>
      <c r="Y2897" s="694">
        <f t="shared" si="385"/>
        <v>0</v>
      </c>
      <c r="Z2897" s="690"/>
      <c r="AA2897" s="690"/>
      <c r="AB2897" s="695">
        <f t="shared" si="386"/>
        <v>0</v>
      </c>
      <c r="AC2897" s="1035"/>
      <c r="AD2897" s="690"/>
      <c r="AE2897" s="1025"/>
      <c r="AF2897" s="1030"/>
      <c r="AG2897" s="690"/>
      <c r="AH2897" s="690"/>
      <c r="AI2897" s="696">
        <f t="shared" si="387"/>
        <v>37920321</v>
      </c>
      <c r="AJ2897" s="697">
        <f t="shared" si="388"/>
        <v>38830369</v>
      </c>
    </row>
    <row r="2898" spans="1:36" s="700" customFormat="1" ht="12.75" customHeight="1">
      <c r="A2898" s="747" t="s">
        <v>215</v>
      </c>
      <c r="B2898" s="739" t="s">
        <v>421</v>
      </c>
      <c r="C2898" s="887" t="s">
        <v>19</v>
      </c>
      <c r="D2898" s="887"/>
      <c r="E2898" s="741"/>
      <c r="F2898" s="742"/>
      <c r="G2898" s="1025"/>
      <c r="H2898" s="690"/>
      <c r="I2898" s="1030"/>
      <c r="J2898" s="690"/>
      <c r="K2898" s="1030"/>
      <c r="L2898" s="690"/>
      <c r="M2898" s="1025"/>
      <c r="N2898" s="1030"/>
      <c r="O2898" s="692">
        <f t="shared" si="381"/>
        <v>0</v>
      </c>
      <c r="P2898" s="690"/>
      <c r="Q2898" s="690"/>
      <c r="R2898" s="691">
        <f t="shared" si="382"/>
        <v>0</v>
      </c>
      <c r="S2898" s="692">
        <f t="shared" si="383"/>
        <v>0</v>
      </c>
      <c r="T2898" s="693">
        <f t="shared" si="384"/>
        <v>0</v>
      </c>
      <c r="U2898" s="1035"/>
      <c r="V2898" s="690"/>
      <c r="W2898" s="1025"/>
      <c r="X2898" s="1030"/>
      <c r="Y2898" s="694">
        <f t="shared" si="385"/>
        <v>0</v>
      </c>
      <c r="Z2898" s="690"/>
      <c r="AA2898" s="690"/>
      <c r="AB2898" s="695">
        <f t="shared" si="386"/>
        <v>0</v>
      </c>
      <c r="AC2898" s="1035"/>
      <c r="AD2898" s="690"/>
      <c r="AE2898" s="1025"/>
      <c r="AF2898" s="1030"/>
      <c r="AG2898" s="690"/>
      <c r="AH2898" s="690"/>
      <c r="AI2898" s="696">
        <f t="shared" si="387"/>
        <v>0</v>
      </c>
      <c r="AJ2898" s="697">
        <f t="shared" si="388"/>
        <v>0</v>
      </c>
    </row>
    <row r="2899" spans="1:36" s="700" customFormat="1" ht="12.75" customHeight="1">
      <c r="A2899" s="747" t="s">
        <v>215</v>
      </c>
      <c r="B2899" s="739" t="s">
        <v>380</v>
      </c>
      <c r="C2899" s="746" t="s">
        <v>443</v>
      </c>
      <c r="D2899" s="746"/>
      <c r="E2899" s="741"/>
      <c r="F2899" s="742"/>
      <c r="G2899" s="1025"/>
      <c r="H2899" s="690"/>
      <c r="I2899" s="1030"/>
      <c r="J2899" s="690"/>
      <c r="K2899" s="1030"/>
      <c r="L2899" s="690"/>
      <c r="M2899" s="1025"/>
      <c r="N2899" s="1030"/>
      <c r="O2899" s="692">
        <f t="shared" si="381"/>
        <v>0</v>
      </c>
      <c r="P2899" s="690"/>
      <c r="Q2899" s="690"/>
      <c r="R2899" s="691">
        <f t="shared" si="382"/>
        <v>0</v>
      </c>
      <c r="S2899" s="692">
        <f t="shared" si="383"/>
        <v>0</v>
      </c>
      <c r="T2899" s="693">
        <f t="shared" si="384"/>
        <v>0</v>
      </c>
      <c r="U2899" s="1035"/>
      <c r="V2899" s="690"/>
      <c r="W2899" s="1025"/>
      <c r="X2899" s="1030"/>
      <c r="Y2899" s="694">
        <f t="shared" si="385"/>
        <v>0</v>
      </c>
      <c r="Z2899" s="690"/>
      <c r="AA2899" s="690"/>
      <c r="AB2899" s="695">
        <f t="shared" si="386"/>
        <v>0</v>
      </c>
      <c r="AC2899" s="1035"/>
      <c r="AD2899" s="690"/>
      <c r="AE2899" s="1025"/>
      <c r="AF2899" s="1030"/>
      <c r="AG2899" s="690"/>
      <c r="AH2899" s="690"/>
      <c r="AI2899" s="696">
        <f t="shared" si="387"/>
        <v>0</v>
      </c>
      <c r="AJ2899" s="697">
        <f t="shared" si="388"/>
        <v>0</v>
      </c>
    </row>
    <row r="2900" spans="1:36" s="700" customFormat="1" ht="12.75" customHeight="1">
      <c r="A2900" s="747" t="s">
        <v>215</v>
      </c>
      <c r="B2900" s="739" t="s">
        <v>381</v>
      </c>
      <c r="C2900" s="746" t="s">
        <v>377</v>
      </c>
      <c r="D2900" s="746"/>
      <c r="E2900" s="741"/>
      <c r="F2900" s="742"/>
      <c r="G2900" s="1025"/>
      <c r="H2900" s="690"/>
      <c r="I2900" s="1030"/>
      <c r="J2900" s="690"/>
      <c r="K2900" s="1030"/>
      <c r="L2900" s="690"/>
      <c r="M2900" s="1025"/>
      <c r="N2900" s="1030"/>
      <c r="O2900" s="692">
        <f t="shared" si="381"/>
        <v>0</v>
      </c>
      <c r="P2900" s="690"/>
      <c r="Q2900" s="690"/>
      <c r="R2900" s="691">
        <f t="shared" si="382"/>
        <v>0</v>
      </c>
      <c r="S2900" s="692">
        <f t="shared" si="383"/>
        <v>0</v>
      </c>
      <c r="T2900" s="693">
        <f t="shared" si="384"/>
        <v>0</v>
      </c>
      <c r="U2900" s="1035"/>
      <c r="V2900" s="690"/>
      <c r="W2900" s="1025"/>
      <c r="X2900" s="1030"/>
      <c r="Y2900" s="694">
        <f t="shared" si="385"/>
        <v>0</v>
      </c>
      <c r="Z2900" s="690"/>
      <c r="AA2900" s="690"/>
      <c r="AB2900" s="695">
        <f t="shared" si="386"/>
        <v>0</v>
      </c>
      <c r="AC2900" s="1035"/>
      <c r="AD2900" s="690"/>
      <c r="AE2900" s="1025"/>
      <c r="AF2900" s="1030"/>
      <c r="AG2900" s="690"/>
      <c r="AH2900" s="690"/>
      <c r="AI2900" s="696">
        <f t="shared" si="387"/>
        <v>0</v>
      </c>
      <c r="AJ2900" s="697">
        <f t="shared" si="388"/>
        <v>0</v>
      </c>
    </row>
    <row r="2901" spans="1:36" s="700" customFormat="1" ht="12.75" customHeight="1">
      <c r="A2901" s="747" t="s">
        <v>215</v>
      </c>
      <c r="B2901" s="747" t="s">
        <v>422</v>
      </c>
      <c r="C2901" s="971" t="s">
        <v>439</v>
      </c>
      <c r="D2901" s="971"/>
      <c r="E2901" s="872"/>
      <c r="F2901" s="873"/>
      <c r="G2901" s="1025"/>
      <c r="H2901" s="690"/>
      <c r="I2901" s="1030"/>
      <c r="J2901" s="690"/>
      <c r="K2901" s="1030"/>
      <c r="L2901" s="690"/>
      <c r="M2901" s="1025"/>
      <c r="N2901" s="1030"/>
      <c r="O2901" s="692">
        <f t="shared" si="381"/>
        <v>0</v>
      </c>
      <c r="P2901" s="690"/>
      <c r="Q2901" s="690"/>
      <c r="R2901" s="691">
        <f t="shared" si="382"/>
        <v>0</v>
      </c>
      <c r="S2901" s="692">
        <f t="shared" si="383"/>
        <v>0</v>
      </c>
      <c r="T2901" s="693">
        <f t="shared" si="384"/>
        <v>0</v>
      </c>
      <c r="U2901" s="1035"/>
      <c r="V2901" s="690"/>
      <c r="W2901" s="1025"/>
      <c r="X2901" s="1030"/>
      <c r="Y2901" s="694">
        <f t="shared" si="385"/>
        <v>0</v>
      </c>
      <c r="Z2901" s="690"/>
      <c r="AA2901" s="690"/>
      <c r="AB2901" s="695">
        <f t="shared" si="386"/>
        <v>0</v>
      </c>
      <c r="AC2901" s="1035"/>
      <c r="AD2901" s="690"/>
      <c r="AE2901" s="1025"/>
      <c r="AF2901" s="1030"/>
      <c r="AG2901" s="690"/>
      <c r="AH2901" s="690"/>
      <c r="AI2901" s="696">
        <f t="shared" si="387"/>
        <v>0</v>
      </c>
      <c r="AJ2901" s="697">
        <f t="shared" si="388"/>
        <v>0</v>
      </c>
    </row>
    <row r="2902" spans="1:36" s="700" customFormat="1" ht="12.75" customHeight="1">
      <c r="A2902" s="747" t="s">
        <v>215</v>
      </c>
      <c r="B2902" s="739" t="s">
        <v>382</v>
      </c>
      <c r="C2902" s="746" t="s">
        <v>443</v>
      </c>
      <c r="D2902" s="746"/>
      <c r="E2902" s="741"/>
      <c r="F2902" s="742"/>
      <c r="G2902" s="1025"/>
      <c r="H2902" s="690"/>
      <c r="I2902" s="1030"/>
      <c r="J2902" s="690"/>
      <c r="K2902" s="1030"/>
      <c r="L2902" s="690"/>
      <c r="M2902" s="1025"/>
      <c r="N2902" s="1030"/>
      <c r="O2902" s="692">
        <f t="shared" si="381"/>
        <v>0</v>
      </c>
      <c r="P2902" s="690"/>
      <c r="Q2902" s="690"/>
      <c r="R2902" s="691">
        <f t="shared" si="382"/>
        <v>0</v>
      </c>
      <c r="S2902" s="692">
        <f t="shared" si="383"/>
        <v>0</v>
      </c>
      <c r="T2902" s="693">
        <f t="shared" si="384"/>
        <v>0</v>
      </c>
      <c r="U2902" s="1035"/>
      <c r="V2902" s="690"/>
      <c r="W2902" s="1025"/>
      <c r="X2902" s="1030"/>
      <c r="Y2902" s="694">
        <f t="shared" si="385"/>
        <v>0</v>
      </c>
      <c r="Z2902" s="690"/>
      <c r="AA2902" s="690"/>
      <c r="AB2902" s="695">
        <f t="shared" si="386"/>
        <v>0</v>
      </c>
      <c r="AC2902" s="1035"/>
      <c r="AD2902" s="690"/>
      <c r="AE2902" s="1025"/>
      <c r="AF2902" s="1030"/>
      <c r="AG2902" s="690"/>
      <c r="AH2902" s="690"/>
      <c r="AI2902" s="696">
        <f t="shared" si="387"/>
        <v>0</v>
      </c>
      <c r="AJ2902" s="697">
        <f t="shared" si="388"/>
        <v>0</v>
      </c>
    </row>
    <row r="2903" spans="1:36" s="700" customFormat="1" ht="12.75" customHeight="1">
      <c r="A2903" s="747" t="s">
        <v>215</v>
      </c>
      <c r="B2903" s="739" t="s">
        <v>383</v>
      </c>
      <c r="C2903" s="746" t="s">
        <v>377</v>
      </c>
      <c r="D2903" s="746"/>
      <c r="E2903" s="741"/>
      <c r="F2903" s="742"/>
      <c r="G2903" s="1025"/>
      <c r="H2903" s="690"/>
      <c r="I2903" s="1030"/>
      <c r="J2903" s="690"/>
      <c r="K2903" s="1030"/>
      <c r="L2903" s="690"/>
      <c r="M2903" s="1025"/>
      <c r="N2903" s="1030"/>
      <c r="O2903" s="692">
        <f t="shared" si="381"/>
        <v>0</v>
      </c>
      <c r="P2903" s="690"/>
      <c r="Q2903" s="690"/>
      <c r="R2903" s="691">
        <f t="shared" si="382"/>
        <v>0</v>
      </c>
      <c r="S2903" s="692">
        <f t="shared" si="383"/>
        <v>0</v>
      </c>
      <c r="T2903" s="693">
        <f t="shared" si="384"/>
        <v>0</v>
      </c>
      <c r="U2903" s="1035"/>
      <c r="V2903" s="690"/>
      <c r="W2903" s="1025"/>
      <c r="X2903" s="1030"/>
      <c r="Y2903" s="694">
        <f t="shared" si="385"/>
        <v>0</v>
      </c>
      <c r="Z2903" s="690"/>
      <c r="AA2903" s="690"/>
      <c r="AB2903" s="695">
        <f t="shared" si="386"/>
        <v>0</v>
      </c>
      <c r="AC2903" s="1035"/>
      <c r="AD2903" s="690"/>
      <c r="AE2903" s="1025"/>
      <c r="AF2903" s="1030"/>
      <c r="AG2903" s="690"/>
      <c r="AH2903" s="690"/>
      <c r="AI2903" s="696">
        <f t="shared" si="387"/>
        <v>0</v>
      </c>
      <c r="AJ2903" s="697">
        <f t="shared" si="388"/>
        <v>0</v>
      </c>
    </row>
    <row r="2904" spans="1:36" s="700" customFormat="1" ht="12.75" customHeight="1">
      <c r="A2904" s="755" t="s">
        <v>207</v>
      </c>
      <c r="B2904" s="755" t="s">
        <v>392</v>
      </c>
      <c r="C2904" s="762" t="s">
        <v>1626</v>
      </c>
      <c r="D2904" s="762"/>
      <c r="E2904" s="973">
        <v>228723</v>
      </c>
      <c r="F2904" s="763">
        <v>1</v>
      </c>
      <c r="G2904" s="1025">
        <v>387530493</v>
      </c>
      <c r="H2904" s="690">
        <f>396956567-26503246</f>
        <v>370453321</v>
      </c>
      <c r="I2904" s="1030">
        <v>2460400</v>
      </c>
      <c r="J2904" s="690">
        <v>2422177</v>
      </c>
      <c r="K2904" s="1030"/>
      <c r="L2904" s="690"/>
      <c r="M2904" s="1025">
        <v>409664900</v>
      </c>
      <c r="N2904" s="1030"/>
      <c r="O2904" s="692">
        <f t="shared" si="381"/>
        <v>409664900</v>
      </c>
      <c r="P2904" s="690">
        <f>449386684-7819584</f>
        <v>441567100</v>
      </c>
      <c r="Q2904" s="690"/>
      <c r="R2904" s="691">
        <f t="shared" si="382"/>
        <v>441567100</v>
      </c>
      <c r="S2904" s="692">
        <f t="shared" si="383"/>
        <v>799655793</v>
      </c>
      <c r="T2904" s="693">
        <f t="shared" si="384"/>
        <v>814442598</v>
      </c>
      <c r="U2904" s="1035"/>
      <c r="V2904" s="690"/>
      <c r="W2904" s="1025"/>
      <c r="X2904" s="1030"/>
      <c r="Y2904" s="694">
        <f t="shared" si="385"/>
        <v>0</v>
      </c>
      <c r="Z2904" s="690"/>
      <c r="AA2904" s="690"/>
      <c r="AB2904" s="695">
        <f t="shared" si="386"/>
        <v>0</v>
      </c>
      <c r="AC2904" s="1035"/>
      <c r="AD2904" s="690"/>
      <c r="AE2904" s="1025"/>
      <c r="AF2904" s="1030"/>
      <c r="AG2904" s="690"/>
      <c r="AH2904" s="690"/>
      <c r="AI2904" s="696">
        <f t="shared" si="387"/>
        <v>799655793</v>
      </c>
      <c r="AJ2904" s="697">
        <f t="shared" si="388"/>
        <v>814442598</v>
      </c>
    </row>
    <row r="2905" spans="1:36" s="700" customFormat="1" ht="12.75" customHeight="1">
      <c r="A2905" s="755" t="s">
        <v>207</v>
      </c>
      <c r="B2905" s="755" t="s">
        <v>408</v>
      </c>
      <c r="C2905" s="974" t="s">
        <v>965</v>
      </c>
      <c r="D2905" s="974"/>
      <c r="E2905" s="973">
        <v>228723</v>
      </c>
      <c r="F2905" s="763">
        <v>1</v>
      </c>
      <c r="G2905" s="1025"/>
      <c r="H2905" s="690"/>
      <c r="I2905" s="1030"/>
      <c r="J2905" s="690"/>
      <c r="K2905" s="1030"/>
      <c r="L2905" s="690"/>
      <c r="M2905" s="1025"/>
      <c r="N2905" s="1030"/>
      <c r="O2905" s="692">
        <f t="shared" si="381"/>
        <v>0</v>
      </c>
      <c r="P2905" s="690"/>
      <c r="Q2905" s="690"/>
      <c r="R2905" s="691">
        <f t="shared" si="382"/>
        <v>0</v>
      </c>
      <c r="S2905" s="692">
        <f t="shared" si="383"/>
        <v>0</v>
      </c>
      <c r="T2905" s="693">
        <f t="shared" si="384"/>
        <v>0</v>
      </c>
      <c r="U2905" s="1035"/>
      <c r="V2905" s="690"/>
      <c r="W2905" s="1025"/>
      <c r="X2905" s="1030"/>
      <c r="Y2905" s="694">
        <f t="shared" si="385"/>
        <v>0</v>
      </c>
      <c r="Z2905" s="690"/>
      <c r="AA2905" s="690"/>
      <c r="AB2905" s="695">
        <f t="shared" si="386"/>
        <v>0</v>
      </c>
      <c r="AC2905" s="1035"/>
      <c r="AD2905" s="690"/>
      <c r="AE2905" s="1025"/>
      <c r="AF2905" s="1030"/>
      <c r="AG2905" s="690"/>
      <c r="AH2905" s="690"/>
      <c r="AI2905" s="696">
        <f t="shared" si="387"/>
        <v>0</v>
      </c>
      <c r="AJ2905" s="697">
        <f t="shared" si="388"/>
        <v>0</v>
      </c>
    </row>
    <row r="2906" spans="1:36" s="700" customFormat="1" ht="12.75" customHeight="1">
      <c r="A2906" s="755" t="s">
        <v>207</v>
      </c>
      <c r="B2906" s="755" t="s">
        <v>408</v>
      </c>
      <c r="C2906" s="759" t="s">
        <v>1627</v>
      </c>
      <c r="D2906" s="759"/>
      <c r="E2906" s="973">
        <v>228723</v>
      </c>
      <c r="F2906" s="763">
        <v>1</v>
      </c>
      <c r="G2906" s="1025"/>
      <c r="H2906" s="690"/>
      <c r="I2906" s="1030"/>
      <c r="J2906" s="690"/>
      <c r="K2906" s="1030"/>
      <c r="L2906" s="690"/>
      <c r="M2906" s="1025"/>
      <c r="N2906" s="1030"/>
      <c r="O2906" s="692">
        <f t="shared" si="381"/>
        <v>0</v>
      </c>
      <c r="P2906" s="690"/>
      <c r="Q2906" s="690"/>
      <c r="R2906" s="691">
        <f t="shared" si="382"/>
        <v>0</v>
      </c>
      <c r="S2906" s="692">
        <f t="shared" si="383"/>
        <v>0</v>
      </c>
      <c r="T2906" s="693">
        <f t="shared" si="384"/>
        <v>0</v>
      </c>
      <c r="U2906" s="1035"/>
      <c r="V2906" s="690"/>
      <c r="W2906" s="1025"/>
      <c r="X2906" s="1030"/>
      <c r="Y2906" s="694">
        <f t="shared" si="385"/>
        <v>0</v>
      </c>
      <c r="Z2906" s="690"/>
      <c r="AA2906" s="690"/>
      <c r="AB2906" s="695">
        <f t="shared" si="386"/>
        <v>0</v>
      </c>
      <c r="AC2906" s="1035">
        <v>26503246</v>
      </c>
      <c r="AD2906" s="690">
        <v>26503246</v>
      </c>
      <c r="AE2906" s="1025">
        <v>8773012</v>
      </c>
      <c r="AF2906" s="1030"/>
      <c r="AG2906" s="690">
        <v>7819584</v>
      </c>
      <c r="AH2906" s="690"/>
      <c r="AI2906" s="696">
        <f t="shared" si="387"/>
        <v>35276258</v>
      </c>
      <c r="AJ2906" s="697">
        <f t="shared" si="388"/>
        <v>34322830</v>
      </c>
    </row>
    <row r="2907" spans="1:36" s="700" customFormat="1" ht="12.75" customHeight="1">
      <c r="A2907" s="755" t="s">
        <v>207</v>
      </c>
      <c r="B2907" s="755" t="s">
        <v>396</v>
      </c>
      <c r="C2907" s="974" t="s">
        <v>385</v>
      </c>
      <c r="D2907" s="974"/>
      <c r="E2907" s="973">
        <v>228723</v>
      </c>
      <c r="F2907" s="763">
        <v>1</v>
      </c>
      <c r="G2907" s="1025"/>
      <c r="H2907" s="690"/>
      <c r="I2907" s="1030">
        <v>67658198</v>
      </c>
      <c r="J2907" s="690">
        <v>69847285</v>
      </c>
      <c r="K2907" s="1030"/>
      <c r="L2907" s="690"/>
      <c r="M2907" s="1025"/>
      <c r="N2907" s="1030"/>
      <c r="O2907" s="692">
        <f t="shared" si="381"/>
        <v>0</v>
      </c>
      <c r="P2907" s="690"/>
      <c r="Q2907" s="690"/>
      <c r="R2907" s="691">
        <f t="shared" si="382"/>
        <v>0</v>
      </c>
      <c r="S2907" s="692">
        <f t="shared" si="383"/>
        <v>67658198</v>
      </c>
      <c r="T2907" s="693">
        <f t="shared" si="384"/>
        <v>69847285</v>
      </c>
      <c r="U2907" s="1035"/>
      <c r="V2907" s="690"/>
      <c r="W2907" s="1025"/>
      <c r="X2907" s="1030"/>
      <c r="Y2907" s="694">
        <f t="shared" si="385"/>
        <v>0</v>
      </c>
      <c r="Z2907" s="690"/>
      <c r="AA2907" s="690"/>
      <c r="AB2907" s="695">
        <f t="shared" si="386"/>
        <v>0</v>
      </c>
      <c r="AC2907" s="1035"/>
      <c r="AD2907" s="690"/>
      <c r="AE2907" s="1025"/>
      <c r="AF2907" s="1030"/>
      <c r="AG2907" s="690"/>
      <c r="AH2907" s="690"/>
      <c r="AI2907" s="696">
        <f t="shared" si="387"/>
        <v>67658198</v>
      </c>
      <c r="AJ2907" s="697">
        <f t="shared" si="388"/>
        <v>69847285</v>
      </c>
    </row>
    <row r="2908" spans="1:36" s="700" customFormat="1" ht="12.75" customHeight="1">
      <c r="A2908" s="755" t="s">
        <v>207</v>
      </c>
      <c r="B2908" s="755" t="s">
        <v>397</v>
      </c>
      <c r="C2908" s="974" t="s">
        <v>384</v>
      </c>
      <c r="D2908" s="974"/>
      <c r="E2908" s="973">
        <v>228723</v>
      </c>
      <c r="F2908" s="763">
        <v>1</v>
      </c>
      <c r="G2908" s="1025"/>
      <c r="H2908" s="690"/>
      <c r="I2908" s="1030">
        <v>73526709</v>
      </c>
      <c r="J2908" s="690">
        <v>63839027</v>
      </c>
      <c r="K2908" s="1030"/>
      <c r="L2908" s="690"/>
      <c r="M2908" s="1025"/>
      <c r="N2908" s="1030"/>
      <c r="O2908" s="692">
        <f t="shared" si="381"/>
        <v>0</v>
      </c>
      <c r="P2908" s="690"/>
      <c r="Q2908" s="690"/>
      <c r="R2908" s="691">
        <f t="shared" si="382"/>
        <v>0</v>
      </c>
      <c r="S2908" s="692">
        <f t="shared" si="383"/>
        <v>73526709</v>
      </c>
      <c r="T2908" s="693">
        <f t="shared" si="384"/>
        <v>63839027</v>
      </c>
      <c r="U2908" s="1035"/>
      <c r="V2908" s="690"/>
      <c r="W2908" s="1025"/>
      <c r="X2908" s="1030"/>
      <c r="Y2908" s="694">
        <f t="shared" si="385"/>
        <v>0</v>
      </c>
      <c r="Z2908" s="690"/>
      <c r="AA2908" s="690"/>
      <c r="AB2908" s="695">
        <f t="shared" si="386"/>
        <v>0</v>
      </c>
      <c r="AC2908" s="1035"/>
      <c r="AD2908" s="690"/>
      <c r="AE2908" s="1025"/>
      <c r="AF2908" s="1030"/>
      <c r="AG2908" s="690"/>
      <c r="AH2908" s="690"/>
      <c r="AI2908" s="696">
        <f t="shared" si="387"/>
        <v>73526709</v>
      </c>
      <c r="AJ2908" s="697">
        <f t="shared" si="388"/>
        <v>63839027</v>
      </c>
    </row>
    <row r="2909" spans="1:36" s="700" customFormat="1" ht="12.75" customHeight="1">
      <c r="A2909" s="755" t="s">
        <v>207</v>
      </c>
      <c r="B2909" s="755" t="s">
        <v>398</v>
      </c>
      <c r="C2909" s="974" t="s">
        <v>440</v>
      </c>
      <c r="D2909" s="974"/>
      <c r="E2909" s="973">
        <v>228723</v>
      </c>
      <c r="F2909" s="763">
        <v>1</v>
      </c>
      <c r="G2909" s="1025"/>
      <c r="H2909" s="690"/>
      <c r="I2909" s="1030">
        <v>19013304</v>
      </c>
      <c r="J2909" s="690">
        <v>18080809</v>
      </c>
      <c r="K2909" s="1030"/>
      <c r="L2909" s="690"/>
      <c r="M2909" s="1025"/>
      <c r="N2909" s="1030"/>
      <c r="O2909" s="692">
        <f t="shared" si="381"/>
        <v>0</v>
      </c>
      <c r="P2909" s="690"/>
      <c r="Q2909" s="690"/>
      <c r="R2909" s="691">
        <f t="shared" si="382"/>
        <v>0</v>
      </c>
      <c r="S2909" s="692">
        <f t="shared" si="383"/>
        <v>19013304</v>
      </c>
      <c r="T2909" s="693">
        <f t="shared" si="384"/>
        <v>18080809</v>
      </c>
      <c r="U2909" s="1035"/>
      <c r="V2909" s="690"/>
      <c r="W2909" s="1025"/>
      <c r="X2909" s="1030"/>
      <c r="Y2909" s="694">
        <f t="shared" si="385"/>
        <v>0</v>
      </c>
      <c r="Z2909" s="690"/>
      <c r="AA2909" s="690"/>
      <c r="AB2909" s="695">
        <f t="shared" si="386"/>
        <v>0</v>
      </c>
      <c r="AC2909" s="1035"/>
      <c r="AD2909" s="690"/>
      <c r="AE2909" s="1025"/>
      <c r="AF2909" s="1030"/>
      <c r="AG2909" s="690"/>
      <c r="AH2909" s="690"/>
      <c r="AI2909" s="696">
        <f t="shared" si="387"/>
        <v>19013304</v>
      </c>
      <c r="AJ2909" s="697">
        <f t="shared" si="388"/>
        <v>18080809</v>
      </c>
    </row>
    <row r="2910" spans="1:36" s="700" customFormat="1" ht="12.75" customHeight="1">
      <c r="A2910" s="755" t="s">
        <v>207</v>
      </c>
      <c r="B2910" s="755" t="s">
        <v>405</v>
      </c>
      <c r="C2910" s="759" t="s">
        <v>1628</v>
      </c>
      <c r="D2910" s="759"/>
      <c r="E2910" s="973">
        <v>228723</v>
      </c>
      <c r="F2910" s="763">
        <v>1</v>
      </c>
      <c r="G2910" s="1025"/>
      <c r="H2910" s="690"/>
      <c r="I2910" s="1030">
        <v>8992263</v>
      </c>
      <c r="J2910" s="690">
        <v>8513258</v>
      </c>
      <c r="K2910" s="1030"/>
      <c r="L2910" s="690"/>
      <c r="M2910" s="1025"/>
      <c r="N2910" s="1030"/>
      <c r="O2910" s="692">
        <f t="shared" si="381"/>
        <v>0</v>
      </c>
      <c r="P2910" s="690"/>
      <c r="Q2910" s="690"/>
      <c r="R2910" s="691">
        <f t="shared" si="382"/>
        <v>0</v>
      </c>
      <c r="S2910" s="692">
        <f t="shared" si="383"/>
        <v>8992263</v>
      </c>
      <c r="T2910" s="693">
        <f t="shared" si="384"/>
        <v>8513258</v>
      </c>
      <c r="U2910" s="1035"/>
      <c r="V2910" s="690"/>
      <c r="W2910" s="1025"/>
      <c r="X2910" s="1030"/>
      <c r="Y2910" s="694">
        <f t="shared" si="385"/>
        <v>0</v>
      </c>
      <c r="Z2910" s="690"/>
      <c r="AA2910" s="690"/>
      <c r="AB2910" s="695">
        <f t="shared" si="386"/>
        <v>0</v>
      </c>
      <c r="AC2910" s="1035"/>
      <c r="AD2910" s="690"/>
      <c r="AE2910" s="1025"/>
      <c r="AF2910" s="1030"/>
      <c r="AG2910" s="690"/>
      <c r="AH2910" s="690"/>
      <c r="AI2910" s="696">
        <f t="shared" si="387"/>
        <v>8992263</v>
      </c>
      <c r="AJ2910" s="697">
        <f t="shared" si="388"/>
        <v>8513258</v>
      </c>
    </row>
    <row r="2911" spans="1:36" s="700" customFormat="1" ht="12.75" customHeight="1">
      <c r="A2911" s="755" t="s">
        <v>207</v>
      </c>
      <c r="B2911" s="755" t="s">
        <v>394</v>
      </c>
      <c r="C2911" s="974" t="s">
        <v>451</v>
      </c>
      <c r="D2911" s="974"/>
      <c r="E2911" s="973">
        <v>228723</v>
      </c>
      <c r="F2911" s="763">
        <v>1</v>
      </c>
      <c r="G2911" s="1025"/>
      <c r="H2911" s="690"/>
      <c r="I2911" s="1030"/>
      <c r="J2911" s="690"/>
      <c r="K2911" s="1030"/>
      <c r="L2911" s="690"/>
      <c r="M2911" s="1025"/>
      <c r="N2911" s="1030"/>
      <c r="O2911" s="692">
        <f t="shared" si="381"/>
        <v>0</v>
      </c>
      <c r="P2911" s="690"/>
      <c r="Q2911" s="690"/>
      <c r="R2911" s="691">
        <f t="shared" si="382"/>
        <v>0</v>
      </c>
      <c r="S2911" s="692">
        <f t="shared" si="383"/>
        <v>0</v>
      </c>
      <c r="T2911" s="693">
        <f t="shared" si="384"/>
        <v>0</v>
      </c>
      <c r="U2911" s="1035"/>
      <c r="V2911" s="690"/>
      <c r="W2911" s="1025"/>
      <c r="X2911" s="1030"/>
      <c r="Y2911" s="694">
        <f t="shared" si="385"/>
        <v>0</v>
      </c>
      <c r="Z2911" s="690"/>
      <c r="AA2911" s="690"/>
      <c r="AB2911" s="695">
        <f t="shared" si="386"/>
        <v>0</v>
      </c>
      <c r="AC2911" s="1035"/>
      <c r="AD2911" s="690"/>
      <c r="AE2911" s="1025"/>
      <c r="AF2911" s="1030"/>
      <c r="AG2911" s="690"/>
      <c r="AH2911" s="690"/>
      <c r="AI2911" s="696">
        <f t="shared" si="387"/>
        <v>0</v>
      </c>
      <c r="AJ2911" s="697">
        <f t="shared" si="388"/>
        <v>0</v>
      </c>
    </row>
    <row r="2912" spans="1:36" s="700" customFormat="1" ht="12.75" customHeight="1">
      <c r="A2912" s="755" t="s">
        <v>207</v>
      </c>
      <c r="B2912" s="755" t="s">
        <v>394</v>
      </c>
      <c r="C2912" s="759" t="s">
        <v>1629</v>
      </c>
      <c r="D2912" s="759"/>
      <c r="E2912" s="973">
        <v>228723</v>
      </c>
      <c r="F2912" s="763">
        <v>1</v>
      </c>
      <c r="G2912" s="1025"/>
      <c r="H2912" s="690"/>
      <c r="I2912" s="1030">
        <v>24067843</v>
      </c>
      <c r="J2912" s="690">
        <v>23045799</v>
      </c>
      <c r="K2912" s="1030"/>
      <c r="L2912" s="690"/>
      <c r="M2912" s="1025"/>
      <c r="N2912" s="1030"/>
      <c r="O2912" s="692">
        <f t="shared" si="381"/>
        <v>0</v>
      </c>
      <c r="P2912" s="690"/>
      <c r="Q2912" s="690"/>
      <c r="R2912" s="691">
        <f t="shared" si="382"/>
        <v>0</v>
      </c>
      <c r="S2912" s="692">
        <f t="shared" si="383"/>
        <v>24067843</v>
      </c>
      <c r="T2912" s="693">
        <f t="shared" si="384"/>
        <v>23045799</v>
      </c>
      <c r="U2912" s="1035"/>
      <c r="V2912" s="690"/>
      <c r="W2912" s="1025"/>
      <c r="X2912" s="1030"/>
      <c r="Y2912" s="694">
        <f t="shared" si="385"/>
        <v>0</v>
      </c>
      <c r="Z2912" s="690"/>
      <c r="AA2912" s="690"/>
      <c r="AB2912" s="695">
        <f t="shared" si="386"/>
        <v>0</v>
      </c>
      <c r="AC2912" s="1035"/>
      <c r="AD2912" s="690"/>
      <c r="AE2912" s="1025"/>
      <c r="AF2912" s="1030"/>
      <c r="AG2912" s="690"/>
      <c r="AH2912" s="690"/>
      <c r="AI2912" s="696">
        <f t="shared" si="387"/>
        <v>24067843</v>
      </c>
      <c r="AJ2912" s="697">
        <f t="shared" si="388"/>
        <v>23045799</v>
      </c>
    </row>
    <row r="2913" spans="1:36" s="700" customFormat="1" ht="12.75" customHeight="1">
      <c r="A2913" s="755" t="s">
        <v>207</v>
      </c>
      <c r="B2913" s="755" t="s">
        <v>394</v>
      </c>
      <c r="C2913" s="759" t="s">
        <v>1630</v>
      </c>
      <c r="D2913" s="759"/>
      <c r="E2913" s="973">
        <v>228723</v>
      </c>
      <c r="F2913" s="763">
        <v>1</v>
      </c>
      <c r="G2913" s="1025"/>
      <c r="H2913" s="690"/>
      <c r="I2913" s="1030">
        <v>1880917</v>
      </c>
      <c r="J2913" s="690">
        <v>1892120</v>
      </c>
      <c r="K2913" s="1030"/>
      <c r="L2913" s="690"/>
      <c r="M2913" s="1025"/>
      <c r="N2913" s="1030"/>
      <c r="O2913" s="692">
        <f t="shared" si="381"/>
        <v>0</v>
      </c>
      <c r="P2913" s="690"/>
      <c r="Q2913" s="690"/>
      <c r="R2913" s="691">
        <f t="shared" si="382"/>
        <v>0</v>
      </c>
      <c r="S2913" s="692">
        <f t="shared" si="383"/>
        <v>1880917</v>
      </c>
      <c r="T2913" s="693">
        <f t="shared" si="384"/>
        <v>1892120</v>
      </c>
      <c r="U2913" s="1035"/>
      <c r="V2913" s="690"/>
      <c r="W2913" s="1025"/>
      <c r="X2913" s="1030"/>
      <c r="Y2913" s="694">
        <f t="shared" si="385"/>
        <v>0</v>
      </c>
      <c r="Z2913" s="690"/>
      <c r="AA2913" s="690"/>
      <c r="AB2913" s="695">
        <f t="shared" si="386"/>
        <v>0</v>
      </c>
      <c r="AC2913" s="1035"/>
      <c r="AD2913" s="690"/>
      <c r="AE2913" s="1025"/>
      <c r="AF2913" s="1030"/>
      <c r="AG2913" s="690"/>
      <c r="AH2913" s="690"/>
      <c r="AI2913" s="696">
        <f t="shared" si="387"/>
        <v>1880917</v>
      </c>
      <c r="AJ2913" s="697">
        <f t="shared" si="388"/>
        <v>1892120</v>
      </c>
    </row>
    <row r="2914" spans="1:36" s="700" customFormat="1" ht="12.75" customHeight="1">
      <c r="A2914" s="755" t="s">
        <v>207</v>
      </c>
      <c r="B2914" s="755" t="s">
        <v>394</v>
      </c>
      <c r="C2914" s="975" t="s">
        <v>1631</v>
      </c>
      <c r="D2914" s="975"/>
      <c r="E2914" s="973">
        <v>228723</v>
      </c>
      <c r="F2914" s="763">
        <v>1</v>
      </c>
      <c r="G2914" s="1025"/>
      <c r="H2914" s="690"/>
      <c r="I2914" s="1030">
        <v>7386413</v>
      </c>
      <c r="J2914" s="690">
        <v>6814344</v>
      </c>
      <c r="K2914" s="1030"/>
      <c r="L2914" s="690"/>
      <c r="M2914" s="1025"/>
      <c r="N2914" s="1030"/>
      <c r="O2914" s="692">
        <f t="shared" si="381"/>
        <v>0</v>
      </c>
      <c r="P2914" s="690"/>
      <c r="Q2914" s="690"/>
      <c r="R2914" s="691">
        <f t="shared" si="382"/>
        <v>0</v>
      </c>
      <c r="S2914" s="692">
        <f t="shared" si="383"/>
        <v>7386413</v>
      </c>
      <c r="T2914" s="693">
        <f t="shared" si="384"/>
        <v>6814344</v>
      </c>
      <c r="U2914" s="1035"/>
      <c r="V2914" s="690"/>
      <c r="W2914" s="1025"/>
      <c r="X2914" s="1030"/>
      <c r="Y2914" s="694">
        <f t="shared" si="385"/>
        <v>0</v>
      </c>
      <c r="Z2914" s="690"/>
      <c r="AA2914" s="690"/>
      <c r="AB2914" s="695">
        <f t="shared" si="386"/>
        <v>0</v>
      </c>
      <c r="AC2914" s="1035"/>
      <c r="AD2914" s="690"/>
      <c r="AE2914" s="1025"/>
      <c r="AF2914" s="1030"/>
      <c r="AG2914" s="690"/>
      <c r="AH2914" s="690"/>
      <c r="AI2914" s="696">
        <f t="shared" si="387"/>
        <v>7386413</v>
      </c>
      <c r="AJ2914" s="697">
        <f t="shared" si="388"/>
        <v>6814344</v>
      </c>
    </row>
    <row r="2915" spans="1:36" s="700" customFormat="1" ht="12.75" customHeight="1">
      <c r="A2915" s="755" t="s">
        <v>207</v>
      </c>
      <c r="B2915" s="755" t="s">
        <v>392</v>
      </c>
      <c r="C2915" s="762" t="s">
        <v>1632</v>
      </c>
      <c r="D2915" s="762"/>
      <c r="E2915" s="973">
        <v>229115</v>
      </c>
      <c r="F2915" s="763">
        <v>1</v>
      </c>
      <c r="G2915" s="1025">
        <v>178908142</v>
      </c>
      <c r="H2915" s="690">
        <v>169313242</v>
      </c>
      <c r="I2915" s="1030">
        <v>12949223</v>
      </c>
      <c r="J2915" s="690">
        <v>11252552</v>
      </c>
      <c r="K2915" s="1030"/>
      <c r="L2915" s="690"/>
      <c r="M2915" s="1025">
        <v>228790852</v>
      </c>
      <c r="N2915" s="1030"/>
      <c r="O2915" s="692">
        <f t="shared" si="381"/>
        <v>228790852</v>
      </c>
      <c r="P2915" s="690">
        <v>267581890</v>
      </c>
      <c r="Q2915" s="690"/>
      <c r="R2915" s="691">
        <f t="shared" si="382"/>
        <v>267581890</v>
      </c>
      <c r="S2915" s="692">
        <f t="shared" si="383"/>
        <v>420648217</v>
      </c>
      <c r="T2915" s="693">
        <f t="shared" si="384"/>
        <v>448147684</v>
      </c>
      <c r="U2915" s="1035"/>
      <c r="V2915" s="690"/>
      <c r="W2915" s="1025"/>
      <c r="X2915" s="1030"/>
      <c r="Y2915" s="694">
        <f t="shared" si="385"/>
        <v>0</v>
      </c>
      <c r="Z2915" s="690"/>
      <c r="AA2915" s="690"/>
      <c r="AB2915" s="695">
        <f t="shared" si="386"/>
        <v>0</v>
      </c>
      <c r="AC2915" s="1035"/>
      <c r="AD2915" s="690"/>
      <c r="AE2915" s="1025"/>
      <c r="AF2915" s="1030"/>
      <c r="AG2915" s="690"/>
      <c r="AH2915" s="690"/>
      <c r="AI2915" s="696">
        <f t="shared" si="387"/>
        <v>420648217</v>
      </c>
      <c r="AJ2915" s="697">
        <f t="shared" si="388"/>
        <v>448147684</v>
      </c>
    </row>
    <row r="2916" spans="1:36" s="700" customFormat="1" ht="12.75" customHeight="1">
      <c r="A2916" s="755" t="s">
        <v>207</v>
      </c>
      <c r="B2916" s="755" t="s">
        <v>392</v>
      </c>
      <c r="C2916" s="762" t="s">
        <v>1633</v>
      </c>
      <c r="D2916" s="762"/>
      <c r="E2916" s="973">
        <v>225511</v>
      </c>
      <c r="F2916" s="763">
        <v>1</v>
      </c>
      <c r="G2916" s="1025">
        <v>212951050</v>
      </c>
      <c r="H2916" s="690">
        <v>200216680</v>
      </c>
      <c r="I2916" s="1030">
        <v>4324875</v>
      </c>
      <c r="J2916" s="690">
        <v>3950482</v>
      </c>
      <c r="K2916" s="1030"/>
      <c r="L2916" s="690"/>
      <c r="M2916" s="1025">
        <v>287564256</v>
      </c>
      <c r="N2916" s="1030"/>
      <c r="O2916" s="692">
        <f t="shared" si="381"/>
        <v>287564256</v>
      </c>
      <c r="P2916" s="690">
        <v>314595308</v>
      </c>
      <c r="Q2916" s="690"/>
      <c r="R2916" s="691">
        <f t="shared" si="382"/>
        <v>314595308</v>
      </c>
      <c r="S2916" s="692">
        <f t="shared" si="383"/>
        <v>504840181</v>
      </c>
      <c r="T2916" s="693">
        <f t="shared" si="384"/>
        <v>518762470</v>
      </c>
      <c r="U2916" s="1035"/>
      <c r="V2916" s="690"/>
      <c r="W2916" s="1025"/>
      <c r="X2916" s="1030"/>
      <c r="Y2916" s="694">
        <f t="shared" si="385"/>
        <v>0</v>
      </c>
      <c r="Z2916" s="690"/>
      <c r="AA2916" s="690"/>
      <c r="AB2916" s="695">
        <f t="shared" si="386"/>
        <v>0</v>
      </c>
      <c r="AC2916" s="1035"/>
      <c r="AD2916" s="690"/>
      <c r="AE2916" s="1025"/>
      <c r="AF2916" s="1030"/>
      <c r="AG2916" s="690"/>
      <c r="AH2916" s="690"/>
      <c r="AI2916" s="696">
        <f t="shared" si="387"/>
        <v>504840181</v>
      </c>
      <c r="AJ2916" s="697">
        <f t="shared" si="388"/>
        <v>518762470</v>
      </c>
    </row>
    <row r="2917" spans="1:36" s="700" customFormat="1" ht="12.75" customHeight="1">
      <c r="A2917" s="755" t="s">
        <v>207</v>
      </c>
      <c r="B2917" s="755" t="s">
        <v>392</v>
      </c>
      <c r="C2917" s="762" t="s">
        <v>1634</v>
      </c>
      <c r="D2917" s="762"/>
      <c r="E2917" s="973">
        <v>227216</v>
      </c>
      <c r="F2917" s="763">
        <v>1</v>
      </c>
      <c r="G2917" s="1025">
        <v>148543816</v>
      </c>
      <c r="H2917" s="690">
        <v>143796142</v>
      </c>
      <c r="I2917" s="1030">
        <v>4285189</v>
      </c>
      <c r="J2917" s="690">
        <v>4733855</v>
      </c>
      <c r="K2917" s="1030"/>
      <c r="L2917" s="690"/>
      <c r="M2917" s="1025">
        <v>237147016</v>
      </c>
      <c r="N2917" s="1030">
        <v>422295</v>
      </c>
      <c r="O2917" s="692">
        <f t="shared" si="381"/>
        <v>237569311</v>
      </c>
      <c r="P2917" s="690">
        <v>267529685</v>
      </c>
      <c r="Q2917" s="690">
        <v>422295</v>
      </c>
      <c r="R2917" s="691">
        <f t="shared" si="382"/>
        <v>267951980</v>
      </c>
      <c r="S2917" s="692">
        <f t="shared" si="383"/>
        <v>389976021</v>
      </c>
      <c r="T2917" s="693">
        <f t="shared" si="384"/>
        <v>416059682</v>
      </c>
      <c r="U2917" s="1035"/>
      <c r="V2917" s="690"/>
      <c r="W2917" s="1025"/>
      <c r="X2917" s="1030"/>
      <c r="Y2917" s="694">
        <f t="shared" si="385"/>
        <v>0</v>
      </c>
      <c r="Z2917" s="690"/>
      <c r="AA2917" s="690"/>
      <c r="AB2917" s="695">
        <f t="shared" si="386"/>
        <v>0</v>
      </c>
      <c r="AC2917" s="1035"/>
      <c r="AD2917" s="690"/>
      <c r="AE2917" s="1025"/>
      <c r="AF2917" s="1030"/>
      <c r="AG2917" s="690"/>
      <c r="AH2917" s="690"/>
      <c r="AI2917" s="696">
        <f t="shared" si="387"/>
        <v>389976021</v>
      </c>
      <c r="AJ2917" s="697">
        <f t="shared" si="388"/>
        <v>416059682</v>
      </c>
    </row>
    <row r="2918" spans="1:36" s="700" customFormat="1" ht="12.75" customHeight="1">
      <c r="A2918" s="755" t="s">
        <v>207</v>
      </c>
      <c r="B2918" s="755" t="s">
        <v>392</v>
      </c>
      <c r="C2918" s="762" t="s">
        <v>1635</v>
      </c>
      <c r="D2918" s="762"/>
      <c r="E2918" s="973">
        <v>228769</v>
      </c>
      <c r="F2918" s="763">
        <v>1</v>
      </c>
      <c r="G2918" s="1025">
        <v>110887857</v>
      </c>
      <c r="H2918" s="690">
        <v>101975964</v>
      </c>
      <c r="I2918" s="1030">
        <v>2324783</v>
      </c>
      <c r="J2918" s="690">
        <v>2011979</v>
      </c>
      <c r="K2918" s="1030"/>
      <c r="L2918" s="690"/>
      <c r="M2918" s="1025">
        <v>179693659</v>
      </c>
      <c r="N2918" s="1030"/>
      <c r="O2918" s="692">
        <f t="shared" si="381"/>
        <v>179693659</v>
      </c>
      <c r="P2918" s="690">
        <v>212220593</v>
      </c>
      <c r="Q2918" s="690"/>
      <c r="R2918" s="691">
        <f t="shared" si="382"/>
        <v>212220593</v>
      </c>
      <c r="S2918" s="692">
        <f t="shared" si="383"/>
        <v>292906299</v>
      </c>
      <c r="T2918" s="693">
        <f t="shared" si="384"/>
        <v>316208536</v>
      </c>
      <c r="U2918" s="1035"/>
      <c r="V2918" s="690"/>
      <c r="W2918" s="1025"/>
      <c r="X2918" s="1030"/>
      <c r="Y2918" s="694">
        <f t="shared" si="385"/>
        <v>0</v>
      </c>
      <c r="Z2918" s="690"/>
      <c r="AA2918" s="690"/>
      <c r="AB2918" s="695">
        <f t="shared" si="386"/>
        <v>0</v>
      </c>
      <c r="AC2918" s="1035"/>
      <c r="AD2918" s="690"/>
      <c r="AE2918" s="1025"/>
      <c r="AF2918" s="1030"/>
      <c r="AG2918" s="690"/>
      <c r="AH2918" s="690"/>
      <c r="AI2918" s="696">
        <f t="shared" si="387"/>
        <v>292906299</v>
      </c>
      <c r="AJ2918" s="697">
        <f t="shared" si="388"/>
        <v>316208536</v>
      </c>
    </row>
    <row r="2919" spans="1:36" s="700" customFormat="1" ht="12.75" customHeight="1">
      <c r="A2919" s="755" t="s">
        <v>207</v>
      </c>
      <c r="B2919" s="755" t="s">
        <v>392</v>
      </c>
      <c r="C2919" s="762" t="s">
        <v>1636</v>
      </c>
      <c r="D2919" s="762"/>
      <c r="E2919" s="973">
        <v>228778</v>
      </c>
      <c r="F2919" s="763">
        <v>1</v>
      </c>
      <c r="G2919" s="1025">
        <v>512537523</v>
      </c>
      <c r="H2919" s="690">
        <v>563661405</v>
      </c>
      <c r="I2919" s="1030">
        <v>2304419</v>
      </c>
      <c r="J2919" s="690">
        <v>2191771</v>
      </c>
      <c r="K2919" s="1030"/>
      <c r="L2919" s="690"/>
      <c r="M2919" s="1025">
        <v>536666128</v>
      </c>
      <c r="N2919" s="1030"/>
      <c r="O2919" s="692">
        <f t="shared" si="381"/>
        <v>536666128</v>
      </c>
      <c r="P2919" s="690">
        <v>573259925</v>
      </c>
      <c r="Q2919" s="690"/>
      <c r="R2919" s="691">
        <f t="shared" si="382"/>
        <v>573259925</v>
      </c>
      <c r="S2919" s="692">
        <f t="shared" si="383"/>
        <v>1051508070</v>
      </c>
      <c r="T2919" s="693">
        <f t="shared" si="384"/>
        <v>1139113101</v>
      </c>
      <c r="U2919" s="1035"/>
      <c r="V2919" s="690"/>
      <c r="W2919" s="1025"/>
      <c r="X2919" s="1030"/>
      <c r="Y2919" s="694">
        <f t="shared" si="385"/>
        <v>0</v>
      </c>
      <c r="Z2919" s="690"/>
      <c r="AA2919" s="690"/>
      <c r="AB2919" s="695">
        <f t="shared" si="386"/>
        <v>0</v>
      </c>
      <c r="AC2919" s="1035"/>
      <c r="AD2919" s="690"/>
      <c r="AE2919" s="1025"/>
      <c r="AF2919" s="1030"/>
      <c r="AG2919" s="690"/>
      <c r="AH2919" s="690"/>
      <c r="AI2919" s="696">
        <f t="shared" si="387"/>
        <v>1051508070</v>
      </c>
      <c r="AJ2919" s="697">
        <f t="shared" si="388"/>
        <v>1139113101</v>
      </c>
    </row>
    <row r="2920" spans="1:36" s="700" customFormat="1" ht="12.75" customHeight="1">
      <c r="A2920" s="755" t="s">
        <v>207</v>
      </c>
      <c r="B2920" s="755" t="s">
        <v>392</v>
      </c>
      <c r="C2920" s="762" t="s">
        <v>1637</v>
      </c>
      <c r="D2920" s="762"/>
      <c r="E2920" s="973">
        <v>228787</v>
      </c>
      <c r="F2920" s="763">
        <v>1</v>
      </c>
      <c r="G2920" s="1025">
        <v>91773557</v>
      </c>
      <c r="H2920" s="690">
        <v>83708253</v>
      </c>
      <c r="I2920" s="1030">
        <v>8938728</v>
      </c>
      <c r="J2920" s="690">
        <v>8017416</v>
      </c>
      <c r="K2920" s="1030"/>
      <c r="L2920" s="690"/>
      <c r="M2920" s="1025">
        <v>142647015</v>
      </c>
      <c r="N2920" s="1030"/>
      <c r="O2920" s="692">
        <f t="shared" si="381"/>
        <v>142647015</v>
      </c>
      <c r="P2920" s="690">
        <v>164147213</v>
      </c>
      <c r="Q2920" s="690"/>
      <c r="R2920" s="691">
        <f t="shared" si="382"/>
        <v>164147213</v>
      </c>
      <c r="S2920" s="692">
        <f t="shared" si="383"/>
        <v>243359300</v>
      </c>
      <c r="T2920" s="693">
        <f t="shared" si="384"/>
        <v>255872882</v>
      </c>
      <c r="U2920" s="1035"/>
      <c r="V2920" s="690"/>
      <c r="W2920" s="1025"/>
      <c r="X2920" s="1030"/>
      <c r="Y2920" s="694">
        <f t="shared" si="385"/>
        <v>0</v>
      </c>
      <c r="Z2920" s="690"/>
      <c r="AA2920" s="690"/>
      <c r="AB2920" s="695">
        <f t="shared" si="386"/>
        <v>0</v>
      </c>
      <c r="AC2920" s="1035"/>
      <c r="AD2920" s="690"/>
      <c r="AE2920" s="1025"/>
      <c r="AF2920" s="1030"/>
      <c r="AG2920" s="690"/>
      <c r="AH2920" s="690"/>
      <c r="AI2920" s="696">
        <f t="shared" si="387"/>
        <v>243359300</v>
      </c>
      <c r="AJ2920" s="697">
        <f t="shared" si="388"/>
        <v>255872882</v>
      </c>
    </row>
    <row r="2921" spans="1:36" s="700" customFormat="1" ht="12.75" customHeight="1">
      <c r="A2921" s="755" t="s">
        <v>207</v>
      </c>
      <c r="B2921" s="755" t="s">
        <v>392</v>
      </c>
      <c r="C2921" s="893" t="s">
        <v>1638</v>
      </c>
      <c r="D2921" s="1096" t="s">
        <v>1979</v>
      </c>
      <c r="E2921" s="973">
        <v>229179</v>
      </c>
      <c r="F2921" s="763">
        <v>2</v>
      </c>
      <c r="G2921" s="1025">
        <v>68405494</v>
      </c>
      <c r="H2921" s="690">
        <v>65129142</v>
      </c>
      <c r="I2921" s="1030">
        <v>1861300</v>
      </c>
      <c r="J2921" s="690">
        <v>1832038</v>
      </c>
      <c r="K2921" s="1030"/>
      <c r="L2921" s="690"/>
      <c r="M2921" s="1025">
        <v>67698995</v>
      </c>
      <c r="N2921" s="1030"/>
      <c r="O2921" s="692">
        <f t="shared" si="381"/>
        <v>67698995</v>
      </c>
      <c r="P2921" s="690">
        <v>72277741</v>
      </c>
      <c r="Q2921" s="690"/>
      <c r="R2921" s="691">
        <f t="shared" si="382"/>
        <v>72277741</v>
      </c>
      <c r="S2921" s="692">
        <f t="shared" si="383"/>
        <v>137965789</v>
      </c>
      <c r="T2921" s="693">
        <f t="shared" si="384"/>
        <v>139238921</v>
      </c>
      <c r="U2921" s="1035"/>
      <c r="V2921" s="690"/>
      <c r="W2921" s="1025"/>
      <c r="X2921" s="1030"/>
      <c r="Y2921" s="694">
        <f t="shared" si="385"/>
        <v>0</v>
      </c>
      <c r="Z2921" s="690"/>
      <c r="AA2921" s="690"/>
      <c r="AB2921" s="695">
        <f t="shared" si="386"/>
        <v>0</v>
      </c>
      <c r="AC2921" s="1035"/>
      <c r="AD2921" s="690"/>
      <c r="AE2921" s="1025"/>
      <c r="AF2921" s="1030"/>
      <c r="AG2921" s="690"/>
      <c r="AH2921" s="690"/>
      <c r="AI2921" s="696">
        <f t="shared" si="387"/>
        <v>137965789</v>
      </c>
      <c r="AJ2921" s="697">
        <f t="shared" si="388"/>
        <v>139238921</v>
      </c>
    </row>
    <row r="2922" spans="1:36" s="700" customFormat="1" ht="12.75" customHeight="1">
      <c r="A2922" s="755" t="s">
        <v>207</v>
      </c>
      <c r="B2922" s="755" t="s">
        <v>392</v>
      </c>
      <c r="C2922" s="762" t="s">
        <v>1639</v>
      </c>
      <c r="D2922" s="762"/>
      <c r="E2922" s="973">
        <v>228796</v>
      </c>
      <c r="F2922" s="763">
        <v>2</v>
      </c>
      <c r="G2922" s="1025">
        <v>92379510</v>
      </c>
      <c r="H2922" s="690">
        <v>84849722</v>
      </c>
      <c r="I2922" s="1030">
        <v>4133543</v>
      </c>
      <c r="J2922" s="690">
        <v>4115797</v>
      </c>
      <c r="K2922" s="1030"/>
      <c r="L2922" s="690"/>
      <c r="M2922" s="1025">
        <v>111702317</v>
      </c>
      <c r="N2922" s="1030"/>
      <c r="O2922" s="692">
        <f t="shared" si="381"/>
        <v>111702317</v>
      </c>
      <c r="P2922" s="690">
        <v>120139826</v>
      </c>
      <c r="Q2922" s="690"/>
      <c r="R2922" s="691">
        <f t="shared" si="382"/>
        <v>120139826</v>
      </c>
      <c r="S2922" s="692">
        <f t="shared" si="383"/>
        <v>208215370</v>
      </c>
      <c r="T2922" s="693">
        <f t="shared" si="384"/>
        <v>209105345</v>
      </c>
      <c r="U2922" s="1035"/>
      <c r="V2922" s="690"/>
      <c r="W2922" s="1025"/>
      <c r="X2922" s="1030"/>
      <c r="Y2922" s="694">
        <f t="shared" si="385"/>
        <v>0</v>
      </c>
      <c r="Z2922" s="690"/>
      <c r="AA2922" s="690"/>
      <c r="AB2922" s="695">
        <f t="shared" si="386"/>
        <v>0</v>
      </c>
      <c r="AC2922" s="1035"/>
      <c r="AD2922" s="690"/>
      <c r="AE2922" s="1025"/>
      <c r="AF2922" s="1030"/>
      <c r="AG2922" s="690"/>
      <c r="AH2922" s="690"/>
      <c r="AI2922" s="696">
        <f t="shared" si="387"/>
        <v>208215370</v>
      </c>
      <c r="AJ2922" s="697">
        <f t="shared" si="388"/>
        <v>209105345</v>
      </c>
    </row>
    <row r="2923" spans="1:36" s="700" customFormat="1" ht="12.75" customHeight="1">
      <c r="A2923" s="755" t="s">
        <v>207</v>
      </c>
      <c r="B2923" s="755" t="s">
        <v>392</v>
      </c>
      <c r="C2923" s="893" t="s">
        <v>1640</v>
      </c>
      <c r="D2923" s="893"/>
      <c r="E2923" s="894">
        <v>229027</v>
      </c>
      <c r="F2923" s="758">
        <v>2</v>
      </c>
      <c r="G2923" s="1025">
        <v>113715236</v>
      </c>
      <c r="H2923" s="690">
        <v>104243343</v>
      </c>
      <c r="I2923" s="1030">
        <v>3299764</v>
      </c>
      <c r="J2923" s="690">
        <v>2691799</v>
      </c>
      <c r="K2923" s="1030"/>
      <c r="L2923" s="690"/>
      <c r="M2923" s="1025">
        <v>183377452</v>
      </c>
      <c r="N2923" s="1030"/>
      <c r="O2923" s="692">
        <f t="shared" si="381"/>
        <v>183377452</v>
      </c>
      <c r="P2923" s="690">
        <v>198751993</v>
      </c>
      <c r="Q2923" s="690"/>
      <c r="R2923" s="691">
        <f t="shared" si="382"/>
        <v>198751993</v>
      </c>
      <c r="S2923" s="692">
        <f t="shared" si="383"/>
        <v>300392452</v>
      </c>
      <c r="T2923" s="693">
        <f t="shared" si="384"/>
        <v>305687135</v>
      </c>
      <c r="U2923" s="1035"/>
      <c r="V2923" s="690"/>
      <c r="W2923" s="1025"/>
      <c r="X2923" s="1030"/>
      <c r="Y2923" s="694">
        <f t="shared" si="385"/>
        <v>0</v>
      </c>
      <c r="Z2923" s="690"/>
      <c r="AA2923" s="690"/>
      <c r="AB2923" s="695">
        <f t="shared" si="386"/>
        <v>0</v>
      </c>
      <c r="AC2923" s="1035"/>
      <c r="AD2923" s="690"/>
      <c r="AE2923" s="1025"/>
      <c r="AF2923" s="1030"/>
      <c r="AG2923" s="690"/>
      <c r="AH2923" s="690"/>
      <c r="AI2923" s="696">
        <f t="shared" si="387"/>
        <v>300392452</v>
      </c>
      <c r="AJ2923" s="697">
        <f t="shared" si="388"/>
        <v>305687135</v>
      </c>
    </row>
    <row r="2924" spans="1:36" s="700" customFormat="1" ht="12.75" customHeight="1">
      <c r="A2924" s="755" t="s">
        <v>207</v>
      </c>
      <c r="B2924" s="755" t="s">
        <v>392</v>
      </c>
      <c r="C2924" s="762" t="s">
        <v>1641</v>
      </c>
      <c r="D2924" s="762"/>
      <c r="E2924" s="973">
        <v>222831</v>
      </c>
      <c r="F2924" s="763">
        <v>3</v>
      </c>
      <c r="G2924" s="1025">
        <v>31414247</v>
      </c>
      <c r="H2924" s="690">
        <v>29777928</v>
      </c>
      <c r="I2924" s="1030">
        <v>217057</v>
      </c>
      <c r="J2924" s="690">
        <v>294437</v>
      </c>
      <c r="K2924" s="1030"/>
      <c r="L2924" s="690"/>
      <c r="M2924" s="1025">
        <v>28861723</v>
      </c>
      <c r="N2924" s="1030"/>
      <c r="O2924" s="692">
        <f t="shared" si="381"/>
        <v>28861723</v>
      </c>
      <c r="P2924" s="690">
        <v>34312909</v>
      </c>
      <c r="Q2924" s="690"/>
      <c r="R2924" s="691">
        <f t="shared" si="382"/>
        <v>34312909</v>
      </c>
      <c r="S2924" s="692">
        <f t="shared" si="383"/>
        <v>60493027</v>
      </c>
      <c r="T2924" s="693">
        <f t="shared" si="384"/>
        <v>64385274</v>
      </c>
      <c r="U2924" s="1035"/>
      <c r="V2924" s="690"/>
      <c r="W2924" s="1025"/>
      <c r="X2924" s="1030"/>
      <c r="Y2924" s="694">
        <f t="shared" si="385"/>
        <v>0</v>
      </c>
      <c r="Z2924" s="690"/>
      <c r="AA2924" s="690"/>
      <c r="AB2924" s="695">
        <f t="shared" si="386"/>
        <v>0</v>
      </c>
      <c r="AC2924" s="1035"/>
      <c r="AD2924" s="690"/>
      <c r="AE2924" s="1025"/>
      <c r="AF2924" s="1030"/>
      <c r="AG2924" s="690"/>
      <c r="AH2924" s="690"/>
      <c r="AI2924" s="696">
        <f t="shared" si="387"/>
        <v>60493027</v>
      </c>
      <c r="AJ2924" s="697">
        <f t="shared" si="388"/>
        <v>64385274</v>
      </c>
    </row>
    <row r="2925" spans="1:36" s="700" customFormat="1" ht="12.75" customHeight="1">
      <c r="A2925" s="755" t="s">
        <v>207</v>
      </c>
      <c r="B2925" s="755" t="s">
        <v>392</v>
      </c>
      <c r="C2925" s="762" t="s">
        <v>1642</v>
      </c>
      <c r="D2925" s="762"/>
      <c r="E2925" s="973">
        <v>226091</v>
      </c>
      <c r="F2925" s="763">
        <v>3</v>
      </c>
      <c r="G2925" s="1025">
        <v>58374200</v>
      </c>
      <c r="H2925" s="690">
        <v>53819963</v>
      </c>
      <c r="I2925" s="1030">
        <v>507043</v>
      </c>
      <c r="J2925" s="690">
        <v>1649287</v>
      </c>
      <c r="K2925" s="1030"/>
      <c r="L2925" s="690"/>
      <c r="M2925" s="1025">
        <v>68402117</v>
      </c>
      <c r="N2925" s="1030">
        <v>145360</v>
      </c>
      <c r="O2925" s="692">
        <f t="shared" si="381"/>
        <v>68547477</v>
      </c>
      <c r="P2925" s="690">
        <v>78517766</v>
      </c>
      <c r="Q2925" s="690">
        <v>0</v>
      </c>
      <c r="R2925" s="691">
        <f t="shared" si="382"/>
        <v>78517766</v>
      </c>
      <c r="S2925" s="692">
        <f t="shared" si="383"/>
        <v>127283360</v>
      </c>
      <c r="T2925" s="693">
        <f t="shared" si="384"/>
        <v>133987016</v>
      </c>
      <c r="U2925" s="1035"/>
      <c r="V2925" s="690"/>
      <c r="W2925" s="1025"/>
      <c r="X2925" s="1030"/>
      <c r="Y2925" s="694">
        <f t="shared" si="385"/>
        <v>0</v>
      </c>
      <c r="Z2925" s="690"/>
      <c r="AA2925" s="690"/>
      <c r="AB2925" s="695">
        <f t="shared" si="386"/>
        <v>0</v>
      </c>
      <c r="AC2925" s="1035"/>
      <c r="AD2925" s="690"/>
      <c r="AE2925" s="1025"/>
      <c r="AF2925" s="1030"/>
      <c r="AG2925" s="690"/>
      <c r="AH2925" s="690"/>
      <c r="AI2925" s="696">
        <f t="shared" si="387"/>
        <v>127283360</v>
      </c>
      <c r="AJ2925" s="697">
        <f t="shared" si="388"/>
        <v>133987016</v>
      </c>
    </row>
    <row r="2926" spans="1:36" s="700" customFormat="1" ht="12.75" customHeight="1">
      <c r="A2926" s="755" t="s">
        <v>207</v>
      </c>
      <c r="B2926" s="755" t="s">
        <v>392</v>
      </c>
      <c r="C2926" s="762" t="s">
        <v>1643</v>
      </c>
      <c r="D2926" s="762"/>
      <c r="E2926" s="973">
        <v>226833</v>
      </c>
      <c r="F2926" s="763">
        <v>3</v>
      </c>
      <c r="G2926" s="1025">
        <v>25073078</v>
      </c>
      <c r="H2926" s="690">
        <v>23774342</v>
      </c>
      <c r="I2926" s="1030">
        <v>326566</v>
      </c>
      <c r="J2926" s="690">
        <v>505138</v>
      </c>
      <c r="K2926" s="1030"/>
      <c r="L2926" s="690"/>
      <c r="M2926" s="1025">
        <v>37882921</v>
      </c>
      <c r="N2926" s="1030"/>
      <c r="O2926" s="692">
        <f t="shared" si="381"/>
        <v>37882921</v>
      </c>
      <c r="P2926" s="690">
        <v>40548466</v>
      </c>
      <c r="Q2926" s="690"/>
      <c r="R2926" s="691">
        <f t="shared" si="382"/>
        <v>40548466</v>
      </c>
      <c r="S2926" s="692">
        <f t="shared" si="383"/>
        <v>63282565</v>
      </c>
      <c r="T2926" s="693">
        <f t="shared" si="384"/>
        <v>64827946</v>
      </c>
      <c r="U2926" s="1035"/>
      <c r="V2926" s="690"/>
      <c r="W2926" s="1025"/>
      <c r="X2926" s="1030"/>
      <c r="Y2926" s="694">
        <f t="shared" si="385"/>
        <v>0</v>
      </c>
      <c r="Z2926" s="690"/>
      <c r="AA2926" s="690"/>
      <c r="AB2926" s="695">
        <f t="shared" si="386"/>
        <v>0</v>
      </c>
      <c r="AC2926" s="1035"/>
      <c r="AD2926" s="690"/>
      <c r="AE2926" s="1025"/>
      <c r="AF2926" s="1030"/>
      <c r="AG2926" s="690"/>
      <c r="AH2926" s="690"/>
      <c r="AI2926" s="696">
        <f t="shared" si="387"/>
        <v>63282565</v>
      </c>
      <c r="AJ2926" s="697">
        <f t="shared" si="388"/>
        <v>64827946</v>
      </c>
    </row>
    <row r="2927" spans="1:36" s="700" customFormat="1" ht="12.75" customHeight="1">
      <c r="A2927" s="755" t="s">
        <v>207</v>
      </c>
      <c r="B2927" s="755" t="s">
        <v>392</v>
      </c>
      <c r="C2927" s="762" t="s">
        <v>1644</v>
      </c>
      <c r="D2927" s="762"/>
      <c r="E2927" s="973">
        <v>227526</v>
      </c>
      <c r="F2927" s="763">
        <v>3</v>
      </c>
      <c r="G2927" s="1025">
        <v>71894457</v>
      </c>
      <c r="H2927" s="690">
        <v>68705296</v>
      </c>
      <c r="I2927" s="1030">
        <v>381203</v>
      </c>
      <c r="J2927" s="690">
        <v>296140</v>
      </c>
      <c r="K2927" s="1030"/>
      <c r="L2927" s="690"/>
      <c r="M2927" s="1025">
        <v>46083486</v>
      </c>
      <c r="N2927" s="1030"/>
      <c r="O2927" s="692">
        <f t="shared" si="381"/>
        <v>46083486</v>
      </c>
      <c r="P2927" s="690">
        <v>53574912</v>
      </c>
      <c r="Q2927" s="690"/>
      <c r="R2927" s="691">
        <f t="shared" si="382"/>
        <v>53574912</v>
      </c>
      <c r="S2927" s="692">
        <f t="shared" si="383"/>
        <v>118359146</v>
      </c>
      <c r="T2927" s="693">
        <f t="shared" si="384"/>
        <v>122576348</v>
      </c>
      <c r="U2927" s="1035"/>
      <c r="V2927" s="690"/>
      <c r="W2927" s="1025"/>
      <c r="X2927" s="1030"/>
      <c r="Y2927" s="694">
        <f t="shared" si="385"/>
        <v>0</v>
      </c>
      <c r="Z2927" s="690"/>
      <c r="AA2927" s="690"/>
      <c r="AB2927" s="695">
        <f t="shared" si="386"/>
        <v>0</v>
      </c>
      <c r="AC2927" s="1035"/>
      <c r="AD2927" s="690"/>
      <c r="AE2927" s="1025"/>
      <c r="AF2927" s="1030"/>
      <c r="AG2927" s="690"/>
      <c r="AH2927" s="690"/>
      <c r="AI2927" s="696">
        <f t="shared" si="387"/>
        <v>118359146</v>
      </c>
      <c r="AJ2927" s="697">
        <f t="shared" si="388"/>
        <v>122576348</v>
      </c>
    </row>
    <row r="2928" spans="1:36" s="700" customFormat="1" ht="12.75" customHeight="1">
      <c r="A2928" s="755" t="s">
        <v>207</v>
      </c>
      <c r="B2928" s="755" t="s">
        <v>392</v>
      </c>
      <c r="C2928" s="762" t="s">
        <v>1645</v>
      </c>
      <c r="D2928" s="762"/>
      <c r="E2928" s="973">
        <v>227881</v>
      </c>
      <c r="F2928" s="763">
        <v>3</v>
      </c>
      <c r="G2928" s="1025">
        <v>63631487</v>
      </c>
      <c r="H2928" s="690">
        <v>60751084</v>
      </c>
      <c r="I2928" s="1030">
        <v>1742371</v>
      </c>
      <c r="J2928" s="690">
        <v>2024190</v>
      </c>
      <c r="K2928" s="1030"/>
      <c r="L2928" s="690"/>
      <c r="M2928" s="1025">
        <v>87595826</v>
      </c>
      <c r="N2928" s="1030"/>
      <c r="O2928" s="692">
        <f t="shared" si="381"/>
        <v>87595826</v>
      </c>
      <c r="P2928" s="690">
        <v>95144750</v>
      </c>
      <c r="Q2928" s="690"/>
      <c r="R2928" s="691">
        <f t="shared" si="382"/>
        <v>95144750</v>
      </c>
      <c r="S2928" s="692">
        <f t="shared" si="383"/>
        <v>152969684</v>
      </c>
      <c r="T2928" s="693">
        <f t="shared" si="384"/>
        <v>157920024</v>
      </c>
      <c r="U2928" s="1035"/>
      <c r="V2928" s="690"/>
      <c r="W2928" s="1025"/>
      <c r="X2928" s="1030"/>
      <c r="Y2928" s="694">
        <f t="shared" si="385"/>
        <v>0</v>
      </c>
      <c r="Z2928" s="690"/>
      <c r="AA2928" s="690"/>
      <c r="AB2928" s="695">
        <f t="shared" si="386"/>
        <v>0</v>
      </c>
      <c r="AC2928" s="1035"/>
      <c r="AD2928" s="690"/>
      <c r="AE2928" s="1025"/>
      <c r="AF2928" s="1030"/>
      <c r="AG2928" s="690"/>
      <c r="AH2928" s="690"/>
      <c r="AI2928" s="696">
        <f t="shared" si="387"/>
        <v>152969684</v>
      </c>
      <c r="AJ2928" s="697">
        <f t="shared" si="388"/>
        <v>157920024</v>
      </c>
    </row>
    <row r="2929" spans="1:36" s="700" customFormat="1" ht="12.75" customHeight="1">
      <c r="A2929" s="755" t="s">
        <v>207</v>
      </c>
      <c r="B2929" s="755" t="s">
        <v>392</v>
      </c>
      <c r="C2929" s="762" t="s">
        <v>1646</v>
      </c>
      <c r="D2929" s="762"/>
      <c r="E2929" s="973">
        <v>228431</v>
      </c>
      <c r="F2929" s="763">
        <v>3</v>
      </c>
      <c r="G2929" s="1025">
        <v>57929196</v>
      </c>
      <c r="H2929" s="690">
        <v>53757040</v>
      </c>
      <c r="I2929" s="1030">
        <v>559134</v>
      </c>
      <c r="J2929" s="690">
        <v>628772</v>
      </c>
      <c r="K2929" s="1030"/>
      <c r="L2929" s="690"/>
      <c r="M2929" s="1025">
        <v>69984978</v>
      </c>
      <c r="N2929" s="1030"/>
      <c r="O2929" s="692">
        <f t="shared" si="381"/>
        <v>69984978</v>
      </c>
      <c r="P2929" s="690">
        <v>77295783</v>
      </c>
      <c r="Q2929" s="690"/>
      <c r="R2929" s="691">
        <f t="shared" si="382"/>
        <v>77295783</v>
      </c>
      <c r="S2929" s="692">
        <f t="shared" si="383"/>
        <v>128473308</v>
      </c>
      <c r="T2929" s="693">
        <f t="shared" si="384"/>
        <v>131681595</v>
      </c>
      <c r="U2929" s="1035"/>
      <c r="V2929" s="690"/>
      <c r="W2929" s="1025"/>
      <c r="X2929" s="1030"/>
      <c r="Y2929" s="694">
        <f t="shared" si="385"/>
        <v>0</v>
      </c>
      <c r="Z2929" s="690"/>
      <c r="AA2929" s="690"/>
      <c r="AB2929" s="695">
        <f t="shared" si="386"/>
        <v>0</v>
      </c>
      <c r="AC2929" s="1035"/>
      <c r="AD2929" s="690"/>
      <c r="AE2929" s="1025"/>
      <c r="AF2929" s="1030"/>
      <c r="AG2929" s="690"/>
      <c r="AH2929" s="690"/>
      <c r="AI2929" s="696">
        <f t="shared" si="387"/>
        <v>128473308</v>
      </c>
      <c r="AJ2929" s="697">
        <f t="shared" si="388"/>
        <v>131681595</v>
      </c>
    </row>
    <row r="2930" spans="1:36" s="700" customFormat="1" ht="12.75" customHeight="1">
      <c r="A2930" s="755" t="s">
        <v>207</v>
      </c>
      <c r="B2930" s="755" t="s">
        <v>392</v>
      </c>
      <c r="C2930" s="762" t="s">
        <v>1647</v>
      </c>
      <c r="D2930" s="762"/>
      <c r="E2930" s="973">
        <v>228501</v>
      </c>
      <c r="F2930" s="763">
        <v>3</v>
      </c>
      <c r="G2930" s="1025">
        <v>17306511</v>
      </c>
      <c r="H2930" s="690">
        <v>16460813</v>
      </c>
      <c r="I2930" s="1030">
        <v>107346</v>
      </c>
      <c r="J2930" s="690">
        <v>228958</v>
      </c>
      <c r="K2930" s="1030"/>
      <c r="L2930" s="690"/>
      <c r="M2930" s="1025">
        <v>10706951</v>
      </c>
      <c r="N2930" s="1030"/>
      <c r="O2930" s="692">
        <f t="shared" si="381"/>
        <v>10706951</v>
      </c>
      <c r="P2930" s="690">
        <v>11966411</v>
      </c>
      <c r="Q2930" s="690"/>
      <c r="R2930" s="691">
        <f t="shared" si="382"/>
        <v>11966411</v>
      </c>
      <c r="S2930" s="692">
        <f t="shared" si="383"/>
        <v>28120808</v>
      </c>
      <c r="T2930" s="693">
        <f t="shared" si="384"/>
        <v>28656182</v>
      </c>
      <c r="U2930" s="1035"/>
      <c r="V2930" s="690"/>
      <c r="W2930" s="1025"/>
      <c r="X2930" s="1030"/>
      <c r="Y2930" s="694">
        <f t="shared" si="385"/>
        <v>0</v>
      </c>
      <c r="Z2930" s="690"/>
      <c r="AA2930" s="690"/>
      <c r="AB2930" s="695">
        <f t="shared" si="386"/>
        <v>0</v>
      </c>
      <c r="AC2930" s="1035"/>
      <c r="AD2930" s="690"/>
      <c r="AE2930" s="1025"/>
      <c r="AF2930" s="1030"/>
      <c r="AG2930" s="690"/>
      <c r="AH2930" s="690"/>
      <c r="AI2930" s="696">
        <f t="shared" si="387"/>
        <v>28120808</v>
      </c>
      <c r="AJ2930" s="697">
        <f t="shared" si="388"/>
        <v>28656182</v>
      </c>
    </row>
    <row r="2931" spans="1:36" s="700" customFormat="1" ht="12.75" customHeight="1">
      <c r="A2931" s="755" t="s">
        <v>207</v>
      </c>
      <c r="B2931" s="755" t="s">
        <v>392</v>
      </c>
      <c r="C2931" s="762" t="s">
        <v>1648</v>
      </c>
      <c r="D2931" s="762"/>
      <c r="E2931" s="973">
        <v>228529</v>
      </c>
      <c r="F2931" s="763">
        <v>3</v>
      </c>
      <c r="G2931" s="1025">
        <v>51203537</v>
      </c>
      <c r="H2931" s="690">
        <v>46259964</v>
      </c>
      <c r="I2931" s="1030">
        <v>963167</v>
      </c>
      <c r="J2931" s="690">
        <v>1113020</v>
      </c>
      <c r="K2931" s="1030"/>
      <c r="L2931" s="690"/>
      <c r="M2931" s="1025">
        <v>43363308</v>
      </c>
      <c r="N2931" s="1030"/>
      <c r="O2931" s="692">
        <f t="shared" si="381"/>
        <v>43363308</v>
      </c>
      <c r="P2931" s="690">
        <v>40256205</v>
      </c>
      <c r="Q2931" s="690"/>
      <c r="R2931" s="691">
        <f t="shared" si="382"/>
        <v>40256205</v>
      </c>
      <c r="S2931" s="692">
        <f t="shared" si="383"/>
        <v>95530012</v>
      </c>
      <c r="T2931" s="693">
        <f t="shared" si="384"/>
        <v>87629189</v>
      </c>
      <c r="U2931" s="1035"/>
      <c r="V2931" s="690"/>
      <c r="W2931" s="1025"/>
      <c r="X2931" s="1030"/>
      <c r="Y2931" s="694">
        <f t="shared" si="385"/>
        <v>0</v>
      </c>
      <c r="Z2931" s="690"/>
      <c r="AA2931" s="690"/>
      <c r="AB2931" s="695">
        <f t="shared" si="386"/>
        <v>0</v>
      </c>
      <c r="AC2931" s="1035"/>
      <c r="AD2931" s="690"/>
      <c r="AE2931" s="1025"/>
      <c r="AF2931" s="1030"/>
      <c r="AG2931" s="690"/>
      <c r="AH2931" s="690"/>
      <c r="AI2931" s="696">
        <f t="shared" si="387"/>
        <v>95530012</v>
      </c>
      <c r="AJ2931" s="697">
        <f t="shared" si="388"/>
        <v>87629189</v>
      </c>
    </row>
    <row r="2932" spans="1:36" s="700" customFormat="1" ht="12.75" customHeight="1">
      <c r="A2932" s="755" t="s">
        <v>207</v>
      </c>
      <c r="B2932" s="755" t="s">
        <v>392</v>
      </c>
      <c r="C2932" s="893" t="s">
        <v>1649</v>
      </c>
      <c r="D2932" s="893"/>
      <c r="E2932" s="894">
        <v>226152</v>
      </c>
      <c r="F2932" s="758">
        <v>3</v>
      </c>
      <c r="G2932" s="1025">
        <v>31058857</v>
      </c>
      <c r="H2932" s="690">
        <v>30273739</v>
      </c>
      <c r="I2932" s="1030">
        <v>595138</v>
      </c>
      <c r="J2932" s="690">
        <v>423845</v>
      </c>
      <c r="K2932" s="1030"/>
      <c r="L2932" s="690"/>
      <c r="M2932" s="1025">
        <v>21058372</v>
      </c>
      <c r="N2932" s="1030"/>
      <c r="O2932" s="692">
        <f t="shared" si="381"/>
        <v>21058372</v>
      </c>
      <c r="P2932" s="690">
        <v>26525888</v>
      </c>
      <c r="Q2932" s="690"/>
      <c r="R2932" s="691">
        <f t="shared" si="382"/>
        <v>26525888</v>
      </c>
      <c r="S2932" s="692">
        <f t="shared" si="383"/>
        <v>52712367</v>
      </c>
      <c r="T2932" s="693">
        <f t="shared" si="384"/>
        <v>57223472</v>
      </c>
      <c r="U2932" s="1035"/>
      <c r="V2932" s="690"/>
      <c r="W2932" s="1025"/>
      <c r="X2932" s="1030"/>
      <c r="Y2932" s="694">
        <f t="shared" si="385"/>
        <v>0</v>
      </c>
      <c r="Z2932" s="690"/>
      <c r="AA2932" s="690"/>
      <c r="AB2932" s="695">
        <f t="shared" si="386"/>
        <v>0</v>
      </c>
      <c r="AC2932" s="1035"/>
      <c r="AD2932" s="690"/>
      <c r="AE2932" s="1025"/>
      <c r="AF2932" s="1030"/>
      <c r="AG2932" s="690"/>
      <c r="AH2932" s="690"/>
      <c r="AI2932" s="696">
        <f t="shared" si="387"/>
        <v>52712367</v>
      </c>
      <c r="AJ2932" s="697">
        <f t="shared" si="388"/>
        <v>57223472</v>
      </c>
    </row>
    <row r="2933" spans="1:36" s="700" customFormat="1" ht="12.75" customHeight="1">
      <c r="A2933" s="755" t="s">
        <v>207</v>
      </c>
      <c r="B2933" s="755" t="s">
        <v>392</v>
      </c>
      <c r="C2933" s="762" t="s">
        <v>1650</v>
      </c>
      <c r="D2933" s="762"/>
      <c r="E2933" s="973">
        <v>224554</v>
      </c>
      <c r="F2933" s="763">
        <v>3</v>
      </c>
      <c r="G2933" s="1025">
        <v>45578797</v>
      </c>
      <c r="H2933" s="690">
        <v>43338300</v>
      </c>
      <c r="I2933" s="1030">
        <v>809280</v>
      </c>
      <c r="J2933" s="690">
        <v>588663</v>
      </c>
      <c r="K2933" s="1030"/>
      <c r="L2933" s="690"/>
      <c r="M2933" s="1025">
        <v>37226102</v>
      </c>
      <c r="N2933" s="1030"/>
      <c r="O2933" s="692">
        <f t="shared" si="381"/>
        <v>37226102</v>
      </c>
      <c r="P2933" s="690">
        <v>44135966</v>
      </c>
      <c r="Q2933" s="690"/>
      <c r="R2933" s="691">
        <f t="shared" si="382"/>
        <v>44135966</v>
      </c>
      <c r="S2933" s="692">
        <f t="shared" si="383"/>
        <v>83614179</v>
      </c>
      <c r="T2933" s="693">
        <f t="shared" si="384"/>
        <v>88062929</v>
      </c>
      <c r="U2933" s="1035"/>
      <c r="V2933" s="690"/>
      <c r="W2933" s="1025"/>
      <c r="X2933" s="1030"/>
      <c r="Y2933" s="694">
        <f t="shared" si="385"/>
        <v>0</v>
      </c>
      <c r="Z2933" s="690"/>
      <c r="AA2933" s="690"/>
      <c r="AB2933" s="695">
        <f t="shared" si="386"/>
        <v>0</v>
      </c>
      <c r="AC2933" s="1035"/>
      <c r="AD2933" s="690"/>
      <c r="AE2933" s="1025"/>
      <c r="AF2933" s="1030"/>
      <c r="AG2933" s="690"/>
      <c r="AH2933" s="690"/>
      <c r="AI2933" s="696">
        <f t="shared" si="387"/>
        <v>83614179</v>
      </c>
      <c r="AJ2933" s="697">
        <f t="shared" si="388"/>
        <v>88062929</v>
      </c>
    </row>
    <row r="2934" spans="1:36" s="700" customFormat="1" ht="12.75" customHeight="1">
      <c r="A2934" s="755" t="s">
        <v>207</v>
      </c>
      <c r="B2934" s="755" t="s">
        <v>392</v>
      </c>
      <c r="C2934" s="762" t="s">
        <v>1651</v>
      </c>
      <c r="D2934" s="762"/>
      <c r="E2934" s="973">
        <v>224147</v>
      </c>
      <c r="F2934" s="763">
        <v>3</v>
      </c>
      <c r="G2934" s="1025">
        <v>54938021</v>
      </c>
      <c r="H2934" s="690">
        <v>51339423</v>
      </c>
      <c r="I2934" s="1030">
        <v>1005595</v>
      </c>
      <c r="J2934" s="690">
        <v>1049347</v>
      </c>
      <c r="K2934" s="1030"/>
      <c r="L2934" s="690"/>
      <c r="M2934" s="1025">
        <v>40493570</v>
      </c>
      <c r="N2934" s="1030"/>
      <c r="O2934" s="692">
        <f t="shared" si="381"/>
        <v>40493570</v>
      </c>
      <c r="P2934" s="690">
        <v>46644718</v>
      </c>
      <c r="Q2934" s="690"/>
      <c r="R2934" s="691">
        <f t="shared" si="382"/>
        <v>46644718</v>
      </c>
      <c r="S2934" s="692">
        <f t="shared" si="383"/>
        <v>96437186</v>
      </c>
      <c r="T2934" s="693">
        <f t="shared" si="384"/>
        <v>99033488</v>
      </c>
      <c r="U2934" s="1035"/>
      <c r="V2934" s="690"/>
      <c r="W2934" s="1025"/>
      <c r="X2934" s="1030"/>
      <c r="Y2934" s="694">
        <f t="shared" si="385"/>
        <v>0</v>
      </c>
      <c r="Z2934" s="690"/>
      <c r="AA2934" s="690"/>
      <c r="AB2934" s="695">
        <f t="shared" si="386"/>
        <v>0</v>
      </c>
      <c r="AC2934" s="1035"/>
      <c r="AD2934" s="690"/>
      <c r="AE2934" s="1025"/>
      <c r="AF2934" s="1030"/>
      <c r="AG2934" s="690"/>
      <c r="AH2934" s="690"/>
      <c r="AI2934" s="696">
        <f t="shared" si="387"/>
        <v>96437186</v>
      </c>
      <c r="AJ2934" s="697">
        <f t="shared" si="388"/>
        <v>99033488</v>
      </c>
    </row>
    <row r="2935" spans="1:36" s="700" customFormat="1" ht="12.75" customHeight="1">
      <c r="A2935" s="755" t="s">
        <v>207</v>
      </c>
      <c r="B2935" s="755" t="s">
        <v>392</v>
      </c>
      <c r="C2935" s="762" t="s">
        <v>1652</v>
      </c>
      <c r="D2935" s="762"/>
      <c r="E2935" s="973">
        <v>228705</v>
      </c>
      <c r="F2935" s="763">
        <v>3</v>
      </c>
      <c r="G2935" s="1025">
        <v>52977711</v>
      </c>
      <c r="H2935" s="690">
        <v>51415685</v>
      </c>
      <c r="I2935" s="1030">
        <v>580620</v>
      </c>
      <c r="J2935" s="690">
        <v>399334</v>
      </c>
      <c r="K2935" s="1030"/>
      <c r="L2935" s="690"/>
      <c r="M2935" s="1025">
        <v>33487207</v>
      </c>
      <c r="N2935" s="1030"/>
      <c r="O2935" s="692">
        <f t="shared" si="381"/>
        <v>33487207</v>
      </c>
      <c r="P2935" s="690">
        <v>52149397</v>
      </c>
      <c r="Q2935" s="690"/>
      <c r="R2935" s="691">
        <f t="shared" si="382"/>
        <v>52149397</v>
      </c>
      <c r="S2935" s="692">
        <f t="shared" si="383"/>
        <v>87045538</v>
      </c>
      <c r="T2935" s="693">
        <f t="shared" si="384"/>
        <v>103964416</v>
      </c>
      <c r="U2935" s="1035"/>
      <c r="V2935" s="690"/>
      <c r="W2935" s="1025"/>
      <c r="X2935" s="1030"/>
      <c r="Y2935" s="694">
        <f t="shared" si="385"/>
        <v>0</v>
      </c>
      <c r="Z2935" s="690"/>
      <c r="AA2935" s="690"/>
      <c r="AB2935" s="695">
        <f t="shared" si="386"/>
        <v>0</v>
      </c>
      <c r="AC2935" s="1035"/>
      <c r="AD2935" s="690"/>
      <c r="AE2935" s="1025"/>
      <c r="AF2935" s="1030"/>
      <c r="AG2935" s="690"/>
      <c r="AH2935" s="690"/>
      <c r="AI2935" s="696">
        <f t="shared" si="387"/>
        <v>87045538</v>
      </c>
      <c r="AJ2935" s="697">
        <f t="shared" si="388"/>
        <v>103964416</v>
      </c>
    </row>
    <row r="2936" spans="1:36" s="700" customFormat="1" ht="12.75" customHeight="1">
      <c r="A2936" s="755" t="s">
        <v>207</v>
      </c>
      <c r="B2936" s="755" t="s">
        <v>392</v>
      </c>
      <c r="C2936" s="762" t="s">
        <v>1653</v>
      </c>
      <c r="D2936" s="762"/>
      <c r="E2936" s="973">
        <v>229063</v>
      </c>
      <c r="F2936" s="763">
        <v>3</v>
      </c>
      <c r="G2936" s="1025">
        <v>67828500</v>
      </c>
      <c r="H2936" s="690">
        <v>63929576</v>
      </c>
      <c r="I2936" s="1030">
        <v>1175925</v>
      </c>
      <c r="J2936" s="690">
        <v>843304</v>
      </c>
      <c r="K2936" s="1030"/>
      <c r="L2936" s="690"/>
      <c r="M2936" s="1025">
        <v>64535524</v>
      </c>
      <c r="N2936" s="1030"/>
      <c r="O2936" s="692">
        <f t="shared" si="381"/>
        <v>64535524</v>
      </c>
      <c r="P2936" s="690">
        <v>73661614</v>
      </c>
      <c r="Q2936" s="690"/>
      <c r="R2936" s="691">
        <f t="shared" si="382"/>
        <v>73661614</v>
      </c>
      <c r="S2936" s="692">
        <f t="shared" si="383"/>
        <v>133539949</v>
      </c>
      <c r="T2936" s="693">
        <f t="shared" si="384"/>
        <v>138434494</v>
      </c>
      <c r="U2936" s="1035"/>
      <c r="V2936" s="690"/>
      <c r="W2936" s="1025"/>
      <c r="X2936" s="1030"/>
      <c r="Y2936" s="694">
        <f t="shared" si="385"/>
        <v>0</v>
      </c>
      <c r="Z2936" s="690"/>
      <c r="AA2936" s="690"/>
      <c r="AB2936" s="695">
        <f t="shared" si="386"/>
        <v>0</v>
      </c>
      <c r="AC2936" s="1035"/>
      <c r="AD2936" s="690"/>
      <c r="AE2936" s="1025"/>
      <c r="AF2936" s="1030"/>
      <c r="AG2936" s="690"/>
      <c r="AH2936" s="690"/>
      <c r="AI2936" s="696">
        <f t="shared" si="387"/>
        <v>133539949</v>
      </c>
      <c r="AJ2936" s="697">
        <f t="shared" si="388"/>
        <v>138434494</v>
      </c>
    </row>
    <row r="2937" spans="1:36" s="700" customFormat="1" ht="12.75" customHeight="1">
      <c r="A2937" s="755" t="s">
        <v>207</v>
      </c>
      <c r="B2937" s="755" t="s">
        <v>392</v>
      </c>
      <c r="C2937" s="762" t="s">
        <v>1654</v>
      </c>
      <c r="D2937" s="762"/>
      <c r="E2937" s="973">
        <v>228459</v>
      </c>
      <c r="F2937" s="763">
        <v>3</v>
      </c>
      <c r="G2937" s="1025">
        <v>114041367</v>
      </c>
      <c r="H2937" s="690">
        <v>109283094</v>
      </c>
      <c r="I2937" s="1030">
        <v>2476454</v>
      </c>
      <c r="J2937" s="690">
        <v>2728141</v>
      </c>
      <c r="K2937" s="1030"/>
      <c r="L2937" s="690"/>
      <c r="M2937" s="1025">
        <v>163330466</v>
      </c>
      <c r="N2937" s="1030">
        <v>299190</v>
      </c>
      <c r="O2937" s="692">
        <f t="shared" si="381"/>
        <v>163629656</v>
      </c>
      <c r="P2937" s="690">
        <v>182363624</v>
      </c>
      <c r="Q2937" s="690">
        <v>299190</v>
      </c>
      <c r="R2937" s="691">
        <f t="shared" si="382"/>
        <v>182662814</v>
      </c>
      <c r="S2937" s="692">
        <f t="shared" si="383"/>
        <v>279848287</v>
      </c>
      <c r="T2937" s="693">
        <f t="shared" si="384"/>
        <v>294374859</v>
      </c>
      <c r="U2937" s="1035"/>
      <c r="V2937" s="690"/>
      <c r="W2937" s="1025"/>
      <c r="X2937" s="1030"/>
      <c r="Y2937" s="694">
        <f t="shared" si="385"/>
        <v>0</v>
      </c>
      <c r="Z2937" s="690"/>
      <c r="AA2937" s="690"/>
      <c r="AB2937" s="695">
        <f t="shared" si="386"/>
        <v>0</v>
      </c>
      <c r="AC2937" s="1035"/>
      <c r="AD2937" s="690"/>
      <c r="AE2937" s="1025"/>
      <c r="AF2937" s="1030"/>
      <c r="AG2937" s="690"/>
      <c r="AH2937" s="690"/>
      <c r="AI2937" s="696">
        <f t="shared" si="387"/>
        <v>279848287</v>
      </c>
      <c r="AJ2937" s="697">
        <f t="shared" si="388"/>
        <v>294374859</v>
      </c>
    </row>
    <row r="2938" spans="1:36" s="700" customFormat="1" ht="12.75" customHeight="1">
      <c r="A2938" s="755" t="s">
        <v>207</v>
      </c>
      <c r="B2938" s="755" t="s">
        <v>392</v>
      </c>
      <c r="C2938" s="762" t="s">
        <v>1655</v>
      </c>
      <c r="D2938" s="762"/>
      <c r="E2938" s="973">
        <v>225414</v>
      </c>
      <c r="F2938" s="763">
        <v>3</v>
      </c>
      <c r="G2938" s="1025">
        <v>39333899</v>
      </c>
      <c r="H2938" s="690">
        <v>37161192</v>
      </c>
      <c r="I2938" s="1030">
        <v>404321</v>
      </c>
      <c r="J2938" s="690">
        <v>547832</v>
      </c>
      <c r="K2938" s="1030"/>
      <c r="L2938" s="690"/>
      <c r="M2938" s="1025">
        <v>38371993</v>
      </c>
      <c r="N2938" s="1030"/>
      <c r="O2938" s="692">
        <f t="shared" si="381"/>
        <v>38371993</v>
      </c>
      <c r="P2938" s="690">
        <v>42075131</v>
      </c>
      <c r="Q2938" s="690"/>
      <c r="R2938" s="691">
        <f t="shared" si="382"/>
        <v>42075131</v>
      </c>
      <c r="S2938" s="692">
        <f t="shared" si="383"/>
        <v>78110213</v>
      </c>
      <c r="T2938" s="693">
        <f t="shared" si="384"/>
        <v>79784155</v>
      </c>
      <c r="U2938" s="1035"/>
      <c r="V2938" s="690"/>
      <c r="W2938" s="1025"/>
      <c r="X2938" s="1030"/>
      <c r="Y2938" s="694">
        <f t="shared" si="385"/>
        <v>0</v>
      </c>
      <c r="Z2938" s="690"/>
      <c r="AA2938" s="690"/>
      <c r="AB2938" s="695">
        <f t="shared" si="386"/>
        <v>0</v>
      </c>
      <c r="AC2938" s="1035"/>
      <c r="AD2938" s="690"/>
      <c r="AE2938" s="1025"/>
      <c r="AF2938" s="1030"/>
      <c r="AG2938" s="690"/>
      <c r="AH2938" s="690"/>
      <c r="AI2938" s="696">
        <f t="shared" si="387"/>
        <v>78110213</v>
      </c>
      <c r="AJ2938" s="697">
        <f t="shared" si="388"/>
        <v>79784155</v>
      </c>
    </row>
    <row r="2939" spans="1:36" s="700" customFormat="1" ht="12.75" customHeight="1">
      <c r="A2939" s="755" t="s">
        <v>207</v>
      </c>
      <c r="B2939" s="755" t="s">
        <v>392</v>
      </c>
      <c r="C2939" s="762" t="s">
        <v>1656</v>
      </c>
      <c r="D2939" s="762"/>
      <c r="E2939" s="973">
        <v>228802</v>
      </c>
      <c r="F2939" s="763">
        <v>3</v>
      </c>
      <c r="G2939" s="1025">
        <v>31488495</v>
      </c>
      <c r="H2939" s="690">
        <v>28809185</v>
      </c>
      <c r="I2939" s="1030">
        <v>826810</v>
      </c>
      <c r="J2939" s="690">
        <v>890966</v>
      </c>
      <c r="K2939" s="1030"/>
      <c r="L2939" s="690"/>
      <c r="M2939" s="1025">
        <v>30610996</v>
      </c>
      <c r="N2939" s="1030"/>
      <c r="O2939" s="692">
        <f t="shared" si="381"/>
        <v>30610996</v>
      </c>
      <c r="P2939" s="690">
        <v>32613169</v>
      </c>
      <c r="Q2939" s="690"/>
      <c r="R2939" s="691">
        <f t="shared" si="382"/>
        <v>32613169</v>
      </c>
      <c r="S2939" s="692">
        <f t="shared" si="383"/>
        <v>62926301</v>
      </c>
      <c r="T2939" s="693">
        <f t="shared" si="384"/>
        <v>62313320</v>
      </c>
      <c r="U2939" s="1035"/>
      <c r="V2939" s="690"/>
      <c r="W2939" s="1025"/>
      <c r="X2939" s="1030"/>
      <c r="Y2939" s="694">
        <f t="shared" si="385"/>
        <v>0</v>
      </c>
      <c r="Z2939" s="690"/>
      <c r="AA2939" s="690"/>
      <c r="AB2939" s="695">
        <f t="shared" si="386"/>
        <v>0</v>
      </c>
      <c r="AC2939" s="1035"/>
      <c r="AD2939" s="690"/>
      <c r="AE2939" s="1025"/>
      <c r="AF2939" s="1030"/>
      <c r="AG2939" s="690"/>
      <c r="AH2939" s="690"/>
      <c r="AI2939" s="696">
        <f t="shared" si="387"/>
        <v>62926301</v>
      </c>
      <c r="AJ2939" s="697">
        <f t="shared" si="388"/>
        <v>62313320</v>
      </c>
    </row>
    <row r="2940" spans="1:36" s="700" customFormat="1" ht="12.75" customHeight="1">
      <c r="A2940" s="755" t="s">
        <v>207</v>
      </c>
      <c r="B2940" s="755" t="s">
        <v>392</v>
      </c>
      <c r="C2940" s="762" t="s">
        <v>1657</v>
      </c>
      <c r="D2940" s="762"/>
      <c r="E2940" s="973">
        <v>227368</v>
      </c>
      <c r="F2940" s="763">
        <v>3</v>
      </c>
      <c r="G2940" s="1025">
        <v>79233453</v>
      </c>
      <c r="H2940" s="690">
        <v>73223342</v>
      </c>
      <c r="I2940" s="1030">
        <v>1773867</v>
      </c>
      <c r="J2940" s="690">
        <v>1671181</v>
      </c>
      <c r="K2940" s="1030"/>
      <c r="L2940" s="690"/>
      <c r="M2940" s="1025">
        <v>73399894</v>
      </c>
      <c r="N2940" s="1030"/>
      <c r="O2940" s="692">
        <f t="shared" si="381"/>
        <v>73399894</v>
      </c>
      <c r="P2940" s="690">
        <v>87439247</v>
      </c>
      <c r="Q2940" s="690"/>
      <c r="R2940" s="691">
        <f t="shared" si="382"/>
        <v>87439247</v>
      </c>
      <c r="S2940" s="692">
        <f t="shared" si="383"/>
        <v>154407214</v>
      </c>
      <c r="T2940" s="693">
        <f t="shared" si="384"/>
        <v>162333770</v>
      </c>
      <c r="U2940" s="1035"/>
      <c r="V2940" s="690"/>
      <c r="W2940" s="1025"/>
      <c r="X2940" s="1030"/>
      <c r="Y2940" s="694">
        <f t="shared" si="385"/>
        <v>0</v>
      </c>
      <c r="Z2940" s="690"/>
      <c r="AA2940" s="690"/>
      <c r="AB2940" s="695">
        <f t="shared" si="386"/>
        <v>0</v>
      </c>
      <c r="AC2940" s="1035"/>
      <c r="AD2940" s="690"/>
      <c r="AE2940" s="1025"/>
      <c r="AF2940" s="1030"/>
      <c r="AG2940" s="690"/>
      <c r="AH2940" s="690"/>
      <c r="AI2940" s="696">
        <f t="shared" si="387"/>
        <v>154407214</v>
      </c>
      <c r="AJ2940" s="697">
        <f t="shared" si="388"/>
        <v>162333770</v>
      </c>
    </row>
    <row r="2941" spans="1:36" s="700" customFormat="1" ht="12.75" customHeight="1">
      <c r="A2941" s="755" t="s">
        <v>207</v>
      </c>
      <c r="B2941" s="755" t="s">
        <v>392</v>
      </c>
      <c r="C2941" s="762" t="s">
        <v>1658</v>
      </c>
      <c r="D2941" s="762"/>
      <c r="E2941" s="973">
        <v>229814</v>
      </c>
      <c r="F2941" s="763">
        <v>3</v>
      </c>
      <c r="G2941" s="1025">
        <v>37273518</v>
      </c>
      <c r="H2941" s="690">
        <v>34941157</v>
      </c>
      <c r="I2941" s="1030">
        <v>920811</v>
      </c>
      <c r="J2941" s="690">
        <v>761074</v>
      </c>
      <c r="K2941" s="1030"/>
      <c r="L2941" s="690"/>
      <c r="M2941" s="1025">
        <v>32482878</v>
      </c>
      <c r="N2941" s="1030"/>
      <c r="O2941" s="692">
        <f t="shared" si="381"/>
        <v>32482878</v>
      </c>
      <c r="P2941" s="690">
        <v>37180558</v>
      </c>
      <c r="Q2941" s="690"/>
      <c r="R2941" s="691">
        <f t="shared" si="382"/>
        <v>37180558</v>
      </c>
      <c r="S2941" s="692">
        <f t="shared" si="383"/>
        <v>70677207</v>
      </c>
      <c r="T2941" s="693">
        <f t="shared" si="384"/>
        <v>72882789</v>
      </c>
      <c r="U2941" s="1035"/>
      <c r="V2941" s="690"/>
      <c r="W2941" s="1025"/>
      <c r="X2941" s="1030"/>
      <c r="Y2941" s="694">
        <f t="shared" si="385"/>
        <v>0</v>
      </c>
      <c r="Z2941" s="690"/>
      <c r="AA2941" s="690"/>
      <c r="AB2941" s="695">
        <f t="shared" si="386"/>
        <v>0</v>
      </c>
      <c r="AC2941" s="1035"/>
      <c r="AD2941" s="690"/>
      <c r="AE2941" s="1025"/>
      <c r="AF2941" s="1030"/>
      <c r="AG2941" s="690"/>
      <c r="AH2941" s="690"/>
      <c r="AI2941" s="696">
        <f t="shared" si="387"/>
        <v>70677207</v>
      </c>
      <c r="AJ2941" s="697">
        <f t="shared" si="388"/>
        <v>72882789</v>
      </c>
    </row>
    <row r="2942" spans="1:36" s="700" customFormat="1" ht="12.75" customHeight="1">
      <c r="A2942" s="755" t="s">
        <v>207</v>
      </c>
      <c r="B2942" s="755" t="s">
        <v>392</v>
      </c>
      <c r="C2942" s="762" t="s">
        <v>1659</v>
      </c>
      <c r="D2942" s="762"/>
      <c r="E2942" s="973">
        <v>224545</v>
      </c>
      <c r="F2942" s="763">
        <v>4</v>
      </c>
      <c r="G2942" s="1025">
        <v>11891247</v>
      </c>
      <c r="H2942" s="690">
        <v>11343351</v>
      </c>
      <c r="I2942" s="1030">
        <v>212493</v>
      </c>
      <c r="J2942" s="690">
        <v>260837</v>
      </c>
      <c r="K2942" s="1030"/>
      <c r="L2942" s="690"/>
      <c r="M2942" s="1025">
        <v>4605734</v>
      </c>
      <c r="N2942" s="1030"/>
      <c r="O2942" s="692">
        <f t="shared" si="381"/>
        <v>4605734</v>
      </c>
      <c r="P2942" s="690">
        <v>5698814</v>
      </c>
      <c r="Q2942" s="690"/>
      <c r="R2942" s="691">
        <f t="shared" si="382"/>
        <v>5698814</v>
      </c>
      <c r="S2942" s="692">
        <f t="shared" si="383"/>
        <v>16709474</v>
      </c>
      <c r="T2942" s="693">
        <f t="shared" si="384"/>
        <v>17303002</v>
      </c>
      <c r="U2942" s="1035"/>
      <c r="V2942" s="690"/>
      <c r="W2942" s="1025"/>
      <c r="X2942" s="1030"/>
      <c r="Y2942" s="694">
        <f t="shared" si="385"/>
        <v>0</v>
      </c>
      <c r="Z2942" s="690"/>
      <c r="AA2942" s="690"/>
      <c r="AB2942" s="695">
        <f t="shared" si="386"/>
        <v>0</v>
      </c>
      <c r="AC2942" s="1035"/>
      <c r="AD2942" s="690"/>
      <c r="AE2942" s="1025"/>
      <c r="AF2942" s="1030"/>
      <c r="AG2942" s="690"/>
      <c r="AH2942" s="690"/>
      <c r="AI2942" s="696">
        <f t="shared" si="387"/>
        <v>16709474</v>
      </c>
      <c r="AJ2942" s="697">
        <f t="shared" si="388"/>
        <v>17303002</v>
      </c>
    </row>
    <row r="2943" spans="1:36" s="700" customFormat="1" ht="12.75" customHeight="1">
      <c r="A2943" s="755" t="s">
        <v>207</v>
      </c>
      <c r="B2943" s="755" t="s">
        <v>392</v>
      </c>
      <c r="C2943" s="893" t="s">
        <v>1660</v>
      </c>
      <c r="D2943" s="893"/>
      <c r="E2943" s="894">
        <v>225502</v>
      </c>
      <c r="F2943" s="758">
        <v>4</v>
      </c>
      <c r="G2943" s="1025">
        <v>17314304</v>
      </c>
      <c r="H2943" s="690">
        <v>16465763</v>
      </c>
      <c r="I2943" s="1030">
        <v>170051</v>
      </c>
      <c r="J2943" s="690">
        <v>407155</v>
      </c>
      <c r="K2943" s="1030"/>
      <c r="L2943" s="690"/>
      <c r="M2943" s="1025">
        <v>13397940</v>
      </c>
      <c r="N2943" s="1030"/>
      <c r="O2943" s="692">
        <f t="shared" si="381"/>
        <v>13397940</v>
      </c>
      <c r="P2943" s="690">
        <v>16187977</v>
      </c>
      <c r="Q2943" s="690"/>
      <c r="R2943" s="691">
        <f t="shared" si="382"/>
        <v>16187977</v>
      </c>
      <c r="S2943" s="692">
        <f t="shared" si="383"/>
        <v>30882295</v>
      </c>
      <c r="T2943" s="693">
        <f t="shared" si="384"/>
        <v>33060895</v>
      </c>
      <c r="U2943" s="1035"/>
      <c r="V2943" s="690"/>
      <c r="W2943" s="1025"/>
      <c r="X2943" s="1030"/>
      <c r="Y2943" s="694">
        <f t="shared" si="385"/>
        <v>0</v>
      </c>
      <c r="Z2943" s="690"/>
      <c r="AA2943" s="690"/>
      <c r="AB2943" s="695">
        <f t="shared" si="386"/>
        <v>0</v>
      </c>
      <c r="AC2943" s="1035"/>
      <c r="AD2943" s="690"/>
      <c r="AE2943" s="1025"/>
      <c r="AF2943" s="1030"/>
      <c r="AG2943" s="690"/>
      <c r="AH2943" s="690"/>
      <c r="AI2943" s="696">
        <f t="shared" si="387"/>
        <v>30882295</v>
      </c>
      <c r="AJ2943" s="697">
        <f t="shared" si="388"/>
        <v>33060895</v>
      </c>
    </row>
    <row r="2944" spans="1:36" s="700" customFormat="1" ht="12.75" customHeight="1">
      <c r="A2944" s="755" t="s">
        <v>207</v>
      </c>
      <c r="B2944" s="755" t="s">
        <v>392</v>
      </c>
      <c r="C2944" s="1090" t="s">
        <v>1661</v>
      </c>
      <c r="D2944" s="1109" t="s">
        <v>1980</v>
      </c>
      <c r="E2944" s="973">
        <v>227377</v>
      </c>
      <c r="F2944" s="1091">
        <v>3</v>
      </c>
      <c r="G2944" s="1025">
        <v>30450186</v>
      </c>
      <c r="H2944" s="690">
        <v>28295250</v>
      </c>
      <c r="I2944" s="1030">
        <v>866078</v>
      </c>
      <c r="J2944" s="690">
        <v>562047</v>
      </c>
      <c r="K2944" s="1030"/>
      <c r="L2944" s="690"/>
      <c r="M2944" s="1025">
        <v>20407980</v>
      </c>
      <c r="N2944" s="1030"/>
      <c r="O2944" s="692">
        <f t="shared" si="381"/>
        <v>20407980</v>
      </c>
      <c r="P2944" s="690">
        <v>22481915</v>
      </c>
      <c r="Q2944" s="690"/>
      <c r="R2944" s="691">
        <f t="shared" si="382"/>
        <v>22481915</v>
      </c>
      <c r="S2944" s="692">
        <f t="shared" si="383"/>
        <v>51724244</v>
      </c>
      <c r="T2944" s="693">
        <f t="shared" si="384"/>
        <v>51339212</v>
      </c>
      <c r="U2944" s="1035"/>
      <c r="V2944" s="690"/>
      <c r="W2944" s="1025"/>
      <c r="X2944" s="1030"/>
      <c r="Y2944" s="694">
        <f t="shared" si="385"/>
        <v>0</v>
      </c>
      <c r="Z2944" s="690"/>
      <c r="AA2944" s="690"/>
      <c r="AB2944" s="695">
        <f t="shared" si="386"/>
        <v>0</v>
      </c>
      <c r="AC2944" s="1035"/>
      <c r="AD2944" s="690"/>
      <c r="AE2944" s="1025"/>
      <c r="AF2944" s="1030"/>
      <c r="AG2944" s="690"/>
      <c r="AH2944" s="690"/>
      <c r="AI2944" s="696">
        <f t="shared" si="387"/>
        <v>51724244</v>
      </c>
      <c r="AJ2944" s="697">
        <f t="shared" si="388"/>
        <v>51339212</v>
      </c>
    </row>
    <row r="2945" spans="1:36" s="700" customFormat="1" ht="12.75" customHeight="1">
      <c r="A2945" s="755" t="s">
        <v>207</v>
      </c>
      <c r="B2945" s="755" t="s">
        <v>392</v>
      </c>
      <c r="C2945" s="893" t="s">
        <v>1662</v>
      </c>
      <c r="D2945" s="1096" t="s">
        <v>1981</v>
      </c>
      <c r="E2945" s="973">
        <v>229018</v>
      </c>
      <c r="F2945" s="763">
        <v>4</v>
      </c>
      <c r="G2945" s="1025">
        <v>22407107</v>
      </c>
      <c r="H2945" s="690">
        <v>20345203</v>
      </c>
      <c r="I2945" s="1030">
        <v>263861</v>
      </c>
      <c r="J2945" s="690">
        <v>280400</v>
      </c>
      <c r="K2945" s="1030"/>
      <c r="L2945" s="690"/>
      <c r="M2945" s="1025">
        <v>13238007</v>
      </c>
      <c r="N2945" s="1030"/>
      <c r="O2945" s="692">
        <f t="shared" si="381"/>
        <v>13238007</v>
      </c>
      <c r="P2945" s="690">
        <v>17551317</v>
      </c>
      <c r="Q2945" s="690"/>
      <c r="R2945" s="691">
        <f t="shared" si="382"/>
        <v>17551317</v>
      </c>
      <c r="S2945" s="692">
        <f t="shared" si="383"/>
        <v>35908975</v>
      </c>
      <c r="T2945" s="693">
        <f t="shared" si="384"/>
        <v>38176920</v>
      </c>
      <c r="U2945" s="1035"/>
      <c r="V2945" s="690"/>
      <c r="W2945" s="1025"/>
      <c r="X2945" s="1030"/>
      <c r="Y2945" s="694">
        <f t="shared" si="385"/>
        <v>0</v>
      </c>
      <c r="Z2945" s="690"/>
      <c r="AA2945" s="690"/>
      <c r="AB2945" s="695">
        <f t="shared" si="386"/>
        <v>0</v>
      </c>
      <c r="AC2945" s="1035"/>
      <c r="AD2945" s="690"/>
      <c r="AE2945" s="1025"/>
      <c r="AF2945" s="1030"/>
      <c r="AG2945" s="690"/>
      <c r="AH2945" s="690"/>
      <c r="AI2945" s="696">
        <f t="shared" si="387"/>
        <v>35908975</v>
      </c>
      <c r="AJ2945" s="697">
        <f t="shared" si="388"/>
        <v>38176920</v>
      </c>
    </row>
    <row r="2946" spans="1:36" s="700" customFormat="1" ht="12.75" customHeight="1">
      <c r="A2946" s="755" t="s">
        <v>207</v>
      </c>
      <c r="B2946" s="755" t="s">
        <v>392</v>
      </c>
      <c r="C2946" s="762" t="s">
        <v>1663</v>
      </c>
      <c r="D2946" s="762"/>
      <c r="E2946" s="973">
        <v>227924</v>
      </c>
      <c r="F2946" s="763">
        <v>5</v>
      </c>
      <c r="G2946" s="1025">
        <v>6733972</v>
      </c>
      <c r="H2946" s="690">
        <v>6328062</v>
      </c>
      <c r="I2946" s="1030">
        <v>41048</v>
      </c>
      <c r="J2946" s="690">
        <v>53977</v>
      </c>
      <c r="K2946" s="1030"/>
      <c r="L2946" s="690"/>
      <c r="M2946" s="1025"/>
      <c r="N2946" s="1030"/>
      <c r="O2946" s="692">
        <f t="shared" si="381"/>
        <v>0</v>
      </c>
      <c r="P2946" s="690"/>
      <c r="Q2946" s="690"/>
      <c r="R2946" s="691">
        <f t="shared" si="382"/>
        <v>0</v>
      </c>
      <c r="S2946" s="692">
        <f t="shared" si="383"/>
        <v>6775020</v>
      </c>
      <c r="T2946" s="693">
        <f t="shared" si="384"/>
        <v>6382039</v>
      </c>
      <c r="U2946" s="1035"/>
      <c r="V2946" s="690"/>
      <c r="W2946" s="1025"/>
      <c r="X2946" s="1030"/>
      <c r="Y2946" s="694">
        <f t="shared" si="385"/>
        <v>0</v>
      </c>
      <c r="Z2946" s="690"/>
      <c r="AA2946" s="690"/>
      <c r="AB2946" s="695">
        <f t="shared" si="386"/>
        <v>0</v>
      </c>
      <c r="AC2946" s="1035"/>
      <c r="AD2946" s="690"/>
      <c r="AE2946" s="1025"/>
      <c r="AF2946" s="1030"/>
      <c r="AG2946" s="690"/>
      <c r="AH2946" s="690"/>
      <c r="AI2946" s="696">
        <f t="shared" si="387"/>
        <v>6775020</v>
      </c>
      <c r="AJ2946" s="697">
        <f t="shared" si="388"/>
        <v>6382039</v>
      </c>
    </row>
    <row r="2947" spans="1:36" s="700" customFormat="1" ht="12.75" customHeight="1">
      <c r="A2947" s="755" t="s">
        <v>207</v>
      </c>
      <c r="B2947" s="755" t="s">
        <v>392</v>
      </c>
      <c r="C2947" s="762" t="s">
        <v>1664</v>
      </c>
      <c r="D2947" s="762"/>
      <c r="E2947" s="973">
        <v>225432</v>
      </c>
      <c r="F2947" s="763">
        <v>5</v>
      </c>
      <c r="G2947" s="1025">
        <v>35594620</v>
      </c>
      <c r="H2947" s="690">
        <v>34179660</v>
      </c>
      <c r="I2947" s="1030">
        <v>1132831</v>
      </c>
      <c r="J2947" s="690">
        <v>1023600</v>
      </c>
      <c r="K2947" s="1030"/>
      <c r="L2947" s="690"/>
      <c r="M2947" s="1025">
        <v>47686639</v>
      </c>
      <c r="N2947" s="1030"/>
      <c r="O2947" s="692">
        <f t="shared" si="381"/>
        <v>47686639</v>
      </c>
      <c r="P2947" s="690">
        <v>51382247</v>
      </c>
      <c r="Q2947" s="690"/>
      <c r="R2947" s="691">
        <f t="shared" si="382"/>
        <v>51382247</v>
      </c>
      <c r="S2947" s="692">
        <f t="shared" si="383"/>
        <v>84414090</v>
      </c>
      <c r="T2947" s="693">
        <f t="shared" si="384"/>
        <v>86585507</v>
      </c>
      <c r="U2947" s="1035"/>
      <c r="V2947" s="690"/>
      <c r="W2947" s="1025"/>
      <c r="X2947" s="1030"/>
      <c r="Y2947" s="694">
        <f t="shared" si="385"/>
        <v>0</v>
      </c>
      <c r="Z2947" s="690"/>
      <c r="AA2947" s="690"/>
      <c r="AB2947" s="695">
        <f t="shared" si="386"/>
        <v>0</v>
      </c>
      <c r="AC2947" s="1035"/>
      <c r="AD2947" s="690"/>
      <c r="AE2947" s="1025"/>
      <c r="AF2947" s="1030"/>
      <c r="AG2947" s="690"/>
      <c r="AH2947" s="690"/>
      <c r="AI2947" s="696">
        <f t="shared" si="387"/>
        <v>84414090</v>
      </c>
      <c r="AJ2947" s="697">
        <f t="shared" si="388"/>
        <v>86585507</v>
      </c>
    </row>
    <row r="2948" spans="1:36" s="700" customFormat="1" ht="12.75" customHeight="1">
      <c r="A2948" s="755" t="s">
        <v>207</v>
      </c>
      <c r="B2948" s="755" t="s">
        <v>392</v>
      </c>
      <c r="C2948" s="762" t="s">
        <v>1665</v>
      </c>
      <c r="D2948" s="762"/>
      <c r="E2948" s="973">
        <v>228714</v>
      </c>
      <c r="F2948" s="763">
        <v>6</v>
      </c>
      <c r="G2948" s="1025">
        <v>15517097</v>
      </c>
      <c r="H2948" s="690">
        <v>14369320</v>
      </c>
      <c r="I2948" s="1030">
        <v>58706</v>
      </c>
      <c r="J2948" s="690">
        <v>48489</v>
      </c>
      <c r="K2948" s="1030"/>
      <c r="L2948" s="690"/>
      <c r="M2948" s="1025">
        <v>13250272</v>
      </c>
      <c r="N2948" s="1030"/>
      <c r="O2948" s="692">
        <f t="shared" si="381"/>
        <v>13250272</v>
      </c>
      <c r="P2948" s="690">
        <v>15032688</v>
      </c>
      <c r="Q2948" s="690"/>
      <c r="R2948" s="691">
        <f t="shared" si="382"/>
        <v>15032688</v>
      </c>
      <c r="S2948" s="692">
        <f t="shared" si="383"/>
        <v>28826075</v>
      </c>
      <c r="T2948" s="693">
        <f t="shared" si="384"/>
        <v>29450497</v>
      </c>
      <c r="U2948" s="1035"/>
      <c r="V2948" s="690"/>
      <c r="W2948" s="1025"/>
      <c r="X2948" s="1030"/>
      <c r="Y2948" s="694">
        <f t="shared" si="385"/>
        <v>0</v>
      </c>
      <c r="Z2948" s="690"/>
      <c r="AA2948" s="690"/>
      <c r="AB2948" s="695">
        <f t="shared" si="386"/>
        <v>0</v>
      </c>
      <c r="AC2948" s="1035"/>
      <c r="AD2948" s="690"/>
      <c r="AE2948" s="1025"/>
      <c r="AF2948" s="1030"/>
      <c r="AG2948" s="690"/>
      <c r="AH2948" s="690"/>
      <c r="AI2948" s="696">
        <f t="shared" si="387"/>
        <v>28826075</v>
      </c>
      <c r="AJ2948" s="697">
        <f t="shared" si="388"/>
        <v>29450497</v>
      </c>
    </row>
    <row r="2949" spans="1:36" s="700" customFormat="1" ht="12.75" customHeight="1">
      <c r="A2949" s="755" t="s">
        <v>207</v>
      </c>
      <c r="B2949" s="755" t="s">
        <v>392</v>
      </c>
      <c r="C2949" s="976" t="s">
        <v>1666</v>
      </c>
      <c r="D2949" s="976"/>
      <c r="E2949" s="894">
        <v>223506</v>
      </c>
      <c r="F2949" s="758">
        <v>7</v>
      </c>
      <c r="G2949" s="1025">
        <v>8028080</v>
      </c>
      <c r="H2949" s="690">
        <v>7827773</v>
      </c>
      <c r="I2949" s="1030"/>
      <c r="J2949" s="690"/>
      <c r="K2949" s="1030">
        <v>11175407</v>
      </c>
      <c r="L2949" s="690">
        <v>11317472</v>
      </c>
      <c r="M2949" s="1025">
        <v>6052276</v>
      </c>
      <c r="N2949" s="1030"/>
      <c r="O2949" s="692">
        <f t="shared" si="381"/>
        <v>6052276</v>
      </c>
      <c r="P2949" s="690">
        <v>6582505</v>
      </c>
      <c r="Q2949" s="690"/>
      <c r="R2949" s="691">
        <f t="shared" si="382"/>
        <v>6582505</v>
      </c>
      <c r="S2949" s="692">
        <f t="shared" si="383"/>
        <v>25255763</v>
      </c>
      <c r="T2949" s="693">
        <f t="shared" si="384"/>
        <v>25727750</v>
      </c>
      <c r="U2949" s="1035"/>
      <c r="V2949" s="690"/>
      <c r="W2949" s="1025"/>
      <c r="X2949" s="1030"/>
      <c r="Y2949" s="694">
        <f t="shared" si="385"/>
        <v>0</v>
      </c>
      <c r="Z2949" s="690"/>
      <c r="AA2949" s="690"/>
      <c r="AB2949" s="695">
        <f t="shared" si="386"/>
        <v>0</v>
      </c>
      <c r="AC2949" s="1035"/>
      <c r="AD2949" s="690"/>
      <c r="AE2949" s="1025"/>
      <c r="AF2949" s="1030"/>
      <c r="AG2949" s="690"/>
      <c r="AH2949" s="690"/>
      <c r="AI2949" s="696">
        <f t="shared" si="387"/>
        <v>25255763</v>
      </c>
      <c r="AJ2949" s="697">
        <f t="shared" si="388"/>
        <v>25727750</v>
      </c>
    </row>
    <row r="2950" spans="1:36" s="700" customFormat="1" ht="12.75" customHeight="1">
      <c r="A2950" s="755" t="s">
        <v>207</v>
      </c>
      <c r="B2950" s="755" t="s">
        <v>392</v>
      </c>
      <c r="C2950" s="976" t="s">
        <v>1667</v>
      </c>
      <c r="D2950" s="976"/>
      <c r="E2950" s="894">
        <v>226806</v>
      </c>
      <c r="F2950" s="758">
        <v>7</v>
      </c>
      <c r="G2950" s="1025">
        <v>13577895</v>
      </c>
      <c r="H2950" s="690">
        <v>12965622</v>
      </c>
      <c r="I2950" s="1030"/>
      <c r="J2950" s="690"/>
      <c r="K2950" s="1030">
        <v>17955690</v>
      </c>
      <c r="L2950" s="690">
        <v>18935649</v>
      </c>
      <c r="M2950" s="1025">
        <v>10963639</v>
      </c>
      <c r="N2950" s="1030"/>
      <c r="O2950" s="692">
        <f t="shared" si="381"/>
        <v>10963639</v>
      </c>
      <c r="P2950" s="690">
        <v>12565804</v>
      </c>
      <c r="Q2950" s="690"/>
      <c r="R2950" s="691">
        <f t="shared" si="382"/>
        <v>12565804</v>
      </c>
      <c r="S2950" s="692">
        <f t="shared" si="383"/>
        <v>42497224</v>
      </c>
      <c r="T2950" s="693">
        <f t="shared" si="384"/>
        <v>44467075</v>
      </c>
      <c r="U2950" s="1035"/>
      <c r="V2950" s="690"/>
      <c r="W2950" s="1025"/>
      <c r="X2950" s="1030"/>
      <c r="Y2950" s="694">
        <f t="shared" si="385"/>
        <v>0</v>
      </c>
      <c r="Z2950" s="690"/>
      <c r="AA2950" s="690"/>
      <c r="AB2950" s="695">
        <f t="shared" si="386"/>
        <v>0</v>
      </c>
      <c r="AC2950" s="1035"/>
      <c r="AD2950" s="690"/>
      <c r="AE2950" s="1025"/>
      <c r="AF2950" s="1030"/>
      <c r="AG2950" s="690"/>
      <c r="AH2950" s="690"/>
      <c r="AI2950" s="696">
        <f t="shared" si="387"/>
        <v>42497224</v>
      </c>
      <c r="AJ2950" s="697">
        <f t="shared" si="388"/>
        <v>44467075</v>
      </c>
    </row>
    <row r="2951" spans="1:36" s="700" customFormat="1" ht="12.75" customHeight="1">
      <c r="A2951" s="755" t="s">
        <v>207</v>
      </c>
      <c r="B2951" s="755" t="s">
        <v>392</v>
      </c>
      <c r="C2951" s="976" t="s">
        <v>1668</v>
      </c>
      <c r="D2951" s="976"/>
      <c r="E2951" s="977">
        <v>409315</v>
      </c>
      <c r="F2951" s="978">
        <v>7</v>
      </c>
      <c r="G2951" s="1025">
        <v>38396484</v>
      </c>
      <c r="H2951" s="690">
        <v>35803630</v>
      </c>
      <c r="I2951" s="1030"/>
      <c r="J2951" s="690"/>
      <c r="K2951" s="1030">
        <v>45283358</v>
      </c>
      <c r="L2951" s="690">
        <v>46512487</v>
      </c>
      <c r="M2951" s="1025">
        <v>45184551</v>
      </c>
      <c r="N2951" s="1030"/>
      <c r="O2951" s="692">
        <f t="shared" si="381"/>
        <v>45184551</v>
      </c>
      <c r="P2951" s="690">
        <v>60878678</v>
      </c>
      <c r="Q2951" s="690"/>
      <c r="R2951" s="691">
        <f t="shared" si="382"/>
        <v>60878678</v>
      </c>
      <c r="S2951" s="692">
        <f t="shared" si="383"/>
        <v>128864393</v>
      </c>
      <c r="T2951" s="693">
        <f t="shared" si="384"/>
        <v>143194795</v>
      </c>
      <c r="U2951" s="1035"/>
      <c r="V2951" s="690"/>
      <c r="W2951" s="1025"/>
      <c r="X2951" s="1030"/>
      <c r="Y2951" s="694">
        <f t="shared" si="385"/>
        <v>0</v>
      </c>
      <c r="Z2951" s="690"/>
      <c r="AA2951" s="690"/>
      <c r="AB2951" s="695">
        <f t="shared" si="386"/>
        <v>0</v>
      </c>
      <c r="AC2951" s="1035"/>
      <c r="AD2951" s="690"/>
      <c r="AE2951" s="1025"/>
      <c r="AF2951" s="1030"/>
      <c r="AG2951" s="690"/>
      <c r="AH2951" s="690"/>
      <c r="AI2951" s="696">
        <f t="shared" si="387"/>
        <v>128864393</v>
      </c>
      <c r="AJ2951" s="697">
        <f t="shared" si="388"/>
        <v>143194795</v>
      </c>
    </row>
    <row r="2952" spans="1:36" s="700" customFormat="1" ht="12.75" customHeight="1">
      <c r="A2952" s="755" t="s">
        <v>207</v>
      </c>
      <c r="B2952" s="755" t="s">
        <v>392</v>
      </c>
      <c r="C2952" s="762" t="s">
        <v>1669</v>
      </c>
      <c r="D2952" s="762"/>
      <c r="E2952" s="973">
        <v>222576</v>
      </c>
      <c r="F2952" s="763">
        <v>8</v>
      </c>
      <c r="G2952" s="1025">
        <v>22943747</v>
      </c>
      <c r="H2952" s="690">
        <v>22172511</v>
      </c>
      <c r="I2952" s="1030"/>
      <c r="J2952" s="690"/>
      <c r="K2952" s="1030">
        <v>17636549</v>
      </c>
      <c r="L2952" s="690">
        <v>18159438</v>
      </c>
      <c r="M2952" s="1025">
        <v>15995240</v>
      </c>
      <c r="N2952" s="1030"/>
      <c r="O2952" s="692">
        <f t="shared" si="381"/>
        <v>15995240</v>
      </c>
      <c r="P2952" s="690">
        <v>17902392</v>
      </c>
      <c r="Q2952" s="690"/>
      <c r="R2952" s="691">
        <f t="shared" si="382"/>
        <v>17902392</v>
      </c>
      <c r="S2952" s="692">
        <f t="shared" si="383"/>
        <v>56575536</v>
      </c>
      <c r="T2952" s="693">
        <f t="shared" si="384"/>
        <v>58234341</v>
      </c>
      <c r="U2952" s="1035"/>
      <c r="V2952" s="690"/>
      <c r="W2952" s="1025"/>
      <c r="X2952" s="1030"/>
      <c r="Y2952" s="694">
        <f t="shared" si="385"/>
        <v>0</v>
      </c>
      <c r="Z2952" s="690"/>
      <c r="AA2952" s="690"/>
      <c r="AB2952" s="695">
        <f t="shared" si="386"/>
        <v>0</v>
      </c>
      <c r="AC2952" s="1035"/>
      <c r="AD2952" s="690"/>
      <c r="AE2952" s="1025"/>
      <c r="AF2952" s="1030"/>
      <c r="AG2952" s="690"/>
      <c r="AH2952" s="690"/>
      <c r="AI2952" s="696">
        <f t="shared" si="387"/>
        <v>56575536</v>
      </c>
      <c r="AJ2952" s="697">
        <f t="shared" si="388"/>
        <v>58234341</v>
      </c>
    </row>
    <row r="2953" spans="1:36" s="700" customFormat="1" ht="12.75" customHeight="1">
      <c r="A2953" s="755" t="s">
        <v>207</v>
      </c>
      <c r="B2953" s="755" t="s">
        <v>392</v>
      </c>
      <c r="C2953" s="762" t="s">
        <v>1670</v>
      </c>
      <c r="D2953" s="762"/>
      <c r="E2953" s="973">
        <v>222992</v>
      </c>
      <c r="F2953" s="763">
        <v>8</v>
      </c>
      <c r="G2953" s="1025">
        <v>61470331</v>
      </c>
      <c r="H2953" s="690">
        <v>57550164</v>
      </c>
      <c r="I2953" s="1030"/>
      <c r="J2953" s="690"/>
      <c r="K2953" s="1030">
        <v>88638807</v>
      </c>
      <c r="L2953" s="690">
        <v>104503979</v>
      </c>
      <c r="M2953" s="1025">
        <v>61043953</v>
      </c>
      <c r="N2953" s="1030"/>
      <c r="O2953" s="692">
        <f t="shared" si="381"/>
        <v>61043953</v>
      </c>
      <c r="P2953" s="690">
        <v>71163481</v>
      </c>
      <c r="Q2953" s="690"/>
      <c r="R2953" s="691">
        <f t="shared" si="382"/>
        <v>71163481</v>
      </c>
      <c r="S2953" s="692">
        <f t="shared" si="383"/>
        <v>211153091</v>
      </c>
      <c r="T2953" s="693">
        <f t="shared" si="384"/>
        <v>233217624</v>
      </c>
      <c r="U2953" s="1035"/>
      <c r="V2953" s="690"/>
      <c r="W2953" s="1025"/>
      <c r="X2953" s="1030"/>
      <c r="Y2953" s="694">
        <f t="shared" si="385"/>
        <v>0</v>
      </c>
      <c r="Z2953" s="690"/>
      <c r="AA2953" s="690"/>
      <c r="AB2953" s="695">
        <f t="shared" si="386"/>
        <v>0</v>
      </c>
      <c r="AC2953" s="1035"/>
      <c r="AD2953" s="690"/>
      <c r="AE2953" s="1025"/>
      <c r="AF2953" s="1030"/>
      <c r="AG2953" s="690"/>
      <c r="AH2953" s="690"/>
      <c r="AI2953" s="696">
        <f t="shared" si="387"/>
        <v>211153091</v>
      </c>
      <c r="AJ2953" s="697">
        <f t="shared" si="388"/>
        <v>233217624</v>
      </c>
    </row>
    <row r="2954" spans="1:36" s="700" customFormat="1" ht="12.75" customHeight="1">
      <c r="A2954" s="755" t="s">
        <v>207</v>
      </c>
      <c r="B2954" s="755" t="s">
        <v>392</v>
      </c>
      <c r="C2954" s="762" t="s">
        <v>1671</v>
      </c>
      <c r="D2954" s="762"/>
      <c r="E2954" s="973">
        <v>223427</v>
      </c>
      <c r="F2954" s="763">
        <v>8</v>
      </c>
      <c r="G2954" s="1025">
        <v>28889034</v>
      </c>
      <c r="H2954" s="690">
        <v>27206892</v>
      </c>
      <c r="I2954" s="1030"/>
      <c r="J2954" s="690"/>
      <c r="K2954" s="1030">
        <v>1366917</v>
      </c>
      <c r="L2954" s="690">
        <v>1401292</v>
      </c>
      <c r="M2954" s="1025">
        <v>34766039</v>
      </c>
      <c r="N2954" s="1030"/>
      <c r="O2954" s="692">
        <f t="shared" si="381"/>
        <v>34766039</v>
      </c>
      <c r="P2954" s="690">
        <v>38195511</v>
      </c>
      <c r="Q2954" s="690"/>
      <c r="R2954" s="691">
        <f t="shared" si="382"/>
        <v>38195511</v>
      </c>
      <c r="S2954" s="692">
        <f t="shared" si="383"/>
        <v>65021990</v>
      </c>
      <c r="T2954" s="693">
        <f t="shared" si="384"/>
        <v>66803695</v>
      </c>
      <c r="U2954" s="1035"/>
      <c r="V2954" s="690"/>
      <c r="W2954" s="1025"/>
      <c r="X2954" s="1030"/>
      <c r="Y2954" s="694">
        <f t="shared" si="385"/>
        <v>0</v>
      </c>
      <c r="Z2954" s="690"/>
      <c r="AA2954" s="690"/>
      <c r="AB2954" s="695">
        <f t="shared" si="386"/>
        <v>0</v>
      </c>
      <c r="AC2954" s="1035"/>
      <c r="AD2954" s="690"/>
      <c r="AE2954" s="1025"/>
      <c r="AF2954" s="1030"/>
      <c r="AG2954" s="690"/>
      <c r="AH2954" s="690"/>
      <c r="AI2954" s="696">
        <f t="shared" si="387"/>
        <v>65021990</v>
      </c>
      <c r="AJ2954" s="697">
        <f t="shared" si="388"/>
        <v>66803695</v>
      </c>
    </row>
    <row r="2955" spans="1:36" s="700" customFormat="1" ht="12.75" customHeight="1">
      <c r="A2955" s="755" t="s">
        <v>207</v>
      </c>
      <c r="B2955" s="755" t="s">
        <v>392</v>
      </c>
      <c r="C2955" s="979" t="s">
        <v>1672</v>
      </c>
      <c r="D2955" s="979"/>
      <c r="E2955" s="973">
        <v>223524</v>
      </c>
      <c r="F2955" s="763">
        <v>8</v>
      </c>
      <c r="G2955" s="1025"/>
      <c r="H2955" s="690"/>
      <c r="I2955" s="1030"/>
      <c r="J2955" s="690"/>
      <c r="K2955" s="1030"/>
      <c r="L2955" s="690"/>
      <c r="M2955" s="1025"/>
      <c r="N2955" s="1030"/>
      <c r="O2955" s="692">
        <f t="shared" si="381"/>
        <v>0</v>
      </c>
      <c r="P2955" s="690"/>
      <c r="Q2955" s="690"/>
      <c r="R2955" s="691">
        <f t="shared" si="382"/>
        <v>0</v>
      </c>
      <c r="S2955" s="692">
        <f t="shared" si="383"/>
        <v>0</v>
      </c>
      <c r="T2955" s="693">
        <f t="shared" si="384"/>
        <v>0</v>
      </c>
      <c r="U2955" s="1035"/>
      <c r="V2955" s="690"/>
      <c r="W2955" s="1025"/>
      <c r="X2955" s="1030"/>
      <c r="Y2955" s="694">
        <f t="shared" si="385"/>
        <v>0</v>
      </c>
      <c r="Z2955" s="690"/>
      <c r="AA2955" s="690"/>
      <c r="AB2955" s="695">
        <f t="shared" si="386"/>
        <v>0</v>
      </c>
      <c r="AC2955" s="1035"/>
      <c r="AD2955" s="690"/>
      <c r="AE2955" s="1025"/>
      <c r="AF2955" s="1030"/>
      <c r="AG2955" s="690"/>
      <c r="AH2955" s="690"/>
      <c r="AI2955" s="696">
        <f t="shared" si="387"/>
        <v>0</v>
      </c>
      <c r="AJ2955" s="697">
        <f t="shared" si="388"/>
        <v>0</v>
      </c>
    </row>
    <row r="2956" spans="1:36" s="700" customFormat="1" ht="12.75" customHeight="1">
      <c r="A2956" s="755" t="s">
        <v>207</v>
      </c>
      <c r="B2956" s="755" t="s">
        <v>392</v>
      </c>
      <c r="C2956" s="762" t="s">
        <v>1673</v>
      </c>
      <c r="D2956" s="762"/>
      <c r="E2956" s="973">
        <v>223816</v>
      </c>
      <c r="F2956" s="763">
        <v>8</v>
      </c>
      <c r="G2956" s="1025">
        <v>27956564</v>
      </c>
      <c r="H2956" s="690">
        <v>24382635</v>
      </c>
      <c r="I2956" s="1030"/>
      <c r="J2956" s="690"/>
      <c r="K2956" s="1030">
        <v>10616386</v>
      </c>
      <c r="L2956" s="690">
        <v>10848729</v>
      </c>
      <c r="M2956" s="1025">
        <v>53234556</v>
      </c>
      <c r="N2956" s="1030"/>
      <c r="O2956" s="692">
        <f t="shared" ref="O2956:O3020" si="389">SUM(M2956:N2956)</f>
        <v>53234556</v>
      </c>
      <c r="P2956" s="690">
        <v>62632752</v>
      </c>
      <c r="Q2956" s="690"/>
      <c r="R2956" s="691">
        <f t="shared" ref="R2956:R3020" si="390">SUM(P2956:Q2956)</f>
        <v>62632752</v>
      </c>
      <c r="S2956" s="692">
        <f t="shared" ref="S2956:S3020" si="391">SUM(G2956,I2956,K2956,M2956)</f>
        <v>91807506</v>
      </c>
      <c r="T2956" s="693">
        <f t="shared" ref="T2956:T3020" si="392">SUM(H2956,J2956,L2956,P2956)</f>
        <v>97864116</v>
      </c>
      <c r="U2956" s="1035"/>
      <c r="V2956" s="690"/>
      <c r="W2956" s="1025"/>
      <c r="X2956" s="1030"/>
      <c r="Y2956" s="694">
        <f t="shared" ref="Y2956:Y3020" si="393">SUM(W2956:X2956)</f>
        <v>0</v>
      </c>
      <c r="Z2956" s="690"/>
      <c r="AA2956" s="690"/>
      <c r="AB2956" s="695">
        <f t="shared" ref="AB2956:AB3020" si="394">SUM(Z2956:AA2956)</f>
        <v>0</v>
      </c>
      <c r="AC2956" s="1035"/>
      <c r="AD2956" s="690"/>
      <c r="AE2956" s="1025"/>
      <c r="AF2956" s="1030"/>
      <c r="AG2956" s="690"/>
      <c r="AH2956" s="690"/>
      <c r="AI2956" s="696">
        <f t="shared" ref="AI2956:AI3020" si="395">SUM(S2956,U2956,W2956,AC2956,AE2956)</f>
        <v>91807506</v>
      </c>
      <c r="AJ2956" s="697">
        <f t="shared" ref="AJ2956:AJ3020" si="396">SUM(T2956,V2956,Z2956,AD2956,AG2956)</f>
        <v>97864116</v>
      </c>
    </row>
    <row r="2957" spans="1:36" s="700" customFormat="1" ht="12.75" customHeight="1">
      <c r="A2957" s="755" t="s">
        <v>207</v>
      </c>
      <c r="B2957" s="755" t="s">
        <v>392</v>
      </c>
      <c r="C2957" s="762" t="s">
        <v>1674</v>
      </c>
      <c r="D2957" s="762"/>
      <c r="E2957" s="973">
        <v>247834</v>
      </c>
      <c r="F2957" s="763">
        <v>8</v>
      </c>
      <c r="G2957" s="1025">
        <v>38652482</v>
      </c>
      <c r="H2957" s="690">
        <v>36435822</v>
      </c>
      <c r="I2957" s="1030"/>
      <c r="J2957" s="690"/>
      <c r="K2957" s="1030">
        <v>64146767</v>
      </c>
      <c r="L2957" s="690">
        <v>62548821</v>
      </c>
      <c r="M2957" s="1025">
        <v>25164305</v>
      </c>
      <c r="N2957" s="1030"/>
      <c r="O2957" s="692">
        <f t="shared" si="389"/>
        <v>25164305</v>
      </c>
      <c r="P2957" s="690">
        <v>28681780</v>
      </c>
      <c r="Q2957" s="690"/>
      <c r="R2957" s="691">
        <f t="shared" si="390"/>
        <v>28681780</v>
      </c>
      <c r="S2957" s="692">
        <f t="shared" si="391"/>
        <v>127963554</v>
      </c>
      <c r="T2957" s="693">
        <f t="shared" si="392"/>
        <v>127666423</v>
      </c>
      <c r="U2957" s="1035"/>
      <c r="V2957" s="690"/>
      <c r="W2957" s="1025"/>
      <c r="X2957" s="1030"/>
      <c r="Y2957" s="694">
        <f t="shared" si="393"/>
        <v>0</v>
      </c>
      <c r="Z2957" s="690"/>
      <c r="AA2957" s="690"/>
      <c r="AB2957" s="695">
        <f t="shared" si="394"/>
        <v>0</v>
      </c>
      <c r="AC2957" s="1035"/>
      <c r="AD2957" s="690"/>
      <c r="AE2957" s="1025"/>
      <c r="AF2957" s="1030"/>
      <c r="AG2957" s="690"/>
      <c r="AH2957" s="690"/>
      <c r="AI2957" s="696">
        <f t="shared" si="395"/>
        <v>127963554</v>
      </c>
      <c r="AJ2957" s="697">
        <f t="shared" si="396"/>
        <v>127666423</v>
      </c>
    </row>
    <row r="2958" spans="1:36" s="700" customFormat="1" ht="12.75" customHeight="1">
      <c r="A2958" s="755" t="s">
        <v>207</v>
      </c>
      <c r="B2958" s="755" t="s">
        <v>392</v>
      </c>
      <c r="C2958" s="762" t="s">
        <v>1675</v>
      </c>
      <c r="D2958" s="762"/>
      <c r="E2958" s="973">
        <v>224350</v>
      </c>
      <c r="F2958" s="763">
        <v>8</v>
      </c>
      <c r="G2958" s="1025">
        <v>25580091</v>
      </c>
      <c r="H2958" s="690">
        <v>24802510</v>
      </c>
      <c r="I2958" s="1030"/>
      <c r="J2958" s="690"/>
      <c r="K2958" s="1030">
        <v>41161197</v>
      </c>
      <c r="L2958" s="690">
        <v>44089913</v>
      </c>
      <c r="M2958" s="1025">
        <v>21486490</v>
      </c>
      <c r="N2958" s="1030"/>
      <c r="O2958" s="692">
        <f t="shared" si="389"/>
        <v>21486490</v>
      </c>
      <c r="P2958" s="690">
        <v>22649845</v>
      </c>
      <c r="Q2958" s="690"/>
      <c r="R2958" s="691">
        <f t="shared" si="390"/>
        <v>22649845</v>
      </c>
      <c r="S2958" s="692">
        <f t="shared" si="391"/>
        <v>88227778</v>
      </c>
      <c r="T2958" s="693">
        <f t="shared" si="392"/>
        <v>91542268</v>
      </c>
      <c r="U2958" s="1035"/>
      <c r="V2958" s="690"/>
      <c r="W2958" s="1025"/>
      <c r="X2958" s="1030"/>
      <c r="Y2958" s="694">
        <f t="shared" si="393"/>
        <v>0</v>
      </c>
      <c r="Z2958" s="690"/>
      <c r="AA2958" s="690"/>
      <c r="AB2958" s="695">
        <f t="shared" si="394"/>
        <v>0</v>
      </c>
      <c r="AC2958" s="1035"/>
      <c r="AD2958" s="690"/>
      <c r="AE2958" s="1025"/>
      <c r="AF2958" s="1030"/>
      <c r="AG2958" s="690"/>
      <c r="AH2958" s="690"/>
      <c r="AI2958" s="696">
        <f t="shared" si="395"/>
        <v>88227778</v>
      </c>
      <c r="AJ2958" s="697">
        <f t="shared" si="396"/>
        <v>91542268</v>
      </c>
    </row>
    <row r="2959" spans="1:36" s="700" customFormat="1" ht="12.75" customHeight="1">
      <c r="A2959" s="755" t="s">
        <v>207</v>
      </c>
      <c r="B2959" s="755" t="s">
        <v>392</v>
      </c>
      <c r="C2959" s="979" t="s">
        <v>1676</v>
      </c>
      <c r="D2959" s="979"/>
      <c r="E2959" s="973">
        <v>224572</v>
      </c>
      <c r="F2959" s="763">
        <v>8</v>
      </c>
      <c r="G2959" s="1025"/>
      <c r="H2959" s="690"/>
      <c r="I2959" s="1030"/>
      <c r="J2959" s="690"/>
      <c r="K2959" s="1030"/>
      <c r="L2959" s="690"/>
      <c r="M2959" s="1025"/>
      <c r="N2959" s="1030"/>
      <c r="O2959" s="692">
        <f t="shared" si="389"/>
        <v>0</v>
      </c>
      <c r="P2959" s="690"/>
      <c r="Q2959" s="690"/>
      <c r="R2959" s="691">
        <f t="shared" si="390"/>
        <v>0</v>
      </c>
      <c r="S2959" s="692">
        <f t="shared" si="391"/>
        <v>0</v>
      </c>
      <c r="T2959" s="693">
        <f t="shared" si="392"/>
        <v>0</v>
      </c>
      <c r="U2959" s="1035"/>
      <c r="V2959" s="690"/>
      <c r="W2959" s="1025"/>
      <c r="X2959" s="1030"/>
      <c r="Y2959" s="694">
        <f t="shared" si="393"/>
        <v>0</v>
      </c>
      <c r="Z2959" s="690"/>
      <c r="AA2959" s="690"/>
      <c r="AB2959" s="695">
        <f t="shared" si="394"/>
        <v>0</v>
      </c>
      <c r="AC2959" s="1035"/>
      <c r="AD2959" s="690"/>
      <c r="AE2959" s="1025"/>
      <c r="AF2959" s="1030"/>
      <c r="AG2959" s="690"/>
      <c r="AH2959" s="690"/>
      <c r="AI2959" s="696">
        <f t="shared" si="395"/>
        <v>0</v>
      </c>
      <c r="AJ2959" s="697">
        <f t="shared" si="396"/>
        <v>0</v>
      </c>
    </row>
    <row r="2960" spans="1:36" s="700" customFormat="1" ht="12.75" customHeight="1">
      <c r="A2960" s="755" t="s">
        <v>207</v>
      </c>
      <c r="B2960" s="755" t="s">
        <v>392</v>
      </c>
      <c r="C2960" s="762" t="s">
        <v>1677</v>
      </c>
      <c r="D2960" s="762"/>
      <c r="E2960" s="973">
        <v>224642</v>
      </c>
      <c r="F2960" s="763">
        <v>8</v>
      </c>
      <c r="G2960" s="1025">
        <v>44310860</v>
      </c>
      <c r="H2960" s="690">
        <v>41801834</v>
      </c>
      <c r="I2960" s="1030"/>
      <c r="J2960" s="690"/>
      <c r="K2960" s="1030">
        <v>36182641</v>
      </c>
      <c r="L2960" s="690">
        <v>36967294</v>
      </c>
      <c r="M2960" s="1025">
        <v>37204501</v>
      </c>
      <c r="N2960" s="1030"/>
      <c r="O2960" s="692">
        <f t="shared" si="389"/>
        <v>37204501</v>
      </c>
      <c r="P2960" s="690">
        <v>45841912</v>
      </c>
      <c r="Q2960" s="690"/>
      <c r="R2960" s="691">
        <f t="shared" si="390"/>
        <v>45841912</v>
      </c>
      <c r="S2960" s="692">
        <f t="shared" si="391"/>
        <v>117698002</v>
      </c>
      <c r="T2960" s="693">
        <f t="shared" si="392"/>
        <v>124611040</v>
      </c>
      <c r="U2960" s="1035"/>
      <c r="V2960" s="690"/>
      <c r="W2960" s="1025"/>
      <c r="X2960" s="1030"/>
      <c r="Y2960" s="694">
        <f t="shared" si="393"/>
        <v>0</v>
      </c>
      <c r="Z2960" s="690"/>
      <c r="AA2960" s="690"/>
      <c r="AB2960" s="695">
        <f t="shared" si="394"/>
        <v>0</v>
      </c>
      <c r="AC2960" s="1035"/>
      <c r="AD2960" s="690"/>
      <c r="AE2960" s="1025"/>
      <c r="AF2960" s="1030"/>
      <c r="AG2960" s="690"/>
      <c r="AH2960" s="690"/>
      <c r="AI2960" s="696">
        <f t="shared" si="395"/>
        <v>117698002</v>
      </c>
      <c r="AJ2960" s="697">
        <f t="shared" si="396"/>
        <v>124611040</v>
      </c>
    </row>
    <row r="2961" spans="1:36" s="700" customFormat="1" ht="12.75" customHeight="1">
      <c r="A2961" s="755" t="s">
        <v>207</v>
      </c>
      <c r="B2961" s="755" t="s">
        <v>392</v>
      </c>
      <c r="C2961" s="762" t="s">
        <v>1678</v>
      </c>
      <c r="D2961" s="762"/>
      <c r="E2961" s="973">
        <v>225423</v>
      </c>
      <c r="F2961" s="763">
        <v>8</v>
      </c>
      <c r="G2961" s="1025">
        <v>88774805</v>
      </c>
      <c r="H2961" s="690">
        <v>83252960</v>
      </c>
      <c r="I2961" s="1030"/>
      <c r="J2961" s="690"/>
      <c r="K2961" s="1030">
        <v>108893384</v>
      </c>
      <c r="L2961" s="690">
        <v>119273809</v>
      </c>
      <c r="M2961" s="1025">
        <v>93173791</v>
      </c>
      <c r="N2961" s="1030"/>
      <c r="O2961" s="692">
        <f t="shared" si="389"/>
        <v>93173791</v>
      </c>
      <c r="P2961" s="690">
        <v>105610032</v>
      </c>
      <c r="Q2961" s="690"/>
      <c r="R2961" s="691">
        <f t="shared" si="390"/>
        <v>105610032</v>
      </c>
      <c r="S2961" s="692">
        <f t="shared" si="391"/>
        <v>290841980</v>
      </c>
      <c r="T2961" s="693">
        <f t="shared" si="392"/>
        <v>308136801</v>
      </c>
      <c r="U2961" s="1035"/>
      <c r="V2961" s="690"/>
      <c r="W2961" s="1025"/>
      <c r="X2961" s="1030"/>
      <c r="Y2961" s="694">
        <f t="shared" si="393"/>
        <v>0</v>
      </c>
      <c r="Z2961" s="690"/>
      <c r="AA2961" s="690"/>
      <c r="AB2961" s="695">
        <f t="shared" si="394"/>
        <v>0</v>
      </c>
      <c r="AC2961" s="1035"/>
      <c r="AD2961" s="690"/>
      <c r="AE2961" s="1025"/>
      <c r="AF2961" s="1030"/>
      <c r="AG2961" s="690"/>
      <c r="AH2961" s="690"/>
      <c r="AI2961" s="696">
        <f t="shared" si="395"/>
        <v>290841980</v>
      </c>
      <c r="AJ2961" s="697">
        <f t="shared" si="396"/>
        <v>308136801</v>
      </c>
    </row>
    <row r="2962" spans="1:36" s="700" customFormat="1" ht="12.75" customHeight="1">
      <c r="A2962" s="755" t="s">
        <v>207</v>
      </c>
      <c r="B2962" s="755" t="s">
        <v>392</v>
      </c>
      <c r="C2962" s="762" t="s">
        <v>1679</v>
      </c>
      <c r="D2962" s="762"/>
      <c r="E2962" s="973">
        <v>226134</v>
      </c>
      <c r="F2962" s="763">
        <v>8</v>
      </c>
      <c r="G2962" s="1025">
        <v>17824490</v>
      </c>
      <c r="H2962" s="690">
        <v>17509230</v>
      </c>
      <c r="I2962" s="1030"/>
      <c r="J2962" s="690"/>
      <c r="K2962" s="1030">
        <v>23835144</v>
      </c>
      <c r="L2962" s="690">
        <v>25138309</v>
      </c>
      <c r="M2962" s="1025">
        <v>13300868</v>
      </c>
      <c r="N2962" s="1030"/>
      <c r="O2962" s="692">
        <f t="shared" si="389"/>
        <v>13300868</v>
      </c>
      <c r="P2962" s="690">
        <v>15310717</v>
      </c>
      <c r="Q2962" s="690"/>
      <c r="R2962" s="691">
        <f t="shared" si="390"/>
        <v>15310717</v>
      </c>
      <c r="S2962" s="692">
        <f t="shared" si="391"/>
        <v>54960502</v>
      </c>
      <c r="T2962" s="693">
        <f t="shared" si="392"/>
        <v>57958256</v>
      </c>
      <c r="U2962" s="1035"/>
      <c r="V2962" s="690"/>
      <c r="W2962" s="1025"/>
      <c r="X2962" s="1030"/>
      <c r="Y2962" s="694">
        <f t="shared" si="393"/>
        <v>0</v>
      </c>
      <c r="Z2962" s="690"/>
      <c r="AA2962" s="690"/>
      <c r="AB2962" s="695">
        <f t="shared" si="394"/>
        <v>0</v>
      </c>
      <c r="AC2962" s="1035"/>
      <c r="AD2962" s="690"/>
      <c r="AE2962" s="1025"/>
      <c r="AF2962" s="1030"/>
      <c r="AG2962" s="690"/>
      <c r="AH2962" s="690"/>
      <c r="AI2962" s="696">
        <f t="shared" si="395"/>
        <v>54960502</v>
      </c>
      <c r="AJ2962" s="697">
        <f t="shared" si="396"/>
        <v>57958256</v>
      </c>
    </row>
    <row r="2963" spans="1:36" s="700" customFormat="1" ht="12.75" customHeight="1">
      <c r="A2963" s="755" t="s">
        <v>207</v>
      </c>
      <c r="B2963" s="755" t="s">
        <v>392</v>
      </c>
      <c r="C2963" s="762" t="s">
        <v>1680</v>
      </c>
      <c r="D2963" s="762"/>
      <c r="E2963" s="973">
        <v>226578</v>
      </c>
      <c r="F2963" s="763">
        <v>8</v>
      </c>
      <c r="G2963" s="1025">
        <v>18283311</v>
      </c>
      <c r="H2963" s="690">
        <v>17703539</v>
      </c>
      <c r="I2963" s="1030"/>
      <c r="J2963" s="690"/>
      <c r="K2963" s="1030">
        <v>16221832</v>
      </c>
      <c r="L2963" s="690">
        <v>17224631</v>
      </c>
      <c r="M2963" s="1025">
        <v>15381150</v>
      </c>
      <c r="N2963" s="1030"/>
      <c r="O2963" s="692">
        <f t="shared" si="389"/>
        <v>15381150</v>
      </c>
      <c r="P2963" s="690">
        <v>19866254</v>
      </c>
      <c r="Q2963" s="690"/>
      <c r="R2963" s="691">
        <f t="shared" si="390"/>
        <v>19866254</v>
      </c>
      <c r="S2963" s="692">
        <f t="shared" si="391"/>
        <v>49886293</v>
      </c>
      <c r="T2963" s="693">
        <f t="shared" si="392"/>
        <v>54794424</v>
      </c>
      <c r="U2963" s="1035"/>
      <c r="V2963" s="690"/>
      <c r="W2963" s="1025"/>
      <c r="X2963" s="1030"/>
      <c r="Y2963" s="694">
        <f t="shared" si="393"/>
        <v>0</v>
      </c>
      <c r="Z2963" s="690"/>
      <c r="AA2963" s="690"/>
      <c r="AB2963" s="695">
        <f t="shared" si="394"/>
        <v>0</v>
      </c>
      <c r="AC2963" s="1035"/>
      <c r="AD2963" s="690"/>
      <c r="AE2963" s="1025"/>
      <c r="AF2963" s="1030"/>
      <c r="AG2963" s="690"/>
      <c r="AH2963" s="690"/>
      <c r="AI2963" s="696">
        <f t="shared" si="395"/>
        <v>49886293</v>
      </c>
      <c r="AJ2963" s="697">
        <f t="shared" si="396"/>
        <v>54794424</v>
      </c>
    </row>
    <row r="2964" spans="1:36" s="700" customFormat="1" ht="12.75" customHeight="1">
      <c r="A2964" s="755" t="s">
        <v>207</v>
      </c>
      <c r="B2964" s="755" t="s">
        <v>392</v>
      </c>
      <c r="C2964" s="762" t="s">
        <v>1681</v>
      </c>
      <c r="D2964" s="762"/>
      <c r="E2964" s="973">
        <v>227146</v>
      </c>
      <c r="F2964" s="763">
        <v>8</v>
      </c>
      <c r="G2964" s="1025">
        <v>17522260</v>
      </c>
      <c r="H2964" s="690">
        <v>16201779</v>
      </c>
      <c r="I2964" s="1030"/>
      <c r="J2964" s="690"/>
      <c r="K2964" s="1030">
        <v>2888595</v>
      </c>
      <c r="L2964" s="690">
        <v>2988424</v>
      </c>
      <c r="M2964" s="1025">
        <v>15022963</v>
      </c>
      <c r="N2964" s="1030"/>
      <c r="O2964" s="692">
        <f t="shared" si="389"/>
        <v>15022963</v>
      </c>
      <c r="P2964" s="690">
        <v>18067553</v>
      </c>
      <c r="Q2964" s="690"/>
      <c r="R2964" s="691">
        <f t="shared" si="390"/>
        <v>18067553</v>
      </c>
      <c r="S2964" s="692">
        <f t="shared" si="391"/>
        <v>35433818</v>
      </c>
      <c r="T2964" s="693">
        <f t="shared" si="392"/>
        <v>37257756</v>
      </c>
      <c r="U2964" s="1035"/>
      <c r="V2964" s="690"/>
      <c r="W2964" s="1025"/>
      <c r="X2964" s="1030"/>
      <c r="Y2964" s="694">
        <f t="shared" si="393"/>
        <v>0</v>
      </c>
      <c r="Z2964" s="690"/>
      <c r="AA2964" s="690"/>
      <c r="AB2964" s="695">
        <f t="shared" si="394"/>
        <v>0</v>
      </c>
      <c r="AC2964" s="1035"/>
      <c r="AD2964" s="690"/>
      <c r="AE2964" s="1025"/>
      <c r="AF2964" s="1030"/>
      <c r="AG2964" s="690"/>
      <c r="AH2964" s="690"/>
      <c r="AI2964" s="696">
        <f t="shared" si="395"/>
        <v>35433818</v>
      </c>
      <c r="AJ2964" s="697">
        <f t="shared" si="396"/>
        <v>37257756</v>
      </c>
    </row>
    <row r="2965" spans="1:36" s="700" customFormat="1" ht="12.75" customHeight="1">
      <c r="A2965" s="755" t="s">
        <v>207</v>
      </c>
      <c r="B2965" s="755" t="s">
        <v>392</v>
      </c>
      <c r="C2965" s="893" t="s">
        <v>1682</v>
      </c>
      <c r="D2965" s="893"/>
      <c r="E2965" s="894">
        <v>227182</v>
      </c>
      <c r="F2965" s="758">
        <v>8</v>
      </c>
      <c r="G2965" s="1025">
        <v>77904728</v>
      </c>
      <c r="H2965" s="690">
        <v>72265539</v>
      </c>
      <c r="I2965" s="1030"/>
      <c r="J2965" s="690"/>
      <c r="K2965" s="1030">
        <v>126252787</v>
      </c>
      <c r="L2965" s="690">
        <v>128831580</v>
      </c>
      <c r="M2965" s="1025">
        <v>56110631</v>
      </c>
      <c r="N2965" s="1030"/>
      <c r="O2965" s="692">
        <f t="shared" si="389"/>
        <v>56110631</v>
      </c>
      <c r="P2965" s="690">
        <v>70961007</v>
      </c>
      <c r="Q2965" s="690"/>
      <c r="R2965" s="691">
        <f t="shared" si="390"/>
        <v>70961007</v>
      </c>
      <c r="S2965" s="692">
        <f t="shared" si="391"/>
        <v>260268146</v>
      </c>
      <c r="T2965" s="693">
        <f t="shared" si="392"/>
        <v>272058126</v>
      </c>
      <c r="U2965" s="1035"/>
      <c r="V2965" s="690"/>
      <c r="W2965" s="1025"/>
      <c r="X2965" s="1030"/>
      <c r="Y2965" s="694">
        <f t="shared" si="393"/>
        <v>0</v>
      </c>
      <c r="Z2965" s="690"/>
      <c r="AA2965" s="690"/>
      <c r="AB2965" s="695">
        <f t="shared" si="394"/>
        <v>0</v>
      </c>
      <c r="AC2965" s="1035"/>
      <c r="AD2965" s="690"/>
      <c r="AE2965" s="1025"/>
      <c r="AF2965" s="1030"/>
      <c r="AG2965" s="690"/>
      <c r="AH2965" s="690"/>
      <c r="AI2965" s="696">
        <f t="shared" si="395"/>
        <v>260268146</v>
      </c>
      <c r="AJ2965" s="697">
        <f t="shared" si="396"/>
        <v>272058126</v>
      </c>
    </row>
    <row r="2966" spans="1:36" s="700" customFormat="1" ht="12.75" customHeight="1">
      <c r="A2966" s="755" t="s">
        <v>207</v>
      </c>
      <c r="B2966" s="755" t="s">
        <v>392</v>
      </c>
      <c r="C2966" s="979" t="s">
        <v>1683</v>
      </c>
      <c r="D2966" s="979"/>
      <c r="E2966" s="973">
        <v>227191</v>
      </c>
      <c r="F2966" s="763">
        <v>8</v>
      </c>
      <c r="G2966" s="1025"/>
      <c r="H2966" s="690"/>
      <c r="I2966" s="1030"/>
      <c r="J2966" s="690"/>
      <c r="K2966" s="1030"/>
      <c r="L2966" s="690"/>
      <c r="M2966" s="1025"/>
      <c r="N2966" s="1030"/>
      <c r="O2966" s="692">
        <f t="shared" si="389"/>
        <v>0</v>
      </c>
      <c r="P2966" s="690"/>
      <c r="Q2966" s="690"/>
      <c r="R2966" s="691">
        <f t="shared" si="390"/>
        <v>0</v>
      </c>
      <c r="S2966" s="692">
        <f t="shared" si="391"/>
        <v>0</v>
      </c>
      <c r="T2966" s="693">
        <f t="shared" si="392"/>
        <v>0</v>
      </c>
      <c r="U2966" s="1035"/>
      <c r="V2966" s="690"/>
      <c r="W2966" s="1025"/>
      <c r="X2966" s="1030"/>
      <c r="Y2966" s="694">
        <f t="shared" si="393"/>
        <v>0</v>
      </c>
      <c r="Z2966" s="690"/>
      <c r="AA2966" s="690"/>
      <c r="AB2966" s="695">
        <f t="shared" si="394"/>
        <v>0</v>
      </c>
      <c r="AC2966" s="1035"/>
      <c r="AD2966" s="690"/>
      <c r="AE2966" s="1025"/>
      <c r="AF2966" s="1030"/>
      <c r="AG2966" s="690"/>
      <c r="AH2966" s="690"/>
      <c r="AI2966" s="696">
        <f t="shared" si="395"/>
        <v>0</v>
      </c>
      <c r="AJ2966" s="697">
        <f t="shared" si="396"/>
        <v>0</v>
      </c>
    </row>
    <row r="2967" spans="1:36" s="700" customFormat="1" ht="12.75" customHeight="1">
      <c r="A2967" s="755" t="s">
        <v>207</v>
      </c>
      <c r="B2967" s="755" t="s">
        <v>392</v>
      </c>
      <c r="C2967" s="980" t="s">
        <v>1684</v>
      </c>
      <c r="D2967" s="980"/>
      <c r="E2967" s="973">
        <v>420398</v>
      </c>
      <c r="F2967" s="763">
        <v>8</v>
      </c>
      <c r="G2967" s="1025"/>
      <c r="H2967" s="690"/>
      <c r="I2967" s="1030"/>
      <c r="J2967" s="690"/>
      <c r="K2967" s="1030"/>
      <c r="L2967" s="690"/>
      <c r="M2967" s="1025"/>
      <c r="N2967" s="1030"/>
      <c r="O2967" s="692">
        <f t="shared" si="389"/>
        <v>0</v>
      </c>
      <c r="P2967" s="690"/>
      <c r="Q2967" s="690"/>
      <c r="R2967" s="691">
        <f t="shared" si="390"/>
        <v>0</v>
      </c>
      <c r="S2967" s="692">
        <f t="shared" si="391"/>
        <v>0</v>
      </c>
      <c r="T2967" s="693">
        <f t="shared" si="392"/>
        <v>0</v>
      </c>
      <c r="U2967" s="1035"/>
      <c r="V2967" s="690"/>
      <c r="W2967" s="1025"/>
      <c r="X2967" s="1030"/>
      <c r="Y2967" s="694">
        <f t="shared" si="393"/>
        <v>0</v>
      </c>
      <c r="Z2967" s="690"/>
      <c r="AA2967" s="690"/>
      <c r="AB2967" s="695">
        <f t="shared" si="394"/>
        <v>0</v>
      </c>
      <c r="AC2967" s="1035"/>
      <c r="AD2967" s="690"/>
      <c r="AE2967" s="1025"/>
      <c r="AF2967" s="1030"/>
      <c r="AG2967" s="690"/>
      <c r="AH2967" s="690"/>
      <c r="AI2967" s="696">
        <f t="shared" si="395"/>
        <v>0</v>
      </c>
      <c r="AJ2967" s="697">
        <f t="shared" si="396"/>
        <v>0</v>
      </c>
    </row>
    <row r="2968" spans="1:36" s="700" customFormat="1" ht="12.75" customHeight="1">
      <c r="A2968" s="755" t="s">
        <v>207</v>
      </c>
      <c r="B2968" s="755" t="s">
        <v>392</v>
      </c>
      <c r="C2968" s="980" t="s">
        <v>1685</v>
      </c>
      <c r="D2968" s="980"/>
      <c r="E2968" s="973">
        <v>246354</v>
      </c>
      <c r="F2968" s="763">
        <v>8</v>
      </c>
      <c r="G2968" s="1025"/>
      <c r="H2968" s="690"/>
      <c r="I2968" s="1030"/>
      <c r="J2968" s="690"/>
      <c r="K2968" s="1030"/>
      <c r="L2968" s="690"/>
      <c r="M2968" s="1025"/>
      <c r="N2968" s="1030"/>
      <c r="O2968" s="692">
        <f t="shared" si="389"/>
        <v>0</v>
      </c>
      <c r="P2968" s="690"/>
      <c r="Q2968" s="690"/>
      <c r="R2968" s="691">
        <f t="shared" si="390"/>
        <v>0</v>
      </c>
      <c r="S2968" s="692">
        <f t="shared" si="391"/>
        <v>0</v>
      </c>
      <c r="T2968" s="693">
        <f t="shared" si="392"/>
        <v>0</v>
      </c>
      <c r="U2968" s="1035"/>
      <c r="V2968" s="690"/>
      <c r="W2968" s="1025"/>
      <c r="X2968" s="1030"/>
      <c r="Y2968" s="694">
        <f t="shared" si="393"/>
        <v>0</v>
      </c>
      <c r="Z2968" s="690"/>
      <c r="AA2968" s="690"/>
      <c r="AB2968" s="695">
        <f t="shared" si="394"/>
        <v>0</v>
      </c>
      <c r="AC2968" s="1035"/>
      <c r="AD2968" s="690"/>
      <c r="AE2968" s="1025"/>
      <c r="AF2968" s="1030"/>
      <c r="AG2968" s="690"/>
      <c r="AH2968" s="690"/>
      <c r="AI2968" s="696">
        <f t="shared" si="395"/>
        <v>0</v>
      </c>
      <c r="AJ2968" s="697">
        <f t="shared" si="396"/>
        <v>0</v>
      </c>
    </row>
    <row r="2969" spans="1:36" s="700" customFormat="1" ht="12.75" customHeight="1">
      <c r="A2969" s="755" t="s">
        <v>207</v>
      </c>
      <c r="B2969" s="755" t="s">
        <v>392</v>
      </c>
      <c r="C2969" s="979" t="s">
        <v>1686</v>
      </c>
      <c r="D2969" s="979"/>
      <c r="E2969" s="973">
        <v>227766</v>
      </c>
      <c r="F2969" s="763">
        <v>8</v>
      </c>
      <c r="G2969" s="1025"/>
      <c r="H2969" s="690"/>
      <c r="I2969" s="1030"/>
      <c r="J2969" s="690"/>
      <c r="K2969" s="1030"/>
      <c r="L2969" s="690"/>
      <c r="M2969" s="1025"/>
      <c r="N2969" s="1030"/>
      <c r="O2969" s="692">
        <f t="shared" si="389"/>
        <v>0</v>
      </c>
      <c r="P2969" s="690"/>
      <c r="Q2969" s="690"/>
      <c r="R2969" s="691">
        <f t="shared" si="390"/>
        <v>0</v>
      </c>
      <c r="S2969" s="692">
        <f t="shared" si="391"/>
        <v>0</v>
      </c>
      <c r="T2969" s="693">
        <f t="shared" si="392"/>
        <v>0</v>
      </c>
      <c r="U2969" s="1035"/>
      <c r="V2969" s="690"/>
      <c r="W2969" s="1025"/>
      <c r="X2969" s="1030"/>
      <c r="Y2969" s="694">
        <f t="shared" si="393"/>
        <v>0</v>
      </c>
      <c r="Z2969" s="690"/>
      <c r="AA2969" s="690"/>
      <c r="AB2969" s="695">
        <f t="shared" si="394"/>
        <v>0</v>
      </c>
      <c r="AC2969" s="1035"/>
      <c r="AD2969" s="690"/>
      <c r="AE2969" s="1025"/>
      <c r="AF2969" s="1030"/>
      <c r="AG2969" s="690"/>
      <c r="AH2969" s="690"/>
      <c r="AI2969" s="696">
        <f t="shared" si="395"/>
        <v>0</v>
      </c>
      <c r="AJ2969" s="697">
        <f t="shared" si="396"/>
        <v>0</v>
      </c>
    </row>
    <row r="2970" spans="1:36" s="700" customFormat="1" ht="12.75" customHeight="1">
      <c r="A2970" s="755" t="s">
        <v>207</v>
      </c>
      <c r="B2970" s="755" t="s">
        <v>392</v>
      </c>
      <c r="C2970" s="980" t="s">
        <v>1687</v>
      </c>
      <c r="D2970" s="980"/>
      <c r="E2970" s="973">
        <v>227924</v>
      </c>
      <c r="F2970" s="763">
        <v>8</v>
      </c>
      <c r="G2970" s="1025"/>
      <c r="H2970" s="690"/>
      <c r="I2970" s="1030"/>
      <c r="J2970" s="690"/>
      <c r="K2970" s="1030"/>
      <c r="L2970" s="690"/>
      <c r="M2970" s="1025"/>
      <c r="N2970" s="1030"/>
      <c r="O2970" s="692">
        <f t="shared" si="389"/>
        <v>0</v>
      </c>
      <c r="P2970" s="690"/>
      <c r="Q2970" s="690"/>
      <c r="R2970" s="691">
        <f t="shared" si="390"/>
        <v>0</v>
      </c>
      <c r="S2970" s="692">
        <f t="shared" si="391"/>
        <v>0</v>
      </c>
      <c r="T2970" s="693">
        <f t="shared" si="392"/>
        <v>0</v>
      </c>
      <c r="U2970" s="1035"/>
      <c r="V2970" s="690"/>
      <c r="W2970" s="1025"/>
      <c r="X2970" s="1030"/>
      <c r="Y2970" s="694">
        <f t="shared" si="393"/>
        <v>0</v>
      </c>
      <c r="Z2970" s="690"/>
      <c r="AA2970" s="690"/>
      <c r="AB2970" s="695">
        <f t="shared" si="394"/>
        <v>0</v>
      </c>
      <c r="AC2970" s="1035"/>
      <c r="AD2970" s="690"/>
      <c r="AE2970" s="1025"/>
      <c r="AF2970" s="1030"/>
      <c r="AG2970" s="690"/>
      <c r="AH2970" s="690"/>
      <c r="AI2970" s="696">
        <f t="shared" si="395"/>
        <v>0</v>
      </c>
      <c r="AJ2970" s="697">
        <f t="shared" si="396"/>
        <v>0</v>
      </c>
    </row>
    <row r="2971" spans="1:36" s="700" customFormat="1" ht="12.75" customHeight="1">
      <c r="A2971" s="755" t="s">
        <v>207</v>
      </c>
      <c r="B2971" s="755" t="s">
        <v>392</v>
      </c>
      <c r="C2971" s="762" t="s">
        <v>1688</v>
      </c>
      <c r="D2971" s="762"/>
      <c r="E2971" s="973">
        <v>227979</v>
      </c>
      <c r="F2971" s="763">
        <v>8</v>
      </c>
      <c r="G2971" s="1025">
        <v>50186812</v>
      </c>
      <c r="H2971" s="690">
        <v>47813960</v>
      </c>
      <c r="I2971" s="1030"/>
      <c r="J2971" s="690"/>
      <c r="K2971" s="1030">
        <v>64659498</v>
      </c>
      <c r="L2971" s="690">
        <v>67377088</v>
      </c>
      <c r="M2971" s="1025">
        <v>39715965</v>
      </c>
      <c r="N2971" s="1030"/>
      <c r="O2971" s="692">
        <f t="shared" si="389"/>
        <v>39715965</v>
      </c>
      <c r="P2971" s="690">
        <v>43807352</v>
      </c>
      <c r="Q2971" s="690"/>
      <c r="R2971" s="691">
        <f t="shared" si="390"/>
        <v>43807352</v>
      </c>
      <c r="S2971" s="692">
        <f t="shared" si="391"/>
        <v>154562275</v>
      </c>
      <c r="T2971" s="693">
        <f t="shared" si="392"/>
        <v>158998400</v>
      </c>
      <c r="U2971" s="1035"/>
      <c r="V2971" s="690"/>
      <c r="W2971" s="1025"/>
      <c r="X2971" s="1030"/>
      <c r="Y2971" s="694">
        <f t="shared" si="393"/>
        <v>0</v>
      </c>
      <c r="Z2971" s="690"/>
      <c r="AA2971" s="690"/>
      <c r="AB2971" s="695">
        <f t="shared" si="394"/>
        <v>0</v>
      </c>
      <c r="AC2971" s="1035"/>
      <c r="AD2971" s="690"/>
      <c r="AE2971" s="1025"/>
      <c r="AF2971" s="1030"/>
      <c r="AG2971" s="690"/>
      <c r="AH2971" s="690"/>
      <c r="AI2971" s="696">
        <f t="shared" si="395"/>
        <v>154562275</v>
      </c>
      <c r="AJ2971" s="697">
        <f t="shared" si="396"/>
        <v>158998400</v>
      </c>
    </row>
    <row r="2972" spans="1:36" s="700" customFormat="1" ht="12.75" customHeight="1">
      <c r="A2972" s="755" t="s">
        <v>207</v>
      </c>
      <c r="B2972" s="755" t="s">
        <v>392</v>
      </c>
      <c r="C2972" s="762" t="s">
        <v>1689</v>
      </c>
      <c r="D2972" s="762"/>
      <c r="E2972" s="973">
        <v>228158</v>
      </c>
      <c r="F2972" s="763">
        <v>8</v>
      </c>
      <c r="G2972" s="1025">
        <v>19946251</v>
      </c>
      <c r="H2972" s="690">
        <v>19977546</v>
      </c>
      <c r="I2972" s="1030"/>
      <c r="J2972" s="690"/>
      <c r="K2972" s="1030">
        <v>9543114</v>
      </c>
      <c r="L2972" s="690">
        <v>9551046</v>
      </c>
      <c r="M2972" s="1025">
        <v>19464218</v>
      </c>
      <c r="N2972" s="1030"/>
      <c r="O2972" s="692">
        <f t="shared" si="389"/>
        <v>19464218</v>
      </c>
      <c r="P2972" s="690">
        <v>21715610</v>
      </c>
      <c r="Q2972" s="690"/>
      <c r="R2972" s="691">
        <f t="shared" si="390"/>
        <v>21715610</v>
      </c>
      <c r="S2972" s="692">
        <f t="shared" si="391"/>
        <v>48953583</v>
      </c>
      <c r="T2972" s="693">
        <f t="shared" si="392"/>
        <v>51244202</v>
      </c>
      <c r="U2972" s="1035"/>
      <c r="V2972" s="690"/>
      <c r="W2972" s="1025"/>
      <c r="X2972" s="1030"/>
      <c r="Y2972" s="694">
        <f t="shared" si="393"/>
        <v>0</v>
      </c>
      <c r="Z2972" s="690"/>
      <c r="AA2972" s="690"/>
      <c r="AB2972" s="695">
        <f t="shared" si="394"/>
        <v>0</v>
      </c>
      <c r="AC2972" s="1035"/>
      <c r="AD2972" s="690"/>
      <c r="AE2972" s="1025"/>
      <c r="AF2972" s="1030"/>
      <c r="AG2972" s="690"/>
      <c r="AH2972" s="690"/>
      <c r="AI2972" s="696">
        <f t="shared" si="395"/>
        <v>48953583</v>
      </c>
      <c r="AJ2972" s="697">
        <f t="shared" si="396"/>
        <v>51244202</v>
      </c>
    </row>
    <row r="2973" spans="1:36" s="700" customFormat="1" ht="12.75" customHeight="1">
      <c r="A2973" s="755" t="s">
        <v>207</v>
      </c>
      <c r="B2973" s="755" t="s">
        <v>392</v>
      </c>
      <c r="C2973" s="980" t="s">
        <v>1690</v>
      </c>
      <c r="D2973" s="980"/>
      <c r="E2973" s="973">
        <v>227854</v>
      </c>
      <c r="F2973" s="763">
        <v>8</v>
      </c>
      <c r="G2973" s="1025"/>
      <c r="H2973" s="690"/>
      <c r="I2973" s="1030"/>
      <c r="J2973" s="690"/>
      <c r="K2973" s="1030"/>
      <c r="L2973" s="690"/>
      <c r="M2973" s="1025"/>
      <c r="N2973" s="1030"/>
      <c r="O2973" s="692">
        <f t="shared" si="389"/>
        <v>0</v>
      </c>
      <c r="P2973" s="690"/>
      <c r="Q2973" s="690"/>
      <c r="R2973" s="691">
        <f t="shared" si="390"/>
        <v>0</v>
      </c>
      <c r="S2973" s="692">
        <f t="shared" si="391"/>
        <v>0</v>
      </c>
      <c r="T2973" s="693">
        <f t="shared" si="392"/>
        <v>0</v>
      </c>
      <c r="U2973" s="1035"/>
      <c r="V2973" s="690"/>
      <c r="W2973" s="1025"/>
      <c r="X2973" s="1030"/>
      <c r="Y2973" s="694">
        <f t="shared" si="393"/>
        <v>0</v>
      </c>
      <c r="Z2973" s="690"/>
      <c r="AA2973" s="690"/>
      <c r="AB2973" s="695">
        <f t="shared" si="394"/>
        <v>0</v>
      </c>
      <c r="AC2973" s="1035"/>
      <c r="AD2973" s="690"/>
      <c r="AE2973" s="1025"/>
      <c r="AF2973" s="1030"/>
      <c r="AG2973" s="690"/>
      <c r="AH2973" s="690"/>
      <c r="AI2973" s="696">
        <f t="shared" si="395"/>
        <v>0</v>
      </c>
      <c r="AJ2973" s="697">
        <f t="shared" si="396"/>
        <v>0</v>
      </c>
    </row>
    <row r="2974" spans="1:36" s="700" customFormat="1" ht="12.75" customHeight="1">
      <c r="A2974" s="755" t="s">
        <v>207</v>
      </c>
      <c r="B2974" s="755" t="s">
        <v>392</v>
      </c>
      <c r="C2974" s="762" t="s">
        <v>1691</v>
      </c>
      <c r="D2974" s="762"/>
      <c r="E2974" s="973">
        <v>228547</v>
      </c>
      <c r="F2974" s="763">
        <v>8</v>
      </c>
      <c r="G2974" s="1025">
        <v>68640372</v>
      </c>
      <c r="H2974" s="690">
        <v>65038575</v>
      </c>
      <c r="I2974" s="1030"/>
      <c r="J2974" s="690"/>
      <c r="K2974" s="1030">
        <v>171684364</v>
      </c>
      <c r="L2974" s="690">
        <v>170989124</v>
      </c>
      <c r="M2974" s="1025">
        <v>48397051</v>
      </c>
      <c r="N2974" s="1030"/>
      <c r="O2974" s="692">
        <f t="shared" si="389"/>
        <v>48397051</v>
      </c>
      <c r="P2974" s="690">
        <v>56566509</v>
      </c>
      <c r="Q2974" s="690"/>
      <c r="R2974" s="691">
        <f t="shared" si="390"/>
        <v>56566509</v>
      </c>
      <c r="S2974" s="692">
        <f t="shared" si="391"/>
        <v>288721787</v>
      </c>
      <c r="T2974" s="693">
        <f t="shared" si="392"/>
        <v>292594208</v>
      </c>
      <c r="U2974" s="1035"/>
      <c r="V2974" s="690"/>
      <c r="W2974" s="1025"/>
      <c r="X2974" s="1030"/>
      <c r="Y2974" s="694">
        <f t="shared" si="393"/>
        <v>0</v>
      </c>
      <c r="Z2974" s="690"/>
      <c r="AA2974" s="690"/>
      <c r="AB2974" s="695">
        <f t="shared" si="394"/>
        <v>0</v>
      </c>
      <c r="AC2974" s="1035"/>
      <c r="AD2974" s="690"/>
      <c r="AE2974" s="1025"/>
      <c r="AF2974" s="1030"/>
      <c r="AG2974" s="690"/>
      <c r="AH2974" s="690"/>
      <c r="AI2974" s="696">
        <f t="shared" si="395"/>
        <v>288721787</v>
      </c>
      <c r="AJ2974" s="697">
        <f t="shared" si="396"/>
        <v>292594208</v>
      </c>
    </row>
    <row r="2975" spans="1:36" s="700" customFormat="1" ht="12.75" customHeight="1">
      <c r="A2975" s="755" t="s">
        <v>207</v>
      </c>
      <c r="B2975" s="755" t="s">
        <v>392</v>
      </c>
      <c r="C2975" s="762" t="s">
        <v>1692</v>
      </c>
      <c r="D2975" s="762"/>
      <c r="E2975" s="973">
        <v>229072</v>
      </c>
      <c r="F2975" s="763">
        <v>8</v>
      </c>
      <c r="G2975" s="1025">
        <v>16521555</v>
      </c>
      <c r="H2975" s="690">
        <v>12245590</v>
      </c>
      <c r="I2975" s="1030"/>
      <c r="J2975" s="690"/>
      <c r="K2975" s="1030">
        <v>16480318</v>
      </c>
      <c r="L2975" s="690">
        <v>16480318</v>
      </c>
      <c r="M2975" s="1025">
        <v>31654709</v>
      </c>
      <c r="N2975" s="1030"/>
      <c r="O2975" s="692">
        <f t="shared" si="389"/>
        <v>31654709</v>
      </c>
      <c r="P2975" s="690">
        <v>31654709</v>
      </c>
      <c r="Q2975" s="690"/>
      <c r="R2975" s="691">
        <f t="shared" si="390"/>
        <v>31654709</v>
      </c>
      <c r="S2975" s="692">
        <f t="shared" si="391"/>
        <v>64656582</v>
      </c>
      <c r="T2975" s="693">
        <f t="shared" si="392"/>
        <v>60380617</v>
      </c>
      <c r="U2975" s="1035"/>
      <c r="V2975" s="690"/>
      <c r="W2975" s="1025"/>
      <c r="X2975" s="1030"/>
      <c r="Y2975" s="694">
        <f t="shared" si="393"/>
        <v>0</v>
      </c>
      <c r="Z2975" s="690"/>
      <c r="AA2975" s="690"/>
      <c r="AB2975" s="695">
        <f t="shared" si="394"/>
        <v>0</v>
      </c>
      <c r="AC2975" s="1035"/>
      <c r="AD2975" s="690"/>
      <c r="AE2975" s="1025"/>
      <c r="AF2975" s="1030"/>
      <c r="AG2975" s="690"/>
      <c r="AH2975" s="690"/>
      <c r="AI2975" s="696">
        <f t="shared" si="395"/>
        <v>64656582</v>
      </c>
      <c r="AJ2975" s="697">
        <f t="shared" si="396"/>
        <v>60380617</v>
      </c>
    </row>
    <row r="2976" spans="1:36" s="700" customFormat="1" ht="12.75" customHeight="1">
      <c r="A2976" s="755" t="s">
        <v>207</v>
      </c>
      <c r="B2976" s="755" t="s">
        <v>392</v>
      </c>
      <c r="C2976" s="762" t="s">
        <v>1693</v>
      </c>
      <c r="D2976" s="762"/>
      <c r="E2976" s="973">
        <v>229355</v>
      </c>
      <c r="F2976" s="763">
        <v>8</v>
      </c>
      <c r="G2976" s="1025">
        <v>22230335</v>
      </c>
      <c r="H2976" s="690">
        <v>20717557</v>
      </c>
      <c r="I2976" s="1030"/>
      <c r="J2976" s="690"/>
      <c r="K2976" s="1030">
        <v>13062824</v>
      </c>
      <c r="L2976" s="690">
        <v>14638019</v>
      </c>
      <c r="M2976" s="1025">
        <v>21577170</v>
      </c>
      <c r="N2976" s="1030"/>
      <c r="O2976" s="692">
        <f t="shared" si="389"/>
        <v>21577170</v>
      </c>
      <c r="P2976" s="690">
        <v>27201988</v>
      </c>
      <c r="Q2976" s="690"/>
      <c r="R2976" s="691">
        <f t="shared" si="390"/>
        <v>27201988</v>
      </c>
      <c r="S2976" s="692">
        <f t="shared" si="391"/>
        <v>56870329</v>
      </c>
      <c r="T2976" s="693">
        <f t="shared" si="392"/>
        <v>62557564</v>
      </c>
      <c r="U2976" s="1035"/>
      <c r="V2976" s="690"/>
      <c r="W2976" s="1025"/>
      <c r="X2976" s="1030"/>
      <c r="Y2976" s="694">
        <f t="shared" si="393"/>
        <v>0</v>
      </c>
      <c r="Z2976" s="690"/>
      <c r="AA2976" s="690"/>
      <c r="AB2976" s="695">
        <f t="shared" si="394"/>
        <v>0</v>
      </c>
      <c r="AC2976" s="1035"/>
      <c r="AD2976" s="690"/>
      <c r="AE2976" s="1025"/>
      <c r="AF2976" s="1030"/>
      <c r="AG2976" s="690"/>
      <c r="AH2976" s="690"/>
      <c r="AI2976" s="696">
        <f t="shared" si="395"/>
        <v>56870329</v>
      </c>
      <c r="AJ2976" s="697">
        <f t="shared" si="396"/>
        <v>62557564</v>
      </c>
    </row>
    <row r="2977" spans="1:36" s="700" customFormat="1" ht="12.75" customHeight="1">
      <c r="A2977" s="755" t="s">
        <v>207</v>
      </c>
      <c r="B2977" s="755" t="s">
        <v>392</v>
      </c>
      <c r="C2977" s="762" t="s">
        <v>1694</v>
      </c>
      <c r="D2977" s="762"/>
      <c r="E2977" s="973">
        <v>222567</v>
      </c>
      <c r="F2977" s="763">
        <v>9</v>
      </c>
      <c r="G2977" s="1025">
        <v>10971147</v>
      </c>
      <c r="H2977" s="690">
        <v>10477794</v>
      </c>
      <c r="I2977" s="1030"/>
      <c r="J2977" s="690"/>
      <c r="K2977" s="1030">
        <v>11830389</v>
      </c>
      <c r="L2977" s="690">
        <v>11880866</v>
      </c>
      <c r="M2977" s="1025">
        <v>7719060</v>
      </c>
      <c r="N2977" s="1030"/>
      <c r="O2977" s="692">
        <f t="shared" si="389"/>
        <v>7719060</v>
      </c>
      <c r="P2977" s="690">
        <v>9325016</v>
      </c>
      <c r="Q2977" s="690"/>
      <c r="R2977" s="691">
        <f t="shared" si="390"/>
        <v>9325016</v>
      </c>
      <c r="S2977" s="692">
        <f t="shared" si="391"/>
        <v>30520596</v>
      </c>
      <c r="T2977" s="693">
        <f t="shared" si="392"/>
        <v>31683676</v>
      </c>
      <c r="U2977" s="1035"/>
      <c r="V2977" s="690"/>
      <c r="W2977" s="1025"/>
      <c r="X2977" s="1030"/>
      <c r="Y2977" s="694">
        <f t="shared" si="393"/>
        <v>0</v>
      </c>
      <c r="Z2977" s="690"/>
      <c r="AA2977" s="690"/>
      <c r="AB2977" s="695">
        <f t="shared" si="394"/>
        <v>0</v>
      </c>
      <c r="AC2977" s="1035"/>
      <c r="AD2977" s="690"/>
      <c r="AE2977" s="1025"/>
      <c r="AF2977" s="1030"/>
      <c r="AG2977" s="690"/>
      <c r="AH2977" s="690"/>
      <c r="AI2977" s="696">
        <f t="shared" si="395"/>
        <v>30520596</v>
      </c>
      <c r="AJ2977" s="697">
        <f t="shared" si="396"/>
        <v>31683676</v>
      </c>
    </row>
    <row r="2978" spans="1:36" s="700" customFormat="1" ht="12.75" customHeight="1">
      <c r="A2978" s="755" t="s">
        <v>207</v>
      </c>
      <c r="B2978" s="755" t="s">
        <v>392</v>
      </c>
      <c r="C2978" s="762" t="s">
        <v>1695</v>
      </c>
      <c r="D2978" s="762"/>
      <c r="E2978" s="973">
        <v>222822</v>
      </c>
      <c r="F2978" s="763">
        <v>9</v>
      </c>
      <c r="G2978" s="1025">
        <v>10405405</v>
      </c>
      <c r="H2978" s="690">
        <v>10016886</v>
      </c>
      <c r="I2978" s="1030"/>
      <c r="J2978" s="690"/>
      <c r="K2978" s="1030">
        <v>4722495</v>
      </c>
      <c r="L2978" s="690">
        <v>5483542</v>
      </c>
      <c r="M2978" s="1025">
        <v>5824008</v>
      </c>
      <c r="N2978" s="1030"/>
      <c r="O2978" s="692">
        <f t="shared" si="389"/>
        <v>5824008</v>
      </c>
      <c r="P2978" s="690">
        <v>7077360</v>
      </c>
      <c r="Q2978" s="690"/>
      <c r="R2978" s="691">
        <f t="shared" si="390"/>
        <v>7077360</v>
      </c>
      <c r="S2978" s="692">
        <f t="shared" si="391"/>
        <v>20951908</v>
      </c>
      <c r="T2978" s="693">
        <f t="shared" si="392"/>
        <v>22577788</v>
      </c>
      <c r="U2978" s="1035"/>
      <c r="V2978" s="690"/>
      <c r="W2978" s="1025"/>
      <c r="X2978" s="1030"/>
      <c r="Y2978" s="694">
        <f t="shared" si="393"/>
        <v>0</v>
      </c>
      <c r="Z2978" s="690"/>
      <c r="AA2978" s="690"/>
      <c r="AB2978" s="695">
        <f t="shared" si="394"/>
        <v>0</v>
      </c>
      <c r="AC2978" s="1035"/>
      <c r="AD2978" s="690"/>
      <c r="AE2978" s="1025"/>
      <c r="AF2978" s="1030"/>
      <c r="AG2978" s="690"/>
      <c r="AH2978" s="690"/>
      <c r="AI2978" s="696">
        <f t="shared" si="395"/>
        <v>20951908</v>
      </c>
      <c r="AJ2978" s="697">
        <f t="shared" si="396"/>
        <v>22577788</v>
      </c>
    </row>
    <row r="2979" spans="1:36" s="700" customFormat="1" ht="12.75" customHeight="1">
      <c r="A2979" s="755" t="s">
        <v>207</v>
      </c>
      <c r="B2979" s="755" t="s">
        <v>392</v>
      </c>
      <c r="C2979" s="979" t="s">
        <v>1696</v>
      </c>
      <c r="D2979" s="979"/>
      <c r="E2979" s="973">
        <v>223773</v>
      </c>
      <c r="F2979" s="763">
        <v>9</v>
      </c>
      <c r="G2979" s="1025"/>
      <c r="H2979" s="690"/>
      <c r="I2979" s="1030"/>
      <c r="J2979" s="690"/>
      <c r="K2979" s="1030"/>
      <c r="L2979" s="690"/>
      <c r="M2979" s="1025"/>
      <c r="N2979" s="1030"/>
      <c r="O2979" s="692">
        <f t="shared" si="389"/>
        <v>0</v>
      </c>
      <c r="P2979" s="690"/>
      <c r="Q2979" s="690"/>
      <c r="R2979" s="691">
        <f t="shared" si="390"/>
        <v>0</v>
      </c>
      <c r="S2979" s="692">
        <f t="shared" si="391"/>
        <v>0</v>
      </c>
      <c r="T2979" s="693">
        <f t="shared" si="392"/>
        <v>0</v>
      </c>
      <c r="U2979" s="1035"/>
      <c r="V2979" s="690"/>
      <c r="W2979" s="1025"/>
      <c r="X2979" s="1030"/>
      <c r="Y2979" s="694">
        <f t="shared" si="393"/>
        <v>0</v>
      </c>
      <c r="Z2979" s="690"/>
      <c r="AA2979" s="690"/>
      <c r="AB2979" s="695">
        <f t="shared" si="394"/>
        <v>0</v>
      </c>
      <c r="AC2979" s="1035"/>
      <c r="AD2979" s="690"/>
      <c r="AE2979" s="1025"/>
      <c r="AF2979" s="1030"/>
      <c r="AG2979" s="690"/>
      <c r="AH2979" s="690"/>
      <c r="AI2979" s="696">
        <f t="shared" si="395"/>
        <v>0</v>
      </c>
      <c r="AJ2979" s="697">
        <f t="shared" si="396"/>
        <v>0</v>
      </c>
    </row>
    <row r="2980" spans="1:36" s="700" customFormat="1" ht="12.75" customHeight="1">
      <c r="A2980" s="755" t="s">
        <v>207</v>
      </c>
      <c r="B2980" s="755" t="s">
        <v>392</v>
      </c>
      <c r="C2980" s="762" t="s">
        <v>1697</v>
      </c>
      <c r="D2980" s="762"/>
      <c r="E2980" s="973">
        <v>223898</v>
      </c>
      <c r="F2980" s="763">
        <v>9</v>
      </c>
      <c r="G2980" s="1025">
        <v>6990994</v>
      </c>
      <c r="H2980" s="690">
        <v>6750046</v>
      </c>
      <c r="I2980" s="1030"/>
      <c r="J2980" s="690"/>
      <c r="K2980" s="1030">
        <v>369165</v>
      </c>
      <c r="L2980" s="690">
        <v>482140</v>
      </c>
      <c r="M2980" s="1025">
        <v>6976223</v>
      </c>
      <c r="N2980" s="1030"/>
      <c r="O2980" s="692">
        <f t="shared" si="389"/>
        <v>6976223</v>
      </c>
      <c r="P2980" s="690">
        <v>8747704</v>
      </c>
      <c r="Q2980" s="690"/>
      <c r="R2980" s="691">
        <f t="shared" si="390"/>
        <v>8747704</v>
      </c>
      <c r="S2980" s="692">
        <f t="shared" si="391"/>
        <v>14336382</v>
      </c>
      <c r="T2980" s="693">
        <f t="shared" si="392"/>
        <v>15979890</v>
      </c>
      <c r="U2980" s="1035"/>
      <c r="V2980" s="690"/>
      <c r="W2980" s="1025"/>
      <c r="X2980" s="1030"/>
      <c r="Y2980" s="694">
        <f t="shared" si="393"/>
        <v>0</v>
      </c>
      <c r="Z2980" s="690"/>
      <c r="AA2980" s="690"/>
      <c r="AB2980" s="695">
        <f t="shared" si="394"/>
        <v>0</v>
      </c>
      <c r="AC2980" s="1035"/>
      <c r="AD2980" s="690"/>
      <c r="AE2980" s="1025"/>
      <c r="AF2980" s="1030"/>
      <c r="AG2980" s="690"/>
      <c r="AH2980" s="690"/>
      <c r="AI2980" s="696">
        <f t="shared" si="395"/>
        <v>14336382</v>
      </c>
      <c r="AJ2980" s="697">
        <f t="shared" si="396"/>
        <v>15979890</v>
      </c>
    </row>
    <row r="2981" spans="1:36" s="700" customFormat="1" ht="12.75" customHeight="1">
      <c r="A2981" s="755" t="s">
        <v>207</v>
      </c>
      <c r="B2981" s="755" t="s">
        <v>392</v>
      </c>
      <c r="C2981" s="762" t="s">
        <v>1698</v>
      </c>
      <c r="D2981" s="762"/>
      <c r="E2981" s="973">
        <v>223320</v>
      </c>
      <c r="F2981" s="763">
        <v>9</v>
      </c>
      <c r="G2981" s="1025">
        <v>8819297</v>
      </c>
      <c r="H2981" s="690">
        <v>8480579</v>
      </c>
      <c r="I2981" s="1030"/>
      <c r="J2981" s="690"/>
      <c r="K2981" s="1030">
        <v>1779106</v>
      </c>
      <c r="L2981" s="690">
        <v>1914136</v>
      </c>
      <c r="M2981" s="1025">
        <v>7971229</v>
      </c>
      <c r="N2981" s="1030"/>
      <c r="O2981" s="692">
        <f t="shared" si="389"/>
        <v>7971229</v>
      </c>
      <c r="P2981" s="690">
        <v>9373839</v>
      </c>
      <c r="Q2981" s="690"/>
      <c r="R2981" s="691">
        <f t="shared" si="390"/>
        <v>9373839</v>
      </c>
      <c r="S2981" s="692">
        <f t="shared" si="391"/>
        <v>18569632</v>
      </c>
      <c r="T2981" s="693">
        <f t="shared" si="392"/>
        <v>19768554</v>
      </c>
      <c r="U2981" s="1035"/>
      <c r="V2981" s="690"/>
      <c r="W2981" s="1025"/>
      <c r="X2981" s="1030"/>
      <c r="Y2981" s="694">
        <f t="shared" si="393"/>
        <v>0</v>
      </c>
      <c r="Z2981" s="690"/>
      <c r="AA2981" s="690"/>
      <c r="AB2981" s="695">
        <f t="shared" si="394"/>
        <v>0</v>
      </c>
      <c r="AC2981" s="1035"/>
      <c r="AD2981" s="690"/>
      <c r="AE2981" s="1025"/>
      <c r="AF2981" s="1030"/>
      <c r="AG2981" s="690"/>
      <c r="AH2981" s="690"/>
      <c r="AI2981" s="696">
        <f t="shared" si="395"/>
        <v>18569632</v>
      </c>
      <c r="AJ2981" s="697">
        <f t="shared" si="396"/>
        <v>19768554</v>
      </c>
    </row>
    <row r="2982" spans="1:36" s="700" customFormat="1" ht="12.75" customHeight="1">
      <c r="A2982" s="755" t="s">
        <v>207</v>
      </c>
      <c r="B2982" s="755" t="s">
        <v>392</v>
      </c>
      <c r="C2982" s="762" t="s">
        <v>1699</v>
      </c>
      <c r="D2982" s="762"/>
      <c r="E2982" s="973">
        <v>226408</v>
      </c>
      <c r="F2982" s="763">
        <v>9</v>
      </c>
      <c r="G2982" s="1025">
        <v>10414902</v>
      </c>
      <c r="H2982" s="690">
        <v>10252658</v>
      </c>
      <c r="I2982" s="1030"/>
      <c r="J2982" s="690"/>
      <c r="K2982" s="1030">
        <v>21195558</v>
      </c>
      <c r="L2982" s="690">
        <v>18897807</v>
      </c>
      <c r="M2982" s="1025">
        <v>5722346</v>
      </c>
      <c r="N2982" s="1030"/>
      <c r="O2982" s="692">
        <f t="shared" si="389"/>
        <v>5722346</v>
      </c>
      <c r="P2982" s="690">
        <v>6108096</v>
      </c>
      <c r="Q2982" s="690"/>
      <c r="R2982" s="691">
        <f t="shared" si="390"/>
        <v>6108096</v>
      </c>
      <c r="S2982" s="692">
        <f t="shared" si="391"/>
        <v>37332806</v>
      </c>
      <c r="T2982" s="693">
        <f t="shared" si="392"/>
        <v>35258561</v>
      </c>
      <c r="U2982" s="1035"/>
      <c r="V2982" s="690"/>
      <c r="W2982" s="1025"/>
      <c r="X2982" s="1030"/>
      <c r="Y2982" s="694">
        <f t="shared" si="393"/>
        <v>0</v>
      </c>
      <c r="Z2982" s="690"/>
      <c r="AA2982" s="690"/>
      <c r="AB2982" s="695">
        <f t="shared" si="394"/>
        <v>0</v>
      </c>
      <c r="AC2982" s="1035"/>
      <c r="AD2982" s="690"/>
      <c r="AE2982" s="1025"/>
      <c r="AF2982" s="1030"/>
      <c r="AG2982" s="690"/>
      <c r="AH2982" s="690"/>
      <c r="AI2982" s="696">
        <f t="shared" si="395"/>
        <v>37332806</v>
      </c>
      <c r="AJ2982" s="697">
        <f t="shared" si="396"/>
        <v>35258561</v>
      </c>
    </row>
    <row r="2983" spans="1:36" s="700" customFormat="1" ht="12.75" customHeight="1">
      <c r="A2983" s="755" t="s">
        <v>207</v>
      </c>
      <c r="B2983" s="755" t="s">
        <v>392</v>
      </c>
      <c r="C2983" s="1093" t="s">
        <v>1700</v>
      </c>
      <c r="D2983" s="1093" t="s">
        <v>1950</v>
      </c>
      <c r="E2983" s="973">
        <v>224615</v>
      </c>
      <c r="F2983" s="1091">
        <v>8</v>
      </c>
      <c r="G2983" s="1025"/>
      <c r="H2983" s="690"/>
      <c r="I2983" s="1030"/>
      <c r="J2983" s="690"/>
      <c r="K2983" s="1030"/>
      <c r="L2983" s="690"/>
      <c r="M2983" s="1025"/>
      <c r="N2983" s="1030"/>
      <c r="O2983" s="692">
        <f t="shared" si="389"/>
        <v>0</v>
      </c>
      <c r="P2983" s="690"/>
      <c r="Q2983" s="690"/>
      <c r="R2983" s="691">
        <f t="shared" si="390"/>
        <v>0</v>
      </c>
      <c r="S2983" s="692">
        <f t="shared" si="391"/>
        <v>0</v>
      </c>
      <c r="T2983" s="693">
        <f t="shared" si="392"/>
        <v>0</v>
      </c>
      <c r="U2983" s="1035"/>
      <c r="V2983" s="690"/>
      <c r="W2983" s="1025"/>
      <c r="X2983" s="1030"/>
      <c r="Y2983" s="694">
        <f t="shared" si="393"/>
        <v>0</v>
      </c>
      <c r="Z2983" s="690"/>
      <c r="AA2983" s="690"/>
      <c r="AB2983" s="695">
        <f t="shared" si="394"/>
        <v>0</v>
      </c>
      <c r="AC2983" s="1035"/>
      <c r="AD2983" s="690"/>
      <c r="AE2983" s="1025"/>
      <c r="AF2983" s="1030"/>
      <c r="AG2983" s="690"/>
      <c r="AH2983" s="690"/>
      <c r="AI2983" s="696">
        <f t="shared" si="395"/>
        <v>0</v>
      </c>
      <c r="AJ2983" s="697">
        <f t="shared" si="396"/>
        <v>0</v>
      </c>
    </row>
    <row r="2984" spans="1:36" s="700" customFormat="1" ht="12.75" customHeight="1">
      <c r="A2984" s="755" t="s">
        <v>207</v>
      </c>
      <c r="B2984" s="755" t="s">
        <v>392</v>
      </c>
      <c r="C2984" s="762" t="s">
        <v>1701</v>
      </c>
      <c r="D2984" s="762"/>
      <c r="E2984" s="973">
        <v>225070</v>
      </c>
      <c r="F2984" s="763">
        <v>9</v>
      </c>
      <c r="G2984" s="1025">
        <v>9558195</v>
      </c>
      <c r="H2984" s="690">
        <v>9415861</v>
      </c>
      <c r="I2984" s="1030"/>
      <c r="J2984" s="690"/>
      <c r="K2984" s="1030">
        <v>11532357</v>
      </c>
      <c r="L2984" s="690">
        <v>12231489</v>
      </c>
      <c r="M2984" s="1025">
        <v>6193465</v>
      </c>
      <c r="N2984" s="1030"/>
      <c r="O2984" s="692">
        <f t="shared" si="389"/>
        <v>6193465</v>
      </c>
      <c r="P2984" s="690">
        <v>7302760</v>
      </c>
      <c r="Q2984" s="690"/>
      <c r="R2984" s="691">
        <f t="shared" si="390"/>
        <v>7302760</v>
      </c>
      <c r="S2984" s="692">
        <f t="shared" si="391"/>
        <v>27284017</v>
      </c>
      <c r="T2984" s="693">
        <f t="shared" si="392"/>
        <v>28950110</v>
      </c>
      <c r="U2984" s="1035"/>
      <c r="V2984" s="690"/>
      <c r="W2984" s="1025"/>
      <c r="X2984" s="1030"/>
      <c r="Y2984" s="694">
        <f t="shared" si="393"/>
        <v>0</v>
      </c>
      <c r="Z2984" s="690"/>
      <c r="AA2984" s="690"/>
      <c r="AB2984" s="695">
        <f t="shared" si="394"/>
        <v>0</v>
      </c>
      <c r="AC2984" s="1035"/>
      <c r="AD2984" s="690"/>
      <c r="AE2984" s="1025"/>
      <c r="AF2984" s="1030"/>
      <c r="AG2984" s="690"/>
      <c r="AH2984" s="690"/>
      <c r="AI2984" s="696">
        <f t="shared" si="395"/>
        <v>27284017</v>
      </c>
      <c r="AJ2984" s="697">
        <f t="shared" si="396"/>
        <v>28950110</v>
      </c>
    </row>
    <row r="2985" spans="1:36" s="700" customFormat="1" ht="12.75" customHeight="1">
      <c r="A2985" s="755" t="s">
        <v>207</v>
      </c>
      <c r="B2985" s="755" t="s">
        <v>392</v>
      </c>
      <c r="C2985" s="762" t="s">
        <v>1702</v>
      </c>
      <c r="D2985" s="762"/>
      <c r="E2985" s="973">
        <v>225371</v>
      </c>
      <c r="F2985" s="763">
        <v>9</v>
      </c>
      <c r="G2985" s="1025">
        <v>8709325</v>
      </c>
      <c r="H2985" s="690">
        <v>8208659</v>
      </c>
      <c r="I2985" s="1030"/>
      <c r="J2985" s="690"/>
      <c r="K2985" s="1030">
        <v>997836</v>
      </c>
      <c r="L2985" s="690">
        <v>3598004</v>
      </c>
      <c r="M2985" s="1025">
        <v>4578307</v>
      </c>
      <c r="N2985" s="1030"/>
      <c r="O2985" s="692">
        <f t="shared" si="389"/>
        <v>4578307</v>
      </c>
      <c r="P2985" s="690">
        <v>5811835</v>
      </c>
      <c r="Q2985" s="690"/>
      <c r="R2985" s="691">
        <f t="shared" si="390"/>
        <v>5811835</v>
      </c>
      <c r="S2985" s="692">
        <f t="shared" si="391"/>
        <v>14285468</v>
      </c>
      <c r="T2985" s="693">
        <f t="shared" si="392"/>
        <v>17618498</v>
      </c>
      <c r="U2985" s="1035"/>
      <c r="V2985" s="690"/>
      <c r="W2985" s="1025"/>
      <c r="X2985" s="1030"/>
      <c r="Y2985" s="694">
        <f t="shared" si="393"/>
        <v>0</v>
      </c>
      <c r="Z2985" s="690"/>
      <c r="AA2985" s="690"/>
      <c r="AB2985" s="695">
        <f t="shared" si="394"/>
        <v>0</v>
      </c>
      <c r="AC2985" s="1035"/>
      <c r="AD2985" s="690"/>
      <c r="AE2985" s="1025"/>
      <c r="AF2985" s="1030"/>
      <c r="AG2985" s="690"/>
      <c r="AH2985" s="690"/>
      <c r="AI2985" s="696">
        <f t="shared" si="395"/>
        <v>14285468</v>
      </c>
      <c r="AJ2985" s="697">
        <f t="shared" si="396"/>
        <v>17618498</v>
      </c>
    </row>
    <row r="2986" spans="1:36" s="700" customFormat="1" ht="12.75" customHeight="1">
      <c r="A2986" s="755" t="s">
        <v>207</v>
      </c>
      <c r="B2986" s="755" t="s">
        <v>392</v>
      </c>
      <c r="C2986" s="981" t="s">
        <v>1703</v>
      </c>
      <c r="D2986" s="981"/>
      <c r="E2986" s="973">
        <v>225520</v>
      </c>
      <c r="F2986" s="763">
        <v>9</v>
      </c>
      <c r="G2986" s="1025"/>
      <c r="H2986" s="690"/>
      <c r="I2986" s="1030"/>
      <c r="J2986" s="690"/>
      <c r="K2986" s="1030"/>
      <c r="L2986" s="690"/>
      <c r="M2986" s="1025"/>
      <c r="N2986" s="1030"/>
      <c r="O2986" s="692">
        <f t="shared" si="389"/>
        <v>0</v>
      </c>
      <c r="P2986" s="690"/>
      <c r="Q2986" s="690"/>
      <c r="R2986" s="691">
        <f t="shared" si="390"/>
        <v>0</v>
      </c>
      <c r="S2986" s="692">
        <f t="shared" si="391"/>
        <v>0</v>
      </c>
      <c r="T2986" s="693">
        <f t="shared" si="392"/>
        <v>0</v>
      </c>
      <c r="U2986" s="1035"/>
      <c r="V2986" s="690"/>
      <c r="W2986" s="1025"/>
      <c r="X2986" s="1030"/>
      <c r="Y2986" s="694">
        <f t="shared" si="393"/>
        <v>0</v>
      </c>
      <c r="Z2986" s="690"/>
      <c r="AA2986" s="690"/>
      <c r="AB2986" s="695">
        <f t="shared" si="394"/>
        <v>0</v>
      </c>
      <c r="AC2986" s="1035"/>
      <c r="AD2986" s="690"/>
      <c r="AE2986" s="1025"/>
      <c r="AF2986" s="1030"/>
      <c r="AG2986" s="690"/>
      <c r="AH2986" s="690"/>
      <c r="AI2986" s="696">
        <f t="shared" si="395"/>
        <v>0</v>
      </c>
      <c r="AJ2986" s="697">
        <f t="shared" si="396"/>
        <v>0</v>
      </c>
    </row>
    <row r="2987" spans="1:36" s="700" customFormat="1" ht="12.75" customHeight="1">
      <c r="A2987" s="755" t="s">
        <v>207</v>
      </c>
      <c r="B2987" s="755" t="s">
        <v>392</v>
      </c>
      <c r="C2987" s="893" t="s">
        <v>1704</v>
      </c>
      <c r="D2987" s="1096" t="s">
        <v>1898</v>
      </c>
      <c r="E2987" s="973">
        <v>226019</v>
      </c>
      <c r="F2987" s="763">
        <v>9</v>
      </c>
      <c r="G2987" s="1025">
        <v>15687388</v>
      </c>
      <c r="H2987" s="690">
        <v>15510980</v>
      </c>
      <c r="I2987" s="1030"/>
      <c r="J2987" s="690"/>
      <c r="K2987" s="1030">
        <v>5940586</v>
      </c>
      <c r="L2987" s="690">
        <v>5937296</v>
      </c>
      <c r="M2987" s="1025">
        <v>11537607</v>
      </c>
      <c r="N2987" s="1030"/>
      <c r="O2987" s="692">
        <f t="shared" si="389"/>
        <v>11537607</v>
      </c>
      <c r="P2987" s="690">
        <v>13763075</v>
      </c>
      <c r="Q2987" s="690"/>
      <c r="R2987" s="691">
        <f t="shared" si="390"/>
        <v>13763075</v>
      </c>
      <c r="S2987" s="692">
        <f t="shared" si="391"/>
        <v>33165581</v>
      </c>
      <c r="T2987" s="693">
        <f t="shared" si="392"/>
        <v>35211351</v>
      </c>
      <c r="U2987" s="1035"/>
      <c r="V2987" s="690"/>
      <c r="W2987" s="1025"/>
      <c r="X2987" s="1030"/>
      <c r="Y2987" s="694">
        <f t="shared" si="393"/>
        <v>0</v>
      </c>
      <c r="Z2987" s="690"/>
      <c r="AA2987" s="690"/>
      <c r="AB2987" s="695">
        <f t="shared" si="394"/>
        <v>0</v>
      </c>
      <c r="AC2987" s="1035"/>
      <c r="AD2987" s="690"/>
      <c r="AE2987" s="1025"/>
      <c r="AF2987" s="1030"/>
      <c r="AG2987" s="690"/>
      <c r="AH2987" s="690"/>
      <c r="AI2987" s="696">
        <f t="shared" si="395"/>
        <v>33165581</v>
      </c>
      <c r="AJ2987" s="697">
        <f t="shared" si="396"/>
        <v>35211351</v>
      </c>
    </row>
    <row r="2988" spans="1:36" s="700" customFormat="1" ht="12.75" customHeight="1">
      <c r="A2988" s="755" t="s">
        <v>207</v>
      </c>
      <c r="B2988" s="755" t="s">
        <v>392</v>
      </c>
      <c r="C2988" s="762" t="s">
        <v>1705</v>
      </c>
      <c r="D2988" s="762"/>
      <c r="E2988" s="973">
        <v>441760</v>
      </c>
      <c r="F2988" s="763">
        <v>9</v>
      </c>
      <c r="G2988" s="1025">
        <v>11455405</v>
      </c>
      <c r="H2988" s="690">
        <v>10821082</v>
      </c>
      <c r="I2988" s="1030"/>
      <c r="J2988" s="690"/>
      <c r="K2988" s="1030"/>
      <c r="L2988" s="690"/>
      <c r="M2988" s="1025">
        <v>9927871</v>
      </c>
      <c r="N2988" s="1030">
        <v>27000</v>
      </c>
      <c r="O2988" s="692">
        <f t="shared" si="389"/>
        <v>9954871</v>
      </c>
      <c r="P2988" s="690">
        <v>9908858</v>
      </c>
      <c r="Q2988" s="690">
        <v>0</v>
      </c>
      <c r="R2988" s="691">
        <f t="shared" si="390"/>
        <v>9908858</v>
      </c>
      <c r="S2988" s="692">
        <f t="shared" si="391"/>
        <v>21383276</v>
      </c>
      <c r="T2988" s="693">
        <f t="shared" si="392"/>
        <v>20729940</v>
      </c>
      <c r="U2988" s="1035"/>
      <c r="V2988" s="690"/>
      <c r="W2988" s="1025"/>
      <c r="X2988" s="1030"/>
      <c r="Y2988" s="694">
        <f t="shared" si="393"/>
        <v>0</v>
      </c>
      <c r="Z2988" s="690"/>
      <c r="AA2988" s="690"/>
      <c r="AB2988" s="695">
        <f t="shared" si="394"/>
        <v>0</v>
      </c>
      <c r="AC2988" s="1035"/>
      <c r="AD2988" s="690"/>
      <c r="AE2988" s="1025"/>
      <c r="AF2988" s="1030"/>
      <c r="AG2988" s="690"/>
      <c r="AH2988" s="690"/>
      <c r="AI2988" s="696">
        <f t="shared" si="395"/>
        <v>21383276</v>
      </c>
      <c r="AJ2988" s="697">
        <f t="shared" si="396"/>
        <v>20729940</v>
      </c>
    </row>
    <row r="2989" spans="1:36" s="700" customFormat="1" ht="12.75" customHeight="1">
      <c r="A2989" s="755" t="s">
        <v>207</v>
      </c>
      <c r="B2989" s="755" t="s">
        <v>392</v>
      </c>
      <c r="C2989" s="762" t="s">
        <v>1706</v>
      </c>
      <c r="D2989" s="762"/>
      <c r="E2989" s="973">
        <v>226204</v>
      </c>
      <c r="F2989" s="763">
        <v>9</v>
      </c>
      <c r="G2989" s="1025">
        <v>13429578</v>
      </c>
      <c r="H2989" s="690">
        <v>13224587</v>
      </c>
      <c r="I2989" s="1030"/>
      <c r="J2989" s="690"/>
      <c r="K2989" s="1030">
        <v>19267545</v>
      </c>
      <c r="L2989" s="690">
        <v>18964200</v>
      </c>
      <c r="M2989" s="1025">
        <v>8231086</v>
      </c>
      <c r="N2989" s="1030"/>
      <c r="O2989" s="692">
        <f t="shared" si="389"/>
        <v>8231086</v>
      </c>
      <c r="P2989" s="690">
        <v>9866845</v>
      </c>
      <c r="Q2989" s="690"/>
      <c r="R2989" s="691">
        <f t="shared" si="390"/>
        <v>9866845</v>
      </c>
      <c r="S2989" s="692">
        <f t="shared" si="391"/>
        <v>40928209</v>
      </c>
      <c r="T2989" s="693">
        <f t="shared" si="392"/>
        <v>42055632</v>
      </c>
      <c r="U2989" s="1035"/>
      <c r="V2989" s="690"/>
      <c r="W2989" s="1025"/>
      <c r="X2989" s="1030"/>
      <c r="Y2989" s="694">
        <f t="shared" si="393"/>
        <v>0</v>
      </c>
      <c r="Z2989" s="690"/>
      <c r="AA2989" s="690"/>
      <c r="AB2989" s="695">
        <f t="shared" si="394"/>
        <v>0</v>
      </c>
      <c r="AC2989" s="1035"/>
      <c r="AD2989" s="690"/>
      <c r="AE2989" s="1025"/>
      <c r="AF2989" s="1030"/>
      <c r="AG2989" s="690"/>
      <c r="AH2989" s="690"/>
      <c r="AI2989" s="696">
        <f t="shared" si="395"/>
        <v>40928209</v>
      </c>
      <c r="AJ2989" s="697">
        <f t="shared" si="396"/>
        <v>42055632</v>
      </c>
    </row>
    <row r="2990" spans="1:36" s="700" customFormat="1" ht="12.75" customHeight="1">
      <c r="A2990" s="755" t="s">
        <v>207</v>
      </c>
      <c r="B2990" s="755" t="s">
        <v>392</v>
      </c>
      <c r="C2990" s="979" t="s">
        <v>1707</v>
      </c>
      <c r="D2990" s="1092" t="s">
        <v>1900</v>
      </c>
      <c r="E2990" s="973">
        <v>226930</v>
      </c>
      <c r="F2990" s="763">
        <v>9</v>
      </c>
      <c r="G2990" s="1025"/>
      <c r="H2990" s="690"/>
      <c r="I2990" s="1030"/>
      <c r="J2990" s="690"/>
      <c r="K2990" s="1030"/>
      <c r="L2990" s="690"/>
      <c r="M2990" s="1025"/>
      <c r="N2990" s="1030"/>
      <c r="O2990" s="692">
        <f t="shared" si="389"/>
        <v>0</v>
      </c>
      <c r="P2990" s="690"/>
      <c r="Q2990" s="690"/>
      <c r="R2990" s="691">
        <f t="shared" si="390"/>
        <v>0</v>
      </c>
      <c r="S2990" s="692">
        <f t="shared" si="391"/>
        <v>0</v>
      </c>
      <c r="T2990" s="693">
        <f t="shared" si="392"/>
        <v>0</v>
      </c>
      <c r="U2990" s="1035"/>
      <c r="V2990" s="690"/>
      <c r="W2990" s="1025"/>
      <c r="X2990" s="1030"/>
      <c r="Y2990" s="694">
        <f t="shared" si="393"/>
        <v>0</v>
      </c>
      <c r="Z2990" s="690"/>
      <c r="AA2990" s="690"/>
      <c r="AB2990" s="695">
        <f t="shared" si="394"/>
        <v>0</v>
      </c>
      <c r="AC2990" s="1035"/>
      <c r="AD2990" s="690"/>
      <c r="AE2990" s="1025"/>
      <c r="AF2990" s="1030"/>
      <c r="AG2990" s="690"/>
      <c r="AH2990" s="690"/>
      <c r="AI2990" s="696">
        <f t="shared" si="395"/>
        <v>0</v>
      </c>
      <c r="AJ2990" s="697">
        <f t="shared" si="396"/>
        <v>0</v>
      </c>
    </row>
    <row r="2991" spans="1:36" s="700" customFormat="1" ht="12.75" customHeight="1">
      <c r="A2991" s="755" t="s">
        <v>207</v>
      </c>
      <c r="B2991" s="755" t="s">
        <v>392</v>
      </c>
      <c r="C2991" s="1094" t="s">
        <v>1708</v>
      </c>
      <c r="D2991" s="1095" t="s">
        <v>1950</v>
      </c>
      <c r="E2991" s="973">
        <v>224110</v>
      </c>
      <c r="F2991" s="1091">
        <v>8</v>
      </c>
      <c r="G2991" s="1025">
        <v>12791976</v>
      </c>
      <c r="H2991" s="690">
        <v>12170907</v>
      </c>
      <c r="I2991" s="1030"/>
      <c r="J2991" s="690"/>
      <c r="K2991" s="1030">
        <v>1968273</v>
      </c>
      <c r="L2991" s="690">
        <v>2153148</v>
      </c>
      <c r="M2991" s="1025">
        <v>13111097</v>
      </c>
      <c r="N2991" s="1030"/>
      <c r="O2991" s="692">
        <f t="shared" si="389"/>
        <v>13111097</v>
      </c>
      <c r="P2991" s="690">
        <v>14668529</v>
      </c>
      <c r="Q2991" s="690"/>
      <c r="R2991" s="691">
        <f t="shared" si="390"/>
        <v>14668529</v>
      </c>
      <c r="S2991" s="692">
        <f t="shared" si="391"/>
        <v>27871346</v>
      </c>
      <c r="T2991" s="693">
        <f t="shared" si="392"/>
        <v>28992584</v>
      </c>
      <c r="U2991" s="1035"/>
      <c r="V2991" s="690"/>
      <c r="W2991" s="1025"/>
      <c r="X2991" s="1030"/>
      <c r="Y2991" s="694">
        <f t="shared" si="393"/>
        <v>0</v>
      </c>
      <c r="Z2991" s="690"/>
      <c r="AA2991" s="690"/>
      <c r="AB2991" s="695">
        <f t="shared" si="394"/>
        <v>0</v>
      </c>
      <c r="AC2991" s="1035"/>
      <c r="AD2991" s="690"/>
      <c r="AE2991" s="1025"/>
      <c r="AF2991" s="1030"/>
      <c r="AG2991" s="690"/>
      <c r="AH2991" s="690"/>
      <c r="AI2991" s="696">
        <f t="shared" si="395"/>
        <v>27871346</v>
      </c>
      <c r="AJ2991" s="697">
        <f t="shared" si="396"/>
        <v>28992584</v>
      </c>
    </row>
    <row r="2992" spans="1:36" s="700" customFormat="1" ht="12.75" customHeight="1">
      <c r="A2992" s="755" t="s">
        <v>207</v>
      </c>
      <c r="B2992" s="755" t="s">
        <v>392</v>
      </c>
      <c r="C2992" s="762" t="s">
        <v>1709</v>
      </c>
      <c r="D2992" s="762"/>
      <c r="E2992" s="973">
        <v>227304</v>
      </c>
      <c r="F2992" s="763">
        <v>9</v>
      </c>
      <c r="G2992" s="1025">
        <v>11519840</v>
      </c>
      <c r="H2992" s="690">
        <v>11251787</v>
      </c>
      <c r="I2992" s="1030"/>
      <c r="J2992" s="690"/>
      <c r="K2992" s="1030">
        <v>15133923</v>
      </c>
      <c r="L2992" s="690">
        <v>15152908</v>
      </c>
      <c r="M2992" s="1025">
        <v>6767239</v>
      </c>
      <c r="N2992" s="1030"/>
      <c r="O2992" s="692">
        <f t="shared" si="389"/>
        <v>6767239</v>
      </c>
      <c r="P2992" s="690">
        <v>8485369</v>
      </c>
      <c r="Q2992" s="690"/>
      <c r="R2992" s="691">
        <f t="shared" si="390"/>
        <v>8485369</v>
      </c>
      <c r="S2992" s="692">
        <f t="shared" si="391"/>
        <v>33421002</v>
      </c>
      <c r="T2992" s="693">
        <f t="shared" si="392"/>
        <v>34890064</v>
      </c>
      <c r="U2992" s="1035"/>
      <c r="V2992" s="690"/>
      <c r="W2992" s="1025"/>
      <c r="X2992" s="1030"/>
      <c r="Y2992" s="694">
        <f t="shared" si="393"/>
        <v>0</v>
      </c>
      <c r="Z2992" s="690"/>
      <c r="AA2992" s="690"/>
      <c r="AB2992" s="695">
        <f t="shared" si="394"/>
        <v>0</v>
      </c>
      <c r="AC2992" s="1035"/>
      <c r="AD2992" s="690"/>
      <c r="AE2992" s="1025"/>
      <c r="AF2992" s="1030"/>
      <c r="AG2992" s="690"/>
      <c r="AH2992" s="690"/>
      <c r="AI2992" s="696">
        <f t="shared" si="395"/>
        <v>33421002</v>
      </c>
      <c r="AJ2992" s="697">
        <f t="shared" si="396"/>
        <v>34890064</v>
      </c>
    </row>
    <row r="2993" spans="1:36" s="700" customFormat="1" ht="12.75" customHeight="1">
      <c r="A2993" s="755" t="s">
        <v>207</v>
      </c>
      <c r="B2993" s="755" t="s">
        <v>392</v>
      </c>
      <c r="C2993" s="762" t="s">
        <v>1710</v>
      </c>
      <c r="D2993" s="762"/>
      <c r="E2993" s="973">
        <v>227401</v>
      </c>
      <c r="F2993" s="763">
        <v>9</v>
      </c>
      <c r="G2993" s="1025">
        <v>11247133</v>
      </c>
      <c r="H2993" s="690">
        <v>10826726</v>
      </c>
      <c r="I2993" s="1030"/>
      <c r="J2993" s="690"/>
      <c r="K2993" s="1030">
        <v>2889522</v>
      </c>
      <c r="L2993" s="690">
        <v>2897212</v>
      </c>
      <c r="M2993" s="1025">
        <v>8579169</v>
      </c>
      <c r="N2993" s="1030"/>
      <c r="O2993" s="692">
        <f t="shared" si="389"/>
        <v>8579169</v>
      </c>
      <c r="P2993" s="690">
        <v>10778000</v>
      </c>
      <c r="Q2993" s="690"/>
      <c r="R2993" s="691">
        <f t="shared" si="390"/>
        <v>10778000</v>
      </c>
      <c r="S2993" s="692">
        <f t="shared" si="391"/>
        <v>22715824</v>
      </c>
      <c r="T2993" s="693">
        <f t="shared" si="392"/>
        <v>24501938</v>
      </c>
      <c r="U2993" s="1035"/>
      <c r="V2993" s="690"/>
      <c r="W2993" s="1025"/>
      <c r="X2993" s="1030"/>
      <c r="Y2993" s="694">
        <f t="shared" si="393"/>
        <v>0</v>
      </c>
      <c r="Z2993" s="690"/>
      <c r="AA2993" s="690"/>
      <c r="AB2993" s="695">
        <f t="shared" si="394"/>
        <v>0</v>
      </c>
      <c r="AC2993" s="1035"/>
      <c r="AD2993" s="690"/>
      <c r="AE2993" s="1025"/>
      <c r="AF2993" s="1030"/>
      <c r="AG2993" s="690"/>
      <c r="AH2993" s="690"/>
      <c r="AI2993" s="696">
        <f t="shared" si="395"/>
        <v>22715824</v>
      </c>
      <c r="AJ2993" s="697">
        <f t="shared" si="396"/>
        <v>24501938</v>
      </c>
    </row>
    <row r="2994" spans="1:36" s="700" customFormat="1" ht="12.75" customHeight="1">
      <c r="A2994" s="755" t="s">
        <v>207</v>
      </c>
      <c r="B2994" s="755" t="s">
        <v>392</v>
      </c>
      <c r="C2994" s="762" t="s">
        <v>1711</v>
      </c>
      <c r="D2994" s="762"/>
      <c r="E2994" s="973">
        <v>228316</v>
      </c>
      <c r="F2994" s="763">
        <v>9</v>
      </c>
      <c r="G2994" s="1025">
        <v>10228823</v>
      </c>
      <c r="H2994" s="690">
        <v>9530217</v>
      </c>
      <c r="I2994" s="1030"/>
      <c r="J2994" s="690"/>
      <c r="K2994" s="1030">
        <v>2007762</v>
      </c>
      <c r="L2994" s="690">
        <v>2375217</v>
      </c>
      <c r="M2994" s="1025">
        <v>10657592</v>
      </c>
      <c r="N2994" s="1030"/>
      <c r="O2994" s="692">
        <f t="shared" si="389"/>
        <v>10657592</v>
      </c>
      <c r="P2994" s="690">
        <v>12475571</v>
      </c>
      <c r="Q2994" s="690"/>
      <c r="R2994" s="691">
        <f t="shared" si="390"/>
        <v>12475571</v>
      </c>
      <c r="S2994" s="692">
        <f t="shared" si="391"/>
        <v>22894177</v>
      </c>
      <c r="T2994" s="693">
        <f t="shared" si="392"/>
        <v>24381005</v>
      </c>
      <c r="U2994" s="1035"/>
      <c r="V2994" s="690"/>
      <c r="W2994" s="1025"/>
      <c r="X2994" s="1030"/>
      <c r="Y2994" s="694">
        <f t="shared" si="393"/>
        <v>0</v>
      </c>
      <c r="Z2994" s="690"/>
      <c r="AA2994" s="690"/>
      <c r="AB2994" s="695">
        <f t="shared" si="394"/>
        <v>0</v>
      </c>
      <c r="AC2994" s="1035"/>
      <c r="AD2994" s="690"/>
      <c r="AE2994" s="1025"/>
      <c r="AF2994" s="1030"/>
      <c r="AG2994" s="690"/>
      <c r="AH2994" s="690"/>
      <c r="AI2994" s="696">
        <f t="shared" si="395"/>
        <v>22894177</v>
      </c>
      <c r="AJ2994" s="697">
        <f t="shared" si="396"/>
        <v>24381005</v>
      </c>
    </row>
    <row r="2995" spans="1:36" s="700" customFormat="1" ht="12.75" customHeight="1">
      <c r="A2995" s="755" t="s">
        <v>207</v>
      </c>
      <c r="B2995" s="755" t="s">
        <v>392</v>
      </c>
      <c r="C2995" s="762" t="s">
        <v>1712</v>
      </c>
      <c r="D2995" s="762"/>
      <c r="E2995" s="973">
        <v>228608</v>
      </c>
      <c r="F2995" s="763">
        <v>9</v>
      </c>
      <c r="G2995" s="1025">
        <v>10433329</v>
      </c>
      <c r="H2995" s="690">
        <v>10107026</v>
      </c>
      <c r="I2995" s="1030"/>
      <c r="J2995" s="690"/>
      <c r="K2995" s="1030">
        <v>6837636</v>
      </c>
      <c r="L2995" s="690">
        <v>7082194</v>
      </c>
      <c r="M2995" s="1025">
        <v>12129229</v>
      </c>
      <c r="N2995" s="1030"/>
      <c r="O2995" s="692">
        <f t="shared" si="389"/>
        <v>12129229</v>
      </c>
      <c r="P2995" s="690">
        <v>15014499</v>
      </c>
      <c r="Q2995" s="690"/>
      <c r="R2995" s="691">
        <f t="shared" si="390"/>
        <v>15014499</v>
      </c>
      <c r="S2995" s="692">
        <f t="shared" si="391"/>
        <v>29400194</v>
      </c>
      <c r="T2995" s="693">
        <f t="shared" si="392"/>
        <v>32203719</v>
      </c>
      <c r="U2995" s="1035"/>
      <c r="V2995" s="690"/>
      <c r="W2995" s="1025"/>
      <c r="X2995" s="1030"/>
      <c r="Y2995" s="694">
        <f t="shared" si="393"/>
        <v>0</v>
      </c>
      <c r="Z2995" s="690"/>
      <c r="AA2995" s="690"/>
      <c r="AB2995" s="695">
        <f t="shared" si="394"/>
        <v>0</v>
      </c>
      <c r="AC2995" s="1035"/>
      <c r="AD2995" s="690"/>
      <c r="AE2995" s="1025"/>
      <c r="AF2995" s="1030"/>
      <c r="AG2995" s="690"/>
      <c r="AH2995" s="690"/>
      <c r="AI2995" s="696">
        <f t="shared" si="395"/>
        <v>29400194</v>
      </c>
      <c r="AJ2995" s="697">
        <f t="shared" si="396"/>
        <v>32203719</v>
      </c>
    </row>
    <row r="2996" spans="1:36" s="700" customFormat="1" ht="12.75" customHeight="1">
      <c r="A2996" s="755" t="s">
        <v>207</v>
      </c>
      <c r="B2996" s="755" t="s">
        <v>392</v>
      </c>
      <c r="C2996" s="762" t="s">
        <v>1713</v>
      </c>
      <c r="D2996" s="762"/>
      <c r="E2996" s="973">
        <v>228699</v>
      </c>
      <c r="F2996" s="763">
        <v>9</v>
      </c>
      <c r="G2996" s="1025">
        <v>11443437</v>
      </c>
      <c r="H2996" s="690">
        <v>11471780</v>
      </c>
      <c r="I2996" s="1030"/>
      <c r="J2996" s="690"/>
      <c r="K2996" s="1030">
        <v>1169480</v>
      </c>
      <c r="L2996" s="690">
        <v>1261791</v>
      </c>
      <c r="M2996" s="1025">
        <v>6697710</v>
      </c>
      <c r="N2996" s="1030"/>
      <c r="O2996" s="692">
        <f t="shared" si="389"/>
        <v>6697710</v>
      </c>
      <c r="P2996" s="690">
        <v>8325977</v>
      </c>
      <c r="Q2996" s="690"/>
      <c r="R2996" s="691">
        <f t="shared" si="390"/>
        <v>8325977</v>
      </c>
      <c r="S2996" s="692">
        <f t="shared" si="391"/>
        <v>19310627</v>
      </c>
      <c r="T2996" s="693">
        <f t="shared" si="392"/>
        <v>21059548</v>
      </c>
      <c r="U2996" s="1035"/>
      <c r="V2996" s="690"/>
      <c r="W2996" s="1025"/>
      <c r="X2996" s="1030"/>
      <c r="Y2996" s="694">
        <f t="shared" si="393"/>
        <v>0</v>
      </c>
      <c r="Z2996" s="690"/>
      <c r="AA2996" s="690"/>
      <c r="AB2996" s="695">
        <f t="shared" si="394"/>
        <v>0</v>
      </c>
      <c r="AC2996" s="1035"/>
      <c r="AD2996" s="690"/>
      <c r="AE2996" s="1025"/>
      <c r="AF2996" s="1030"/>
      <c r="AG2996" s="690"/>
      <c r="AH2996" s="690"/>
      <c r="AI2996" s="696">
        <f t="shared" si="395"/>
        <v>19310627</v>
      </c>
      <c r="AJ2996" s="697">
        <f t="shared" si="396"/>
        <v>21059548</v>
      </c>
    </row>
    <row r="2997" spans="1:36" s="700" customFormat="1" ht="12.75" customHeight="1">
      <c r="A2997" s="755" t="s">
        <v>207</v>
      </c>
      <c r="B2997" s="755" t="s">
        <v>392</v>
      </c>
      <c r="C2997" s="762" t="s">
        <v>1714</v>
      </c>
      <c r="D2997" s="762"/>
      <c r="E2997" s="973">
        <v>229319</v>
      </c>
      <c r="F2997" s="763">
        <v>9</v>
      </c>
      <c r="G2997" s="1025">
        <v>24243952</v>
      </c>
      <c r="H2997" s="690">
        <v>22781716</v>
      </c>
      <c r="I2997" s="1030"/>
      <c r="J2997" s="690"/>
      <c r="K2997" s="1030"/>
      <c r="L2997" s="690"/>
      <c r="M2997" s="1025">
        <v>8103884</v>
      </c>
      <c r="N2997" s="1030"/>
      <c r="O2997" s="692">
        <f t="shared" si="389"/>
        <v>8103884</v>
      </c>
      <c r="P2997" s="690">
        <v>13555214</v>
      </c>
      <c r="Q2997" s="690"/>
      <c r="R2997" s="691">
        <f t="shared" si="390"/>
        <v>13555214</v>
      </c>
      <c r="S2997" s="692">
        <f t="shared" si="391"/>
        <v>32347836</v>
      </c>
      <c r="T2997" s="693">
        <f t="shared" si="392"/>
        <v>36336930</v>
      </c>
      <c r="U2997" s="1035"/>
      <c r="V2997" s="690"/>
      <c r="W2997" s="1025"/>
      <c r="X2997" s="1030"/>
      <c r="Y2997" s="694">
        <f t="shared" si="393"/>
        <v>0</v>
      </c>
      <c r="Z2997" s="690"/>
      <c r="AA2997" s="690"/>
      <c r="AB2997" s="695">
        <f t="shared" si="394"/>
        <v>0</v>
      </c>
      <c r="AC2997" s="1035"/>
      <c r="AD2997" s="690"/>
      <c r="AE2997" s="1025"/>
      <c r="AF2997" s="1030"/>
      <c r="AG2997" s="690"/>
      <c r="AH2997" s="690"/>
      <c r="AI2997" s="696">
        <f t="shared" si="395"/>
        <v>32347836</v>
      </c>
      <c r="AJ2997" s="697">
        <f t="shared" si="396"/>
        <v>36336930</v>
      </c>
    </row>
    <row r="2998" spans="1:36" s="700" customFormat="1" ht="12.75" customHeight="1">
      <c r="A2998" s="755" t="s">
        <v>207</v>
      </c>
      <c r="B2998" s="755" t="s">
        <v>392</v>
      </c>
      <c r="C2998" s="893" t="s">
        <v>1715</v>
      </c>
      <c r="D2998" s="1096" t="s">
        <v>1898</v>
      </c>
      <c r="E2998" s="973">
        <v>228680</v>
      </c>
      <c r="F2998" s="763">
        <v>9</v>
      </c>
      <c r="G2998" s="1025">
        <v>31780793</v>
      </c>
      <c r="H2998" s="690">
        <v>29685916</v>
      </c>
      <c r="I2998" s="1030"/>
      <c r="J2998" s="690"/>
      <c r="K2998" s="1030"/>
      <c r="L2998" s="690"/>
      <c r="M2998" s="1025">
        <v>9876246</v>
      </c>
      <c r="N2998" s="1030"/>
      <c r="O2998" s="692">
        <f t="shared" si="389"/>
        <v>9876246</v>
      </c>
      <c r="P2998" s="690">
        <v>18226740</v>
      </c>
      <c r="Q2998" s="690"/>
      <c r="R2998" s="691">
        <f t="shared" si="390"/>
        <v>18226740</v>
      </c>
      <c r="S2998" s="692">
        <f t="shared" si="391"/>
        <v>41657039</v>
      </c>
      <c r="T2998" s="693">
        <f t="shared" si="392"/>
        <v>47912656</v>
      </c>
      <c r="U2998" s="1035"/>
      <c r="V2998" s="690"/>
      <c r="W2998" s="1025"/>
      <c r="X2998" s="1030"/>
      <c r="Y2998" s="694">
        <f t="shared" si="393"/>
        <v>0</v>
      </c>
      <c r="Z2998" s="690"/>
      <c r="AA2998" s="690"/>
      <c r="AB2998" s="695">
        <f t="shared" si="394"/>
        <v>0</v>
      </c>
      <c r="AC2998" s="1035"/>
      <c r="AD2998" s="690"/>
      <c r="AE2998" s="1025"/>
      <c r="AF2998" s="1030"/>
      <c r="AG2998" s="690"/>
      <c r="AH2998" s="690"/>
      <c r="AI2998" s="696">
        <f t="shared" si="395"/>
        <v>41657039</v>
      </c>
      <c r="AJ2998" s="697">
        <f t="shared" si="396"/>
        <v>47912656</v>
      </c>
    </row>
    <row r="2999" spans="1:36" s="700" customFormat="1" ht="12.75" customHeight="1">
      <c r="A2999" s="755" t="s">
        <v>207</v>
      </c>
      <c r="B2999" s="755" t="s">
        <v>392</v>
      </c>
      <c r="C2999" s="893" t="s">
        <v>1716</v>
      </c>
      <c r="D2999" s="1096" t="s">
        <v>1898</v>
      </c>
      <c r="E2999" s="973">
        <v>225308</v>
      </c>
      <c r="F2999" s="763">
        <v>9</v>
      </c>
      <c r="G2999" s="1025">
        <v>14516834</v>
      </c>
      <c r="H2999" s="690">
        <v>13334592</v>
      </c>
      <c r="I2999" s="1030"/>
      <c r="J2999" s="690"/>
      <c r="K2999" s="1030">
        <v>6620212</v>
      </c>
      <c r="L2999" s="690">
        <v>7296294</v>
      </c>
      <c r="M2999" s="1025">
        <v>6954114</v>
      </c>
      <c r="N2999" s="1030"/>
      <c r="O2999" s="692">
        <f t="shared" si="389"/>
        <v>6954114</v>
      </c>
      <c r="P2999" s="690">
        <v>8588929</v>
      </c>
      <c r="Q2999" s="690"/>
      <c r="R2999" s="691">
        <f t="shared" si="390"/>
        <v>8588929</v>
      </c>
      <c r="S2999" s="692">
        <f t="shared" si="391"/>
        <v>28091160</v>
      </c>
      <c r="T2999" s="693">
        <f t="shared" si="392"/>
        <v>29219815</v>
      </c>
      <c r="U2999" s="1035"/>
      <c r="V2999" s="690"/>
      <c r="W2999" s="1025"/>
      <c r="X2999" s="1030"/>
      <c r="Y2999" s="694">
        <f t="shared" si="393"/>
        <v>0</v>
      </c>
      <c r="Z2999" s="690"/>
      <c r="AA2999" s="690"/>
      <c r="AB2999" s="695">
        <f t="shared" si="394"/>
        <v>0</v>
      </c>
      <c r="AC2999" s="1035"/>
      <c r="AD2999" s="690"/>
      <c r="AE2999" s="1025"/>
      <c r="AF2999" s="1030"/>
      <c r="AG2999" s="690"/>
      <c r="AH2999" s="690"/>
      <c r="AI2999" s="696">
        <f t="shared" si="395"/>
        <v>28091160</v>
      </c>
      <c r="AJ2999" s="697">
        <f t="shared" si="396"/>
        <v>29219815</v>
      </c>
    </row>
    <row r="3000" spans="1:36" s="700" customFormat="1" ht="12.75" customHeight="1">
      <c r="A3000" s="755" t="s">
        <v>207</v>
      </c>
      <c r="B3000" s="755" t="s">
        <v>392</v>
      </c>
      <c r="C3000" s="762" t="s">
        <v>1717</v>
      </c>
      <c r="D3000" s="762"/>
      <c r="E3000" s="973">
        <v>229504</v>
      </c>
      <c r="F3000" s="763">
        <v>9</v>
      </c>
      <c r="G3000" s="1025">
        <v>7428821</v>
      </c>
      <c r="H3000" s="690">
        <v>7232905</v>
      </c>
      <c r="I3000" s="1030"/>
      <c r="J3000" s="690"/>
      <c r="K3000" s="1030">
        <v>2020065</v>
      </c>
      <c r="L3000" s="690">
        <v>2023749</v>
      </c>
      <c r="M3000" s="1025">
        <v>6924739</v>
      </c>
      <c r="N3000" s="1030"/>
      <c r="O3000" s="692">
        <f t="shared" si="389"/>
        <v>6924739</v>
      </c>
      <c r="P3000" s="690">
        <v>8693040</v>
      </c>
      <c r="Q3000" s="690"/>
      <c r="R3000" s="691">
        <f t="shared" si="390"/>
        <v>8693040</v>
      </c>
      <c r="S3000" s="692">
        <f t="shared" si="391"/>
        <v>16373625</v>
      </c>
      <c r="T3000" s="693">
        <f t="shared" si="392"/>
        <v>17949694</v>
      </c>
      <c r="U3000" s="1035"/>
      <c r="V3000" s="690"/>
      <c r="W3000" s="1025"/>
      <c r="X3000" s="1030"/>
      <c r="Y3000" s="694">
        <f t="shared" si="393"/>
        <v>0</v>
      </c>
      <c r="Z3000" s="690"/>
      <c r="AA3000" s="690"/>
      <c r="AB3000" s="695">
        <f t="shared" si="394"/>
        <v>0</v>
      </c>
      <c r="AC3000" s="1035"/>
      <c r="AD3000" s="690"/>
      <c r="AE3000" s="1025"/>
      <c r="AF3000" s="1030"/>
      <c r="AG3000" s="690"/>
      <c r="AH3000" s="690"/>
      <c r="AI3000" s="696">
        <f t="shared" si="395"/>
        <v>16373625</v>
      </c>
      <c r="AJ3000" s="697">
        <f t="shared" si="396"/>
        <v>17949694</v>
      </c>
    </row>
    <row r="3001" spans="1:36" s="700" customFormat="1" ht="12.75" customHeight="1">
      <c r="A3001" s="755" t="s">
        <v>207</v>
      </c>
      <c r="B3001" s="755" t="s">
        <v>392</v>
      </c>
      <c r="C3001" s="762" t="s">
        <v>1718</v>
      </c>
      <c r="D3001" s="762"/>
      <c r="E3001" s="973">
        <v>229540</v>
      </c>
      <c r="F3001" s="763">
        <v>9</v>
      </c>
      <c r="G3001" s="1025">
        <v>9341063</v>
      </c>
      <c r="H3001" s="690">
        <v>8898977</v>
      </c>
      <c r="I3001" s="1030"/>
      <c r="J3001" s="690"/>
      <c r="K3001" s="1030">
        <v>7207006</v>
      </c>
      <c r="L3001" s="690">
        <v>7620356</v>
      </c>
      <c r="M3001" s="1025">
        <v>7340080</v>
      </c>
      <c r="N3001" s="1030"/>
      <c r="O3001" s="692">
        <f t="shared" si="389"/>
        <v>7340080</v>
      </c>
      <c r="P3001" s="690">
        <v>10826394</v>
      </c>
      <c r="Q3001" s="690"/>
      <c r="R3001" s="691">
        <f t="shared" si="390"/>
        <v>10826394</v>
      </c>
      <c r="S3001" s="692">
        <f t="shared" si="391"/>
        <v>23888149</v>
      </c>
      <c r="T3001" s="693">
        <f t="shared" si="392"/>
        <v>27345727</v>
      </c>
      <c r="U3001" s="1035"/>
      <c r="V3001" s="690"/>
      <c r="W3001" s="1025"/>
      <c r="X3001" s="1030"/>
      <c r="Y3001" s="694">
        <f t="shared" si="393"/>
        <v>0</v>
      </c>
      <c r="Z3001" s="690"/>
      <c r="AA3001" s="690"/>
      <c r="AB3001" s="695">
        <f t="shared" si="394"/>
        <v>0</v>
      </c>
      <c r="AC3001" s="1035"/>
      <c r="AD3001" s="690"/>
      <c r="AE3001" s="1025"/>
      <c r="AF3001" s="1030"/>
      <c r="AG3001" s="690"/>
      <c r="AH3001" s="690"/>
      <c r="AI3001" s="696">
        <f t="shared" si="395"/>
        <v>23888149</v>
      </c>
      <c r="AJ3001" s="697">
        <f t="shared" si="396"/>
        <v>27345727</v>
      </c>
    </row>
    <row r="3002" spans="1:36" s="700" customFormat="1" ht="12.75" customHeight="1">
      <c r="A3002" s="755" t="s">
        <v>207</v>
      </c>
      <c r="B3002" s="755" t="s">
        <v>392</v>
      </c>
      <c r="C3002" s="762" t="s">
        <v>1719</v>
      </c>
      <c r="D3002" s="762"/>
      <c r="E3002" s="973">
        <v>229799</v>
      </c>
      <c r="F3002" s="763">
        <v>9</v>
      </c>
      <c r="G3002" s="1025">
        <v>10396643</v>
      </c>
      <c r="H3002" s="690">
        <v>10012003</v>
      </c>
      <c r="I3002" s="1030"/>
      <c r="J3002" s="690"/>
      <c r="K3002" s="1030">
        <v>9700078</v>
      </c>
      <c r="L3002" s="690">
        <v>9856299</v>
      </c>
      <c r="M3002" s="1025">
        <v>8761406</v>
      </c>
      <c r="N3002" s="1030"/>
      <c r="O3002" s="692">
        <f t="shared" si="389"/>
        <v>8761406</v>
      </c>
      <c r="P3002" s="690">
        <v>10145660</v>
      </c>
      <c r="Q3002" s="690"/>
      <c r="R3002" s="691">
        <f t="shared" si="390"/>
        <v>10145660</v>
      </c>
      <c r="S3002" s="692">
        <f t="shared" si="391"/>
        <v>28858127</v>
      </c>
      <c r="T3002" s="693">
        <f t="shared" si="392"/>
        <v>30013962</v>
      </c>
      <c r="U3002" s="1035"/>
      <c r="V3002" s="690"/>
      <c r="W3002" s="1025"/>
      <c r="X3002" s="1030"/>
      <c r="Y3002" s="694">
        <f t="shared" si="393"/>
        <v>0</v>
      </c>
      <c r="Z3002" s="690"/>
      <c r="AA3002" s="690"/>
      <c r="AB3002" s="695">
        <f t="shared" si="394"/>
        <v>0</v>
      </c>
      <c r="AC3002" s="1035"/>
      <c r="AD3002" s="690"/>
      <c r="AE3002" s="1025"/>
      <c r="AF3002" s="1030"/>
      <c r="AG3002" s="690"/>
      <c r="AH3002" s="690"/>
      <c r="AI3002" s="696">
        <f t="shared" si="395"/>
        <v>28858127</v>
      </c>
      <c r="AJ3002" s="697">
        <f t="shared" si="396"/>
        <v>30013962</v>
      </c>
    </row>
    <row r="3003" spans="1:36" s="700" customFormat="1" ht="12.75" customHeight="1">
      <c r="A3003" s="755" t="s">
        <v>207</v>
      </c>
      <c r="B3003" s="755" t="s">
        <v>392</v>
      </c>
      <c r="C3003" s="762" t="s">
        <v>1720</v>
      </c>
      <c r="D3003" s="762"/>
      <c r="E3003" s="973">
        <v>229841</v>
      </c>
      <c r="F3003" s="763">
        <v>9</v>
      </c>
      <c r="G3003" s="1025">
        <v>11041910</v>
      </c>
      <c r="H3003" s="690">
        <v>10989373</v>
      </c>
      <c r="I3003" s="1030"/>
      <c r="J3003" s="690"/>
      <c r="K3003" s="1030">
        <v>4730172</v>
      </c>
      <c r="L3003" s="690">
        <v>5145546</v>
      </c>
      <c r="M3003" s="1025">
        <v>13421248</v>
      </c>
      <c r="N3003" s="1030"/>
      <c r="O3003" s="692">
        <f t="shared" si="389"/>
        <v>13421248</v>
      </c>
      <c r="P3003" s="690">
        <v>16722943</v>
      </c>
      <c r="Q3003" s="690"/>
      <c r="R3003" s="691">
        <f t="shared" si="390"/>
        <v>16722943</v>
      </c>
      <c r="S3003" s="692">
        <f t="shared" si="391"/>
        <v>29193330</v>
      </c>
      <c r="T3003" s="693">
        <f t="shared" si="392"/>
        <v>32857862</v>
      </c>
      <c r="U3003" s="1035"/>
      <c r="V3003" s="690"/>
      <c r="W3003" s="1025"/>
      <c r="X3003" s="1030"/>
      <c r="Y3003" s="694">
        <f t="shared" si="393"/>
        <v>0</v>
      </c>
      <c r="Z3003" s="690"/>
      <c r="AA3003" s="690"/>
      <c r="AB3003" s="695">
        <f t="shared" si="394"/>
        <v>0</v>
      </c>
      <c r="AC3003" s="1035"/>
      <c r="AD3003" s="690"/>
      <c r="AE3003" s="1025"/>
      <c r="AF3003" s="1030"/>
      <c r="AG3003" s="690"/>
      <c r="AH3003" s="690"/>
      <c r="AI3003" s="696">
        <f t="shared" si="395"/>
        <v>29193330</v>
      </c>
      <c r="AJ3003" s="697">
        <f t="shared" si="396"/>
        <v>32857862</v>
      </c>
    </row>
    <row r="3004" spans="1:36" s="700" customFormat="1" ht="12.75" customHeight="1">
      <c r="A3004" s="755" t="s">
        <v>207</v>
      </c>
      <c r="B3004" s="755" t="s">
        <v>392</v>
      </c>
      <c r="C3004" s="762" t="s">
        <v>1721</v>
      </c>
      <c r="D3004" s="762"/>
      <c r="E3004" s="973">
        <v>223922</v>
      </c>
      <c r="F3004" s="763">
        <v>10</v>
      </c>
      <c r="G3004" s="1025">
        <v>3385972</v>
      </c>
      <c r="H3004" s="690">
        <v>3225594</v>
      </c>
      <c r="I3004" s="1030"/>
      <c r="J3004" s="690"/>
      <c r="K3004" s="1030">
        <v>406819</v>
      </c>
      <c r="L3004" s="690">
        <v>408794</v>
      </c>
      <c r="M3004" s="1025">
        <v>2887752</v>
      </c>
      <c r="N3004" s="1030"/>
      <c r="O3004" s="692">
        <f t="shared" si="389"/>
        <v>2887752</v>
      </c>
      <c r="P3004" s="690">
        <v>3474441</v>
      </c>
      <c r="Q3004" s="690"/>
      <c r="R3004" s="691">
        <f t="shared" si="390"/>
        <v>3474441</v>
      </c>
      <c r="S3004" s="692">
        <f t="shared" si="391"/>
        <v>6680543</v>
      </c>
      <c r="T3004" s="693">
        <f t="shared" si="392"/>
        <v>7108829</v>
      </c>
      <c r="U3004" s="1035"/>
      <c r="V3004" s="690"/>
      <c r="W3004" s="1025"/>
      <c r="X3004" s="1030"/>
      <c r="Y3004" s="694">
        <f t="shared" si="393"/>
        <v>0</v>
      </c>
      <c r="Z3004" s="690"/>
      <c r="AA3004" s="690"/>
      <c r="AB3004" s="695">
        <f t="shared" si="394"/>
        <v>0</v>
      </c>
      <c r="AC3004" s="1035"/>
      <c r="AD3004" s="690"/>
      <c r="AE3004" s="1025"/>
      <c r="AF3004" s="1030"/>
      <c r="AG3004" s="690"/>
      <c r="AH3004" s="690"/>
      <c r="AI3004" s="696">
        <f t="shared" si="395"/>
        <v>6680543</v>
      </c>
      <c r="AJ3004" s="697">
        <f t="shared" si="396"/>
        <v>7108829</v>
      </c>
    </row>
    <row r="3005" spans="1:36" s="700" customFormat="1" ht="12.75" customHeight="1">
      <c r="A3005" s="755" t="s">
        <v>207</v>
      </c>
      <c r="B3005" s="755" t="s">
        <v>392</v>
      </c>
      <c r="C3005" s="762" t="s">
        <v>1722</v>
      </c>
      <c r="D3005" s="762"/>
      <c r="E3005" s="973">
        <v>224891</v>
      </c>
      <c r="F3005" s="763">
        <v>10</v>
      </c>
      <c r="G3005" s="1025">
        <v>3760138</v>
      </c>
      <c r="H3005" s="690">
        <v>3645168</v>
      </c>
      <c r="I3005" s="1030"/>
      <c r="J3005" s="690"/>
      <c r="K3005" s="1030">
        <v>1328560</v>
      </c>
      <c r="L3005" s="690">
        <v>1370015</v>
      </c>
      <c r="M3005" s="1025">
        <v>2969342</v>
      </c>
      <c r="N3005" s="1030"/>
      <c r="O3005" s="692">
        <f t="shared" si="389"/>
        <v>2969342</v>
      </c>
      <c r="P3005" s="690">
        <v>3053546</v>
      </c>
      <c r="Q3005" s="690"/>
      <c r="R3005" s="691">
        <f t="shared" si="390"/>
        <v>3053546</v>
      </c>
      <c r="S3005" s="692">
        <f t="shared" si="391"/>
        <v>8058040</v>
      </c>
      <c r="T3005" s="693">
        <f t="shared" si="392"/>
        <v>8068729</v>
      </c>
      <c r="U3005" s="1035"/>
      <c r="V3005" s="690"/>
      <c r="W3005" s="1025"/>
      <c r="X3005" s="1030"/>
      <c r="Y3005" s="694">
        <f t="shared" si="393"/>
        <v>0</v>
      </c>
      <c r="Z3005" s="690"/>
      <c r="AA3005" s="690"/>
      <c r="AB3005" s="695">
        <f t="shared" si="394"/>
        <v>0</v>
      </c>
      <c r="AC3005" s="1035"/>
      <c r="AD3005" s="690"/>
      <c r="AE3005" s="1025"/>
      <c r="AF3005" s="1030"/>
      <c r="AG3005" s="690"/>
      <c r="AH3005" s="690"/>
      <c r="AI3005" s="696">
        <f t="shared" si="395"/>
        <v>8058040</v>
      </c>
      <c r="AJ3005" s="697">
        <f t="shared" si="396"/>
        <v>8068729</v>
      </c>
    </row>
    <row r="3006" spans="1:36" s="700" customFormat="1" ht="12.75" customHeight="1">
      <c r="A3006" s="755" t="s">
        <v>207</v>
      </c>
      <c r="B3006" s="755" t="s">
        <v>392</v>
      </c>
      <c r="C3006" s="762" t="s">
        <v>1723</v>
      </c>
      <c r="D3006" s="762"/>
      <c r="E3006" s="973">
        <v>224961</v>
      </c>
      <c r="F3006" s="763">
        <v>10</v>
      </c>
      <c r="G3006" s="1025">
        <v>6185543</v>
      </c>
      <c r="H3006" s="690">
        <v>5900724</v>
      </c>
      <c r="I3006" s="1030"/>
      <c r="J3006" s="690"/>
      <c r="K3006" s="1030">
        <v>8724683</v>
      </c>
      <c r="L3006" s="690">
        <v>8159628</v>
      </c>
      <c r="M3006" s="1025">
        <v>2385033</v>
      </c>
      <c r="N3006" s="1030"/>
      <c r="O3006" s="692">
        <f t="shared" si="389"/>
        <v>2385033</v>
      </c>
      <c r="P3006" s="690">
        <v>2887535</v>
      </c>
      <c r="Q3006" s="690"/>
      <c r="R3006" s="691">
        <f t="shared" si="390"/>
        <v>2887535</v>
      </c>
      <c r="S3006" s="692">
        <f t="shared" si="391"/>
        <v>17295259</v>
      </c>
      <c r="T3006" s="693">
        <f t="shared" si="392"/>
        <v>16947887</v>
      </c>
      <c r="U3006" s="1035"/>
      <c r="V3006" s="690"/>
      <c r="W3006" s="1025"/>
      <c r="X3006" s="1030"/>
      <c r="Y3006" s="694">
        <f t="shared" si="393"/>
        <v>0</v>
      </c>
      <c r="Z3006" s="690"/>
      <c r="AA3006" s="690"/>
      <c r="AB3006" s="695">
        <f t="shared" si="394"/>
        <v>0</v>
      </c>
      <c r="AC3006" s="1035"/>
      <c r="AD3006" s="690"/>
      <c r="AE3006" s="1025"/>
      <c r="AF3006" s="1030"/>
      <c r="AG3006" s="690"/>
      <c r="AH3006" s="690"/>
      <c r="AI3006" s="696">
        <f t="shared" si="395"/>
        <v>17295259</v>
      </c>
      <c r="AJ3006" s="697">
        <f t="shared" si="396"/>
        <v>16947887</v>
      </c>
    </row>
    <row r="3007" spans="1:36" s="700" customFormat="1" ht="12.75" customHeight="1">
      <c r="A3007" s="755" t="s">
        <v>207</v>
      </c>
      <c r="B3007" s="755" t="s">
        <v>392</v>
      </c>
      <c r="C3007" s="762" t="s">
        <v>1724</v>
      </c>
      <c r="D3007" s="762"/>
      <c r="E3007" s="973">
        <v>226107</v>
      </c>
      <c r="F3007" s="763">
        <v>10</v>
      </c>
      <c r="G3007" s="1025">
        <v>8659358</v>
      </c>
      <c r="H3007" s="690">
        <v>8197575</v>
      </c>
      <c r="I3007" s="1030"/>
      <c r="J3007" s="690"/>
      <c r="K3007" s="1030"/>
      <c r="L3007" s="690"/>
      <c r="M3007" s="1025">
        <v>7830559</v>
      </c>
      <c r="N3007" s="1030">
        <v>24300</v>
      </c>
      <c r="O3007" s="692">
        <f t="shared" si="389"/>
        <v>7854859</v>
      </c>
      <c r="P3007" s="690">
        <v>9071193</v>
      </c>
      <c r="Q3007" s="690">
        <v>0</v>
      </c>
      <c r="R3007" s="691">
        <f t="shared" si="390"/>
        <v>9071193</v>
      </c>
      <c r="S3007" s="692">
        <f t="shared" si="391"/>
        <v>16489917</v>
      </c>
      <c r="T3007" s="693">
        <f t="shared" si="392"/>
        <v>17268768</v>
      </c>
      <c r="U3007" s="1035"/>
      <c r="V3007" s="690"/>
      <c r="W3007" s="1025"/>
      <c r="X3007" s="1030"/>
      <c r="Y3007" s="694">
        <f t="shared" si="393"/>
        <v>0</v>
      </c>
      <c r="Z3007" s="690"/>
      <c r="AA3007" s="690"/>
      <c r="AB3007" s="695">
        <f t="shared" si="394"/>
        <v>0</v>
      </c>
      <c r="AC3007" s="1035"/>
      <c r="AD3007" s="690"/>
      <c r="AE3007" s="1025"/>
      <c r="AF3007" s="1030"/>
      <c r="AG3007" s="690"/>
      <c r="AH3007" s="690"/>
      <c r="AI3007" s="696">
        <f t="shared" si="395"/>
        <v>16489917</v>
      </c>
      <c r="AJ3007" s="697">
        <f t="shared" si="396"/>
        <v>17268768</v>
      </c>
    </row>
    <row r="3008" spans="1:36" s="700" customFormat="1" ht="12.75" customHeight="1">
      <c r="A3008" s="755" t="s">
        <v>207</v>
      </c>
      <c r="B3008" s="755" t="s">
        <v>392</v>
      </c>
      <c r="C3008" s="1097" t="s">
        <v>1725</v>
      </c>
      <c r="D3008" s="1098" t="s">
        <v>1903</v>
      </c>
      <c r="E3008" s="973">
        <v>226116</v>
      </c>
      <c r="F3008" s="763">
        <v>10</v>
      </c>
      <c r="G3008" s="1025">
        <v>11419061</v>
      </c>
      <c r="H3008" s="690">
        <v>11151015</v>
      </c>
      <c r="I3008" s="1030"/>
      <c r="J3008" s="690"/>
      <c r="K3008" s="1030"/>
      <c r="L3008" s="690"/>
      <c r="M3008" s="1025">
        <v>6404696</v>
      </c>
      <c r="N3008" s="1030">
        <v>28000</v>
      </c>
      <c r="O3008" s="692">
        <f t="shared" si="389"/>
        <v>6432696</v>
      </c>
      <c r="P3008" s="690">
        <v>6117704</v>
      </c>
      <c r="Q3008" s="690">
        <v>0</v>
      </c>
      <c r="R3008" s="691">
        <f t="shared" si="390"/>
        <v>6117704</v>
      </c>
      <c r="S3008" s="692">
        <f t="shared" si="391"/>
        <v>17823757</v>
      </c>
      <c r="T3008" s="693">
        <f t="shared" si="392"/>
        <v>17268719</v>
      </c>
      <c r="U3008" s="1035"/>
      <c r="V3008" s="690"/>
      <c r="W3008" s="1025"/>
      <c r="X3008" s="1030"/>
      <c r="Y3008" s="694">
        <f t="shared" si="393"/>
        <v>0</v>
      </c>
      <c r="Z3008" s="690"/>
      <c r="AA3008" s="690"/>
      <c r="AB3008" s="695">
        <f t="shared" si="394"/>
        <v>0</v>
      </c>
      <c r="AC3008" s="1035"/>
      <c r="AD3008" s="690"/>
      <c r="AE3008" s="1025"/>
      <c r="AF3008" s="1030"/>
      <c r="AG3008" s="690"/>
      <c r="AH3008" s="690"/>
      <c r="AI3008" s="696">
        <f t="shared" si="395"/>
        <v>17823757</v>
      </c>
      <c r="AJ3008" s="697">
        <f t="shared" si="396"/>
        <v>17268719</v>
      </c>
    </row>
    <row r="3009" spans="1:36" s="700" customFormat="1" ht="12.75" customHeight="1">
      <c r="A3009" s="755" t="s">
        <v>207</v>
      </c>
      <c r="B3009" s="755" t="s">
        <v>392</v>
      </c>
      <c r="C3009" s="980" t="s">
        <v>1726</v>
      </c>
      <c r="D3009" s="980"/>
      <c r="E3009" s="973" t="s">
        <v>1727</v>
      </c>
      <c r="F3009" s="763">
        <v>10</v>
      </c>
      <c r="G3009" s="1025"/>
      <c r="H3009" s="690"/>
      <c r="I3009" s="1030"/>
      <c r="J3009" s="690"/>
      <c r="K3009" s="1030"/>
      <c r="L3009" s="690"/>
      <c r="M3009" s="1025"/>
      <c r="N3009" s="1030"/>
      <c r="O3009" s="692">
        <f t="shared" si="389"/>
        <v>0</v>
      </c>
      <c r="P3009" s="690"/>
      <c r="Q3009" s="690"/>
      <c r="R3009" s="691">
        <f t="shared" si="390"/>
        <v>0</v>
      </c>
      <c r="S3009" s="692">
        <f t="shared" si="391"/>
        <v>0</v>
      </c>
      <c r="T3009" s="693">
        <f t="shared" si="392"/>
        <v>0</v>
      </c>
      <c r="U3009" s="1035"/>
      <c r="V3009" s="690"/>
      <c r="W3009" s="1025"/>
      <c r="X3009" s="1030"/>
      <c r="Y3009" s="694">
        <f t="shared" si="393"/>
        <v>0</v>
      </c>
      <c r="Z3009" s="690"/>
      <c r="AA3009" s="690"/>
      <c r="AB3009" s="695">
        <f t="shared" si="394"/>
        <v>0</v>
      </c>
      <c r="AC3009" s="1035"/>
      <c r="AD3009" s="690"/>
      <c r="AE3009" s="1025"/>
      <c r="AF3009" s="1030"/>
      <c r="AG3009" s="690"/>
      <c r="AH3009" s="690"/>
      <c r="AI3009" s="696">
        <f t="shared" si="395"/>
        <v>0</v>
      </c>
      <c r="AJ3009" s="697">
        <f t="shared" si="396"/>
        <v>0</v>
      </c>
    </row>
    <row r="3010" spans="1:36" s="700" customFormat="1" ht="12.75" customHeight="1">
      <c r="A3010" s="755" t="s">
        <v>207</v>
      </c>
      <c r="B3010" s="755" t="s">
        <v>392</v>
      </c>
      <c r="C3010" s="893" t="s">
        <v>1728</v>
      </c>
      <c r="D3010" s="1096" t="s">
        <v>1901</v>
      </c>
      <c r="E3010" s="973">
        <v>227225</v>
      </c>
      <c r="F3010" s="763">
        <v>10</v>
      </c>
      <c r="G3010" s="1025">
        <v>5539312</v>
      </c>
      <c r="H3010" s="690">
        <v>5282681</v>
      </c>
      <c r="I3010" s="1030"/>
      <c r="J3010" s="690"/>
      <c r="K3010" s="1030">
        <v>4348514</v>
      </c>
      <c r="L3010" s="690">
        <v>4748097</v>
      </c>
      <c r="M3010" s="1025">
        <v>4711823</v>
      </c>
      <c r="N3010" s="1030"/>
      <c r="O3010" s="692">
        <f t="shared" si="389"/>
        <v>4711823</v>
      </c>
      <c r="P3010" s="690">
        <v>6010530</v>
      </c>
      <c r="Q3010" s="690"/>
      <c r="R3010" s="691">
        <f t="shared" si="390"/>
        <v>6010530</v>
      </c>
      <c r="S3010" s="692">
        <f t="shared" si="391"/>
        <v>14599649</v>
      </c>
      <c r="T3010" s="693">
        <f t="shared" si="392"/>
        <v>16041308</v>
      </c>
      <c r="U3010" s="1035"/>
      <c r="V3010" s="690"/>
      <c r="W3010" s="1025"/>
      <c r="X3010" s="1030"/>
      <c r="Y3010" s="694">
        <f t="shared" si="393"/>
        <v>0</v>
      </c>
      <c r="Z3010" s="690"/>
      <c r="AA3010" s="690"/>
      <c r="AB3010" s="695">
        <f t="shared" si="394"/>
        <v>0</v>
      </c>
      <c r="AC3010" s="1035"/>
      <c r="AD3010" s="690"/>
      <c r="AE3010" s="1025"/>
      <c r="AF3010" s="1030"/>
      <c r="AG3010" s="690"/>
      <c r="AH3010" s="690"/>
      <c r="AI3010" s="696">
        <f t="shared" si="395"/>
        <v>14599649</v>
      </c>
      <c r="AJ3010" s="697">
        <f t="shared" si="396"/>
        <v>16041308</v>
      </c>
    </row>
    <row r="3011" spans="1:36" s="700" customFormat="1" ht="12.75" customHeight="1">
      <c r="A3011" s="755" t="s">
        <v>207</v>
      </c>
      <c r="B3011" s="755" t="s">
        <v>392</v>
      </c>
      <c r="C3011" s="762" t="s">
        <v>1729</v>
      </c>
      <c r="D3011" s="762"/>
      <c r="E3011" s="973">
        <v>227386</v>
      </c>
      <c r="F3011" s="763">
        <v>10</v>
      </c>
      <c r="G3011" s="1025">
        <v>4931902</v>
      </c>
      <c r="H3011" s="690">
        <v>4516826</v>
      </c>
      <c r="I3011" s="1030"/>
      <c r="J3011" s="690"/>
      <c r="K3011" s="1030">
        <v>5157869</v>
      </c>
      <c r="L3011" s="690">
        <v>5307917</v>
      </c>
      <c r="M3011" s="1025">
        <v>4103009</v>
      </c>
      <c r="N3011" s="1030"/>
      <c r="O3011" s="692">
        <f t="shared" si="389"/>
        <v>4103009</v>
      </c>
      <c r="P3011" s="690">
        <v>4601717</v>
      </c>
      <c r="Q3011" s="690"/>
      <c r="R3011" s="691">
        <f t="shared" si="390"/>
        <v>4601717</v>
      </c>
      <c r="S3011" s="692">
        <f t="shared" si="391"/>
        <v>14192780</v>
      </c>
      <c r="T3011" s="693">
        <f t="shared" si="392"/>
        <v>14426460</v>
      </c>
      <c r="U3011" s="1035"/>
      <c r="V3011" s="690"/>
      <c r="W3011" s="1025"/>
      <c r="X3011" s="1030"/>
      <c r="Y3011" s="694">
        <f t="shared" si="393"/>
        <v>0</v>
      </c>
      <c r="Z3011" s="690"/>
      <c r="AA3011" s="690"/>
      <c r="AB3011" s="695">
        <f t="shared" si="394"/>
        <v>0</v>
      </c>
      <c r="AC3011" s="1035"/>
      <c r="AD3011" s="690"/>
      <c r="AE3011" s="1025"/>
      <c r="AF3011" s="1030"/>
      <c r="AG3011" s="690"/>
      <c r="AH3011" s="690"/>
      <c r="AI3011" s="696">
        <f t="shared" si="395"/>
        <v>14192780</v>
      </c>
      <c r="AJ3011" s="697">
        <f t="shared" si="396"/>
        <v>14426460</v>
      </c>
    </row>
    <row r="3012" spans="1:36" s="700" customFormat="1" ht="12.75" customHeight="1">
      <c r="A3012" s="755" t="s">
        <v>207</v>
      </c>
      <c r="B3012" s="755" t="s">
        <v>392</v>
      </c>
      <c r="C3012" s="762" t="s">
        <v>1730</v>
      </c>
      <c r="D3012" s="762"/>
      <c r="E3012" s="973">
        <v>227687</v>
      </c>
      <c r="F3012" s="763">
        <v>10</v>
      </c>
      <c r="G3012" s="1025">
        <v>2587497</v>
      </c>
      <c r="H3012" s="690">
        <v>2578665</v>
      </c>
      <c r="I3012" s="1030"/>
      <c r="J3012" s="690"/>
      <c r="K3012" s="1030">
        <v>190144</v>
      </c>
      <c r="L3012" s="690">
        <v>190400</v>
      </c>
      <c r="M3012" s="1025">
        <v>1403516</v>
      </c>
      <c r="N3012" s="1030"/>
      <c r="O3012" s="692">
        <f t="shared" si="389"/>
        <v>1403516</v>
      </c>
      <c r="P3012" s="690">
        <v>1403516</v>
      </c>
      <c r="Q3012" s="690"/>
      <c r="R3012" s="691">
        <f t="shared" si="390"/>
        <v>1403516</v>
      </c>
      <c r="S3012" s="692">
        <f t="shared" si="391"/>
        <v>4181157</v>
      </c>
      <c r="T3012" s="693">
        <f t="shared" si="392"/>
        <v>4172581</v>
      </c>
      <c r="U3012" s="1035"/>
      <c r="V3012" s="690"/>
      <c r="W3012" s="1025"/>
      <c r="X3012" s="1030"/>
      <c r="Y3012" s="694">
        <f t="shared" si="393"/>
        <v>0</v>
      </c>
      <c r="Z3012" s="690"/>
      <c r="AA3012" s="690"/>
      <c r="AB3012" s="695">
        <f t="shared" si="394"/>
        <v>0</v>
      </c>
      <c r="AC3012" s="1035"/>
      <c r="AD3012" s="690"/>
      <c r="AE3012" s="1025"/>
      <c r="AF3012" s="1030"/>
      <c r="AG3012" s="690"/>
      <c r="AH3012" s="690"/>
      <c r="AI3012" s="696">
        <f t="shared" si="395"/>
        <v>4181157</v>
      </c>
      <c r="AJ3012" s="697">
        <f t="shared" si="396"/>
        <v>4172581</v>
      </c>
    </row>
    <row r="3013" spans="1:36" s="700" customFormat="1" ht="12.75" customHeight="1">
      <c r="A3013" s="755" t="s">
        <v>207</v>
      </c>
      <c r="B3013" s="755" t="s">
        <v>392</v>
      </c>
      <c r="C3013" s="981" t="s">
        <v>1731</v>
      </c>
      <c r="D3013" s="981"/>
      <c r="E3013" s="973">
        <v>382911</v>
      </c>
      <c r="F3013" s="763">
        <v>10</v>
      </c>
      <c r="G3013" s="1025"/>
      <c r="H3013" s="690"/>
      <c r="I3013" s="1030"/>
      <c r="J3013" s="690"/>
      <c r="K3013" s="1030"/>
      <c r="L3013" s="690"/>
      <c r="M3013" s="1025"/>
      <c r="N3013" s="1030"/>
      <c r="O3013" s="692">
        <f t="shared" si="389"/>
        <v>0</v>
      </c>
      <c r="P3013" s="690"/>
      <c r="Q3013" s="690"/>
      <c r="R3013" s="691">
        <f t="shared" si="390"/>
        <v>0</v>
      </c>
      <c r="S3013" s="692">
        <f t="shared" si="391"/>
        <v>0</v>
      </c>
      <c r="T3013" s="693">
        <f t="shared" si="392"/>
        <v>0</v>
      </c>
      <c r="U3013" s="1035"/>
      <c r="V3013" s="690"/>
      <c r="W3013" s="1025"/>
      <c r="X3013" s="1030"/>
      <c r="Y3013" s="694">
        <f t="shared" si="393"/>
        <v>0</v>
      </c>
      <c r="Z3013" s="690"/>
      <c r="AA3013" s="690"/>
      <c r="AB3013" s="695">
        <f t="shared" si="394"/>
        <v>0</v>
      </c>
      <c r="AC3013" s="1035"/>
      <c r="AD3013" s="690"/>
      <c r="AE3013" s="1025"/>
      <c r="AF3013" s="1030"/>
      <c r="AG3013" s="690"/>
      <c r="AH3013" s="690"/>
      <c r="AI3013" s="696">
        <f t="shared" si="395"/>
        <v>0</v>
      </c>
      <c r="AJ3013" s="697">
        <f t="shared" si="396"/>
        <v>0</v>
      </c>
    </row>
    <row r="3014" spans="1:36" s="700" customFormat="1" ht="12.75" customHeight="1">
      <c r="A3014" s="755" t="s">
        <v>207</v>
      </c>
      <c r="B3014" s="755" t="s">
        <v>392</v>
      </c>
      <c r="C3014" s="762" t="s">
        <v>1732</v>
      </c>
      <c r="D3014" s="762"/>
      <c r="E3014" s="973">
        <v>408394</v>
      </c>
      <c r="F3014" s="763">
        <v>10</v>
      </c>
      <c r="G3014" s="1025">
        <v>5579889</v>
      </c>
      <c r="H3014" s="690">
        <v>5196802</v>
      </c>
      <c r="I3014" s="1030"/>
      <c r="J3014" s="690"/>
      <c r="K3014" s="1030"/>
      <c r="L3014" s="690"/>
      <c r="M3014" s="1025">
        <v>1904497</v>
      </c>
      <c r="N3014" s="1030"/>
      <c r="O3014" s="692">
        <f t="shared" si="389"/>
        <v>1904497</v>
      </c>
      <c r="P3014" s="690">
        <v>3032090</v>
      </c>
      <c r="Q3014" s="690"/>
      <c r="R3014" s="691">
        <f t="shared" si="390"/>
        <v>3032090</v>
      </c>
      <c r="S3014" s="692">
        <f t="shared" si="391"/>
        <v>7484386</v>
      </c>
      <c r="T3014" s="693">
        <f t="shared" si="392"/>
        <v>8228892</v>
      </c>
      <c r="U3014" s="1035"/>
      <c r="V3014" s="690"/>
      <c r="W3014" s="1025"/>
      <c r="X3014" s="1030"/>
      <c r="Y3014" s="694">
        <f t="shared" si="393"/>
        <v>0</v>
      </c>
      <c r="Z3014" s="690"/>
      <c r="AA3014" s="690"/>
      <c r="AB3014" s="695">
        <f t="shared" si="394"/>
        <v>0</v>
      </c>
      <c r="AC3014" s="1035"/>
      <c r="AD3014" s="690"/>
      <c r="AE3014" s="1025"/>
      <c r="AF3014" s="1030"/>
      <c r="AG3014" s="690"/>
      <c r="AH3014" s="690"/>
      <c r="AI3014" s="696">
        <f t="shared" si="395"/>
        <v>7484386</v>
      </c>
      <c r="AJ3014" s="697">
        <f t="shared" si="396"/>
        <v>8228892</v>
      </c>
    </row>
    <row r="3015" spans="1:36" s="700" customFormat="1" ht="12.75" customHeight="1">
      <c r="A3015" s="755" t="s">
        <v>207</v>
      </c>
      <c r="B3015" s="755" t="s">
        <v>392</v>
      </c>
      <c r="C3015" s="762" t="s">
        <v>1733</v>
      </c>
      <c r="D3015" s="762"/>
      <c r="E3015" s="973">
        <v>229328</v>
      </c>
      <c r="F3015" s="763">
        <v>10</v>
      </c>
      <c r="G3015" s="1025">
        <v>17488487</v>
      </c>
      <c r="H3015" s="690">
        <v>16524597</v>
      </c>
      <c r="I3015" s="1030"/>
      <c r="J3015" s="690"/>
      <c r="K3015" s="1030"/>
      <c r="L3015" s="690"/>
      <c r="M3015" s="1025">
        <v>3179088</v>
      </c>
      <c r="N3015" s="1030"/>
      <c r="O3015" s="692">
        <f t="shared" si="389"/>
        <v>3179088</v>
      </c>
      <c r="P3015" s="690">
        <v>4488309</v>
      </c>
      <c r="Q3015" s="690"/>
      <c r="R3015" s="691">
        <f t="shared" si="390"/>
        <v>4488309</v>
      </c>
      <c r="S3015" s="692">
        <f t="shared" si="391"/>
        <v>20667575</v>
      </c>
      <c r="T3015" s="693">
        <f t="shared" si="392"/>
        <v>21012906</v>
      </c>
      <c r="U3015" s="1035"/>
      <c r="V3015" s="690"/>
      <c r="W3015" s="1025"/>
      <c r="X3015" s="1030"/>
      <c r="Y3015" s="694">
        <f t="shared" si="393"/>
        <v>0</v>
      </c>
      <c r="Z3015" s="690"/>
      <c r="AA3015" s="690"/>
      <c r="AB3015" s="695">
        <f t="shared" si="394"/>
        <v>0</v>
      </c>
      <c r="AC3015" s="1035"/>
      <c r="AD3015" s="690"/>
      <c r="AE3015" s="1025"/>
      <c r="AF3015" s="1030"/>
      <c r="AG3015" s="690"/>
      <c r="AH3015" s="690"/>
      <c r="AI3015" s="696">
        <f t="shared" si="395"/>
        <v>20667575</v>
      </c>
      <c r="AJ3015" s="697">
        <f t="shared" si="396"/>
        <v>21012906</v>
      </c>
    </row>
    <row r="3016" spans="1:36" s="700" customFormat="1" ht="12.75" customHeight="1">
      <c r="A3016" s="755" t="s">
        <v>207</v>
      </c>
      <c r="B3016" s="755" t="s">
        <v>392</v>
      </c>
      <c r="C3016" s="762" t="s">
        <v>1734</v>
      </c>
      <c r="D3016" s="762"/>
      <c r="E3016" s="973">
        <v>229832</v>
      </c>
      <c r="F3016" s="763">
        <v>10</v>
      </c>
      <c r="G3016" s="1025">
        <v>5129817</v>
      </c>
      <c r="H3016" s="690">
        <v>5084433</v>
      </c>
      <c r="I3016" s="1030"/>
      <c r="J3016" s="690"/>
      <c r="K3016" s="1030">
        <v>3515940</v>
      </c>
      <c r="L3016" s="690">
        <v>3792196</v>
      </c>
      <c r="M3016" s="1025">
        <v>3649346</v>
      </c>
      <c r="N3016" s="1030"/>
      <c r="O3016" s="692">
        <f t="shared" si="389"/>
        <v>3649346</v>
      </c>
      <c r="P3016" s="690">
        <v>4196088</v>
      </c>
      <c r="Q3016" s="690"/>
      <c r="R3016" s="691">
        <f t="shared" si="390"/>
        <v>4196088</v>
      </c>
      <c r="S3016" s="692">
        <f t="shared" si="391"/>
        <v>12295103</v>
      </c>
      <c r="T3016" s="693">
        <f t="shared" si="392"/>
        <v>13072717</v>
      </c>
      <c r="U3016" s="1035"/>
      <c r="V3016" s="690"/>
      <c r="W3016" s="1025"/>
      <c r="X3016" s="1030"/>
      <c r="Y3016" s="694">
        <f t="shared" si="393"/>
        <v>0</v>
      </c>
      <c r="Z3016" s="690"/>
      <c r="AA3016" s="690"/>
      <c r="AB3016" s="695">
        <f t="shared" si="394"/>
        <v>0</v>
      </c>
      <c r="AC3016" s="1035"/>
      <c r="AD3016" s="690"/>
      <c r="AE3016" s="1025"/>
      <c r="AF3016" s="1030"/>
      <c r="AG3016" s="690"/>
      <c r="AH3016" s="690"/>
      <c r="AI3016" s="696">
        <f t="shared" si="395"/>
        <v>12295103</v>
      </c>
      <c r="AJ3016" s="697">
        <f t="shared" si="396"/>
        <v>13072717</v>
      </c>
    </row>
    <row r="3017" spans="1:36" s="700" customFormat="1" ht="12.75" customHeight="1">
      <c r="A3017" s="755" t="s">
        <v>207</v>
      </c>
      <c r="B3017" s="755" t="s">
        <v>392</v>
      </c>
      <c r="C3017" s="981" t="s">
        <v>2020</v>
      </c>
      <c r="D3017" s="762"/>
      <c r="E3017" s="973"/>
      <c r="F3017" s="763">
        <v>11</v>
      </c>
      <c r="G3017" s="1025">
        <v>14289661</v>
      </c>
      <c r="H3017" s="690">
        <v>13884561</v>
      </c>
      <c r="I3017" s="1030"/>
      <c r="J3017" s="690"/>
      <c r="K3017" s="1030">
        <v>6519684</v>
      </c>
      <c r="L3017" s="690">
        <v>6305272</v>
      </c>
      <c r="M3017" s="1025">
        <v>4852097</v>
      </c>
      <c r="N3017" s="1030"/>
      <c r="O3017" s="692"/>
      <c r="P3017" s="690">
        <v>5621510</v>
      </c>
      <c r="Q3017" s="690"/>
      <c r="R3017" s="691"/>
      <c r="S3017" s="692"/>
      <c r="T3017" s="693"/>
      <c r="U3017" s="1035"/>
      <c r="V3017" s="690"/>
      <c r="W3017" s="1025"/>
      <c r="X3017" s="1030"/>
      <c r="Y3017" s="694"/>
      <c r="Z3017" s="690"/>
      <c r="AA3017" s="690"/>
      <c r="AB3017" s="695"/>
      <c r="AC3017" s="1035"/>
      <c r="AD3017" s="690"/>
      <c r="AE3017" s="1025"/>
      <c r="AF3017" s="1030"/>
      <c r="AG3017" s="690"/>
      <c r="AH3017" s="690"/>
      <c r="AI3017" s="696"/>
      <c r="AJ3017" s="697"/>
    </row>
    <row r="3018" spans="1:36" s="700" customFormat="1" ht="12.75" customHeight="1">
      <c r="A3018" s="755" t="s">
        <v>207</v>
      </c>
      <c r="B3018" s="755" t="s">
        <v>392</v>
      </c>
      <c r="C3018" s="980" t="s">
        <v>1735</v>
      </c>
      <c r="D3018" s="982"/>
      <c r="E3018" s="983"/>
      <c r="F3018" s="763">
        <v>11</v>
      </c>
      <c r="G3018" s="1025">
        <v>92849516</v>
      </c>
      <c r="H3018" s="690">
        <v>86441061</v>
      </c>
      <c r="I3018" s="1030"/>
      <c r="J3018" s="690"/>
      <c r="K3018" s="1030">
        <v>131521067</v>
      </c>
      <c r="L3018" s="690">
        <v>133599379</v>
      </c>
      <c r="M3018" s="1025">
        <v>94828876</v>
      </c>
      <c r="N3018" s="1030"/>
      <c r="O3018" s="692">
        <f t="shared" si="389"/>
        <v>94828876</v>
      </c>
      <c r="P3018" s="690">
        <v>116635860</v>
      </c>
      <c r="Q3018" s="690"/>
      <c r="R3018" s="691">
        <f t="shared" si="390"/>
        <v>116635860</v>
      </c>
      <c r="S3018" s="692">
        <f t="shared" si="391"/>
        <v>319199459</v>
      </c>
      <c r="T3018" s="693">
        <f t="shared" si="392"/>
        <v>336676300</v>
      </c>
      <c r="U3018" s="1035"/>
      <c r="V3018" s="690"/>
      <c r="W3018" s="1025"/>
      <c r="X3018" s="1030"/>
      <c r="Y3018" s="694">
        <f t="shared" si="393"/>
        <v>0</v>
      </c>
      <c r="Z3018" s="690"/>
      <c r="AA3018" s="690"/>
      <c r="AB3018" s="695">
        <f t="shared" si="394"/>
        <v>0</v>
      </c>
      <c r="AC3018" s="1035"/>
      <c r="AD3018" s="690"/>
      <c r="AE3018" s="1025"/>
      <c r="AF3018" s="1030"/>
      <c r="AG3018" s="690"/>
      <c r="AH3018" s="690"/>
      <c r="AI3018" s="696">
        <f t="shared" si="395"/>
        <v>319199459</v>
      </c>
      <c r="AJ3018" s="697">
        <f t="shared" si="396"/>
        <v>336676300</v>
      </c>
    </row>
    <row r="3019" spans="1:36" s="700" customFormat="1" ht="12.75" customHeight="1">
      <c r="A3019" s="755" t="s">
        <v>207</v>
      </c>
      <c r="B3019" s="755" t="s">
        <v>392</v>
      </c>
      <c r="C3019" s="979" t="s">
        <v>1736</v>
      </c>
      <c r="D3019" s="982"/>
      <c r="E3019" s="983"/>
      <c r="F3019" s="763">
        <v>11</v>
      </c>
      <c r="G3019" s="1025">
        <v>126549421</v>
      </c>
      <c r="H3019" s="690">
        <v>117702123</v>
      </c>
      <c r="I3019" s="1030"/>
      <c r="J3019" s="690"/>
      <c r="K3019" s="1030">
        <v>157703232</v>
      </c>
      <c r="L3019" s="690">
        <v>159137404</v>
      </c>
      <c r="M3019" s="1025">
        <v>85436777</v>
      </c>
      <c r="N3019" s="1030"/>
      <c r="O3019" s="692">
        <f t="shared" si="389"/>
        <v>85436777</v>
      </c>
      <c r="P3019" s="690">
        <v>93958384</v>
      </c>
      <c r="Q3019" s="690"/>
      <c r="R3019" s="691">
        <f t="shared" si="390"/>
        <v>93958384</v>
      </c>
      <c r="S3019" s="692">
        <f t="shared" si="391"/>
        <v>369689430</v>
      </c>
      <c r="T3019" s="693">
        <f t="shared" si="392"/>
        <v>370797911</v>
      </c>
      <c r="U3019" s="1035"/>
      <c r="V3019" s="690"/>
      <c r="W3019" s="1025"/>
      <c r="X3019" s="1030"/>
      <c r="Y3019" s="694">
        <f t="shared" si="393"/>
        <v>0</v>
      </c>
      <c r="Z3019" s="690"/>
      <c r="AA3019" s="690"/>
      <c r="AB3019" s="695">
        <f t="shared" si="394"/>
        <v>0</v>
      </c>
      <c r="AC3019" s="1035"/>
      <c r="AD3019" s="690"/>
      <c r="AE3019" s="1025"/>
      <c r="AF3019" s="1030"/>
      <c r="AG3019" s="690"/>
      <c r="AH3019" s="690"/>
      <c r="AI3019" s="696">
        <f t="shared" si="395"/>
        <v>369689430</v>
      </c>
      <c r="AJ3019" s="697">
        <f t="shared" si="396"/>
        <v>370797911</v>
      </c>
    </row>
    <row r="3020" spans="1:36" s="700" customFormat="1" ht="12.75" customHeight="1">
      <c r="A3020" s="755" t="s">
        <v>207</v>
      </c>
      <c r="B3020" s="755" t="s">
        <v>392</v>
      </c>
      <c r="C3020" s="893" t="s">
        <v>1769</v>
      </c>
      <c r="D3020" s="1098" t="s">
        <v>1982</v>
      </c>
      <c r="E3020" s="987"/>
      <c r="F3020" s="758">
        <v>99</v>
      </c>
      <c r="G3020" s="1025"/>
      <c r="H3020" s="690"/>
      <c r="I3020" s="1030"/>
      <c r="J3020" s="690"/>
      <c r="K3020" s="1030"/>
      <c r="L3020" s="690"/>
      <c r="M3020" s="1025"/>
      <c r="N3020" s="1030"/>
      <c r="O3020" s="692">
        <f t="shared" si="389"/>
        <v>0</v>
      </c>
      <c r="P3020" s="690"/>
      <c r="Q3020" s="690"/>
      <c r="R3020" s="691">
        <f t="shared" si="390"/>
        <v>0</v>
      </c>
      <c r="S3020" s="692">
        <f t="shared" si="391"/>
        <v>0</v>
      </c>
      <c r="T3020" s="693">
        <f t="shared" si="392"/>
        <v>0</v>
      </c>
      <c r="U3020" s="1035"/>
      <c r="V3020" s="690"/>
      <c r="W3020" s="1025"/>
      <c r="X3020" s="1030"/>
      <c r="Y3020" s="694">
        <f t="shared" si="393"/>
        <v>0</v>
      </c>
      <c r="Z3020" s="690"/>
      <c r="AA3020" s="690"/>
      <c r="AB3020" s="695">
        <f t="shared" si="394"/>
        <v>0</v>
      </c>
      <c r="AC3020" s="1035"/>
      <c r="AD3020" s="690"/>
      <c r="AE3020" s="1025"/>
      <c r="AF3020" s="1030"/>
      <c r="AG3020" s="690"/>
      <c r="AH3020" s="690"/>
      <c r="AI3020" s="696">
        <f t="shared" si="395"/>
        <v>0</v>
      </c>
      <c r="AJ3020" s="697">
        <f t="shared" si="396"/>
        <v>0</v>
      </c>
    </row>
    <row r="3021" spans="1:36" s="700" customFormat="1" ht="12.75" customHeight="1">
      <c r="A3021" s="755" t="s">
        <v>207</v>
      </c>
      <c r="B3021" s="755" t="s">
        <v>392</v>
      </c>
      <c r="C3021" s="893" t="s">
        <v>1770</v>
      </c>
      <c r="D3021" s="1098" t="s">
        <v>1983</v>
      </c>
      <c r="E3021" s="894" t="s">
        <v>1771</v>
      </c>
      <c r="F3021" s="758">
        <v>99</v>
      </c>
      <c r="G3021" s="1025"/>
      <c r="H3021" s="690"/>
      <c r="I3021" s="1030"/>
      <c r="J3021" s="690"/>
      <c r="K3021" s="1030"/>
      <c r="L3021" s="690"/>
      <c r="M3021" s="1025"/>
      <c r="N3021" s="1030"/>
      <c r="O3021" s="692">
        <f t="shared" ref="O3021:O3084" si="397">SUM(M3021:N3021)</f>
        <v>0</v>
      </c>
      <c r="P3021" s="690"/>
      <c r="Q3021" s="690"/>
      <c r="R3021" s="691">
        <f t="shared" ref="R3021:R3084" si="398">SUM(P3021:Q3021)</f>
        <v>0</v>
      </c>
      <c r="S3021" s="692">
        <f t="shared" ref="S3021:S3084" si="399">SUM(G3021,I3021,K3021,M3021)</f>
        <v>0</v>
      </c>
      <c r="T3021" s="693">
        <f t="shared" ref="T3021:T3084" si="400">SUM(H3021,J3021,L3021,P3021)</f>
        <v>0</v>
      </c>
      <c r="U3021" s="1035"/>
      <c r="V3021" s="690"/>
      <c r="W3021" s="1025"/>
      <c r="X3021" s="1030"/>
      <c r="Y3021" s="694">
        <f t="shared" ref="Y3021:Y3084" si="401">SUM(W3021:X3021)</f>
        <v>0</v>
      </c>
      <c r="Z3021" s="690"/>
      <c r="AA3021" s="690"/>
      <c r="AB3021" s="695">
        <f t="shared" ref="AB3021:AB3084" si="402">SUM(Z3021:AA3021)</f>
        <v>0</v>
      </c>
      <c r="AC3021" s="1035"/>
      <c r="AD3021" s="690"/>
      <c r="AE3021" s="1025"/>
      <c r="AF3021" s="1030"/>
      <c r="AG3021" s="690"/>
      <c r="AH3021" s="690"/>
      <c r="AI3021" s="696">
        <f t="shared" ref="AI3021:AI3084" si="403">SUM(S3021,U3021,W3021,AC3021,AE3021)</f>
        <v>0</v>
      </c>
      <c r="AJ3021" s="697">
        <f t="shared" ref="AJ3021:AJ3084" si="404">SUM(T3021,V3021,Z3021,AD3021,AG3021)</f>
        <v>0</v>
      </c>
    </row>
    <row r="3022" spans="1:36" s="700" customFormat="1" ht="12.75" customHeight="1">
      <c r="A3022" s="755" t="s">
        <v>207</v>
      </c>
      <c r="B3022" s="755" t="s">
        <v>392</v>
      </c>
      <c r="C3022" s="893" t="s">
        <v>1772</v>
      </c>
      <c r="D3022" s="1098" t="s">
        <v>1984</v>
      </c>
      <c r="E3022" s="987"/>
      <c r="F3022" s="758">
        <v>99</v>
      </c>
      <c r="G3022" s="1025"/>
      <c r="H3022" s="690"/>
      <c r="I3022" s="1030"/>
      <c r="J3022" s="690"/>
      <c r="K3022" s="1030"/>
      <c r="L3022" s="690"/>
      <c r="M3022" s="1025"/>
      <c r="N3022" s="1030"/>
      <c r="O3022" s="692">
        <f t="shared" si="397"/>
        <v>0</v>
      </c>
      <c r="P3022" s="690"/>
      <c r="Q3022" s="690"/>
      <c r="R3022" s="691">
        <f t="shared" si="398"/>
        <v>0</v>
      </c>
      <c r="S3022" s="692">
        <f t="shared" si="399"/>
        <v>0</v>
      </c>
      <c r="T3022" s="693">
        <f t="shared" si="400"/>
        <v>0</v>
      </c>
      <c r="U3022" s="1035"/>
      <c r="V3022" s="690"/>
      <c r="W3022" s="1025"/>
      <c r="X3022" s="1030"/>
      <c r="Y3022" s="694">
        <f t="shared" si="401"/>
        <v>0</v>
      </c>
      <c r="Z3022" s="690"/>
      <c r="AA3022" s="690"/>
      <c r="AB3022" s="695">
        <f t="shared" si="402"/>
        <v>0</v>
      </c>
      <c r="AC3022" s="1035"/>
      <c r="AD3022" s="690"/>
      <c r="AE3022" s="1025"/>
      <c r="AF3022" s="1030"/>
      <c r="AG3022" s="690"/>
      <c r="AH3022" s="690"/>
      <c r="AI3022" s="696">
        <f t="shared" si="403"/>
        <v>0</v>
      </c>
      <c r="AJ3022" s="697">
        <f t="shared" si="404"/>
        <v>0</v>
      </c>
    </row>
    <row r="3023" spans="1:36" s="700" customFormat="1" ht="12.75" customHeight="1">
      <c r="A3023" s="755" t="s">
        <v>207</v>
      </c>
      <c r="B3023" s="755" t="s">
        <v>408</v>
      </c>
      <c r="C3023" s="984" t="s">
        <v>1737</v>
      </c>
      <c r="D3023" s="982"/>
      <c r="E3023" s="973">
        <v>223214</v>
      </c>
      <c r="F3023" s="763">
        <v>15</v>
      </c>
      <c r="G3023" s="1025"/>
      <c r="H3023" s="690"/>
      <c r="I3023" s="1030"/>
      <c r="J3023" s="690"/>
      <c r="K3023" s="1030"/>
      <c r="L3023" s="690"/>
      <c r="M3023" s="1025"/>
      <c r="N3023" s="1030"/>
      <c r="O3023" s="692">
        <f t="shared" si="397"/>
        <v>0</v>
      </c>
      <c r="P3023" s="690"/>
      <c r="Q3023" s="690"/>
      <c r="R3023" s="691">
        <f t="shared" si="398"/>
        <v>0</v>
      </c>
      <c r="S3023" s="692">
        <f t="shared" si="399"/>
        <v>0</v>
      </c>
      <c r="T3023" s="693">
        <f t="shared" si="400"/>
        <v>0</v>
      </c>
      <c r="U3023" s="1035"/>
      <c r="V3023" s="690"/>
      <c r="W3023" s="1025"/>
      <c r="X3023" s="1030"/>
      <c r="Y3023" s="694">
        <f t="shared" si="401"/>
        <v>0</v>
      </c>
      <c r="Z3023" s="690"/>
      <c r="AA3023" s="690"/>
      <c r="AB3023" s="695">
        <f t="shared" si="402"/>
        <v>0</v>
      </c>
      <c r="AC3023" s="1035">
        <v>119923944</v>
      </c>
      <c r="AD3023" s="690">
        <v>104909005</v>
      </c>
      <c r="AE3023" s="1025">
        <v>20762452</v>
      </c>
      <c r="AF3023" s="1030"/>
      <c r="AG3023" s="690">
        <v>23075105</v>
      </c>
      <c r="AH3023" s="690"/>
      <c r="AI3023" s="696">
        <f t="shared" si="403"/>
        <v>140686396</v>
      </c>
      <c r="AJ3023" s="697">
        <f t="shared" si="404"/>
        <v>127984110</v>
      </c>
    </row>
    <row r="3024" spans="1:36" s="700" customFormat="1" ht="12.75" customHeight="1">
      <c r="A3024" s="755" t="s">
        <v>207</v>
      </c>
      <c r="B3024" s="755" t="s">
        <v>408</v>
      </c>
      <c r="C3024" s="984" t="s">
        <v>1738</v>
      </c>
      <c r="D3024" s="984"/>
      <c r="E3024" s="973">
        <v>229337</v>
      </c>
      <c r="F3024" s="763">
        <v>15</v>
      </c>
      <c r="G3024" s="1025"/>
      <c r="H3024" s="690"/>
      <c r="I3024" s="1030"/>
      <c r="J3024" s="690"/>
      <c r="K3024" s="1030"/>
      <c r="L3024" s="690"/>
      <c r="M3024" s="1025"/>
      <c r="N3024" s="1030"/>
      <c r="O3024" s="692">
        <f t="shared" si="397"/>
        <v>0</v>
      </c>
      <c r="P3024" s="690"/>
      <c r="Q3024" s="690"/>
      <c r="R3024" s="691">
        <f t="shared" si="398"/>
        <v>0</v>
      </c>
      <c r="S3024" s="692">
        <f t="shared" si="399"/>
        <v>0</v>
      </c>
      <c r="T3024" s="693">
        <f t="shared" si="400"/>
        <v>0</v>
      </c>
      <c r="U3024" s="1035"/>
      <c r="V3024" s="690"/>
      <c r="W3024" s="1025"/>
      <c r="X3024" s="1030"/>
      <c r="Y3024" s="694">
        <f t="shared" si="401"/>
        <v>0</v>
      </c>
      <c r="Z3024" s="690"/>
      <c r="AA3024" s="690"/>
      <c r="AB3024" s="695">
        <f t="shared" si="402"/>
        <v>0</v>
      </c>
      <c r="AC3024" s="1035">
        <v>195898591</v>
      </c>
      <c r="AD3024" s="690">
        <v>187462107</v>
      </c>
      <c r="AE3024" s="1025">
        <v>29144182</v>
      </c>
      <c r="AF3024" s="1030"/>
      <c r="AG3024" s="690">
        <v>36407670</v>
      </c>
      <c r="AH3024" s="690"/>
      <c r="AI3024" s="696">
        <f t="shared" si="403"/>
        <v>225042773</v>
      </c>
      <c r="AJ3024" s="697">
        <f t="shared" si="404"/>
        <v>223869777</v>
      </c>
    </row>
    <row r="3025" spans="1:36" s="700" customFormat="1" ht="12.75" customHeight="1">
      <c r="A3025" s="755" t="s">
        <v>207</v>
      </c>
      <c r="B3025" s="755" t="s">
        <v>408</v>
      </c>
      <c r="C3025" s="984" t="s">
        <v>1739</v>
      </c>
      <c r="D3025" s="984"/>
      <c r="E3025" s="973">
        <v>228909</v>
      </c>
      <c r="F3025" s="763">
        <v>15</v>
      </c>
      <c r="G3025" s="1025"/>
      <c r="H3025" s="690"/>
      <c r="I3025" s="1030"/>
      <c r="J3025" s="690"/>
      <c r="K3025" s="1030"/>
      <c r="L3025" s="690"/>
      <c r="M3025" s="1025"/>
      <c r="N3025" s="1030"/>
      <c r="O3025" s="692">
        <f t="shared" si="397"/>
        <v>0</v>
      </c>
      <c r="P3025" s="690"/>
      <c r="Q3025" s="690"/>
      <c r="R3025" s="691">
        <f t="shared" si="398"/>
        <v>0</v>
      </c>
      <c r="S3025" s="692">
        <f t="shared" si="399"/>
        <v>0</v>
      </c>
      <c r="T3025" s="693">
        <f t="shared" si="400"/>
        <v>0</v>
      </c>
      <c r="U3025" s="1035"/>
      <c r="V3025" s="690"/>
      <c r="W3025" s="1025"/>
      <c r="X3025" s="1030"/>
      <c r="Y3025" s="694">
        <f t="shared" si="401"/>
        <v>0</v>
      </c>
      <c r="Z3025" s="690"/>
      <c r="AA3025" s="690"/>
      <c r="AB3025" s="695">
        <f t="shared" si="402"/>
        <v>0</v>
      </c>
      <c r="AC3025" s="1035">
        <v>71007921</v>
      </c>
      <c r="AD3025" s="690">
        <v>70421275</v>
      </c>
      <c r="AE3025" s="1025">
        <v>13009666</v>
      </c>
      <c r="AF3025" s="1030"/>
      <c r="AG3025" s="690">
        <v>14794547</v>
      </c>
      <c r="AH3025" s="690"/>
      <c r="AI3025" s="696">
        <f t="shared" si="403"/>
        <v>84017587</v>
      </c>
      <c r="AJ3025" s="697">
        <f t="shared" si="404"/>
        <v>85215822</v>
      </c>
    </row>
    <row r="3026" spans="1:36" s="700" customFormat="1" ht="12.75" customHeight="1">
      <c r="A3026" s="755" t="s">
        <v>207</v>
      </c>
      <c r="B3026" s="755" t="s">
        <v>408</v>
      </c>
      <c r="C3026" s="984" t="s">
        <v>1740</v>
      </c>
      <c r="D3026" s="984"/>
      <c r="E3026" s="973">
        <v>229300</v>
      </c>
      <c r="F3026" s="763">
        <v>15</v>
      </c>
      <c r="G3026" s="1025"/>
      <c r="H3026" s="690"/>
      <c r="I3026" s="1030"/>
      <c r="J3026" s="690"/>
      <c r="K3026" s="1030"/>
      <c r="L3026" s="690"/>
      <c r="M3026" s="1025"/>
      <c r="N3026" s="1030"/>
      <c r="O3026" s="692">
        <f t="shared" si="397"/>
        <v>0</v>
      </c>
      <c r="P3026" s="690"/>
      <c r="Q3026" s="690"/>
      <c r="R3026" s="691">
        <f t="shared" si="398"/>
        <v>0</v>
      </c>
      <c r="S3026" s="692">
        <f t="shared" si="399"/>
        <v>0</v>
      </c>
      <c r="T3026" s="693">
        <f t="shared" si="400"/>
        <v>0</v>
      </c>
      <c r="U3026" s="1035"/>
      <c r="V3026" s="690"/>
      <c r="W3026" s="1025"/>
      <c r="X3026" s="1030"/>
      <c r="Y3026" s="694">
        <f t="shared" si="401"/>
        <v>0</v>
      </c>
      <c r="Z3026" s="690"/>
      <c r="AA3026" s="690"/>
      <c r="AB3026" s="695">
        <f t="shared" si="402"/>
        <v>0</v>
      </c>
      <c r="AC3026" s="1035">
        <v>173139501</v>
      </c>
      <c r="AD3026" s="690">
        <v>157391711</v>
      </c>
      <c r="AE3026" s="1025">
        <v>29491148</v>
      </c>
      <c r="AF3026" s="1030"/>
      <c r="AG3026" s="690">
        <v>31713029</v>
      </c>
      <c r="AH3026" s="690"/>
      <c r="AI3026" s="696">
        <f t="shared" si="403"/>
        <v>202630649</v>
      </c>
      <c r="AJ3026" s="697">
        <f t="shared" si="404"/>
        <v>189104740</v>
      </c>
    </row>
    <row r="3027" spans="1:36" s="700" customFormat="1" ht="12.75" customHeight="1">
      <c r="A3027" s="755" t="s">
        <v>207</v>
      </c>
      <c r="B3027" s="755" t="s">
        <v>408</v>
      </c>
      <c r="C3027" s="984" t="s">
        <v>1741</v>
      </c>
      <c r="D3027" s="984"/>
      <c r="E3027" s="973">
        <v>228644</v>
      </c>
      <c r="F3027" s="763">
        <v>15</v>
      </c>
      <c r="G3027" s="1025"/>
      <c r="H3027" s="690"/>
      <c r="I3027" s="1030"/>
      <c r="J3027" s="690"/>
      <c r="K3027" s="1030"/>
      <c r="L3027" s="690"/>
      <c r="M3027" s="1025"/>
      <c r="N3027" s="1030"/>
      <c r="O3027" s="692">
        <f t="shared" si="397"/>
        <v>0</v>
      </c>
      <c r="P3027" s="690"/>
      <c r="Q3027" s="690"/>
      <c r="R3027" s="691">
        <f t="shared" si="398"/>
        <v>0</v>
      </c>
      <c r="S3027" s="692">
        <f t="shared" si="399"/>
        <v>0</v>
      </c>
      <c r="T3027" s="693">
        <f t="shared" si="400"/>
        <v>0</v>
      </c>
      <c r="U3027" s="1035"/>
      <c r="V3027" s="690"/>
      <c r="W3027" s="1025"/>
      <c r="X3027" s="1030"/>
      <c r="Y3027" s="694">
        <f t="shared" si="401"/>
        <v>0</v>
      </c>
      <c r="Z3027" s="690"/>
      <c r="AA3027" s="690"/>
      <c r="AB3027" s="695">
        <f t="shared" si="402"/>
        <v>0</v>
      </c>
      <c r="AC3027" s="1035">
        <v>186607034</v>
      </c>
      <c r="AD3027" s="690">
        <v>170752474</v>
      </c>
      <c r="AE3027" s="1025">
        <v>29944314</v>
      </c>
      <c r="AF3027" s="1030"/>
      <c r="AG3027" s="690">
        <v>32270114</v>
      </c>
      <c r="AH3027" s="690"/>
      <c r="AI3027" s="696">
        <f t="shared" si="403"/>
        <v>216551348</v>
      </c>
      <c r="AJ3027" s="697">
        <f t="shared" si="404"/>
        <v>203022588</v>
      </c>
    </row>
    <row r="3028" spans="1:36" s="700" customFormat="1" ht="12.75" customHeight="1">
      <c r="A3028" s="755" t="s">
        <v>207</v>
      </c>
      <c r="B3028" s="755" t="s">
        <v>408</v>
      </c>
      <c r="C3028" s="985" t="s">
        <v>1742</v>
      </c>
      <c r="D3028" s="985"/>
      <c r="E3028" s="973">
        <v>416801</v>
      </c>
      <c r="F3028" s="763">
        <v>15</v>
      </c>
      <c r="G3028" s="1025"/>
      <c r="H3028" s="690"/>
      <c r="I3028" s="1030"/>
      <c r="J3028" s="690"/>
      <c r="K3028" s="1030"/>
      <c r="L3028" s="690"/>
      <c r="M3028" s="1025"/>
      <c r="N3028" s="1030"/>
      <c r="O3028" s="692">
        <f t="shared" si="397"/>
        <v>0</v>
      </c>
      <c r="P3028" s="690"/>
      <c r="Q3028" s="690"/>
      <c r="R3028" s="691">
        <f t="shared" si="398"/>
        <v>0</v>
      </c>
      <c r="S3028" s="692">
        <f t="shared" si="399"/>
        <v>0</v>
      </c>
      <c r="T3028" s="693">
        <f t="shared" si="400"/>
        <v>0</v>
      </c>
      <c r="U3028" s="1035"/>
      <c r="V3028" s="690"/>
      <c r="W3028" s="1025"/>
      <c r="X3028" s="1030"/>
      <c r="Y3028" s="694">
        <f t="shared" si="401"/>
        <v>0</v>
      </c>
      <c r="Z3028" s="690"/>
      <c r="AA3028" s="690"/>
      <c r="AB3028" s="695">
        <f t="shared" si="402"/>
        <v>0</v>
      </c>
      <c r="AC3028" s="1035">
        <v>226943802</v>
      </c>
      <c r="AD3028" s="690">
        <v>211240514</v>
      </c>
      <c r="AE3028" s="1025">
        <v>1174642</v>
      </c>
      <c r="AF3028" s="1030"/>
      <c r="AG3028" s="690">
        <v>974447</v>
      </c>
      <c r="AH3028" s="690"/>
      <c r="AI3028" s="696">
        <f t="shared" si="403"/>
        <v>228118444</v>
      </c>
      <c r="AJ3028" s="697">
        <f t="shared" si="404"/>
        <v>212214961</v>
      </c>
    </row>
    <row r="3029" spans="1:36" s="700" customFormat="1" ht="12.75" customHeight="1">
      <c r="A3029" s="755" t="s">
        <v>207</v>
      </c>
      <c r="B3029" s="755" t="s">
        <v>408</v>
      </c>
      <c r="C3029" s="984" t="s">
        <v>1743</v>
      </c>
      <c r="D3029" s="984"/>
      <c r="E3029" s="973">
        <v>228653</v>
      </c>
      <c r="F3029" s="763">
        <v>15</v>
      </c>
      <c r="G3029" s="1025"/>
      <c r="H3029" s="690"/>
      <c r="I3029" s="1030"/>
      <c r="J3029" s="690"/>
      <c r="K3029" s="1030"/>
      <c r="L3029" s="690"/>
      <c r="M3029" s="1025"/>
      <c r="N3029" s="1030"/>
      <c r="O3029" s="692">
        <f t="shared" si="397"/>
        <v>0</v>
      </c>
      <c r="P3029" s="690"/>
      <c r="Q3029" s="690"/>
      <c r="R3029" s="691">
        <f t="shared" si="398"/>
        <v>0</v>
      </c>
      <c r="S3029" s="692">
        <f t="shared" si="399"/>
        <v>0</v>
      </c>
      <c r="T3029" s="693">
        <f t="shared" si="400"/>
        <v>0</v>
      </c>
      <c r="U3029" s="1035"/>
      <c r="V3029" s="690"/>
      <c r="W3029" s="1025"/>
      <c r="X3029" s="1030"/>
      <c r="Y3029" s="694">
        <f t="shared" si="401"/>
        <v>0</v>
      </c>
      <c r="Z3029" s="690"/>
      <c r="AA3029" s="690"/>
      <c r="AB3029" s="695">
        <f t="shared" si="402"/>
        <v>0</v>
      </c>
      <c r="AC3029" s="1035">
        <v>393538266</v>
      </c>
      <c r="AD3029" s="690">
        <v>266817313</v>
      </c>
      <c r="AE3029" s="1025">
        <v>22272398</v>
      </c>
      <c r="AF3029" s="1030"/>
      <c r="AG3029" s="690">
        <v>25427003</v>
      </c>
      <c r="AH3029" s="690"/>
      <c r="AI3029" s="696">
        <f t="shared" si="403"/>
        <v>415810664</v>
      </c>
      <c r="AJ3029" s="697">
        <f t="shared" si="404"/>
        <v>292244316</v>
      </c>
    </row>
    <row r="3030" spans="1:36" s="700" customFormat="1" ht="12.75" customHeight="1">
      <c r="A3030" s="755" t="s">
        <v>207</v>
      </c>
      <c r="B3030" s="755" t="s">
        <v>408</v>
      </c>
      <c r="C3030" s="984" t="s">
        <v>1744</v>
      </c>
      <c r="D3030" s="984"/>
      <c r="E3030" s="973">
        <v>228635</v>
      </c>
      <c r="F3030" s="763">
        <v>15</v>
      </c>
      <c r="G3030" s="1025"/>
      <c r="H3030" s="690"/>
      <c r="I3030" s="1030"/>
      <c r="J3030" s="690"/>
      <c r="K3030" s="1030"/>
      <c r="L3030" s="690"/>
      <c r="M3030" s="1025"/>
      <c r="N3030" s="1030"/>
      <c r="O3030" s="692">
        <f t="shared" si="397"/>
        <v>0</v>
      </c>
      <c r="P3030" s="690"/>
      <c r="Q3030" s="690"/>
      <c r="R3030" s="691">
        <f t="shared" si="398"/>
        <v>0</v>
      </c>
      <c r="S3030" s="692">
        <f t="shared" si="399"/>
        <v>0</v>
      </c>
      <c r="T3030" s="693">
        <f t="shared" si="400"/>
        <v>0</v>
      </c>
      <c r="U3030" s="1035"/>
      <c r="V3030" s="690"/>
      <c r="W3030" s="1025"/>
      <c r="X3030" s="1030"/>
      <c r="Y3030" s="694">
        <f t="shared" si="401"/>
        <v>0</v>
      </c>
      <c r="Z3030" s="690"/>
      <c r="AA3030" s="690"/>
      <c r="AB3030" s="695">
        <f t="shared" si="402"/>
        <v>0</v>
      </c>
      <c r="AC3030" s="1035">
        <v>175221444</v>
      </c>
      <c r="AD3030" s="690">
        <v>159840798</v>
      </c>
      <c r="AE3030" s="1025">
        <v>21209859</v>
      </c>
      <c r="AF3030" s="1030"/>
      <c r="AG3030" s="690">
        <v>22291474</v>
      </c>
      <c r="AH3030" s="690"/>
      <c r="AI3030" s="696">
        <f t="shared" si="403"/>
        <v>196431303</v>
      </c>
      <c r="AJ3030" s="697">
        <f t="shared" si="404"/>
        <v>182132272</v>
      </c>
    </row>
    <row r="3031" spans="1:36" s="700" customFormat="1" ht="12.75" customHeight="1">
      <c r="A3031" s="755" t="s">
        <v>207</v>
      </c>
      <c r="B3031" s="755" t="s">
        <v>401</v>
      </c>
      <c r="C3031" s="764" t="s">
        <v>838</v>
      </c>
      <c r="D3031" s="764"/>
      <c r="E3031" s="760"/>
      <c r="F3031" s="763"/>
      <c r="G3031" s="1025"/>
      <c r="H3031" s="690"/>
      <c r="I3031" s="1030"/>
      <c r="J3031" s="690"/>
      <c r="K3031" s="1030"/>
      <c r="L3031" s="690"/>
      <c r="M3031" s="1025"/>
      <c r="N3031" s="1030"/>
      <c r="O3031" s="692">
        <f t="shared" si="397"/>
        <v>0</v>
      </c>
      <c r="P3031" s="690"/>
      <c r="Q3031" s="690"/>
      <c r="R3031" s="691">
        <f t="shared" si="398"/>
        <v>0</v>
      </c>
      <c r="S3031" s="692">
        <f t="shared" si="399"/>
        <v>0</v>
      </c>
      <c r="T3031" s="693">
        <f t="shared" si="400"/>
        <v>0</v>
      </c>
      <c r="U3031" s="1035"/>
      <c r="V3031" s="690"/>
      <c r="W3031" s="1025"/>
      <c r="X3031" s="1030"/>
      <c r="Y3031" s="694">
        <f t="shared" si="401"/>
        <v>0</v>
      </c>
      <c r="Z3031" s="690"/>
      <c r="AA3031" s="690"/>
      <c r="AB3031" s="695">
        <f t="shared" si="402"/>
        <v>0</v>
      </c>
      <c r="AC3031" s="1035"/>
      <c r="AD3031" s="690"/>
      <c r="AE3031" s="1025"/>
      <c r="AF3031" s="1030"/>
      <c r="AG3031" s="690"/>
      <c r="AH3031" s="690"/>
      <c r="AI3031" s="696">
        <f t="shared" si="403"/>
        <v>0</v>
      </c>
      <c r="AJ3031" s="697">
        <f t="shared" si="404"/>
        <v>0</v>
      </c>
    </row>
    <row r="3032" spans="1:36" s="700" customFormat="1" ht="12.75" customHeight="1">
      <c r="A3032" s="755" t="s">
        <v>207</v>
      </c>
      <c r="B3032" s="755" t="s">
        <v>402</v>
      </c>
      <c r="C3032" s="759" t="s">
        <v>1745</v>
      </c>
      <c r="D3032" s="759"/>
      <c r="E3032" s="770"/>
      <c r="F3032" s="771"/>
      <c r="G3032" s="1025"/>
      <c r="H3032" s="690"/>
      <c r="I3032" s="1030"/>
      <c r="J3032" s="690"/>
      <c r="K3032" s="1030"/>
      <c r="L3032" s="690"/>
      <c r="M3032" s="1025"/>
      <c r="N3032" s="1030"/>
      <c r="O3032" s="692">
        <f t="shared" si="397"/>
        <v>0</v>
      </c>
      <c r="P3032" s="690"/>
      <c r="Q3032" s="690"/>
      <c r="R3032" s="691">
        <f t="shared" si="398"/>
        <v>0</v>
      </c>
      <c r="S3032" s="692">
        <f t="shared" si="399"/>
        <v>0</v>
      </c>
      <c r="T3032" s="693">
        <f t="shared" si="400"/>
        <v>0</v>
      </c>
      <c r="U3032" s="1035"/>
      <c r="V3032" s="690"/>
      <c r="W3032" s="1025"/>
      <c r="X3032" s="1030"/>
      <c r="Y3032" s="694">
        <f t="shared" si="401"/>
        <v>0</v>
      </c>
      <c r="Z3032" s="690"/>
      <c r="AA3032" s="690"/>
      <c r="AB3032" s="695">
        <f t="shared" si="402"/>
        <v>0</v>
      </c>
      <c r="AC3032" s="1035">
        <v>43039144</v>
      </c>
      <c r="AD3032" s="690">
        <v>39078314</v>
      </c>
      <c r="AE3032" s="1025"/>
      <c r="AF3032" s="1030"/>
      <c r="AG3032" s="690"/>
      <c r="AH3032" s="690"/>
      <c r="AI3032" s="696">
        <f t="shared" si="403"/>
        <v>43039144</v>
      </c>
      <c r="AJ3032" s="697">
        <f t="shared" si="404"/>
        <v>39078314</v>
      </c>
    </row>
    <row r="3033" spans="1:36" s="700" customFormat="1" ht="12.75" customHeight="1">
      <c r="A3033" s="755" t="s">
        <v>207</v>
      </c>
      <c r="B3033" s="755" t="s">
        <v>406</v>
      </c>
      <c r="C3033" s="761" t="s">
        <v>441</v>
      </c>
      <c r="D3033" s="761"/>
      <c r="E3033" s="770"/>
      <c r="F3033" s="771"/>
      <c r="G3033" s="1025"/>
      <c r="H3033" s="690"/>
      <c r="I3033" s="1030"/>
      <c r="J3033" s="690"/>
      <c r="K3033" s="1030"/>
      <c r="L3033" s="690"/>
      <c r="M3033" s="1025"/>
      <c r="N3033" s="1030"/>
      <c r="O3033" s="692">
        <f t="shared" si="397"/>
        <v>0</v>
      </c>
      <c r="P3033" s="690"/>
      <c r="Q3033" s="690"/>
      <c r="R3033" s="691">
        <f t="shared" si="398"/>
        <v>0</v>
      </c>
      <c r="S3033" s="692">
        <f t="shared" si="399"/>
        <v>0</v>
      </c>
      <c r="T3033" s="693">
        <f t="shared" si="400"/>
        <v>0</v>
      </c>
      <c r="U3033" s="1035"/>
      <c r="V3033" s="690"/>
      <c r="W3033" s="1025"/>
      <c r="X3033" s="1030"/>
      <c r="Y3033" s="694">
        <f t="shared" si="401"/>
        <v>0</v>
      </c>
      <c r="Z3033" s="690"/>
      <c r="AA3033" s="690"/>
      <c r="AB3033" s="695">
        <f t="shared" si="402"/>
        <v>0</v>
      </c>
      <c r="AC3033" s="1035"/>
      <c r="AD3033" s="690"/>
      <c r="AE3033" s="1025"/>
      <c r="AF3033" s="1030"/>
      <c r="AG3033" s="690"/>
      <c r="AH3033" s="690"/>
      <c r="AI3033" s="696">
        <f t="shared" si="403"/>
        <v>0</v>
      </c>
      <c r="AJ3033" s="697">
        <f t="shared" si="404"/>
        <v>0</v>
      </c>
    </row>
    <row r="3034" spans="1:36" s="700" customFormat="1" ht="12.75" customHeight="1">
      <c r="A3034" s="755" t="s">
        <v>207</v>
      </c>
      <c r="B3034" s="755" t="s">
        <v>407</v>
      </c>
      <c r="C3034" s="761" t="s">
        <v>965</v>
      </c>
      <c r="D3034" s="761"/>
      <c r="E3034" s="770"/>
      <c r="F3034" s="763"/>
      <c r="G3034" s="1025"/>
      <c r="H3034" s="690"/>
      <c r="I3034" s="1030"/>
      <c r="J3034" s="690"/>
      <c r="K3034" s="1030"/>
      <c r="L3034" s="690"/>
      <c r="M3034" s="1025"/>
      <c r="N3034" s="1030"/>
      <c r="O3034" s="692">
        <f t="shared" si="397"/>
        <v>0</v>
      </c>
      <c r="P3034" s="690"/>
      <c r="Q3034" s="690"/>
      <c r="R3034" s="691">
        <f t="shared" si="398"/>
        <v>0</v>
      </c>
      <c r="S3034" s="692">
        <f t="shared" si="399"/>
        <v>0</v>
      </c>
      <c r="T3034" s="693">
        <f t="shared" si="400"/>
        <v>0</v>
      </c>
      <c r="U3034" s="1035"/>
      <c r="V3034" s="690"/>
      <c r="W3034" s="1025"/>
      <c r="X3034" s="1030"/>
      <c r="Y3034" s="694">
        <f t="shared" si="401"/>
        <v>0</v>
      </c>
      <c r="Z3034" s="690"/>
      <c r="AA3034" s="690"/>
      <c r="AB3034" s="695">
        <f t="shared" si="402"/>
        <v>0</v>
      </c>
      <c r="AC3034" s="1035"/>
      <c r="AD3034" s="690"/>
      <c r="AE3034" s="1025"/>
      <c r="AF3034" s="1030"/>
      <c r="AG3034" s="690"/>
      <c r="AH3034" s="690"/>
      <c r="AI3034" s="696">
        <f t="shared" si="403"/>
        <v>0</v>
      </c>
      <c r="AJ3034" s="697">
        <f t="shared" si="404"/>
        <v>0</v>
      </c>
    </row>
    <row r="3035" spans="1:36" s="700" customFormat="1" ht="12.75" customHeight="1">
      <c r="A3035" s="755" t="s">
        <v>207</v>
      </c>
      <c r="B3035" s="755" t="s">
        <v>407</v>
      </c>
      <c r="C3035" s="759" t="s">
        <v>1746</v>
      </c>
      <c r="D3035" s="759"/>
      <c r="E3035" s="770"/>
      <c r="F3035" s="763"/>
      <c r="G3035" s="1025"/>
      <c r="H3035" s="690"/>
      <c r="I3035" s="1030"/>
      <c r="J3035" s="690"/>
      <c r="K3035" s="1030"/>
      <c r="L3035" s="690"/>
      <c r="M3035" s="1025"/>
      <c r="N3035" s="1030"/>
      <c r="O3035" s="692">
        <f t="shared" si="397"/>
        <v>0</v>
      </c>
      <c r="P3035" s="690"/>
      <c r="Q3035" s="690"/>
      <c r="R3035" s="691">
        <f t="shared" si="398"/>
        <v>0</v>
      </c>
      <c r="S3035" s="692">
        <f t="shared" si="399"/>
        <v>0</v>
      </c>
      <c r="T3035" s="693">
        <f t="shared" si="400"/>
        <v>0</v>
      </c>
      <c r="U3035" s="1035"/>
      <c r="V3035" s="690"/>
      <c r="W3035" s="1025"/>
      <c r="X3035" s="1030"/>
      <c r="Y3035" s="694">
        <f t="shared" si="401"/>
        <v>0</v>
      </c>
      <c r="Z3035" s="690"/>
      <c r="AA3035" s="690"/>
      <c r="AB3035" s="695">
        <f t="shared" si="402"/>
        <v>0</v>
      </c>
      <c r="AC3035" s="1035">
        <v>10607155</v>
      </c>
      <c r="AD3035" s="690">
        <v>10607155</v>
      </c>
      <c r="AE3035" s="1025"/>
      <c r="AF3035" s="1030"/>
      <c r="AG3035" s="690"/>
      <c r="AH3035" s="690"/>
      <c r="AI3035" s="696">
        <f t="shared" si="403"/>
        <v>10607155</v>
      </c>
      <c r="AJ3035" s="697">
        <f t="shared" si="404"/>
        <v>10607155</v>
      </c>
    </row>
    <row r="3036" spans="1:36" s="700" customFormat="1" ht="12.75" customHeight="1">
      <c r="A3036" s="755" t="s">
        <v>207</v>
      </c>
      <c r="B3036" s="755" t="s">
        <v>407</v>
      </c>
      <c r="C3036" s="759" t="s">
        <v>1747</v>
      </c>
      <c r="D3036" s="759"/>
      <c r="E3036" s="770"/>
      <c r="F3036" s="763"/>
      <c r="G3036" s="1025"/>
      <c r="H3036" s="690"/>
      <c r="I3036" s="1030"/>
      <c r="J3036" s="690"/>
      <c r="K3036" s="1030"/>
      <c r="L3036" s="690"/>
      <c r="M3036" s="1025"/>
      <c r="N3036" s="1030"/>
      <c r="O3036" s="692">
        <f t="shared" si="397"/>
        <v>0</v>
      </c>
      <c r="P3036" s="690"/>
      <c r="Q3036" s="690"/>
      <c r="R3036" s="691">
        <f t="shared" si="398"/>
        <v>0</v>
      </c>
      <c r="S3036" s="692">
        <f t="shared" si="399"/>
        <v>0</v>
      </c>
      <c r="T3036" s="693">
        <f t="shared" si="400"/>
        <v>0</v>
      </c>
      <c r="U3036" s="1035"/>
      <c r="V3036" s="690"/>
      <c r="W3036" s="1025"/>
      <c r="X3036" s="1030"/>
      <c r="Y3036" s="694">
        <f t="shared" si="401"/>
        <v>0</v>
      </c>
      <c r="Z3036" s="690"/>
      <c r="AA3036" s="690"/>
      <c r="AB3036" s="695">
        <f t="shared" si="402"/>
        <v>0</v>
      </c>
      <c r="AC3036" s="1035">
        <v>2025000</v>
      </c>
      <c r="AD3036" s="690">
        <v>2025000</v>
      </c>
      <c r="AE3036" s="1025"/>
      <c r="AF3036" s="1030"/>
      <c r="AG3036" s="690"/>
      <c r="AH3036" s="690"/>
      <c r="AI3036" s="696">
        <f t="shared" si="403"/>
        <v>2025000</v>
      </c>
      <c r="AJ3036" s="697">
        <f t="shared" si="404"/>
        <v>2025000</v>
      </c>
    </row>
    <row r="3037" spans="1:36" s="700" customFormat="1" ht="12.75" customHeight="1">
      <c r="A3037" s="755" t="s">
        <v>207</v>
      </c>
      <c r="B3037" s="755" t="s">
        <v>407</v>
      </c>
      <c r="C3037" s="759" t="s">
        <v>1748</v>
      </c>
      <c r="D3037" s="759"/>
      <c r="E3037" s="770"/>
      <c r="F3037" s="763"/>
      <c r="G3037" s="1025"/>
      <c r="H3037" s="690"/>
      <c r="I3037" s="1030"/>
      <c r="J3037" s="690"/>
      <c r="K3037" s="1030"/>
      <c r="L3037" s="690"/>
      <c r="M3037" s="1025"/>
      <c r="N3037" s="1030"/>
      <c r="O3037" s="692">
        <f t="shared" si="397"/>
        <v>0</v>
      </c>
      <c r="P3037" s="690"/>
      <c r="Q3037" s="690"/>
      <c r="R3037" s="691">
        <f t="shared" si="398"/>
        <v>0</v>
      </c>
      <c r="S3037" s="692">
        <f t="shared" si="399"/>
        <v>0</v>
      </c>
      <c r="T3037" s="693">
        <f t="shared" si="400"/>
        <v>0</v>
      </c>
      <c r="U3037" s="1035"/>
      <c r="V3037" s="690"/>
      <c r="W3037" s="1025"/>
      <c r="X3037" s="1030"/>
      <c r="Y3037" s="694">
        <f t="shared" si="401"/>
        <v>0</v>
      </c>
      <c r="Z3037" s="690"/>
      <c r="AA3037" s="690"/>
      <c r="AB3037" s="695">
        <f t="shared" si="402"/>
        <v>0</v>
      </c>
      <c r="AC3037" s="1035">
        <v>1125000</v>
      </c>
      <c r="AD3037" s="690">
        <v>1125000</v>
      </c>
      <c r="AE3037" s="1025"/>
      <c r="AF3037" s="1030"/>
      <c r="AG3037" s="690"/>
      <c r="AH3037" s="690"/>
      <c r="AI3037" s="696">
        <f t="shared" si="403"/>
        <v>1125000</v>
      </c>
      <c r="AJ3037" s="697">
        <f t="shared" si="404"/>
        <v>1125000</v>
      </c>
    </row>
    <row r="3038" spans="1:36" s="700" customFormat="1" ht="12.75" customHeight="1">
      <c r="A3038" s="755" t="s">
        <v>207</v>
      </c>
      <c r="B3038" s="755" t="s">
        <v>407</v>
      </c>
      <c r="C3038" s="759" t="s">
        <v>1749</v>
      </c>
      <c r="D3038" s="759"/>
      <c r="E3038" s="770"/>
      <c r="F3038" s="771"/>
      <c r="G3038" s="1025"/>
      <c r="H3038" s="690"/>
      <c r="I3038" s="1030"/>
      <c r="J3038" s="690"/>
      <c r="K3038" s="1030"/>
      <c r="L3038" s="690"/>
      <c r="M3038" s="1025"/>
      <c r="N3038" s="1030"/>
      <c r="O3038" s="692">
        <f t="shared" si="397"/>
        <v>0</v>
      </c>
      <c r="P3038" s="690"/>
      <c r="Q3038" s="690"/>
      <c r="R3038" s="691">
        <f t="shared" si="398"/>
        <v>0</v>
      </c>
      <c r="S3038" s="692">
        <f t="shared" si="399"/>
        <v>0</v>
      </c>
      <c r="T3038" s="693">
        <f t="shared" si="400"/>
        <v>0</v>
      </c>
      <c r="U3038" s="1035"/>
      <c r="V3038" s="690"/>
      <c r="W3038" s="1025"/>
      <c r="X3038" s="1030"/>
      <c r="Y3038" s="694">
        <f t="shared" si="401"/>
        <v>0</v>
      </c>
      <c r="Z3038" s="690"/>
      <c r="AA3038" s="690"/>
      <c r="AB3038" s="695">
        <f t="shared" si="402"/>
        <v>0</v>
      </c>
      <c r="AC3038" s="1035">
        <v>452145</v>
      </c>
      <c r="AD3038" s="690">
        <v>452145</v>
      </c>
      <c r="AE3038" s="1025"/>
      <c r="AF3038" s="1030"/>
      <c r="AG3038" s="690"/>
      <c r="AH3038" s="690"/>
      <c r="AI3038" s="696">
        <f t="shared" si="403"/>
        <v>452145</v>
      </c>
      <c r="AJ3038" s="697">
        <f t="shared" si="404"/>
        <v>452145</v>
      </c>
    </row>
    <row r="3039" spans="1:36" s="700" customFormat="1" ht="12.75" customHeight="1">
      <c r="A3039" s="755" t="s">
        <v>207</v>
      </c>
      <c r="B3039" s="755" t="s">
        <v>407</v>
      </c>
      <c r="C3039" s="759" t="s">
        <v>1750</v>
      </c>
      <c r="D3039" s="759"/>
      <c r="E3039" s="770"/>
      <c r="F3039" s="771"/>
      <c r="G3039" s="1025"/>
      <c r="H3039" s="690"/>
      <c r="I3039" s="1030"/>
      <c r="J3039" s="690"/>
      <c r="K3039" s="1030"/>
      <c r="L3039" s="690"/>
      <c r="M3039" s="1025"/>
      <c r="N3039" s="1030"/>
      <c r="O3039" s="692">
        <f t="shared" si="397"/>
        <v>0</v>
      </c>
      <c r="P3039" s="690"/>
      <c r="Q3039" s="690"/>
      <c r="R3039" s="691">
        <f t="shared" si="398"/>
        <v>0</v>
      </c>
      <c r="S3039" s="692">
        <f t="shared" si="399"/>
        <v>0</v>
      </c>
      <c r="T3039" s="693">
        <f t="shared" si="400"/>
        <v>0</v>
      </c>
      <c r="U3039" s="1035"/>
      <c r="V3039" s="690"/>
      <c r="W3039" s="1025"/>
      <c r="X3039" s="1030"/>
      <c r="Y3039" s="694">
        <f t="shared" si="401"/>
        <v>0</v>
      </c>
      <c r="Z3039" s="690"/>
      <c r="AA3039" s="690"/>
      <c r="AB3039" s="695">
        <f t="shared" si="402"/>
        <v>0</v>
      </c>
      <c r="AC3039" s="1035">
        <v>2495220</v>
      </c>
      <c r="AD3039" s="690">
        <v>2495220</v>
      </c>
      <c r="AE3039" s="1025"/>
      <c r="AF3039" s="1030"/>
      <c r="AG3039" s="690"/>
      <c r="AH3039" s="690"/>
      <c r="AI3039" s="696">
        <f t="shared" si="403"/>
        <v>2495220</v>
      </c>
      <c r="AJ3039" s="697">
        <f t="shared" si="404"/>
        <v>2495220</v>
      </c>
    </row>
    <row r="3040" spans="1:36" s="700" customFormat="1" ht="12.75" customHeight="1">
      <c r="A3040" s="755" t="s">
        <v>207</v>
      </c>
      <c r="B3040" s="755" t="s">
        <v>407</v>
      </c>
      <c r="C3040" s="759" t="s">
        <v>1751</v>
      </c>
      <c r="D3040" s="759"/>
      <c r="E3040" s="770"/>
      <c r="F3040" s="771"/>
      <c r="G3040" s="1025"/>
      <c r="H3040" s="690"/>
      <c r="I3040" s="1030"/>
      <c r="J3040" s="690"/>
      <c r="K3040" s="1030"/>
      <c r="L3040" s="690"/>
      <c r="M3040" s="1025"/>
      <c r="N3040" s="1030"/>
      <c r="O3040" s="692">
        <f t="shared" si="397"/>
        <v>0</v>
      </c>
      <c r="P3040" s="690"/>
      <c r="Q3040" s="690"/>
      <c r="R3040" s="691">
        <f t="shared" si="398"/>
        <v>0</v>
      </c>
      <c r="S3040" s="692">
        <f t="shared" si="399"/>
        <v>0</v>
      </c>
      <c r="T3040" s="693">
        <f t="shared" si="400"/>
        <v>0</v>
      </c>
      <c r="U3040" s="1035"/>
      <c r="V3040" s="690"/>
      <c r="W3040" s="1025"/>
      <c r="X3040" s="1030"/>
      <c r="Y3040" s="694">
        <f t="shared" si="401"/>
        <v>0</v>
      </c>
      <c r="Z3040" s="690"/>
      <c r="AA3040" s="690"/>
      <c r="AB3040" s="695">
        <f t="shared" si="402"/>
        <v>0</v>
      </c>
      <c r="AC3040" s="1035">
        <v>300000</v>
      </c>
      <c r="AD3040" s="690">
        <v>300000</v>
      </c>
      <c r="AE3040" s="1025"/>
      <c r="AF3040" s="1030"/>
      <c r="AG3040" s="690"/>
      <c r="AH3040" s="690"/>
      <c r="AI3040" s="696">
        <f t="shared" si="403"/>
        <v>300000</v>
      </c>
      <c r="AJ3040" s="697">
        <f t="shared" si="404"/>
        <v>300000</v>
      </c>
    </row>
    <row r="3041" spans="1:36" s="700" customFormat="1" ht="12.75" customHeight="1">
      <c r="A3041" s="755" t="s">
        <v>207</v>
      </c>
      <c r="B3041" s="755" t="s">
        <v>407</v>
      </c>
      <c r="C3041" s="759" t="s">
        <v>1752</v>
      </c>
      <c r="D3041" s="759"/>
      <c r="E3041" s="770"/>
      <c r="F3041" s="771"/>
      <c r="G3041" s="1025"/>
      <c r="H3041" s="690"/>
      <c r="I3041" s="1030"/>
      <c r="J3041" s="690"/>
      <c r="K3041" s="1030"/>
      <c r="L3041" s="690"/>
      <c r="M3041" s="1025"/>
      <c r="N3041" s="1030"/>
      <c r="O3041" s="692">
        <f t="shared" si="397"/>
        <v>0</v>
      </c>
      <c r="P3041" s="690"/>
      <c r="Q3041" s="690"/>
      <c r="R3041" s="691">
        <f t="shared" si="398"/>
        <v>0</v>
      </c>
      <c r="S3041" s="692">
        <f t="shared" si="399"/>
        <v>0</v>
      </c>
      <c r="T3041" s="693">
        <f t="shared" si="400"/>
        <v>0</v>
      </c>
      <c r="U3041" s="1035"/>
      <c r="V3041" s="690"/>
      <c r="W3041" s="1025"/>
      <c r="X3041" s="1030"/>
      <c r="Y3041" s="694">
        <f t="shared" si="401"/>
        <v>0</v>
      </c>
      <c r="Z3041" s="690"/>
      <c r="AA3041" s="690"/>
      <c r="AB3041" s="695">
        <f t="shared" si="402"/>
        <v>0</v>
      </c>
      <c r="AC3041" s="1035">
        <v>27350000</v>
      </c>
      <c r="AD3041" s="690">
        <v>22350000</v>
      </c>
      <c r="AE3041" s="1025"/>
      <c r="AF3041" s="1030"/>
      <c r="AG3041" s="690"/>
      <c r="AH3041" s="690"/>
      <c r="AI3041" s="696">
        <f t="shared" si="403"/>
        <v>27350000</v>
      </c>
      <c r="AJ3041" s="697">
        <f t="shared" si="404"/>
        <v>22350000</v>
      </c>
    </row>
    <row r="3042" spans="1:36" s="700" customFormat="1" ht="12.75" customHeight="1">
      <c r="A3042" s="755" t="s">
        <v>207</v>
      </c>
      <c r="B3042" s="755" t="s">
        <v>431</v>
      </c>
      <c r="C3042" s="764" t="s">
        <v>1518</v>
      </c>
      <c r="D3042" s="764"/>
      <c r="E3042" s="770"/>
      <c r="F3042" s="771"/>
      <c r="G3042" s="1025"/>
      <c r="H3042" s="690"/>
      <c r="I3042" s="1030"/>
      <c r="J3042" s="690"/>
      <c r="K3042" s="1030"/>
      <c r="L3042" s="690"/>
      <c r="M3042" s="1025"/>
      <c r="N3042" s="1030"/>
      <c r="O3042" s="692">
        <f t="shared" si="397"/>
        <v>0</v>
      </c>
      <c r="P3042" s="690"/>
      <c r="Q3042" s="690"/>
      <c r="R3042" s="691">
        <f t="shared" si="398"/>
        <v>0</v>
      </c>
      <c r="S3042" s="692">
        <f t="shared" si="399"/>
        <v>0</v>
      </c>
      <c r="T3042" s="693">
        <f t="shared" si="400"/>
        <v>0</v>
      </c>
      <c r="U3042" s="1035"/>
      <c r="V3042" s="690"/>
      <c r="W3042" s="1025"/>
      <c r="X3042" s="1030"/>
      <c r="Y3042" s="694">
        <f t="shared" si="401"/>
        <v>0</v>
      </c>
      <c r="Z3042" s="690"/>
      <c r="AA3042" s="690"/>
      <c r="AB3042" s="695">
        <f t="shared" si="402"/>
        <v>0</v>
      </c>
      <c r="AC3042" s="1035"/>
      <c r="AD3042" s="690"/>
      <c r="AE3042" s="1025"/>
      <c r="AF3042" s="1030"/>
      <c r="AG3042" s="690"/>
      <c r="AH3042" s="690"/>
      <c r="AI3042" s="696">
        <f t="shared" si="403"/>
        <v>0</v>
      </c>
      <c r="AJ3042" s="697">
        <f t="shared" si="404"/>
        <v>0</v>
      </c>
    </row>
    <row r="3043" spans="1:36" s="700" customFormat="1" ht="12.75" customHeight="1">
      <c r="A3043" s="755" t="s">
        <v>207</v>
      </c>
      <c r="B3043" s="755" t="s">
        <v>431</v>
      </c>
      <c r="C3043" s="759" t="s">
        <v>1753</v>
      </c>
      <c r="D3043" s="759"/>
      <c r="E3043" s="770"/>
      <c r="F3043" s="771"/>
      <c r="G3043" s="1025"/>
      <c r="H3043" s="690"/>
      <c r="I3043" s="1030"/>
      <c r="J3043" s="690"/>
      <c r="K3043" s="1030"/>
      <c r="L3043" s="690"/>
      <c r="M3043" s="1025"/>
      <c r="N3043" s="1030"/>
      <c r="O3043" s="692">
        <f t="shared" si="397"/>
        <v>0</v>
      </c>
      <c r="P3043" s="690"/>
      <c r="Q3043" s="690"/>
      <c r="R3043" s="691">
        <f t="shared" si="398"/>
        <v>0</v>
      </c>
      <c r="S3043" s="692">
        <f t="shared" si="399"/>
        <v>0</v>
      </c>
      <c r="T3043" s="693">
        <f t="shared" si="400"/>
        <v>0</v>
      </c>
      <c r="U3043" s="1035"/>
      <c r="V3043" s="690"/>
      <c r="W3043" s="1025"/>
      <c r="X3043" s="1030"/>
      <c r="Y3043" s="694">
        <f t="shared" si="401"/>
        <v>0</v>
      </c>
      <c r="Z3043" s="690"/>
      <c r="AA3043" s="690"/>
      <c r="AB3043" s="695">
        <f t="shared" si="402"/>
        <v>0</v>
      </c>
      <c r="AC3043" s="1035"/>
      <c r="AD3043" s="690"/>
      <c r="AE3043" s="1025"/>
      <c r="AF3043" s="1030"/>
      <c r="AG3043" s="690"/>
      <c r="AH3043" s="690"/>
      <c r="AI3043" s="696">
        <f t="shared" si="403"/>
        <v>0</v>
      </c>
      <c r="AJ3043" s="697">
        <f t="shared" si="404"/>
        <v>0</v>
      </c>
    </row>
    <row r="3044" spans="1:36" s="700" customFormat="1" ht="12.75" customHeight="1">
      <c r="A3044" s="755" t="s">
        <v>207</v>
      </c>
      <c r="B3044" s="755" t="s">
        <v>431</v>
      </c>
      <c r="C3044" s="759" t="s">
        <v>1754</v>
      </c>
      <c r="D3044" s="759"/>
      <c r="E3044" s="770"/>
      <c r="F3044" s="771"/>
      <c r="G3044" s="1025"/>
      <c r="H3044" s="690"/>
      <c r="I3044" s="1030">
        <v>1759393</v>
      </c>
      <c r="J3044" s="690">
        <v>1759393</v>
      </c>
      <c r="K3044" s="1030"/>
      <c r="L3044" s="690"/>
      <c r="M3044" s="1025"/>
      <c r="N3044" s="1030"/>
      <c r="O3044" s="692">
        <f t="shared" si="397"/>
        <v>0</v>
      </c>
      <c r="P3044" s="690"/>
      <c r="Q3044" s="690"/>
      <c r="R3044" s="691">
        <f t="shared" si="398"/>
        <v>0</v>
      </c>
      <c r="S3044" s="692">
        <f t="shared" si="399"/>
        <v>1759393</v>
      </c>
      <c r="T3044" s="693">
        <f t="shared" si="400"/>
        <v>1759393</v>
      </c>
      <c r="U3044" s="1035"/>
      <c r="V3044" s="690"/>
      <c r="W3044" s="1025"/>
      <c r="X3044" s="1030"/>
      <c r="Y3044" s="694">
        <f t="shared" si="401"/>
        <v>0</v>
      </c>
      <c r="Z3044" s="690"/>
      <c r="AA3044" s="690"/>
      <c r="AB3044" s="695">
        <f t="shared" si="402"/>
        <v>0</v>
      </c>
      <c r="AC3044" s="1035"/>
      <c r="AD3044" s="690"/>
      <c r="AE3044" s="1025"/>
      <c r="AF3044" s="1030"/>
      <c r="AG3044" s="690"/>
      <c r="AH3044" s="690"/>
      <c r="AI3044" s="696">
        <f t="shared" si="403"/>
        <v>1759393</v>
      </c>
      <c r="AJ3044" s="697">
        <f t="shared" si="404"/>
        <v>1759393</v>
      </c>
    </row>
    <row r="3045" spans="1:36" s="700" customFormat="1" ht="12.75" customHeight="1">
      <c r="A3045" s="755" t="s">
        <v>207</v>
      </c>
      <c r="B3045" s="755" t="s">
        <v>431</v>
      </c>
      <c r="C3045" s="982" t="s">
        <v>1755</v>
      </c>
      <c r="D3045" s="982"/>
      <c r="E3045" s="770"/>
      <c r="F3045" s="771"/>
      <c r="G3045" s="1025"/>
      <c r="H3045" s="690"/>
      <c r="I3045" s="1030">
        <v>93636</v>
      </c>
      <c r="J3045" s="690">
        <v>93636</v>
      </c>
      <c r="K3045" s="1030"/>
      <c r="L3045" s="690"/>
      <c r="M3045" s="1025"/>
      <c r="N3045" s="1030"/>
      <c r="O3045" s="692">
        <f t="shared" si="397"/>
        <v>0</v>
      </c>
      <c r="P3045" s="690"/>
      <c r="Q3045" s="690"/>
      <c r="R3045" s="691">
        <f t="shared" si="398"/>
        <v>0</v>
      </c>
      <c r="S3045" s="692">
        <f t="shared" si="399"/>
        <v>93636</v>
      </c>
      <c r="T3045" s="693">
        <f t="shared" si="400"/>
        <v>93636</v>
      </c>
      <c r="U3045" s="1035"/>
      <c r="V3045" s="690"/>
      <c r="W3045" s="1025"/>
      <c r="X3045" s="1030"/>
      <c r="Y3045" s="694">
        <f t="shared" si="401"/>
        <v>0</v>
      </c>
      <c r="Z3045" s="690"/>
      <c r="AA3045" s="690"/>
      <c r="AB3045" s="695">
        <f t="shared" si="402"/>
        <v>0</v>
      </c>
      <c r="AC3045" s="1035"/>
      <c r="AD3045" s="690"/>
      <c r="AE3045" s="1025"/>
      <c r="AF3045" s="1030"/>
      <c r="AG3045" s="690"/>
      <c r="AH3045" s="690"/>
      <c r="AI3045" s="696">
        <f t="shared" si="403"/>
        <v>93636</v>
      </c>
      <c r="AJ3045" s="697">
        <f t="shared" si="404"/>
        <v>93636</v>
      </c>
    </row>
    <row r="3046" spans="1:36" s="700" customFormat="1" ht="12.75" customHeight="1">
      <c r="A3046" s="755" t="s">
        <v>207</v>
      </c>
      <c r="B3046" s="755" t="s">
        <v>409</v>
      </c>
      <c r="C3046" s="764" t="s">
        <v>157</v>
      </c>
      <c r="D3046" s="764"/>
      <c r="E3046" s="770"/>
      <c r="F3046" s="771"/>
      <c r="G3046" s="1025"/>
      <c r="H3046" s="690"/>
      <c r="I3046" s="1030"/>
      <c r="J3046" s="690"/>
      <c r="K3046" s="1030"/>
      <c r="L3046" s="690"/>
      <c r="M3046" s="1025"/>
      <c r="N3046" s="1030"/>
      <c r="O3046" s="692">
        <f t="shared" si="397"/>
        <v>0</v>
      </c>
      <c r="P3046" s="690"/>
      <c r="Q3046" s="690"/>
      <c r="R3046" s="691">
        <f t="shared" si="398"/>
        <v>0</v>
      </c>
      <c r="S3046" s="692">
        <f t="shared" si="399"/>
        <v>0</v>
      </c>
      <c r="T3046" s="693">
        <f t="shared" si="400"/>
        <v>0</v>
      </c>
      <c r="U3046" s="1035"/>
      <c r="V3046" s="690"/>
      <c r="W3046" s="1025"/>
      <c r="X3046" s="1030"/>
      <c r="Y3046" s="694">
        <f t="shared" si="401"/>
        <v>0</v>
      </c>
      <c r="Z3046" s="690"/>
      <c r="AA3046" s="690"/>
      <c r="AB3046" s="695">
        <f t="shared" si="402"/>
        <v>0</v>
      </c>
      <c r="AC3046" s="1035"/>
      <c r="AD3046" s="690"/>
      <c r="AE3046" s="1025"/>
      <c r="AF3046" s="1030"/>
      <c r="AG3046" s="690"/>
      <c r="AH3046" s="690"/>
      <c r="AI3046" s="696">
        <f t="shared" si="403"/>
        <v>0</v>
      </c>
      <c r="AJ3046" s="697">
        <f t="shared" si="404"/>
        <v>0</v>
      </c>
    </row>
    <row r="3047" spans="1:36" s="700" customFormat="1" ht="12.75" customHeight="1">
      <c r="A3047" s="755" t="s">
        <v>207</v>
      </c>
      <c r="B3047" s="755" t="s">
        <v>410</v>
      </c>
      <c r="C3047" s="761" t="s">
        <v>200</v>
      </c>
      <c r="D3047" s="761"/>
      <c r="E3047" s="770"/>
      <c r="F3047" s="771"/>
      <c r="G3047" s="1025"/>
      <c r="H3047" s="690"/>
      <c r="I3047" s="1030"/>
      <c r="J3047" s="690"/>
      <c r="K3047" s="1030"/>
      <c r="L3047" s="690"/>
      <c r="M3047" s="1025"/>
      <c r="N3047" s="1030"/>
      <c r="O3047" s="692">
        <f t="shared" si="397"/>
        <v>0</v>
      </c>
      <c r="P3047" s="690"/>
      <c r="Q3047" s="690"/>
      <c r="R3047" s="691">
        <f t="shared" si="398"/>
        <v>0</v>
      </c>
      <c r="S3047" s="692">
        <f t="shared" si="399"/>
        <v>0</v>
      </c>
      <c r="T3047" s="693">
        <f t="shared" si="400"/>
        <v>0</v>
      </c>
      <c r="U3047" s="1035">
        <v>29928152</v>
      </c>
      <c r="V3047" s="690">
        <v>32542176</v>
      </c>
      <c r="W3047" s="1025"/>
      <c r="X3047" s="1030"/>
      <c r="Y3047" s="694">
        <f t="shared" si="401"/>
        <v>0</v>
      </c>
      <c r="Z3047" s="690"/>
      <c r="AA3047" s="690"/>
      <c r="AB3047" s="695">
        <f t="shared" si="402"/>
        <v>0</v>
      </c>
      <c r="AC3047" s="1035"/>
      <c r="AD3047" s="690"/>
      <c r="AE3047" s="1025"/>
      <c r="AF3047" s="1030"/>
      <c r="AG3047" s="690"/>
      <c r="AH3047" s="690"/>
      <c r="AI3047" s="696">
        <f t="shared" si="403"/>
        <v>29928152</v>
      </c>
      <c r="AJ3047" s="697">
        <f t="shared" si="404"/>
        <v>32542176</v>
      </c>
    </row>
    <row r="3048" spans="1:36" s="700" customFormat="1" ht="12.75" customHeight="1">
      <c r="A3048" s="755" t="s">
        <v>207</v>
      </c>
      <c r="B3048" s="755" t="s">
        <v>410</v>
      </c>
      <c r="C3048" s="982" t="s">
        <v>1756</v>
      </c>
      <c r="D3048" s="982"/>
      <c r="E3048" s="770"/>
      <c r="F3048" s="771"/>
      <c r="G3048" s="1025"/>
      <c r="H3048" s="690"/>
      <c r="I3048" s="1030"/>
      <c r="J3048" s="690"/>
      <c r="K3048" s="1030"/>
      <c r="L3048" s="690"/>
      <c r="M3048" s="1025"/>
      <c r="N3048" s="1030"/>
      <c r="O3048" s="692">
        <f t="shared" si="397"/>
        <v>0</v>
      </c>
      <c r="P3048" s="690"/>
      <c r="Q3048" s="690"/>
      <c r="R3048" s="691">
        <f t="shared" si="398"/>
        <v>0</v>
      </c>
      <c r="S3048" s="692">
        <f t="shared" si="399"/>
        <v>0</v>
      </c>
      <c r="T3048" s="693">
        <f t="shared" si="400"/>
        <v>0</v>
      </c>
      <c r="U3048" s="1035">
        <v>39651676</v>
      </c>
      <c r="V3048" s="690">
        <f>17279908+4915134+17303771-3200742-1759393-93636</f>
        <v>34445042</v>
      </c>
      <c r="W3048" s="1025"/>
      <c r="X3048" s="1030"/>
      <c r="Y3048" s="694">
        <f t="shared" si="401"/>
        <v>0</v>
      </c>
      <c r="Z3048" s="690"/>
      <c r="AA3048" s="690"/>
      <c r="AB3048" s="695">
        <f t="shared" si="402"/>
        <v>0</v>
      </c>
      <c r="AC3048" s="1035"/>
      <c r="AD3048" s="690"/>
      <c r="AE3048" s="1025"/>
      <c r="AF3048" s="1030"/>
      <c r="AG3048" s="690"/>
      <c r="AH3048" s="690"/>
      <c r="AI3048" s="696">
        <f t="shared" si="403"/>
        <v>39651676</v>
      </c>
      <c r="AJ3048" s="697">
        <f t="shared" si="404"/>
        <v>34445042</v>
      </c>
    </row>
    <row r="3049" spans="1:36" s="700" customFormat="1" ht="12.75" customHeight="1">
      <c r="A3049" s="755" t="s">
        <v>207</v>
      </c>
      <c r="B3049" s="755" t="s">
        <v>411</v>
      </c>
      <c r="C3049" s="761" t="s">
        <v>199</v>
      </c>
      <c r="D3049" s="761"/>
      <c r="E3049" s="770"/>
      <c r="F3049" s="771"/>
      <c r="G3049" s="1025"/>
      <c r="H3049" s="690"/>
      <c r="I3049" s="1030"/>
      <c r="J3049" s="690"/>
      <c r="K3049" s="1030"/>
      <c r="L3049" s="690"/>
      <c r="M3049" s="1025"/>
      <c r="N3049" s="1030"/>
      <c r="O3049" s="692">
        <f t="shared" si="397"/>
        <v>0</v>
      </c>
      <c r="P3049" s="690"/>
      <c r="Q3049" s="690"/>
      <c r="R3049" s="691">
        <f t="shared" si="398"/>
        <v>0</v>
      </c>
      <c r="S3049" s="692">
        <f t="shared" si="399"/>
        <v>0</v>
      </c>
      <c r="T3049" s="693">
        <f t="shared" si="400"/>
        <v>0</v>
      </c>
      <c r="U3049" s="1035"/>
      <c r="V3049" s="690"/>
      <c r="W3049" s="1025"/>
      <c r="X3049" s="1030"/>
      <c r="Y3049" s="694">
        <f t="shared" si="401"/>
        <v>0</v>
      </c>
      <c r="Z3049" s="690"/>
      <c r="AA3049" s="690"/>
      <c r="AB3049" s="695">
        <f t="shared" si="402"/>
        <v>0</v>
      </c>
      <c r="AC3049" s="1035"/>
      <c r="AD3049" s="690"/>
      <c r="AE3049" s="1025"/>
      <c r="AF3049" s="1030"/>
      <c r="AG3049" s="690"/>
      <c r="AH3049" s="690"/>
      <c r="AI3049" s="696">
        <f t="shared" si="403"/>
        <v>0</v>
      </c>
      <c r="AJ3049" s="697">
        <f t="shared" si="404"/>
        <v>0</v>
      </c>
    </row>
    <row r="3050" spans="1:36" s="700" customFormat="1" ht="12.75" customHeight="1">
      <c r="A3050" s="755" t="s">
        <v>207</v>
      </c>
      <c r="B3050" s="755" t="s">
        <v>411</v>
      </c>
      <c r="C3050" s="761" t="s">
        <v>1757</v>
      </c>
      <c r="D3050" s="761"/>
      <c r="E3050" s="770"/>
      <c r="F3050" s="771"/>
      <c r="G3050" s="1025"/>
      <c r="H3050" s="690"/>
      <c r="I3050" s="1030"/>
      <c r="J3050" s="690"/>
      <c r="K3050" s="1030"/>
      <c r="L3050" s="690"/>
      <c r="M3050" s="1025"/>
      <c r="N3050" s="1030"/>
      <c r="O3050" s="692">
        <f t="shared" si="397"/>
        <v>0</v>
      </c>
      <c r="P3050" s="690"/>
      <c r="Q3050" s="690"/>
      <c r="R3050" s="691">
        <f t="shared" si="398"/>
        <v>0</v>
      </c>
      <c r="S3050" s="692">
        <f t="shared" si="399"/>
        <v>0</v>
      </c>
      <c r="T3050" s="693">
        <f t="shared" si="400"/>
        <v>0</v>
      </c>
      <c r="U3050" s="1035">
        <v>6842310</v>
      </c>
      <c r="V3050" s="690">
        <v>6744916</v>
      </c>
      <c r="W3050" s="1025"/>
      <c r="X3050" s="1030"/>
      <c r="Y3050" s="694">
        <f t="shared" si="401"/>
        <v>0</v>
      </c>
      <c r="Z3050" s="690"/>
      <c r="AA3050" s="690"/>
      <c r="AB3050" s="695">
        <f t="shared" si="402"/>
        <v>0</v>
      </c>
      <c r="AC3050" s="1035"/>
      <c r="AD3050" s="690"/>
      <c r="AE3050" s="1025"/>
      <c r="AF3050" s="1030"/>
      <c r="AG3050" s="690"/>
      <c r="AH3050" s="690"/>
      <c r="AI3050" s="696">
        <f t="shared" si="403"/>
        <v>6842310</v>
      </c>
      <c r="AJ3050" s="697">
        <f t="shared" si="404"/>
        <v>6744916</v>
      </c>
    </row>
    <row r="3051" spans="1:36" s="700" customFormat="1" ht="12.75" customHeight="1">
      <c r="A3051" s="755" t="s">
        <v>207</v>
      </c>
      <c r="B3051" s="755" t="s">
        <v>412</v>
      </c>
      <c r="C3051" s="761" t="s">
        <v>198</v>
      </c>
      <c r="D3051" s="761"/>
      <c r="E3051" s="770"/>
      <c r="F3051" s="771"/>
      <c r="G3051" s="1025"/>
      <c r="H3051" s="690"/>
      <c r="I3051" s="1030"/>
      <c r="J3051" s="690"/>
      <c r="K3051" s="1030"/>
      <c r="L3051" s="690"/>
      <c r="M3051" s="1025"/>
      <c r="N3051" s="1030"/>
      <c r="O3051" s="692">
        <f t="shared" si="397"/>
        <v>0</v>
      </c>
      <c r="P3051" s="690"/>
      <c r="Q3051" s="690"/>
      <c r="R3051" s="691">
        <f t="shared" si="398"/>
        <v>0</v>
      </c>
      <c r="S3051" s="692">
        <f t="shared" si="399"/>
        <v>0</v>
      </c>
      <c r="T3051" s="693">
        <f t="shared" si="400"/>
        <v>0</v>
      </c>
      <c r="U3051" s="1035"/>
      <c r="V3051" s="690"/>
      <c r="W3051" s="1025"/>
      <c r="X3051" s="1030"/>
      <c r="Y3051" s="694">
        <f t="shared" si="401"/>
        <v>0</v>
      </c>
      <c r="Z3051" s="690"/>
      <c r="AA3051" s="690"/>
      <c r="AB3051" s="695">
        <f t="shared" si="402"/>
        <v>0</v>
      </c>
      <c r="AC3051" s="1035"/>
      <c r="AD3051" s="690"/>
      <c r="AE3051" s="1025"/>
      <c r="AF3051" s="1030"/>
      <c r="AG3051" s="690"/>
      <c r="AH3051" s="690"/>
      <c r="AI3051" s="696">
        <f t="shared" si="403"/>
        <v>0</v>
      </c>
      <c r="AJ3051" s="697">
        <f t="shared" si="404"/>
        <v>0</v>
      </c>
    </row>
    <row r="3052" spans="1:36" s="700" customFormat="1" ht="12.75" customHeight="1">
      <c r="A3052" s="755" t="s">
        <v>207</v>
      </c>
      <c r="B3052" s="755" t="s">
        <v>412</v>
      </c>
      <c r="C3052" s="759" t="s">
        <v>684</v>
      </c>
      <c r="D3052" s="759"/>
      <c r="E3052" s="770"/>
      <c r="F3052" s="771"/>
      <c r="G3052" s="1025"/>
      <c r="H3052" s="690"/>
      <c r="I3052" s="1030"/>
      <c r="J3052" s="690"/>
      <c r="K3052" s="1030"/>
      <c r="L3052" s="690"/>
      <c r="M3052" s="1025"/>
      <c r="N3052" s="1030"/>
      <c r="O3052" s="692">
        <f t="shared" si="397"/>
        <v>0</v>
      </c>
      <c r="P3052" s="690"/>
      <c r="Q3052" s="690"/>
      <c r="R3052" s="691">
        <f t="shared" si="398"/>
        <v>0</v>
      </c>
      <c r="S3052" s="692">
        <f t="shared" si="399"/>
        <v>0</v>
      </c>
      <c r="T3052" s="693">
        <f t="shared" si="400"/>
        <v>0</v>
      </c>
      <c r="U3052" s="1035"/>
      <c r="V3052" s="690"/>
      <c r="W3052" s="1025"/>
      <c r="X3052" s="1030"/>
      <c r="Y3052" s="694">
        <f t="shared" si="401"/>
        <v>0</v>
      </c>
      <c r="Z3052" s="690"/>
      <c r="AA3052" s="690"/>
      <c r="AB3052" s="695">
        <f t="shared" si="402"/>
        <v>0</v>
      </c>
      <c r="AC3052" s="1035"/>
      <c r="AD3052" s="690"/>
      <c r="AE3052" s="1025"/>
      <c r="AF3052" s="1030"/>
      <c r="AG3052" s="690"/>
      <c r="AH3052" s="690"/>
      <c r="AI3052" s="696">
        <f t="shared" si="403"/>
        <v>0</v>
      </c>
      <c r="AJ3052" s="697">
        <f t="shared" si="404"/>
        <v>0</v>
      </c>
    </row>
    <row r="3053" spans="1:36" s="700" customFormat="1" ht="12.75" customHeight="1">
      <c r="A3053" s="755" t="s">
        <v>207</v>
      </c>
      <c r="B3053" s="755" t="s">
        <v>413</v>
      </c>
      <c r="C3053" s="761" t="s">
        <v>159</v>
      </c>
      <c r="D3053" s="761"/>
      <c r="E3053" s="770"/>
      <c r="F3053" s="771"/>
      <c r="G3053" s="1025"/>
      <c r="H3053" s="690"/>
      <c r="I3053" s="1030"/>
      <c r="J3053" s="690"/>
      <c r="K3053" s="1030"/>
      <c r="L3053" s="690"/>
      <c r="M3053" s="1025"/>
      <c r="N3053" s="1030"/>
      <c r="O3053" s="692">
        <f t="shared" si="397"/>
        <v>0</v>
      </c>
      <c r="P3053" s="690"/>
      <c r="Q3053" s="690"/>
      <c r="R3053" s="691">
        <f t="shared" si="398"/>
        <v>0</v>
      </c>
      <c r="S3053" s="692">
        <f t="shared" si="399"/>
        <v>0</v>
      </c>
      <c r="T3053" s="693">
        <f t="shared" si="400"/>
        <v>0</v>
      </c>
      <c r="U3053" s="1035"/>
      <c r="V3053" s="690"/>
      <c r="W3053" s="1025"/>
      <c r="X3053" s="1030"/>
      <c r="Y3053" s="694">
        <f t="shared" si="401"/>
        <v>0</v>
      </c>
      <c r="Z3053" s="690"/>
      <c r="AA3053" s="690"/>
      <c r="AB3053" s="695">
        <f t="shared" si="402"/>
        <v>0</v>
      </c>
      <c r="AC3053" s="1035"/>
      <c r="AD3053" s="690"/>
      <c r="AE3053" s="1025"/>
      <c r="AF3053" s="1030"/>
      <c r="AG3053" s="690"/>
      <c r="AH3053" s="690"/>
      <c r="AI3053" s="696">
        <f t="shared" si="403"/>
        <v>0</v>
      </c>
      <c r="AJ3053" s="697">
        <f t="shared" si="404"/>
        <v>0</v>
      </c>
    </row>
    <row r="3054" spans="1:36" s="700" customFormat="1" ht="12.75" customHeight="1">
      <c r="A3054" s="755" t="s">
        <v>207</v>
      </c>
      <c r="B3054" s="755" t="s">
        <v>414</v>
      </c>
      <c r="C3054" s="764" t="s">
        <v>160</v>
      </c>
      <c r="D3054" s="764"/>
      <c r="E3054" s="770"/>
      <c r="F3054" s="771"/>
      <c r="G3054" s="1025"/>
      <c r="H3054" s="690"/>
      <c r="I3054" s="1030"/>
      <c r="J3054" s="690"/>
      <c r="K3054" s="1030"/>
      <c r="L3054" s="690"/>
      <c r="M3054" s="1025"/>
      <c r="N3054" s="1030"/>
      <c r="O3054" s="692">
        <f t="shared" si="397"/>
        <v>0</v>
      </c>
      <c r="P3054" s="690"/>
      <c r="Q3054" s="690"/>
      <c r="R3054" s="691">
        <f t="shared" si="398"/>
        <v>0</v>
      </c>
      <c r="S3054" s="692">
        <f t="shared" si="399"/>
        <v>0</v>
      </c>
      <c r="T3054" s="693">
        <f t="shared" si="400"/>
        <v>0</v>
      </c>
      <c r="U3054" s="1035"/>
      <c r="V3054" s="690"/>
      <c r="W3054" s="1025"/>
      <c r="X3054" s="1030"/>
      <c r="Y3054" s="694">
        <f t="shared" si="401"/>
        <v>0</v>
      </c>
      <c r="Z3054" s="690"/>
      <c r="AA3054" s="690"/>
      <c r="AB3054" s="695">
        <f t="shared" si="402"/>
        <v>0</v>
      </c>
      <c r="AC3054" s="1035"/>
      <c r="AD3054" s="690"/>
      <c r="AE3054" s="1025"/>
      <c r="AF3054" s="1030"/>
      <c r="AG3054" s="690"/>
      <c r="AH3054" s="690"/>
      <c r="AI3054" s="696">
        <f t="shared" si="403"/>
        <v>0</v>
      </c>
      <c r="AJ3054" s="697">
        <f t="shared" si="404"/>
        <v>0</v>
      </c>
    </row>
    <row r="3055" spans="1:36" s="700" customFormat="1" ht="12.75" customHeight="1">
      <c r="A3055" s="755" t="s">
        <v>207</v>
      </c>
      <c r="B3055" s="755" t="s">
        <v>414</v>
      </c>
      <c r="C3055" s="982" t="s">
        <v>1758</v>
      </c>
      <c r="D3055" s="982"/>
      <c r="E3055" s="770"/>
      <c r="F3055" s="771"/>
      <c r="G3055" s="1025"/>
      <c r="H3055" s="690"/>
      <c r="I3055" s="1030"/>
      <c r="J3055" s="690"/>
      <c r="K3055" s="1030"/>
      <c r="L3055" s="690"/>
      <c r="M3055" s="1025"/>
      <c r="N3055" s="1030"/>
      <c r="O3055" s="692">
        <f t="shared" si="397"/>
        <v>0</v>
      </c>
      <c r="P3055" s="690"/>
      <c r="Q3055" s="690"/>
      <c r="R3055" s="691">
        <f t="shared" si="398"/>
        <v>0</v>
      </c>
      <c r="S3055" s="692">
        <f t="shared" si="399"/>
        <v>0</v>
      </c>
      <c r="T3055" s="693">
        <f t="shared" si="400"/>
        <v>0</v>
      </c>
      <c r="U3055" s="1035">
        <v>50886268</v>
      </c>
      <c r="V3055" s="690">
        <f>43097782+7637935+1125000+1915830</f>
        <v>53776547</v>
      </c>
      <c r="W3055" s="1025"/>
      <c r="X3055" s="1030"/>
      <c r="Y3055" s="694">
        <f t="shared" si="401"/>
        <v>0</v>
      </c>
      <c r="Z3055" s="690"/>
      <c r="AA3055" s="690"/>
      <c r="AB3055" s="695">
        <f t="shared" si="402"/>
        <v>0</v>
      </c>
      <c r="AC3055" s="1035"/>
      <c r="AD3055" s="690"/>
      <c r="AE3055" s="1025"/>
      <c r="AF3055" s="1030"/>
      <c r="AG3055" s="690"/>
      <c r="AH3055" s="690"/>
      <c r="AI3055" s="696">
        <f t="shared" si="403"/>
        <v>50886268</v>
      </c>
      <c r="AJ3055" s="697">
        <f t="shared" si="404"/>
        <v>53776547</v>
      </c>
    </row>
    <row r="3056" spans="1:36" s="700" customFormat="1" ht="12.75" customHeight="1">
      <c r="A3056" s="755" t="s">
        <v>207</v>
      </c>
      <c r="B3056" s="755" t="s">
        <v>414</v>
      </c>
      <c r="C3056" s="982" t="s">
        <v>1759</v>
      </c>
      <c r="D3056" s="982"/>
      <c r="E3056" s="770"/>
      <c r="F3056" s="771"/>
      <c r="G3056" s="1025"/>
      <c r="H3056" s="690"/>
      <c r="I3056" s="1030"/>
      <c r="J3056" s="690"/>
      <c r="K3056" s="1030"/>
      <c r="L3056" s="690"/>
      <c r="M3056" s="1025"/>
      <c r="N3056" s="1030"/>
      <c r="O3056" s="692">
        <f t="shared" si="397"/>
        <v>0</v>
      </c>
      <c r="P3056" s="690"/>
      <c r="Q3056" s="690"/>
      <c r="R3056" s="691">
        <f t="shared" si="398"/>
        <v>0</v>
      </c>
      <c r="S3056" s="692">
        <f t="shared" si="399"/>
        <v>0</v>
      </c>
      <c r="T3056" s="693">
        <f t="shared" si="400"/>
        <v>0</v>
      </c>
      <c r="U3056" s="1035">
        <v>3200742</v>
      </c>
      <c r="V3056" s="690">
        <v>3200742</v>
      </c>
      <c r="W3056" s="1025"/>
      <c r="X3056" s="1030"/>
      <c r="Y3056" s="694">
        <f t="shared" si="401"/>
        <v>0</v>
      </c>
      <c r="Z3056" s="690"/>
      <c r="AA3056" s="690"/>
      <c r="AB3056" s="695">
        <f t="shared" si="402"/>
        <v>0</v>
      </c>
      <c r="AC3056" s="1035"/>
      <c r="AD3056" s="690"/>
      <c r="AE3056" s="1025"/>
      <c r="AF3056" s="1030"/>
      <c r="AG3056" s="690"/>
      <c r="AH3056" s="690"/>
      <c r="AI3056" s="696">
        <f t="shared" si="403"/>
        <v>3200742</v>
      </c>
      <c r="AJ3056" s="697">
        <f t="shared" si="404"/>
        <v>3200742</v>
      </c>
    </row>
    <row r="3057" spans="1:36" s="700" customFormat="1" ht="12.75" customHeight="1">
      <c r="A3057" s="755" t="s">
        <v>207</v>
      </c>
      <c r="B3057" s="755" t="s">
        <v>415</v>
      </c>
      <c r="C3057" s="764" t="s">
        <v>165</v>
      </c>
      <c r="D3057" s="764"/>
      <c r="E3057" s="770"/>
      <c r="F3057" s="771"/>
      <c r="G3057" s="1025"/>
      <c r="H3057" s="690"/>
      <c r="I3057" s="1030"/>
      <c r="J3057" s="690"/>
      <c r="K3057" s="1030"/>
      <c r="L3057" s="690"/>
      <c r="M3057" s="1025"/>
      <c r="N3057" s="1030"/>
      <c r="O3057" s="692">
        <f t="shared" si="397"/>
        <v>0</v>
      </c>
      <c r="P3057" s="690"/>
      <c r="Q3057" s="690"/>
      <c r="R3057" s="691">
        <f t="shared" si="398"/>
        <v>0</v>
      </c>
      <c r="S3057" s="692">
        <f t="shared" si="399"/>
        <v>0</v>
      </c>
      <c r="T3057" s="693">
        <f t="shared" si="400"/>
        <v>0</v>
      </c>
      <c r="U3057" s="1035"/>
      <c r="V3057" s="690"/>
      <c r="W3057" s="1025"/>
      <c r="X3057" s="1030"/>
      <c r="Y3057" s="694">
        <f t="shared" si="401"/>
        <v>0</v>
      </c>
      <c r="Z3057" s="690"/>
      <c r="AA3057" s="690"/>
      <c r="AB3057" s="695">
        <f t="shared" si="402"/>
        <v>0</v>
      </c>
      <c r="AC3057" s="1035"/>
      <c r="AD3057" s="690"/>
      <c r="AE3057" s="1025"/>
      <c r="AF3057" s="1030"/>
      <c r="AG3057" s="690"/>
      <c r="AH3057" s="690"/>
      <c r="AI3057" s="696">
        <f t="shared" si="403"/>
        <v>0</v>
      </c>
      <c r="AJ3057" s="697">
        <f t="shared" si="404"/>
        <v>0</v>
      </c>
    </row>
    <row r="3058" spans="1:36" s="700" customFormat="1" ht="12.75" customHeight="1">
      <c r="A3058" s="755" t="s">
        <v>207</v>
      </c>
      <c r="B3058" s="755" t="s">
        <v>416</v>
      </c>
      <c r="C3058" s="761" t="s">
        <v>166</v>
      </c>
      <c r="D3058" s="761"/>
      <c r="E3058" s="770"/>
      <c r="F3058" s="771"/>
      <c r="G3058" s="1025"/>
      <c r="H3058" s="690"/>
      <c r="I3058" s="1030"/>
      <c r="J3058" s="690"/>
      <c r="K3058" s="1030"/>
      <c r="L3058" s="690"/>
      <c r="M3058" s="1025"/>
      <c r="N3058" s="1030"/>
      <c r="O3058" s="692">
        <f t="shared" si="397"/>
        <v>0</v>
      </c>
      <c r="P3058" s="690"/>
      <c r="Q3058" s="690"/>
      <c r="R3058" s="691">
        <f t="shared" si="398"/>
        <v>0</v>
      </c>
      <c r="S3058" s="692">
        <f t="shared" si="399"/>
        <v>0</v>
      </c>
      <c r="T3058" s="693">
        <f t="shared" si="400"/>
        <v>0</v>
      </c>
      <c r="U3058" s="1035"/>
      <c r="V3058" s="690"/>
      <c r="W3058" s="1025"/>
      <c r="X3058" s="1030"/>
      <c r="Y3058" s="694">
        <f t="shared" si="401"/>
        <v>0</v>
      </c>
      <c r="Z3058" s="690"/>
      <c r="AA3058" s="690"/>
      <c r="AB3058" s="695">
        <f t="shared" si="402"/>
        <v>0</v>
      </c>
      <c r="AC3058" s="1035"/>
      <c r="AD3058" s="690"/>
      <c r="AE3058" s="1025"/>
      <c r="AF3058" s="1030"/>
      <c r="AG3058" s="690"/>
      <c r="AH3058" s="690"/>
      <c r="AI3058" s="696">
        <f t="shared" si="403"/>
        <v>0</v>
      </c>
      <c r="AJ3058" s="697">
        <f t="shared" si="404"/>
        <v>0</v>
      </c>
    </row>
    <row r="3059" spans="1:36" s="700" customFormat="1" ht="12.75" customHeight="1">
      <c r="A3059" s="755" t="s">
        <v>207</v>
      </c>
      <c r="B3059" s="755" t="s">
        <v>417</v>
      </c>
      <c r="C3059" s="761" t="s">
        <v>168</v>
      </c>
      <c r="D3059" s="761"/>
      <c r="E3059" s="770"/>
      <c r="F3059" s="771"/>
      <c r="G3059" s="1025"/>
      <c r="H3059" s="690"/>
      <c r="I3059" s="1030"/>
      <c r="J3059" s="690"/>
      <c r="K3059" s="1030"/>
      <c r="L3059" s="690"/>
      <c r="M3059" s="1025"/>
      <c r="N3059" s="1030"/>
      <c r="O3059" s="692">
        <f t="shared" si="397"/>
        <v>0</v>
      </c>
      <c r="P3059" s="690"/>
      <c r="Q3059" s="690"/>
      <c r="R3059" s="691">
        <f t="shared" si="398"/>
        <v>0</v>
      </c>
      <c r="S3059" s="692">
        <f t="shared" si="399"/>
        <v>0</v>
      </c>
      <c r="T3059" s="693">
        <f t="shared" si="400"/>
        <v>0</v>
      </c>
      <c r="U3059" s="1035"/>
      <c r="V3059" s="690"/>
      <c r="W3059" s="1025"/>
      <c r="X3059" s="1030"/>
      <c r="Y3059" s="694">
        <f t="shared" si="401"/>
        <v>0</v>
      </c>
      <c r="Z3059" s="690"/>
      <c r="AA3059" s="690"/>
      <c r="AB3059" s="695">
        <f t="shared" si="402"/>
        <v>0</v>
      </c>
      <c r="AC3059" s="1035"/>
      <c r="AD3059" s="690"/>
      <c r="AE3059" s="1025"/>
      <c r="AF3059" s="1030"/>
      <c r="AG3059" s="690"/>
      <c r="AH3059" s="690"/>
      <c r="AI3059" s="696">
        <f t="shared" si="403"/>
        <v>0</v>
      </c>
      <c r="AJ3059" s="697">
        <f t="shared" si="404"/>
        <v>0</v>
      </c>
    </row>
    <row r="3060" spans="1:36" s="700" customFormat="1" ht="12.75" customHeight="1">
      <c r="A3060" s="755" t="s">
        <v>207</v>
      </c>
      <c r="B3060" s="755" t="s">
        <v>418</v>
      </c>
      <c r="C3060" s="761" t="s">
        <v>197</v>
      </c>
      <c r="D3060" s="761"/>
      <c r="E3060" s="770"/>
      <c r="F3060" s="771"/>
      <c r="G3060" s="1025"/>
      <c r="H3060" s="690"/>
      <c r="I3060" s="1030"/>
      <c r="J3060" s="690"/>
      <c r="K3060" s="1030"/>
      <c r="L3060" s="690"/>
      <c r="M3060" s="1025"/>
      <c r="N3060" s="1030"/>
      <c r="O3060" s="692">
        <f t="shared" si="397"/>
        <v>0</v>
      </c>
      <c r="P3060" s="690"/>
      <c r="Q3060" s="690"/>
      <c r="R3060" s="691">
        <f t="shared" si="398"/>
        <v>0</v>
      </c>
      <c r="S3060" s="692">
        <f t="shared" si="399"/>
        <v>0</v>
      </c>
      <c r="T3060" s="693">
        <f t="shared" si="400"/>
        <v>0</v>
      </c>
      <c r="U3060" s="1035"/>
      <c r="V3060" s="690"/>
      <c r="W3060" s="1025"/>
      <c r="X3060" s="1030"/>
      <c r="Y3060" s="694">
        <f t="shared" si="401"/>
        <v>0</v>
      </c>
      <c r="Z3060" s="690"/>
      <c r="AA3060" s="690"/>
      <c r="AB3060" s="695">
        <f t="shared" si="402"/>
        <v>0</v>
      </c>
      <c r="AC3060" s="1035"/>
      <c r="AD3060" s="690"/>
      <c r="AE3060" s="1025"/>
      <c r="AF3060" s="1030"/>
      <c r="AG3060" s="690"/>
      <c r="AH3060" s="690"/>
      <c r="AI3060" s="696">
        <f t="shared" si="403"/>
        <v>0</v>
      </c>
      <c r="AJ3060" s="697">
        <f t="shared" si="404"/>
        <v>0</v>
      </c>
    </row>
    <row r="3061" spans="1:36" s="700" customFormat="1" ht="12.75" customHeight="1">
      <c r="A3061" s="755" t="s">
        <v>207</v>
      </c>
      <c r="B3061" s="755" t="s">
        <v>419</v>
      </c>
      <c r="C3061" s="764" t="s">
        <v>50</v>
      </c>
      <c r="D3061" s="764"/>
      <c r="E3061" s="770"/>
      <c r="F3061" s="771"/>
      <c r="G3061" s="1025"/>
      <c r="H3061" s="690"/>
      <c r="I3061" s="1030"/>
      <c r="J3061" s="690"/>
      <c r="K3061" s="1030"/>
      <c r="L3061" s="690"/>
      <c r="M3061" s="1025"/>
      <c r="N3061" s="1030"/>
      <c r="O3061" s="692">
        <f t="shared" si="397"/>
        <v>0</v>
      </c>
      <c r="P3061" s="690"/>
      <c r="Q3061" s="690"/>
      <c r="R3061" s="691">
        <f t="shared" si="398"/>
        <v>0</v>
      </c>
      <c r="S3061" s="692">
        <f t="shared" si="399"/>
        <v>0</v>
      </c>
      <c r="T3061" s="693">
        <f t="shared" si="400"/>
        <v>0</v>
      </c>
      <c r="U3061" s="1035"/>
      <c r="V3061" s="690"/>
      <c r="W3061" s="1025"/>
      <c r="X3061" s="1030"/>
      <c r="Y3061" s="694">
        <f t="shared" si="401"/>
        <v>0</v>
      </c>
      <c r="Z3061" s="690"/>
      <c r="AA3061" s="690"/>
      <c r="AB3061" s="695">
        <f t="shared" si="402"/>
        <v>0</v>
      </c>
      <c r="AC3061" s="1035"/>
      <c r="AD3061" s="690"/>
      <c r="AE3061" s="1025"/>
      <c r="AF3061" s="1030"/>
      <c r="AG3061" s="690"/>
      <c r="AH3061" s="690"/>
      <c r="AI3061" s="696">
        <f t="shared" si="403"/>
        <v>0</v>
      </c>
      <c r="AJ3061" s="697">
        <f t="shared" si="404"/>
        <v>0</v>
      </c>
    </row>
    <row r="3062" spans="1:36" s="700" customFormat="1" ht="12.75" customHeight="1">
      <c r="A3062" s="755" t="s">
        <v>207</v>
      </c>
      <c r="B3062" s="755" t="s">
        <v>420</v>
      </c>
      <c r="C3062" s="766" t="s">
        <v>51</v>
      </c>
      <c r="D3062" s="766"/>
      <c r="E3062" s="770"/>
      <c r="F3062" s="771"/>
      <c r="G3062" s="1025"/>
      <c r="H3062" s="690"/>
      <c r="I3062" s="1030"/>
      <c r="J3062" s="690"/>
      <c r="K3062" s="1030"/>
      <c r="L3062" s="690"/>
      <c r="M3062" s="1025"/>
      <c r="N3062" s="1030"/>
      <c r="O3062" s="692">
        <f t="shared" si="397"/>
        <v>0</v>
      </c>
      <c r="P3062" s="690"/>
      <c r="Q3062" s="690"/>
      <c r="R3062" s="691">
        <f t="shared" si="398"/>
        <v>0</v>
      </c>
      <c r="S3062" s="692">
        <f t="shared" si="399"/>
        <v>0</v>
      </c>
      <c r="T3062" s="693">
        <f t="shared" si="400"/>
        <v>0</v>
      </c>
      <c r="U3062" s="1035"/>
      <c r="V3062" s="690"/>
      <c r="W3062" s="1025"/>
      <c r="X3062" s="1030"/>
      <c r="Y3062" s="694">
        <f t="shared" si="401"/>
        <v>0</v>
      </c>
      <c r="Z3062" s="690"/>
      <c r="AA3062" s="690"/>
      <c r="AB3062" s="695">
        <f t="shared" si="402"/>
        <v>0</v>
      </c>
      <c r="AC3062" s="1035"/>
      <c r="AD3062" s="690"/>
      <c r="AE3062" s="1025"/>
      <c r="AF3062" s="1030"/>
      <c r="AG3062" s="690"/>
      <c r="AH3062" s="690"/>
      <c r="AI3062" s="696">
        <f t="shared" si="403"/>
        <v>0</v>
      </c>
      <c r="AJ3062" s="697">
        <f t="shared" si="404"/>
        <v>0</v>
      </c>
    </row>
    <row r="3063" spans="1:36" s="700" customFormat="1" ht="12.75" customHeight="1">
      <c r="A3063" s="755" t="s">
        <v>207</v>
      </c>
      <c r="B3063" s="755" t="s">
        <v>420</v>
      </c>
      <c r="C3063" s="986" t="s">
        <v>1760</v>
      </c>
      <c r="D3063" s="986"/>
      <c r="E3063" s="770"/>
      <c r="F3063" s="771"/>
      <c r="G3063" s="1025"/>
      <c r="H3063" s="690"/>
      <c r="I3063" s="1030"/>
      <c r="J3063" s="690"/>
      <c r="K3063" s="1030"/>
      <c r="L3063" s="690"/>
      <c r="M3063" s="1025"/>
      <c r="N3063" s="1030"/>
      <c r="O3063" s="692">
        <f t="shared" si="397"/>
        <v>0</v>
      </c>
      <c r="P3063" s="690"/>
      <c r="Q3063" s="690"/>
      <c r="R3063" s="691">
        <f t="shared" si="398"/>
        <v>0</v>
      </c>
      <c r="S3063" s="692">
        <f t="shared" si="399"/>
        <v>0</v>
      </c>
      <c r="T3063" s="693">
        <f t="shared" si="400"/>
        <v>0</v>
      </c>
      <c r="U3063" s="1035">
        <v>468230043</v>
      </c>
      <c r="V3063" s="690">
        <v>456332768</v>
      </c>
      <c r="W3063" s="1025"/>
      <c r="X3063" s="1030"/>
      <c r="Y3063" s="694">
        <f t="shared" si="401"/>
        <v>0</v>
      </c>
      <c r="Z3063" s="690"/>
      <c r="AA3063" s="690"/>
      <c r="AB3063" s="695">
        <f t="shared" si="402"/>
        <v>0</v>
      </c>
      <c r="AC3063" s="1035"/>
      <c r="AD3063" s="690"/>
      <c r="AE3063" s="1025"/>
      <c r="AF3063" s="1030"/>
      <c r="AG3063" s="690"/>
      <c r="AH3063" s="690"/>
      <c r="AI3063" s="696">
        <f t="shared" si="403"/>
        <v>468230043</v>
      </c>
      <c r="AJ3063" s="697">
        <f t="shared" si="404"/>
        <v>456332768</v>
      </c>
    </row>
    <row r="3064" spans="1:36" s="700" customFormat="1" ht="12.75" customHeight="1">
      <c r="A3064" s="755" t="s">
        <v>207</v>
      </c>
      <c r="B3064" s="768" t="s">
        <v>442</v>
      </c>
      <c r="C3064" s="769" t="s">
        <v>443</v>
      </c>
      <c r="D3064" s="769"/>
      <c r="E3064" s="770"/>
      <c r="F3064" s="771"/>
      <c r="G3064" s="1025"/>
      <c r="H3064" s="690"/>
      <c r="I3064" s="1030"/>
      <c r="J3064" s="690"/>
      <c r="K3064" s="1030"/>
      <c r="L3064" s="690"/>
      <c r="M3064" s="1025"/>
      <c r="N3064" s="1030"/>
      <c r="O3064" s="692">
        <f t="shared" si="397"/>
        <v>0</v>
      </c>
      <c r="P3064" s="690"/>
      <c r="Q3064" s="690"/>
      <c r="R3064" s="691">
        <f t="shared" si="398"/>
        <v>0</v>
      </c>
      <c r="S3064" s="692">
        <f t="shared" si="399"/>
        <v>0</v>
      </c>
      <c r="T3064" s="693">
        <f t="shared" si="400"/>
        <v>0</v>
      </c>
      <c r="U3064" s="1035"/>
      <c r="V3064" s="690"/>
      <c r="W3064" s="1025"/>
      <c r="X3064" s="1030"/>
      <c r="Y3064" s="694">
        <f t="shared" si="401"/>
        <v>0</v>
      </c>
      <c r="Z3064" s="690"/>
      <c r="AA3064" s="690"/>
      <c r="AB3064" s="695">
        <f t="shared" si="402"/>
        <v>0</v>
      </c>
      <c r="AC3064" s="1035"/>
      <c r="AD3064" s="690"/>
      <c r="AE3064" s="1025"/>
      <c r="AF3064" s="1030"/>
      <c r="AG3064" s="690"/>
      <c r="AH3064" s="690"/>
      <c r="AI3064" s="696">
        <f t="shared" si="403"/>
        <v>0</v>
      </c>
      <c r="AJ3064" s="697">
        <f t="shared" si="404"/>
        <v>0</v>
      </c>
    </row>
    <row r="3065" spans="1:36" s="700" customFormat="1" ht="12.75" customHeight="1">
      <c r="A3065" s="755" t="s">
        <v>207</v>
      </c>
      <c r="B3065" s="768" t="s">
        <v>379</v>
      </c>
      <c r="C3065" s="769" t="s">
        <v>377</v>
      </c>
      <c r="D3065" s="769"/>
      <c r="E3065" s="770"/>
      <c r="F3065" s="771"/>
      <c r="G3065" s="1025"/>
      <c r="H3065" s="690"/>
      <c r="I3065" s="1030"/>
      <c r="J3065" s="690"/>
      <c r="K3065" s="1030"/>
      <c r="L3065" s="690"/>
      <c r="M3065" s="1025"/>
      <c r="N3065" s="1030"/>
      <c r="O3065" s="692">
        <f t="shared" si="397"/>
        <v>0</v>
      </c>
      <c r="P3065" s="690"/>
      <c r="Q3065" s="690"/>
      <c r="R3065" s="691">
        <f t="shared" si="398"/>
        <v>0</v>
      </c>
      <c r="S3065" s="692">
        <f t="shared" si="399"/>
        <v>0</v>
      </c>
      <c r="T3065" s="693">
        <f t="shared" si="400"/>
        <v>0</v>
      </c>
      <c r="U3065" s="1035">
        <v>25000000</v>
      </c>
      <c r="V3065" s="690">
        <v>29000000</v>
      </c>
      <c r="W3065" s="1025"/>
      <c r="X3065" s="1030"/>
      <c r="Y3065" s="694">
        <f t="shared" si="401"/>
        <v>0</v>
      </c>
      <c r="Z3065" s="690"/>
      <c r="AA3065" s="690"/>
      <c r="AB3065" s="695">
        <f t="shared" si="402"/>
        <v>0</v>
      </c>
      <c r="AC3065" s="1035"/>
      <c r="AD3065" s="690"/>
      <c r="AE3065" s="1025"/>
      <c r="AF3065" s="1030"/>
      <c r="AG3065" s="690"/>
      <c r="AH3065" s="690"/>
      <c r="AI3065" s="696">
        <f t="shared" si="403"/>
        <v>25000000</v>
      </c>
      <c r="AJ3065" s="697">
        <f t="shared" si="404"/>
        <v>29000000</v>
      </c>
    </row>
    <row r="3066" spans="1:36" s="700" customFormat="1" ht="12.75" customHeight="1">
      <c r="A3066" s="755" t="s">
        <v>207</v>
      </c>
      <c r="B3066" s="768" t="s">
        <v>295</v>
      </c>
      <c r="C3066" s="769" t="s">
        <v>53</v>
      </c>
      <c r="D3066" s="769"/>
      <c r="E3066" s="770"/>
      <c r="F3066" s="771"/>
      <c r="G3066" s="1025"/>
      <c r="H3066" s="690"/>
      <c r="I3066" s="1030"/>
      <c r="J3066" s="690"/>
      <c r="K3066" s="1030"/>
      <c r="L3066" s="690"/>
      <c r="M3066" s="1025"/>
      <c r="N3066" s="1030"/>
      <c r="O3066" s="692">
        <f t="shared" si="397"/>
        <v>0</v>
      </c>
      <c r="P3066" s="690"/>
      <c r="Q3066" s="690"/>
      <c r="R3066" s="691">
        <f t="shared" si="398"/>
        <v>0</v>
      </c>
      <c r="S3066" s="692">
        <f t="shared" si="399"/>
        <v>0</v>
      </c>
      <c r="T3066" s="693">
        <f t="shared" si="400"/>
        <v>0</v>
      </c>
      <c r="U3066" s="1035"/>
      <c r="V3066" s="690"/>
      <c r="W3066" s="1025"/>
      <c r="X3066" s="1030"/>
      <c r="Y3066" s="694">
        <f t="shared" si="401"/>
        <v>0</v>
      </c>
      <c r="Z3066" s="690"/>
      <c r="AA3066" s="690"/>
      <c r="AB3066" s="695">
        <f t="shared" si="402"/>
        <v>0</v>
      </c>
      <c r="AC3066" s="1035"/>
      <c r="AD3066" s="690"/>
      <c r="AE3066" s="1025"/>
      <c r="AF3066" s="1030"/>
      <c r="AG3066" s="690"/>
      <c r="AH3066" s="690"/>
      <c r="AI3066" s="696">
        <f t="shared" si="403"/>
        <v>0</v>
      </c>
      <c r="AJ3066" s="697">
        <f t="shared" si="404"/>
        <v>0</v>
      </c>
    </row>
    <row r="3067" spans="1:36" s="700" customFormat="1" ht="12.75" customHeight="1">
      <c r="A3067" s="755" t="s">
        <v>207</v>
      </c>
      <c r="B3067" s="768" t="s">
        <v>296</v>
      </c>
      <c r="C3067" s="769" t="s">
        <v>443</v>
      </c>
      <c r="D3067" s="769"/>
      <c r="E3067" s="770"/>
      <c r="F3067" s="771"/>
      <c r="G3067" s="1025"/>
      <c r="H3067" s="690"/>
      <c r="I3067" s="1030"/>
      <c r="J3067" s="690"/>
      <c r="K3067" s="1030"/>
      <c r="L3067" s="690"/>
      <c r="M3067" s="1025"/>
      <c r="N3067" s="1030"/>
      <c r="O3067" s="692">
        <f t="shared" si="397"/>
        <v>0</v>
      </c>
      <c r="P3067" s="690"/>
      <c r="Q3067" s="690"/>
      <c r="R3067" s="691">
        <f t="shared" si="398"/>
        <v>0</v>
      </c>
      <c r="S3067" s="692">
        <f t="shared" si="399"/>
        <v>0</v>
      </c>
      <c r="T3067" s="693">
        <f t="shared" si="400"/>
        <v>0</v>
      </c>
      <c r="U3067" s="1035"/>
      <c r="V3067" s="690"/>
      <c r="W3067" s="1025"/>
      <c r="X3067" s="1030"/>
      <c r="Y3067" s="694">
        <f t="shared" si="401"/>
        <v>0</v>
      </c>
      <c r="Z3067" s="690"/>
      <c r="AA3067" s="690"/>
      <c r="AB3067" s="695">
        <f t="shared" si="402"/>
        <v>0</v>
      </c>
      <c r="AC3067" s="1035"/>
      <c r="AD3067" s="690"/>
      <c r="AE3067" s="1025"/>
      <c r="AF3067" s="1030"/>
      <c r="AG3067" s="690"/>
      <c r="AH3067" s="690"/>
      <c r="AI3067" s="696">
        <f t="shared" si="403"/>
        <v>0</v>
      </c>
      <c r="AJ3067" s="697">
        <f t="shared" si="404"/>
        <v>0</v>
      </c>
    </row>
    <row r="3068" spans="1:36" s="700" customFormat="1" ht="12.75" customHeight="1">
      <c r="A3068" s="755" t="s">
        <v>207</v>
      </c>
      <c r="B3068" s="768" t="s">
        <v>278</v>
      </c>
      <c r="C3068" s="769" t="s">
        <v>377</v>
      </c>
      <c r="D3068" s="769"/>
      <c r="E3068" s="770"/>
      <c r="F3068" s="771"/>
      <c r="G3068" s="1025"/>
      <c r="H3068" s="690"/>
      <c r="I3068" s="1030"/>
      <c r="J3068" s="690"/>
      <c r="K3068" s="1030"/>
      <c r="L3068" s="690"/>
      <c r="M3068" s="1025"/>
      <c r="N3068" s="1030"/>
      <c r="O3068" s="692">
        <f t="shared" si="397"/>
        <v>0</v>
      </c>
      <c r="P3068" s="690"/>
      <c r="Q3068" s="690"/>
      <c r="R3068" s="691">
        <f t="shared" si="398"/>
        <v>0</v>
      </c>
      <c r="S3068" s="692">
        <f t="shared" si="399"/>
        <v>0</v>
      </c>
      <c r="T3068" s="693">
        <f t="shared" si="400"/>
        <v>0</v>
      </c>
      <c r="U3068" s="1035"/>
      <c r="V3068" s="690"/>
      <c r="W3068" s="1025"/>
      <c r="X3068" s="1030"/>
      <c r="Y3068" s="694">
        <f t="shared" si="401"/>
        <v>0</v>
      </c>
      <c r="Z3068" s="690"/>
      <c r="AA3068" s="690"/>
      <c r="AB3068" s="695">
        <f t="shared" si="402"/>
        <v>0</v>
      </c>
      <c r="AC3068" s="1035"/>
      <c r="AD3068" s="690"/>
      <c r="AE3068" s="1025"/>
      <c r="AF3068" s="1030"/>
      <c r="AG3068" s="690"/>
      <c r="AH3068" s="690"/>
      <c r="AI3068" s="696">
        <f t="shared" si="403"/>
        <v>0</v>
      </c>
      <c r="AJ3068" s="697">
        <f t="shared" si="404"/>
        <v>0</v>
      </c>
    </row>
    <row r="3069" spans="1:36" s="700" customFormat="1" ht="12.75" customHeight="1">
      <c r="A3069" s="755" t="s">
        <v>207</v>
      </c>
      <c r="B3069" s="768" t="s">
        <v>279</v>
      </c>
      <c r="C3069" s="769" t="s">
        <v>54</v>
      </c>
      <c r="D3069" s="769"/>
      <c r="E3069" s="770"/>
      <c r="F3069" s="771"/>
      <c r="G3069" s="1025"/>
      <c r="H3069" s="690"/>
      <c r="I3069" s="1030"/>
      <c r="J3069" s="690"/>
      <c r="K3069" s="1030"/>
      <c r="L3069" s="690"/>
      <c r="M3069" s="1025"/>
      <c r="N3069" s="1030"/>
      <c r="O3069" s="692">
        <f t="shared" si="397"/>
        <v>0</v>
      </c>
      <c r="P3069" s="690"/>
      <c r="Q3069" s="690"/>
      <c r="R3069" s="691">
        <f t="shared" si="398"/>
        <v>0</v>
      </c>
      <c r="S3069" s="692">
        <f t="shared" si="399"/>
        <v>0</v>
      </c>
      <c r="T3069" s="693">
        <f t="shared" si="400"/>
        <v>0</v>
      </c>
      <c r="U3069" s="1035"/>
      <c r="V3069" s="690"/>
      <c r="W3069" s="1025"/>
      <c r="X3069" s="1030"/>
      <c r="Y3069" s="694">
        <f t="shared" si="401"/>
        <v>0</v>
      </c>
      <c r="Z3069" s="690"/>
      <c r="AA3069" s="690"/>
      <c r="AB3069" s="695">
        <f t="shared" si="402"/>
        <v>0</v>
      </c>
      <c r="AC3069" s="1035"/>
      <c r="AD3069" s="690"/>
      <c r="AE3069" s="1025"/>
      <c r="AF3069" s="1030"/>
      <c r="AG3069" s="690"/>
      <c r="AH3069" s="690"/>
      <c r="AI3069" s="696">
        <f t="shared" si="403"/>
        <v>0</v>
      </c>
      <c r="AJ3069" s="697">
        <f t="shared" si="404"/>
        <v>0</v>
      </c>
    </row>
    <row r="3070" spans="1:36" s="700" customFormat="1" ht="12.75" customHeight="1">
      <c r="A3070" s="755" t="s">
        <v>207</v>
      </c>
      <c r="B3070" s="768" t="s">
        <v>317</v>
      </c>
      <c r="C3070" s="769" t="s">
        <v>443</v>
      </c>
      <c r="D3070" s="769"/>
      <c r="E3070" s="770"/>
      <c r="F3070" s="771"/>
      <c r="G3070" s="1025"/>
      <c r="H3070" s="690"/>
      <c r="I3070" s="1030"/>
      <c r="J3070" s="690"/>
      <c r="K3070" s="1030"/>
      <c r="L3070" s="690"/>
      <c r="M3070" s="1025"/>
      <c r="N3070" s="1030"/>
      <c r="O3070" s="692">
        <f t="shared" si="397"/>
        <v>0</v>
      </c>
      <c r="P3070" s="690"/>
      <c r="Q3070" s="690"/>
      <c r="R3070" s="691">
        <f t="shared" si="398"/>
        <v>0</v>
      </c>
      <c r="S3070" s="692">
        <f t="shared" si="399"/>
        <v>0</v>
      </c>
      <c r="T3070" s="693">
        <f t="shared" si="400"/>
        <v>0</v>
      </c>
      <c r="U3070" s="1035"/>
      <c r="V3070" s="690"/>
      <c r="W3070" s="1025"/>
      <c r="X3070" s="1030"/>
      <c r="Y3070" s="694">
        <f t="shared" si="401"/>
        <v>0</v>
      </c>
      <c r="Z3070" s="690"/>
      <c r="AA3070" s="690"/>
      <c r="AB3070" s="695">
        <f t="shared" si="402"/>
        <v>0</v>
      </c>
      <c r="AC3070" s="1035"/>
      <c r="AD3070" s="690"/>
      <c r="AE3070" s="1025"/>
      <c r="AF3070" s="1030"/>
      <c r="AG3070" s="690"/>
      <c r="AH3070" s="690"/>
      <c r="AI3070" s="696">
        <f t="shared" si="403"/>
        <v>0</v>
      </c>
      <c r="AJ3070" s="697">
        <f t="shared" si="404"/>
        <v>0</v>
      </c>
    </row>
    <row r="3071" spans="1:36" s="700" customFormat="1" ht="12.75" customHeight="1">
      <c r="A3071" s="755" t="s">
        <v>207</v>
      </c>
      <c r="B3071" s="768" t="s">
        <v>318</v>
      </c>
      <c r="C3071" s="769" t="s">
        <v>377</v>
      </c>
      <c r="D3071" s="769"/>
      <c r="E3071" s="770"/>
      <c r="F3071" s="771"/>
      <c r="G3071" s="1025"/>
      <c r="H3071" s="690"/>
      <c r="I3071" s="1030"/>
      <c r="J3071" s="690"/>
      <c r="K3071" s="1030"/>
      <c r="L3071" s="690"/>
      <c r="M3071" s="1025"/>
      <c r="N3071" s="1030"/>
      <c r="O3071" s="692">
        <f t="shared" si="397"/>
        <v>0</v>
      </c>
      <c r="P3071" s="690"/>
      <c r="Q3071" s="690"/>
      <c r="R3071" s="691">
        <f t="shared" si="398"/>
        <v>0</v>
      </c>
      <c r="S3071" s="692">
        <f t="shared" si="399"/>
        <v>0</v>
      </c>
      <c r="T3071" s="693">
        <f t="shared" si="400"/>
        <v>0</v>
      </c>
      <c r="U3071" s="1035"/>
      <c r="V3071" s="690"/>
      <c r="W3071" s="1025"/>
      <c r="X3071" s="1030"/>
      <c r="Y3071" s="694">
        <f t="shared" si="401"/>
        <v>0</v>
      </c>
      <c r="Z3071" s="690"/>
      <c r="AA3071" s="690"/>
      <c r="AB3071" s="695">
        <f t="shared" si="402"/>
        <v>0</v>
      </c>
      <c r="AC3071" s="1035"/>
      <c r="AD3071" s="690"/>
      <c r="AE3071" s="1025"/>
      <c r="AF3071" s="1030"/>
      <c r="AG3071" s="690"/>
      <c r="AH3071" s="690"/>
      <c r="AI3071" s="696">
        <f t="shared" si="403"/>
        <v>0</v>
      </c>
      <c r="AJ3071" s="697">
        <f t="shared" si="404"/>
        <v>0</v>
      </c>
    </row>
    <row r="3072" spans="1:36" s="700" customFormat="1" ht="12.75" customHeight="1">
      <c r="A3072" s="755" t="s">
        <v>207</v>
      </c>
      <c r="B3072" s="755" t="s">
        <v>420</v>
      </c>
      <c r="C3072" s="986" t="s">
        <v>1761</v>
      </c>
      <c r="D3072" s="986"/>
      <c r="E3072" s="770"/>
      <c r="F3072" s="771"/>
      <c r="G3072" s="1025"/>
      <c r="H3072" s="690"/>
      <c r="I3072" s="1030"/>
      <c r="J3072" s="690"/>
      <c r="K3072" s="1030"/>
      <c r="L3072" s="690"/>
      <c r="M3072" s="1025"/>
      <c r="N3072" s="1030"/>
      <c r="O3072" s="692">
        <f t="shared" si="397"/>
        <v>0</v>
      </c>
      <c r="P3072" s="690"/>
      <c r="Q3072" s="690"/>
      <c r="R3072" s="691">
        <f t="shared" si="398"/>
        <v>0</v>
      </c>
      <c r="S3072" s="692">
        <f t="shared" si="399"/>
        <v>0</v>
      </c>
      <c r="T3072" s="693">
        <f t="shared" si="400"/>
        <v>0</v>
      </c>
      <c r="U3072" s="1035">
        <v>5771443</v>
      </c>
      <c r="V3072" s="690">
        <v>5771443</v>
      </c>
      <c r="W3072" s="1025"/>
      <c r="X3072" s="1030"/>
      <c r="Y3072" s="694">
        <f t="shared" si="401"/>
        <v>0</v>
      </c>
      <c r="Z3072" s="690"/>
      <c r="AA3072" s="690"/>
      <c r="AB3072" s="695">
        <f t="shared" si="402"/>
        <v>0</v>
      </c>
      <c r="AC3072" s="1035"/>
      <c r="AD3072" s="690"/>
      <c r="AE3072" s="1025"/>
      <c r="AF3072" s="1030"/>
      <c r="AG3072" s="690"/>
      <c r="AH3072" s="690"/>
      <c r="AI3072" s="696">
        <f t="shared" si="403"/>
        <v>5771443</v>
      </c>
      <c r="AJ3072" s="697">
        <f t="shared" si="404"/>
        <v>5771443</v>
      </c>
    </row>
    <row r="3073" spans="1:36" s="700" customFormat="1" ht="12.75" customHeight="1">
      <c r="A3073" s="755" t="s">
        <v>207</v>
      </c>
      <c r="B3073" s="768" t="s">
        <v>442</v>
      </c>
      <c r="C3073" s="769" t="s">
        <v>443</v>
      </c>
      <c r="D3073" s="769"/>
      <c r="E3073" s="770"/>
      <c r="F3073" s="771"/>
      <c r="G3073" s="1025"/>
      <c r="H3073" s="690"/>
      <c r="I3073" s="1030"/>
      <c r="J3073" s="690"/>
      <c r="K3073" s="1030"/>
      <c r="L3073" s="690"/>
      <c r="M3073" s="1025"/>
      <c r="N3073" s="1030"/>
      <c r="O3073" s="692">
        <f t="shared" si="397"/>
        <v>0</v>
      </c>
      <c r="P3073" s="690"/>
      <c r="Q3073" s="690"/>
      <c r="R3073" s="691">
        <f t="shared" si="398"/>
        <v>0</v>
      </c>
      <c r="S3073" s="692">
        <f t="shared" si="399"/>
        <v>0</v>
      </c>
      <c r="T3073" s="693">
        <f t="shared" si="400"/>
        <v>0</v>
      </c>
      <c r="U3073" s="1035"/>
      <c r="V3073" s="690"/>
      <c r="W3073" s="1025"/>
      <c r="X3073" s="1030"/>
      <c r="Y3073" s="694">
        <f t="shared" si="401"/>
        <v>0</v>
      </c>
      <c r="Z3073" s="690"/>
      <c r="AA3073" s="690"/>
      <c r="AB3073" s="695">
        <f t="shared" si="402"/>
        <v>0</v>
      </c>
      <c r="AC3073" s="1035"/>
      <c r="AD3073" s="690"/>
      <c r="AE3073" s="1025"/>
      <c r="AF3073" s="1030"/>
      <c r="AG3073" s="690"/>
      <c r="AH3073" s="690"/>
      <c r="AI3073" s="696">
        <f t="shared" si="403"/>
        <v>0</v>
      </c>
      <c r="AJ3073" s="697">
        <f t="shared" si="404"/>
        <v>0</v>
      </c>
    </row>
    <row r="3074" spans="1:36" s="700" customFormat="1" ht="12.75" customHeight="1">
      <c r="A3074" s="755" t="s">
        <v>207</v>
      </c>
      <c r="B3074" s="768" t="s">
        <v>379</v>
      </c>
      <c r="C3074" s="769" t="s">
        <v>377</v>
      </c>
      <c r="D3074" s="769"/>
      <c r="E3074" s="770"/>
      <c r="F3074" s="771"/>
      <c r="G3074" s="1025"/>
      <c r="H3074" s="690"/>
      <c r="I3074" s="1030"/>
      <c r="J3074" s="690"/>
      <c r="K3074" s="1030"/>
      <c r="L3074" s="690"/>
      <c r="M3074" s="1025"/>
      <c r="N3074" s="1030"/>
      <c r="O3074" s="692">
        <f t="shared" si="397"/>
        <v>0</v>
      </c>
      <c r="P3074" s="690"/>
      <c r="Q3074" s="690"/>
      <c r="R3074" s="691">
        <f t="shared" si="398"/>
        <v>0</v>
      </c>
      <c r="S3074" s="692">
        <f t="shared" si="399"/>
        <v>0</v>
      </c>
      <c r="T3074" s="693">
        <f t="shared" si="400"/>
        <v>0</v>
      </c>
      <c r="U3074" s="1035"/>
      <c r="V3074" s="690"/>
      <c r="W3074" s="1025"/>
      <c r="X3074" s="1030"/>
      <c r="Y3074" s="694">
        <f t="shared" si="401"/>
        <v>0</v>
      </c>
      <c r="Z3074" s="690"/>
      <c r="AA3074" s="690"/>
      <c r="AB3074" s="695">
        <f t="shared" si="402"/>
        <v>0</v>
      </c>
      <c r="AC3074" s="1035"/>
      <c r="AD3074" s="690"/>
      <c r="AE3074" s="1025"/>
      <c r="AF3074" s="1030"/>
      <c r="AG3074" s="690"/>
      <c r="AH3074" s="690"/>
      <c r="AI3074" s="696">
        <f t="shared" si="403"/>
        <v>0</v>
      </c>
      <c r="AJ3074" s="697">
        <f t="shared" si="404"/>
        <v>0</v>
      </c>
    </row>
    <row r="3075" spans="1:36" s="700" customFormat="1" ht="12.75" customHeight="1">
      <c r="A3075" s="755" t="s">
        <v>207</v>
      </c>
      <c r="B3075" s="768" t="s">
        <v>295</v>
      </c>
      <c r="C3075" s="769" t="s">
        <v>53</v>
      </c>
      <c r="D3075" s="769"/>
      <c r="E3075" s="770"/>
      <c r="F3075" s="771"/>
      <c r="G3075" s="1025"/>
      <c r="H3075" s="690"/>
      <c r="I3075" s="1030"/>
      <c r="J3075" s="690"/>
      <c r="K3075" s="1030"/>
      <c r="L3075" s="690"/>
      <c r="M3075" s="1025"/>
      <c r="N3075" s="1030"/>
      <c r="O3075" s="692">
        <f t="shared" si="397"/>
        <v>0</v>
      </c>
      <c r="P3075" s="690"/>
      <c r="Q3075" s="690"/>
      <c r="R3075" s="691">
        <f t="shared" si="398"/>
        <v>0</v>
      </c>
      <c r="S3075" s="692">
        <f t="shared" si="399"/>
        <v>0</v>
      </c>
      <c r="T3075" s="693">
        <f t="shared" si="400"/>
        <v>0</v>
      </c>
      <c r="U3075" s="1035"/>
      <c r="V3075" s="690"/>
      <c r="W3075" s="1025"/>
      <c r="X3075" s="1030"/>
      <c r="Y3075" s="694">
        <f t="shared" si="401"/>
        <v>0</v>
      </c>
      <c r="Z3075" s="690"/>
      <c r="AA3075" s="690"/>
      <c r="AB3075" s="695">
        <f t="shared" si="402"/>
        <v>0</v>
      </c>
      <c r="AC3075" s="1035"/>
      <c r="AD3075" s="690"/>
      <c r="AE3075" s="1025"/>
      <c r="AF3075" s="1030"/>
      <c r="AG3075" s="690"/>
      <c r="AH3075" s="690"/>
      <c r="AI3075" s="696">
        <f t="shared" si="403"/>
        <v>0</v>
      </c>
      <c r="AJ3075" s="697">
        <f t="shared" si="404"/>
        <v>0</v>
      </c>
    </row>
    <row r="3076" spans="1:36" s="700" customFormat="1" ht="12.75" customHeight="1">
      <c r="A3076" s="755" t="s">
        <v>207</v>
      </c>
      <c r="B3076" s="768" t="s">
        <v>296</v>
      </c>
      <c r="C3076" s="769" t="s">
        <v>443</v>
      </c>
      <c r="D3076" s="769"/>
      <c r="E3076" s="770"/>
      <c r="F3076" s="771"/>
      <c r="G3076" s="1025"/>
      <c r="H3076" s="690"/>
      <c r="I3076" s="1030"/>
      <c r="J3076" s="690"/>
      <c r="K3076" s="1030"/>
      <c r="L3076" s="690"/>
      <c r="M3076" s="1025"/>
      <c r="N3076" s="1030"/>
      <c r="O3076" s="692">
        <f t="shared" si="397"/>
        <v>0</v>
      </c>
      <c r="P3076" s="690"/>
      <c r="Q3076" s="690"/>
      <c r="R3076" s="691">
        <f t="shared" si="398"/>
        <v>0</v>
      </c>
      <c r="S3076" s="692">
        <f t="shared" si="399"/>
        <v>0</v>
      </c>
      <c r="T3076" s="693">
        <f t="shared" si="400"/>
        <v>0</v>
      </c>
      <c r="U3076" s="1035"/>
      <c r="V3076" s="690"/>
      <c r="W3076" s="1025"/>
      <c r="X3076" s="1030"/>
      <c r="Y3076" s="694">
        <f t="shared" si="401"/>
        <v>0</v>
      </c>
      <c r="Z3076" s="690"/>
      <c r="AA3076" s="690"/>
      <c r="AB3076" s="695">
        <f t="shared" si="402"/>
        <v>0</v>
      </c>
      <c r="AC3076" s="1035"/>
      <c r="AD3076" s="690"/>
      <c r="AE3076" s="1025"/>
      <c r="AF3076" s="1030"/>
      <c r="AG3076" s="690"/>
      <c r="AH3076" s="690"/>
      <c r="AI3076" s="696">
        <f t="shared" si="403"/>
        <v>0</v>
      </c>
      <c r="AJ3076" s="697">
        <f t="shared" si="404"/>
        <v>0</v>
      </c>
    </row>
    <row r="3077" spans="1:36" s="700" customFormat="1" ht="12.75" customHeight="1">
      <c r="A3077" s="755" t="s">
        <v>207</v>
      </c>
      <c r="B3077" s="768" t="s">
        <v>278</v>
      </c>
      <c r="C3077" s="769" t="s">
        <v>377</v>
      </c>
      <c r="D3077" s="769"/>
      <c r="E3077" s="770"/>
      <c r="F3077" s="771"/>
      <c r="G3077" s="1025"/>
      <c r="H3077" s="690"/>
      <c r="I3077" s="1030"/>
      <c r="J3077" s="690"/>
      <c r="K3077" s="1030"/>
      <c r="L3077" s="690"/>
      <c r="M3077" s="1025"/>
      <c r="N3077" s="1030"/>
      <c r="O3077" s="692">
        <f t="shared" si="397"/>
        <v>0</v>
      </c>
      <c r="P3077" s="690"/>
      <c r="Q3077" s="690"/>
      <c r="R3077" s="691">
        <f t="shared" si="398"/>
        <v>0</v>
      </c>
      <c r="S3077" s="692">
        <f t="shared" si="399"/>
        <v>0</v>
      </c>
      <c r="T3077" s="693">
        <f t="shared" si="400"/>
        <v>0</v>
      </c>
      <c r="U3077" s="1035"/>
      <c r="V3077" s="690"/>
      <c r="W3077" s="1025"/>
      <c r="X3077" s="1030"/>
      <c r="Y3077" s="694">
        <f t="shared" si="401"/>
        <v>0</v>
      </c>
      <c r="Z3077" s="690"/>
      <c r="AA3077" s="690"/>
      <c r="AB3077" s="695">
        <f t="shared" si="402"/>
        <v>0</v>
      </c>
      <c r="AC3077" s="1035"/>
      <c r="AD3077" s="690"/>
      <c r="AE3077" s="1025"/>
      <c r="AF3077" s="1030"/>
      <c r="AG3077" s="690"/>
      <c r="AH3077" s="690"/>
      <c r="AI3077" s="696">
        <f t="shared" si="403"/>
        <v>0</v>
      </c>
      <c r="AJ3077" s="697">
        <f t="shared" si="404"/>
        <v>0</v>
      </c>
    </row>
    <row r="3078" spans="1:36" s="700" customFormat="1" ht="12.75" customHeight="1">
      <c r="A3078" s="755" t="s">
        <v>207</v>
      </c>
      <c r="B3078" s="768" t="s">
        <v>279</v>
      </c>
      <c r="C3078" s="769" t="s">
        <v>54</v>
      </c>
      <c r="D3078" s="769"/>
      <c r="E3078" s="770"/>
      <c r="F3078" s="771"/>
      <c r="G3078" s="1025"/>
      <c r="H3078" s="690"/>
      <c r="I3078" s="1030"/>
      <c r="J3078" s="690"/>
      <c r="K3078" s="1030"/>
      <c r="L3078" s="690"/>
      <c r="M3078" s="1025"/>
      <c r="N3078" s="1030"/>
      <c r="O3078" s="692">
        <f t="shared" si="397"/>
        <v>0</v>
      </c>
      <c r="P3078" s="690"/>
      <c r="Q3078" s="690"/>
      <c r="R3078" s="691">
        <f t="shared" si="398"/>
        <v>0</v>
      </c>
      <c r="S3078" s="692">
        <f t="shared" si="399"/>
        <v>0</v>
      </c>
      <c r="T3078" s="693">
        <f t="shared" si="400"/>
        <v>0</v>
      </c>
      <c r="U3078" s="1035"/>
      <c r="V3078" s="690"/>
      <c r="W3078" s="1025"/>
      <c r="X3078" s="1030"/>
      <c r="Y3078" s="694">
        <f t="shared" si="401"/>
        <v>0</v>
      </c>
      <c r="Z3078" s="690"/>
      <c r="AA3078" s="690"/>
      <c r="AB3078" s="695">
        <f t="shared" si="402"/>
        <v>0</v>
      </c>
      <c r="AC3078" s="1035"/>
      <c r="AD3078" s="690"/>
      <c r="AE3078" s="1025"/>
      <c r="AF3078" s="1030"/>
      <c r="AG3078" s="690"/>
      <c r="AH3078" s="690"/>
      <c r="AI3078" s="696">
        <f t="shared" si="403"/>
        <v>0</v>
      </c>
      <c r="AJ3078" s="697">
        <f t="shared" si="404"/>
        <v>0</v>
      </c>
    </row>
    <row r="3079" spans="1:36" s="700" customFormat="1" ht="12.75" customHeight="1">
      <c r="A3079" s="755" t="s">
        <v>207</v>
      </c>
      <c r="B3079" s="768" t="s">
        <v>317</v>
      </c>
      <c r="C3079" s="769" t="s">
        <v>443</v>
      </c>
      <c r="D3079" s="769"/>
      <c r="E3079" s="770"/>
      <c r="F3079" s="771"/>
      <c r="G3079" s="1025"/>
      <c r="H3079" s="690"/>
      <c r="I3079" s="1030"/>
      <c r="J3079" s="690"/>
      <c r="K3079" s="1030"/>
      <c r="L3079" s="690"/>
      <c r="M3079" s="1025"/>
      <c r="N3079" s="1030"/>
      <c r="O3079" s="692">
        <f t="shared" si="397"/>
        <v>0</v>
      </c>
      <c r="P3079" s="690"/>
      <c r="Q3079" s="690"/>
      <c r="R3079" s="691">
        <f t="shared" si="398"/>
        <v>0</v>
      </c>
      <c r="S3079" s="692">
        <f t="shared" si="399"/>
        <v>0</v>
      </c>
      <c r="T3079" s="693">
        <f t="shared" si="400"/>
        <v>0</v>
      </c>
      <c r="U3079" s="1035"/>
      <c r="V3079" s="690"/>
      <c r="W3079" s="1025"/>
      <c r="X3079" s="1030"/>
      <c r="Y3079" s="694">
        <f t="shared" si="401"/>
        <v>0</v>
      </c>
      <c r="Z3079" s="690"/>
      <c r="AA3079" s="690"/>
      <c r="AB3079" s="695">
        <f t="shared" si="402"/>
        <v>0</v>
      </c>
      <c r="AC3079" s="1035"/>
      <c r="AD3079" s="690"/>
      <c r="AE3079" s="1025"/>
      <c r="AF3079" s="1030"/>
      <c r="AG3079" s="690"/>
      <c r="AH3079" s="690"/>
      <c r="AI3079" s="696">
        <f t="shared" si="403"/>
        <v>0</v>
      </c>
      <c r="AJ3079" s="697">
        <f t="shared" si="404"/>
        <v>0</v>
      </c>
    </row>
    <row r="3080" spans="1:36" s="700" customFormat="1" ht="12.75" customHeight="1">
      <c r="A3080" s="755" t="s">
        <v>207</v>
      </c>
      <c r="B3080" s="768" t="s">
        <v>318</v>
      </c>
      <c r="C3080" s="769" t="s">
        <v>377</v>
      </c>
      <c r="D3080" s="769"/>
      <c r="E3080" s="770"/>
      <c r="F3080" s="771"/>
      <c r="G3080" s="1025"/>
      <c r="H3080" s="690"/>
      <c r="I3080" s="1030"/>
      <c r="J3080" s="690"/>
      <c r="K3080" s="1030"/>
      <c r="L3080" s="690"/>
      <c r="M3080" s="1025"/>
      <c r="N3080" s="1030"/>
      <c r="O3080" s="692">
        <f t="shared" si="397"/>
        <v>0</v>
      </c>
      <c r="P3080" s="690"/>
      <c r="Q3080" s="690"/>
      <c r="R3080" s="691">
        <f t="shared" si="398"/>
        <v>0</v>
      </c>
      <c r="S3080" s="692">
        <f t="shared" si="399"/>
        <v>0</v>
      </c>
      <c r="T3080" s="693">
        <f t="shared" si="400"/>
        <v>0</v>
      </c>
      <c r="U3080" s="1035"/>
      <c r="V3080" s="690"/>
      <c r="W3080" s="1025"/>
      <c r="X3080" s="1030"/>
      <c r="Y3080" s="694">
        <f t="shared" si="401"/>
        <v>0</v>
      </c>
      <c r="Z3080" s="690"/>
      <c r="AA3080" s="690"/>
      <c r="AB3080" s="695">
        <f t="shared" si="402"/>
        <v>0</v>
      </c>
      <c r="AC3080" s="1035"/>
      <c r="AD3080" s="690"/>
      <c r="AE3080" s="1025"/>
      <c r="AF3080" s="1030"/>
      <c r="AG3080" s="690"/>
      <c r="AH3080" s="690"/>
      <c r="AI3080" s="696">
        <f t="shared" si="403"/>
        <v>0</v>
      </c>
      <c r="AJ3080" s="697">
        <f t="shared" si="404"/>
        <v>0</v>
      </c>
    </row>
    <row r="3081" spans="1:36" s="700" customFormat="1" ht="12.75" customHeight="1">
      <c r="A3081" s="755" t="s">
        <v>207</v>
      </c>
      <c r="B3081" s="755" t="s">
        <v>420</v>
      </c>
      <c r="C3081" s="986" t="s">
        <v>1762</v>
      </c>
      <c r="D3081" s="986"/>
      <c r="E3081" s="770"/>
      <c r="F3081" s="771"/>
      <c r="G3081" s="1025"/>
      <c r="H3081" s="690"/>
      <c r="I3081" s="1030"/>
      <c r="J3081" s="690"/>
      <c r="K3081" s="1030"/>
      <c r="L3081" s="690"/>
      <c r="M3081" s="1025"/>
      <c r="N3081" s="1030"/>
      <c r="O3081" s="692">
        <f t="shared" si="397"/>
        <v>0</v>
      </c>
      <c r="P3081" s="690"/>
      <c r="Q3081" s="690"/>
      <c r="R3081" s="691">
        <f t="shared" si="398"/>
        <v>0</v>
      </c>
      <c r="S3081" s="692">
        <f t="shared" si="399"/>
        <v>0</v>
      </c>
      <c r="T3081" s="693">
        <f t="shared" si="400"/>
        <v>0</v>
      </c>
      <c r="U3081" s="1035">
        <v>10616355</v>
      </c>
      <c r="V3081" s="690">
        <v>0</v>
      </c>
      <c r="W3081" s="1025"/>
      <c r="X3081" s="1030"/>
      <c r="Y3081" s="694">
        <f t="shared" si="401"/>
        <v>0</v>
      </c>
      <c r="Z3081" s="690"/>
      <c r="AA3081" s="690"/>
      <c r="AB3081" s="695">
        <f t="shared" si="402"/>
        <v>0</v>
      </c>
      <c r="AC3081" s="1035"/>
      <c r="AD3081" s="690"/>
      <c r="AE3081" s="1025"/>
      <c r="AF3081" s="1030"/>
      <c r="AG3081" s="690"/>
      <c r="AH3081" s="690"/>
      <c r="AI3081" s="696">
        <f t="shared" si="403"/>
        <v>10616355</v>
      </c>
      <c r="AJ3081" s="697">
        <f t="shared" si="404"/>
        <v>0</v>
      </c>
    </row>
    <row r="3082" spans="1:36" s="700" customFormat="1" ht="12.75" customHeight="1">
      <c r="A3082" s="755" t="s">
        <v>207</v>
      </c>
      <c r="B3082" s="768" t="s">
        <v>442</v>
      </c>
      <c r="C3082" s="769" t="s">
        <v>443</v>
      </c>
      <c r="D3082" s="769"/>
      <c r="E3082" s="770"/>
      <c r="F3082" s="771"/>
      <c r="G3082" s="1025"/>
      <c r="H3082" s="690"/>
      <c r="I3082" s="1030"/>
      <c r="J3082" s="690"/>
      <c r="K3082" s="1030"/>
      <c r="L3082" s="690"/>
      <c r="M3082" s="1025"/>
      <c r="N3082" s="1030"/>
      <c r="O3082" s="692">
        <f t="shared" si="397"/>
        <v>0</v>
      </c>
      <c r="P3082" s="690"/>
      <c r="Q3082" s="690"/>
      <c r="R3082" s="691">
        <f t="shared" si="398"/>
        <v>0</v>
      </c>
      <c r="S3082" s="692">
        <f t="shared" si="399"/>
        <v>0</v>
      </c>
      <c r="T3082" s="693">
        <f t="shared" si="400"/>
        <v>0</v>
      </c>
      <c r="U3082" s="1035"/>
      <c r="V3082" s="690"/>
      <c r="W3082" s="1025"/>
      <c r="X3082" s="1030"/>
      <c r="Y3082" s="694">
        <f t="shared" si="401"/>
        <v>0</v>
      </c>
      <c r="Z3082" s="690"/>
      <c r="AA3082" s="690"/>
      <c r="AB3082" s="695">
        <f t="shared" si="402"/>
        <v>0</v>
      </c>
      <c r="AC3082" s="1035"/>
      <c r="AD3082" s="690"/>
      <c r="AE3082" s="1025"/>
      <c r="AF3082" s="1030"/>
      <c r="AG3082" s="690"/>
      <c r="AH3082" s="690"/>
      <c r="AI3082" s="696">
        <f t="shared" si="403"/>
        <v>0</v>
      </c>
      <c r="AJ3082" s="697">
        <f t="shared" si="404"/>
        <v>0</v>
      </c>
    </row>
    <row r="3083" spans="1:36" s="700" customFormat="1" ht="12.75" customHeight="1">
      <c r="A3083" s="755" t="s">
        <v>207</v>
      </c>
      <c r="B3083" s="768" t="s">
        <v>379</v>
      </c>
      <c r="C3083" s="769" t="s">
        <v>377</v>
      </c>
      <c r="D3083" s="769"/>
      <c r="E3083" s="770"/>
      <c r="F3083" s="771"/>
      <c r="G3083" s="1025"/>
      <c r="H3083" s="690"/>
      <c r="I3083" s="1030"/>
      <c r="J3083" s="690"/>
      <c r="K3083" s="1030"/>
      <c r="L3083" s="690"/>
      <c r="M3083" s="1025"/>
      <c r="N3083" s="1030"/>
      <c r="O3083" s="692">
        <f t="shared" si="397"/>
        <v>0</v>
      </c>
      <c r="P3083" s="690"/>
      <c r="Q3083" s="690"/>
      <c r="R3083" s="691">
        <f t="shared" si="398"/>
        <v>0</v>
      </c>
      <c r="S3083" s="692">
        <f t="shared" si="399"/>
        <v>0</v>
      </c>
      <c r="T3083" s="693">
        <f t="shared" si="400"/>
        <v>0</v>
      </c>
      <c r="U3083" s="1035"/>
      <c r="V3083" s="690"/>
      <c r="W3083" s="1025"/>
      <c r="X3083" s="1030"/>
      <c r="Y3083" s="694">
        <f t="shared" si="401"/>
        <v>0</v>
      </c>
      <c r="Z3083" s="690"/>
      <c r="AA3083" s="690"/>
      <c r="AB3083" s="695">
        <f t="shared" si="402"/>
        <v>0</v>
      </c>
      <c r="AC3083" s="1035"/>
      <c r="AD3083" s="690"/>
      <c r="AE3083" s="1025"/>
      <c r="AF3083" s="1030"/>
      <c r="AG3083" s="690"/>
      <c r="AH3083" s="690"/>
      <c r="AI3083" s="696">
        <f t="shared" si="403"/>
        <v>0</v>
      </c>
      <c r="AJ3083" s="697">
        <f t="shared" si="404"/>
        <v>0</v>
      </c>
    </row>
    <row r="3084" spans="1:36" s="700" customFormat="1" ht="12.75" customHeight="1">
      <c r="A3084" s="755" t="s">
        <v>207</v>
      </c>
      <c r="B3084" s="768" t="s">
        <v>295</v>
      </c>
      <c r="C3084" s="769" t="s">
        <v>53</v>
      </c>
      <c r="D3084" s="769"/>
      <c r="E3084" s="770"/>
      <c r="F3084" s="771"/>
      <c r="G3084" s="1025"/>
      <c r="H3084" s="690"/>
      <c r="I3084" s="1030"/>
      <c r="J3084" s="690"/>
      <c r="K3084" s="1030"/>
      <c r="L3084" s="690"/>
      <c r="M3084" s="1025"/>
      <c r="N3084" s="1030"/>
      <c r="O3084" s="692">
        <f t="shared" si="397"/>
        <v>0</v>
      </c>
      <c r="P3084" s="690"/>
      <c r="Q3084" s="690"/>
      <c r="R3084" s="691">
        <f t="shared" si="398"/>
        <v>0</v>
      </c>
      <c r="S3084" s="692">
        <f t="shared" si="399"/>
        <v>0</v>
      </c>
      <c r="T3084" s="693">
        <f t="shared" si="400"/>
        <v>0</v>
      </c>
      <c r="U3084" s="1035"/>
      <c r="V3084" s="690"/>
      <c r="W3084" s="1025"/>
      <c r="X3084" s="1030"/>
      <c r="Y3084" s="694">
        <f t="shared" si="401"/>
        <v>0</v>
      </c>
      <c r="Z3084" s="690"/>
      <c r="AA3084" s="690"/>
      <c r="AB3084" s="695">
        <f t="shared" si="402"/>
        <v>0</v>
      </c>
      <c r="AC3084" s="1035"/>
      <c r="AD3084" s="690"/>
      <c r="AE3084" s="1025"/>
      <c r="AF3084" s="1030"/>
      <c r="AG3084" s="690"/>
      <c r="AH3084" s="690"/>
      <c r="AI3084" s="696">
        <f t="shared" si="403"/>
        <v>0</v>
      </c>
      <c r="AJ3084" s="697">
        <f t="shared" si="404"/>
        <v>0</v>
      </c>
    </row>
    <row r="3085" spans="1:36" s="700" customFormat="1" ht="12.75" customHeight="1">
      <c r="A3085" s="755" t="s">
        <v>207</v>
      </c>
      <c r="B3085" s="768" t="s">
        <v>296</v>
      </c>
      <c r="C3085" s="769" t="s">
        <v>443</v>
      </c>
      <c r="D3085" s="769"/>
      <c r="E3085" s="770"/>
      <c r="F3085" s="771"/>
      <c r="G3085" s="1025"/>
      <c r="H3085" s="690"/>
      <c r="I3085" s="1030"/>
      <c r="J3085" s="690"/>
      <c r="K3085" s="1030"/>
      <c r="L3085" s="690"/>
      <c r="M3085" s="1025"/>
      <c r="N3085" s="1030"/>
      <c r="O3085" s="692">
        <f t="shared" ref="O3085:O3148" si="405">SUM(M3085:N3085)</f>
        <v>0</v>
      </c>
      <c r="P3085" s="690"/>
      <c r="Q3085" s="690"/>
      <c r="R3085" s="691">
        <f t="shared" ref="R3085:R3148" si="406">SUM(P3085:Q3085)</f>
        <v>0</v>
      </c>
      <c r="S3085" s="692">
        <f t="shared" ref="S3085:S3148" si="407">SUM(G3085,I3085,K3085,M3085)</f>
        <v>0</v>
      </c>
      <c r="T3085" s="693">
        <f t="shared" ref="T3085:T3148" si="408">SUM(H3085,J3085,L3085,P3085)</f>
        <v>0</v>
      </c>
      <c r="U3085" s="1035"/>
      <c r="V3085" s="690"/>
      <c r="W3085" s="1025"/>
      <c r="X3085" s="1030"/>
      <c r="Y3085" s="694">
        <f t="shared" ref="Y3085:Y3148" si="409">SUM(W3085:X3085)</f>
        <v>0</v>
      </c>
      <c r="Z3085" s="690"/>
      <c r="AA3085" s="690"/>
      <c r="AB3085" s="695">
        <f t="shared" ref="AB3085:AB3148" si="410">SUM(Z3085:AA3085)</f>
        <v>0</v>
      </c>
      <c r="AC3085" s="1035"/>
      <c r="AD3085" s="690"/>
      <c r="AE3085" s="1025"/>
      <c r="AF3085" s="1030"/>
      <c r="AG3085" s="690"/>
      <c r="AH3085" s="690"/>
      <c r="AI3085" s="696">
        <f t="shared" ref="AI3085:AI3148" si="411">SUM(S3085,U3085,W3085,AC3085,AE3085)</f>
        <v>0</v>
      </c>
      <c r="AJ3085" s="697">
        <f t="shared" ref="AJ3085:AJ3148" si="412">SUM(T3085,V3085,Z3085,AD3085,AG3085)</f>
        <v>0</v>
      </c>
    </row>
    <row r="3086" spans="1:36" s="700" customFormat="1" ht="12.75" customHeight="1">
      <c r="A3086" s="755" t="s">
        <v>207</v>
      </c>
      <c r="B3086" s="768" t="s">
        <v>278</v>
      </c>
      <c r="C3086" s="769" t="s">
        <v>377</v>
      </c>
      <c r="D3086" s="769"/>
      <c r="E3086" s="770"/>
      <c r="F3086" s="771"/>
      <c r="G3086" s="1025"/>
      <c r="H3086" s="690"/>
      <c r="I3086" s="1030"/>
      <c r="J3086" s="690"/>
      <c r="K3086" s="1030"/>
      <c r="L3086" s="690"/>
      <c r="M3086" s="1025"/>
      <c r="N3086" s="1030"/>
      <c r="O3086" s="692">
        <f t="shared" si="405"/>
        <v>0</v>
      </c>
      <c r="P3086" s="690"/>
      <c r="Q3086" s="690"/>
      <c r="R3086" s="691">
        <f t="shared" si="406"/>
        <v>0</v>
      </c>
      <c r="S3086" s="692">
        <f t="shared" si="407"/>
        <v>0</v>
      </c>
      <c r="T3086" s="693">
        <f t="shared" si="408"/>
        <v>0</v>
      </c>
      <c r="U3086" s="1035"/>
      <c r="V3086" s="690"/>
      <c r="W3086" s="1025"/>
      <c r="X3086" s="1030"/>
      <c r="Y3086" s="694">
        <f t="shared" si="409"/>
        <v>0</v>
      </c>
      <c r="Z3086" s="690"/>
      <c r="AA3086" s="690"/>
      <c r="AB3086" s="695">
        <f t="shared" si="410"/>
        <v>0</v>
      </c>
      <c r="AC3086" s="1035"/>
      <c r="AD3086" s="690"/>
      <c r="AE3086" s="1025"/>
      <c r="AF3086" s="1030"/>
      <c r="AG3086" s="690"/>
      <c r="AH3086" s="690"/>
      <c r="AI3086" s="696">
        <f t="shared" si="411"/>
        <v>0</v>
      </c>
      <c r="AJ3086" s="697">
        <f t="shared" si="412"/>
        <v>0</v>
      </c>
    </row>
    <row r="3087" spans="1:36" s="700" customFormat="1" ht="12.75" customHeight="1">
      <c r="A3087" s="755" t="s">
        <v>207</v>
      </c>
      <c r="B3087" s="768" t="s">
        <v>279</v>
      </c>
      <c r="C3087" s="769" t="s">
        <v>54</v>
      </c>
      <c r="D3087" s="769"/>
      <c r="E3087" s="770"/>
      <c r="F3087" s="771"/>
      <c r="G3087" s="1025"/>
      <c r="H3087" s="690"/>
      <c r="I3087" s="1030"/>
      <c r="J3087" s="690"/>
      <c r="K3087" s="1030"/>
      <c r="L3087" s="690"/>
      <c r="M3087" s="1025"/>
      <c r="N3087" s="1030"/>
      <c r="O3087" s="692">
        <f t="shared" si="405"/>
        <v>0</v>
      </c>
      <c r="P3087" s="690"/>
      <c r="Q3087" s="690"/>
      <c r="R3087" s="691">
        <f t="shared" si="406"/>
        <v>0</v>
      </c>
      <c r="S3087" s="692">
        <f t="shared" si="407"/>
        <v>0</v>
      </c>
      <c r="T3087" s="693">
        <f t="shared" si="408"/>
        <v>0</v>
      </c>
      <c r="U3087" s="1035"/>
      <c r="V3087" s="690"/>
      <c r="W3087" s="1025"/>
      <c r="X3087" s="1030"/>
      <c r="Y3087" s="694">
        <f t="shared" si="409"/>
        <v>0</v>
      </c>
      <c r="Z3087" s="690"/>
      <c r="AA3087" s="690"/>
      <c r="AB3087" s="695">
        <f t="shared" si="410"/>
        <v>0</v>
      </c>
      <c r="AC3087" s="1035"/>
      <c r="AD3087" s="690"/>
      <c r="AE3087" s="1025"/>
      <c r="AF3087" s="1030"/>
      <c r="AG3087" s="690"/>
      <c r="AH3087" s="690"/>
      <c r="AI3087" s="696">
        <f t="shared" si="411"/>
        <v>0</v>
      </c>
      <c r="AJ3087" s="697">
        <f t="shared" si="412"/>
        <v>0</v>
      </c>
    </row>
    <row r="3088" spans="1:36" s="700" customFormat="1" ht="12.75" customHeight="1">
      <c r="A3088" s="755" t="s">
        <v>207</v>
      </c>
      <c r="B3088" s="768" t="s">
        <v>317</v>
      </c>
      <c r="C3088" s="769" t="s">
        <v>443</v>
      </c>
      <c r="D3088" s="769"/>
      <c r="E3088" s="770"/>
      <c r="F3088" s="771"/>
      <c r="G3088" s="1025"/>
      <c r="H3088" s="690"/>
      <c r="I3088" s="1030"/>
      <c r="J3088" s="690"/>
      <c r="K3088" s="1030"/>
      <c r="L3088" s="690"/>
      <c r="M3088" s="1025"/>
      <c r="N3088" s="1030"/>
      <c r="O3088" s="692">
        <f t="shared" si="405"/>
        <v>0</v>
      </c>
      <c r="P3088" s="690"/>
      <c r="Q3088" s="690"/>
      <c r="R3088" s="691">
        <f t="shared" si="406"/>
        <v>0</v>
      </c>
      <c r="S3088" s="692">
        <f t="shared" si="407"/>
        <v>0</v>
      </c>
      <c r="T3088" s="693">
        <f t="shared" si="408"/>
        <v>0</v>
      </c>
      <c r="U3088" s="1035"/>
      <c r="V3088" s="690"/>
      <c r="W3088" s="1025"/>
      <c r="X3088" s="1030"/>
      <c r="Y3088" s="694">
        <f t="shared" si="409"/>
        <v>0</v>
      </c>
      <c r="Z3088" s="690"/>
      <c r="AA3088" s="690"/>
      <c r="AB3088" s="695">
        <f t="shared" si="410"/>
        <v>0</v>
      </c>
      <c r="AC3088" s="1035"/>
      <c r="AD3088" s="690"/>
      <c r="AE3088" s="1025"/>
      <c r="AF3088" s="1030"/>
      <c r="AG3088" s="690"/>
      <c r="AH3088" s="690"/>
      <c r="AI3088" s="696">
        <f t="shared" si="411"/>
        <v>0</v>
      </c>
      <c r="AJ3088" s="697">
        <f t="shared" si="412"/>
        <v>0</v>
      </c>
    </row>
    <row r="3089" spans="1:36" s="700" customFormat="1" ht="12.75" customHeight="1">
      <c r="A3089" s="755" t="s">
        <v>207</v>
      </c>
      <c r="B3089" s="768" t="s">
        <v>318</v>
      </c>
      <c r="C3089" s="769" t="s">
        <v>377</v>
      </c>
      <c r="D3089" s="769"/>
      <c r="E3089" s="770"/>
      <c r="F3089" s="771"/>
      <c r="G3089" s="1025"/>
      <c r="H3089" s="690"/>
      <c r="I3089" s="1030"/>
      <c r="J3089" s="690"/>
      <c r="K3089" s="1030"/>
      <c r="L3089" s="690"/>
      <c r="M3089" s="1025"/>
      <c r="N3089" s="1030"/>
      <c r="O3089" s="692">
        <f t="shared" si="405"/>
        <v>0</v>
      </c>
      <c r="P3089" s="690"/>
      <c r="Q3089" s="690"/>
      <c r="R3089" s="691">
        <f t="shared" si="406"/>
        <v>0</v>
      </c>
      <c r="S3089" s="692">
        <f t="shared" si="407"/>
        <v>0</v>
      </c>
      <c r="T3089" s="693">
        <f t="shared" si="408"/>
        <v>0</v>
      </c>
      <c r="U3089" s="1035"/>
      <c r="V3089" s="690"/>
      <c r="W3089" s="1025"/>
      <c r="X3089" s="1030"/>
      <c r="Y3089" s="694">
        <f t="shared" si="409"/>
        <v>0</v>
      </c>
      <c r="Z3089" s="690"/>
      <c r="AA3089" s="690"/>
      <c r="AB3089" s="695">
        <f t="shared" si="410"/>
        <v>0</v>
      </c>
      <c r="AC3089" s="1035"/>
      <c r="AD3089" s="690"/>
      <c r="AE3089" s="1025"/>
      <c r="AF3089" s="1030"/>
      <c r="AG3089" s="690"/>
      <c r="AH3089" s="690"/>
      <c r="AI3089" s="696">
        <f t="shared" si="411"/>
        <v>0</v>
      </c>
      <c r="AJ3089" s="697">
        <f t="shared" si="412"/>
        <v>0</v>
      </c>
    </row>
    <row r="3090" spans="1:36" s="700" customFormat="1" ht="12.75" customHeight="1">
      <c r="A3090" s="755" t="s">
        <v>207</v>
      </c>
      <c r="B3090" s="755" t="s">
        <v>420</v>
      </c>
      <c r="C3090" s="986" t="s">
        <v>1763</v>
      </c>
      <c r="D3090" s="986"/>
      <c r="E3090" s="770"/>
      <c r="F3090" s="771"/>
      <c r="G3090" s="1025"/>
      <c r="H3090" s="690"/>
      <c r="I3090" s="1030"/>
      <c r="J3090" s="690"/>
      <c r="K3090" s="1030"/>
      <c r="L3090" s="690"/>
      <c r="M3090" s="1025"/>
      <c r="N3090" s="1030"/>
      <c r="O3090" s="692">
        <f t="shared" si="405"/>
        <v>0</v>
      </c>
      <c r="P3090" s="690"/>
      <c r="Q3090" s="690"/>
      <c r="R3090" s="691">
        <f t="shared" si="406"/>
        <v>0</v>
      </c>
      <c r="S3090" s="692">
        <f t="shared" si="407"/>
        <v>0</v>
      </c>
      <c r="T3090" s="693">
        <f t="shared" si="408"/>
        <v>0</v>
      </c>
      <c r="U3090" s="1035">
        <v>197047</v>
      </c>
      <c r="V3090" s="690">
        <v>197047</v>
      </c>
      <c r="W3090" s="1025"/>
      <c r="X3090" s="1030"/>
      <c r="Y3090" s="694">
        <f t="shared" si="409"/>
        <v>0</v>
      </c>
      <c r="Z3090" s="690"/>
      <c r="AA3090" s="690"/>
      <c r="AB3090" s="695">
        <f t="shared" si="410"/>
        <v>0</v>
      </c>
      <c r="AC3090" s="1035"/>
      <c r="AD3090" s="690"/>
      <c r="AE3090" s="1025"/>
      <c r="AF3090" s="1030"/>
      <c r="AG3090" s="690"/>
      <c r="AH3090" s="690"/>
      <c r="AI3090" s="696">
        <f t="shared" si="411"/>
        <v>197047</v>
      </c>
      <c r="AJ3090" s="697">
        <f t="shared" si="412"/>
        <v>197047</v>
      </c>
    </row>
    <row r="3091" spans="1:36" s="700" customFormat="1" ht="12.75" customHeight="1">
      <c r="A3091" s="755" t="s">
        <v>207</v>
      </c>
      <c r="B3091" s="768" t="s">
        <v>442</v>
      </c>
      <c r="C3091" s="769" t="s">
        <v>443</v>
      </c>
      <c r="D3091" s="769"/>
      <c r="E3091" s="770"/>
      <c r="F3091" s="771"/>
      <c r="G3091" s="1025"/>
      <c r="H3091" s="690"/>
      <c r="I3091" s="1030"/>
      <c r="J3091" s="690"/>
      <c r="K3091" s="1030"/>
      <c r="L3091" s="690"/>
      <c r="M3091" s="1025"/>
      <c r="N3091" s="1030"/>
      <c r="O3091" s="692">
        <f t="shared" si="405"/>
        <v>0</v>
      </c>
      <c r="P3091" s="690"/>
      <c r="Q3091" s="690"/>
      <c r="R3091" s="691">
        <f t="shared" si="406"/>
        <v>0</v>
      </c>
      <c r="S3091" s="692">
        <f t="shared" si="407"/>
        <v>0</v>
      </c>
      <c r="T3091" s="693">
        <f t="shared" si="408"/>
        <v>0</v>
      </c>
      <c r="U3091" s="1035"/>
      <c r="V3091" s="690"/>
      <c r="W3091" s="1025"/>
      <c r="X3091" s="1030"/>
      <c r="Y3091" s="694">
        <f t="shared" si="409"/>
        <v>0</v>
      </c>
      <c r="Z3091" s="690"/>
      <c r="AA3091" s="690"/>
      <c r="AB3091" s="695">
        <f t="shared" si="410"/>
        <v>0</v>
      </c>
      <c r="AC3091" s="1035"/>
      <c r="AD3091" s="690"/>
      <c r="AE3091" s="1025"/>
      <c r="AF3091" s="1030"/>
      <c r="AG3091" s="690"/>
      <c r="AH3091" s="690"/>
      <c r="AI3091" s="696">
        <f t="shared" si="411"/>
        <v>0</v>
      </c>
      <c r="AJ3091" s="697">
        <f t="shared" si="412"/>
        <v>0</v>
      </c>
    </row>
    <row r="3092" spans="1:36" s="700" customFormat="1" ht="12.75" customHeight="1">
      <c r="A3092" s="755" t="s">
        <v>207</v>
      </c>
      <c r="B3092" s="768" t="s">
        <v>379</v>
      </c>
      <c r="C3092" s="769" t="s">
        <v>377</v>
      </c>
      <c r="D3092" s="769"/>
      <c r="E3092" s="770"/>
      <c r="F3092" s="771"/>
      <c r="G3092" s="1025"/>
      <c r="H3092" s="690"/>
      <c r="I3092" s="1030"/>
      <c r="J3092" s="690"/>
      <c r="K3092" s="1030"/>
      <c r="L3092" s="690"/>
      <c r="M3092" s="1025"/>
      <c r="N3092" s="1030"/>
      <c r="O3092" s="692">
        <f t="shared" si="405"/>
        <v>0</v>
      </c>
      <c r="P3092" s="690"/>
      <c r="Q3092" s="690"/>
      <c r="R3092" s="691">
        <f t="shared" si="406"/>
        <v>0</v>
      </c>
      <c r="S3092" s="692">
        <f t="shared" si="407"/>
        <v>0</v>
      </c>
      <c r="T3092" s="693">
        <f t="shared" si="408"/>
        <v>0</v>
      </c>
      <c r="U3092" s="1035"/>
      <c r="V3092" s="690"/>
      <c r="W3092" s="1025"/>
      <c r="X3092" s="1030"/>
      <c r="Y3092" s="694">
        <f t="shared" si="409"/>
        <v>0</v>
      </c>
      <c r="Z3092" s="690"/>
      <c r="AA3092" s="690"/>
      <c r="AB3092" s="695">
        <f t="shared" si="410"/>
        <v>0</v>
      </c>
      <c r="AC3092" s="1035"/>
      <c r="AD3092" s="690"/>
      <c r="AE3092" s="1025"/>
      <c r="AF3092" s="1030"/>
      <c r="AG3092" s="690"/>
      <c r="AH3092" s="690"/>
      <c r="AI3092" s="696">
        <f t="shared" si="411"/>
        <v>0</v>
      </c>
      <c r="AJ3092" s="697">
        <f t="shared" si="412"/>
        <v>0</v>
      </c>
    </row>
    <row r="3093" spans="1:36" s="700" customFormat="1" ht="12.75" customHeight="1">
      <c r="A3093" s="755" t="s">
        <v>207</v>
      </c>
      <c r="B3093" s="768" t="s">
        <v>295</v>
      </c>
      <c r="C3093" s="769" t="s">
        <v>53</v>
      </c>
      <c r="D3093" s="769"/>
      <c r="E3093" s="770"/>
      <c r="F3093" s="771"/>
      <c r="G3093" s="1025"/>
      <c r="H3093" s="690"/>
      <c r="I3093" s="1030"/>
      <c r="J3093" s="690"/>
      <c r="K3093" s="1030"/>
      <c r="L3093" s="690"/>
      <c r="M3093" s="1025"/>
      <c r="N3093" s="1030"/>
      <c r="O3093" s="692">
        <f t="shared" si="405"/>
        <v>0</v>
      </c>
      <c r="P3093" s="690"/>
      <c r="Q3093" s="690"/>
      <c r="R3093" s="691">
        <f t="shared" si="406"/>
        <v>0</v>
      </c>
      <c r="S3093" s="692">
        <f t="shared" si="407"/>
        <v>0</v>
      </c>
      <c r="T3093" s="693">
        <f t="shared" si="408"/>
        <v>0</v>
      </c>
      <c r="U3093" s="1035"/>
      <c r="V3093" s="690"/>
      <c r="W3093" s="1025"/>
      <c r="X3093" s="1030"/>
      <c r="Y3093" s="694">
        <f t="shared" si="409"/>
        <v>0</v>
      </c>
      <c r="Z3093" s="690"/>
      <c r="AA3093" s="690"/>
      <c r="AB3093" s="695">
        <f t="shared" si="410"/>
        <v>0</v>
      </c>
      <c r="AC3093" s="1035"/>
      <c r="AD3093" s="690"/>
      <c r="AE3093" s="1025"/>
      <c r="AF3093" s="1030"/>
      <c r="AG3093" s="690"/>
      <c r="AH3093" s="690"/>
      <c r="AI3093" s="696">
        <f t="shared" si="411"/>
        <v>0</v>
      </c>
      <c r="AJ3093" s="697">
        <f t="shared" si="412"/>
        <v>0</v>
      </c>
    </row>
    <row r="3094" spans="1:36" s="700" customFormat="1" ht="12.75" customHeight="1">
      <c r="A3094" s="755" t="s">
        <v>207</v>
      </c>
      <c r="B3094" s="768" t="s">
        <v>296</v>
      </c>
      <c r="C3094" s="769" t="s">
        <v>443</v>
      </c>
      <c r="D3094" s="769"/>
      <c r="E3094" s="770"/>
      <c r="F3094" s="771"/>
      <c r="G3094" s="1025"/>
      <c r="H3094" s="690"/>
      <c r="I3094" s="1030"/>
      <c r="J3094" s="690"/>
      <c r="K3094" s="1030"/>
      <c r="L3094" s="690"/>
      <c r="M3094" s="1025"/>
      <c r="N3094" s="1030"/>
      <c r="O3094" s="692">
        <f t="shared" si="405"/>
        <v>0</v>
      </c>
      <c r="P3094" s="690"/>
      <c r="Q3094" s="690"/>
      <c r="R3094" s="691">
        <f t="shared" si="406"/>
        <v>0</v>
      </c>
      <c r="S3094" s="692">
        <f t="shared" si="407"/>
        <v>0</v>
      </c>
      <c r="T3094" s="693">
        <f t="shared" si="408"/>
        <v>0</v>
      </c>
      <c r="U3094" s="1035"/>
      <c r="V3094" s="690"/>
      <c r="W3094" s="1025"/>
      <c r="X3094" s="1030"/>
      <c r="Y3094" s="694">
        <f t="shared" si="409"/>
        <v>0</v>
      </c>
      <c r="Z3094" s="690"/>
      <c r="AA3094" s="690"/>
      <c r="AB3094" s="695">
        <f t="shared" si="410"/>
        <v>0</v>
      </c>
      <c r="AC3094" s="1035"/>
      <c r="AD3094" s="690"/>
      <c r="AE3094" s="1025"/>
      <c r="AF3094" s="1030"/>
      <c r="AG3094" s="690"/>
      <c r="AH3094" s="690"/>
      <c r="AI3094" s="696">
        <f t="shared" si="411"/>
        <v>0</v>
      </c>
      <c r="AJ3094" s="697">
        <f t="shared" si="412"/>
        <v>0</v>
      </c>
    </row>
    <row r="3095" spans="1:36" s="700" customFormat="1" ht="12.75" customHeight="1">
      <c r="A3095" s="755" t="s">
        <v>207</v>
      </c>
      <c r="B3095" s="768" t="s">
        <v>278</v>
      </c>
      <c r="C3095" s="769" t="s">
        <v>377</v>
      </c>
      <c r="D3095" s="769"/>
      <c r="E3095" s="770"/>
      <c r="F3095" s="771"/>
      <c r="G3095" s="1025"/>
      <c r="H3095" s="690"/>
      <c r="I3095" s="1030"/>
      <c r="J3095" s="690"/>
      <c r="K3095" s="1030"/>
      <c r="L3095" s="690"/>
      <c r="M3095" s="1025"/>
      <c r="N3095" s="1030"/>
      <c r="O3095" s="692">
        <f t="shared" si="405"/>
        <v>0</v>
      </c>
      <c r="P3095" s="690"/>
      <c r="Q3095" s="690"/>
      <c r="R3095" s="691">
        <f t="shared" si="406"/>
        <v>0</v>
      </c>
      <c r="S3095" s="692">
        <f t="shared" si="407"/>
        <v>0</v>
      </c>
      <c r="T3095" s="693">
        <f t="shared" si="408"/>
        <v>0</v>
      </c>
      <c r="U3095" s="1035"/>
      <c r="V3095" s="690"/>
      <c r="W3095" s="1025"/>
      <c r="X3095" s="1030"/>
      <c r="Y3095" s="694">
        <f t="shared" si="409"/>
        <v>0</v>
      </c>
      <c r="Z3095" s="690"/>
      <c r="AA3095" s="690"/>
      <c r="AB3095" s="695">
        <f t="shared" si="410"/>
        <v>0</v>
      </c>
      <c r="AC3095" s="1035"/>
      <c r="AD3095" s="690"/>
      <c r="AE3095" s="1025"/>
      <c r="AF3095" s="1030"/>
      <c r="AG3095" s="690"/>
      <c r="AH3095" s="690"/>
      <c r="AI3095" s="696">
        <f t="shared" si="411"/>
        <v>0</v>
      </c>
      <c r="AJ3095" s="697">
        <f t="shared" si="412"/>
        <v>0</v>
      </c>
    </row>
    <row r="3096" spans="1:36" s="700" customFormat="1" ht="12.75" customHeight="1">
      <c r="A3096" s="755" t="s">
        <v>207</v>
      </c>
      <c r="B3096" s="768" t="s">
        <v>279</v>
      </c>
      <c r="C3096" s="769" t="s">
        <v>54</v>
      </c>
      <c r="D3096" s="769"/>
      <c r="E3096" s="770"/>
      <c r="F3096" s="771"/>
      <c r="G3096" s="1025"/>
      <c r="H3096" s="690"/>
      <c r="I3096" s="1030"/>
      <c r="J3096" s="690"/>
      <c r="K3096" s="1030"/>
      <c r="L3096" s="690"/>
      <c r="M3096" s="1025"/>
      <c r="N3096" s="1030"/>
      <c r="O3096" s="692">
        <f t="shared" si="405"/>
        <v>0</v>
      </c>
      <c r="P3096" s="690"/>
      <c r="Q3096" s="690"/>
      <c r="R3096" s="691">
        <f t="shared" si="406"/>
        <v>0</v>
      </c>
      <c r="S3096" s="692">
        <f t="shared" si="407"/>
        <v>0</v>
      </c>
      <c r="T3096" s="693">
        <f t="shared" si="408"/>
        <v>0</v>
      </c>
      <c r="U3096" s="1035"/>
      <c r="V3096" s="690"/>
      <c r="W3096" s="1025"/>
      <c r="X3096" s="1030"/>
      <c r="Y3096" s="694">
        <f t="shared" si="409"/>
        <v>0</v>
      </c>
      <c r="Z3096" s="690"/>
      <c r="AA3096" s="690"/>
      <c r="AB3096" s="695">
        <f t="shared" si="410"/>
        <v>0</v>
      </c>
      <c r="AC3096" s="1035"/>
      <c r="AD3096" s="690"/>
      <c r="AE3096" s="1025"/>
      <c r="AF3096" s="1030"/>
      <c r="AG3096" s="690"/>
      <c r="AH3096" s="690"/>
      <c r="AI3096" s="696">
        <f t="shared" si="411"/>
        <v>0</v>
      </c>
      <c r="AJ3096" s="697">
        <f t="shared" si="412"/>
        <v>0</v>
      </c>
    </row>
    <row r="3097" spans="1:36" s="700" customFormat="1" ht="12.75" customHeight="1">
      <c r="A3097" s="755" t="s">
        <v>207</v>
      </c>
      <c r="B3097" s="768" t="s">
        <v>317</v>
      </c>
      <c r="C3097" s="769" t="s">
        <v>443</v>
      </c>
      <c r="D3097" s="769"/>
      <c r="E3097" s="770"/>
      <c r="F3097" s="771"/>
      <c r="G3097" s="1025"/>
      <c r="H3097" s="690"/>
      <c r="I3097" s="1030"/>
      <c r="J3097" s="690"/>
      <c r="K3097" s="1030"/>
      <c r="L3097" s="690"/>
      <c r="M3097" s="1025"/>
      <c r="N3097" s="1030"/>
      <c r="O3097" s="692">
        <f t="shared" si="405"/>
        <v>0</v>
      </c>
      <c r="P3097" s="690"/>
      <c r="Q3097" s="690"/>
      <c r="R3097" s="691">
        <f t="shared" si="406"/>
        <v>0</v>
      </c>
      <c r="S3097" s="692">
        <f t="shared" si="407"/>
        <v>0</v>
      </c>
      <c r="T3097" s="693">
        <f t="shared" si="408"/>
        <v>0</v>
      </c>
      <c r="U3097" s="1035"/>
      <c r="V3097" s="690"/>
      <c r="W3097" s="1025"/>
      <c r="X3097" s="1030"/>
      <c r="Y3097" s="694">
        <f t="shared" si="409"/>
        <v>0</v>
      </c>
      <c r="Z3097" s="690"/>
      <c r="AA3097" s="690"/>
      <c r="AB3097" s="695">
        <f t="shared" si="410"/>
        <v>0</v>
      </c>
      <c r="AC3097" s="1035"/>
      <c r="AD3097" s="690"/>
      <c r="AE3097" s="1025"/>
      <c r="AF3097" s="1030"/>
      <c r="AG3097" s="690"/>
      <c r="AH3097" s="690"/>
      <c r="AI3097" s="696">
        <f t="shared" si="411"/>
        <v>0</v>
      </c>
      <c r="AJ3097" s="697">
        <f t="shared" si="412"/>
        <v>0</v>
      </c>
    </row>
    <row r="3098" spans="1:36" s="700" customFormat="1" ht="12.75" customHeight="1">
      <c r="A3098" s="755" t="s">
        <v>207</v>
      </c>
      <c r="B3098" s="768" t="s">
        <v>318</v>
      </c>
      <c r="C3098" s="769" t="s">
        <v>377</v>
      </c>
      <c r="D3098" s="769"/>
      <c r="E3098" s="770"/>
      <c r="F3098" s="771"/>
      <c r="G3098" s="1025"/>
      <c r="H3098" s="690"/>
      <c r="I3098" s="1030"/>
      <c r="J3098" s="690"/>
      <c r="K3098" s="1030"/>
      <c r="L3098" s="690"/>
      <c r="M3098" s="1025"/>
      <c r="N3098" s="1030"/>
      <c r="O3098" s="692">
        <f t="shared" si="405"/>
        <v>0</v>
      </c>
      <c r="P3098" s="690"/>
      <c r="Q3098" s="690"/>
      <c r="R3098" s="691">
        <f t="shared" si="406"/>
        <v>0</v>
      </c>
      <c r="S3098" s="692">
        <f t="shared" si="407"/>
        <v>0</v>
      </c>
      <c r="T3098" s="693">
        <f t="shared" si="408"/>
        <v>0</v>
      </c>
      <c r="U3098" s="1035"/>
      <c r="V3098" s="690"/>
      <c r="W3098" s="1025"/>
      <c r="X3098" s="1030"/>
      <c r="Y3098" s="694">
        <f t="shared" si="409"/>
        <v>0</v>
      </c>
      <c r="Z3098" s="690"/>
      <c r="AA3098" s="690"/>
      <c r="AB3098" s="695">
        <f t="shared" si="410"/>
        <v>0</v>
      </c>
      <c r="AC3098" s="1035"/>
      <c r="AD3098" s="690"/>
      <c r="AE3098" s="1025"/>
      <c r="AF3098" s="1030"/>
      <c r="AG3098" s="690"/>
      <c r="AH3098" s="690"/>
      <c r="AI3098" s="696">
        <f t="shared" si="411"/>
        <v>0</v>
      </c>
      <c r="AJ3098" s="697">
        <f t="shared" si="412"/>
        <v>0</v>
      </c>
    </row>
    <row r="3099" spans="1:36" s="700" customFormat="1" ht="12.75" customHeight="1">
      <c r="A3099" s="755" t="s">
        <v>207</v>
      </c>
      <c r="B3099" s="755" t="s">
        <v>420</v>
      </c>
      <c r="C3099" s="986" t="s">
        <v>1764</v>
      </c>
      <c r="D3099" s="986"/>
      <c r="E3099" s="770"/>
      <c r="F3099" s="771"/>
      <c r="G3099" s="1025"/>
      <c r="H3099" s="690"/>
      <c r="I3099" s="1030"/>
      <c r="J3099" s="690"/>
      <c r="K3099" s="1030"/>
      <c r="L3099" s="690"/>
      <c r="M3099" s="1025"/>
      <c r="N3099" s="1030"/>
      <c r="O3099" s="692">
        <f t="shared" si="405"/>
        <v>0</v>
      </c>
      <c r="P3099" s="690"/>
      <c r="Q3099" s="690"/>
      <c r="R3099" s="691">
        <f t="shared" si="406"/>
        <v>0</v>
      </c>
      <c r="S3099" s="692">
        <f t="shared" si="407"/>
        <v>0</v>
      </c>
      <c r="T3099" s="693">
        <f t="shared" si="408"/>
        <v>0</v>
      </c>
      <c r="U3099" s="1035">
        <v>216477</v>
      </c>
      <c r="V3099" s="690">
        <v>216477</v>
      </c>
      <c r="W3099" s="1025"/>
      <c r="X3099" s="1030"/>
      <c r="Y3099" s="694">
        <f t="shared" si="409"/>
        <v>0</v>
      </c>
      <c r="Z3099" s="690"/>
      <c r="AA3099" s="690"/>
      <c r="AB3099" s="695">
        <f t="shared" si="410"/>
        <v>0</v>
      </c>
      <c r="AC3099" s="1035"/>
      <c r="AD3099" s="690"/>
      <c r="AE3099" s="1025"/>
      <c r="AF3099" s="1030"/>
      <c r="AG3099" s="690"/>
      <c r="AH3099" s="690"/>
      <c r="AI3099" s="696">
        <f t="shared" si="411"/>
        <v>216477</v>
      </c>
      <c r="AJ3099" s="697">
        <f t="shared" si="412"/>
        <v>216477</v>
      </c>
    </row>
    <row r="3100" spans="1:36" s="700" customFormat="1" ht="12.75" customHeight="1">
      <c r="A3100" s="755" t="s">
        <v>207</v>
      </c>
      <c r="B3100" s="768" t="s">
        <v>442</v>
      </c>
      <c r="C3100" s="769" t="s">
        <v>443</v>
      </c>
      <c r="D3100" s="769"/>
      <c r="E3100" s="770"/>
      <c r="F3100" s="771"/>
      <c r="G3100" s="1025"/>
      <c r="H3100" s="690"/>
      <c r="I3100" s="1030"/>
      <c r="J3100" s="690"/>
      <c r="K3100" s="1030"/>
      <c r="L3100" s="690"/>
      <c r="M3100" s="1025"/>
      <c r="N3100" s="1030"/>
      <c r="O3100" s="692">
        <f t="shared" si="405"/>
        <v>0</v>
      </c>
      <c r="P3100" s="690"/>
      <c r="Q3100" s="690"/>
      <c r="R3100" s="691">
        <f t="shared" si="406"/>
        <v>0</v>
      </c>
      <c r="S3100" s="692">
        <f t="shared" si="407"/>
        <v>0</v>
      </c>
      <c r="T3100" s="693">
        <f t="shared" si="408"/>
        <v>0</v>
      </c>
      <c r="U3100" s="1035"/>
      <c r="V3100" s="690"/>
      <c r="W3100" s="1025"/>
      <c r="X3100" s="1030"/>
      <c r="Y3100" s="694">
        <f t="shared" si="409"/>
        <v>0</v>
      </c>
      <c r="Z3100" s="690"/>
      <c r="AA3100" s="690"/>
      <c r="AB3100" s="695">
        <f t="shared" si="410"/>
        <v>0</v>
      </c>
      <c r="AC3100" s="1035"/>
      <c r="AD3100" s="690"/>
      <c r="AE3100" s="1025"/>
      <c r="AF3100" s="1030"/>
      <c r="AG3100" s="690"/>
      <c r="AH3100" s="690"/>
      <c r="AI3100" s="696">
        <f t="shared" si="411"/>
        <v>0</v>
      </c>
      <c r="AJ3100" s="697">
        <f t="shared" si="412"/>
        <v>0</v>
      </c>
    </row>
    <row r="3101" spans="1:36" s="700" customFormat="1" ht="12.75" customHeight="1">
      <c r="A3101" s="755" t="s">
        <v>207</v>
      </c>
      <c r="B3101" s="768" t="s">
        <v>379</v>
      </c>
      <c r="C3101" s="769" t="s">
        <v>377</v>
      </c>
      <c r="D3101" s="769"/>
      <c r="E3101" s="770"/>
      <c r="F3101" s="771"/>
      <c r="G3101" s="1025"/>
      <c r="H3101" s="690"/>
      <c r="I3101" s="1030"/>
      <c r="J3101" s="690"/>
      <c r="K3101" s="1030"/>
      <c r="L3101" s="690"/>
      <c r="M3101" s="1025"/>
      <c r="N3101" s="1030"/>
      <c r="O3101" s="692">
        <f t="shared" si="405"/>
        <v>0</v>
      </c>
      <c r="P3101" s="690"/>
      <c r="Q3101" s="690"/>
      <c r="R3101" s="691">
        <f t="shared" si="406"/>
        <v>0</v>
      </c>
      <c r="S3101" s="692">
        <f t="shared" si="407"/>
        <v>0</v>
      </c>
      <c r="T3101" s="693">
        <f t="shared" si="408"/>
        <v>0</v>
      </c>
      <c r="U3101" s="1035"/>
      <c r="V3101" s="690"/>
      <c r="W3101" s="1025"/>
      <c r="X3101" s="1030"/>
      <c r="Y3101" s="694">
        <f t="shared" si="409"/>
        <v>0</v>
      </c>
      <c r="Z3101" s="690"/>
      <c r="AA3101" s="690"/>
      <c r="AB3101" s="695">
        <f t="shared" si="410"/>
        <v>0</v>
      </c>
      <c r="AC3101" s="1035"/>
      <c r="AD3101" s="690"/>
      <c r="AE3101" s="1025"/>
      <c r="AF3101" s="1030"/>
      <c r="AG3101" s="690"/>
      <c r="AH3101" s="690"/>
      <c r="AI3101" s="696">
        <f t="shared" si="411"/>
        <v>0</v>
      </c>
      <c r="AJ3101" s="697">
        <f t="shared" si="412"/>
        <v>0</v>
      </c>
    </row>
    <row r="3102" spans="1:36" s="700" customFormat="1" ht="12.75" customHeight="1">
      <c r="A3102" s="755" t="s">
        <v>207</v>
      </c>
      <c r="B3102" s="768" t="s">
        <v>295</v>
      </c>
      <c r="C3102" s="769" t="s">
        <v>53</v>
      </c>
      <c r="D3102" s="769"/>
      <c r="E3102" s="770"/>
      <c r="F3102" s="771"/>
      <c r="G3102" s="1025"/>
      <c r="H3102" s="690"/>
      <c r="I3102" s="1030"/>
      <c r="J3102" s="690"/>
      <c r="K3102" s="1030"/>
      <c r="L3102" s="690"/>
      <c r="M3102" s="1025"/>
      <c r="N3102" s="1030"/>
      <c r="O3102" s="692">
        <f t="shared" si="405"/>
        <v>0</v>
      </c>
      <c r="P3102" s="690"/>
      <c r="Q3102" s="690"/>
      <c r="R3102" s="691">
        <f t="shared" si="406"/>
        <v>0</v>
      </c>
      <c r="S3102" s="692">
        <f t="shared" si="407"/>
        <v>0</v>
      </c>
      <c r="T3102" s="693">
        <f t="shared" si="408"/>
        <v>0</v>
      </c>
      <c r="U3102" s="1035"/>
      <c r="V3102" s="690"/>
      <c r="W3102" s="1025"/>
      <c r="X3102" s="1030"/>
      <c r="Y3102" s="694">
        <f t="shared" si="409"/>
        <v>0</v>
      </c>
      <c r="Z3102" s="690"/>
      <c r="AA3102" s="690"/>
      <c r="AB3102" s="695">
        <f t="shared" si="410"/>
        <v>0</v>
      </c>
      <c r="AC3102" s="1035"/>
      <c r="AD3102" s="690"/>
      <c r="AE3102" s="1025"/>
      <c r="AF3102" s="1030"/>
      <c r="AG3102" s="690"/>
      <c r="AH3102" s="690"/>
      <c r="AI3102" s="696">
        <f t="shared" si="411"/>
        <v>0</v>
      </c>
      <c r="AJ3102" s="697">
        <f t="shared" si="412"/>
        <v>0</v>
      </c>
    </row>
    <row r="3103" spans="1:36" s="700" customFormat="1" ht="12.75" customHeight="1">
      <c r="A3103" s="755" t="s">
        <v>207</v>
      </c>
      <c r="B3103" s="768" t="s">
        <v>296</v>
      </c>
      <c r="C3103" s="769" t="s">
        <v>443</v>
      </c>
      <c r="D3103" s="769"/>
      <c r="E3103" s="770"/>
      <c r="F3103" s="771"/>
      <c r="G3103" s="1025"/>
      <c r="H3103" s="690"/>
      <c r="I3103" s="1030"/>
      <c r="J3103" s="690"/>
      <c r="K3103" s="1030"/>
      <c r="L3103" s="690"/>
      <c r="M3103" s="1025"/>
      <c r="N3103" s="1030"/>
      <c r="O3103" s="692">
        <f t="shared" si="405"/>
        <v>0</v>
      </c>
      <c r="P3103" s="690"/>
      <c r="Q3103" s="690"/>
      <c r="R3103" s="691">
        <f t="shared" si="406"/>
        <v>0</v>
      </c>
      <c r="S3103" s="692">
        <f t="shared" si="407"/>
        <v>0</v>
      </c>
      <c r="T3103" s="693">
        <f t="shared" si="408"/>
        <v>0</v>
      </c>
      <c r="U3103" s="1035"/>
      <c r="V3103" s="690"/>
      <c r="W3103" s="1025"/>
      <c r="X3103" s="1030"/>
      <c r="Y3103" s="694">
        <f t="shared" si="409"/>
        <v>0</v>
      </c>
      <c r="Z3103" s="690"/>
      <c r="AA3103" s="690"/>
      <c r="AB3103" s="695">
        <f t="shared" si="410"/>
        <v>0</v>
      </c>
      <c r="AC3103" s="1035"/>
      <c r="AD3103" s="690"/>
      <c r="AE3103" s="1025"/>
      <c r="AF3103" s="1030"/>
      <c r="AG3103" s="690"/>
      <c r="AH3103" s="690"/>
      <c r="AI3103" s="696">
        <f t="shared" si="411"/>
        <v>0</v>
      </c>
      <c r="AJ3103" s="697">
        <f t="shared" si="412"/>
        <v>0</v>
      </c>
    </row>
    <row r="3104" spans="1:36" s="700" customFormat="1" ht="12.75" customHeight="1">
      <c r="A3104" s="755" t="s">
        <v>207</v>
      </c>
      <c r="B3104" s="768" t="s">
        <v>278</v>
      </c>
      <c r="C3104" s="769" t="s">
        <v>377</v>
      </c>
      <c r="D3104" s="769"/>
      <c r="E3104" s="770"/>
      <c r="F3104" s="771"/>
      <c r="G3104" s="1025"/>
      <c r="H3104" s="690"/>
      <c r="I3104" s="1030"/>
      <c r="J3104" s="690"/>
      <c r="K3104" s="1030"/>
      <c r="L3104" s="690"/>
      <c r="M3104" s="1025"/>
      <c r="N3104" s="1030"/>
      <c r="O3104" s="692">
        <f t="shared" si="405"/>
        <v>0</v>
      </c>
      <c r="P3104" s="690"/>
      <c r="Q3104" s="690"/>
      <c r="R3104" s="691">
        <f t="shared" si="406"/>
        <v>0</v>
      </c>
      <c r="S3104" s="692">
        <f t="shared" si="407"/>
        <v>0</v>
      </c>
      <c r="T3104" s="693">
        <f t="shared" si="408"/>
        <v>0</v>
      </c>
      <c r="U3104" s="1035"/>
      <c r="V3104" s="690"/>
      <c r="W3104" s="1025"/>
      <c r="X3104" s="1030"/>
      <c r="Y3104" s="694">
        <f t="shared" si="409"/>
        <v>0</v>
      </c>
      <c r="Z3104" s="690"/>
      <c r="AA3104" s="690"/>
      <c r="AB3104" s="695">
        <f t="shared" si="410"/>
        <v>0</v>
      </c>
      <c r="AC3104" s="1035"/>
      <c r="AD3104" s="690"/>
      <c r="AE3104" s="1025"/>
      <c r="AF3104" s="1030"/>
      <c r="AG3104" s="690"/>
      <c r="AH3104" s="690"/>
      <c r="AI3104" s="696">
        <f t="shared" si="411"/>
        <v>0</v>
      </c>
      <c r="AJ3104" s="697">
        <f t="shared" si="412"/>
        <v>0</v>
      </c>
    </row>
    <row r="3105" spans="1:36" s="700" customFormat="1" ht="12.75" customHeight="1">
      <c r="A3105" s="755" t="s">
        <v>207</v>
      </c>
      <c r="B3105" s="768" t="s">
        <v>279</v>
      </c>
      <c r="C3105" s="769" t="s">
        <v>54</v>
      </c>
      <c r="D3105" s="769"/>
      <c r="E3105" s="770"/>
      <c r="F3105" s="771"/>
      <c r="G3105" s="1025"/>
      <c r="H3105" s="690"/>
      <c r="I3105" s="1030"/>
      <c r="J3105" s="690"/>
      <c r="K3105" s="1030"/>
      <c r="L3105" s="690"/>
      <c r="M3105" s="1025"/>
      <c r="N3105" s="1030"/>
      <c r="O3105" s="692">
        <f t="shared" si="405"/>
        <v>0</v>
      </c>
      <c r="P3105" s="690"/>
      <c r="Q3105" s="690"/>
      <c r="R3105" s="691">
        <f t="shared" si="406"/>
        <v>0</v>
      </c>
      <c r="S3105" s="692">
        <f t="shared" si="407"/>
        <v>0</v>
      </c>
      <c r="T3105" s="693">
        <f t="shared" si="408"/>
        <v>0</v>
      </c>
      <c r="U3105" s="1035"/>
      <c r="V3105" s="690"/>
      <c r="W3105" s="1025"/>
      <c r="X3105" s="1030"/>
      <c r="Y3105" s="694">
        <f t="shared" si="409"/>
        <v>0</v>
      </c>
      <c r="Z3105" s="690"/>
      <c r="AA3105" s="690"/>
      <c r="AB3105" s="695">
        <f t="shared" si="410"/>
        <v>0</v>
      </c>
      <c r="AC3105" s="1035"/>
      <c r="AD3105" s="690"/>
      <c r="AE3105" s="1025"/>
      <c r="AF3105" s="1030"/>
      <c r="AG3105" s="690"/>
      <c r="AH3105" s="690"/>
      <c r="AI3105" s="696">
        <f t="shared" si="411"/>
        <v>0</v>
      </c>
      <c r="AJ3105" s="697">
        <f t="shared" si="412"/>
        <v>0</v>
      </c>
    </row>
    <row r="3106" spans="1:36" s="700" customFormat="1" ht="12.75" customHeight="1">
      <c r="A3106" s="755" t="s">
        <v>207</v>
      </c>
      <c r="B3106" s="768" t="s">
        <v>317</v>
      </c>
      <c r="C3106" s="769" t="s">
        <v>443</v>
      </c>
      <c r="D3106" s="769"/>
      <c r="E3106" s="770"/>
      <c r="F3106" s="771"/>
      <c r="G3106" s="1025"/>
      <c r="H3106" s="690"/>
      <c r="I3106" s="1030"/>
      <c r="J3106" s="690"/>
      <c r="K3106" s="1030"/>
      <c r="L3106" s="690"/>
      <c r="M3106" s="1025"/>
      <c r="N3106" s="1030"/>
      <c r="O3106" s="692">
        <f t="shared" si="405"/>
        <v>0</v>
      </c>
      <c r="P3106" s="690"/>
      <c r="Q3106" s="690"/>
      <c r="R3106" s="691">
        <f t="shared" si="406"/>
        <v>0</v>
      </c>
      <c r="S3106" s="692">
        <f t="shared" si="407"/>
        <v>0</v>
      </c>
      <c r="T3106" s="693">
        <f t="shared" si="408"/>
        <v>0</v>
      </c>
      <c r="U3106" s="1035"/>
      <c r="V3106" s="690"/>
      <c r="W3106" s="1025"/>
      <c r="X3106" s="1030"/>
      <c r="Y3106" s="694">
        <f t="shared" si="409"/>
        <v>0</v>
      </c>
      <c r="Z3106" s="690"/>
      <c r="AA3106" s="690"/>
      <c r="AB3106" s="695">
        <f t="shared" si="410"/>
        <v>0</v>
      </c>
      <c r="AC3106" s="1035"/>
      <c r="AD3106" s="690"/>
      <c r="AE3106" s="1025"/>
      <c r="AF3106" s="1030"/>
      <c r="AG3106" s="690"/>
      <c r="AH3106" s="690"/>
      <c r="AI3106" s="696">
        <f t="shared" si="411"/>
        <v>0</v>
      </c>
      <c r="AJ3106" s="697">
        <f t="shared" si="412"/>
        <v>0</v>
      </c>
    </row>
    <row r="3107" spans="1:36" s="700" customFormat="1" ht="12.75" customHeight="1">
      <c r="A3107" s="755" t="s">
        <v>207</v>
      </c>
      <c r="B3107" s="768" t="s">
        <v>318</v>
      </c>
      <c r="C3107" s="769" t="s">
        <v>377</v>
      </c>
      <c r="D3107" s="769"/>
      <c r="E3107" s="770"/>
      <c r="F3107" s="771"/>
      <c r="G3107" s="1025"/>
      <c r="H3107" s="690"/>
      <c r="I3107" s="1030"/>
      <c r="J3107" s="690"/>
      <c r="K3107" s="1030"/>
      <c r="L3107" s="690"/>
      <c r="M3107" s="1025"/>
      <c r="N3107" s="1030"/>
      <c r="O3107" s="692">
        <f t="shared" si="405"/>
        <v>0</v>
      </c>
      <c r="P3107" s="690"/>
      <c r="Q3107" s="690"/>
      <c r="R3107" s="691">
        <f t="shared" si="406"/>
        <v>0</v>
      </c>
      <c r="S3107" s="692">
        <f t="shared" si="407"/>
        <v>0</v>
      </c>
      <c r="T3107" s="693">
        <f t="shared" si="408"/>
        <v>0</v>
      </c>
      <c r="U3107" s="1035"/>
      <c r="V3107" s="690"/>
      <c r="W3107" s="1025"/>
      <c r="X3107" s="1030"/>
      <c r="Y3107" s="694">
        <f t="shared" si="409"/>
        <v>0</v>
      </c>
      <c r="Z3107" s="690"/>
      <c r="AA3107" s="690"/>
      <c r="AB3107" s="695">
        <f t="shared" si="410"/>
        <v>0</v>
      </c>
      <c r="AC3107" s="1035"/>
      <c r="AD3107" s="690"/>
      <c r="AE3107" s="1025"/>
      <c r="AF3107" s="1030"/>
      <c r="AG3107" s="690"/>
      <c r="AH3107" s="690"/>
      <c r="AI3107" s="696">
        <f t="shared" si="411"/>
        <v>0</v>
      </c>
      <c r="AJ3107" s="697">
        <f t="shared" si="412"/>
        <v>0</v>
      </c>
    </row>
    <row r="3108" spans="1:36" s="700" customFormat="1" ht="12.75" customHeight="1">
      <c r="A3108" s="755" t="s">
        <v>207</v>
      </c>
      <c r="B3108" s="755" t="s">
        <v>420</v>
      </c>
      <c r="C3108" s="986" t="s">
        <v>1765</v>
      </c>
      <c r="D3108" s="986"/>
      <c r="E3108" s="770"/>
      <c r="F3108" s="771"/>
      <c r="G3108" s="1025"/>
      <c r="H3108" s="690"/>
      <c r="I3108" s="1030"/>
      <c r="J3108" s="690"/>
      <c r="K3108" s="1030"/>
      <c r="L3108" s="690"/>
      <c r="M3108" s="1025"/>
      <c r="N3108" s="1030"/>
      <c r="O3108" s="692">
        <f t="shared" si="405"/>
        <v>0</v>
      </c>
      <c r="P3108" s="690"/>
      <c r="Q3108" s="690"/>
      <c r="R3108" s="691">
        <f t="shared" si="406"/>
        <v>0</v>
      </c>
      <c r="S3108" s="692">
        <f t="shared" si="407"/>
        <v>0</v>
      </c>
      <c r="T3108" s="693">
        <f t="shared" si="408"/>
        <v>0</v>
      </c>
      <c r="U3108" s="1035">
        <v>918565</v>
      </c>
      <c r="V3108" s="690">
        <v>918565</v>
      </c>
      <c r="W3108" s="1025"/>
      <c r="X3108" s="1030"/>
      <c r="Y3108" s="694">
        <f t="shared" si="409"/>
        <v>0</v>
      </c>
      <c r="Z3108" s="690"/>
      <c r="AA3108" s="690"/>
      <c r="AB3108" s="695">
        <f t="shared" si="410"/>
        <v>0</v>
      </c>
      <c r="AC3108" s="1035"/>
      <c r="AD3108" s="690"/>
      <c r="AE3108" s="1025"/>
      <c r="AF3108" s="1030"/>
      <c r="AG3108" s="690"/>
      <c r="AH3108" s="690"/>
      <c r="AI3108" s="696">
        <f t="shared" si="411"/>
        <v>918565</v>
      </c>
      <c r="AJ3108" s="697">
        <f t="shared" si="412"/>
        <v>918565</v>
      </c>
    </row>
    <row r="3109" spans="1:36" s="700" customFormat="1" ht="12.75" customHeight="1">
      <c r="A3109" s="755" t="s">
        <v>207</v>
      </c>
      <c r="B3109" s="768" t="s">
        <v>442</v>
      </c>
      <c r="C3109" s="769" t="s">
        <v>443</v>
      </c>
      <c r="D3109" s="769"/>
      <c r="E3109" s="770"/>
      <c r="F3109" s="771"/>
      <c r="G3109" s="1025"/>
      <c r="H3109" s="690"/>
      <c r="I3109" s="1030"/>
      <c r="J3109" s="690"/>
      <c r="K3109" s="1030"/>
      <c r="L3109" s="690"/>
      <c r="M3109" s="1025"/>
      <c r="N3109" s="1030"/>
      <c r="O3109" s="692">
        <f t="shared" si="405"/>
        <v>0</v>
      </c>
      <c r="P3109" s="690"/>
      <c r="Q3109" s="690"/>
      <c r="R3109" s="691">
        <f t="shared" si="406"/>
        <v>0</v>
      </c>
      <c r="S3109" s="692">
        <f t="shared" si="407"/>
        <v>0</v>
      </c>
      <c r="T3109" s="693">
        <f t="shared" si="408"/>
        <v>0</v>
      </c>
      <c r="U3109" s="1035"/>
      <c r="V3109" s="690"/>
      <c r="W3109" s="1025"/>
      <c r="X3109" s="1030"/>
      <c r="Y3109" s="694">
        <f t="shared" si="409"/>
        <v>0</v>
      </c>
      <c r="Z3109" s="690"/>
      <c r="AA3109" s="690"/>
      <c r="AB3109" s="695">
        <f t="shared" si="410"/>
        <v>0</v>
      </c>
      <c r="AC3109" s="1035"/>
      <c r="AD3109" s="690"/>
      <c r="AE3109" s="1025"/>
      <c r="AF3109" s="1030"/>
      <c r="AG3109" s="690"/>
      <c r="AH3109" s="690"/>
      <c r="AI3109" s="696">
        <f t="shared" si="411"/>
        <v>0</v>
      </c>
      <c r="AJ3109" s="697">
        <f t="shared" si="412"/>
        <v>0</v>
      </c>
    </row>
    <row r="3110" spans="1:36" s="700" customFormat="1" ht="12.75" customHeight="1">
      <c r="A3110" s="755" t="s">
        <v>207</v>
      </c>
      <c r="B3110" s="768" t="s">
        <v>379</v>
      </c>
      <c r="C3110" s="769" t="s">
        <v>377</v>
      </c>
      <c r="D3110" s="769"/>
      <c r="E3110" s="770"/>
      <c r="F3110" s="771"/>
      <c r="G3110" s="1025"/>
      <c r="H3110" s="690"/>
      <c r="I3110" s="1030"/>
      <c r="J3110" s="690"/>
      <c r="K3110" s="1030"/>
      <c r="L3110" s="690"/>
      <c r="M3110" s="1025"/>
      <c r="N3110" s="1030"/>
      <c r="O3110" s="692">
        <f t="shared" si="405"/>
        <v>0</v>
      </c>
      <c r="P3110" s="690"/>
      <c r="Q3110" s="690"/>
      <c r="R3110" s="691">
        <f t="shared" si="406"/>
        <v>0</v>
      </c>
      <c r="S3110" s="692">
        <f t="shared" si="407"/>
        <v>0</v>
      </c>
      <c r="T3110" s="693">
        <f t="shared" si="408"/>
        <v>0</v>
      </c>
      <c r="U3110" s="1035"/>
      <c r="V3110" s="690"/>
      <c r="W3110" s="1025"/>
      <c r="X3110" s="1030"/>
      <c r="Y3110" s="694">
        <f t="shared" si="409"/>
        <v>0</v>
      </c>
      <c r="Z3110" s="690"/>
      <c r="AA3110" s="690"/>
      <c r="AB3110" s="695">
        <f t="shared" si="410"/>
        <v>0</v>
      </c>
      <c r="AC3110" s="1035"/>
      <c r="AD3110" s="690"/>
      <c r="AE3110" s="1025"/>
      <c r="AF3110" s="1030"/>
      <c r="AG3110" s="690"/>
      <c r="AH3110" s="690"/>
      <c r="AI3110" s="696">
        <f t="shared" si="411"/>
        <v>0</v>
      </c>
      <c r="AJ3110" s="697">
        <f t="shared" si="412"/>
        <v>0</v>
      </c>
    </row>
    <row r="3111" spans="1:36" s="700" customFormat="1" ht="12.75" customHeight="1">
      <c r="A3111" s="755" t="s">
        <v>207</v>
      </c>
      <c r="B3111" s="768" t="s">
        <v>295</v>
      </c>
      <c r="C3111" s="769" t="s">
        <v>53</v>
      </c>
      <c r="D3111" s="769"/>
      <c r="E3111" s="770"/>
      <c r="F3111" s="771"/>
      <c r="G3111" s="1025"/>
      <c r="H3111" s="690"/>
      <c r="I3111" s="1030"/>
      <c r="J3111" s="690"/>
      <c r="K3111" s="1030"/>
      <c r="L3111" s="690"/>
      <c r="M3111" s="1025"/>
      <c r="N3111" s="1030"/>
      <c r="O3111" s="692">
        <f t="shared" si="405"/>
        <v>0</v>
      </c>
      <c r="P3111" s="690"/>
      <c r="Q3111" s="690"/>
      <c r="R3111" s="691">
        <f t="shared" si="406"/>
        <v>0</v>
      </c>
      <c r="S3111" s="692">
        <f t="shared" si="407"/>
        <v>0</v>
      </c>
      <c r="T3111" s="693">
        <f t="shared" si="408"/>
        <v>0</v>
      </c>
      <c r="U3111" s="1035"/>
      <c r="V3111" s="690"/>
      <c r="W3111" s="1025"/>
      <c r="X3111" s="1030"/>
      <c r="Y3111" s="694">
        <f t="shared" si="409"/>
        <v>0</v>
      </c>
      <c r="Z3111" s="690"/>
      <c r="AA3111" s="690"/>
      <c r="AB3111" s="695">
        <f t="shared" si="410"/>
        <v>0</v>
      </c>
      <c r="AC3111" s="1035"/>
      <c r="AD3111" s="690"/>
      <c r="AE3111" s="1025"/>
      <c r="AF3111" s="1030"/>
      <c r="AG3111" s="690"/>
      <c r="AH3111" s="690"/>
      <c r="AI3111" s="696">
        <f t="shared" si="411"/>
        <v>0</v>
      </c>
      <c r="AJ3111" s="697">
        <f t="shared" si="412"/>
        <v>0</v>
      </c>
    </row>
    <row r="3112" spans="1:36" s="700" customFormat="1" ht="12.75" customHeight="1">
      <c r="A3112" s="755" t="s">
        <v>207</v>
      </c>
      <c r="B3112" s="768" t="s">
        <v>296</v>
      </c>
      <c r="C3112" s="769" t="s">
        <v>443</v>
      </c>
      <c r="D3112" s="769"/>
      <c r="E3112" s="770"/>
      <c r="F3112" s="771"/>
      <c r="G3112" s="1025"/>
      <c r="H3112" s="690"/>
      <c r="I3112" s="1030"/>
      <c r="J3112" s="690"/>
      <c r="K3112" s="1030"/>
      <c r="L3112" s="690"/>
      <c r="M3112" s="1025"/>
      <c r="N3112" s="1030"/>
      <c r="O3112" s="692">
        <f t="shared" si="405"/>
        <v>0</v>
      </c>
      <c r="P3112" s="690"/>
      <c r="Q3112" s="690"/>
      <c r="R3112" s="691">
        <f t="shared" si="406"/>
        <v>0</v>
      </c>
      <c r="S3112" s="692">
        <f t="shared" si="407"/>
        <v>0</v>
      </c>
      <c r="T3112" s="693">
        <f t="shared" si="408"/>
        <v>0</v>
      </c>
      <c r="U3112" s="1035"/>
      <c r="V3112" s="690"/>
      <c r="W3112" s="1025"/>
      <c r="X3112" s="1030"/>
      <c r="Y3112" s="694">
        <f t="shared" si="409"/>
        <v>0</v>
      </c>
      <c r="Z3112" s="690"/>
      <c r="AA3112" s="690"/>
      <c r="AB3112" s="695">
        <f t="shared" si="410"/>
        <v>0</v>
      </c>
      <c r="AC3112" s="1035"/>
      <c r="AD3112" s="690"/>
      <c r="AE3112" s="1025"/>
      <c r="AF3112" s="1030"/>
      <c r="AG3112" s="690"/>
      <c r="AH3112" s="690"/>
      <c r="AI3112" s="696">
        <f t="shared" si="411"/>
        <v>0</v>
      </c>
      <c r="AJ3112" s="697">
        <f t="shared" si="412"/>
        <v>0</v>
      </c>
    </row>
    <row r="3113" spans="1:36" s="700" customFormat="1" ht="12.75" customHeight="1">
      <c r="A3113" s="755" t="s">
        <v>207</v>
      </c>
      <c r="B3113" s="768" t="s">
        <v>278</v>
      </c>
      <c r="C3113" s="769" t="s">
        <v>377</v>
      </c>
      <c r="D3113" s="769"/>
      <c r="E3113" s="770"/>
      <c r="F3113" s="771"/>
      <c r="G3113" s="1025"/>
      <c r="H3113" s="690"/>
      <c r="I3113" s="1030"/>
      <c r="J3113" s="690"/>
      <c r="K3113" s="1030"/>
      <c r="L3113" s="690"/>
      <c r="M3113" s="1025"/>
      <c r="N3113" s="1030"/>
      <c r="O3113" s="692">
        <f t="shared" si="405"/>
        <v>0</v>
      </c>
      <c r="P3113" s="690"/>
      <c r="Q3113" s="690"/>
      <c r="R3113" s="691">
        <f t="shared" si="406"/>
        <v>0</v>
      </c>
      <c r="S3113" s="692">
        <f t="shared" si="407"/>
        <v>0</v>
      </c>
      <c r="T3113" s="693">
        <f t="shared" si="408"/>
        <v>0</v>
      </c>
      <c r="U3113" s="1035"/>
      <c r="V3113" s="690"/>
      <c r="W3113" s="1025"/>
      <c r="X3113" s="1030"/>
      <c r="Y3113" s="694">
        <f t="shared" si="409"/>
        <v>0</v>
      </c>
      <c r="Z3113" s="690"/>
      <c r="AA3113" s="690"/>
      <c r="AB3113" s="695">
        <f t="shared" si="410"/>
        <v>0</v>
      </c>
      <c r="AC3113" s="1035"/>
      <c r="AD3113" s="690"/>
      <c r="AE3113" s="1025"/>
      <c r="AF3113" s="1030"/>
      <c r="AG3113" s="690"/>
      <c r="AH3113" s="690"/>
      <c r="AI3113" s="696">
        <f t="shared" si="411"/>
        <v>0</v>
      </c>
      <c r="AJ3113" s="697">
        <f t="shared" si="412"/>
        <v>0</v>
      </c>
    </row>
    <row r="3114" spans="1:36" s="700" customFormat="1" ht="12.75" customHeight="1">
      <c r="A3114" s="755" t="s">
        <v>207</v>
      </c>
      <c r="B3114" s="768" t="s">
        <v>279</v>
      </c>
      <c r="C3114" s="769" t="s">
        <v>54</v>
      </c>
      <c r="D3114" s="769"/>
      <c r="E3114" s="770"/>
      <c r="F3114" s="771"/>
      <c r="G3114" s="1025"/>
      <c r="H3114" s="690"/>
      <c r="I3114" s="1030"/>
      <c r="J3114" s="690"/>
      <c r="K3114" s="1030"/>
      <c r="L3114" s="690"/>
      <c r="M3114" s="1025"/>
      <c r="N3114" s="1030"/>
      <c r="O3114" s="692">
        <f t="shared" si="405"/>
        <v>0</v>
      </c>
      <c r="P3114" s="690"/>
      <c r="Q3114" s="690"/>
      <c r="R3114" s="691">
        <f t="shared" si="406"/>
        <v>0</v>
      </c>
      <c r="S3114" s="692">
        <f t="shared" si="407"/>
        <v>0</v>
      </c>
      <c r="T3114" s="693">
        <f t="shared" si="408"/>
        <v>0</v>
      </c>
      <c r="U3114" s="1035"/>
      <c r="V3114" s="690"/>
      <c r="W3114" s="1025"/>
      <c r="X3114" s="1030"/>
      <c r="Y3114" s="694">
        <f t="shared" si="409"/>
        <v>0</v>
      </c>
      <c r="Z3114" s="690"/>
      <c r="AA3114" s="690"/>
      <c r="AB3114" s="695">
        <f t="shared" si="410"/>
        <v>0</v>
      </c>
      <c r="AC3114" s="1035"/>
      <c r="AD3114" s="690"/>
      <c r="AE3114" s="1025"/>
      <c r="AF3114" s="1030"/>
      <c r="AG3114" s="690"/>
      <c r="AH3114" s="690"/>
      <c r="AI3114" s="696">
        <f t="shared" si="411"/>
        <v>0</v>
      </c>
      <c r="AJ3114" s="697">
        <f t="shared" si="412"/>
        <v>0</v>
      </c>
    </row>
    <row r="3115" spans="1:36" s="700" customFormat="1" ht="12.75" customHeight="1">
      <c r="A3115" s="755" t="s">
        <v>207</v>
      </c>
      <c r="B3115" s="768" t="s">
        <v>317</v>
      </c>
      <c r="C3115" s="769" t="s">
        <v>443</v>
      </c>
      <c r="D3115" s="769"/>
      <c r="E3115" s="770"/>
      <c r="F3115" s="771"/>
      <c r="G3115" s="1025"/>
      <c r="H3115" s="690"/>
      <c r="I3115" s="1030"/>
      <c r="J3115" s="690"/>
      <c r="K3115" s="1030"/>
      <c r="L3115" s="690"/>
      <c r="M3115" s="1025"/>
      <c r="N3115" s="1030"/>
      <c r="O3115" s="692">
        <f t="shared" si="405"/>
        <v>0</v>
      </c>
      <c r="P3115" s="690"/>
      <c r="Q3115" s="690"/>
      <c r="R3115" s="691">
        <f t="shared" si="406"/>
        <v>0</v>
      </c>
      <c r="S3115" s="692">
        <f t="shared" si="407"/>
        <v>0</v>
      </c>
      <c r="T3115" s="693">
        <f t="shared" si="408"/>
        <v>0</v>
      </c>
      <c r="U3115" s="1035"/>
      <c r="V3115" s="690"/>
      <c r="W3115" s="1025"/>
      <c r="X3115" s="1030"/>
      <c r="Y3115" s="694">
        <f t="shared" si="409"/>
        <v>0</v>
      </c>
      <c r="Z3115" s="690"/>
      <c r="AA3115" s="690"/>
      <c r="AB3115" s="695">
        <f t="shared" si="410"/>
        <v>0</v>
      </c>
      <c r="AC3115" s="1035"/>
      <c r="AD3115" s="690"/>
      <c r="AE3115" s="1025"/>
      <c r="AF3115" s="1030"/>
      <c r="AG3115" s="690"/>
      <c r="AH3115" s="690"/>
      <c r="AI3115" s="696">
        <f t="shared" si="411"/>
        <v>0</v>
      </c>
      <c r="AJ3115" s="697">
        <f t="shared" si="412"/>
        <v>0</v>
      </c>
    </row>
    <row r="3116" spans="1:36" s="700" customFormat="1" ht="12.75" customHeight="1">
      <c r="A3116" s="755" t="s">
        <v>207</v>
      </c>
      <c r="B3116" s="768" t="s">
        <v>318</v>
      </c>
      <c r="C3116" s="769" t="s">
        <v>377</v>
      </c>
      <c r="D3116" s="769"/>
      <c r="E3116" s="770"/>
      <c r="F3116" s="771"/>
      <c r="G3116" s="1025"/>
      <c r="H3116" s="690"/>
      <c r="I3116" s="1030"/>
      <c r="J3116" s="690"/>
      <c r="K3116" s="1030"/>
      <c r="L3116" s="690"/>
      <c r="M3116" s="1025"/>
      <c r="N3116" s="1030"/>
      <c r="O3116" s="692">
        <f t="shared" si="405"/>
        <v>0</v>
      </c>
      <c r="P3116" s="690"/>
      <c r="Q3116" s="690"/>
      <c r="R3116" s="691">
        <f t="shared" si="406"/>
        <v>0</v>
      </c>
      <c r="S3116" s="692">
        <f t="shared" si="407"/>
        <v>0</v>
      </c>
      <c r="T3116" s="693">
        <f t="shared" si="408"/>
        <v>0</v>
      </c>
      <c r="U3116" s="1035"/>
      <c r="V3116" s="690"/>
      <c r="W3116" s="1025"/>
      <c r="X3116" s="1030"/>
      <c r="Y3116" s="694">
        <f t="shared" si="409"/>
        <v>0</v>
      </c>
      <c r="Z3116" s="690"/>
      <c r="AA3116" s="690"/>
      <c r="AB3116" s="695">
        <f t="shared" si="410"/>
        <v>0</v>
      </c>
      <c r="AC3116" s="1035"/>
      <c r="AD3116" s="690"/>
      <c r="AE3116" s="1025"/>
      <c r="AF3116" s="1030"/>
      <c r="AG3116" s="690"/>
      <c r="AH3116" s="690"/>
      <c r="AI3116" s="696">
        <f t="shared" si="411"/>
        <v>0</v>
      </c>
      <c r="AJ3116" s="697">
        <f t="shared" si="412"/>
        <v>0</v>
      </c>
    </row>
    <row r="3117" spans="1:36" s="700" customFormat="1" ht="12.75" customHeight="1">
      <c r="A3117" s="755" t="s">
        <v>207</v>
      </c>
      <c r="B3117" s="755" t="s">
        <v>420</v>
      </c>
      <c r="C3117" s="986" t="s">
        <v>1766</v>
      </c>
      <c r="D3117" s="986"/>
      <c r="E3117" s="770"/>
      <c r="F3117" s="771"/>
      <c r="G3117" s="1025"/>
      <c r="H3117" s="690"/>
      <c r="I3117" s="1030"/>
      <c r="J3117" s="690"/>
      <c r="K3117" s="1030"/>
      <c r="L3117" s="690"/>
      <c r="M3117" s="1025"/>
      <c r="N3117" s="1030"/>
      <c r="O3117" s="692">
        <f t="shared" si="405"/>
        <v>0</v>
      </c>
      <c r="P3117" s="690"/>
      <c r="Q3117" s="690"/>
      <c r="R3117" s="691">
        <f t="shared" si="406"/>
        <v>0</v>
      </c>
      <c r="S3117" s="692">
        <f t="shared" si="407"/>
        <v>0</v>
      </c>
      <c r="T3117" s="693">
        <f t="shared" si="408"/>
        <v>0</v>
      </c>
      <c r="U3117" s="1035">
        <v>45633</v>
      </c>
      <c r="V3117" s="690">
        <v>45633</v>
      </c>
      <c r="W3117" s="1025"/>
      <c r="X3117" s="1030"/>
      <c r="Y3117" s="694">
        <f t="shared" si="409"/>
        <v>0</v>
      </c>
      <c r="Z3117" s="690"/>
      <c r="AA3117" s="690"/>
      <c r="AB3117" s="695">
        <f t="shared" si="410"/>
        <v>0</v>
      </c>
      <c r="AC3117" s="1035"/>
      <c r="AD3117" s="690"/>
      <c r="AE3117" s="1025"/>
      <c r="AF3117" s="1030"/>
      <c r="AG3117" s="690"/>
      <c r="AH3117" s="690"/>
      <c r="AI3117" s="696">
        <f t="shared" si="411"/>
        <v>45633</v>
      </c>
      <c r="AJ3117" s="697">
        <f t="shared" si="412"/>
        <v>45633</v>
      </c>
    </row>
    <row r="3118" spans="1:36" s="700" customFormat="1" ht="12.75" customHeight="1">
      <c r="A3118" s="755" t="s">
        <v>207</v>
      </c>
      <c r="B3118" s="768" t="s">
        <v>442</v>
      </c>
      <c r="C3118" s="769" t="s">
        <v>443</v>
      </c>
      <c r="D3118" s="769"/>
      <c r="E3118" s="770"/>
      <c r="F3118" s="771"/>
      <c r="G3118" s="1025"/>
      <c r="H3118" s="690"/>
      <c r="I3118" s="1030"/>
      <c r="J3118" s="690"/>
      <c r="K3118" s="1030"/>
      <c r="L3118" s="690"/>
      <c r="M3118" s="1025"/>
      <c r="N3118" s="1030"/>
      <c r="O3118" s="692">
        <f t="shared" si="405"/>
        <v>0</v>
      </c>
      <c r="P3118" s="690"/>
      <c r="Q3118" s="690"/>
      <c r="R3118" s="691">
        <f t="shared" si="406"/>
        <v>0</v>
      </c>
      <c r="S3118" s="692">
        <f t="shared" si="407"/>
        <v>0</v>
      </c>
      <c r="T3118" s="693">
        <f t="shared" si="408"/>
        <v>0</v>
      </c>
      <c r="U3118" s="1035"/>
      <c r="V3118" s="690"/>
      <c r="W3118" s="1025"/>
      <c r="X3118" s="1030"/>
      <c r="Y3118" s="694">
        <f t="shared" si="409"/>
        <v>0</v>
      </c>
      <c r="Z3118" s="690"/>
      <c r="AA3118" s="690"/>
      <c r="AB3118" s="695">
        <f t="shared" si="410"/>
        <v>0</v>
      </c>
      <c r="AC3118" s="1035"/>
      <c r="AD3118" s="690"/>
      <c r="AE3118" s="1025"/>
      <c r="AF3118" s="1030"/>
      <c r="AG3118" s="690"/>
      <c r="AH3118" s="690"/>
      <c r="AI3118" s="696">
        <f t="shared" si="411"/>
        <v>0</v>
      </c>
      <c r="AJ3118" s="697">
        <f t="shared" si="412"/>
        <v>0</v>
      </c>
    </row>
    <row r="3119" spans="1:36" s="700" customFormat="1" ht="12.75" customHeight="1">
      <c r="A3119" s="755" t="s">
        <v>207</v>
      </c>
      <c r="B3119" s="768" t="s">
        <v>379</v>
      </c>
      <c r="C3119" s="769" t="s">
        <v>377</v>
      </c>
      <c r="D3119" s="769"/>
      <c r="E3119" s="770"/>
      <c r="F3119" s="771"/>
      <c r="G3119" s="1025"/>
      <c r="H3119" s="690"/>
      <c r="I3119" s="1030"/>
      <c r="J3119" s="690"/>
      <c r="K3119" s="1030"/>
      <c r="L3119" s="690"/>
      <c r="M3119" s="1025"/>
      <c r="N3119" s="1030"/>
      <c r="O3119" s="692">
        <f t="shared" si="405"/>
        <v>0</v>
      </c>
      <c r="P3119" s="690"/>
      <c r="Q3119" s="690"/>
      <c r="R3119" s="691">
        <f t="shared" si="406"/>
        <v>0</v>
      </c>
      <c r="S3119" s="692">
        <f t="shared" si="407"/>
        <v>0</v>
      </c>
      <c r="T3119" s="693">
        <f t="shared" si="408"/>
        <v>0</v>
      </c>
      <c r="U3119" s="1035"/>
      <c r="V3119" s="690"/>
      <c r="W3119" s="1025"/>
      <c r="X3119" s="1030"/>
      <c r="Y3119" s="694">
        <f t="shared" si="409"/>
        <v>0</v>
      </c>
      <c r="Z3119" s="690"/>
      <c r="AA3119" s="690"/>
      <c r="AB3119" s="695">
        <f t="shared" si="410"/>
        <v>0</v>
      </c>
      <c r="AC3119" s="1035"/>
      <c r="AD3119" s="690"/>
      <c r="AE3119" s="1025"/>
      <c r="AF3119" s="1030"/>
      <c r="AG3119" s="690"/>
      <c r="AH3119" s="690"/>
      <c r="AI3119" s="696">
        <f t="shared" si="411"/>
        <v>0</v>
      </c>
      <c r="AJ3119" s="697">
        <f t="shared" si="412"/>
        <v>0</v>
      </c>
    </row>
    <row r="3120" spans="1:36" s="700" customFormat="1" ht="12.75" customHeight="1">
      <c r="A3120" s="755" t="s">
        <v>207</v>
      </c>
      <c r="B3120" s="768" t="s">
        <v>295</v>
      </c>
      <c r="C3120" s="769" t="s">
        <v>53</v>
      </c>
      <c r="D3120" s="769"/>
      <c r="E3120" s="770"/>
      <c r="F3120" s="771"/>
      <c r="G3120" s="1025"/>
      <c r="H3120" s="690"/>
      <c r="I3120" s="1030"/>
      <c r="J3120" s="690"/>
      <c r="K3120" s="1030"/>
      <c r="L3120" s="690"/>
      <c r="M3120" s="1025"/>
      <c r="N3120" s="1030"/>
      <c r="O3120" s="692">
        <f t="shared" si="405"/>
        <v>0</v>
      </c>
      <c r="P3120" s="690"/>
      <c r="Q3120" s="690"/>
      <c r="R3120" s="691">
        <f t="shared" si="406"/>
        <v>0</v>
      </c>
      <c r="S3120" s="692">
        <f t="shared" si="407"/>
        <v>0</v>
      </c>
      <c r="T3120" s="693">
        <f t="shared" si="408"/>
        <v>0</v>
      </c>
      <c r="U3120" s="1035"/>
      <c r="V3120" s="690"/>
      <c r="W3120" s="1025"/>
      <c r="X3120" s="1030"/>
      <c r="Y3120" s="694">
        <f t="shared" si="409"/>
        <v>0</v>
      </c>
      <c r="Z3120" s="690"/>
      <c r="AA3120" s="690"/>
      <c r="AB3120" s="695">
        <f t="shared" si="410"/>
        <v>0</v>
      </c>
      <c r="AC3120" s="1035"/>
      <c r="AD3120" s="690"/>
      <c r="AE3120" s="1025"/>
      <c r="AF3120" s="1030"/>
      <c r="AG3120" s="690"/>
      <c r="AH3120" s="690"/>
      <c r="AI3120" s="696">
        <f t="shared" si="411"/>
        <v>0</v>
      </c>
      <c r="AJ3120" s="697">
        <f t="shared" si="412"/>
        <v>0</v>
      </c>
    </row>
    <row r="3121" spans="1:36" s="700" customFormat="1" ht="12.75" customHeight="1">
      <c r="A3121" s="755" t="s">
        <v>207</v>
      </c>
      <c r="B3121" s="768" t="s">
        <v>296</v>
      </c>
      <c r="C3121" s="769" t="s">
        <v>443</v>
      </c>
      <c r="D3121" s="769"/>
      <c r="E3121" s="770"/>
      <c r="F3121" s="771"/>
      <c r="G3121" s="1025"/>
      <c r="H3121" s="690"/>
      <c r="I3121" s="1030"/>
      <c r="J3121" s="690"/>
      <c r="K3121" s="1030"/>
      <c r="L3121" s="690"/>
      <c r="M3121" s="1025"/>
      <c r="N3121" s="1030"/>
      <c r="O3121" s="692">
        <f t="shared" si="405"/>
        <v>0</v>
      </c>
      <c r="P3121" s="690"/>
      <c r="Q3121" s="690"/>
      <c r="R3121" s="691">
        <f t="shared" si="406"/>
        <v>0</v>
      </c>
      <c r="S3121" s="692">
        <f t="shared" si="407"/>
        <v>0</v>
      </c>
      <c r="T3121" s="693">
        <f t="shared" si="408"/>
        <v>0</v>
      </c>
      <c r="U3121" s="1035"/>
      <c r="V3121" s="690"/>
      <c r="W3121" s="1025"/>
      <c r="X3121" s="1030"/>
      <c r="Y3121" s="694">
        <f t="shared" si="409"/>
        <v>0</v>
      </c>
      <c r="Z3121" s="690"/>
      <c r="AA3121" s="690"/>
      <c r="AB3121" s="695">
        <f t="shared" si="410"/>
        <v>0</v>
      </c>
      <c r="AC3121" s="1035"/>
      <c r="AD3121" s="690"/>
      <c r="AE3121" s="1025"/>
      <c r="AF3121" s="1030"/>
      <c r="AG3121" s="690"/>
      <c r="AH3121" s="690"/>
      <c r="AI3121" s="696">
        <f t="shared" si="411"/>
        <v>0</v>
      </c>
      <c r="AJ3121" s="697">
        <f t="shared" si="412"/>
        <v>0</v>
      </c>
    </row>
    <row r="3122" spans="1:36" s="700" customFormat="1" ht="12.75" customHeight="1">
      <c r="A3122" s="755" t="s">
        <v>207</v>
      </c>
      <c r="B3122" s="768" t="s">
        <v>278</v>
      </c>
      <c r="C3122" s="769" t="s">
        <v>377</v>
      </c>
      <c r="D3122" s="769"/>
      <c r="E3122" s="770"/>
      <c r="F3122" s="771"/>
      <c r="G3122" s="1025"/>
      <c r="H3122" s="690"/>
      <c r="I3122" s="1030"/>
      <c r="J3122" s="690"/>
      <c r="K3122" s="1030"/>
      <c r="L3122" s="690"/>
      <c r="M3122" s="1025"/>
      <c r="N3122" s="1030"/>
      <c r="O3122" s="692">
        <f t="shared" si="405"/>
        <v>0</v>
      </c>
      <c r="P3122" s="690"/>
      <c r="Q3122" s="690"/>
      <c r="R3122" s="691">
        <f t="shared" si="406"/>
        <v>0</v>
      </c>
      <c r="S3122" s="692">
        <f t="shared" si="407"/>
        <v>0</v>
      </c>
      <c r="T3122" s="693">
        <f t="shared" si="408"/>
        <v>0</v>
      </c>
      <c r="U3122" s="1035"/>
      <c r="V3122" s="690"/>
      <c r="W3122" s="1025"/>
      <c r="X3122" s="1030"/>
      <c r="Y3122" s="694">
        <f t="shared" si="409"/>
        <v>0</v>
      </c>
      <c r="Z3122" s="690"/>
      <c r="AA3122" s="690"/>
      <c r="AB3122" s="695">
        <f t="shared" si="410"/>
        <v>0</v>
      </c>
      <c r="AC3122" s="1035"/>
      <c r="AD3122" s="690"/>
      <c r="AE3122" s="1025"/>
      <c r="AF3122" s="1030"/>
      <c r="AG3122" s="690"/>
      <c r="AH3122" s="690"/>
      <c r="AI3122" s="696">
        <f t="shared" si="411"/>
        <v>0</v>
      </c>
      <c r="AJ3122" s="697">
        <f t="shared" si="412"/>
        <v>0</v>
      </c>
    </row>
    <row r="3123" spans="1:36" s="700" customFormat="1" ht="12.75" customHeight="1">
      <c r="A3123" s="755" t="s">
        <v>207</v>
      </c>
      <c r="B3123" s="768" t="s">
        <v>279</v>
      </c>
      <c r="C3123" s="769" t="s">
        <v>54</v>
      </c>
      <c r="D3123" s="769"/>
      <c r="E3123" s="770"/>
      <c r="F3123" s="771"/>
      <c r="G3123" s="1025"/>
      <c r="H3123" s="690"/>
      <c r="I3123" s="1030"/>
      <c r="J3123" s="690"/>
      <c r="K3123" s="1030"/>
      <c r="L3123" s="690"/>
      <c r="M3123" s="1025"/>
      <c r="N3123" s="1030"/>
      <c r="O3123" s="692">
        <f t="shared" si="405"/>
        <v>0</v>
      </c>
      <c r="P3123" s="690"/>
      <c r="Q3123" s="690"/>
      <c r="R3123" s="691">
        <f t="shared" si="406"/>
        <v>0</v>
      </c>
      <c r="S3123" s="692">
        <f t="shared" si="407"/>
        <v>0</v>
      </c>
      <c r="T3123" s="693">
        <f t="shared" si="408"/>
        <v>0</v>
      </c>
      <c r="U3123" s="1035"/>
      <c r="V3123" s="690"/>
      <c r="W3123" s="1025"/>
      <c r="X3123" s="1030"/>
      <c r="Y3123" s="694">
        <f t="shared" si="409"/>
        <v>0</v>
      </c>
      <c r="Z3123" s="690"/>
      <c r="AA3123" s="690"/>
      <c r="AB3123" s="695">
        <f t="shared" si="410"/>
        <v>0</v>
      </c>
      <c r="AC3123" s="1035"/>
      <c r="AD3123" s="690"/>
      <c r="AE3123" s="1025"/>
      <c r="AF3123" s="1030"/>
      <c r="AG3123" s="690"/>
      <c r="AH3123" s="690"/>
      <c r="AI3123" s="696">
        <f t="shared" si="411"/>
        <v>0</v>
      </c>
      <c r="AJ3123" s="697">
        <f t="shared" si="412"/>
        <v>0</v>
      </c>
    </row>
    <row r="3124" spans="1:36" s="700" customFormat="1" ht="12.75" customHeight="1">
      <c r="A3124" s="755" t="s">
        <v>207</v>
      </c>
      <c r="B3124" s="768" t="s">
        <v>317</v>
      </c>
      <c r="C3124" s="769" t="s">
        <v>443</v>
      </c>
      <c r="D3124" s="769"/>
      <c r="E3124" s="770"/>
      <c r="F3124" s="771"/>
      <c r="G3124" s="1025"/>
      <c r="H3124" s="690"/>
      <c r="I3124" s="1030"/>
      <c r="J3124" s="690"/>
      <c r="K3124" s="1030"/>
      <c r="L3124" s="690"/>
      <c r="M3124" s="1025"/>
      <c r="N3124" s="1030"/>
      <c r="O3124" s="692">
        <f t="shared" si="405"/>
        <v>0</v>
      </c>
      <c r="P3124" s="690"/>
      <c r="Q3124" s="690"/>
      <c r="R3124" s="691">
        <f t="shared" si="406"/>
        <v>0</v>
      </c>
      <c r="S3124" s="692">
        <f t="shared" si="407"/>
        <v>0</v>
      </c>
      <c r="T3124" s="693">
        <f t="shared" si="408"/>
        <v>0</v>
      </c>
      <c r="U3124" s="1035"/>
      <c r="V3124" s="690"/>
      <c r="W3124" s="1025"/>
      <c r="X3124" s="1030"/>
      <c r="Y3124" s="694">
        <f t="shared" si="409"/>
        <v>0</v>
      </c>
      <c r="Z3124" s="690"/>
      <c r="AA3124" s="690"/>
      <c r="AB3124" s="695">
        <f t="shared" si="410"/>
        <v>0</v>
      </c>
      <c r="AC3124" s="1035"/>
      <c r="AD3124" s="690"/>
      <c r="AE3124" s="1025"/>
      <c r="AF3124" s="1030"/>
      <c r="AG3124" s="690"/>
      <c r="AH3124" s="690"/>
      <c r="AI3124" s="696">
        <f t="shared" si="411"/>
        <v>0</v>
      </c>
      <c r="AJ3124" s="697">
        <f t="shared" si="412"/>
        <v>0</v>
      </c>
    </row>
    <row r="3125" spans="1:36" s="700" customFormat="1" ht="12.75" customHeight="1">
      <c r="A3125" s="755" t="s">
        <v>207</v>
      </c>
      <c r="B3125" s="768" t="s">
        <v>318</v>
      </c>
      <c r="C3125" s="769" t="s">
        <v>377</v>
      </c>
      <c r="D3125" s="769"/>
      <c r="E3125" s="770"/>
      <c r="F3125" s="771"/>
      <c r="G3125" s="1025"/>
      <c r="H3125" s="690"/>
      <c r="I3125" s="1030"/>
      <c r="J3125" s="690"/>
      <c r="K3125" s="1030"/>
      <c r="L3125" s="690"/>
      <c r="M3125" s="1025"/>
      <c r="N3125" s="1030"/>
      <c r="O3125" s="692">
        <f t="shared" si="405"/>
        <v>0</v>
      </c>
      <c r="P3125" s="690"/>
      <c r="Q3125" s="690"/>
      <c r="R3125" s="691">
        <f t="shared" si="406"/>
        <v>0</v>
      </c>
      <c r="S3125" s="692">
        <f t="shared" si="407"/>
        <v>0</v>
      </c>
      <c r="T3125" s="693">
        <f t="shared" si="408"/>
        <v>0</v>
      </c>
      <c r="U3125" s="1035"/>
      <c r="V3125" s="690"/>
      <c r="W3125" s="1025"/>
      <c r="X3125" s="1030"/>
      <c r="Y3125" s="694">
        <f t="shared" si="409"/>
        <v>0</v>
      </c>
      <c r="Z3125" s="690"/>
      <c r="AA3125" s="690"/>
      <c r="AB3125" s="695">
        <f t="shared" si="410"/>
        <v>0</v>
      </c>
      <c r="AC3125" s="1035"/>
      <c r="AD3125" s="690"/>
      <c r="AE3125" s="1025"/>
      <c r="AF3125" s="1030"/>
      <c r="AG3125" s="690"/>
      <c r="AH3125" s="690"/>
      <c r="AI3125" s="696">
        <f t="shared" si="411"/>
        <v>0</v>
      </c>
      <c r="AJ3125" s="697">
        <f t="shared" si="412"/>
        <v>0</v>
      </c>
    </row>
    <row r="3126" spans="1:36" s="700" customFormat="1" ht="12.75" customHeight="1">
      <c r="A3126" s="755" t="s">
        <v>207</v>
      </c>
      <c r="B3126" s="755" t="s">
        <v>420</v>
      </c>
      <c r="C3126" s="986" t="s">
        <v>1767</v>
      </c>
      <c r="D3126" s="986"/>
      <c r="E3126" s="770"/>
      <c r="F3126" s="771"/>
      <c r="G3126" s="1025"/>
      <c r="H3126" s="690"/>
      <c r="I3126" s="1030"/>
      <c r="J3126" s="690"/>
      <c r="K3126" s="1030"/>
      <c r="L3126" s="690"/>
      <c r="M3126" s="1025"/>
      <c r="N3126" s="1030"/>
      <c r="O3126" s="692">
        <f t="shared" si="405"/>
        <v>0</v>
      </c>
      <c r="P3126" s="690"/>
      <c r="Q3126" s="690"/>
      <c r="R3126" s="691">
        <f t="shared" si="406"/>
        <v>0</v>
      </c>
      <c r="S3126" s="692">
        <f t="shared" si="407"/>
        <v>0</v>
      </c>
      <c r="T3126" s="693">
        <f t="shared" si="408"/>
        <v>0</v>
      </c>
      <c r="U3126" s="1035">
        <v>197813</v>
      </c>
      <c r="V3126" s="690">
        <v>197813</v>
      </c>
      <c r="W3126" s="1025"/>
      <c r="X3126" s="1030"/>
      <c r="Y3126" s="694">
        <f t="shared" si="409"/>
        <v>0</v>
      </c>
      <c r="Z3126" s="690"/>
      <c r="AA3126" s="690"/>
      <c r="AB3126" s="695">
        <f t="shared" si="410"/>
        <v>0</v>
      </c>
      <c r="AC3126" s="1035"/>
      <c r="AD3126" s="690"/>
      <c r="AE3126" s="1025"/>
      <c r="AF3126" s="1030"/>
      <c r="AG3126" s="690"/>
      <c r="AH3126" s="690"/>
      <c r="AI3126" s="696">
        <f t="shared" si="411"/>
        <v>197813</v>
      </c>
      <c r="AJ3126" s="697">
        <f t="shared" si="412"/>
        <v>197813</v>
      </c>
    </row>
    <row r="3127" spans="1:36" s="700" customFormat="1" ht="12.75" customHeight="1">
      <c r="A3127" s="755" t="s">
        <v>207</v>
      </c>
      <c r="B3127" s="768" t="s">
        <v>442</v>
      </c>
      <c r="C3127" s="769" t="s">
        <v>443</v>
      </c>
      <c r="D3127" s="769"/>
      <c r="E3127" s="770"/>
      <c r="F3127" s="771"/>
      <c r="G3127" s="1025"/>
      <c r="H3127" s="690"/>
      <c r="I3127" s="1030"/>
      <c r="J3127" s="690"/>
      <c r="K3127" s="1030"/>
      <c r="L3127" s="690"/>
      <c r="M3127" s="1025"/>
      <c r="N3127" s="1030"/>
      <c r="O3127" s="692">
        <f t="shared" si="405"/>
        <v>0</v>
      </c>
      <c r="P3127" s="690"/>
      <c r="Q3127" s="690"/>
      <c r="R3127" s="691">
        <f t="shared" si="406"/>
        <v>0</v>
      </c>
      <c r="S3127" s="692">
        <f t="shared" si="407"/>
        <v>0</v>
      </c>
      <c r="T3127" s="693">
        <f t="shared" si="408"/>
        <v>0</v>
      </c>
      <c r="U3127" s="1035"/>
      <c r="V3127" s="690"/>
      <c r="W3127" s="1025"/>
      <c r="X3127" s="1030"/>
      <c r="Y3127" s="694">
        <f t="shared" si="409"/>
        <v>0</v>
      </c>
      <c r="Z3127" s="690"/>
      <c r="AA3127" s="690"/>
      <c r="AB3127" s="695">
        <f t="shared" si="410"/>
        <v>0</v>
      </c>
      <c r="AC3127" s="1035"/>
      <c r="AD3127" s="690"/>
      <c r="AE3127" s="1025"/>
      <c r="AF3127" s="1030"/>
      <c r="AG3127" s="690"/>
      <c r="AH3127" s="690"/>
      <c r="AI3127" s="696">
        <f t="shared" si="411"/>
        <v>0</v>
      </c>
      <c r="AJ3127" s="697">
        <f t="shared" si="412"/>
        <v>0</v>
      </c>
    </row>
    <row r="3128" spans="1:36" s="700" customFormat="1" ht="12.75" customHeight="1">
      <c r="A3128" s="755" t="s">
        <v>207</v>
      </c>
      <c r="B3128" s="768" t="s">
        <v>379</v>
      </c>
      <c r="C3128" s="769" t="s">
        <v>377</v>
      </c>
      <c r="D3128" s="769"/>
      <c r="E3128" s="770"/>
      <c r="F3128" s="771"/>
      <c r="G3128" s="1025"/>
      <c r="H3128" s="690"/>
      <c r="I3128" s="1030"/>
      <c r="J3128" s="690"/>
      <c r="K3128" s="1030"/>
      <c r="L3128" s="690"/>
      <c r="M3128" s="1025"/>
      <c r="N3128" s="1030"/>
      <c r="O3128" s="692">
        <f t="shared" si="405"/>
        <v>0</v>
      </c>
      <c r="P3128" s="690"/>
      <c r="Q3128" s="690"/>
      <c r="R3128" s="691">
        <f t="shared" si="406"/>
        <v>0</v>
      </c>
      <c r="S3128" s="692">
        <f t="shared" si="407"/>
        <v>0</v>
      </c>
      <c r="T3128" s="693">
        <f t="shared" si="408"/>
        <v>0</v>
      </c>
      <c r="U3128" s="1035"/>
      <c r="V3128" s="690"/>
      <c r="W3128" s="1025"/>
      <c r="X3128" s="1030"/>
      <c r="Y3128" s="694">
        <f t="shared" si="409"/>
        <v>0</v>
      </c>
      <c r="Z3128" s="690"/>
      <c r="AA3128" s="690"/>
      <c r="AB3128" s="695">
        <f t="shared" si="410"/>
        <v>0</v>
      </c>
      <c r="AC3128" s="1035"/>
      <c r="AD3128" s="690"/>
      <c r="AE3128" s="1025"/>
      <c r="AF3128" s="1030"/>
      <c r="AG3128" s="690"/>
      <c r="AH3128" s="690"/>
      <c r="AI3128" s="696">
        <f t="shared" si="411"/>
        <v>0</v>
      </c>
      <c r="AJ3128" s="697">
        <f t="shared" si="412"/>
        <v>0</v>
      </c>
    </row>
    <row r="3129" spans="1:36" s="700" customFormat="1" ht="12.75" customHeight="1">
      <c r="A3129" s="755" t="s">
        <v>207</v>
      </c>
      <c r="B3129" s="768" t="s">
        <v>295</v>
      </c>
      <c r="C3129" s="769" t="s">
        <v>53</v>
      </c>
      <c r="D3129" s="769"/>
      <c r="E3129" s="770"/>
      <c r="F3129" s="771"/>
      <c r="G3129" s="1025"/>
      <c r="H3129" s="690"/>
      <c r="I3129" s="1030"/>
      <c r="J3129" s="690"/>
      <c r="K3129" s="1030"/>
      <c r="L3129" s="690"/>
      <c r="M3129" s="1025"/>
      <c r="N3129" s="1030"/>
      <c r="O3129" s="692">
        <f t="shared" si="405"/>
        <v>0</v>
      </c>
      <c r="P3129" s="690"/>
      <c r="Q3129" s="690"/>
      <c r="R3129" s="691">
        <f t="shared" si="406"/>
        <v>0</v>
      </c>
      <c r="S3129" s="692">
        <f t="shared" si="407"/>
        <v>0</v>
      </c>
      <c r="T3129" s="693">
        <f t="shared" si="408"/>
        <v>0</v>
      </c>
      <c r="U3129" s="1035"/>
      <c r="V3129" s="690"/>
      <c r="W3129" s="1025"/>
      <c r="X3129" s="1030"/>
      <c r="Y3129" s="694">
        <f t="shared" si="409"/>
        <v>0</v>
      </c>
      <c r="Z3129" s="690"/>
      <c r="AA3129" s="690"/>
      <c r="AB3129" s="695">
        <f t="shared" si="410"/>
        <v>0</v>
      </c>
      <c r="AC3129" s="1035"/>
      <c r="AD3129" s="690"/>
      <c r="AE3129" s="1025"/>
      <c r="AF3129" s="1030"/>
      <c r="AG3129" s="690"/>
      <c r="AH3129" s="690"/>
      <c r="AI3129" s="696">
        <f t="shared" si="411"/>
        <v>0</v>
      </c>
      <c r="AJ3129" s="697">
        <f t="shared" si="412"/>
        <v>0</v>
      </c>
    </row>
    <row r="3130" spans="1:36" s="700" customFormat="1" ht="12.75" customHeight="1">
      <c r="A3130" s="755" t="s">
        <v>207</v>
      </c>
      <c r="B3130" s="768" t="s">
        <v>296</v>
      </c>
      <c r="C3130" s="769" t="s">
        <v>443</v>
      </c>
      <c r="D3130" s="769"/>
      <c r="E3130" s="770"/>
      <c r="F3130" s="771"/>
      <c r="G3130" s="1025"/>
      <c r="H3130" s="690"/>
      <c r="I3130" s="1030"/>
      <c r="J3130" s="690"/>
      <c r="K3130" s="1030"/>
      <c r="L3130" s="690"/>
      <c r="M3130" s="1025"/>
      <c r="N3130" s="1030"/>
      <c r="O3130" s="692">
        <f t="shared" si="405"/>
        <v>0</v>
      </c>
      <c r="P3130" s="690"/>
      <c r="Q3130" s="690"/>
      <c r="R3130" s="691">
        <f t="shared" si="406"/>
        <v>0</v>
      </c>
      <c r="S3130" s="692">
        <f t="shared" si="407"/>
        <v>0</v>
      </c>
      <c r="T3130" s="693">
        <f t="shared" si="408"/>
        <v>0</v>
      </c>
      <c r="U3130" s="1035"/>
      <c r="V3130" s="690"/>
      <c r="W3130" s="1025"/>
      <c r="X3130" s="1030"/>
      <c r="Y3130" s="694">
        <f t="shared" si="409"/>
        <v>0</v>
      </c>
      <c r="Z3130" s="690"/>
      <c r="AA3130" s="690"/>
      <c r="AB3130" s="695">
        <f t="shared" si="410"/>
        <v>0</v>
      </c>
      <c r="AC3130" s="1035"/>
      <c r="AD3130" s="690"/>
      <c r="AE3130" s="1025"/>
      <c r="AF3130" s="1030"/>
      <c r="AG3130" s="690"/>
      <c r="AH3130" s="690"/>
      <c r="AI3130" s="696">
        <f t="shared" si="411"/>
        <v>0</v>
      </c>
      <c r="AJ3130" s="697">
        <f t="shared" si="412"/>
        <v>0</v>
      </c>
    </row>
    <row r="3131" spans="1:36" s="700" customFormat="1" ht="12.75" customHeight="1">
      <c r="A3131" s="755" t="s">
        <v>207</v>
      </c>
      <c r="B3131" s="768" t="s">
        <v>278</v>
      </c>
      <c r="C3131" s="769" t="s">
        <v>377</v>
      </c>
      <c r="D3131" s="769"/>
      <c r="E3131" s="770"/>
      <c r="F3131" s="771"/>
      <c r="G3131" s="1025"/>
      <c r="H3131" s="690"/>
      <c r="I3131" s="1030"/>
      <c r="J3131" s="690"/>
      <c r="K3131" s="1030"/>
      <c r="L3131" s="690"/>
      <c r="M3131" s="1025"/>
      <c r="N3131" s="1030"/>
      <c r="O3131" s="692">
        <f t="shared" si="405"/>
        <v>0</v>
      </c>
      <c r="P3131" s="690"/>
      <c r="Q3131" s="690"/>
      <c r="R3131" s="691">
        <f t="shared" si="406"/>
        <v>0</v>
      </c>
      <c r="S3131" s="692">
        <f t="shared" si="407"/>
        <v>0</v>
      </c>
      <c r="T3131" s="693">
        <f t="shared" si="408"/>
        <v>0</v>
      </c>
      <c r="U3131" s="1035"/>
      <c r="V3131" s="690"/>
      <c r="W3131" s="1025"/>
      <c r="X3131" s="1030"/>
      <c r="Y3131" s="694">
        <f t="shared" si="409"/>
        <v>0</v>
      </c>
      <c r="Z3131" s="690"/>
      <c r="AA3131" s="690"/>
      <c r="AB3131" s="695">
        <f t="shared" si="410"/>
        <v>0</v>
      </c>
      <c r="AC3131" s="1035"/>
      <c r="AD3131" s="690"/>
      <c r="AE3131" s="1025"/>
      <c r="AF3131" s="1030"/>
      <c r="AG3131" s="690"/>
      <c r="AH3131" s="690"/>
      <c r="AI3131" s="696">
        <f t="shared" si="411"/>
        <v>0</v>
      </c>
      <c r="AJ3131" s="697">
        <f t="shared" si="412"/>
        <v>0</v>
      </c>
    </row>
    <row r="3132" spans="1:36" s="700" customFormat="1" ht="12.75" customHeight="1">
      <c r="A3132" s="755" t="s">
        <v>207</v>
      </c>
      <c r="B3132" s="768" t="s">
        <v>279</v>
      </c>
      <c r="C3132" s="769" t="s">
        <v>54</v>
      </c>
      <c r="D3132" s="769"/>
      <c r="E3132" s="770"/>
      <c r="F3132" s="771"/>
      <c r="G3132" s="1025"/>
      <c r="H3132" s="690"/>
      <c r="I3132" s="1030"/>
      <c r="J3132" s="690"/>
      <c r="K3132" s="1030"/>
      <c r="L3132" s="690"/>
      <c r="M3132" s="1025"/>
      <c r="N3132" s="1030"/>
      <c r="O3132" s="692">
        <f t="shared" si="405"/>
        <v>0</v>
      </c>
      <c r="P3132" s="690"/>
      <c r="Q3132" s="690"/>
      <c r="R3132" s="691">
        <f t="shared" si="406"/>
        <v>0</v>
      </c>
      <c r="S3132" s="692">
        <f t="shared" si="407"/>
        <v>0</v>
      </c>
      <c r="T3132" s="693">
        <f t="shared" si="408"/>
        <v>0</v>
      </c>
      <c r="U3132" s="1035"/>
      <c r="V3132" s="690"/>
      <c r="W3132" s="1025"/>
      <c r="X3132" s="1030"/>
      <c r="Y3132" s="694">
        <f t="shared" si="409"/>
        <v>0</v>
      </c>
      <c r="Z3132" s="690"/>
      <c r="AA3132" s="690"/>
      <c r="AB3132" s="695">
        <f t="shared" si="410"/>
        <v>0</v>
      </c>
      <c r="AC3132" s="1035"/>
      <c r="AD3132" s="690"/>
      <c r="AE3132" s="1025"/>
      <c r="AF3132" s="1030"/>
      <c r="AG3132" s="690"/>
      <c r="AH3132" s="690"/>
      <c r="AI3132" s="696">
        <f t="shared" si="411"/>
        <v>0</v>
      </c>
      <c r="AJ3132" s="697">
        <f t="shared" si="412"/>
        <v>0</v>
      </c>
    </row>
    <row r="3133" spans="1:36" s="700" customFormat="1" ht="12.75" customHeight="1">
      <c r="A3133" s="755" t="s">
        <v>207</v>
      </c>
      <c r="B3133" s="768" t="s">
        <v>317</v>
      </c>
      <c r="C3133" s="769" t="s">
        <v>443</v>
      </c>
      <c r="D3133" s="769"/>
      <c r="E3133" s="770"/>
      <c r="F3133" s="771"/>
      <c r="G3133" s="1025"/>
      <c r="H3133" s="690"/>
      <c r="I3133" s="1030"/>
      <c r="J3133" s="690"/>
      <c r="K3133" s="1030"/>
      <c r="L3133" s="690"/>
      <c r="M3133" s="1025"/>
      <c r="N3133" s="1030"/>
      <c r="O3133" s="692">
        <f t="shared" si="405"/>
        <v>0</v>
      </c>
      <c r="P3133" s="690"/>
      <c r="Q3133" s="690"/>
      <c r="R3133" s="691">
        <f t="shared" si="406"/>
        <v>0</v>
      </c>
      <c r="S3133" s="692">
        <f t="shared" si="407"/>
        <v>0</v>
      </c>
      <c r="T3133" s="693">
        <f t="shared" si="408"/>
        <v>0</v>
      </c>
      <c r="U3133" s="1035"/>
      <c r="V3133" s="690"/>
      <c r="W3133" s="1025"/>
      <c r="X3133" s="1030"/>
      <c r="Y3133" s="694">
        <f t="shared" si="409"/>
        <v>0</v>
      </c>
      <c r="Z3133" s="690"/>
      <c r="AA3133" s="690"/>
      <c r="AB3133" s="695">
        <f t="shared" si="410"/>
        <v>0</v>
      </c>
      <c r="AC3133" s="1035"/>
      <c r="AD3133" s="690"/>
      <c r="AE3133" s="1025"/>
      <c r="AF3133" s="1030"/>
      <c r="AG3133" s="690"/>
      <c r="AH3133" s="690"/>
      <c r="AI3133" s="696">
        <f t="shared" si="411"/>
        <v>0</v>
      </c>
      <c r="AJ3133" s="697">
        <f t="shared" si="412"/>
        <v>0</v>
      </c>
    </row>
    <row r="3134" spans="1:36" s="700" customFormat="1" ht="12.75" customHeight="1">
      <c r="A3134" s="755" t="s">
        <v>207</v>
      </c>
      <c r="B3134" s="768" t="s">
        <v>318</v>
      </c>
      <c r="C3134" s="769" t="s">
        <v>377</v>
      </c>
      <c r="D3134" s="769"/>
      <c r="E3134" s="770"/>
      <c r="F3134" s="771"/>
      <c r="G3134" s="1025"/>
      <c r="H3134" s="690"/>
      <c r="I3134" s="1030"/>
      <c r="J3134" s="690"/>
      <c r="K3134" s="1030"/>
      <c r="L3134" s="690"/>
      <c r="M3134" s="1025"/>
      <c r="N3134" s="1030"/>
      <c r="O3134" s="692">
        <f t="shared" si="405"/>
        <v>0</v>
      </c>
      <c r="P3134" s="690"/>
      <c r="Q3134" s="690"/>
      <c r="R3134" s="691">
        <f t="shared" si="406"/>
        <v>0</v>
      </c>
      <c r="S3134" s="692">
        <f t="shared" si="407"/>
        <v>0</v>
      </c>
      <c r="T3134" s="693">
        <f t="shared" si="408"/>
        <v>0</v>
      </c>
      <c r="U3134" s="1035"/>
      <c r="V3134" s="690"/>
      <c r="W3134" s="1025"/>
      <c r="X3134" s="1030"/>
      <c r="Y3134" s="694">
        <f t="shared" si="409"/>
        <v>0</v>
      </c>
      <c r="Z3134" s="690"/>
      <c r="AA3134" s="690"/>
      <c r="AB3134" s="695">
        <f t="shared" si="410"/>
        <v>0</v>
      </c>
      <c r="AC3134" s="1035"/>
      <c r="AD3134" s="690"/>
      <c r="AE3134" s="1025"/>
      <c r="AF3134" s="1030"/>
      <c r="AG3134" s="690"/>
      <c r="AH3134" s="690"/>
      <c r="AI3134" s="696">
        <f t="shared" si="411"/>
        <v>0</v>
      </c>
      <c r="AJ3134" s="697">
        <f t="shared" si="412"/>
        <v>0</v>
      </c>
    </row>
    <row r="3135" spans="1:36" s="700" customFormat="1" ht="12.75" customHeight="1">
      <c r="A3135" s="755" t="s">
        <v>207</v>
      </c>
      <c r="B3135" s="755" t="s">
        <v>422</v>
      </c>
      <c r="C3135" s="766" t="s">
        <v>439</v>
      </c>
      <c r="D3135" s="766"/>
      <c r="E3135" s="770"/>
      <c r="F3135" s="771"/>
      <c r="G3135" s="1025"/>
      <c r="H3135" s="690"/>
      <c r="I3135" s="1030"/>
      <c r="J3135" s="690"/>
      <c r="K3135" s="1030"/>
      <c r="L3135" s="690"/>
      <c r="M3135" s="1025"/>
      <c r="N3135" s="1030"/>
      <c r="O3135" s="692">
        <f t="shared" si="405"/>
        <v>0</v>
      </c>
      <c r="P3135" s="690"/>
      <c r="Q3135" s="690"/>
      <c r="R3135" s="691">
        <f t="shared" si="406"/>
        <v>0</v>
      </c>
      <c r="S3135" s="692">
        <f t="shared" si="407"/>
        <v>0</v>
      </c>
      <c r="T3135" s="693">
        <f t="shared" si="408"/>
        <v>0</v>
      </c>
      <c r="U3135" s="1035"/>
      <c r="V3135" s="690"/>
      <c r="W3135" s="1025"/>
      <c r="X3135" s="1030"/>
      <c r="Y3135" s="694">
        <f t="shared" si="409"/>
        <v>0</v>
      </c>
      <c r="Z3135" s="690"/>
      <c r="AA3135" s="690"/>
      <c r="AB3135" s="695">
        <f t="shared" si="410"/>
        <v>0</v>
      </c>
      <c r="AC3135" s="1035"/>
      <c r="AD3135" s="690"/>
      <c r="AE3135" s="1025"/>
      <c r="AF3135" s="1030"/>
      <c r="AG3135" s="690"/>
      <c r="AH3135" s="690"/>
      <c r="AI3135" s="696">
        <f t="shared" si="411"/>
        <v>0</v>
      </c>
      <c r="AJ3135" s="697">
        <f t="shared" si="412"/>
        <v>0</v>
      </c>
    </row>
    <row r="3136" spans="1:36" s="700" customFormat="1" ht="12.75" customHeight="1">
      <c r="A3136" s="755" t="s">
        <v>207</v>
      </c>
      <c r="B3136" s="768" t="s">
        <v>382</v>
      </c>
      <c r="C3136" s="769" t="s">
        <v>443</v>
      </c>
      <c r="D3136" s="769"/>
      <c r="E3136" s="770"/>
      <c r="F3136" s="771"/>
      <c r="G3136" s="1025"/>
      <c r="H3136" s="690"/>
      <c r="I3136" s="1030"/>
      <c r="J3136" s="690"/>
      <c r="K3136" s="1030"/>
      <c r="L3136" s="690"/>
      <c r="M3136" s="1025"/>
      <c r="N3136" s="1030"/>
      <c r="O3136" s="692">
        <f t="shared" si="405"/>
        <v>0</v>
      </c>
      <c r="P3136" s="690"/>
      <c r="Q3136" s="690"/>
      <c r="R3136" s="691">
        <f t="shared" si="406"/>
        <v>0</v>
      </c>
      <c r="S3136" s="692">
        <f t="shared" si="407"/>
        <v>0</v>
      </c>
      <c r="T3136" s="693">
        <f t="shared" si="408"/>
        <v>0</v>
      </c>
      <c r="U3136" s="1035"/>
      <c r="V3136" s="690"/>
      <c r="W3136" s="1025"/>
      <c r="X3136" s="1030"/>
      <c r="Y3136" s="694">
        <f t="shared" si="409"/>
        <v>0</v>
      </c>
      <c r="Z3136" s="690"/>
      <c r="AA3136" s="690"/>
      <c r="AB3136" s="695">
        <f t="shared" si="410"/>
        <v>0</v>
      </c>
      <c r="AC3136" s="1035"/>
      <c r="AD3136" s="690"/>
      <c r="AE3136" s="1025"/>
      <c r="AF3136" s="1030"/>
      <c r="AG3136" s="690"/>
      <c r="AH3136" s="690"/>
      <c r="AI3136" s="696">
        <f t="shared" si="411"/>
        <v>0</v>
      </c>
      <c r="AJ3136" s="697">
        <f t="shared" si="412"/>
        <v>0</v>
      </c>
    </row>
    <row r="3137" spans="1:36" s="700" customFormat="1" ht="12.75" customHeight="1">
      <c r="A3137" s="755" t="s">
        <v>207</v>
      </c>
      <c r="B3137" s="768" t="s">
        <v>383</v>
      </c>
      <c r="C3137" s="769" t="s">
        <v>377</v>
      </c>
      <c r="D3137" s="769"/>
      <c r="E3137" s="770"/>
      <c r="F3137" s="771"/>
      <c r="G3137" s="1025"/>
      <c r="H3137" s="690"/>
      <c r="I3137" s="1030"/>
      <c r="J3137" s="690"/>
      <c r="K3137" s="1030"/>
      <c r="L3137" s="690"/>
      <c r="M3137" s="1025"/>
      <c r="N3137" s="1030"/>
      <c r="O3137" s="692">
        <f t="shared" si="405"/>
        <v>0</v>
      </c>
      <c r="P3137" s="690"/>
      <c r="Q3137" s="690"/>
      <c r="R3137" s="691">
        <f t="shared" si="406"/>
        <v>0</v>
      </c>
      <c r="S3137" s="692">
        <f t="shared" si="407"/>
        <v>0</v>
      </c>
      <c r="T3137" s="693">
        <f t="shared" si="408"/>
        <v>0</v>
      </c>
      <c r="U3137" s="1035"/>
      <c r="V3137" s="690"/>
      <c r="W3137" s="1025"/>
      <c r="X3137" s="1030"/>
      <c r="Y3137" s="694">
        <f t="shared" si="409"/>
        <v>0</v>
      </c>
      <c r="Z3137" s="690"/>
      <c r="AA3137" s="690"/>
      <c r="AB3137" s="695">
        <f t="shared" si="410"/>
        <v>0</v>
      </c>
      <c r="AC3137" s="1035"/>
      <c r="AD3137" s="690"/>
      <c r="AE3137" s="1025"/>
      <c r="AF3137" s="1030"/>
      <c r="AG3137" s="690"/>
      <c r="AH3137" s="690"/>
      <c r="AI3137" s="696">
        <f t="shared" si="411"/>
        <v>0</v>
      </c>
      <c r="AJ3137" s="697">
        <f t="shared" si="412"/>
        <v>0</v>
      </c>
    </row>
    <row r="3138" spans="1:36" s="700" customFormat="1" ht="12.75" customHeight="1">
      <c r="A3138" s="755" t="s">
        <v>207</v>
      </c>
      <c r="B3138" s="755" t="s">
        <v>421</v>
      </c>
      <c r="C3138" s="766" t="s">
        <v>171</v>
      </c>
      <c r="D3138" s="766"/>
      <c r="E3138" s="770"/>
      <c r="F3138" s="771"/>
      <c r="G3138" s="1025"/>
      <c r="H3138" s="690"/>
      <c r="I3138" s="1030"/>
      <c r="J3138" s="690"/>
      <c r="K3138" s="1030"/>
      <c r="L3138" s="690"/>
      <c r="M3138" s="1025"/>
      <c r="N3138" s="1030"/>
      <c r="O3138" s="692">
        <f t="shared" si="405"/>
        <v>0</v>
      </c>
      <c r="P3138" s="690"/>
      <c r="Q3138" s="690"/>
      <c r="R3138" s="691">
        <f t="shared" si="406"/>
        <v>0</v>
      </c>
      <c r="S3138" s="692">
        <f t="shared" si="407"/>
        <v>0</v>
      </c>
      <c r="T3138" s="693">
        <f t="shared" si="408"/>
        <v>0</v>
      </c>
      <c r="U3138" s="1035"/>
      <c r="V3138" s="690"/>
      <c r="W3138" s="1025"/>
      <c r="X3138" s="1030"/>
      <c r="Y3138" s="694">
        <f t="shared" si="409"/>
        <v>0</v>
      </c>
      <c r="Z3138" s="690"/>
      <c r="AA3138" s="690"/>
      <c r="AB3138" s="695">
        <f t="shared" si="410"/>
        <v>0</v>
      </c>
      <c r="AC3138" s="1035"/>
      <c r="AD3138" s="690"/>
      <c r="AE3138" s="1025"/>
      <c r="AF3138" s="1030"/>
      <c r="AG3138" s="690"/>
      <c r="AH3138" s="690"/>
      <c r="AI3138" s="696">
        <f t="shared" si="411"/>
        <v>0</v>
      </c>
      <c r="AJ3138" s="697">
        <f t="shared" si="412"/>
        <v>0</v>
      </c>
    </row>
    <row r="3139" spans="1:36" s="700" customFormat="1" ht="12.75" customHeight="1">
      <c r="A3139" s="755" t="s">
        <v>207</v>
      </c>
      <c r="B3139" s="755" t="s">
        <v>420</v>
      </c>
      <c r="C3139" s="986" t="s">
        <v>1768</v>
      </c>
      <c r="D3139" s="986"/>
      <c r="E3139" s="770"/>
      <c r="F3139" s="771"/>
      <c r="G3139" s="1025"/>
      <c r="H3139" s="690"/>
      <c r="I3139" s="1030"/>
      <c r="J3139" s="690"/>
      <c r="K3139" s="1030"/>
      <c r="L3139" s="690"/>
      <c r="M3139" s="1025"/>
      <c r="N3139" s="1030"/>
      <c r="O3139" s="692">
        <f t="shared" si="405"/>
        <v>0</v>
      </c>
      <c r="P3139" s="690"/>
      <c r="Q3139" s="690"/>
      <c r="R3139" s="691">
        <f t="shared" si="406"/>
        <v>0</v>
      </c>
      <c r="S3139" s="692">
        <f t="shared" si="407"/>
        <v>0</v>
      </c>
      <c r="T3139" s="693">
        <f t="shared" si="408"/>
        <v>0</v>
      </c>
      <c r="U3139" s="1035">
        <v>657000</v>
      </c>
      <c r="V3139" s="690">
        <v>650000</v>
      </c>
      <c r="W3139" s="1025"/>
      <c r="X3139" s="1030"/>
      <c r="Y3139" s="694">
        <f t="shared" si="409"/>
        <v>0</v>
      </c>
      <c r="Z3139" s="690"/>
      <c r="AA3139" s="690"/>
      <c r="AB3139" s="695">
        <f t="shared" si="410"/>
        <v>0</v>
      </c>
      <c r="AC3139" s="1035"/>
      <c r="AD3139" s="690"/>
      <c r="AE3139" s="1025"/>
      <c r="AF3139" s="1030"/>
      <c r="AG3139" s="690"/>
      <c r="AH3139" s="690"/>
      <c r="AI3139" s="696">
        <f t="shared" si="411"/>
        <v>657000</v>
      </c>
      <c r="AJ3139" s="697">
        <f t="shared" si="412"/>
        <v>650000</v>
      </c>
    </row>
    <row r="3140" spans="1:36" s="700" customFormat="1" ht="12.75" customHeight="1">
      <c r="A3140" s="755" t="s">
        <v>207</v>
      </c>
      <c r="B3140" s="768" t="s">
        <v>380</v>
      </c>
      <c r="C3140" s="769" t="s">
        <v>443</v>
      </c>
      <c r="D3140" s="769"/>
      <c r="E3140" s="770"/>
      <c r="F3140" s="771"/>
      <c r="G3140" s="1025"/>
      <c r="H3140" s="690"/>
      <c r="I3140" s="1030"/>
      <c r="J3140" s="690"/>
      <c r="K3140" s="1030"/>
      <c r="L3140" s="690"/>
      <c r="M3140" s="1025"/>
      <c r="N3140" s="1030"/>
      <c r="O3140" s="692">
        <f t="shared" si="405"/>
        <v>0</v>
      </c>
      <c r="P3140" s="690"/>
      <c r="Q3140" s="690"/>
      <c r="R3140" s="691">
        <f t="shared" si="406"/>
        <v>0</v>
      </c>
      <c r="S3140" s="692">
        <f t="shared" si="407"/>
        <v>0</v>
      </c>
      <c r="T3140" s="693">
        <f t="shared" si="408"/>
        <v>0</v>
      </c>
      <c r="U3140" s="1035"/>
      <c r="V3140" s="690"/>
      <c r="W3140" s="1025"/>
      <c r="X3140" s="1030"/>
      <c r="Y3140" s="694">
        <f t="shared" si="409"/>
        <v>0</v>
      </c>
      <c r="Z3140" s="690"/>
      <c r="AA3140" s="690"/>
      <c r="AB3140" s="695">
        <f t="shared" si="410"/>
        <v>0</v>
      </c>
      <c r="AC3140" s="1035"/>
      <c r="AD3140" s="690"/>
      <c r="AE3140" s="1025"/>
      <c r="AF3140" s="1030"/>
      <c r="AG3140" s="690"/>
      <c r="AH3140" s="690"/>
      <c r="AI3140" s="696">
        <f t="shared" si="411"/>
        <v>0</v>
      </c>
      <c r="AJ3140" s="697">
        <f t="shared" si="412"/>
        <v>0</v>
      </c>
    </row>
    <row r="3141" spans="1:36" s="700" customFormat="1" ht="12.75" customHeight="1">
      <c r="A3141" s="755" t="s">
        <v>207</v>
      </c>
      <c r="B3141" s="768" t="s">
        <v>381</v>
      </c>
      <c r="C3141" s="769" t="s">
        <v>377</v>
      </c>
      <c r="D3141" s="769"/>
      <c r="E3141" s="770"/>
      <c r="F3141" s="771"/>
      <c r="G3141" s="1025"/>
      <c r="H3141" s="690"/>
      <c r="I3141" s="1030"/>
      <c r="J3141" s="690"/>
      <c r="K3141" s="1030"/>
      <c r="L3141" s="690"/>
      <c r="M3141" s="1025"/>
      <c r="N3141" s="1030"/>
      <c r="O3141" s="692">
        <f t="shared" si="405"/>
        <v>0</v>
      </c>
      <c r="P3141" s="690"/>
      <c r="Q3141" s="690"/>
      <c r="R3141" s="691">
        <f t="shared" si="406"/>
        <v>0</v>
      </c>
      <c r="S3141" s="692">
        <f t="shared" si="407"/>
        <v>0</v>
      </c>
      <c r="T3141" s="693">
        <f t="shared" si="408"/>
        <v>0</v>
      </c>
      <c r="U3141" s="1035"/>
      <c r="V3141" s="690"/>
      <c r="W3141" s="1025"/>
      <c r="X3141" s="1030"/>
      <c r="Y3141" s="694">
        <f t="shared" si="409"/>
        <v>0</v>
      </c>
      <c r="Z3141" s="690"/>
      <c r="AA3141" s="690"/>
      <c r="AB3141" s="695">
        <f t="shared" si="410"/>
        <v>0</v>
      </c>
      <c r="AC3141" s="1035"/>
      <c r="AD3141" s="690"/>
      <c r="AE3141" s="1025"/>
      <c r="AF3141" s="1030"/>
      <c r="AG3141" s="690"/>
      <c r="AH3141" s="690"/>
      <c r="AI3141" s="696">
        <f t="shared" si="411"/>
        <v>0</v>
      </c>
      <c r="AJ3141" s="697">
        <f t="shared" si="412"/>
        <v>0</v>
      </c>
    </row>
    <row r="3142" spans="1:36" s="700" customFormat="1" ht="12.75" customHeight="1">
      <c r="A3142" s="773" t="s">
        <v>216</v>
      </c>
      <c r="B3142" s="773" t="s">
        <v>392</v>
      </c>
      <c r="C3142" s="774" t="s">
        <v>1773</v>
      </c>
      <c r="D3142" s="774"/>
      <c r="E3142" s="902">
        <v>232186</v>
      </c>
      <c r="F3142" s="903">
        <v>1</v>
      </c>
      <c r="G3142" s="1025">
        <v>114484737</v>
      </c>
      <c r="H3142" s="690">
        <v>111733347</v>
      </c>
      <c r="I3142" s="1030">
        <v>1125000</v>
      </c>
      <c r="J3142" s="690">
        <v>956250</v>
      </c>
      <c r="K3142" s="1030"/>
      <c r="L3142" s="690"/>
      <c r="M3142" s="1025">
        <v>202948819</v>
      </c>
      <c r="N3142" s="1030">
        <v>1124340</v>
      </c>
      <c r="O3142" s="692">
        <f t="shared" si="405"/>
        <v>204073159</v>
      </c>
      <c r="P3142" s="690">
        <v>233733248</v>
      </c>
      <c r="Q3142" s="690">
        <v>1734228</v>
      </c>
      <c r="R3142" s="691">
        <f t="shared" si="406"/>
        <v>235467476</v>
      </c>
      <c r="S3142" s="692">
        <f t="shared" si="407"/>
        <v>318558556</v>
      </c>
      <c r="T3142" s="693">
        <f t="shared" si="408"/>
        <v>346422845</v>
      </c>
      <c r="U3142" s="1035"/>
      <c r="V3142" s="690"/>
      <c r="W3142" s="1025"/>
      <c r="X3142" s="1030"/>
      <c r="Y3142" s="694">
        <f t="shared" si="409"/>
        <v>0</v>
      </c>
      <c r="Z3142" s="690"/>
      <c r="AA3142" s="690"/>
      <c r="AB3142" s="695">
        <f t="shared" si="410"/>
        <v>0</v>
      </c>
      <c r="AC3142" s="1035"/>
      <c r="AD3142" s="690"/>
      <c r="AE3142" s="1025"/>
      <c r="AF3142" s="1030"/>
      <c r="AG3142" s="690"/>
      <c r="AH3142" s="690"/>
      <c r="AI3142" s="696">
        <f t="shared" si="411"/>
        <v>318558556</v>
      </c>
      <c r="AJ3142" s="697">
        <f t="shared" si="412"/>
        <v>346422845</v>
      </c>
    </row>
    <row r="3143" spans="1:36" s="700" customFormat="1" ht="12.75" customHeight="1">
      <c r="A3143" s="773" t="s">
        <v>216</v>
      </c>
      <c r="B3143" s="773" t="s">
        <v>392</v>
      </c>
      <c r="C3143" s="901" t="s">
        <v>1774</v>
      </c>
      <c r="D3143" s="901"/>
      <c r="E3143" s="988">
        <v>232982</v>
      </c>
      <c r="F3143" s="782">
        <v>1</v>
      </c>
      <c r="G3143" s="1025">
        <v>91558743</v>
      </c>
      <c r="H3143" s="690">
        <v>89771848</v>
      </c>
      <c r="I3143" s="1030">
        <v>2099838</v>
      </c>
      <c r="J3143" s="690">
        <v>2099838</v>
      </c>
      <c r="K3143" s="1030"/>
      <c r="L3143" s="690"/>
      <c r="M3143" s="1025">
        <v>100632572</v>
      </c>
      <c r="N3143" s="1030">
        <v>565155</v>
      </c>
      <c r="O3143" s="692">
        <f t="shared" si="405"/>
        <v>101197727</v>
      </c>
      <c r="P3143" s="690">
        <v>110824362</v>
      </c>
      <c r="Q3143" s="690">
        <v>832590</v>
      </c>
      <c r="R3143" s="691">
        <f t="shared" si="406"/>
        <v>111656952</v>
      </c>
      <c r="S3143" s="692">
        <f t="shared" si="407"/>
        <v>194291153</v>
      </c>
      <c r="T3143" s="693">
        <f t="shared" si="408"/>
        <v>202696048</v>
      </c>
      <c r="U3143" s="1035"/>
      <c r="V3143" s="690"/>
      <c r="W3143" s="1025"/>
      <c r="X3143" s="1030"/>
      <c r="Y3143" s="694">
        <f t="shared" si="409"/>
        <v>0</v>
      </c>
      <c r="Z3143" s="690"/>
      <c r="AA3143" s="690"/>
      <c r="AB3143" s="695">
        <f t="shared" si="410"/>
        <v>0</v>
      </c>
      <c r="AC3143" s="1035"/>
      <c r="AD3143" s="690"/>
      <c r="AE3143" s="1025"/>
      <c r="AF3143" s="1030"/>
      <c r="AG3143" s="690"/>
      <c r="AH3143" s="690"/>
      <c r="AI3143" s="696">
        <f t="shared" si="411"/>
        <v>194291153</v>
      </c>
      <c r="AJ3143" s="697">
        <f t="shared" si="412"/>
        <v>202696048</v>
      </c>
    </row>
    <row r="3144" spans="1:36" s="700" customFormat="1" ht="12.75" customHeight="1">
      <c r="A3144" s="773" t="s">
        <v>216</v>
      </c>
      <c r="B3144" s="773" t="s">
        <v>392</v>
      </c>
      <c r="C3144" s="774" t="s">
        <v>1775</v>
      </c>
      <c r="D3144" s="774"/>
      <c r="E3144" s="902">
        <v>234076</v>
      </c>
      <c r="F3144" s="903">
        <v>1</v>
      </c>
      <c r="G3144" s="1025">
        <v>104846156</v>
      </c>
      <c r="H3144" s="690">
        <f>120952063-14473603</f>
        <v>106478460</v>
      </c>
      <c r="I3144" s="1030">
        <v>3146875</v>
      </c>
      <c r="J3144" s="690">
        <v>5821112</v>
      </c>
      <c r="K3144" s="1030"/>
      <c r="L3144" s="690"/>
      <c r="M3144" s="1025">
        <v>290543604</v>
      </c>
      <c r="N3144" s="1030">
        <v>2830205</v>
      </c>
      <c r="O3144" s="692">
        <f t="shared" si="405"/>
        <v>293373809</v>
      </c>
      <c r="P3144" s="690">
        <v>311840675</v>
      </c>
      <c r="Q3144" s="690">
        <v>4266442</v>
      </c>
      <c r="R3144" s="691">
        <f t="shared" si="406"/>
        <v>316107117</v>
      </c>
      <c r="S3144" s="692">
        <f t="shared" si="407"/>
        <v>398536635</v>
      </c>
      <c r="T3144" s="693">
        <f t="shared" si="408"/>
        <v>424140247</v>
      </c>
      <c r="U3144" s="1035"/>
      <c r="V3144" s="690"/>
      <c r="W3144" s="1025"/>
      <c r="X3144" s="1030"/>
      <c r="Y3144" s="694">
        <f t="shared" si="409"/>
        <v>0</v>
      </c>
      <c r="Z3144" s="690"/>
      <c r="AA3144" s="690"/>
      <c r="AB3144" s="695">
        <f t="shared" si="410"/>
        <v>0</v>
      </c>
      <c r="AC3144" s="1035"/>
      <c r="AD3144" s="690"/>
      <c r="AE3144" s="1025"/>
      <c r="AF3144" s="1030"/>
      <c r="AG3144" s="690"/>
      <c r="AH3144" s="690"/>
      <c r="AI3144" s="696">
        <f t="shared" si="411"/>
        <v>398536635</v>
      </c>
      <c r="AJ3144" s="697">
        <f t="shared" si="412"/>
        <v>424140247</v>
      </c>
    </row>
    <row r="3145" spans="1:36" s="700" customFormat="1" ht="12.75" customHeight="1">
      <c r="A3145" s="773" t="s">
        <v>216</v>
      </c>
      <c r="B3145" s="773" t="s">
        <v>408</v>
      </c>
      <c r="C3145" s="989" t="s">
        <v>713</v>
      </c>
      <c r="D3145" s="989"/>
      <c r="E3145" s="902">
        <v>234076</v>
      </c>
      <c r="F3145" s="903">
        <v>1</v>
      </c>
      <c r="G3145" s="1025"/>
      <c r="H3145" s="690"/>
      <c r="I3145" s="1030"/>
      <c r="J3145" s="690"/>
      <c r="K3145" s="1030"/>
      <c r="L3145" s="690"/>
      <c r="M3145" s="1025"/>
      <c r="N3145" s="1030"/>
      <c r="O3145" s="692">
        <f t="shared" si="405"/>
        <v>0</v>
      </c>
      <c r="P3145" s="690"/>
      <c r="Q3145" s="690"/>
      <c r="R3145" s="691">
        <f t="shared" si="406"/>
        <v>0</v>
      </c>
      <c r="S3145" s="692">
        <f t="shared" si="407"/>
        <v>0</v>
      </c>
      <c r="T3145" s="693">
        <f t="shared" si="408"/>
        <v>0</v>
      </c>
      <c r="U3145" s="1035"/>
      <c r="V3145" s="690"/>
      <c r="W3145" s="1025"/>
      <c r="X3145" s="1030"/>
      <c r="Y3145" s="694">
        <f t="shared" si="409"/>
        <v>0</v>
      </c>
      <c r="Z3145" s="690"/>
      <c r="AA3145" s="690"/>
      <c r="AB3145" s="695">
        <f t="shared" si="410"/>
        <v>0</v>
      </c>
      <c r="AC3145" s="1035">
        <v>17013450</v>
      </c>
      <c r="AD3145" s="690">
        <v>14473603</v>
      </c>
      <c r="AE3145" s="1025">
        <v>36723439</v>
      </c>
      <c r="AF3145" s="1030"/>
      <c r="AG3145" s="690">
        <v>40618069</v>
      </c>
      <c r="AH3145" s="690"/>
      <c r="AI3145" s="696">
        <f t="shared" si="411"/>
        <v>53736889</v>
      </c>
      <c r="AJ3145" s="697">
        <f t="shared" si="412"/>
        <v>55091672</v>
      </c>
    </row>
    <row r="3146" spans="1:36" s="700" customFormat="1" ht="12.75" customHeight="1">
      <c r="A3146" s="773" t="s">
        <v>216</v>
      </c>
      <c r="B3146" s="773" t="s">
        <v>392</v>
      </c>
      <c r="C3146" s="774" t="s">
        <v>1776</v>
      </c>
      <c r="D3146" s="774"/>
      <c r="E3146" s="902">
        <v>233921</v>
      </c>
      <c r="F3146" s="903">
        <v>1</v>
      </c>
      <c r="G3146" s="1025">
        <v>133533695</v>
      </c>
      <c r="H3146" s="690">
        <f>144789971-10261050+1334350</f>
        <v>135863271</v>
      </c>
      <c r="I3146" s="1030">
        <v>3121875</v>
      </c>
      <c r="J3146" s="690">
        <f>2388544</f>
        <v>2388544</v>
      </c>
      <c r="K3146" s="1030"/>
      <c r="L3146" s="690"/>
      <c r="M3146" s="1025">
        <v>297448892</v>
      </c>
      <c r="N3146" s="1030">
        <v>2600180</v>
      </c>
      <c r="O3146" s="692">
        <f t="shared" si="405"/>
        <v>300049072</v>
      </c>
      <c r="P3146" s="690">
        <v>317438451</v>
      </c>
      <c r="Q3146" s="690">
        <v>4084515</v>
      </c>
      <c r="R3146" s="691">
        <f t="shared" si="406"/>
        <v>321522966</v>
      </c>
      <c r="S3146" s="692">
        <f t="shared" si="407"/>
        <v>434104462</v>
      </c>
      <c r="T3146" s="693">
        <f t="shared" si="408"/>
        <v>455690266</v>
      </c>
      <c r="U3146" s="1035"/>
      <c r="V3146" s="690"/>
      <c r="W3146" s="1025"/>
      <c r="X3146" s="1030"/>
      <c r="Y3146" s="694">
        <f t="shared" si="409"/>
        <v>0</v>
      </c>
      <c r="Z3146" s="690"/>
      <c r="AA3146" s="690"/>
      <c r="AB3146" s="695">
        <f t="shared" si="410"/>
        <v>0</v>
      </c>
      <c r="AC3146" s="1035"/>
      <c r="AD3146" s="690"/>
      <c r="AE3146" s="1025"/>
      <c r="AF3146" s="1030"/>
      <c r="AG3146" s="690"/>
      <c r="AH3146" s="690"/>
      <c r="AI3146" s="696">
        <f t="shared" si="411"/>
        <v>434104462</v>
      </c>
      <c r="AJ3146" s="697">
        <f t="shared" si="412"/>
        <v>455690266</v>
      </c>
    </row>
    <row r="3147" spans="1:36" s="700" customFormat="1" ht="12.75" customHeight="1">
      <c r="A3147" s="773" t="s">
        <v>216</v>
      </c>
      <c r="B3147" s="773" t="s">
        <v>408</v>
      </c>
      <c r="C3147" s="989" t="s">
        <v>88</v>
      </c>
      <c r="D3147" s="989"/>
      <c r="E3147" s="902">
        <v>233921</v>
      </c>
      <c r="F3147" s="903">
        <v>1</v>
      </c>
      <c r="G3147" s="1025"/>
      <c r="H3147" s="690"/>
      <c r="I3147" s="1030"/>
      <c r="J3147" s="690"/>
      <c r="K3147" s="1030"/>
      <c r="L3147" s="690"/>
      <c r="M3147" s="1025"/>
      <c r="N3147" s="1030"/>
      <c r="O3147" s="692">
        <f t="shared" si="405"/>
        <v>0</v>
      </c>
      <c r="P3147" s="690"/>
      <c r="Q3147" s="690"/>
      <c r="R3147" s="691">
        <f t="shared" si="406"/>
        <v>0</v>
      </c>
      <c r="S3147" s="692">
        <f t="shared" si="407"/>
        <v>0</v>
      </c>
      <c r="T3147" s="693">
        <f t="shared" si="408"/>
        <v>0</v>
      </c>
      <c r="U3147" s="1035"/>
      <c r="V3147" s="690"/>
      <c r="W3147" s="1025"/>
      <c r="X3147" s="1030"/>
      <c r="Y3147" s="694">
        <f t="shared" si="409"/>
        <v>0</v>
      </c>
      <c r="Z3147" s="690"/>
      <c r="AA3147" s="690"/>
      <c r="AB3147" s="695">
        <f t="shared" si="410"/>
        <v>0</v>
      </c>
      <c r="AC3147" s="1035">
        <v>12952964</v>
      </c>
      <c r="AD3147" s="690">
        <v>10261050</v>
      </c>
      <c r="AE3147" s="1025">
        <v>10468284</v>
      </c>
      <c r="AF3147" s="1030"/>
      <c r="AG3147" s="690">
        <v>10962398</v>
      </c>
      <c r="AH3147" s="690"/>
      <c r="AI3147" s="696">
        <f t="shared" si="411"/>
        <v>23421248</v>
      </c>
      <c r="AJ3147" s="697">
        <f t="shared" si="412"/>
        <v>21223448</v>
      </c>
    </row>
    <row r="3148" spans="1:36" s="700" customFormat="1" ht="12.75" customHeight="1">
      <c r="A3148" s="773" t="s">
        <v>216</v>
      </c>
      <c r="B3148" s="773" t="s">
        <v>396</v>
      </c>
      <c r="C3148" s="990" t="s">
        <v>1777</v>
      </c>
      <c r="D3148" s="990"/>
      <c r="E3148" s="902">
        <v>233921</v>
      </c>
      <c r="F3148" s="903">
        <v>1</v>
      </c>
      <c r="G3148" s="1025"/>
      <c r="H3148" s="690"/>
      <c r="I3148" s="1030">
        <v>29623718</v>
      </c>
      <c r="J3148" s="690">
        <v>31168169</v>
      </c>
      <c r="K3148" s="1030"/>
      <c r="L3148" s="690"/>
      <c r="M3148" s="1025"/>
      <c r="N3148" s="1030"/>
      <c r="O3148" s="692">
        <f t="shared" si="405"/>
        <v>0</v>
      </c>
      <c r="P3148" s="690"/>
      <c r="Q3148" s="690"/>
      <c r="R3148" s="691">
        <f t="shared" si="406"/>
        <v>0</v>
      </c>
      <c r="S3148" s="692">
        <f t="shared" si="407"/>
        <v>29623718</v>
      </c>
      <c r="T3148" s="693">
        <f t="shared" si="408"/>
        <v>31168169</v>
      </c>
      <c r="U3148" s="1035"/>
      <c r="V3148" s="690"/>
      <c r="W3148" s="1025"/>
      <c r="X3148" s="1030"/>
      <c r="Y3148" s="694">
        <f t="shared" si="409"/>
        <v>0</v>
      </c>
      <c r="Z3148" s="690"/>
      <c r="AA3148" s="690"/>
      <c r="AB3148" s="695">
        <f t="shared" si="410"/>
        <v>0</v>
      </c>
      <c r="AC3148" s="1035"/>
      <c r="AD3148" s="690"/>
      <c r="AE3148" s="1025"/>
      <c r="AF3148" s="1030"/>
      <c r="AG3148" s="690"/>
      <c r="AH3148" s="690"/>
      <c r="AI3148" s="696">
        <f t="shared" si="411"/>
        <v>29623718</v>
      </c>
      <c r="AJ3148" s="697">
        <f t="shared" si="412"/>
        <v>31168169</v>
      </c>
    </row>
    <row r="3149" spans="1:36" s="700" customFormat="1" ht="12.75" customHeight="1">
      <c r="A3149" s="773" t="s">
        <v>216</v>
      </c>
      <c r="B3149" s="773" t="s">
        <v>397</v>
      </c>
      <c r="C3149" s="990" t="s">
        <v>1778</v>
      </c>
      <c r="D3149" s="990"/>
      <c r="E3149" s="902">
        <v>233921</v>
      </c>
      <c r="F3149" s="903">
        <v>1</v>
      </c>
      <c r="G3149" s="1025"/>
      <c r="H3149" s="690"/>
      <c r="I3149" s="1030">
        <v>31037747</v>
      </c>
      <c r="J3149" s="690">
        <v>31329300</v>
      </c>
      <c r="K3149" s="1030"/>
      <c r="L3149" s="690"/>
      <c r="M3149" s="1025"/>
      <c r="N3149" s="1030"/>
      <c r="O3149" s="692">
        <f t="shared" ref="O3149:O3212" si="413">SUM(M3149:N3149)</f>
        <v>0</v>
      </c>
      <c r="P3149" s="690"/>
      <c r="Q3149" s="690"/>
      <c r="R3149" s="691">
        <f t="shared" ref="R3149:R3212" si="414">SUM(P3149:Q3149)</f>
        <v>0</v>
      </c>
      <c r="S3149" s="692">
        <f t="shared" ref="S3149:S3212" si="415">SUM(G3149,I3149,K3149,M3149)</f>
        <v>31037747</v>
      </c>
      <c r="T3149" s="693">
        <f t="shared" ref="T3149:T3212" si="416">SUM(H3149,J3149,L3149,P3149)</f>
        <v>31329300</v>
      </c>
      <c r="U3149" s="1035"/>
      <c r="V3149" s="690"/>
      <c r="W3149" s="1025"/>
      <c r="X3149" s="1030"/>
      <c r="Y3149" s="694">
        <f t="shared" ref="Y3149:Y3212" si="417">SUM(W3149:X3149)</f>
        <v>0</v>
      </c>
      <c r="Z3149" s="690"/>
      <c r="AA3149" s="690"/>
      <c r="AB3149" s="695">
        <f t="shared" ref="AB3149:AB3212" si="418">SUM(Z3149:AA3149)</f>
        <v>0</v>
      </c>
      <c r="AC3149" s="1035"/>
      <c r="AD3149" s="690"/>
      <c r="AE3149" s="1025"/>
      <c r="AF3149" s="1030"/>
      <c r="AG3149" s="690"/>
      <c r="AH3149" s="690"/>
      <c r="AI3149" s="696">
        <f t="shared" ref="AI3149:AI3212" si="419">SUM(S3149,U3149,W3149,AC3149,AE3149)</f>
        <v>31037747</v>
      </c>
      <c r="AJ3149" s="697">
        <f t="shared" ref="AJ3149:AJ3212" si="420">SUM(T3149,V3149,Z3149,AD3149,AG3149)</f>
        <v>31329300</v>
      </c>
    </row>
    <row r="3150" spans="1:36" s="700" customFormat="1" ht="12.75" customHeight="1">
      <c r="A3150" s="773" t="s">
        <v>216</v>
      </c>
      <c r="B3150" s="773" t="s">
        <v>392</v>
      </c>
      <c r="C3150" s="774" t="s">
        <v>1779</v>
      </c>
      <c r="D3150" s="774"/>
      <c r="E3150" s="902">
        <v>231624</v>
      </c>
      <c r="F3150" s="903">
        <v>2</v>
      </c>
      <c r="G3150" s="1025">
        <v>39681727</v>
      </c>
      <c r="H3150" s="690">
        <v>39291864</v>
      </c>
      <c r="I3150" s="1030">
        <v>75000</v>
      </c>
      <c r="J3150" s="690">
        <v>75000</v>
      </c>
      <c r="K3150" s="1030"/>
      <c r="L3150" s="690"/>
      <c r="M3150" s="1025">
        <v>88892776</v>
      </c>
      <c r="N3150" s="1030">
        <v>769745</v>
      </c>
      <c r="O3150" s="692">
        <f t="shared" si="413"/>
        <v>89662521</v>
      </c>
      <c r="P3150" s="690">
        <v>95018763</v>
      </c>
      <c r="Q3150" s="690">
        <v>1213882</v>
      </c>
      <c r="R3150" s="691">
        <f t="shared" si="414"/>
        <v>96232645</v>
      </c>
      <c r="S3150" s="692">
        <f t="shared" si="415"/>
        <v>128649503</v>
      </c>
      <c r="T3150" s="693">
        <f t="shared" si="416"/>
        <v>134385627</v>
      </c>
      <c r="U3150" s="1035"/>
      <c r="V3150" s="690"/>
      <c r="W3150" s="1025"/>
      <c r="X3150" s="1030"/>
      <c r="Y3150" s="694">
        <f t="shared" si="417"/>
        <v>0</v>
      </c>
      <c r="Z3150" s="690"/>
      <c r="AA3150" s="690"/>
      <c r="AB3150" s="695">
        <f t="shared" si="418"/>
        <v>0</v>
      </c>
      <c r="AC3150" s="1035"/>
      <c r="AD3150" s="690"/>
      <c r="AE3150" s="1025"/>
      <c r="AF3150" s="1030"/>
      <c r="AG3150" s="690"/>
      <c r="AH3150" s="690"/>
      <c r="AI3150" s="696">
        <f t="shared" si="419"/>
        <v>128649503</v>
      </c>
      <c r="AJ3150" s="697">
        <f t="shared" si="420"/>
        <v>134385627</v>
      </c>
    </row>
    <row r="3151" spans="1:36" s="700" customFormat="1" ht="12.75" customHeight="1">
      <c r="A3151" s="773" t="s">
        <v>216</v>
      </c>
      <c r="B3151" s="773" t="s">
        <v>399</v>
      </c>
      <c r="C3151" s="990" t="s">
        <v>441</v>
      </c>
      <c r="D3151" s="990"/>
      <c r="E3151" s="902">
        <v>231624</v>
      </c>
      <c r="F3151" s="903">
        <v>2</v>
      </c>
      <c r="G3151" s="1025"/>
      <c r="H3151" s="690"/>
      <c r="I3151" s="1030"/>
      <c r="J3151" s="690"/>
      <c r="K3151" s="1030"/>
      <c r="L3151" s="690"/>
      <c r="M3151" s="1025"/>
      <c r="N3151" s="1030"/>
      <c r="O3151" s="692">
        <f t="shared" si="413"/>
        <v>0</v>
      </c>
      <c r="P3151" s="690"/>
      <c r="Q3151" s="690"/>
      <c r="R3151" s="691">
        <f t="shared" si="414"/>
        <v>0</v>
      </c>
      <c r="S3151" s="692">
        <f t="shared" si="415"/>
        <v>0</v>
      </c>
      <c r="T3151" s="693">
        <f t="shared" si="416"/>
        <v>0</v>
      </c>
      <c r="U3151" s="1035"/>
      <c r="V3151" s="690"/>
      <c r="W3151" s="1025"/>
      <c r="X3151" s="1030"/>
      <c r="Y3151" s="694">
        <f t="shared" si="417"/>
        <v>0</v>
      </c>
      <c r="Z3151" s="690"/>
      <c r="AA3151" s="690"/>
      <c r="AB3151" s="695">
        <f t="shared" si="418"/>
        <v>0</v>
      </c>
      <c r="AC3151" s="1035"/>
      <c r="AD3151" s="690"/>
      <c r="AE3151" s="1025"/>
      <c r="AF3151" s="1030"/>
      <c r="AG3151" s="690"/>
      <c r="AH3151" s="690"/>
      <c r="AI3151" s="696">
        <f t="shared" si="419"/>
        <v>0</v>
      </c>
      <c r="AJ3151" s="697">
        <f t="shared" si="420"/>
        <v>0</v>
      </c>
    </row>
    <row r="3152" spans="1:36" s="700" customFormat="1" ht="12.75" customHeight="1">
      <c r="A3152" s="773" t="s">
        <v>216</v>
      </c>
      <c r="B3152" s="773" t="s">
        <v>399</v>
      </c>
      <c r="C3152" s="989" t="s">
        <v>1780</v>
      </c>
      <c r="D3152" s="989"/>
      <c r="E3152" s="902">
        <v>231624</v>
      </c>
      <c r="F3152" s="903">
        <v>2</v>
      </c>
      <c r="G3152" s="1025"/>
      <c r="H3152" s="690"/>
      <c r="I3152" s="1030">
        <v>18085580</v>
      </c>
      <c r="J3152" s="690">
        <v>17950965</v>
      </c>
      <c r="K3152" s="1030"/>
      <c r="L3152" s="690"/>
      <c r="M3152" s="1025"/>
      <c r="N3152" s="1030"/>
      <c r="O3152" s="692">
        <f t="shared" si="413"/>
        <v>0</v>
      </c>
      <c r="P3152" s="690"/>
      <c r="Q3152" s="690"/>
      <c r="R3152" s="691">
        <f t="shared" si="414"/>
        <v>0</v>
      </c>
      <c r="S3152" s="692">
        <f t="shared" si="415"/>
        <v>18085580</v>
      </c>
      <c r="T3152" s="693">
        <f t="shared" si="416"/>
        <v>17950965</v>
      </c>
      <c r="U3152" s="1035"/>
      <c r="V3152" s="690"/>
      <c r="W3152" s="1025"/>
      <c r="X3152" s="1030"/>
      <c r="Y3152" s="694">
        <f t="shared" si="417"/>
        <v>0</v>
      </c>
      <c r="Z3152" s="690"/>
      <c r="AA3152" s="690"/>
      <c r="AB3152" s="695">
        <f t="shared" si="418"/>
        <v>0</v>
      </c>
      <c r="AC3152" s="1035"/>
      <c r="AD3152" s="690"/>
      <c r="AE3152" s="1025"/>
      <c r="AF3152" s="1030"/>
      <c r="AG3152" s="690"/>
      <c r="AH3152" s="690"/>
      <c r="AI3152" s="696">
        <f t="shared" si="419"/>
        <v>18085580</v>
      </c>
      <c r="AJ3152" s="697">
        <f t="shared" si="420"/>
        <v>17950965</v>
      </c>
    </row>
    <row r="3153" spans="1:36" s="700" customFormat="1" ht="12.75" customHeight="1">
      <c r="A3153" s="773" t="s">
        <v>216</v>
      </c>
      <c r="B3153" s="773" t="s">
        <v>392</v>
      </c>
      <c r="C3153" s="901" t="s">
        <v>1781</v>
      </c>
      <c r="D3153" s="901"/>
      <c r="E3153" s="902">
        <v>234030</v>
      </c>
      <c r="F3153" s="903">
        <v>2</v>
      </c>
      <c r="G3153" s="1025">
        <v>134764309</v>
      </c>
      <c r="H3153" s="690">
        <f>159651857-28281751</f>
        <v>131370106</v>
      </c>
      <c r="I3153" s="1030">
        <v>2162500</v>
      </c>
      <c r="J3153" s="690">
        <v>3162500</v>
      </c>
      <c r="K3153" s="1030"/>
      <c r="L3153" s="690"/>
      <c r="M3153" s="1025">
        <v>199485524</v>
      </c>
      <c r="N3153" s="1030">
        <v>1237060</v>
      </c>
      <c r="O3153" s="692">
        <f t="shared" si="413"/>
        <v>200722584</v>
      </c>
      <c r="P3153" s="690">
        <v>225870617</v>
      </c>
      <c r="Q3153" s="690">
        <v>1854360</v>
      </c>
      <c r="R3153" s="691">
        <f t="shared" si="414"/>
        <v>227724977</v>
      </c>
      <c r="S3153" s="692">
        <f t="shared" si="415"/>
        <v>336412333</v>
      </c>
      <c r="T3153" s="693">
        <f t="shared" si="416"/>
        <v>360403223</v>
      </c>
      <c r="U3153" s="1035"/>
      <c r="V3153" s="690"/>
      <c r="W3153" s="1025"/>
      <c r="X3153" s="1030"/>
      <c r="Y3153" s="694">
        <f t="shared" si="417"/>
        <v>0</v>
      </c>
      <c r="Z3153" s="690"/>
      <c r="AA3153" s="690"/>
      <c r="AB3153" s="695">
        <f t="shared" si="418"/>
        <v>0</v>
      </c>
      <c r="AC3153" s="1035"/>
      <c r="AD3153" s="690"/>
      <c r="AE3153" s="1025"/>
      <c r="AF3153" s="1030"/>
      <c r="AG3153" s="690"/>
      <c r="AH3153" s="690"/>
      <c r="AI3153" s="696">
        <f t="shared" si="419"/>
        <v>336412333</v>
      </c>
      <c r="AJ3153" s="697">
        <f t="shared" si="420"/>
        <v>360403223</v>
      </c>
    </row>
    <row r="3154" spans="1:36" s="700" customFormat="1" ht="12.75" customHeight="1">
      <c r="A3154" s="773" t="s">
        <v>216</v>
      </c>
      <c r="B3154" s="773" t="s">
        <v>408</v>
      </c>
      <c r="C3154" s="989" t="s">
        <v>713</v>
      </c>
      <c r="D3154" s="989"/>
      <c r="E3154" s="902">
        <v>234030</v>
      </c>
      <c r="F3154" s="903">
        <v>2</v>
      </c>
      <c r="G3154" s="1025"/>
      <c r="H3154" s="690"/>
      <c r="I3154" s="1030"/>
      <c r="J3154" s="690"/>
      <c r="K3154" s="1030"/>
      <c r="L3154" s="690"/>
      <c r="M3154" s="1025"/>
      <c r="N3154" s="1030"/>
      <c r="O3154" s="692">
        <f t="shared" si="413"/>
        <v>0</v>
      </c>
      <c r="P3154" s="690"/>
      <c r="Q3154" s="690"/>
      <c r="R3154" s="691">
        <f t="shared" si="414"/>
        <v>0</v>
      </c>
      <c r="S3154" s="692">
        <f t="shared" si="415"/>
        <v>0</v>
      </c>
      <c r="T3154" s="693">
        <f t="shared" si="416"/>
        <v>0</v>
      </c>
      <c r="U3154" s="1035"/>
      <c r="V3154" s="690"/>
      <c r="W3154" s="1025"/>
      <c r="X3154" s="1030"/>
      <c r="Y3154" s="694">
        <f t="shared" si="417"/>
        <v>0</v>
      </c>
      <c r="Z3154" s="690"/>
      <c r="AA3154" s="690"/>
      <c r="AB3154" s="695">
        <f t="shared" si="418"/>
        <v>0</v>
      </c>
      <c r="AC3154" s="1035">
        <v>26966867</v>
      </c>
      <c r="AD3154" s="690">
        <v>28281751</v>
      </c>
      <c r="AE3154" s="1025">
        <v>34688941</v>
      </c>
      <c r="AF3154" s="1030"/>
      <c r="AG3154" s="690">
        <v>36739080</v>
      </c>
      <c r="AH3154" s="690"/>
      <c r="AI3154" s="696">
        <f t="shared" si="419"/>
        <v>61655808</v>
      </c>
      <c r="AJ3154" s="697">
        <f t="shared" si="420"/>
        <v>65020831</v>
      </c>
    </row>
    <row r="3155" spans="1:36" s="700" customFormat="1" ht="12.75" customHeight="1">
      <c r="A3155" s="773" t="s">
        <v>216</v>
      </c>
      <c r="B3155" s="773" t="s">
        <v>392</v>
      </c>
      <c r="C3155" s="774" t="s">
        <v>1782</v>
      </c>
      <c r="D3155" s="774"/>
      <c r="E3155" s="902">
        <v>232423</v>
      </c>
      <c r="F3155" s="903">
        <v>3</v>
      </c>
      <c r="G3155" s="1025">
        <v>65091186</v>
      </c>
      <c r="H3155" s="690">
        <v>63577853</v>
      </c>
      <c r="I3155" s="1030"/>
      <c r="J3155" s="690"/>
      <c r="K3155" s="1030"/>
      <c r="L3155" s="690"/>
      <c r="M3155" s="1025">
        <v>142174528</v>
      </c>
      <c r="N3155" s="1030">
        <v>1569990</v>
      </c>
      <c r="O3155" s="692">
        <f t="shared" si="413"/>
        <v>143744518</v>
      </c>
      <c r="P3155" s="690">
        <v>156573962</v>
      </c>
      <c r="Q3155" s="690">
        <v>2430855</v>
      </c>
      <c r="R3155" s="691">
        <f t="shared" si="414"/>
        <v>159004817</v>
      </c>
      <c r="S3155" s="692">
        <f t="shared" si="415"/>
        <v>207265714</v>
      </c>
      <c r="T3155" s="693">
        <f t="shared" si="416"/>
        <v>220151815</v>
      </c>
      <c r="U3155" s="1035"/>
      <c r="V3155" s="690"/>
      <c r="W3155" s="1025"/>
      <c r="X3155" s="1030"/>
      <c r="Y3155" s="694">
        <f t="shared" si="417"/>
        <v>0</v>
      </c>
      <c r="Z3155" s="690"/>
      <c r="AA3155" s="690"/>
      <c r="AB3155" s="695">
        <f t="shared" si="418"/>
        <v>0</v>
      </c>
      <c r="AC3155" s="1035"/>
      <c r="AD3155" s="690"/>
      <c r="AE3155" s="1025"/>
      <c r="AF3155" s="1030"/>
      <c r="AG3155" s="690"/>
      <c r="AH3155" s="690"/>
      <c r="AI3155" s="696">
        <f t="shared" si="419"/>
        <v>207265714</v>
      </c>
      <c r="AJ3155" s="697">
        <f t="shared" si="420"/>
        <v>220151815</v>
      </c>
    </row>
    <row r="3156" spans="1:36" s="700" customFormat="1" ht="12.75" customHeight="1">
      <c r="A3156" s="773" t="s">
        <v>216</v>
      </c>
      <c r="B3156" s="773" t="s">
        <v>392</v>
      </c>
      <c r="C3156" s="901" t="s">
        <v>1783</v>
      </c>
      <c r="D3156" s="901"/>
      <c r="E3156" s="988">
        <v>232937</v>
      </c>
      <c r="F3156" s="782">
        <v>3</v>
      </c>
      <c r="G3156" s="1025">
        <v>39798642</v>
      </c>
      <c r="H3156" s="690">
        <v>39807466</v>
      </c>
      <c r="I3156" s="1030"/>
      <c r="J3156" s="690"/>
      <c r="K3156" s="1030"/>
      <c r="L3156" s="690"/>
      <c r="M3156" s="1025">
        <v>29232671</v>
      </c>
      <c r="N3156" s="1030">
        <v>286560</v>
      </c>
      <c r="O3156" s="692">
        <f t="shared" si="413"/>
        <v>29519231</v>
      </c>
      <c r="P3156" s="690">
        <v>32852936</v>
      </c>
      <c r="Q3156" s="690">
        <v>433605</v>
      </c>
      <c r="R3156" s="691">
        <f t="shared" si="414"/>
        <v>33286541</v>
      </c>
      <c r="S3156" s="692">
        <f t="shared" si="415"/>
        <v>69031313</v>
      </c>
      <c r="T3156" s="693">
        <f t="shared" si="416"/>
        <v>72660402</v>
      </c>
      <c r="U3156" s="1035"/>
      <c r="V3156" s="690"/>
      <c r="W3156" s="1025"/>
      <c r="X3156" s="1030"/>
      <c r="Y3156" s="694">
        <f t="shared" si="417"/>
        <v>0</v>
      </c>
      <c r="Z3156" s="690"/>
      <c r="AA3156" s="690"/>
      <c r="AB3156" s="695">
        <f t="shared" si="418"/>
        <v>0</v>
      </c>
      <c r="AC3156" s="1035"/>
      <c r="AD3156" s="690"/>
      <c r="AE3156" s="1025"/>
      <c r="AF3156" s="1030"/>
      <c r="AG3156" s="690"/>
      <c r="AH3156" s="690"/>
      <c r="AI3156" s="696">
        <f t="shared" si="419"/>
        <v>69031313</v>
      </c>
      <c r="AJ3156" s="697">
        <f t="shared" si="420"/>
        <v>72660402</v>
      </c>
    </row>
    <row r="3157" spans="1:36" s="700" customFormat="1" ht="12.75" customHeight="1">
      <c r="A3157" s="773" t="s">
        <v>216</v>
      </c>
      <c r="B3157" s="773" t="s">
        <v>392</v>
      </c>
      <c r="C3157" s="901" t="s">
        <v>1784</v>
      </c>
      <c r="D3157" s="901"/>
      <c r="E3157" s="988">
        <v>233277</v>
      </c>
      <c r="F3157" s="782">
        <v>4</v>
      </c>
      <c r="G3157" s="1025">
        <v>43060697</v>
      </c>
      <c r="H3157" s="690">
        <v>42386924</v>
      </c>
      <c r="I3157" s="1030"/>
      <c r="J3157" s="690"/>
      <c r="K3157" s="1030"/>
      <c r="L3157" s="690"/>
      <c r="M3157" s="1025">
        <v>46173593</v>
      </c>
      <c r="N3157" s="1030">
        <v>205840</v>
      </c>
      <c r="O3157" s="692">
        <f t="shared" si="413"/>
        <v>46379433</v>
      </c>
      <c r="P3157" s="690">
        <v>51024321</v>
      </c>
      <c r="Q3157" s="690">
        <v>304470</v>
      </c>
      <c r="R3157" s="691">
        <f t="shared" si="414"/>
        <v>51328791</v>
      </c>
      <c r="S3157" s="692">
        <f t="shared" si="415"/>
        <v>89234290</v>
      </c>
      <c r="T3157" s="693">
        <f t="shared" si="416"/>
        <v>93411245</v>
      </c>
      <c r="U3157" s="1035"/>
      <c r="V3157" s="690"/>
      <c r="W3157" s="1025"/>
      <c r="X3157" s="1030"/>
      <c r="Y3157" s="694">
        <f t="shared" si="417"/>
        <v>0</v>
      </c>
      <c r="Z3157" s="690"/>
      <c r="AA3157" s="690"/>
      <c r="AB3157" s="695">
        <f t="shared" si="418"/>
        <v>0</v>
      </c>
      <c r="AC3157" s="1035"/>
      <c r="AD3157" s="690"/>
      <c r="AE3157" s="1025"/>
      <c r="AF3157" s="1030"/>
      <c r="AG3157" s="690"/>
      <c r="AH3157" s="690"/>
      <c r="AI3157" s="696">
        <f t="shared" si="419"/>
        <v>89234290</v>
      </c>
      <c r="AJ3157" s="697">
        <f t="shared" si="420"/>
        <v>93411245</v>
      </c>
    </row>
    <row r="3158" spans="1:36" s="700" customFormat="1" ht="12.75" customHeight="1">
      <c r="A3158" s="773" t="s">
        <v>216</v>
      </c>
      <c r="B3158" s="773" t="s">
        <v>392</v>
      </c>
      <c r="C3158" s="901" t="s">
        <v>1785</v>
      </c>
      <c r="D3158" s="901"/>
      <c r="E3158" s="988">
        <v>231712</v>
      </c>
      <c r="F3158" s="782">
        <v>5</v>
      </c>
      <c r="G3158" s="1025">
        <v>23781712</v>
      </c>
      <c r="H3158" s="690">
        <v>23381851</v>
      </c>
      <c r="I3158" s="1030">
        <v>362500</v>
      </c>
      <c r="J3158" s="690">
        <v>26875</v>
      </c>
      <c r="K3158" s="1030"/>
      <c r="L3158" s="690"/>
      <c r="M3158" s="1025">
        <v>23541362</v>
      </c>
      <c r="N3158" s="1030">
        <v>57130</v>
      </c>
      <c r="O3158" s="692">
        <f t="shared" si="413"/>
        <v>23598492</v>
      </c>
      <c r="P3158" s="690">
        <v>26344035</v>
      </c>
      <c r="Q3158" s="690">
        <v>101790</v>
      </c>
      <c r="R3158" s="691">
        <f t="shared" si="414"/>
        <v>26445825</v>
      </c>
      <c r="S3158" s="692">
        <f t="shared" si="415"/>
        <v>47685574</v>
      </c>
      <c r="T3158" s="693">
        <f t="shared" si="416"/>
        <v>49752761</v>
      </c>
      <c r="U3158" s="1035"/>
      <c r="V3158" s="690"/>
      <c r="W3158" s="1025"/>
      <c r="X3158" s="1030"/>
      <c r="Y3158" s="694">
        <f t="shared" si="417"/>
        <v>0</v>
      </c>
      <c r="Z3158" s="690"/>
      <c r="AA3158" s="690"/>
      <c r="AB3158" s="695">
        <f t="shared" si="418"/>
        <v>0</v>
      </c>
      <c r="AC3158" s="1035"/>
      <c r="AD3158" s="690"/>
      <c r="AE3158" s="1025"/>
      <c r="AF3158" s="1030"/>
      <c r="AG3158" s="690"/>
      <c r="AH3158" s="690"/>
      <c r="AI3158" s="696">
        <f t="shared" si="419"/>
        <v>47685574</v>
      </c>
      <c r="AJ3158" s="697">
        <f t="shared" si="420"/>
        <v>49752761</v>
      </c>
    </row>
    <row r="3159" spans="1:36" s="700" customFormat="1" ht="12.75" customHeight="1">
      <c r="A3159" s="773" t="s">
        <v>216</v>
      </c>
      <c r="B3159" s="773" t="s">
        <v>392</v>
      </c>
      <c r="C3159" s="774" t="s">
        <v>1786</v>
      </c>
      <c r="D3159" s="774"/>
      <c r="E3159" s="902">
        <v>234155</v>
      </c>
      <c r="F3159" s="903">
        <v>4</v>
      </c>
      <c r="G3159" s="1025">
        <v>30133409</v>
      </c>
      <c r="H3159" s="690">
        <v>30129353</v>
      </c>
      <c r="I3159" s="1030"/>
      <c r="J3159" s="690"/>
      <c r="K3159" s="1030"/>
      <c r="L3159" s="690"/>
      <c r="M3159" s="1025">
        <v>31407781</v>
      </c>
      <c r="N3159" s="1030">
        <v>405790</v>
      </c>
      <c r="O3159" s="692">
        <f t="shared" si="413"/>
        <v>31813571</v>
      </c>
      <c r="P3159" s="690">
        <v>33741620</v>
      </c>
      <c r="Q3159" s="690">
        <v>749985</v>
      </c>
      <c r="R3159" s="691">
        <f t="shared" si="414"/>
        <v>34491605</v>
      </c>
      <c r="S3159" s="692">
        <f t="shared" si="415"/>
        <v>61541190</v>
      </c>
      <c r="T3159" s="693">
        <f t="shared" si="416"/>
        <v>63870973</v>
      </c>
      <c r="U3159" s="1035"/>
      <c r="V3159" s="690"/>
      <c r="W3159" s="1025"/>
      <c r="X3159" s="1030"/>
      <c r="Y3159" s="694">
        <f t="shared" si="417"/>
        <v>0</v>
      </c>
      <c r="Z3159" s="690"/>
      <c r="AA3159" s="690"/>
      <c r="AB3159" s="695">
        <f t="shared" si="418"/>
        <v>0</v>
      </c>
      <c r="AC3159" s="1035"/>
      <c r="AD3159" s="690"/>
      <c r="AE3159" s="1025"/>
      <c r="AF3159" s="1030"/>
      <c r="AG3159" s="690"/>
      <c r="AH3159" s="690"/>
      <c r="AI3159" s="696">
        <f t="shared" si="419"/>
        <v>61541190</v>
      </c>
      <c r="AJ3159" s="697">
        <f t="shared" si="420"/>
        <v>63870973</v>
      </c>
    </row>
    <row r="3160" spans="1:36" s="700" customFormat="1" ht="12.75" customHeight="1">
      <c r="A3160" s="773" t="s">
        <v>216</v>
      </c>
      <c r="B3160" s="773" t="s">
        <v>396</v>
      </c>
      <c r="C3160" s="990" t="s">
        <v>385</v>
      </c>
      <c r="D3160" s="990"/>
      <c r="E3160" s="902">
        <v>234155</v>
      </c>
      <c r="F3160" s="903">
        <v>4</v>
      </c>
      <c r="G3160" s="1025"/>
      <c r="H3160" s="690"/>
      <c r="I3160" s="1030">
        <v>4693168</v>
      </c>
      <c r="J3160" s="690">
        <v>5104160</v>
      </c>
      <c r="K3160" s="1030"/>
      <c r="L3160" s="690"/>
      <c r="M3160" s="1025"/>
      <c r="N3160" s="1030"/>
      <c r="O3160" s="692">
        <f t="shared" si="413"/>
        <v>0</v>
      </c>
      <c r="P3160" s="690"/>
      <c r="Q3160" s="690"/>
      <c r="R3160" s="691">
        <f t="shared" si="414"/>
        <v>0</v>
      </c>
      <c r="S3160" s="692">
        <f t="shared" si="415"/>
        <v>4693168</v>
      </c>
      <c r="T3160" s="693">
        <f t="shared" si="416"/>
        <v>5104160</v>
      </c>
      <c r="U3160" s="1035"/>
      <c r="V3160" s="690"/>
      <c r="W3160" s="1025"/>
      <c r="X3160" s="1030"/>
      <c r="Y3160" s="694">
        <f t="shared" si="417"/>
        <v>0</v>
      </c>
      <c r="Z3160" s="690"/>
      <c r="AA3160" s="690"/>
      <c r="AB3160" s="695">
        <f t="shared" si="418"/>
        <v>0</v>
      </c>
      <c r="AC3160" s="1035"/>
      <c r="AD3160" s="690"/>
      <c r="AE3160" s="1025"/>
      <c r="AF3160" s="1030"/>
      <c r="AG3160" s="690"/>
      <c r="AH3160" s="690"/>
      <c r="AI3160" s="696">
        <f t="shared" si="419"/>
        <v>4693168</v>
      </c>
      <c r="AJ3160" s="697">
        <f t="shared" si="420"/>
        <v>5104160</v>
      </c>
    </row>
    <row r="3161" spans="1:36" s="700" customFormat="1" ht="12.75" customHeight="1">
      <c r="A3161" s="773" t="s">
        <v>216</v>
      </c>
      <c r="B3161" s="773" t="s">
        <v>392</v>
      </c>
      <c r="C3161" s="1076" t="s">
        <v>1787</v>
      </c>
      <c r="D3161" s="1110" t="s">
        <v>1985</v>
      </c>
      <c r="E3161" s="902">
        <v>232566</v>
      </c>
      <c r="F3161" s="903">
        <v>5</v>
      </c>
      <c r="G3161" s="1025">
        <v>24146592</v>
      </c>
      <c r="H3161" s="690">
        <v>23855610</v>
      </c>
      <c r="I3161" s="1030"/>
      <c r="J3161" s="690"/>
      <c r="K3161" s="1030"/>
      <c r="L3161" s="690"/>
      <c r="M3161" s="1025">
        <v>23569333</v>
      </c>
      <c r="N3161" s="1030">
        <v>76210</v>
      </c>
      <c r="O3161" s="692">
        <f t="shared" si="413"/>
        <v>23645543</v>
      </c>
      <c r="P3161" s="690">
        <v>26735943</v>
      </c>
      <c r="Q3161" s="690">
        <v>118410</v>
      </c>
      <c r="R3161" s="691">
        <f t="shared" si="414"/>
        <v>26854353</v>
      </c>
      <c r="S3161" s="692">
        <f t="shared" si="415"/>
        <v>47715925</v>
      </c>
      <c r="T3161" s="693">
        <f t="shared" si="416"/>
        <v>50591553</v>
      </c>
      <c r="U3161" s="1035"/>
      <c r="V3161" s="690"/>
      <c r="W3161" s="1025"/>
      <c r="X3161" s="1030"/>
      <c r="Y3161" s="694">
        <f t="shared" si="417"/>
        <v>0</v>
      </c>
      <c r="Z3161" s="690"/>
      <c r="AA3161" s="690"/>
      <c r="AB3161" s="695">
        <f t="shared" si="418"/>
        <v>0</v>
      </c>
      <c r="AC3161" s="1035"/>
      <c r="AD3161" s="690"/>
      <c r="AE3161" s="1025"/>
      <c r="AF3161" s="1030"/>
      <c r="AG3161" s="690"/>
      <c r="AH3161" s="690"/>
      <c r="AI3161" s="696">
        <f t="shared" si="419"/>
        <v>47715925</v>
      </c>
      <c r="AJ3161" s="697">
        <f t="shared" si="420"/>
        <v>50591553</v>
      </c>
    </row>
    <row r="3162" spans="1:36" s="700" customFormat="1" ht="12.75" customHeight="1">
      <c r="A3162" s="773" t="s">
        <v>216</v>
      </c>
      <c r="B3162" s="773" t="s">
        <v>392</v>
      </c>
      <c r="C3162" s="991" t="s">
        <v>1788</v>
      </c>
      <c r="D3162" s="991"/>
      <c r="E3162" s="902">
        <v>232681</v>
      </c>
      <c r="F3162" s="903">
        <v>5</v>
      </c>
      <c r="G3162" s="1025">
        <v>19153410</v>
      </c>
      <c r="H3162" s="690">
        <v>18987067</v>
      </c>
      <c r="I3162" s="1030"/>
      <c r="J3162" s="690"/>
      <c r="K3162" s="1030"/>
      <c r="L3162" s="690"/>
      <c r="M3162" s="1025">
        <v>34808236</v>
      </c>
      <c r="N3162" s="1030">
        <v>292450</v>
      </c>
      <c r="O3162" s="692">
        <f t="shared" si="413"/>
        <v>35100686</v>
      </c>
      <c r="P3162" s="690">
        <v>36893236</v>
      </c>
      <c r="Q3162" s="690">
        <v>422985</v>
      </c>
      <c r="R3162" s="691">
        <f t="shared" si="414"/>
        <v>37316221</v>
      </c>
      <c r="S3162" s="692">
        <f t="shared" si="415"/>
        <v>53961646</v>
      </c>
      <c r="T3162" s="693">
        <f t="shared" si="416"/>
        <v>55880303</v>
      </c>
      <c r="U3162" s="1035"/>
      <c r="V3162" s="690"/>
      <c r="W3162" s="1025"/>
      <c r="X3162" s="1030"/>
      <c r="Y3162" s="694">
        <f t="shared" si="417"/>
        <v>0</v>
      </c>
      <c r="Z3162" s="690"/>
      <c r="AA3162" s="690"/>
      <c r="AB3162" s="695">
        <f t="shared" si="418"/>
        <v>0</v>
      </c>
      <c r="AC3162" s="1035"/>
      <c r="AD3162" s="690"/>
      <c r="AE3162" s="1025"/>
      <c r="AF3162" s="1030"/>
      <c r="AG3162" s="690"/>
      <c r="AH3162" s="690"/>
      <c r="AI3162" s="696">
        <f t="shared" si="419"/>
        <v>53961646</v>
      </c>
      <c r="AJ3162" s="697">
        <f t="shared" si="420"/>
        <v>55880303</v>
      </c>
    </row>
    <row r="3163" spans="1:36" s="700" customFormat="1" ht="12.75" customHeight="1">
      <c r="A3163" s="773" t="s">
        <v>216</v>
      </c>
      <c r="B3163" s="773" t="s">
        <v>392</v>
      </c>
      <c r="C3163" s="774" t="s">
        <v>1789</v>
      </c>
      <c r="D3163" s="774"/>
      <c r="E3163" s="902">
        <v>233897</v>
      </c>
      <c r="F3163" s="903">
        <v>6</v>
      </c>
      <c r="G3163" s="1025">
        <v>12373725</v>
      </c>
      <c r="H3163" s="690">
        <v>11829222</v>
      </c>
      <c r="I3163" s="1030"/>
      <c r="J3163" s="690"/>
      <c r="K3163" s="1030"/>
      <c r="L3163" s="690"/>
      <c r="M3163" s="1025">
        <v>6082463</v>
      </c>
      <c r="N3163" s="1030">
        <v>26960</v>
      </c>
      <c r="O3163" s="692">
        <f t="shared" si="413"/>
        <v>6109423</v>
      </c>
      <c r="P3163" s="690">
        <v>6727326</v>
      </c>
      <c r="Q3163" s="690">
        <v>35108</v>
      </c>
      <c r="R3163" s="691">
        <f t="shared" si="414"/>
        <v>6762434</v>
      </c>
      <c r="S3163" s="692">
        <f t="shared" si="415"/>
        <v>18456188</v>
      </c>
      <c r="T3163" s="693">
        <f t="shared" si="416"/>
        <v>18556548</v>
      </c>
      <c r="U3163" s="1035"/>
      <c r="V3163" s="690"/>
      <c r="W3163" s="1025"/>
      <c r="X3163" s="1030"/>
      <c r="Y3163" s="694">
        <f t="shared" si="417"/>
        <v>0</v>
      </c>
      <c r="Z3163" s="690"/>
      <c r="AA3163" s="690"/>
      <c r="AB3163" s="695">
        <f t="shared" si="418"/>
        <v>0</v>
      </c>
      <c r="AC3163" s="1035"/>
      <c r="AD3163" s="690"/>
      <c r="AE3163" s="1025"/>
      <c r="AF3163" s="1030"/>
      <c r="AG3163" s="690"/>
      <c r="AH3163" s="690"/>
      <c r="AI3163" s="696">
        <f t="shared" si="419"/>
        <v>18456188</v>
      </c>
      <c r="AJ3163" s="697">
        <f t="shared" si="420"/>
        <v>18556548</v>
      </c>
    </row>
    <row r="3164" spans="1:36" s="700" customFormat="1" ht="12.75" customHeight="1">
      <c r="A3164" s="773" t="s">
        <v>216</v>
      </c>
      <c r="B3164" s="773" t="s">
        <v>392</v>
      </c>
      <c r="C3164" s="774" t="s">
        <v>1790</v>
      </c>
      <c r="D3164" s="774"/>
      <c r="E3164" s="902">
        <v>232414</v>
      </c>
      <c r="F3164" s="903">
        <v>8</v>
      </c>
      <c r="G3164" s="1025"/>
      <c r="H3164" s="690"/>
      <c r="I3164" s="1030"/>
      <c r="J3164" s="690"/>
      <c r="K3164" s="1030"/>
      <c r="L3164" s="690"/>
      <c r="M3164" s="1025"/>
      <c r="N3164" s="1030"/>
      <c r="O3164" s="692">
        <f t="shared" si="413"/>
        <v>0</v>
      </c>
      <c r="P3164" s="690"/>
      <c r="Q3164" s="690"/>
      <c r="R3164" s="691">
        <f t="shared" si="414"/>
        <v>0</v>
      </c>
      <c r="S3164" s="692">
        <f t="shared" si="415"/>
        <v>0</v>
      </c>
      <c r="T3164" s="693">
        <f t="shared" si="416"/>
        <v>0</v>
      </c>
      <c r="U3164" s="1035"/>
      <c r="V3164" s="690"/>
      <c r="W3164" s="1025"/>
      <c r="X3164" s="1030"/>
      <c r="Y3164" s="694">
        <f t="shared" si="417"/>
        <v>0</v>
      </c>
      <c r="Z3164" s="690"/>
      <c r="AA3164" s="690"/>
      <c r="AB3164" s="695">
        <f t="shared" si="418"/>
        <v>0</v>
      </c>
      <c r="AC3164" s="1035"/>
      <c r="AD3164" s="690"/>
      <c r="AE3164" s="1025"/>
      <c r="AF3164" s="1030"/>
      <c r="AG3164" s="690"/>
      <c r="AH3164" s="690"/>
      <c r="AI3164" s="696">
        <f t="shared" si="419"/>
        <v>0</v>
      </c>
      <c r="AJ3164" s="697">
        <f t="shared" si="420"/>
        <v>0</v>
      </c>
    </row>
    <row r="3165" spans="1:36" s="700" customFormat="1" ht="12.75" customHeight="1">
      <c r="A3165" s="773" t="s">
        <v>216</v>
      </c>
      <c r="B3165" s="773" t="s">
        <v>392</v>
      </c>
      <c r="C3165" s="774" t="s">
        <v>1791</v>
      </c>
      <c r="D3165" s="774"/>
      <c r="E3165" s="902">
        <v>232946</v>
      </c>
      <c r="F3165" s="903">
        <v>8</v>
      </c>
      <c r="G3165" s="1025"/>
      <c r="H3165" s="690"/>
      <c r="I3165" s="1030"/>
      <c r="J3165" s="690"/>
      <c r="K3165" s="1030"/>
      <c r="L3165" s="690"/>
      <c r="M3165" s="1025"/>
      <c r="N3165" s="1030"/>
      <c r="O3165" s="692">
        <f t="shared" si="413"/>
        <v>0</v>
      </c>
      <c r="P3165" s="690"/>
      <c r="Q3165" s="690"/>
      <c r="R3165" s="691">
        <f t="shared" si="414"/>
        <v>0</v>
      </c>
      <c r="S3165" s="692">
        <f t="shared" si="415"/>
        <v>0</v>
      </c>
      <c r="T3165" s="693">
        <f t="shared" si="416"/>
        <v>0</v>
      </c>
      <c r="U3165" s="1035"/>
      <c r="V3165" s="690"/>
      <c r="W3165" s="1025"/>
      <c r="X3165" s="1030"/>
      <c r="Y3165" s="694">
        <f t="shared" si="417"/>
        <v>0</v>
      </c>
      <c r="Z3165" s="690"/>
      <c r="AA3165" s="690"/>
      <c r="AB3165" s="695">
        <f t="shared" si="418"/>
        <v>0</v>
      </c>
      <c r="AC3165" s="1035"/>
      <c r="AD3165" s="690"/>
      <c r="AE3165" s="1025"/>
      <c r="AF3165" s="1030"/>
      <c r="AG3165" s="690"/>
      <c r="AH3165" s="690"/>
      <c r="AI3165" s="696">
        <f t="shared" si="419"/>
        <v>0</v>
      </c>
      <c r="AJ3165" s="697">
        <f t="shared" si="420"/>
        <v>0</v>
      </c>
    </row>
    <row r="3166" spans="1:36" s="700" customFormat="1" ht="12.75" customHeight="1">
      <c r="A3166" s="773" t="s">
        <v>216</v>
      </c>
      <c r="B3166" s="773" t="s">
        <v>392</v>
      </c>
      <c r="C3166" s="774" t="s">
        <v>1792</v>
      </c>
      <c r="D3166" s="774"/>
      <c r="E3166" s="902">
        <v>233754</v>
      </c>
      <c r="F3166" s="903">
        <v>8</v>
      </c>
      <c r="G3166" s="1025"/>
      <c r="H3166" s="690"/>
      <c r="I3166" s="1030"/>
      <c r="J3166" s="690"/>
      <c r="K3166" s="1030"/>
      <c r="L3166" s="690"/>
      <c r="M3166" s="1025"/>
      <c r="N3166" s="1030"/>
      <c r="O3166" s="692">
        <f t="shared" si="413"/>
        <v>0</v>
      </c>
      <c r="P3166" s="690"/>
      <c r="Q3166" s="690"/>
      <c r="R3166" s="691">
        <f t="shared" si="414"/>
        <v>0</v>
      </c>
      <c r="S3166" s="692">
        <f t="shared" si="415"/>
        <v>0</v>
      </c>
      <c r="T3166" s="693">
        <f t="shared" si="416"/>
        <v>0</v>
      </c>
      <c r="U3166" s="1035"/>
      <c r="V3166" s="690"/>
      <c r="W3166" s="1025"/>
      <c r="X3166" s="1030"/>
      <c r="Y3166" s="694">
        <f t="shared" si="417"/>
        <v>0</v>
      </c>
      <c r="Z3166" s="690"/>
      <c r="AA3166" s="690"/>
      <c r="AB3166" s="695">
        <f t="shared" si="418"/>
        <v>0</v>
      </c>
      <c r="AC3166" s="1035"/>
      <c r="AD3166" s="690"/>
      <c r="AE3166" s="1025"/>
      <c r="AF3166" s="1030"/>
      <c r="AG3166" s="690"/>
      <c r="AH3166" s="690"/>
      <c r="AI3166" s="696">
        <f t="shared" si="419"/>
        <v>0</v>
      </c>
      <c r="AJ3166" s="697">
        <f t="shared" si="420"/>
        <v>0</v>
      </c>
    </row>
    <row r="3167" spans="1:36" s="700" customFormat="1" ht="12.75" customHeight="1">
      <c r="A3167" s="773" t="s">
        <v>216</v>
      </c>
      <c r="B3167" s="773" t="s">
        <v>392</v>
      </c>
      <c r="C3167" s="774" t="s">
        <v>1793</v>
      </c>
      <c r="D3167" s="774"/>
      <c r="E3167" s="902">
        <v>233772</v>
      </c>
      <c r="F3167" s="903">
        <v>8</v>
      </c>
      <c r="G3167" s="1025"/>
      <c r="H3167" s="690"/>
      <c r="I3167" s="1030"/>
      <c r="J3167" s="690"/>
      <c r="K3167" s="1030"/>
      <c r="L3167" s="690"/>
      <c r="M3167" s="1025"/>
      <c r="N3167" s="1030"/>
      <c r="O3167" s="692">
        <f t="shared" si="413"/>
        <v>0</v>
      </c>
      <c r="P3167" s="690"/>
      <c r="Q3167" s="690"/>
      <c r="R3167" s="691">
        <f t="shared" si="414"/>
        <v>0</v>
      </c>
      <c r="S3167" s="692">
        <f t="shared" si="415"/>
        <v>0</v>
      </c>
      <c r="T3167" s="693">
        <f t="shared" si="416"/>
        <v>0</v>
      </c>
      <c r="U3167" s="1035"/>
      <c r="V3167" s="690"/>
      <c r="W3167" s="1025"/>
      <c r="X3167" s="1030"/>
      <c r="Y3167" s="694">
        <f t="shared" si="417"/>
        <v>0</v>
      </c>
      <c r="Z3167" s="690"/>
      <c r="AA3167" s="690"/>
      <c r="AB3167" s="695">
        <f t="shared" si="418"/>
        <v>0</v>
      </c>
      <c r="AC3167" s="1035"/>
      <c r="AD3167" s="690"/>
      <c r="AE3167" s="1025"/>
      <c r="AF3167" s="1030"/>
      <c r="AG3167" s="690"/>
      <c r="AH3167" s="690"/>
      <c r="AI3167" s="696">
        <f t="shared" si="419"/>
        <v>0</v>
      </c>
      <c r="AJ3167" s="697">
        <f t="shared" si="420"/>
        <v>0</v>
      </c>
    </row>
    <row r="3168" spans="1:36" s="700" customFormat="1" ht="12.75" customHeight="1">
      <c r="A3168" s="773" t="s">
        <v>216</v>
      </c>
      <c r="B3168" s="773" t="s">
        <v>392</v>
      </c>
      <c r="C3168" s="774" t="s">
        <v>1794</v>
      </c>
      <c r="D3168" s="774"/>
      <c r="E3168" s="902">
        <v>231536</v>
      </c>
      <c r="F3168" s="903">
        <v>9</v>
      </c>
      <c r="G3168" s="1025"/>
      <c r="H3168" s="690"/>
      <c r="I3168" s="1030"/>
      <c r="J3168" s="690"/>
      <c r="K3168" s="1030"/>
      <c r="L3168" s="690"/>
      <c r="M3168" s="1025"/>
      <c r="N3168" s="1030"/>
      <c r="O3168" s="692">
        <f t="shared" si="413"/>
        <v>0</v>
      </c>
      <c r="P3168" s="690"/>
      <c r="Q3168" s="690"/>
      <c r="R3168" s="691">
        <f t="shared" si="414"/>
        <v>0</v>
      </c>
      <c r="S3168" s="692">
        <f t="shared" si="415"/>
        <v>0</v>
      </c>
      <c r="T3168" s="693">
        <f t="shared" si="416"/>
        <v>0</v>
      </c>
      <c r="U3168" s="1035"/>
      <c r="V3168" s="690"/>
      <c r="W3168" s="1025"/>
      <c r="X3168" s="1030"/>
      <c r="Y3168" s="694">
        <f t="shared" si="417"/>
        <v>0</v>
      </c>
      <c r="Z3168" s="690"/>
      <c r="AA3168" s="690"/>
      <c r="AB3168" s="695">
        <f t="shared" si="418"/>
        <v>0</v>
      </c>
      <c r="AC3168" s="1035"/>
      <c r="AD3168" s="690"/>
      <c r="AE3168" s="1025"/>
      <c r="AF3168" s="1030"/>
      <c r="AG3168" s="690"/>
      <c r="AH3168" s="690"/>
      <c r="AI3168" s="696">
        <f t="shared" si="419"/>
        <v>0</v>
      </c>
      <c r="AJ3168" s="697">
        <f t="shared" si="420"/>
        <v>0</v>
      </c>
    </row>
    <row r="3169" spans="1:36" s="700" customFormat="1" ht="12.75" customHeight="1">
      <c r="A3169" s="773" t="s">
        <v>216</v>
      </c>
      <c r="B3169" s="773" t="s">
        <v>392</v>
      </c>
      <c r="C3169" s="774" t="s">
        <v>1795</v>
      </c>
      <c r="D3169" s="774"/>
      <c r="E3169" s="902">
        <v>231697</v>
      </c>
      <c r="F3169" s="903">
        <v>9</v>
      </c>
      <c r="G3169" s="1025"/>
      <c r="H3169" s="690"/>
      <c r="I3169" s="1030"/>
      <c r="J3169" s="690"/>
      <c r="K3169" s="1030"/>
      <c r="L3169" s="690"/>
      <c r="M3169" s="1025"/>
      <c r="N3169" s="1030"/>
      <c r="O3169" s="692">
        <f t="shared" si="413"/>
        <v>0</v>
      </c>
      <c r="P3169" s="690"/>
      <c r="Q3169" s="690"/>
      <c r="R3169" s="691">
        <f t="shared" si="414"/>
        <v>0</v>
      </c>
      <c r="S3169" s="692">
        <f t="shared" si="415"/>
        <v>0</v>
      </c>
      <c r="T3169" s="693">
        <f t="shared" si="416"/>
        <v>0</v>
      </c>
      <c r="U3169" s="1035"/>
      <c r="V3169" s="690"/>
      <c r="W3169" s="1025"/>
      <c r="X3169" s="1030"/>
      <c r="Y3169" s="694">
        <f t="shared" si="417"/>
        <v>0</v>
      </c>
      <c r="Z3169" s="690"/>
      <c r="AA3169" s="690"/>
      <c r="AB3169" s="695">
        <f t="shared" si="418"/>
        <v>0</v>
      </c>
      <c r="AC3169" s="1035"/>
      <c r="AD3169" s="690"/>
      <c r="AE3169" s="1025"/>
      <c r="AF3169" s="1030"/>
      <c r="AG3169" s="690"/>
      <c r="AH3169" s="690"/>
      <c r="AI3169" s="696">
        <f t="shared" si="419"/>
        <v>0</v>
      </c>
      <c r="AJ3169" s="697">
        <f t="shared" si="420"/>
        <v>0</v>
      </c>
    </row>
    <row r="3170" spans="1:36" s="700" customFormat="1" ht="12.75" customHeight="1">
      <c r="A3170" s="773" t="s">
        <v>216</v>
      </c>
      <c r="B3170" s="773" t="s">
        <v>392</v>
      </c>
      <c r="C3170" s="774" t="s">
        <v>1796</v>
      </c>
      <c r="D3170" s="774"/>
      <c r="E3170" s="902">
        <v>231882</v>
      </c>
      <c r="F3170" s="903">
        <v>9</v>
      </c>
      <c r="G3170" s="1025"/>
      <c r="H3170" s="690"/>
      <c r="I3170" s="1030"/>
      <c r="J3170" s="690"/>
      <c r="K3170" s="1030"/>
      <c r="L3170" s="690"/>
      <c r="M3170" s="1025"/>
      <c r="N3170" s="1030"/>
      <c r="O3170" s="692">
        <f t="shared" si="413"/>
        <v>0</v>
      </c>
      <c r="P3170" s="690"/>
      <c r="Q3170" s="690"/>
      <c r="R3170" s="691">
        <f t="shared" si="414"/>
        <v>0</v>
      </c>
      <c r="S3170" s="692">
        <f t="shared" si="415"/>
        <v>0</v>
      </c>
      <c r="T3170" s="693">
        <f t="shared" si="416"/>
        <v>0</v>
      </c>
      <c r="U3170" s="1035"/>
      <c r="V3170" s="690"/>
      <c r="W3170" s="1025"/>
      <c r="X3170" s="1030"/>
      <c r="Y3170" s="694">
        <f t="shared" si="417"/>
        <v>0</v>
      </c>
      <c r="Z3170" s="690"/>
      <c r="AA3170" s="690"/>
      <c r="AB3170" s="695">
        <f t="shared" si="418"/>
        <v>0</v>
      </c>
      <c r="AC3170" s="1035"/>
      <c r="AD3170" s="690"/>
      <c r="AE3170" s="1025"/>
      <c r="AF3170" s="1030"/>
      <c r="AG3170" s="690"/>
      <c r="AH3170" s="690"/>
      <c r="AI3170" s="696">
        <f t="shared" si="419"/>
        <v>0</v>
      </c>
      <c r="AJ3170" s="697">
        <f t="shared" si="420"/>
        <v>0</v>
      </c>
    </row>
    <row r="3171" spans="1:36" s="700" customFormat="1" ht="12.75" customHeight="1">
      <c r="A3171" s="773" t="s">
        <v>216</v>
      </c>
      <c r="B3171" s="773" t="s">
        <v>392</v>
      </c>
      <c r="C3171" s="774" t="s">
        <v>1797</v>
      </c>
      <c r="D3171" s="774"/>
      <c r="E3171" s="902">
        <v>232195</v>
      </c>
      <c r="F3171" s="903">
        <v>9</v>
      </c>
      <c r="G3171" s="1025"/>
      <c r="H3171" s="690"/>
      <c r="I3171" s="1030"/>
      <c r="J3171" s="690"/>
      <c r="K3171" s="1030"/>
      <c r="L3171" s="690"/>
      <c r="M3171" s="1025"/>
      <c r="N3171" s="1030"/>
      <c r="O3171" s="692">
        <f t="shared" si="413"/>
        <v>0</v>
      </c>
      <c r="P3171" s="690"/>
      <c r="Q3171" s="690"/>
      <c r="R3171" s="691">
        <f t="shared" si="414"/>
        <v>0</v>
      </c>
      <c r="S3171" s="692">
        <f t="shared" si="415"/>
        <v>0</v>
      </c>
      <c r="T3171" s="693">
        <f t="shared" si="416"/>
        <v>0</v>
      </c>
      <c r="U3171" s="1035"/>
      <c r="V3171" s="690"/>
      <c r="W3171" s="1025"/>
      <c r="X3171" s="1030"/>
      <c r="Y3171" s="694">
        <f t="shared" si="417"/>
        <v>0</v>
      </c>
      <c r="Z3171" s="690"/>
      <c r="AA3171" s="690"/>
      <c r="AB3171" s="695">
        <f t="shared" si="418"/>
        <v>0</v>
      </c>
      <c r="AC3171" s="1035"/>
      <c r="AD3171" s="690"/>
      <c r="AE3171" s="1025"/>
      <c r="AF3171" s="1030"/>
      <c r="AG3171" s="690"/>
      <c r="AH3171" s="690"/>
      <c r="AI3171" s="696">
        <f t="shared" si="419"/>
        <v>0</v>
      </c>
      <c r="AJ3171" s="697">
        <f t="shared" si="420"/>
        <v>0</v>
      </c>
    </row>
    <row r="3172" spans="1:36" s="700" customFormat="1" ht="12.75" customHeight="1">
      <c r="A3172" s="773" t="s">
        <v>216</v>
      </c>
      <c r="B3172" s="773" t="s">
        <v>392</v>
      </c>
      <c r="C3172" s="774" t="s">
        <v>1798</v>
      </c>
      <c r="D3172" s="774"/>
      <c r="E3172" s="902">
        <v>232450</v>
      </c>
      <c r="F3172" s="903">
        <v>9</v>
      </c>
      <c r="G3172" s="1025"/>
      <c r="H3172" s="690"/>
      <c r="I3172" s="1030"/>
      <c r="J3172" s="690"/>
      <c r="K3172" s="1030"/>
      <c r="L3172" s="690"/>
      <c r="M3172" s="1025"/>
      <c r="N3172" s="1030"/>
      <c r="O3172" s="692">
        <f t="shared" si="413"/>
        <v>0</v>
      </c>
      <c r="P3172" s="690"/>
      <c r="Q3172" s="690"/>
      <c r="R3172" s="691">
        <f t="shared" si="414"/>
        <v>0</v>
      </c>
      <c r="S3172" s="692">
        <f t="shared" si="415"/>
        <v>0</v>
      </c>
      <c r="T3172" s="693">
        <f t="shared" si="416"/>
        <v>0</v>
      </c>
      <c r="U3172" s="1035"/>
      <c r="V3172" s="690"/>
      <c r="W3172" s="1025"/>
      <c r="X3172" s="1030"/>
      <c r="Y3172" s="694">
        <f t="shared" si="417"/>
        <v>0</v>
      </c>
      <c r="Z3172" s="690"/>
      <c r="AA3172" s="690"/>
      <c r="AB3172" s="695">
        <f t="shared" si="418"/>
        <v>0</v>
      </c>
      <c r="AC3172" s="1035"/>
      <c r="AD3172" s="690"/>
      <c r="AE3172" s="1025"/>
      <c r="AF3172" s="1030"/>
      <c r="AG3172" s="690"/>
      <c r="AH3172" s="690"/>
      <c r="AI3172" s="696">
        <f t="shared" si="419"/>
        <v>0</v>
      </c>
      <c r="AJ3172" s="697">
        <f t="shared" si="420"/>
        <v>0</v>
      </c>
    </row>
    <row r="3173" spans="1:36" s="700" customFormat="1" ht="12.75" customHeight="1">
      <c r="A3173" s="773" t="s">
        <v>216</v>
      </c>
      <c r="B3173" s="773" t="s">
        <v>392</v>
      </c>
      <c r="C3173" s="774" t="s">
        <v>1799</v>
      </c>
      <c r="D3173" s="774"/>
      <c r="E3173" s="902">
        <v>232575</v>
      </c>
      <c r="F3173" s="903">
        <v>9</v>
      </c>
      <c r="G3173" s="1025"/>
      <c r="H3173" s="690"/>
      <c r="I3173" s="1030"/>
      <c r="J3173" s="690"/>
      <c r="K3173" s="1030"/>
      <c r="L3173" s="690"/>
      <c r="M3173" s="1025"/>
      <c r="N3173" s="1030"/>
      <c r="O3173" s="692">
        <f t="shared" si="413"/>
        <v>0</v>
      </c>
      <c r="P3173" s="690"/>
      <c r="Q3173" s="690"/>
      <c r="R3173" s="691">
        <f t="shared" si="414"/>
        <v>0</v>
      </c>
      <c r="S3173" s="692">
        <f t="shared" si="415"/>
        <v>0</v>
      </c>
      <c r="T3173" s="693">
        <f t="shared" si="416"/>
        <v>0</v>
      </c>
      <c r="U3173" s="1035"/>
      <c r="V3173" s="690"/>
      <c r="W3173" s="1025"/>
      <c r="X3173" s="1030"/>
      <c r="Y3173" s="694">
        <f t="shared" si="417"/>
        <v>0</v>
      </c>
      <c r="Z3173" s="690"/>
      <c r="AA3173" s="690"/>
      <c r="AB3173" s="695">
        <f t="shared" si="418"/>
        <v>0</v>
      </c>
      <c r="AC3173" s="1035"/>
      <c r="AD3173" s="690"/>
      <c r="AE3173" s="1025"/>
      <c r="AF3173" s="1030"/>
      <c r="AG3173" s="690"/>
      <c r="AH3173" s="690"/>
      <c r="AI3173" s="696">
        <f t="shared" si="419"/>
        <v>0</v>
      </c>
      <c r="AJ3173" s="697">
        <f t="shared" si="420"/>
        <v>0</v>
      </c>
    </row>
    <row r="3174" spans="1:36" s="700" customFormat="1" ht="12.75" customHeight="1">
      <c r="A3174" s="773" t="s">
        <v>216</v>
      </c>
      <c r="B3174" s="773" t="s">
        <v>392</v>
      </c>
      <c r="C3174" s="774" t="s">
        <v>1800</v>
      </c>
      <c r="D3174" s="774"/>
      <c r="E3174" s="902">
        <v>232867</v>
      </c>
      <c r="F3174" s="903">
        <v>9</v>
      </c>
      <c r="G3174" s="1025"/>
      <c r="H3174" s="690"/>
      <c r="I3174" s="1030"/>
      <c r="J3174" s="690"/>
      <c r="K3174" s="1030"/>
      <c r="L3174" s="690"/>
      <c r="M3174" s="1025"/>
      <c r="N3174" s="1030"/>
      <c r="O3174" s="692">
        <f t="shared" si="413"/>
        <v>0</v>
      </c>
      <c r="P3174" s="690"/>
      <c r="Q3174" s="690"/>
      <c r="R3174" s="691">
        <f t="shared" si="414"/>
        <v>0</v>
      </c>
      <c r="S3174" s="692">
        <f t="shared" si="415"/>
        <v>0</v>
      </c>
      <c r="T3174" s="693">
        <f t="shared" si="416"/>
        <v>0</v>
      </c>
      <c r="U3174" s="1035"/>
      <c r="V3174" s="690"/>
      <c r="W3174" s="1025"/>
      <c r="X3174" s="1030"/>
      <c r="Y3174" s="694">
        <f t="shared" si="417"/>
        <v>0</v>
      </c>
      <c r="Z3174" s="690"/>
      <c r="AA3174" s="690"/>
      <c r="AB3174" s="695">
        <f t="shared" si="418"/>
        <v>0</v>
      </c>
      <c r="AC3174" s="1035"/>
      <c r="AD3174" s="690"/>
      <c r="AE3174" s="1025"/>
      <c r="AF3174" s="1030"/>
      <c r="AG3174" s="690"/>
      <c r="AH3174" s="690"/>
      <c r="AI3174" s="696">
        <f t="shared" si="419"/>
        <v>0</v>
      </c>
      <c r="AJ3174" s="697">
        <f t="shared" si="420"/>
        <v>0</v>
      </c>
    </row>
    <row r="3175" spans="1:36" s="700" customFormat="1" ht="12.75" customHeight="1">
      <c r="A3175" s="773" t="s">
        <v>216</v>
      </c>
      <c r="B3175" s="773" t="s">
        <v>392</v>
      </c>
      <c r="C3175" s="774" t="s">
        <v>1801</v>
      </c>
      <c r="D3175" s="774"/>
      <c r="E3175" s="902">
        <v>233116</v>
      </c>
      <c r="F3175" s="903">
        <v>9</v>
      </c>
      <c r="G3175" s="1025"/>
      <c r="H3175" s="690"/>
      <c r="I3175" s="1030"/>
      <c r="J3175" s="690"/>
      <c r="K3175" s="1030"/>
      <c r="L3175" s="690"/>
      <c r="M3175" s="1025"/>
      <c r="N3175" s="1030"/>
      <c r="O3175" s="692">
        <f t="shared" si="413"/>
        <v>0</v>
      </c>
      <c r="P3175" s="690"/>
      <c r="Q3175" s="690"/>
      <c r="R3175" s="691">
        <f t="shared" si="414"/>
        <v>0</v>
      </c>
      <c r="S3175" s="692">
        <f t="shared" si="415"/>
        <v>0</v>
      </c>
      <c r="T3175" s="693">
        <f t="shared" si="416"/>
        <v>0</v>
      </c>
      <c r="U3175" s="1035"/>
      <c r="V3175" s="690"/>
      <c r="W3175" s="1025"/>
      <c r="X3175" s="1030"/>
      <c r="Y3175" s="694">
        <f t="shared" si="417"/>
        <v>0</v>
      </c>
      <c r="Z3175" s="690"/>
      <c r="AA3175" s="690"/>
      <c r="AB3175" s="695">
        <f t="shared" si="418"/>
        <v>0</v>
      </c>
      <c r="AC3175" s="1035"/>
      <c r="AD3175" s="690"/>
      <c r="AE3175" s="1025"/>
      <c r="AF3175" s="1030"/>
      <c r="AG3175" s="690"/>
      <c r="AH3175" s="690"/>
      <c r="AI3175" s="696">
        <f t="shared" si="419"/>
        <v>0</v>
      </c>
      <c r="AJ3175" s="697">
        <f t="shared" si="420"/>
        <v>0</v>
      </c>
    </row>
    <row r="3176" spans="1:36" s="700" customFormat="1" ht="12.75" customHeight="1">
      <c r="A3176" s="773" t="s">
        <v>216</v>
      </c>
      <c r="B3176" s="773" t="s">
        <v>392</v>
      </c>
      <c r="C3176" s="774" t="s">
        <v>1802</v>
      </c>
      <c r="D3176" s="774"/>
      <c r="E3176" s="902">
        <v>233639</v>
      </c>
      <c r="F3176" s="903">
        <v>9</v>
      </c>
      <c r="G3176" s="1025"/>
      <c r="H3176" s="690"/>
      <c r="I3176" s="1030"/>
      <c r="J3176" s="690"/>
      <c r="K3176" s="1030"/>
      <c r="L3176" s="690"/>
      <c r="M3176" s="1025"/>
      <c r="N3176" s="1030"/>
      <c r="O3176" s="692">
        <f t="shared" si="413"/>
        <v>0</v>
      </c>
      <c r="P3176" s="690"/>
      <c r="Q3176" s="690"/>
      <c r="R3176" s="691">
        <f t="shared" si="414"/>
        <v>0</v>
      </c>
      <c r="S3176" s="692">
        <f t="shared" si="415"/>
        <v>0</v>
      </c>
      <c r="T3176" s="693">
        <f t="shared" si="416"/>
        <v>0</v>
      </c>
      <c r="U3176" s="1035"/>
      <c r="V3176" s="690"/>
      <c r="W3176" s="1025"/>
      <c r="X3176" s="1030"/>
      <c r="Y3176" s="694">
        <f t="shared" si="417"/>
        <v>0</v>
      </c>
      <c r="Z3176" s="690"/>
      <c r="AA3176" s="690"/>
      <c r="AB3176" s="695">
        <f t="shared" si="418"/>
        <v>0</v>
      </c>
      <c r="AC3176" s="1035"/>
      <c r="AD3176" s="690"/>
      <c r="AE3176" s="1025"/>
      <c r="AF3176" s="1030"/>
      <c r="AG3176" s="690"/>
      <c r="AH3176" s="690"/>
      <c r="AI3176" s="696">
        <f t="shared" si="419"/>
        <v>0</v>
      </c>
      <c r="AJ3176" s="697">
        <f t="shared" si="420"/>
        <v>0</v>
      </c>
    </row>
    <row r="3177" spans="1:36" s="700" customFormat="1" ht="12.75" customHeight="1">
      <c r="A3177" s="773" t="s">
        <v>216</v>
      </c>
      <c r="B3177" s="773" t="s">
        <v>392</v>
      </c>
      <c r="C3177" s="774" t="s">
        <v>1803</v>
      </c>
      <c r="D3177" s="774"/>
      <c r="E3177" s="902">
        <v>233648</v>
      </c>
      <c r="F3177" s="903">
        <v>9</v>
      </c>
      <c r="G3177" s="1025"/>
      <c r="H3177" s="690"/>
      <c r="I3177" s="1030"/>
      <c r="J3177" s="690"/>
      <c r="K3177" s="1030"/>
      <c r="L3177" s="690"/>
      <c r="M3177" s="1025"/>
      <c r="N3177" s="1030"/>
      <c r="O3177" s="692">
        <f t="shared" si="413"/>
        <v>0</v>
      </c>
      <c r="P3177" s="690"/>
      <c r="Q3177" s="690"/>
      <c r="R3177" s="691">
        <f t="shared" si="414"/>
        <v>0</v>
      </c>
      <c r="S3177" s="692">
        <f t="shared" si="415"/>
        <v>0</v>
      </c>
      <c r="T3177" s="693">
        <f t="shared" si="416"/>
        <v>0</v>
      </c>
      <c r="U3177" s="1035"/>
      <c r="V3177" s="690"/>
      <c r="W3177" s="1025"/>
      <c r="X3177" s="1030"/>
      <c r="Y3177" s="694">
        <f t="shared" si="417"/>
        <v>0</v>
      </c>
      <c r="Z3177" s="690"/>
      <c r="AA3177" s="690"/>
      <c r="AB3177" s="695">
        <f t="shared" si="418"/>
        <v>0</v>
      </c>
      <c r="AC3177" s="1035"/>
      <c r="AD3177" s="690"/>
      <c r="AE3177" s="1025"/>
      <c r="AF3177" s="1030"/>
      <c r="AG3177" s="690"/>
      <c r="AH3177" s="690"/>
      <c r="AI3177" s="696">
        <f t="shared" si="419"/>
        <v>0</v>
      </c>
      <c r="AJ3177" s="697">
        <f t="shared" si="420"/>
        <v>0</v>
      </c>
    </row>
    <row r="3178" spans="1:36" s="700" customFormat="1" ht="12.75" customHeight="1">
      <c r="A3178" s="773" t="s">
        <v>216</v>
      </c>
      <c r="B3178" s="773" t="s">
        <v>392</v>
      </c>
      <c r="C3178" s="901" t="s">
        <v>1804</v>
      </c>
      <c r="D3178" s="1099" t="s">
        <v>1900</v>
      </c>
      <c r="E3178" s="902">
        <v>233949</v>
      </c>
      <c r="F3178" s="903">
        <v>9</v>
      </c>
      <c r="G3178" s="1025"/>
      <c r="H3178" s="690"/>
      <c r="I3178" s="1030"/>
      <c r="J3178" s="690"/>
      <c r="K3178" s="1030"/>
      <c r="L3178" s="690"/>
      <c r="M3178" s="1025"/>
      <c r="N3178" s="1030"/>
      <c r="O3178" s="692">
        <f t="shared" si="413"/>
        <v>0</v>
      </c>
      <c r="P3178" s="690"/>
      <c r="Q3178" s="690"/>
      <c r="R3178" s="691">
        <f t="shared" si="414"/>
        <v>0</v>
      </c>
      <c r="S3178" s="692">
        <f t="shared" si="415"/>
        <v>0</v>
      </c>
      <c r="T3178" s="693">
        <f t="shared" si="416"/>
        <v>0</v>
      </c>
      <c r="U3178" s="1035"/>
      <c r="V3178" s="690"/>
      <c r="W3178" s="1025"/>
      <c r="X3178" s="1030"/>
      <c r="Y3178" s="694">
        <f t="shared" si="417"/>
        <v>0</v>
      </c>
      <c r="Z3178" s="690"/>
      <c r="AA3178" s="690"/>
      <c r="AB3178" s="695">
        <f t="shared" si="418"/>
        <v>0</v>
      </c>
      <c r="AC3178" s="1035"/>
      <c r="AD3178" s="690"/>
      <c r="AE3178" s="1025"/>
      <c r="AF3178" s="1030"/>
      <c r="AG3178" s="690"/>
      <c r="AH3178" s="690"/>
      <c r="AI3178" s="696">
        <f t="shared" si="419"/>
        <v>0</v>
      </c>
      <c r="AJ3178" s="697">
        <f t="shared" si="420"/>
        <v>0</v>
      </c>
    </row>
    <row r="3179" spans="1:36" s="700" customFormat="1" ht="12.75" customHeight="1">
      <c r="A3179" s="773" t="s">
        <v>216</v>
      </c>
      <c r="B3179" s="773" t="s">
        <v>392</v>
      </c>
      <c r="C3179" s="774" t="s">
        <v>1805</v>
      </c>
      <c r="D3179" s="774"/>
      <c r="E3179" s="902">
        <v>231873</v>
      </c>
      <c r="F3179" s="903">
        <v>10</v>
      </c>
      <c r="G3179" s="1025"/>
      <c r="H3179" s="690"/>
      <c r="I3179" s="1030"/>
      <c r="J3179" s="690"/>
      <c r="K3179" s="1030"/>
      <c r="L3179" s="690"/>
      <c r="M3179" s="1025"/>
      <c r="N3179" s="1030"/>
      <c r="O3179" s="692">
        <f t="shared" si="413"/>
        <v>0</v>
      </c>
      <c r="P3179" s="690"/>
      <c r="Q3179" s="690"/>
      <c r="R3179" s="691">
        <f t="shared" si="414"/>
        <v>0</v>
      </c>
      <c r="S3179" s="692">
        <f t="shared" si="415"/>
        <v>0</v>
      </c>
      <c r="T3179" s="693">
        <f t="shared" si="416"/>
        <v>0</v>
      </c>
      <c r="U3179" s="1035"/>
      <c r="V3179" s="690"/>
      <c r="W3179" s="1025"/>
      <c r="X3179" s="1030"/>
      <c r="Y3179" s="694">
        <f t="shared" si="417"/>
        <v>0</v>
      </c>
      <c r="Z3179" s="690"/>
      <c r="AA3179" s="690"/>
      <c r="AB3179" s="695">
        <f t="shared" si="418"/>
        <v>0</v>
      </c>
      <c r="AC3179" s="1035"/>
      <c r="AD3179" s="690"/>
      <c r="AE3179" s="1025"/>
      <c r="AF3179" s="1030"/>
      <c r="AG3179" s="690"/>
      <c r="AH3179" s="690"/>
      <c r="AI3179" s="696">
        <f t="shared" si="419"/>
        <v>0</v>
      </c>
      <c r="AJ3179" s="697">
        <f t="shared" si="420"/>
        <v>0</v>
      </c>
    </row>
    <row r="3180" spans="1:36" s="700" customFormat="1" ht="12.75" customHeight="1">
      <c r="A3180" s="773" t="s">
        <v>216</v>
      </c>
      <c r="B3180" s="773" t="s">
        <v>392</v>
      </c>
      <c r="C3180" s="774" t="s">
        <v>1806</v>
      </c>
      <c r="D3180" s="774"/>
      <c r="E3180" s="902">
        <v>232052</v>
      </c>
      <c r="F3180" s="903">
        <v>10</v>
      </c>
      <c r="G3180" s="1025"/>
      <c r="H3180" s="690"/>
      <c r="I3180" s="1030"/>
      <c r="J3180" s="690"/>
      <c r="K3180" s="1030"/>
      <c r="L3180" s="690"/>
      <c r="M3180" s="1025"/>
      <c r="N3180" s="1030"/>
      <c r="O3180" s="692">
        <f t="shared" si="413"/>
        <v>0</v>
      </c>
      <c r="P3180" s="690"/>
      <c r="Q3180" s="690"/>
      <c r="R3180" s="691">
        <f t="shared" si="414"/>
        <v>0</v>
      </c>
      <c r="S3180" s="692">
        <f t="shared" si="415"/>
        <v>0</v>
      </c>
      <c r="T3180" s="693">
        <f t="shared" si="416"/>
        <v>0</v>
      </c>
      <c r="U3180" s="1035"/>
      <c r="V3180" s="690"/>
      <c r="W3180" s="1025"/>
      <c r="X3180" s="1030"/>
      <c r="Y3180" s="694">
        <f t="shared" si="417"/>
        <v>0</v>
      </c>
      <c r="Z3180" s="690"/>
      <c r="AA3180" s="690"/>
      <c r="AB3180" s="695">
        <f t="shared" si="418"/>
        <v>0</v>
      </c>
      <c r="AC3180" s="1035"/>
      <c r="AD3180" s="690"/>
      <c r="AE3180" s="1025"/>
      <c r="AF3180" s="1030"/>
      <c r="AG3180" s="690"/>
      <c r="AH3180" s="690"/>
      <c r="AI3180" s="696">
        <f t="shared" si="419"/>
        <v>0</v>
      </c>
      <c r="AJ3180" s="697">
        <f t="shared" si="420"/>
        <v>0</v>
      </c>
    </row>
    <row r="3181" spans="1:36" s="700" customFormat="1" ht="12.75" customHeight="1">
      <c r="A3181" s="773" t="s">
        <v>216</v>
      </c>
      <c r="B3181" s="773" t="s">
        <v>392</v>
      </c>
      <c r="C3181" s="901" t="s">
        <v>1986</v>
      </c>
      <c r="D3181" s="1099" t="s">
        <v>1903</v>
      </c>
      <c r="E3181" s="902">
        <v>232788</v>
      </c>
      <c r="F3181" s="903">
        <v>10</v>
      </c>
      <c r="G3181" s="1025"/>
      <c r="H3181" s="690"/>
      <c r="I3181" s="1030"/>
      <c r="J3181" s="690"/>
      <c r="K3181" s="1030"/>
      <c r="L3181" s="690"/>
      <c r="M3181" s="1025"/>
      <c r="N3181" s="1030"/>
      <c r="O3181" s="692">
        <f t="shared" si="413"/>
        <v>0</v>
      </c>
      <c r="P3181" s="690"/>
      <c r="Q3181" s="690"/>
      <c r="R3181" s="691">
        <f t="shared" si="414"/>
        <v>0</v>
      </c>
      <c r="S3181" s="692">
        <f t="shared" si="415"/>
        <v>0</v>
      </c>
      <c r="T3181" s="693">
        <f t="shared" si="416"/>
        <v>0</v>
      </c>
      <c r="U3181" s="1035"/>
      <c r="V3181" s="690"/>
      <c r="W3181" s="1025"/>
      <c r="X3181" s="1030"/>
      <c r="Y3181" s="694">
        <f t="shared" si="417"/>
        <v>0</v>
      </c>
      <c r="Z3181" s="690"/>
      <c r="AA3181" s="690"/>
      <c r="AB3181" s="695">
        <f t="shared" si="418"/>
        <v>0</v>
      </c>
      <c r="AC3181" s="1035"/>
      <c r="AD3181" s="690"/>
      <c r="AE3181" s="1025"/>
      <c r="AF3181" s="1030"/>
      <c r="AG3181" s="690"/>
      <c r="AH3181" s="690"/>
      <c r="AI3181" s="696">
        <f t="shared" si="419"/>
        <v>0</v>
      </c>
      <c r="AJ3181" s="697">
        <f t="shared" si="420"/>
        <v>0</v>
      </c>
    </row>
    <row r="3182" spans="1:36" s="700" customFormat="1" ht="12.75" customHeight="1">
      <c r="A3182" s="773" t="s">
        <v>216</v>
      </c>
      <c r="B3182" s="773" t="s">
        <v>392</v>
      </c>
      <c r="C3182" s="774" t="s">
        <v>1807</v>
      </c>
      <c r="D3182" s="774"/>
      <c r="E3182" s="902">
        <v>233037</v>
      </c>
      <c r="F3182" s="903">
        <v>10</v>
      </c>
      <c r="G3182" s="1025"/>
      <c r="H3182" s="690"/>
      <c r="I3182" s="1030"/>
      <c r="J3182" s="690"/>
      <c r="K3182" s="1030"/>
      <c r="L3182" s="690"/>
      <c r="M3182" s="1025"/>
      <c r="N3182" s="1030"/>
      <c r="O3182" s="692">
        <f t="shared" si="413"/>
        <v>0</v>
      </c>
      <c r="P3182" s="690"/>
      <c r="Q3182" s="690"/>
      <c r="R3182" s="691">
        <f t="shared" si="414"/>
        <v>0</v>
      </c>
      <c r="S3182" s="692">
        <f t="shared" si="415"/>
        <v>0</v>
      </c>
      <c r="T3182" s="693">
        <f t="shared" si="416"/>
        <v>0</v>
      </c>
      <c r="U3182" s="1035"/>
      <c r="V3182" s="690"/>
      <c r="W3182" s="1025"/>
      <c r="X3182" s="1030"/>
      <c r="Y3182" s="694">
        <f t="shared" si="417"/>
        <v>0</v>
      </c>
      <c r="Z3182" s="690"/>
      <c r="AA3182" s="690"/>
      <c r="AB3182" s="695">
        <f t="shared" si="418"/>
        <v>0</v>
      </c>
      <c r="AC3182" s="1035"/>
      <c r="AD3182" s="690"/>
      <c r="AE3182" s="1025"/>
      <c r="AF3182" s="1030"/>
      <c r="AG3182" s="690"/>
      <c r="AH3182" s="690"/>
      <c r="AI3182" s="696">
        <f t="shared" si="419"/>
        <v>0</v>
      </c>
      <c r="AJ3182" s="697">
        <f t="shared" si="420"/>
        <v>0</v>
      </c>
    </row>
    <row r="3183" spans="1:36" s="700" customFormat="1" ht="12.75" customHeight="1">
      <c r="A3183" s="773" t="s">
        <v>216</v>
      </c>
      <c r="B3183" s="773" t="s">
        <v>392</v>
      </c>
      <c r="C3183" s="1100" t="s">
        <v>1808</v>
      </c>
      <c r="D3183" s="1101" t="s">
        <v>1938</v>
      </c>
      <c r="E3183" s="902">
        <v>233019</v>
      </c>
      <c r="F3183" s="903">
        <v>10</v>
      </c>
      <c r="G3183" s="1025"/>
      <c r="H3183" s="690"/>
      <c r="I3183" s="1030"/>
      <c r="J3183" s="690"/>
      <c r="K3183" s="1030"/>
      <c r="L3183" s="690"/>
      <c r="M3183" s="1025"/>
      <c r="N3183" s="1030"/>
      <c r="O3183" s="692">
        <f t="shared" si="413"/>
        <v>0</v>
      </c>
      <c r="P3183" s="690"/>
      <c r="Q3183" s="690"/>
      <c r="R3183" s="691">
        <f t="shared" si="414"/>
        <v>0</v>
      </c>
      <c r="S3183" s="692">
        <f t="shared" si="415"/>
        <v>0</v>
      </c>
      <c r="T3183" s="693">
        <f t="shared" si="416"/>
        <v>0</v>
      </c>
      <c r="U3183" s="1035"/>
      <c r="V3183" s="690"/>
      <c r="W3183" s="1025"/>
      <c r="X3183" s="1030"/>
      <c r="Y3183" s="694">
        <f t="shared" si="417"/>
        <v>0</v>
      </c>
      <c r="Z3183" s="690"/>
      <c r="AA3183" s="690"/>
      <c r="AB3183" s="695">
        <f t="shared" si="418"/>
        <v>0</v>
      </c>
      <c r="AC3183" s="1035"/>
      <c r="AD3183" s="690"/>
      <c r="AE3183" s="1025"/>
      <c r="AF3183" s="1030"/>
      <c r="AG3183" s="690"/>
      <c r="AH3183" s="690"/>
      <c r="AI3183" s="696">
        <f t="shared" si="419"/>
        <v>0</v>
      </c>
      <c r="AJ3183" s="697">
        <f t="shared" si="420"/>
        <v>0</v>
      </c>
    </row>
    <row r="3184" spans="1:36" s="700" customFormat="1" ht="12.75" customHeight="1">
      <c r="A3184" s="773" t="s">
        <v>216</v>
      </c>
      <c r="B3184" s="773" t="s">
        <v>392</v>
      </c>
      <c r="C3184" s="774" t="s">
        <v>1809</v>
      </c>
      <c r="D3184" s="774"/>
      <c r="E3184" s="902">
        <v>233310</v>
      </c>
      <c r="F3184" s="903">
        <v>10</v>
      </c>
      <c r="G3184" s="1025"/>
      <c r="H3184" s="690"/>
      <c r="I3184" s="1030"/>
      <c r="J3184" s="690"/>
      <c r="K3184" s="1030"/>
      <c r="L3184" s="690"/>
      <c r="M3184" s="1025"/>
      <c r="N3184" s="1030"/>
      <c r="O3184" s="692">
        <f t="shared" si="413"/>
        <v>0</v>
      </c>
      <c r="P3184" s="690"/>
      <c r="Q3184" s="690"/>
      <c r="R3184" s="691">
        <f t="shared" si="414"/>
        <v>0</v>
      </c>
      <c r="S3184" s="692">
        <f t="shared" si="415"/>
        <v>0</v>
      </c>
      <c r="T3184" s="693">
        <f t="shared" si="416"/>
        <v>0</v>
      </c>
      <c r="U3184" s="1035"/>
      <c r="V3184" s="690"/>
      <c r="W3184" s="1025"/>
      <c r="X3184" s="1030"/>
      <c r="Y3184" s="694">
        <f t="shared" si="417"/>
        <v>0</v>
      </c>
      <c r="Z3184" s="690"/>
      <c r="AA3184" s="690"/>
      <c r="AB3184" s="695">
        <f t="shared" si="418"/>
        <v>0</v>
      </c>
      <c r="AC3184" s="1035"/>
      <c r="AD3184" s="690"/>
      <c r="AE3184" s="1025"/>
      <c r="AF3184" s="1030"/>
      <c r="AG3184" s="690"/>
      <c r="AH3184" s="690"/>
      <c r="AI3184" s="696">
        <f t="shared" si="419"/>
        <v>0</v>
      </c>
      <c r="AJ3184" s="697">
        <f t="shared" si="420"/>
        <v>0</v>
      </c>
    </row>
    <row r="3185" spans="1:36" s="700" customFormat="1" ht="12.75" customHeight="1">
      <c r="A3185" s="773" t="s">
        <v>216</v>
      </c>
      <c r="B3185" s="773" t="s">
        <v>392</v>
      </c>
      <c r="C3185" s="774" t="s">
        <v>1810</v>
      </c>
      <c r="D3185" s="774"/>
      <c r="E3185" s="902">
        <v>233338</v>
      </c>
      <c r="F3185" s="903">
        <v>10</v>
      </c>
      <c r="G3185" s="1025">
        <v>5304163</v>
      </c>
      <c r="H3185" s="690">
        <v>5234621</v>
      </c>
      <c r="I3185" s="1030"/>
      <c r="J3185" s="690"/>
      <c r="K3185" s="1030"/>
      <c r="L3185" s="690"/>
      <c r="M3185" s="1025">
        <v>3347500</v>
      </c>
      <c r="N3185" s="1030">
        <v>3440</v>
      </c>
      <c r="O3185" s="692">
        <f t="shared" si="413"/>
        <v>3350940</v>
      </c>
      <c r="P3185" s="690">
        <v>4356500</v>
      </c>
      <c r="Q3185" s="690">
        <v>5730</v>
      </c>
      <c r="R3185" s="691">
        <f t="shared" si="414"/>
        <v>4362230</v>
      </c>
      <c r="S3185" s="692">
        <f t="shared" si="415"/>
        <v>8651663</v>
      </c>
      <c r="T3185" s="693">
        <f t="shared" si="416"/>
        <v>9591121</v>
      </c>
      <c r="U3185" s="1035"/>
      <c r="V3185" s="690"/>
      <c r="W3185" s="1025"/>
      <c r="X3185" s="1030"/>
      <c r="Y3185" s="694">
        <f t="shared" si="417"/>
        <v>0</v>
      </c>
      <c r="Z3185" s="690"/>
      <c r="AA3185" s="690"/>
      <c r="AB3185" s="695">
        <f t="shared" si="418"/>
        <v>0</v>
      </c>
      <c r="AC3185" s="1035"/>
      <c r="AD3185" s="690"/>
      <c r="AE3185" s="1025"/>
      <c r="AF3185" s="1030"/>
      <c r="AG3185" s="690"/>
      <c r="AH3185" s="690"/>
      <c r="AI3185" s="696">
        <f t="shared" si="419"/>
        <v>8651663</v>
      </c>
      <c r="AJ3185" s="697">
        <f t="shared" si="420"/>
        <v>9591121</v>
      </c>
    </row>
    <row r="3186" spans="1:36" s="700" customFormat="1" ht="12.75" customHeight="1">
      <c r="A3186" s="773" t="s">
        <v>216</v>
      </c>
      <c r="B3186" s="773" t="s">
        <v>392</v>
      </c>
      <c r="C3186" s="774" t="s">
        <v>1811</v>
      </c>
      <c r="D3186" s="774"/>
      <c r="E3186" s="902">
        <v>233903</v>
      </c>
      <c r="F3186" s="903">
        <v>10</v>
      </c>
      <c r="G3186" s="1025"/>
      <c r="H3186" s="690"/>
      <c r="I3186" s="1030"/>
      <c r="J3186" s="690"/>
      <c r="K3186" s="1030"/>
      <c r="L3186" s="690"/>
      <c r="M3186" s="1025"/>
      <c r="N3186" s="1030"/>
      <c r="O3186" s="692">
        <f t="shared" si="413"/>
        <v>0</v>
      </c>
      <c r="P3186" s="690"/>
      <c r="Q3186" s="690"/>
      <c r="R3186" s="691">
        <f t="shared" si="414"/>
        <v>0</v>
      </c>
      <c r="S3186" s="692">
        <f t="shared" si="415"/>
        <v>0</v>
      </c>
      <c r="T3186" s="693">
        <f t="shared" si="416"/>
        <v>0</v>
      </c>
      <c r="U3186" s="1035"/>
      <c r="V3186" s="690"/>
      <c r="W3186" s="1025"/>
      <c r="X3186" s="1030"/>
      <c r="Y3186" s="694">
        <f t="shared" si="417"/>
        <v>0</v>
      </c>
      <c r="Z3186" s="690"/>
      <c r="AA3186" s="690"/>
      <c r="AB3186" s="695">
        <f t="shared" si="418"/>
        <v>0</v>
      </c>
      <c r="AC3186" s="1035"/>
      <c r="AD3186" s="690"/>
      <c r="AE3186" s="1025"/>
      <c r="AF3186" s="1030"/>
      <c r="AG3186" s="690"/>
      <c r="AH3186" s="690"/>
      <c r="AI3186" s="696">
        <f t="shared" si="419"/>
        <v>0</v>
      </c>
      <c r="AJ3186" s="697">
        <f t="shared" si="420"/>
        <v>0</v>
      </c>
    </row>
    <row r="3187" spans="1:36" s="700" customFormat="1" ht="12.75" customHeight="1">
      <c r="A3187" s="773" t="s">
        <v>216</v>
      </c>
      <c r="B3187" s="773" t="s">
        <v>392</v>
      </c>
      <c r="C3187" s="901" t="s">
        <v>1812</v>
      </c>
      <c r="D3187" s="1099" t="s">
        <v>1938</v>
      </c>
      <c r="E3187" s="902">
        <v>234377</v>
      </c>
      <c r="F3187" s="903">
        <v>10</v>
      </c>
      <c r="G3187" s="1025"/>
      <c r="H3187" s="690"/>
      <c r="I3187" s="1030"/>
      <c r="J3187" s="690"/>
      <c r="K3187" s="1030"/>
      <c r="L3187" s="690"/>
      <c r="M3187" s="1025"/>
      <c r="N3187" s="1030"/>
      <c r="O3187" s="692">
        <f t="shared" si="413"/>
        <v>0</v>
      </c>
      <c r="P3187" s="690"/>
      <c r="Q3187" s="690"/>
      <c r="R3187" s="691">
        <f t="shared" si="414"/>
        <v>0</v>
      </c>
      <c r="S3187" s="692">
        <f t="shared" si="415"/>
        <v>0</v>
      </c>
      <c r="T3187" s="693">
        <f t="shared" si="416"/>
        <v>0</v>
      </c>
      <c r="U3187" s="1035"/>
      <c r="V3187" s="690"/>
      <c r="W3187" s="1025"/>
      <c r="X3187" s="1030"/>
      <c r="Y3187" s="694">
        <f t="shared" si="417"/>
        <v>0</v>
      </c>
      <c r="Z3187" s="690"/>
      <c r="AA3187" s="690"/>
      <c r="AB3187" s="695">
        <f t="shared" si="418"/>
        <v>0</v>
      </c>
      <c r="AC3187" s="1035"/>
      <c r="AD3187" s="690"/>
      <c r="AE3187" s="1025"/>
      <c r="AF3187" s="1030"/>
      <c r="AG3187" s="690"/>
      <c r="AH3187" s="690"/>
      <c r="AI3187" s="696">
        <f t="shared" si="419"/>
        <v>0</v>
      </c>
      <c r="AJ3187" s="697">
        <f t="shared" si="420"/>
        <v>0</v>
      </c>
    </row>
    <row r="3188" spans="1:36" s="700" customFormat="1" ht="12.75" customHeight="1">
      <c r="A3188" s="773" t="s">
        <v>216</v>
      </c>
      <c r="B3188" s="773" t="s">
        <v>392</v>
      </c>
      <c r="C3188" s="774" t="s">
        <v>1813</v>
      </c>
      <c r="D3188" s="774"/>
      <c r="E3188" s="902"/>
      <c r="F3188" s="903">
        <v>11</v>
      </c>
      <c r="G3188" s="1025">
        <v>331304087</v>
      </c>
      <c r="H3188" s="690">
        <f>341647732+1211982-15937227</f>
        <v>326922487</v>
      </c>
      <c r="I3188" s="1030"/>
      <c r="J3188" s="690"/>
      <c r="K3188" s="1030">
        <v>15452590</v>
      </c>
      <c r="L3188" s="690">
        <v>7592748</v>
      </c>
      <c r="M3188" s="1025">
        <v>346660249</v>
      </c>
      <c r="N3188" s="1030">
        <v>1753660</v>
      </c>
      <c r="O3188" s="692">
        <f t="shared" si="413"/>
        <v>348413909</v>
      </c>
      <c r="P3188" s="690">
        <v>463162634</v>
      </c>
      <c r="Q3188" s="690">
        <v>2336220</v>
      </c>
      <c r="R3188" s="691">
        <f t="shared" si="414"/>
        <v>465498854</v>
      </c>
      <c r="S3188" s="692">
        <f t="shared" si="415"/>
        <v>693416926</v>
      </c>
      <c r="T3188" s="693">
        <f t="shared" si="416"/>
        <v>797677869</v>
      </c>
      <c r="U3188" s="1035"/>
      <c r="V3188" s="690"/>
      <c r="W3188" s="1025"/>
      <c r="X3188" s="1030"/>
      <c r="Y3188" s="694">
        <f t="shared" si="417"/>
        <v>0</v>
      </c>
      <c r="Z3188" s="690"/>
      <c r="AA3188" s="690"/>
      <c r="AB3188" s="695">
        <f t="shared" si="418"/>
        <v>0</v>
      </c>
      <c r="AC3188" s="1035"/>
      <c r="AD3188" s="690"/>
      <c r="AE3188" s="1025"/>
      <c r="AF3188" s="1030"/>
      <c r="AG3188" s="690"/>
      <c r="AH3188" s="690"/>
      <c r="AI3188" s="696">
        <f t="shared" si="419"/>
        <v>693416926</v>
      </c>
      <c r="AJ3188" s="697">
        <f t="shared" si="420"/>
        <v>797677869</v>
      </c>
    </row>
    <row r="3189" spans="1:36" s="700" customFormat="1" ht="12.75" customHeight="1">
      <c r="A3189" s="773" t="s">
        <v>216</v>
      </c>
      <c r="B3189" s="773" t="s">
        <v>430</v>
      </c>
      <c r="C3189" s="774" t="s">
        <v>1814</v>
      </c>
      <c r="D3189" s="774"/>
      <c r="E3189" s="902">
        <v>234085</v>
      </c>
      <c r="F3189" s="903">
        <v>15</v>
      </c>
      <c r="G3189" s="1025"/>
      <c r="H3189" s="690"/>
      <c r="I3189" s="1030"/>
      <c r="J3189" s="690"/>
      <c r="K3189" s="1030"/>
      <c r="L3189" s="690"/>
      <c r="M3189" s="1025"/>
      <c r="N3189" s="1030"/>
      <c r="O3189" s="692">
        <f t="shared" si="413"/>
        <v>0</v>
      </c>
      <c r="P3189" s="690"/>
      <c r="Q3189" s="690"/>
      <c r="R3189" s="691">
        <f t="shared" si="414"/>
        <v>0</v>
      </c>
      <c r="S3189" s="692">
        <f t="shared" si="415"/>
        <v>0</v>
      </c>
      <c r="T3189" s="693">
        <f t="shared" si="416"/>
        <v>0</v>
      </c>
      <c r="U3189" s="1035">
        <v>11624418</v>
      </c>
      <c r="V3189" s="690">
        <f>8306364+3139904</f>
        <v>11446268</v>
      </c>
      <c r="W3189" s="1025">
        <v>19764717</v>
      </c>
      <c r="X3189" s="1030">
        <v>191055</v>
      </c>
      <c r="Y3189" s="694">
        <f t="shared" si="417"/>
        <v>19955772</v>
      </c>
      <c r="Z3189" s="690">
        <v>22459717</v>
      </c>
      <c r="AA3189" s="690">
        <v>292118</v>
      </c>
      <c r="AB3189" s="695">
        <f t="shared" si="418"/>
        <v>22751835</v>
      </c>
      <c r="AC3189" s="1035"/>
      <c r="AD3189" s="690"/>
      <c r="AE3189" s="1025"/>
      <c r="AF3189" s="1030"/>
      <c r="AG3189" s="690"/>
      <c r="AH3189" s="690"/>
      <c r="AI3189" s="696">
        <f t="shared" si="419"/>
        <v>31389135</v>
      </c>
      <c r="AJ3189" s="697">
        <f t="shared" si="420"/>
        <v>33905985</v>
      </c>
    </row>
    <row r="3190" spans="1:36" s="700" customFormat="1" ht="12.75" customHeight="1">
      <c r="A3190" s="773" t="s">
        <v>216</v>
      </c>
      <c r="B3190" s="773" t="s">
        <v>401</v>
      </c>
      <c r="C3190" s="992" t="s">
        <v>838</v>
      </c>
      <c r="D3190" s="992"/>
      <c r="E3190" s="902"/>
      <c r="F3190" s="903"/>
      <c r="G3190" s="1025"/>
      <c r="H3190" s="690"/>
      <c r="I3190" s="1030"/>
      <c r="J3190" s="690"/>
      <c r="K3190" s="1030"/>
      <c r="L3190" s="690"/>
      <c r="M3190" s="1025"/>
      <c r="N3190" s="1030"/>
      <c r="O3190" s="692">
        <f t="shared" si="413"/>
        <v>0</v>
      </c>
      <c r="P3190" s="690"/>
      <c r="Q3190" s="690"/>
      <c r="R3190" s="691">
        <f t="shared" si="414"/>
        <v>0</v>
      </c>
      <c r="S3190" s="692">
        <f t="shared" si="415"/>
        <v>0</v>
      </c>
      <c r="T3190" s="693">
        <f t="shared" si="416"/>
        <v>0</v>
      </c>
      <c r="U3190" s="1035"/>
      <c r="V3190" s="690"/>
      <c r="W3190" s="1025"/>
      <c r="X3190" s="1030"/>
      <c r="Y3190" s="694">
        <f t="shared" si="417"/>
        <v>0</v>
      </c>
      <c r="Z3190" s="690"/>
      <c r="AA3190" s="690"/>
      <c r="AB3190" s="695">
        <f t="shared" si="418"/>
        <v>0</v>
      </c>
      <c r="AC3190" s="1035"/>
      <c r="AD3190" s="690"/>
      <c r="AE3190" s="1025"/>
      <c r="AF3190" s="1030"/>
      <c r="AG3190" s="690"/>
      <c r="AH3190" s="690"/>
      <c r="AI3190" s="696">
        <f t="shared" si="419"/>
        <v>0</v>
      </c>
      <c r="AJ3190" s="697">
        <f t="shared" si="420"/>
        <v>0</v>
      </c>
    </row>
    <row r="3191" spans="1:36" s="700" customFormat="1" ht="12.75" customHeight="1">
      <c r="A3191" s="773" t="s">
        <v>216</v>
      </c>
      <c r="B3191" s="773" t="s">
        <v>406</v>
      </c>
      <c r="C3191" s="990" t="s">
        <v>441</v>
      </c>
      <c r="D3191" s="990"/>
      <c r="E3191" s="902"/>
      <c r="F3191" s="903"/>
      <c r="G3191" s="1025"/>
      <c r="H3191" s="690"/>
      <c r="I3191" s="1030"/>
      <c r="J3191" s="690"/>
      <c r="K3191" s="1030"/>
      <c r="L3191" s="690"/>
      <c r="M3191" s="1025"/>
      <c r="N3191" s="1030"/>
      <c r="O3191" s="692">
        <f t="shared" si="413"/>
        <v>0</v>
      </c>
      <c r="P3191" s="690"/>
      <c r="Q3191" s="690"/>
      <c r="R3191" s="691">
        <f t="shared" si="414"/>
        <v>0</v>
      </c>
      <c r="S3191" s="692">
        <f t="shared" si="415"/>
        <v>0</v>
      </c>
      <c r="T3191" s="693">
        <f t="shared" si="416"/>
        <v>0</v>
      </c>
      <c r="U3191" s="1035"/>
      <c r="V3191" s="690"/>
      <c r="W3191" s="1025"/>
      <c r="X3191" s="1030"/>
      <c r="Y3191" s="694">
        <f t="shared" si="417"/>
        <v>0</v>
      </c>
      <c r="Z3191" s="690"/>
      <c r="AA3191" s="690"/>
      <c r="AB3191" s="695">
        <f t="shared" si="418"/>
        <v>0</v>
      </c>
      <c r="AC3191" s="1035"/>
      <c r="AD3191" s="690"/>
      <c r="AE3191" s="1025"/>
      <c r="AF3191" s="1030"/>
      <c r="AG3191" s="690"/>
      <c r="AH3191" s="690"/>
      <c r="AI3191" s="696">
        <f t="shared" si="419"/>
        <v>0</v>
      </c>
      <c r="AJ3191" s="697">
        <f t="shared" si="420"/>
        <v>0</v>
      </c>
    </row>
    <row r="3192" spans="1:36" s="700" customFormat="1" ht="12.75" customHeight="1">
      <c r="A3192" s="773" t="s">
        <v>216</v>
      </c>
      <c r="B3192" s="773" t="s">
        <v>406</v>
      </c>
      <c r="C3192" s="989" t="s">
        <v>1815</v>
      </c>
      <c r="D3192" s="989"/>
      <c r="E3192" s="902"/>
      <c r="F3192" s="903"/>
      <c r="G3192" s="1025"/>
      <c r="H3192" s="690"/>
      <c r="I3192" s="1030">
        <v>4111460</v>
      </c>
      <c r="J3192" s="690">
        <v>4473512</v>
      </c>
      <c r="K3192" s="1030"/>
      <c r="L3192" s="690"/>
      <c r="M3192" s="1025"/>
      <c r="N3192" s="1030"/>
      <c r="O3192" s="692">
        <f t="shared" si="413"/>
        <v>0</v>
      </c>
      <c r="P3192" s="690"/>
      <c r="Q3192" s="690"/>
      <c r="R3192" s="691">
        <f t="shared" si="414"/>
        <v>0</v>
      </c>
      <c r="S3192" s="692">
        <f t="shared" si="415"/>
        <v>4111460</v>
      </c>
      <c r="T3192" s="693">
        <f t="shared" si="416"/>
        <v>4473512</v>
      </c>
      <c r="U3192" s="1035"/>
      <c r="V3192" s="690"/>
      <c r="W3192" s="1025"/>
      <c r="X3192" s="1030"/>
      <c r="Y3192" s="694">
        <f t="shared" si="417"/>
        <v>0</v>
      </c>
      <c r="Z3192" s="690"/>
      <c r="AA3192" s="690"/>
      <c r="AB3192" s="695">
        <f t="shared" si="418"/>
        <v>0</v>
      </c>
      <c r="AC3192" s="1035"/>
      <c r="AD3192" s="690"/>
      <c r="AE3192" s="1025"/>
      <c r="AF3192" s="1030"/>
      <c r="AG3192" s="690"/>
      <c r="AH3192" s="690"/>
      <c r="AI3192" s="696">
        <f t="shared" si="419"/>
        <v>4111460</v>
      </c>
      <c r="AJ3192" s="697">
        <f t="shared" si="420"/>
        <v>4473512</v>
      </c>
    </row>
    <row r="3193" spans="1:36" s="700" customFormat="1" ht="12.75" customHeight="1">
      <c r="A3193" s="773" t="s">
        <v>216</v>
      </c>
      <c r="B3193" s="773" t="s">
        <v>406</v>
      </c>
      <c r="C3193" s="989" t="s">
        <v>1816</v>
      </c>
      <c r="D3193" s="989"/>
      <c r="E3193" s="902"/>
      <c r="F3193" s="903"/>
      <c r="G3193" s="1025"/>
      <c r="H3193" s="690"/>
      <c r="I3193" s="1030">
        <v>1213774</v>
      </c>
      <c r="J3193" s="690">
        <v>1149891</v>
      </c>
      <c r="K3193" s="1030"/>
      <c r="L3193" s="690"/>
      <c r="M3193" s="1025"/>
      <c r="N3193" s="1030"/>
      <c r="O3193" s="692">
        <f t="shared" si="413"/>
        <v>0</v>
      </c>
      <c r="P3193" s="690"/>
      <c r="Q3193" s="690"/>
      <c r="R3193" s="691">
        <f t="shared" si="414"/>
        <v>0</v>
      </c>
      <c r="S3193" s="692">
        <f t="shared" si="415"/>
        <v>1213774</v>
      </c>
      <c r="T3193" s="693">
        <f t="shared" si="416"/>
        <v>1149891</v>
      </c>
      <c r="U3193" s="1035"/>
      <c r="V3193" s="690"/>
      <c r="W3193" s="1025"/>
      <c r="X3193" s="1030"/>
      <c r="Y3193" s="694">
        <f t="shared" si="417"/>
        <v>0</v>
      </c>
      <c r="Z3193" s="690"/>
      <c r="AA3193" s="690"/>
      <c r="AB3193" s="695">
        <f t="shared" si="418"/>
        <v>0</v>
      </c>
      <c r="AC3193" s="1035"/>
      <c r="AD3193" s="690"/>
      <c r="AE3193" s="1025"/>
      <c r="AF3193" s="1030"/>
      <c r="AG3193" s="690"/>
      <c r="AH3193" s="690"/>
      <c r="AI3193" s="696">
        <f t="shared" si="419"/>
        <v>1213774</v>
      </c>
      <c r="AJ3193" s="697">
        <f t="shared" si="420"/>
        <v>1149891</v>
      </c>
    </row>
    <row r="3194" spans="1:36" s="700" customFormat="1" ht="12.75" customHeight="1">
      <c r="A3194" s="773" t="s">
        <v>216</v>
      </c>
      <c r="B3194" s="773" t="s">
        <v>406</v>
      </c>
      <c r="C3194" s="989" t="s">
        <v>1817</v>
      </c>
      <c r="D3194" s="989"/>
      <c r="E3194" s="902"/>
      <c r="F3194" s="903"/>
      <c r="G3194" s="1025"/>
      <c r="H3194" s="690"/>
      <c r="I3194" s="1030">
        <v>6600000</v>
      </c>
      <c r="J3194" s="690">
        <v>3510000</v>
      </c>
      <c r="K3194" s="1030"/>
      <c r="L3194" s="690"/>
      <c r="M3194" s="1025"/>
      <c r="N3194" s="1030"/>
      <c r="O3194" s="692">
        <f t="shared" si="413"/>
        <v>0</v>
      </c>
      <c r="P3194" s="690"/>
      <c r="Q3194" s="690"/>
      <c r="R3194" s="691">
        <f t="shared" si="414"/>
        <v>0</v>
      </c>
      <c r="S3194" s="692">
        <f t="shared" si="415"/>
        <v>6600000</v>
      </c>
      <c r="T3194" s="693">
        <f t="shared" si="416"/>
        <v>3510000</v>
      </c>
      <c r="U3194" s="1035"/>
      <c r="V3194" s="690"/>
      <c r="W3194" s="1025"/>
      <c r="X3194" s="1030"/>
      <c r="Y3194" s="694">
        <f t="shared" si="417"/>
        <v>0</v>
      </c>
      <c r="Z3194" s="690"/>
      <c r="AA3194" s="690"/>
      <c r="AB3194" s="695">
        <f t="shared" si="418"/>
        <v>0</v>
      </c>
      <c r="AC3194" s="1035"/>
      <c r="AD3194" s="690"/>
      <c r="AE3194" s="1025"/>
      <c r="AF3194" s="1030"/>
      <c r="AG3194" s="690"/>
      <c r="AH3194" s="690"/>
      <c r="AI3194" s="696">
        <f t="shared" si="419"/>
        <v>6600000</v>
      </c>
      <c r="AJ3194" s="697">
        <f t="shared" si="420"/>
        <v>3510000</v>
      </c>
    </row>
    <row r="3195" spans="1:36" s="700" customFormat="1" ht="12.75" customHeight="1">
      <c r="A3195" s="773" t="s">
        <v>216</v>
      </c>
      <c r="B3195" s="773" t="s">
        <v>407</v>
      </c>
      <c r="C3195" s="990" t="s">
        <v>1418</v>
      </c>
      <c r="D3195" s="990"/>
      <c r="E3195" s="902"/>
      <c r="F3195" s="903"/>
      <c r="G3195" s="1025"/>
      <c r="H3195" s="690"/>
      <c r="I3195" s="1030"/>
      <c r="J3195" s="690"/>
      <c r="K3195" s="1030"/>
      <c r="L3195" s="690"/>
      <c r="M3195" s="1025"/>
      <c r="N3195" s="1030"/>
      <c r="O3195" s="692">
        <f t="shared" si="413"/>
        <v>0</v>
      </c>
      <c r="P3195" s="690"/>
      <c r="Q3195" s="690"/>
      <c r="R3195" s="691">
        <f t="shared" si="414"/>
        <v>0</v>
      </c>
      <c r="S3195" s="692">
        <f t="shared" si="415"/>
        <v>0</v>
      </c>
      <c r="T3195" s="693">
        <f t="shared" si="416"/>
        <v>0</v>
      </c>
      <c r="U3195" s="1035"/>
      <c r="V3195" s="690"/>
      <c r="W3195" s="1025"/>
      <c r="X3195" s="1030"/>
      <c r="Y3195" s="694">
        <f t="shared" si="417"/>
        <v>0</v>
      </c>
      <c r="Z3195" s="690"/>
      <c r="AA3195" s="690"/>
      <c r="AB3195" s="695">
        <f t="shared" si="418"/>
        <v>0</v>
      </c>
      <c r="AC3195" s="1035"/>
      <c r="AD3195" s="690"/>
      <c r="AE3195" s="1025"/>
      <c r="AF3195" s="1030"/>
      <c r="AG3195" s="690"/>
      <c r="AH3195" s="690"/>
      <c r="AI3195" s="696">
        <f t="shared" si="419"/>
        <v>0</v>
      </c>
      <c r="AJ3195" s="697">
        <f t="shared" si="420"/>
        <v>0</v>
      </c>
    </row>
    <row r="3196" spans="1:36" s="700" customFormat="1" ht="12.75" customHeight="1">
      <c r="A3196" s="773" t="s">
        <v>216</v>
      </c>
      <c r="B3196" s="773" t="s">
        <v>407</v>
      </c>
      <c r="C3196" s="989" t="s">
        <v>1818</v>
      </c>
      <c r="D3196" s="989"/>
      <c r="E3196" s="902"/>
      <c r="F3196" s="903"/>
      <c r="G3196" s="1025"/>
      <c r="H3196" s="690"/>
      <c r="I3196" s="1030">
        <v>1472238</v>
      </c>
      <c r="J3196" s="690">
        <v>1464107</v>
      </c>
      <c r="K3196" s="1030"/>
      <c r="L3196" s="690"/>
      <c r="M3196" s="1025"/>
      <c r="N3196" s="1030"/>
      <c r="O3196" s="692">
        <f t="shared" si="413"/>
        <v>0</v>
      </c>
      <c r="P3196" s="690"/>
      <c r="Q3196" s="690"/>
      <c r="R3196" s="691">
        <f t="shared" si="414"/>
        <v>0</v>
      </c>
      <c r="S3196" s="692">
        <f t="shared" si="415"/>
        <v>1472238</v>
      </c>
      <c r="T3196" s="693">
        <f t="shared" si="416"/>
        <v>1464107</v>
      </c>
      <c r="U3196" s="1035"/>
      <c r="V3196" s="690"/>
      <c r="W3196" s="1025"/>
      <c r="X3196" s="1030"/>
      <c r="Y3196" s="694">
        <f t="shared" si="417"/>
        <v>0</v>
      </c>
      <c r="Z3196" s="690"/>
      <c r="AA3196" s="690"/>
      <c r="AB3196" s="695">
        <f t="shared" si="418"/>
        <v>0</v>
      </c>
      <c r="AC3196" s="1035"/>
      <c r="AD3196" s="690"/>
      <c r="AE3196" s="1025"/>
      <c r="AF3196" s="1030"/>
      <c r="AG3196" s="690"/>
      <c r="AH3196" s="690"/>
      <c r="AI3196" s="696">
        <f t="shared" si="419"/>
        <v>1472238</v>
      </c>
      <c r="AJ3196" s="697">
        <f t="shared" si="420"/>
        <v>1464107</v>
      </c>
    </row>
    <row r="3197" spans="1:36" s="700" customFormat="1" ht="12.75" customHeight="1">
      <c r="A3197" s="773" t="s">
        <v>216</v>
      </c>
      <c r="B3197" s="773" t="s">
        <v>431</v>
      </c>
      <c r="C3197" s="992" t="s">
        <v>1518</v>
      </c>
      <c r="D3197" s="992"/>
      <c r="E3197" s="902"/>
      <c r="F3197" s="903"/>
      <c r="G3197" s="1025"/>
      <c r="H3197" s="690"/>
      <c r="I3197" s="1030"/>
      <c r="J3197" s="690"/>
      <c r="K3197" s="1030"/>
      <c r="L3197" s="690"/>
      <c r="M3197" s="1025"/>
      <c r="N3197" s="1030"/>
      <c r="O3197" s="692">
        <f t="shared" si="413"/>
        <v>0</v>
      </c>
      <c r="P3197" s="690"/>
      <c r="Q3197" s="690"/>
      <c r="R3197" s="691">
        <f t="shared" si="414"/>
        <v>0</v>
      </c>
      <c r="S3197" s="692">
        <f t="shared" si="415"/>
        <v>0</v>
      </c>
      <c r="T3197" s="693">
        <f t="shared" si="416"/>
        <v>0</v>
      </c>
      <c r="U3197" s="1035"/>
      <c r="V3197" s="690"/>
      <c r="W3197" s="1025"/>
      <c r="X3197" s="1030"/>
      <c r="Y3197" s="694">
        <f t="shared" si="417"/>
        <v>0</v>
      </c>
      <c r="Z3197" s="690"/>
      <c r="AA3197" s="690"/>
      <c r="AB3197" s="695">
        <f t="shared" si="418"/>
        <v>0</v>
      </c>
      <c r="AC3197" s="1035"/>
      <c r="AD3197" s="690"/>
      <c r="AE3197" s="1025"/>
      <c r="AF3197" s="1030"/>
      <c r="AG3197" s="690"/>
      <c r="AH3197" s="690"/>
      <c r="AI3197" s="696">
        <f t="shared" si="419"/>
        <v>0</v>
      </c>
      <c r="AJ3197" s="697">
        <f t="shared" si="420"/>
        <v>0</v>
      </c>
    </row>
    <row r="3198" spans="1:36" s="700" customFormat="1" ht="12.75" customHeight="1">
      <c r="A3198" s="773" t="s">
        <v>216</v>
      </c>
      <c r="B3198" s="773" t="s">
        <v>431</v>
      </c>
      <c r="C3198" s="989" t="s">
        <v>1819</v>
      </c>
      <c r="D3198" s="989"/>
      <c r="E3198" s="902"/>
      <c r="F3198" s="903"/>
      <c r="G3198" s="1025"/>
      <c r="H3198" s="690"/>
      <c r="I3198" s="1030">
        <v>3414998</v>
      </c>
      <c r="J3198" s="690">
        <v>1707499</v>
      </c>
      <c r="K3198" s="1030"/>
      <c r="L3198" s="690"/>
      <c r="M3198" s="1025"/>
      <c r="N3198" s="1030"/>
      <c r="O3198" s="692">
        <f t="shared" si="413"/>
        <v>0</v>
      </c>
      <c r="P3198" s="690"/>
      <c r="Q3198" s="690"/>
      <c r="R3198" s="691">
        <f t="shared" si="414"/>
        <v>0</v>
      </c>
      <c r="S3198" s="692">
        <f t="shared" si="415"/>
        <v>3414998</v>
      </c>
      <c r="T3198" s="693">
        <f t="shared" si="416"/>
        <v>1707499</v>
      </c>
      <c r="U3198" s="1035"/>
      <c r="V3198" s="690"/>
      <c r="W3198" s="1025"/>
      <c r="X3198" s="1030"/>
      <c r="Y3198" s="694">
        <f t="shared" si="417"/>
        <v>0</v>
      </c>
      <c r="Z3198" s="690"/>
      <c r="AA3198" s="690"/>
      <c r="AB3198" s="695">
        <f t="shared" si="418"/>
        <v>0</v>
      </c>
      <c r="AC3198" s="1035"/>
      <c r="AD3198" s="690"/>
      <c r="AE3198" s="1025"/>
      <c r="AF3198" s="1030"/>
      <c r="AG3198" s="690"/>
      <c r="AH3198" s="690"/>
      <c r="AI3198" s="696">
        <f t="shared" si="419"/>
        <v>3414998</v>
      </c>
      <c r="AJ3198" s="697">
        <f t="shared" si="420"/>
        <v>1707499</v>
      </c>
    </row>
    <row r="3199" spans="1:36" s="700" customFormat="1" ht="12.75" customHeight="1">
      <c r="A3199" s="773" t="s">
        <v>216</v>
      </c>
      <c r="B3199" s="773" t="s">
        <v>431</v>
      </c>
      <c r="C3199" s="989" t="s">
        <v>1820</v>
      </c>
      <c r="D3199" s="989"/>
      <c r="E3199" s="902"/>
      <c r="F3199" s="903"/>
      <c r="G3199" s="1025"/>
      <c r="H3199" s="690"/>
      <c r="I3199" s="1030">
        <v>6003177</v>
      </c>
      <c r="J3199" s="690">
        <v>6003177</v>
      </c>
      <c r="K3199" s="1030"/>
      <c r="L3199" s="690"/>
      <c r="M3199" s="1025"/>
      <c r="N3199" s="1030"/>
      <c r="O3199" s="692">
        <f t="shared" si="413"/>
        <v>0</v>
      </c>
      <c r="P3199" s="690"/>
      <c r="Q3199" s="690"/>
      <c r="R3199" s="691">
        <f t="shared" si="414"/>
        <v>0</v>
      </c>
      <c r="S3199" s="692">
        <f t="shared" si="415"/>
        <v>6003177</v>
      </c>
      <c r="T3199" s="693">
        <f t="shared" si="416"/>
        <v>6003177</v>
      </c>
      <c r="U3199" s="1035"/>
      <c r="V3199" s="690"/>
      <c r="W3199" s="1025"/>
      <c r="X3199" s="1030"/>
      <c r="Y3199" s="694">
        <f t="shared" si="417"/>
        <v>0</v>
      </c>
      <c r="Z3199" s="690"/>
      <c r="AA3199" s="690"/>
      <c r="AB3199" s="695">
        <f t="shared" si="418"/>
        <v>0</v>
      </c>
      <c r="AC3199" s="1035"/>
      <c r="AD3199" s="690"/>
      <c r="AE3199" s="1025"/>
      <c r="AF3199" s="1030"/>
      <c r="AG3199" s="690"/>
      <c r="AH3199" s="690"/>
      <c r="AI3199" s="696">
        <f t="shared" si="419"/>
        <v>6003177</v>
      </c>
      <c r="AJ3199" s="697">
        <f t="shared" si="420"/>
        <v>6003177</v>
      </c>
    </row>
    <row r="3200" spans="1:36" s="700" customFormat="1" ht="12.75" customHeight="1">
      <c r="A3200" s="773" t="s">
        <v>216</v>
      </c>
      <c r="B3200" s="773" t="s">
        <v>431</v>
      </c>
      <c r="C3200" s="989" t="s">
        <v>1821</v>
      </c>
      <c r="D3200" s="989"/>
      <c r="E3200" s="902"/>
      <c r="F3200" s="903"/>
      <c r="G3200" s="1025"/>
      <c r="H3200" s="690"/>
      <c r="I3200" s="1030">
        <v>307899</v>
      </c>
      <c r="J3200" s="690">
        <v>307899</v>
      </c>
      <c r="K3200" s="1030"/>
      <c r="L3200" s="690"/>
      <c r="M3200" s="1025"/>
      <c r="N3200" s="1030"/>
      <c r="O3200" s="692">
        <f t="shared" si="413"/>
        <v>0</v>
      </c>
      <c r="P3200" s="690"/>
      <c r="Q3200" s="690"/>
      <c r="R3200" s="691">
        <f t="shared" si="414"/>
        <v>0</v>
      </c>
      <c r="S3200" s="692">
        <f t="shared" si="415"/>
        <v>307899</v>
      </c>
      <c r="T3200" s="693">
        <f t="shared" si="416"/>
        <v>307899</v>
      </c>
      <c r="U3200" s="1035"/>
      <c r="V3200" s="690"/>
      <c r="W3200" s="1025"/>
      <c r="X3200" s="1030"/>
      <c r="Y3200" s="694">
        <f t="shared" si="417"/>
        <v>0</v>
      </c>
      <c r="Z3200" s="690"/>
      <c r="AA3200" s="690"/>
      <c r="AB3200" s="695">
        <f t="shared" si="418"/>
        <v>0</v>
      </c>
      <c r="AC3200" s="1035"/>
      <c r="AD3200" s="690"/>
      <c r="AE3200" s="1025"/>
      <c r="AF3200" s="1030"/>
      <c r="AG3200" s="690"/>
      <c r="AH3200" s="690"/>
      <c r="AI3200" s="696">
        <f t="shared" si="419"/>
        <v>307899</v>
      </c>
      <c r="AJ3200" s="697">
        <f t="shared" si="420"/>
        <v>307899</v>
      </c>
    </row>
    <row r="3201" spans="1:36" s="700" customFormat="1" ht="12.75" customHeight="1">
      <c r="A3201" s="773" t="s">
        <v>216</v>
      </c>
      <c r="B3201" s="773" t="s">
        <v>431</v>
      </c>
      <c r="C3201" s="989" t="s">
        <v>1822</v>
      </c>
      <c r="D3201" s="989"/>
      <c r="E3201" s="902"/>
      <c r="F3201" s="903"/>
      <c r="G3201" s="1025"/>
      <c r="H3201" s="690"/>
      <c r="I3201" s="1030">
        <v>245000</v>
      </c>
      <c r="J3201" s="690">
        <v>245000</v>
      </c>
      <c r="K3201" s="1030"/>
      <c r="L3201" s="690"/>
      <c r="M3201" s="1025"/>
      <c r="N3201" s="1030"/>
      <c r="O3201" s="692">
        <f t="shared" si="413"/>
        <v>0</v>
      </c>
      <c r="P3201" s="690"/>
      <c r="Q3201" s="690"/>
      <c r="R3201" s="691">
        <f t="shared" si="414"/>
        <v>0</v>
      </c>
      <c r="S3201" s="692">
        <f t="shared" si="415"/>
        <v>245000</v>
      </c>
      <c r="T3201" s="693">
        <f t="shared" si="416"/>
        <v>245000</v>
      </c>
      <c r="U3201" s="1035"/>
      <c r="V3201" s="690"/>
      <c r="W3201" s="1025"/>
      <c r="X3201" s="1030"/>
      <c r="Y3201" s="694">
        <f t="shared" si="417"/>
        <v>0</v>
      </c>
      <c r="Z3201" s="690"/>
      <c r="AA3201" s="690"/>
      <c r="AB3201" s="695">
        <f t="shared" si="418"/>
        <v>0</v>
      </c>
      <c r="AC3201" s="1035"/>
      <c r="AD3201" s="690"/>
      <c r="AE3201" s="1025"/>
      <c r="AF3201" s="1030"/>
      <c r="AG3201" s="690"/>
      <c r="AH3201" s="690"/>
      <c r="AI3201" s="696">
        <f t="shared" si="419"/>
        <v>245000</v>
      </c>
      <c r="AJ3201" s="697">
        <f t="shared" si="420"/>
        <v>245000</v>
      </c>
    </row>
    <row r="3202" spans="1:36" s="700" customFormat="1" ht="12.75" customHeight="1">
      <c r="A3202" s="773" t="s">
        <v>216</v>
      </c>
      <c r="B3202" s="773" t="s">
        <v>431</v>
      </c>
      <c r="C3202" s="989" t="s">
        <v>1823</v>
      </c>
      <c r="D3202" s="989"/>
      <c r="E3202" s="902"/>
      <c r="F3202" s="903"/>
      <c r="G3202" s="1025"/>
      <c r="H3202" s="690"/>
      <c r="I3202" s="1030">
        <v>665344</v>
      </c>
      <c r="J3202" s="690">
        <v>664969</v>
      </c>
      <c r="K3202" s="1030"/>
      <c r="L3202" s="690"/>
      <c r="M3202" s="1025"/>
      <c r="N3202" s="1030"/>
      <c r="O3202" s="692">
        <f t="shared" si="413"/>
        <v>0</v>
      </c>
      <c r="P3202" s="690"/>
      <c r="Q3202" s="690"/>
      <c r="R3202" s="691">
        <f t="shared" si="414"/>
        <v>0</v>
      </c>
      <c r="S3202" s="692">
        <f t="shared" si="415"/>
        <v>665344</v>
      </c>
      <c r="T3202" s="693">
        <f t="shared" si="416"/>
        <v>664969</v>
      </c>
      <c r="U3202" s="1035"/>
      <c r="V3202" s="690"/>
      <c r="W3202" s="1025"/>
      <c r="X3202" s="1030"/>
      <c r="Y3202" s="694">
        <f t="shared" si="417"/>
        <v>0</v>
      </c>
      <c r="Z3202" s="690"/>
      <c r="AA3202" s="690"/>
      <c r="AB3202" s="695">
        <f t="shared" si="418"/>
        <v>0</v>
      </c>
      <c r="AC3202" s="1035"/>
      <c r="AD3202" s="690"/>
      <c r="AE3202" s="1025"/>
      <c r="AF3202" s="1030"/>
      <c r="AG3202" s="690"/>
      <c r="AH3202" s="690"/>
      <c r="AI3202" s="696">
        <f t="shared" si="419"/>
        <v>665344</v>
      </c>
      <c r="AJ3202" s="697">
        <f t="shared" si="420"/>
        <v>664969</v>
      </c>
    </row>
    <row r="3203" spans="1:36" s="700" customFormat="1" ht="12.75" customHeight="1">
      <c r="A3203" s="773" t="s">
        <v>216</v>
      </c>
      <c r="B3203" s="773" t="s">
        <v>431</v>
      </c>
      <c r="C3203" s="989" t="s">
        <v>1824</v>
      </c>
      <c r="D3203" s="989"/>
      <c r="E3203" s="902"/>
      <c r="F3203" s="903"/>
      <c r="G3203" s="1025"/>
      <c r="H3203" s="690"/>
      <c r="I3203" s="1030"/>
      <c r="J3203" s="690"/>
      <c r="K3203" s="1030"/>
      <c r="L3203" s="690"/>
      <c r="M3203" s="1025"/>
      <c r="N3203" s="1030"/>
      <c r="O3203" s="692">
        <f t="shared" si="413"/>
        <v>0</v>
      </c>
      <c r="P3203" s="690"/>
      <c r="Q3203" s="690"/>
      <c r="R3203" s="691">
        <f t="shared" si="414"/>
        <v>0</v>
      </c>
      <c r="S3203" s="692">
        <f t="shared" si="415"/>
        <v>0</v>
      </c>
      <c r="T3203" s="693">
        <f t="shared" si="416"/>
        <v>0</v>
      </c>
      <c r="U3203" s="1035"/>
      <c r="V3203" s="690"/>
      <c r="W3203" s="1025"/>
      <c r="X3203" s="1030"/>
      <c r="Y3203" s="694">
        <f t="shared" si="417"/>
        <v>0</v>
      </c>
      <c r="Z3203" s="690"/>
      <c r="AA3203" s="690"/>
      <c r="AB3203" s="695">
        <f t="shared" si="418"/>
        <v>0</v>
      </c>
      <c r="AC3203" s="1035">
        <v>16108599</v>
      </c>
      <c r="AD3203" s="690">
        <v>16484299</v>
      </c>
      <c r="AE3203" s="1025"/>
      <c r="AF3203" s="1030"/>
      <c r="AG3203" s="690"/>
      <c r="AH3203" s="690"/>
      <c r="AI3203" s="696">
        <f t="shared" si="419"/>
        <v>16108599</v>
      </c>
      <c r="AJ3203" s="697">
        <f t="shared" si="420"/>
        <v>16484299</v>
      </c>
    </row>
    <row r="3204" spans="1:36" s="700" customFormat="1" ht="12.75" customHeight="1">
      <c r="A3204" s="773" t="s">
        <v>216</v>
      </c>
      <c r="B3204" s="773" t="s">
        <v>431</v>
      </c>
      <c r="C3204" s="989" t="s">
        <v>1825</v>
      </c>
      <c r="D3204" s="989"/>
      <c r="E3204" s="902"/>
      <c r="F3204" s="903"/>
      <c r="G3204" s="1025"/>
      <c r="H3204" s="690"/>
      <c r="I3204" s="1030">
        <v>62698478</v>
      </c>
      <c r="J3204" s="690">
        <v>50042693</v>
      </c>
      <c r="K3204" s="1030"/>
      <c r="L3204" s="690"/>
      <c r="M3204" s="1025"/>
      <c r="N3204" s="1030"/>
      <c r="O3204" s="692">
        <f t="shared" si="413"/>
        <v>0</v>
      </c>
      <c r="P3204" s="690"/>
      <c r="Q3204" s="690"/>
      <c r="R3204" s="691">
        <f t="shared" si="414"/>
        <v>0</v>
      </c>
      <c r="S3204" s="692">
        <f t="shared" si="415"/>
        <v>62698478</v>
      </c>
      <c r="T3204" s="693">
        <f t="shared" si="416"/>
        <v>50042693</v>
      </c>
      <c r="U3204" s="1035"/>
      <c r="V3204" s="690"/>
      <c r="W3204" s="1025"/>
      <c r="X3204" s="1030"/>
      <c r="Y3204" s="694">
        <f t="shared" si="417"/>
        <v>0</v>
      </c>
      <c r="Z3204" s="690"/>
      <c r="AA3204" s="690"/>
      <c r="AB3204" s="695">
        <f t="shared" si="418"/>
        <v>0</v>
      </c>
      <c r="AC3204" s="1035"/>
      <c r="AD3204" s="690"/>
      <c r="AE3204" s="1025"/>
      <c r="AF3204" s="1030"/>
      <c r="AG3204" s="690"/>
      <c r="AH3204" s="690"/>
      <c r="AI3204" s="696">
        <f t="shared" si="419"/>
        <v>62698478</v>
      </c>
      <c r="AJ3204" s="697">
        <f t="shared" si="420"/>
        <v>50042693</v>
      </c>
    </row>
    <row r="3205" spans="1:36" s="700" customFormat="1" ht="12.75" customHeight="1">
      <c r="A3205" s="773" t="s">
        <v>216</v>
      </c>
      <c r="B3205" s="773" t="s">
        <v>431</v>
      </c>
      <c r="C3205" s="989" t="s">
        <v>1826</v>
      </c>
      <c r="D3205" s="989"/>
      <c r="E3205" s="902"/>
      <c r="F3205" s="903"/>
      <c r="G3205" s="1025"/>
      <c r="H3205" s="690"/>
      <c r="I3205" s="1030">
        <v>1930990</v>
      </c>
      <c r="J3205" s="690">
        <v>1930643</v>
      </c>
      <c r="K3205" s="1030"/>
      <c r="L3205" s="690"/>
      <c r="M3205" s="1025"/>
      <c r="N3205" s="1030"/>
      <c r="O3205" s="692">
        <f t="shared" si="413"/>
        <v>0</v>
      </c>
      <c r="P3205" s="690"/>
      <c r="Q3205" s="690"/>
      <c r="R3205" s="691">
        <f t="shared" si="414"/>
        <v>0</v>
      </c>
      <c r="S3205" s="692">
        <f t="shared" si="415"/>
        <v>1930990</v>
      </c>
      <c r="T3205" s="693">
        <f t="shared" si="416"/>
        <v>1930643</v>
      </c>
      <c r="U3205" s="1035"/>
      <c r="V3205" s="690"/>
      <c r="W3205" s="1025"/>
      <c r="X3205" s="1030"/>
      <c r="Y3205" s="694">
        <f t="shared" si="417"/>
        <v>0</v>
      </c>
      <c r="Z3205" s="690"/>
      <c r="AA3205" s="690"/>
      <c r="AB3205" s="695">
        <f t="shared" si="418"/>
        <v>0</v>
      </c>
      <c r="AC3205" s="1035"/>
      <c r="AD3205" s="690"/>
      <c r="AE3205" s="1025"/>
      <c r="AF3205" s="1030"/>
      <c r="AG3205" s="690"/>
      <c r="AH3205" s="690"/>
      <c r="AI3205" s="696">
        <f t="shared" si="419"/>
        <v>1930990</v>
      </c>
      <c r="AJ3205" s="697">
        <f t="shared" si="420"/>
        <v>1930643</v>
      </c>
    </row>
    <row r="3206" spans="1:36" s="700" customFormat="1" ht="12.75" customHeight="1">
      <c r="A3206" s="773" t="s">
        <v>216</v>
      </c>
      <c r="B3206" s="773" t="s">
        <v>431</v>
      </c>
      <c r="C3206" s="989" t="s">
        <v>1827</v>
      </c>
      <c r="D3206" s="989"/>
      <c r="E3206" s="902"/>
      <c r="F3206" s="903"/>
      <c r="G3206" s="1025"/>
      <c r="H3206" s="690"/>
      <c r="I3206" s="1030">
        <v>1815533</v>
      </c>
      <c r="J3206" s="690">
        <v>1804919</v>
      </c>
      <c r="K3206" s="1030"/>
      <c r="L3206" s="690"/>
      <c r="M3206" s="1025"/>
      <c r="N3206" s="1030"/>
      <c r="O3206" s="692">
        <f t="shared" si="413"/>
        <v>0</v>
      </c>
      <c r="P3206" s="690"/>
      <c r="Q3206" s="690"/>
      <c r="R3206" s="691">
        <f t="shared" si="414"/>
        <v>0</v>
      </c>
      <c r="S3206" s="692">
        <f t="shared" si="415"/>
        <v>1815533</v>
      </c>
      <c r="T3206" s="693">
        <f t="shared" si="416"/>
        <v>1804919</v>
      </c>
      <c r="U3206" s="1035"/>
      <c r="V3206" s="690"/>
      <c r="W3206" s="1025"/>
      <c r="X3206" s="1030"/>
      <c r="Y3206" s="694">
        <f t="shared" si="417"/>
        <v>0</v>
      </c>
      <c r="Z3206" s="690"/>
      <c r="AA3206" s="690"/>
      <c r="AB3206" s="695">
        <f t="shared" si="418"/>
        <v>0</v>
      </c>
      <c r="AC3206" s="1035"/>
      <c r="AD3206" s="690"/>
      <c r="AE3206" s="1025"/>
      <c r="AF3206" s="1030"/>
      <c r="AG3206" s="690"/>
      <c r="AH3206" s="690"/>
      <c r="AI3206" s="696">
        <f t="shared" si="419"/>
        <v>1815533</v>
      </c>
      <c r="AJ3206" s="697">
        <f t="shared" si="420"/>
        <v>1804919</v>
      </c>
    </row>
    <row r="3207" spans="1:36" s="700" customFormat="1" ht="12.75" customHeight="1">
      <c r="A3207" s="773" t="s">
        <v>216</v>
      </c>
      <c r="B3207" s="773" t="s">
        <v>431</v>
      </c>
      <c r="C3207" s="989" t="s">
        <v>1828</v>
      </c>
      <c r="D3207" s="989"/>
      <c r="E3207" s="902"/>
      <c r="F3207" s="903"/>
      <c r="G3207" s="1025"/>
      <c r="H3207" s="690"/>
      <c r="I3207" s="1030">
        <v>1121896</v>
      </c>
      <c r="J3207" s="690">
        <v>1121896</v>
      </c>
      <c r="K3207" s="1030"/>
      <c r="L3207" s="690"/>
      <c r="M3207" s="1025"/>
      <c r="N3207" s="1030"/>
      <c r="O3207" s="692">
        <f t="shared" si="413"/>
        <v>0</v>
      </c>
      <c r="P3207" s="690"/>
      <c r="Q3207" s="690"/>
      <c r="R3207" s="691">
        <f t="shared" si="414"/>
        <v>0</v>
      </c>
      <c r="S3207" s="692">
        <f t="shared" si="415"/>
        <v>1121896</v>
      </c>
      <c r="T3207" s="693">
        <f t="shared" si="416"/>
        <v>1121896</v>
      </c>
      <c r="U3207" s="1035"/>
      <c r="V3207" s="690"/>
      <c r="W3207" s="1025"/>
      <c r="X3207" s="1030"/>
      <c r="Y3207" s="694">
        <f t="shared" si="417"/>
        <v>0</v>
      </c>
      <c r="Z3207" s="690"/>
      <c r="AA3207" s="690"/>
      <c r="AB3207" s="695">
        <f t="shared" si="418"/>
        <v>0</v>
      </c>
      <c r="AC3207" s="1035"/>
      <c r="AD3207" s="690"/>
      <c r="AE3207" s="1025"/>
      <c r="AF3207" s="1030"/>
      <c r="AG3207" s="690"/>
      <c r="AH3207" s="690"/>
      <c r="AI3207" s="696">
        <f t="shared" si="419"/>
        <v>1121896</v>
      </c>
      <c r="AJ3207" s="697">
        <f t="shared" si="420"/>
        <v>1121896</v>
      </c>
    </row>
    <row r="3208" spans="1:36" s="700" customFormat="1" ht="12.75" customHeight="1">
      <c r="A3208" s="773" t="s">
        <v>216</v>
      </c>
      <c r="B3208" s="773" t="s">
        <v>431</v>
      </c>
      <c r="C3208" s="989" t="s">
        <v>1829</v>
      </c>
      <c r="D3208" s="989"/>
      <c r="E3208" s="902"/>
      <c r="F3208" s="903"/>
      <c r="G3208" s="1025"/>
      <c r="H3208" s="690"/>
      <c r="I3208" s="1030">
        <v>5837590</v>
      </c>
      <c r="J3208" s="690">
        <v>5525061</v>
      </c>
      <c r="K3208" s="1030"/>
      <c r="L3208" s="690"/>
      <c r="M3208" s="1025"/>
      <c r="N3208" s="1030"/>
      <c r="O3208" s="692">
        <f t="shared" si="413"/>
        <v>0</v>
      </c>
      <c r="P3208" s="690"/>
      <c r="Q3208" s="690"/>
      <c r="R3208" s="691">
        <f t="shared" si="414"/>
        <v>0</v>
      </c>
      <c r="S3208" s="692">
        <f t="shared" si="415"/>
        <v>5837590</v>
      </c>
      <c r="T3208" s="693">
        <f t="shared" si="416"/>
        <v>5525061</v>
      </c>
      <c r="U3208" s="1035"/>
      <c r="V3208" s="690"/>
      <c r="W3208" s="1025"/>
      <c r="X3208" s="1030"/>
      <c r="Y3208" s="694">
        <f t="shared" si="417"/>
        <v>0</v>
      </c>
      <c r="Z3208" s="690"/>
      <c r="AA3208" s="690"/>
      <c r="AB3208" s="695">
        <f t="shared" si="418"/>
        <v>0</v>
      </c>
      <c r="AC3208" s="1035"/>
      <c r="AD3208" s="690"/>
      <c r="AE3208" s="1025"/>
      <c r="AF3208" s="1030"/>
      <c r="AG3208" s="690"/>
      <c r="AH3208" s="690"/>
      <c r="AI3208" s="696">
        <f t="shared" si="419"/>
        <v>5837590</v>
      </c>
      <c r="AJ3208" s="697">
        <f t="shared" si="420"/>
        <v>5525061</v>
      </c>
    </row>
    <row r="3209" spans="1:36" s="700" customFormat="1" ht="12.75" customHeight="1">
      <c r="A3209" s="773" t="s">
        <v>216</v>
      </c>
      <c r="B3209" s="773" t="s">
        <v>409</v>
      </c>
      <c r="C3209" s="992" t="s">
        <v>157</v>
      </c>
      <c r="D3209" s="992"/>
      <c r="E3209" s="902"/>
      <c r="F3209" s="903"/>
      <c r="G3209" s="1025"/>
      <c r="H3209" s="690"/>
      <c r="I3209" s="1030"/>
      <c r="J3209" s="690"/>
      <c r="K3209" s="1030"/>
      <c r="L3209" s="690"/>
      <c r="M3209" s="1025"/>
      <c r="N3209" s="1030"/>
      <c r="O3209" s="692">
        <f t="shared" si="413"/>
        <v>0</v>
      </c>
      <c r="P3209" s="690"/>
      <c r="Q3209" s="690"/>
      <c r="R3209" s="691">
        <f t="shared" si="414"/>
        <v>0</v>
      </c>
      <c r="S3209" s="692">
        <f t="shared" si="415"/>
        <v>0</v>
      </c>
      <c r="T3209" s="693">
        <f t="shared" si="416"/>
        <v>0</v>
      </c>
      <c r="U3209" s="1035"/>
      <c r="V3209" s="690"/>
      <c r="W3209" s="1025"/>
      <c r="X3209" s="1030"/>
      <c r="Y3209" s="694">
        <f t="shared" si="417"/>
        <v>0</v>
      </c>
      <c r="Z3209" s="690"/>
      <c r="AA3209" s="690"/>
      <c r="AB3209" s="695">
        <f t="shared" si="418"/>
        <v>0</v>
      </c>
      <c r="AC3209" s="1035"/>
      <c r="AD3209" s="690"/>
      <c r="AE3209" s="1025"/>
      <c r="AF3209" s="1030"/>
      <c r="AG3209" s="690"/>
      <c r="AH3209" s="690"/>
      <c r="AI3209" s="696">
        <f t="shared" si="419"/>
        <v>0</v>
      </c>
      <c r="AJ3209" s="697">
        <f t="shared" si="420"/>
        <v>0</v>
      </c>
    </row>
    <row r="3210" spans="1:36" s="700" customFormat="1" ht="12.75" customHeight="1">
      <c r="A3210" s="773" t="s">
        <v>216</v>
      </c>
      <c r="B3210" s="773" t="s">
        <v>410</v>
      </c>
      <c r="C3210" s="990" t="s">
        <v>200</v>
      </c>
      <c r="D3210" s="990"/>
      <c r="E3210" s="902"/>
      <c r="F3210" s="903"/>
      <c r="G3210" s="1025"/>
      <c r="H3210" s="690"/>
      <c r="I3210" s="1030"/>
      <c r="J3210" s="690"/>
      <c r="K3210" s="1030"/>
      <c r="L3210" s="690"/>
      <c r="M3210" s="1025"/>
      <c r="N3210" s="1030"/>
      <c r="O3210" s="692">
        <f t="shared" si="413"/>
        <v>0</v>
      </c>
      <c r="P3210" s="690"/>
      <c r="Q3210" s="690"/>
      <c r="R3210" s="691">
        <f t="shared" si="414"/>
        <v>0</v>
      </c>
      <c r="S3210" s="692">
        <f t="shared" si="415"/>
        <v>0</v>
      </c>
      <c r="T3210" s="693">
        <f t="shared" si="416"/>
        <v>0</v>
      </c>
      <c r="U3210" s="1035">
        <v>3827803</v>
      </c>
      <c r="V3210" s="690">
        <v>3700416</v>
      </c>
      <c r="W3210" s="1025"/>
      <c r="X3210" s="1030"/>
      <c r="Y3210" s="694">
        <f t="shared" si="417"/>
        <v>0</v>
      </c>
      <c r="Z3210" s="690"/>
      <c r="AA3210" s="690"/>
      <c r="AB3210" s="695">
        <f t="shared" si="418"/>
        <v>0</v>
      </c>
      <c r="AC3210" s="1035"/>
      <c r="AD3210" s="690"/>
      <c r="AE3210" s="1025"/>
      <c r="AF3210" s="1030"/>
      <c r="AG3210" s="690"/>
      <c r="AH3210" s="690"/>
      <c r="AI3210" s="696">
        <f t="shared" si="419"/>
        <v>3827803</v>
      </c>
      <c r="AJ3210" s="697">
        <f t="shared" si="420"/>
        <v>3700416</v>
      </c>
    </row>
    <row r="3211" spans="1:36" s="700" customFormat="1" ht="12.75" customHeight="1">
      <c r="A3211" s="773" t="s">
        <v>216</v>
      </c>
      <c r="B3211" s="773" t="s">
        <v>411</v>
      </c>
      <c r="C3211" s="990" t="s">
        <v>199</v>
      </c>
      <c r="D3211" s="990"/>
      <c r="E3211" s="902"/>
      <c r="F3211" s="903"/>
      <c r="G3211" s="1025"/>
      <c r="H3211" s="690"/>
      <c r="I3211" s="1030"/>
      <c r="J3211" s="690"/>
      <c r="K3211" s="1030"/>
      <c r="L3211" s="690"/>
      <c r="M3211" s="1025"/>
      <c r="N3211" s="1030"/>
      <c r="O3211" s="692">
        <f t="shared" si="413"/>
        <v>0</v>
      </c>
      <c r="P3211" s="690"/>
      <c r="Q3211" s="690"/>
      <c r="R3211" s="691">
        <f t="shared" si="414"/>
        <v>0</v>
      </c>
      <c r="S3211" s="692">
        <f t="shared" si="415"/>
        <v>0</v>
      </c>
      <c r="T3211" s="693">
        <f t="shared" si="416"/>
        <v>0</v>
      </c>
      <c r="U3211" s="1035">
        <v>15967600</v>
      </c>
      <c r="V3211" s="690">
        <v>15937227</v>
      </c>
      <c r="W3211" s="1025"/>
      <c r="X3211" s="1030"/>
      <c r="Y3211" s="694">
        <f t="shared" si="417"/>
        <v>0</v>
      </c>
      <c r="Z3211" s="690"/>
      <c r="AA3211" s="690"/>
      <c r="AB3211" s="695">
        <f t="shared" si="418"/>
        <v>0</v>
      </c>
      <c r="AC3211" s="1035"/>
      <c r="AD3211" s="690"/>
      <c r="AE3211" s="1025"/>
      <c r="AF3211" s="1030"/>
      <c r="AG3211" s="690"/>
      <c r="AH3211" s="690"/>
      <c r="AI3211" s="696">
        <f t="shared" si="419"/>
        <v>15967600</v>
      </c>
      <c r="AJ3211" s="697">
        <f t="shared" si="420"/>
        <v>15937227</v>
      </c>
    </row>
    <row r="3212" spans="1:36" s="700" customFormat="1" ht="12.75" customHeight="1">
      <c r="A3212" s="773" t="s">
        <v>216</v>
      </c>
      <c r="B3212" s="773" t="s">
        <v>412</v>
      </c>
      <c r="C3212" s="989" t="s">
        <v>684</v>
      </c>
      <c r="D3212" s="989"/>
      <c r="E3212" s="902"/>
      <c r="F3212" s="903"/>
      <c r="G3212" s="1025"/>
      <c r="H3212" s="690"/>
      <c r="I3212" s="1030"/>
      <c r="J3212" s="690"/>
      <c r="K3212" s="1030"/>
      <c r="L3212" s="690"/>
      <c r="M3212" s="1025"/>
      <c r="N3212" s="1030"/>
      <c r="O3212" s="692">
        <f t="shared" si="413"/>
        <v>0</v>
      </c>
      <c r="P3212" s="690"/>
      <c r="Q3212" s="690"/>
      <c r="R3212" s="691">
        <f t="shared" si="414"/>
        <v>0</v>
      </c>
      <c r="S3212" s="692">
        <f t="shared" si="415"/>
        <v>0</v>
      </c>
      <c r="T3212" s="693">
        <f t="shared" si="416"/>
        <v>0</v>
      </c>
      <c r="U3212" s="1035"/>
      <c r="V3212" s="690"/>
      <c r="W3212" s="1025"/>
      <c r="X3212" s="1030"/>
      <c r="Y3212" s="694">
        <f t="shared" si="417"/>
        <v>0</v>
      </c>
      <c r="Z3212" s="690"/>
      <c r="AA3212" s="690"/>
      <c r="AB3212" s="695">
        <f t="shared" si="418"/>
        <v>0</v>
      </c>
      <c r="AC3212" s="1035"/>
      <c r="AD3212" s="690"/>
      <c r="AE3212" s="1025"/>
      <c r="AF3212" s="1030"/>
      <c r="AG3212" s="690"/>
      <c r="AH3212" s="690"/>
      <c r="AI3212" s="696">
        <f t="shared" si="419"/>
        <v>0</v>
      </c>
      <c r="AJ3212" s="697">
        <f t="shared" si="420"/>
        <v>0</v>
      </c>
    </row>
    <row r="3213" spans="1:36" s="700" customFormat="1" ht="12.75" customHeight="1">
      <c r="A3213" s="773" t="s">
        <v>216</v>
      </c>
      <c r="B3213" s="773" t="s">
        <v>413</v>
      </c>
      <c r="C3213" s="990" t="s">
        <v>632</v>
      </c>
      <c r="D3213" s="990"/>
      <c r="E3213" s="902"/>
      <c r="F3213" s="903"/>
      <c r="G3213" s="1025"/>
      <c r="H3213" s="690"/>
      <c r="I3213" s="1030"/>
      <c r="J3213" s="690"/>
      <c r="K3213" s="1030"/>
      <c r="L3213" s="690"/>
      <c r="M3213" s="1025"/>
      <c r="N3213" s="1030"/>
      <c r="O3213" s="692">
        <f t="shared" ref="O3213:O3276" si="421">SUM(M3213:N3213)</f>
        <v>0</v>
      </c>
      <c r="P3213" s="690"/>
      <c r="Q3213" s="690"/>
      <c r="R3213" s="691">
        <f t="shared" ref="R3213:R3276" si="422">SUM(P3213:Q3213)</f>
        <v>0</v>
      </c>
      <c r="S3213" s="692">
        <f t="shared" ref="S3213:S3276" si="423">SUM(G3213,I3213,K3213,M3213)</f>
        <v>0</v>
      </c>
      <c r="T3213" s="693">
        <f t="shared" ref="T3213:T3276" si="424">SUM(H3213,J3213,L3213,P3213)</f>
        <v>0</v>
      </c>
      <c r="U3213" s="1035"/>
      <c r="V3213" s="690"/>
      <c r="W3213" s="1025"/>
      <c r="X3213" s="1030"/>
      <c r="Y3213" s="694">
        <f t="shared" ref="Y3213:Y3276" si="425">SUM(W3213:X3213)</f>
        <v>0</v>
      </c>
      <c r="Z3213" s="690"/>
      <c r="AA3213" s="690"/>
      <c r="AB3213" s="695">
        <f t="shared" ref="AB3213:AB3276" si="426">SUM(Z3213:AA3213)</f>
        <v>0</v>
      </c>
      <c r="AC3213" s="1035"/>
      <c r="AD3213" s="690"/>
      <c r="AE3213" s="1025"/>
      <c r="AF3213" s="1030"/>
      <c r="AG3213" s="690"/>
      <c r="AH3213" s="690"/>
      <c r="AI3213" s="696">
        <f t="shared" ref="AI3213:AI3276" si="427">SUM(S3213,U3213,W3213,AC3213,AE3213)</f>
        <v>0</v>
      </c>
      <c r="AJ3213" s="697">
        <f t="shared" ref="AJ3213:AJ3276" si="428">SUM(T3213,V3213,Z3213,AD3213,AG3213)</f>
        <v>0</v>
      </c>
    </row>
    <row r="3214" spans="1:36" s="700" customFormat="1" ht="12.75" customHeight="1">
      <c r="A3214" s="773" t="s">
        <v>216</v>
      </c>
      <c r="B3214" s="773" t="s">
        <v>414</v>
      </c>
      <c r="C3214" s="992" t="s">
        <v>160</v>
      </c>
      <c r="D3214" s="992"/>
      <c r="E3214" s="902"/>
      <c r="F3214" s="903"/>
      <c r="G3214" s="1025"/>
      <c r="H3214" s="690"/>
      <c r="I3214" s="1030"/>
      <c r="J3214" s="690"/>
      <c r="K3214" s="1030"/>
      <c r="L3214" s="690"/>
      <c r="M3214" s="1025"/>
      <c r="N3214" s="1030"/>
      <c r="O3214" s="692">
        <f t="shared" si="421"/>
        <v>0</v>
      </c>
      <c r="P3214" s="690"/>
      <c r="Q3214" s="690"/>
      <c r="R3214" s="691">
        <f t="shared" si="422"/>
        <v>0</v>
      </c>
      <c r="S3214" s="692">
        <f t="shared" si="423"/>
        <v>0</v>
      </c>
      <c r="T3214" s="693">
        <f t="shared" si="424"/>
        <v>0</v>
      </c>
      <c r="U3214" s="1035"/>
      <c r="V3214" s="690"/>
      <c r="W3214" s="1025"/>
      <c r="X3214" s="1030"/>
      <c r="Y3214" s="694">
        <f t="shared" si="425"/>
        <v>0</v>
      </c>
      <c r="Z3214" s="690"/>
      <c r="AA3214" s="690"/>
      <c r="AB3214" s="695">
        <f t="shared" si="426"/>
        <v>0</v>
      </c>
      <c r="AC3214" s="1035"/>
      <c r="AD3214" s="690"/>
      <c r="AE3214" s="1025"/>
      <c r="AF3214" s="1030"/>
      <c r="AG3214" s="690"/>
      <c r="AH3214" s="690"/>
      <c r="AI3214" s="696">
        <f t="shared" si="427"/>
        <v>0</v>
      </c>
      <c r="AJ3214" s="697">
        <f t="shared" si="428"/>
        <v>0</v>
      </c>
    </row>
    <row r="3215" spans="1:36" s="700" customFormat="1" ht="12.75" customHeight="1">
      <c r="A3215" s="773" t="s">
        <v>216</v>
      </c>
      <c r="B3215" s="773" t="s">
        <v>415</v>
      </c>
      <c r="C3215" s="992" t="s">
        <v>165</v>
      </c>
      <c r="D3215" s="992"/>
      <c r="E3215" s="902"/>
      <c r="F3215" s="903"/>
      <c r="G3215" s="1025"/>
      <c r="H3215" s="690"/>
      <c r="I3215" s="1030"/>
      <c r="J3215" s="690"/>
      <c r="K3215" s="1030"/>
      <c r="L3215" s="690"/>
      <c r="M3215" s="1025"/>
      <c r="N3215" s="1030"/>
      <c r="O3215" s="692">
        <f t="shared" si="421"/>
        <v>0</v>
      </c>
      <c r="P3215" s="690"/>
      <c r="Q3215" s="690"/>
      <c r="R3215" s="691">
        <f t="shared" si="422"/>
        <v>0</v>
      </c>
      <c r="S3215" s="692">
        <f t="shared" si="423"/>
        <v>0</v>
      </c>
      <c r="T3215" s="693">
        <f t="shared" si="424"/>
        <v>0</v>
      </c>
      <c r="U3215" s="1035"/>
      <c r="V3215" s="690"/>
      <c r="W3215" s="1025"/>
      <c r="X3215" s="1030"/>
      <c r="Y3215" s="694">
        <f t="shared" si="425"/>
        <v>0</v>
      </c>
      <c r="Z3215" s="690"/>
      <c r="AA3215" s="690"/>
      <c r="AB3215" s="695">
        <f t="shared" si="426"/>
        <v>0</v>
      </c>
      <c r="AC3215" s="1035"/>
      <c r="AD3215" s="690"/>
      <c r="AE3215" s="1025"/>
      <c r="AF3215" s="1030"/>
      <c r="AG3215" s="690"/>
      <c r="AH3215" s="690"/>
      <c r="AI3215" s="696">
        <f t="shared" si="427"/>
        <v>0</v>
      </c>
      <c r="AJ3215" s="697">
        <f t="shared" si="428"/>
        <v>0</v>
      </c>
    </row>
    <row r="3216" spans="1:36" s="700" customFormat="1" ht="12.75" customHeight="1">
      <c r="A3216" s="773" t="s">
        <v>216</v>
      </c>
      <c r="B3216" s="773" t="s">
        <v>416</v>
      </c>
      <c r="C3216" s="990" t="s">
        <v>166</v>
      </c>
      <c r="D3216" s="990"/>
      <c r="E3216" s="902"/>
      <c r="F3216" s="903"/>
      <c r="G3216" s="1025"/>
      <c r="H3216" s="690"/>
      <c r="I3216" s="1030"/>
      <c r="J3216" s="690"/>
      <c r="K3216" s="1030"/>
      <c r="L3216" s="690"/>
      <c r="M3216" s="1025"/>
      <c r="N3216" s="1030"/>
      <c r="O3216" s="692">
        <f t="shared" si="421"/>
        <v>0</v>
      </c>
      <c r="P3216" s="690"/>
      <c r="Q3216" s="690"/>
      <c r="R3216" s="691">
        <f t="shared" si="422"/>
        <v>0</v>
      </c>
      <c r="S3216" s="692">
        <f t="shared" si="423"/>
        <v>0</v>
      </c>
      <c r="T3216" s="693">
        <f t="shared" si="424"/>
        <v>0</v>
      </c>
      <c r="U3216" s="1035"/>
      <c r="V3216" s="690"/>
      <c r="W3216" s="1025"/>
      <c r="X3216" s="1030"/>
      <c r="Y3216" s="694">
        <f t="shared" si="425"/>
        <v>0</v>
      </c>
      <c r="Z3216" s="690"/>
      <c r="AA3216" s="690"/>
      <c r="AB3216" s="695">
        <f t="shared" si="426"/>
        <v>0</v>
      </c>
      <c r="AC3216" s="1035"/>
      <c r="AD3216" s="690"/>
      <c r="AE3216" s="1025"/>
      <c r="AF3216" s="1030"/>
      <c r="AG3216" s="690"/>
      <c r="AH3216" s="690"/>
      <c r="AI3216" s="696">
        <f t="shared" si="427"/>
        <v>0</v>
      </c>
      <c r="AJ3216" s="697">
        <f t="shared" si="428"/>
        <v>0</v>
      </c>
    </row>
    <row r="3217" spans="1:36" s="700" customFormat="1" ht="12.75" customHeight="1">
      <c r="A3217" s="773" t="s">
        <v>216</v>
      </c>
      <c r="B3217" s="773" t="s">
        <v>416</v>
      </c>
      <c r="C3217" s="989" t="s">
        <v>636</v>
      </c>
      <c r="D3217" s="989"/>
      <c r="E3217" s="902"/>
      <c r="F3217" s="903"/>
      <c r="G3217" s="1025"/>
      <c r="H3217" s="690"/>
      <c r="I3217" s="1030"/>
      <c r="J3217" s="690"/>
      <c r="K3217" s="1030"/>
      <c r="L3217" s="690"/>
      <c r="M3217" s="1025"/>
      <c r="N3217" s="1030"/>
      <c r="O3217" s="692">
        <f t="shared" si="421"/>
        <v>0</v>
      </c>
      <c r="P3217" s="690"/>
      <c r="Q3217" s="690"/>
      <c r="R3217" s="691">
        <f t="shared" si="422"/>
        <v>0</v>
      </c>
      <c r="S3217" s="692">
        <f t="shared" si="423"/>
        <v>0</v>
      </c>
      <c r="T3217" s="693">
        <f t="shared" si="424"/>
        <v>0</v>
      </c>
      <c r="U3217" s="1035">
        <v>32000</v>
      </c>
      <c r="V3217" s="690">
        <v>10000</v>
      </c>
      <c r="W3217" s="1025"/>
      <c r="X3217" s="1030"/>
      <c r="Y3217" s="694">
        <f t="shared" si="425"/>
        <v>0</v>
      </c>
      <c r="Z3217" s="690"/>
      <c r="AA3217" s="690"/>
      <c r="AB3217" s="695">
        <f t="shared" si="426"/>
        <v>0</v>
      </c>
      <c r="AC3217" s="1035"/>
      <c r="AD3217" s="690"/>
      <c r="AE3217" s="1025"/>
      <c r="AF3217" s="1030"/>
      <c r="AG3217" s="690"/>
      <c r="AH3217" s="690"/>
      <c r="AI3217" s="696">
        <f t="shared" si="427"/>
        <v>32000</v>
      </c>
      <c r="AJ3217" s="697">
        <f t="shared" si="428"/>
        <v>10000</v>
      </c>
    </row>
    <row r="3218" spans="1:36" s="700" customFormat="1" ht="12.75" customHeight="1">
      <c r="A3218" s="773" t="s">
        <v>216</v>
      </c>
      <c r="B3218" s="773" t="s">
        <v>417</v>
      </c>
      <c r="C3218" s="990" t="s">
        <v>168</v>
      </c>
      <c r="D3218" s="990"/>
      <c r="E3218" s="902"/>
      <c r="F3218" s="903"/>
      <c r="G3218" s="1025"/>
      <c r="H3218" s="690"/>
      <c r="I3218" s="1030"/>
      <c r="J3218" s="690"/>
      <c r="K3218" s="1030"/>
      <c r="L3218" s="690"/>
      <c r="M3218" s="1025"/>
      <c r="N3218" s="1030"/>
      <c r="O3218" s="692">
        <f t="shared" si="421"/>
        <v>0</v>
      </c>
      <c r="P3218" s="690"/>
      <c r="Q3218" s="690"/>
      <c r="R3218" s="691">
        <f t="shared" si="422"/>
        <v>0</v>
      </c>
      <c r="S3218" s="692">
        <f t="shared" si="423"/>
        <v>0</v>
      </c>
      <c r="T3218" s="693">
        <f t="shared" si="424"/>
        <v>0</v>
      </c>
      <c r="U3218" s="1035"/>
      <c r="V3218" s="690"/>
      <c r="W3218" s="1025"/>
      <c r="X3218" s="1030"/>
      <c r="Y3218" s="694">
        <f t="shared" si="425"/>
        <v>0</v>
      </c>
      <c r="Z3218" s="690"/>
      <c r="AA3218" s="690"/>
      <c r="AB3218" s="695">
        <f t="shared" si="426"/>
        <v>0</v>
      </c>
      <c r="AC3218" s="1035"/>
      <c r="AD3218" s="690"/>
      <c r="AE3218" s="1025"/>
      <c r="AF3218" s="1030"/>
      <c r="AG3218" s="690"/>
      <c r="AH3218" s="690"/>
      <c r="AI3218" s="696">
        <f t="shared" si="427"/>
        <v>0</v>
      </c>
      <c r="AJ3218" s="697">
        <f t="shared" si="428"/>
        <v>0</v>
      </c>
    </row>
    <row r="3219" spans="1:36" s="700" customFormat="1" ht="12.75" customHeight="1">
      <c r="A3219" s="773" t="s">
        <v>216</v>
      </c>
      <c r="B3219" s="773" t="s">
        <v>417</v>
      </c>
      <c r="C3219" s="989" t="s">
        <v>1830</v>
      </c>
      <c r="D3219" s="989"/>
      <c r="E3219" s="902"/>
      <c r="F3219" s="903"/>
      <c r="G3219" s="1025"/>
      <c r="H3219" s="690"/>
      <c r="I3219" s="1030"/>
      <c r="J3219" s="690"/>
      <c r="K3219" s="1030"/>
      <c r="L3219" s="690"/>
      <c r="M3219" s="1025"/>
      <c r="N3219" s="1030"/>
      <c r="O3219" s="692">
        <f t="shared" si="421"/>
        <v>0</v>
      </c>
      <c r="P3219" s="690"/>
      <c r="Q3219" s="690"/>
      <c r="R3219" s="691">
        <f t="shared" si="422"/>
        <v>0</v>
      </c>
      <c r="S3219" s="692">
        <f t="shared" si="423"/>
        <v>0</v>
      </c>
      <c r="T3219" s="693">
        <f t="shared" si="424"/>
        <v>0</v>
      </c>
      <c r="U3219" s="1035"/>
      <c r="V3219" s="690"/>
      <c r="W3219" s="1025"/>
      <c r="X3219" s="1030"/>
      <c r="Y3219" s="694">
        <f t="shared" si="425"/>
        <v>0</v>
      </c>
      <c r="Z3219" s="690"/>
      <c r="AA3219" s="690"/>
      <c r="AB3219" s="695">
        <f t="shared" si="426"/>
        <v>0</v>
      </c>
      <c r="AC3219" s="1035"/>
      <c r="AD3219" s="690"/>
      <c r="AE3219" s="1025"/>
      <c r="AF3219" s="1030"/>
      <c r="AG3219" s="690"/>
      <c r="AH3219" s="690"/>
      <c r="AI3219" s="696">
        <f t="shared" si="427"/>
        <v>0</v>
      </c>
      <c r="AJ3219" s="697">
        <f t="shared" si="428"/>
        <v>0</v>
      </c>
    </row>
    <row r="3220" spans="1:36" s="700" customFormat="1" ht="12.75" customHeight="1">
      <c r="A3220" s="773" t="s">
        <v>216</v>
      </c>
      <c r="B3220" s="773" t="s">
        <v>417</v>
      </c>
      <c r="C3220" s="989" t="s">
        <v>1831</v>
      </c>
      <c r="D3220" s="989"/>
      <c r="E3220" s="902"/>
      <c r="F3220" s="903"/>
      <c r="G3220" s="1025"/>
      <c r="H3220" s="690"/>
      <c r="I3220" s="1030"/>
      <c r="J3220" s="690"/>
      <c r="K3220" s="1030"/>
      <c r="L3220" s="690"/>
      <c r="M3220" s="1025"/>
      <c r="N3220" s="1030"/>
      <c r="O3220" s="692">
        <f t="shared" si="421"/>
        <v>0</v>
      </c>
      <c r="P3220" s="690"/>
      <c r="Q3220" s="690"/>
      <c r="R3220" s="691">
        <f t="shared" si="422"/>
        <v>0</v>
      </c>
      <c r="S3220" s="692">
        <f t="shared" si="423"/>
        <v>0</v>
      </c>
      <c r="T3220" s="693">
        <f t="shared" si="424"/>
        <v>0</v>
      </c>
      <c r="U3220" s="1035"/>
      <c r="V3220" s="690"/>
      <c r="W3220" s="1025"/>
      <c r="X3220" s="1030"/>
      <c r="Y3220" s="694">
        <f t="shared" si="425"/>
        <v>0</v>
      </c>
      <c r="Z3220" s="690"/>
      <c r="AA3220" s="690"/>
      <c r="AB3220" s="695">
        <f t="shared" si="426"/>
        <v>0</v>
      </c>
      <c r="AC3220" s="1035"/>
      <c r="AD3220" s="690"/>
      <c r="AE3220" s="1025"/>
      <c r="AF3220" s="1030"/>
      <c r="AG3220" s="690"/>
      <c r="AH3220" s="690"/>
      <c r="AI3220" s="696">
        <f t="shared" si="427"/>
        <v>0</v>
      </c>
      <c r="AJ3220" s="697">
        <f t="shared" si="428"/>
        <v>0</v>
      </c>
    </row>
    <row r="3221" spans="1:36" s="700" customFormat="1" ht="12.75" customHeight="1">
      <c r="A3221" s="773" t="s">
        <v>216</v>
      </c>
      <c r="B3221" s="773" t="s">
        <v>417</v>
      </c>
      <c r="C3221" s="989" t="s">
        <v>957</v>
      </c>
      <c r="D3221" s="989"/>
      <c r="E3221" s="902"/>
      <c r="F3221" s="903"/>
      <c r="G3221" s="1025"/>
      <c r="H3221" s="690"/>
      <c r="I3221" s="1030"/>
      <c r="J3221" s="690"/>
      <c r="K3221" s="1030"/>
      <c r="L3221" s="690"/>
      <c r="M3221" s="1025"/>
      <c r="N3221" s="1030"/>
      <c r="O3221" s="692">
        <f t="shared" si="421"/>
        <v>0</v>
      </c>
      <c r="P3221" s="690"/>
      <c r="Q3221" s="690"/>
      <c r="R3221" s="691">
        <f t="shared" si="422"/>
        <v>0</v>
      </c>
      <c r="S3221" s="692">
        <f t="shared" si="423"/>
        <v>0</v>
      </c>
      <c r="T3221" s="693">
        <f t="shared" si="424"/>
        <v>0</v>
      </c>
      <c r="U3221" s="1035"/>
      <c r="V3221" s="690"/>
      <c r="W3221" s="1025"/>
      <c r="X3221" s="1030"/>
      <c r="Y3221" s="694">
        <f t="shared" si="425"/>
        <v>0</v>
      </c>
      <c r="Z3221" s="690"/>
      <c r="AA3221" s="690"/>
      <c r="AB3221" s="695">
        <f t="shared" si="426"/>
        <v>0</v>
      </c>
      <c r="AC3221" s="1035"/>
      <c r="AD3221" s="690"/>
      <c r="AE3221" s="1025"/>
      <c r="AF3221" s="1030"/>
      <c r="AG3221" s="690"/>
      <c r="AH3221" s="690"/>
      <c r="AI3221" s="696">
        <f t="shared" si="427"/>
        <v>0</v>
      </c>
      <c r="AJ3221" s="697">
        <f t="shared" si="428"/>
        <v>0</v>
      </c>
    </row>
    <row r="3222" spans="1:36" s="700" customFormat="1" ht="12.75" customHeight="1">
      <c r="A3222" s="773" t="s">
        <v>216</v>
      </c>
      <c r="B3222" s="773" t="s">
        <v>417</v>
      </c>
      <c r="C3222" s="989" t="s">
        <v>1832</v>
      </c>
      <c r="D3222" s="989"/>
      <c r="E3222" s="902"/>
      <c r="F3222" s="903"/>
      <c r="G3222" s="1025"/>
      <c r="H3222" s="690"/>
      <c r="I3222" s="1030"/>
      <c r="J3222" s="690"/>
      <c r="K3222" s="1030"/>
      <c r="L3222" s="690"/>
      <c r="M3222" s="1025"/>
      <c r="N3222" s="1030"/>
      <c r="O3222" s="692">
        <f t="shared" si="421"/>
        <v>0</v>
      </c>
      <c r="P3222" s="690"/>
      <c r="Q3222" s="690"/>
      <c r="R3222" s="691">
        <f t="shared" si="422"/>
        <v>0</v>
      </c>
      <c r="S3222" s="692">
        <f t="shared" si="423"/>
        <v>0</v>
      </c>
      <c r="T3222" s="693">
        <f t="shared" si="424"/>
        <v>0</v>
      </c>
      <c r="U3222" s="1035"/>
      <c r="V3222" s="690"/>
      <c r="W3222" s="1025"/>
      <c r="X3222" s="1030"/>
      <c r="Y3222" s="694">
        <f t="shared" si="425"/>
        <v>0</v>
      </c>
      <c r="Z3222" s="690"/>
      <c r="AA3222" s="690"/>
      <c r="AB3222" s="695">
        <f t="shared" si="426"/>
        <v>0</v>
      </c>
      <c r="AC3222" s="1035"/>
      <c r="AD3222" s="690"/>
      <c r="AE3222" s="1025"/>
      <c r="AF3222" s="1030"/>
      <c r="AG3222" s="690"/>
      <c r="AH3222" s="690"/>
      <c r="AI3222" s="696">
        <f t="shared" si="427"/>
        <v>0</v>
      </c>
      <c r="AJ3222" s="697">
        <f t="shared" si="428"/>
        <v>0</v>
      </c>
    </row>
    <row r="3223" spans="1:36" s="700" customFormat="1" ht="12.75" customHeight="1">
      <c r="A3223" s="773" t="s">
        <v>216</v>
      </c>
      <c r="B3223" s="773" t="s">
        <v>418</v>
      </c>
      <c r="C3223" s="990" t="s">
        <v>197</v>
      </c>
      <c r="D3223" s="990"/>
      <c r="E3223" s="902"/>
      <c r="F3223" s="903"/>
      <c r="G3223" s="1025"/>
      <c r="H3223" s="690"/>
      <c r="I3223" s="1030"/>
      <c r="J3223" s="690"/>
      <c r="K3223" s="1030"/>
      <c r="L3223" s="690"/>
      <c r="M3223" s="1025"/>
      <c r="N3223" s="1030"/>
      <c r="O3223" s="692">
        <f t="shared" si="421"/>
        <v>0</v>
      </c>
      <c r="P3223" s="690"/>
      <c r="Q3223" s="690"/>
      <c r="R3223" s="691">
        <f t="shared" si="422"/>
        <v>0</v>
      </c>
      <c r="S3223" s="692">
        <f t="shared" si="423"/>
        <v>0</v>
      </c>
      <c r="T3223" s="693">
        <f t="shared" si="424"/>
        <v>0</v>
      </c>
      <c r="U3223" s="1035">
        <v>170000</v>
      </c>
      <c r="V3223" s="690">
        <v>170000</v>
      </c>
      <c r="W3223" s="1025"/>
      <c r="X3223" s="1030"/>
      <c r="Y3223" s="694">
        <f t="shared" si="425"/>
        <v>0</v>
      </c>
      <c r="Z3223" s="690"/>
      <c r="AA3223" s="690"/>
      <c r="AB3223" s="695">
        <f t="shared" si="426"/>
        <v>0</v>
      </c>
      <c r="AC3223" s="1035"/>
      <c r="AD3223" s="690"/>
      <c r="AE3223" s="1025"/>
      <c r="AF3223" s="1030"/>
      <c r="AG3223" s="690"/>
      <c r="AH3223" s="690"/>
      <c r="AI3223" s="696">
        <f t="shared" si="427"/>
        <v>170000</v>
      </c>
      <c r="AJ3223" s="697">
        <f t="shared" si="428"/>
        <v>170000</v>
      </c>
    </row>
    <row r="3224" spans="1:36" s="700" customFormat="1" ht="12.75" customHeight="1">
      <c r="A3224" s="773" t="s">
        <v>216</v>
      </c>
      <c r="B3224" s="773" t="s">
        <v>419</v>
      </c>
      <c r="C3224" s="785" t="s">
        <v>50</v>
      </c>
      <c r="D3224" s="785"/>
      <c r="E3224" s="902"/>
      <c r="F3224" s="903"/>
      <c r="G3224" s="1025"/>
      <c r="H3224" s="690"/>
      <c r="I3224" s="1030"/>
      <c r="J3224" s="690"/>
      <c r="K3224" s="1030"/>
      <c r="L3224" s="690"/>
      <c r="M3224" s="1025"/>
      <c r="N3224" s="1030"/>
      <c r="O3224" s="692">
        <f t="shared" si="421"/>
        <v>0</v>
      </c>
      <c r="P3224" s="690"/>
      <c r="Q3224" s="690"/>
      <c r="R3224" s="691">
        <f t="shared" si="422"/>
        <v>0</v>
      </c>
      <c r="S3224" s="692">
        <f t="shared" si="423"/>
        <v>0</v>
      </c>
      <c r="T3224" s="693">
        <f t="shared" si="424"/>
        <v>0</v>
      </c>
      <c r="U3224" s="1035"/>
      <c r="V3224" s="690"/>
      <c r="W3224" s="1025"/>
      <c r="X3224" s="1030"/>
      <c r="Y3224" s="694">
        <f t="shared" si="425"/>
        <v>0</v>
      </c>
      <c r="Z3224" s="690"/>
      <c r="AA3224" s="690"/>
      <c r="AB3224" s="695">
        <f t="shared" si="426"/>
        <v>0</v>
      </c>
      <c r="AC3224" s="1035"/>
      <c r="AD3224" s="690"/>
      <c r="AE3224" s="1025"/>
      <c r="AF3224" s="1030"/>
      <c r="AG3224" s="690"/>
      <c r="AH3224" s="690"/>
      <c r="AI3224" s="696">
        <f t="shared" si="427"/>
        <v>0</v>
      </c>
      <c r="AJ3224" s="697">
        <f t="shared" si="428"/>
        <v>0</v>
      </c>
    </row>
    <row r="3225" spans="1:36" s="700" customFormat="1" ht="12.75" customHeight="1">
      <c r="A3225" s="773" t="s">
        <v>216</v>
      </c>
      <c r="B3225" s="773" t="s">
        <v>420</v>
      </c>
      <c r="C3225" s="993" t="s">
        <v>51</v>
      </c>
      <c r="D3225" s="993"/>
      <c r="E3225" s="902"/>
      <c r="F3225" s="903"/>
      <c r="G3225" s="1025"/>
      <c r="H3225" s="690"/>
      <c r="I3225" s="1030"/>
      <c r="J3225" s="690"/>
      <c r="K3225" s="1030"/>
      <c r="L3225" s="690"/>
      <c r="M3225" s="1025"/>
      <c r="N3225" s="1030"/>
      <c r="O3225" s="692">
        <f t="shared" si="421"/>
        <v>0</v>
      </c>
      <c r="P3225" s="690"/>
      <c r="Q3225" s="690"/>
      <c r="R3225" s="691">
        <f t="shared" si="422"/>
        <v>0</v>
      </c>
      <c r="S3225" s="692">
        <f t="shared" si="423"/>
        <v>0</v>
      </c>
      <c r="T3225" s="693">
        <f t="shared" si="424"/>
        <v>0</v>
      </c>
      <c r="U3225" s="1035"/>
      <c r="V3225" s="690"/>
      <c r="W3225" s="1025"/>
      <c r="X3225" s="1030"/>
      <c r="Y3225" s="694">
        <f t="shared" si="425"/>
        <v>0</v>
      </c>
      <c r="Z3225" s="690"/>
      <c r="AA3225" s="690"/>
      <c r="AB3225" s="695">
        <f t="shared" si="426"/>
        <v>0</v>
      </c>
      <c r="AC3225" s="1035"/>
      <c r="AD3225" s="690"/>
      <c r="AE3225" s="1025"/>
      <c r="AF3225" s="1030"/>
      <c r="AG3225" s="690"/>
      <c r="AH3225" s="690"/>
      <c r="AI3225" s="696">
        <f t="shared" si="427"/>
        <v>0</v>
      </c>
      <c r="AJ3225" s="697">
        <f t="shared" si="428"/>
        <v>0</v>
      </c>
    </row>
    <row r="3226" spans="1:36" s="700" customFormat="1" ht="12.75" customHeight="1">
      <c r="A3226" s="773" t="s">
        <v>216</v>
      </c>
      <c r="B3226" s="773" t="s">
        <v>420</v>
      </c>
      <c r="C3226" s="994" t="s">
        <v>1833</v>
      </c>
      <c r="D3226" s="994"/>
      <c r="E3226" s="902"/>
      <c r="F3226" s="903"/>
      <c r="G3226" s="1025"/>
      <c r="H3226" s="690"/>
      <c r="I3226" s="1030"/>
      <c r="J3226" s="690"/>
      <c r="K3226" s="1030"/>
      <c r="L3226" s="690"/>
      <c r="M3226" s="1025"/>
      <c r="N3226" s="1030"/>
      <c r="O3226" s="692">
        <f t="shared" si="421"/>
        <v>0</v>
      </c>
      <c r="P3226" s="690"/>
      <c r="Q3226" s="690"/>
      <c r="R3226" s="691">
        <f t="shared" si="422"/>
        <v>0</v>
      </c>
      <c r="S3226" s="692">
        <f t="shared" si="423"/>
        <v>0</v>
      </c>
      <c r="T3226" s="693">
        <f t="shared" si="424"/>
        <v>0</v>
      </c>
      <c r="U3226" s="1035"/>
      <c r="V3226" s="690"/>
      <c r="W3226" s="1025"/>
      <c r="X3226" s="1030"/>
      <c r="Y3226" s="694">
        <f t="shared" si="425"/>
        <v>0</v>
      </c>
      <c r="Z3226" s="690"/>
      <c r="AA3226" s="690"/>
      <c r="AB3226" s="695">
        <f t="shared" si="426"/>
        <v>0</v>
      </c>
      <c r="AC3226" s="1035"/>
      <c r="AD3226" s="690"/>
      <c r="AE3226" s="1025"/>
      <c r="AF3226" s="1030"/>
      <c r="AG3226" s="690"/>
      <c r="AH3226" s="690"/>
      <c r="AI3226" s="696">
        <f t="shared" si="427"/>
        <v>0</v>
      </c>
      <c r="AJ3226" s="697">
        <f t="shared" si="428"/>
        <v>0</v>
      </c>
    </row>
    <row r="3227" spans="1:36" s="700" customFormat="1" ht="12.75" customHeight="1">
      <c r="A3227" s="773" t="s">
        <v>216</v>
      </c>
      <c r="B3227" s="995" t="s">
        <v>295</v>
      </c>
      <c r="C3227" s="996" t="s">
        <v>53</v>
      </c>
      <c r="D3227" s="996"/>
      <c r="E3227" s="997"/>
      <c r="F3227" s="776"/>
      <c r="G3227" s="1025"/>
      <c r="H3227" s="690"/>
      <c r="I3227" s="1030"/>
      <c r="J3227" s="690"/>
      <c r="K3227" s="1030"/>
      <c r="L3227" s="690"/>
      <c r="M3227" s="1025"/>
      <c r="N3227" s="1030"/>
      <c r="O3227" s="692">
        <f t="shared" si="421"/>
        <v>0</v>
      </c>
      <c r="P3227" s="690"/>
      <c r="Q3227" s="690"/>
      <c r="R3227" s="691">
        <f t="shared" si="422"/>
        <v>0</v>
      </c>
      <c r="S3227" s="692">
        <f t="shared" si="423"/>
        <v>0</v>
      </c>
      <c r="T3227" s="693">
        <f t="shared" si="424"/>
        <v>0</v>
      </c>
      <c r="U3227" s="1035"/>
      <c r="V3227" s="690"/>
      <c r="W3227" s="1025"/>
      <c r="X3227" s="1030"/>
      <c r="Y3227" s="694">
        <f t="shared" si="425"/>
        <v>0</v>
      </c>
      <c r="Z3227" s="690"/>
      <c r="AA3227" s="690"/>
      <c r="AB3227" s="695">
        <f t="shared" si="426"/>
        <v>0</v>
      </c>
      <c r="AC3227" s="1035"/>
      <c r="AD3227" s="690"/>
      <c r="AE3227" s="1025"/>
      <c r="AF3227" s="1030"/>
      <c r="AG3227" s="690"/>
      <c r="AH3227" s="690"/>
      <c r="AI3227" s="696">
        <f t="shared" si="427"/>
        <v>0</v>
      </c>
      <c r="AJ3227" s="697">
        <f t="shared" si="428"/>
        <v>0</v>
      </c>
    </row>
    <row r="3228" spans="1:36" s="700" customFormat="1" ht="12.75" customHeight="1">
      <c r="A3228" s="773" t="s">
        <v>216</v>
      </c>
      <c r="B3228" s="995" t="s">
        <v>296</v>
      </c>
      <c r="C3228" s="996" t="s">
        <v>443</v>
      </c>
      <c r="D3228" s="996"/>
      <c r="E3228" s="997"/>
      <c r="F3228" s="776"/>
      <c r="G3228" s="1025"/>
      <c r="H3228" s="690"/>
      <c r="I3228" s="1030"/>
      <c r="J3228" s="690"/>
      <c r="K3228" s="1030"/>
      <c r="L3228" s="690"/>
      <c r="M3228" s="1025"/>
      <c r="N3228" s="1030"/>
      <c r="O3228" s="692">
        <f t="shared" si="421"/>
        <v>0</v>
      </c>
      <c r="P3228" s="690"/>
      <c r="Q3228" s="690"/>
      <c r="R3228" s="691">
        <f t="shared" si="422"/>
        <v>0</v>
      </c>
      <c r="S3228" s="692">
        <f t="shared" si="423"/>
        <v>0</v>
      </c>
      <c r="T3228" s="693">
        <f t="shared" si="424"/>
        <v>0</v>
      </c>
      <c r="U3228" s="1035">
        <v>3372105</v>
      </c>
      <c r="V3228" s="690">
        <v>3372105</v>
      </c>
      <c r="W3228" s="1025"/>
      <c r="X3228" s="1030"/>
      <c r="Y3228" s="694">
        <f t="shared" si="425"/>
        <v>0</v>
      </c>
      <c r="Z3228" s="690"/>
      <c r="AA3228" s="690"/>
      <c r="AB3228" s="695">
        <f t="shared" si="426"/>
        <v>0</v>
      </c>
      <c r="AC3228" s="1035"/>
      <c r="AD3228" s="690"/>
      <c r="AE3228" s="1025"/>
      <c r="AF3228" s="1030"/>
      <c r="AG3228" s="690"/>
      <c r="AH3228" s="690"/>
      <c r="AI3228" s="696">
        <f t="shared" si="427"/>
        <v>3372105</v>
      </c>
      <c r="AJ3228" s="697">
        <f t="shared" si="428"/>
        <v>3372105</v>
      </c>
    </row>
    <row r="3229" spans="1:36" s="700" customFormat="1" ht="12.75" customHeight="1">
      <c r="A3229" s="773" t="s">
        <v>216</v>
      </c>
      <c r="B3229" s="995" t="s">
        <v>278</v>
      </c>
      <c r="C3229" s="996" t="s">
        <v>1834</v>
      </c>
      <c r="D3229" s="996"/>
      <c r="E3229" s="997"/>
      <c r="F3229" s="776"/>
      <c r="G3229" s="1025"/>
      <c r="H3229" s="690"/>
      <c r="I3229" s="1030"/>
      <c r="J3229" s="690"/>
      <c r="K3229" s="1030"/>
      <c r="L3229" s="690"/>
      <c r="M3229" s="1025"/>
      <c r="N3229" s="1030"/>
      <c r="O3229" s="692">
        <f t="shared" si="421"/>
        <v>0</v>
      </c>
      <c r="P3229" s="690"/>
      <c r="Q3229" s="690"/>
      <c r="R3229" s="691">
        <f t="shared" si="422"/>
        <v>0</v>
      </c>
      <c r="S3229" s="692">
        <f t="shared" si="423"/>
        <v>0</v>
      </c>
      <c r="T3229" s="693">
        <f t="shared" si="424"/>
        <v>0</v>
      </c>
      <c r="U3229" s="1035">
        <v>1000000</v>
      </c>
      <c r="V3229" s="690">
        <v>1000000</v>
      </c>
      <c r="W3229" s="1025"/>
      <c r="X3229" s="1030"/>
      <c r="Y3229" s="694">
        <f t="shared" si="425"/>
        <v>0</v>
      </c>
      <c r="Z3229" s="690"/>
      <c r="AA3229" s="690"/>
      <c r="AB3229" s="695">
        <f t="shared" si="426"/>
        <v>0</v>
      </c>
      <c r="AC3229" s="1035"/>
      <c r="AD3229" s="690"/>
      <c r="AE3229" s="1025"/>
      <c r="AF3229" s="1030"/>
      <c r="AG3229" s="690"/>
      <c r="AH3229" s="690"/>
      <c r="AI3229" s="696">
        <f t="shared" si="427"/>
        <v>1000000</v>
      </c>
      <c r="AJ3229" s="697">
        <f t="shared" si="428"/>
        <v>1000000</v>
      </c>
    </row>
    <row r="3230" spans="1:36" s="700" customFormat="1" ht="12.75" customHeight="1">
      <c r="A3230" s="773" t="s">
        <v>216</v>
      </c>
      <c r="B3230" s="773" t="s">
        <v>279</v>
      </c>
      <c r="C3230" s="996" t="s">
        <v>54</v>
      </c>
      <c r="D3230" s="996"/>
      <c r="E3230" s="997"/>
      <c r="F3230" s="776"/>
      <c r="G3230" s="1025"/>
      <c r="H3230" s="690"/>
      <c r="I3230" s="1030"/>
      <c r="J3230" s="690"/>
      <c r="K3230" s="1030"/>
      <c r="L3230" s="690"/>
      <c r="M3230" s="1025"/>
      <c r="N3230" s="1030"/>
      <c r="O3230" s="692">
        <f t="shared" si="421"/>
        <v>0</v>
      </c>
      <c r="P3230" s="690"/>
      <c r="Q3230" s="690"/>
      <c r="R3230" s="691">
        <f t="shared" si="422"/>
        <v>0</v>
      </c>
      <c r="S3230" s="692">
        <f t="shared" si="423"/>
        <v>0</v>
      </c>
      <c r="T3230" s="693">
        <f t="shared" si="424"/>
        <v>0</v>
      </c>
      <c r="U3230" s="1035"/>
      <c r="V3230" s="690"/>
      <c r="W3230" s="1025"/>
      <c r="X3230" s="1030"/>
      <c r="Y3230" s="694">
        <f t="shared" si="425"/>
        <v>0</v>
      </c>
      <c r="Z3230" s="690"/>
      <c r="AA3230" s="690"/>
      <c r="AB3230" s="695">
        <f t="shared" si="426"/>
        <v>0</v>
      </c>
      <c r="AC3230" s="1035"/>
      <c r="AD3230" s="690"/>
      <c r="AE3230" s="1025"/>
      <c r="AF3230" s="1030"/>
      <c r="AG3230" s="690"/>
      <c r="AH3230" s="690"/>
      <c r="AI3230" s="696">
        <f t="shared" si="427"/>
        <v>0</v>
      </c>
      <c r="AJ3230" s="697">
        <f t="shared" si="428"/>
        <v>0</v>
      </c>
    </row>
    <row r="3231" spans="1:36" s="700" customFormat="1" ht="12.75" customHeight="1">
      <c r="A3231" s="773" t="s">
        <v>216</v>
      </c>
      <c r="B3231" s="995" t="s">
        <v>317</v>
      </c>
      <c r="C3231" s="996" t="s">
        <v>443</v>
      </c>
      <c r="D3231" s="996"/>
      <c r="E3231" s="997"/>
      <c r="F3231" s="776"/>
      <c r="G3231" s="1025"/>
      <c r="H3231" s="690"/>
      <c r="I3231" s="1030"/>
      <c r="J3231" s="690"/>
      <c r="K3231" s="1030"/>
      <c r="L3231" s="690"/>
      <c r="M3231" s="1025"/>
      <c r="N3231" s="1030"/>
      <c r="O3231" s="692">
        <f t="shared" si="421"/>
        <v>0</v>
      </c>
      <c r="P3231" s="690"/>
      <c r="Q3231" s="690"/>
      <c r="R3231" s="691">
        <f t="shared" si="422"/>
        <v>0</v>
      </c>
      <c r="S3231" s="692">
        <f t="shared" si="423"/>
        <v>0</v>
      </c>
      <c r="T3231" s="693">
        <f t="shared" si="424"/>
        <v>0</v>
      </c>
      <c r="U3231" s="1035">
        <v>1041645</v>
      </c>
      <c r="V3231" s="690">
        <v>1041645</v>
      </c>
      <c r="W3231" s="1025"/>
      <c r="X3231" s="1030"/>
      <c r="Y3231" s="694">
        <f t="shared" si="425"/>
        <v>0</v>
      </c>
      <c r="Z3231" s="690"/>
      <c r="AA3231" s="690"/>
      <c r="AB3231" s="695">
        <f t="shared" si="426"/>
        <v>0</v>
      </c>
      <c r="AC3231" s="1035"/>
      <c r="AD3231" s="690"/>
      <c r="AE3231" s="1025"/>
      <c r="AF3231" s="1030"/>
      <c r="AG3231" s="690"/>
      <c r="AH3231" s="690"/>
      <c r="AI3231" s="696">
        <f t="shared" si="427"/>
        <v>1041645</v>
      </c>
      <c r="AJ3231" s="697">
        <f t="shared" si="428"/>
        <v>1041645</v>
      </c>
    </row>
    <row r="3232" spans="1:36" s="700" customFormat="1" ht="12.75" customHeight="1">
      <c r="A3232" s="773" t="s">
        <v>216</v>
      </c>
      <c r="B3232" s="995" t="s">
        <v>318</v>
      </c>
      <c r="C3232" s="996" t="s">
        <v>377</v>
      </c>
      <c r="D3232" s="996"/>
      <c r="E3232" s="997"/>
      <c r="F3232" s="776"/>
      <c r="G3232" s="1025"/>
      <c r="H3232" s="690"/>
      <c r="I3232" s="1030"/>
      <c r="J3232" s="690"/>
      <c r="K3232" s="1030"/>
      <c r="L3232" s="690"/>
      <c r="M3232" s="1025"/>
      <c r="N3232" s="1030"/>
      <c r="O3232" s="692">
        <f t="shared" si="421"/>
        <v>0</v>
      </c>
      <c r="P3232" s="690"/>
      <c r="Q3232" s="690"/>
      <c r="R3232" s="691">
        <f t="shared" si="422"/>
        <v>0</v>
      </c>
      <c r="S3232" s="692">
        <f t="shared" si="423"/>
        <v>0</v>
      </c>
      <c r="T3232" s="693">
        <f t="shared" si="424"/>
        <v>0</v>
      </c>
      <c r="U3232" s="1035"/>
      <c r="V3232" s="690"/>
      <c r="W3232" s="1025"/>
      <c r="X3232" s="1030"/>
      <c r="Y3232" s="694">
        <f t="shared" si="425"/>
        <v>0</v>
      </c>
      <c r="Z3232" s="690"/>
      <c r="AA3232" s="690"/>
      <c r="AB3232" s="695">
        <f t="shared" si="426"/>
        <v>0</v>
      </c>
      <c r="AC3232" s="1035"/>
      <c r="AD3232" s="690"/>
      <c r="AE3232" s="1025"/>
      <c r="AF3232" s="1030"/>
      <c r="AG3232" s="690"/>
      <c r="AH3232" s="690"/>
      <c r="AI3232" s="696">
        <f t="shared" si="427"/>
        <v>0</v>
      </c>
      <c r="AJ3232" s="697">
        <f t="shared" si="428"/>
        <v>0</v>
      </c>
    </row>
    <row r="3233" spans="1:36" s="700" customFormat="1" ht="12.75" customHeight="1">
      <c r="A3233" s="773" t="s">
        <v>216</v>
      </c>
      <c r="B3233" s="995" t="s">
        <v>421</v>
      </c>
      <c r="C3233" s="998" t="s">
        <v>19</v>
      </c>
      <c r="D3233" s="998"/>
      <c r="E3233" s="997"/>
      <c r="F3233" s="776"/>
      <c r="G3233" s="1025"/>
      <c r="H3233" s="690"/>
      <c r="I3233" s="1030"/>
      <c r="J3233" s="690"/>
      <c r="K3233" s="1030"/>
      <c r="L3233" s="690"/>
      <c r="M3233" s="1025"/>
      <c r="N3233" s="1030"/>
      <c r="O3233" s="692">
        <f t="shared" si="421"/>
        <v>0</v>
      </c>
      <c r="P3233" s="690"/>
      <c r="Q3233" s="690"/>
      <c r="R3233" s="691">
        <f t="shared" si="422"/>
        <v>0</v>
      </c>
      <c r="S3233" s="692">
        <f t="shared" si="423"/>
        <v>0</v>
      </c>
      <c r="T3233" s="693">
        <f t="shared" si="424"/>
        <v>0</v>
      </c>
      <c r="U3233" s="1035"/>
      <c r="V3233" s="690"/>
      <c r="W3233" s="1025"/>
      <c r="X3233" s="1030"/>
      <c r="Y3233" s="694">
        <f t="shared" si="425"/>
        <v>0</v>
      </c>
      <c r="Z3233" s="690"/>
      <c r="AA3233" s="690"/>
      <c r="AB3233" s="695">
        <f t="shared" si="426"/>
        <v>0</v>
      </c>
      <c r="AC3233" s="1035"/>
      <c r="AD3233" s="690"/>
      <c r="AE3233" s="1025"/>
      <c r="AF3233" s="1030"/>
      <c r="AG3233" s="690"/>
      <c r="AH3233" s="690"/>
      <c r="AI3233" s="696">
        <f t="shared" si="427"/>
        <v>0</v>
      </c>
      <c r="AJ3233" s="697">
        <f t="shared" si="428"/>
        <v>0</v>
      </c>
    </row>
    <row r="3234" spans="1:36" s="700" customFormat="1" ht="12.75" customHeight="1">
      <c r="A3234" s="773" t="s">
        <v>216</v>
      </c>
      <c r="B3234" s="995" t="s">
        <v>421</v>
      </c>
      <c r="C3234" s="994" t="s">
        <v>1833</v>
      </c>
      <c r="D3234" s="994"/>
      <c r="E3234" s="997"/>
      <c r="F3234" s="776"/>
      <c r="G3234" s="1025"/>
      <c r="H3234" s="690"/>
      <c r="I3234" s="1030"/>
      <c r="J3234" s="690"/>
      <c r="K3234" s="1030"/>
      <c r="L3234" s="690"/>
      <c r="M3234" s="1025"/>
      <c r="N3234" s="1030"/>
      <c r="O3234" s="692">
        <f t="shared" si="421"/>
        <v>0</v>
      </c>
      <c r="P3234" s="690"/>
      <c r="Q3234" s="690"/>
      <c r="R3234" s="691">
        <f t="shared" si="422"/>
        <v>0</v>
      </c>
      <c r="S3234" s="692">
        <f t="shared" si="423"/>
        <v>0</v>
      </c>
      <c r="T3234" s="693">
        <f t="shared" si="424"/>
        <v>0</v>
      </c>
      <c r="U3234" s="1035"/>
      <c r="V3234" s="690"/>
      <c r="W3234" s="1025"/>
      <c r="X3234" s="1030"/>
      <c r="Y3234" s="694">
        <f t="shared" si="425"/>
        <v>0</v>
      </c>
      <c r="Z3234" s="690"/>
      <c r="AA3234" s="690"/>
      <c r="AB3234" s="695">
        <f t="shared" si="426"/>
        <v>0</v>
      </c>
      <c r="AC3234" s="1035"/>
      <c r="AD3234" s="690"/>
      <c r="AE3234" s="1025"/>
      <c r="AF3234" s="1030"/>
      <c r="AG3234" s="690"/>
      <c r="AH3234" s="690"/>
      <c r="AI3234" s="696">
        <f t="shared" si="427"/>
        <v>0</v>
      </c>
      <c r="AJ3234" s="697">
        <f t="shared" si="428"/>
        <v>0</v>
      </c>
    </row>
    <row r="3235" spans="1:36" s="700" customFormat="1" ht="12.75" customHeight="1">
      <c r="A3235" s="773" t="s">
        <v>216</v>
      </c>
      <c r="B3235" s="995" t="s">
        <v>380</v>
      </c>
      <c r="C3235" s="996" t="s">
        <v>443</v>
      </c>
      <c r="D3235" s="996"/>
      <c r="E3235" s="997"/>
      <c r="F3235" s="776"/>
      <c r="G3235" s="1025"/>
      <c r="H3235" s="690"/>
      <c r="I3235" s="1030"/>
      <c r="J3235" s="690"/>
      <c r="K3235" s="1030"/>
      <c r="L3235" s="690"/>
      <c r="M3235" s="1025"/>
      <c r="N3235" s="1030"/>
      <c r="O3235" s="692">
        <f t="shared" si="421"/>
        <v>0</v>
      </c>
      <c r="P3235" s="690"/>
      <c r="Q3235" s="690"/>
      <c r="R3235" s="691">
        <f t="shared" si="422"/>
        <v>0</v>
      </c>
      <c r="S3235" s="692">
        <f t="shared" si="423"/>
        <v>0</v>
      </c>
      <c r="T3235" s="693">
        <f t="shared" si="424"/>
        <v>0</v>
      </c>
      <c r="U3235" s="1035">
        <v>133218040</v>
      </c>
      <c r="V3235" s="690">
        <v>133368040</v>
      </c>
      <c r="W3235" s="1025"/>
      <c r="X3235" s="1030"/>
      <c r="Y3235" s="694">
        <f t="shared" si="425"/>
        <v>0</v>
      </c>
      <c r="Z3235" s="690"/>
      <c r="AA3235" s="690"/>
      <c r="AB3235" s="695">
        <f t="shared" si="426"/>
        <v>0</v>
      </c>
      <c r="AC3235" s="1035"/>
      <c r="AD3235" s="690"/>
      <c r="AE3235" s="1025"/>
      <c r="AF3235" s="1030"/>
      <c r="AG3235" s="690"/>
      <c r="AH3235" s="690"/>
      <c r="AI3235" s="696">
        <f t="shared" si="427"/>
        <v>133218040</v>
      </c>
      <c r="AJ3235" s="697">
        <f t="shared" si="428"/>
        <v>133368040</v>
      </c>
    </row>
    <row r="3236" spans="1:36" s="700" customFormat="1" ht="12.75" customHeight="1">
      <c r="A3236" s="773" t="s">
        <v>216</v>
      </c>
      <c r="B3236" s="995" t="s">
        <v>381</v>
      </c>
      <c r="C3236" s="996" t="s">
        <v>377</v>
      </c>
      <c r="D3236" s="996"/>
      <c r="E3236" s="997"/>
      <c r="F3236" s="776"/>
      <c r="G3236" s="1025"/>
      <c r="H3236" s="690"/>
      <c r="I3236" s="1030"/>
      <c r="J3236" s="690"/>
      <c r="K3236" s="1030"/>
      <c r="L3236" s="690"/>
      <c r="M3236" s="1025"/>
      <c r="N3236" s="1030"/>
      <c r="O3236" s="692">
        <f t="shared" si="421"/>
        <v>0</v>
      </c>
      <c r="P3236" s="690"/>
      <c r="Q3236" s="690"/>
      <c r="R3236" s="691">
        <f t="shared" si="422"/>
        <v>0</v>
      </c>
      <c r="S3236" s="692">
        <f t="shared" si="423"/>
        <v>0</v>
      </c>
      <c r="T3236" s="693">
        <f t="shared" si="424"/>
        <v>0</v>
      </c>
      <c r="U3236" s="1035">
        <v>12359822</v>
      </c>
      <c r="V3236" s="690">
        <v>12359822</v>
      </c>
      <c r="W3236" s="1025"/>
      <c r="X3236" s="1030"/>
      <c r="Y3236" s="694">
        <f t="shared" si="425"/>
        <v>0</v>
      </c>
      <c r="Z3236" s="690"/>
      <c r="AA3236" s="690"/>
      <c r="AB3236" s="695">
        <f t="shared" si="426"/>
        <v>0</v>
      </c>
      <c r="AC3236" s="1035"/>
      <c r="AD3236" s="690"/>
      <c r="AE3236" s="1025"/>
      <c r="AF3236" s="1030"/>
      <c r="AG3236" s="690"/>
      <c r="AH3236" s="690"/>
      <c r="AI3236" s="696">
        <f t="shared" si="427"/>
        <v>12359822</v>
      </c>
      <c r="AJ3236" s="697">
        <f t="shared" si="428"/>
        <v>12359822</v>
      </c>
    </row>
    <row r="3237" spans="1:36" s="700" customFormat="1" ht="12.75" customHeight="1">
      <c r="A3237" s="773" t="s">
        <v>216</v>
      </c>
      <c r="B3237" s="995" t="s">
        <v>421</v>
      </c>
      <c r="C3237" s="996" t="s">
        <v>1835</v>
      </c>
      <c r="D3237" s="996"/>
      <c r="E3237" s="997"/>
      <c r="F3237" s="776"/>
      <c r="G3237" s="1025"/>
      <c r="H3237" s="690"/>
      <c r="I3237" s="1030"/>
      <c r="J3237" s="690"/>
      <c r="K3237" s="1030"/>
      <c r="L3237" s="690"/>
      <c r="M3237" s="1025"/>
      <c r="N3237" s="1030"/>
      <c r="O3237" s="692">
        <f t="shared" si="421"/>
        <v>0</v>
      </c>
      <c r="P3237" s="690"/>
      <c r="Q3237" s="690"/>
      <c r="R3237" s="691">
        <f t="shared" si="422"/>
        <v>0</v>
      </c>
      <c r="S3237" s="692">
        <f t="shared" si="423"/>
        <v>0</v>
      </c>
      <c r="T3237" s="693">
        <f t="shared" si="424"/>
        <v>0</v>
      </c>
      <c r="U3237" s="1035">
        <v>18000000</v>
      </c>
      <c r="V3237" s="690">
        <v>750000</v>
      </c>
      <c r="W3237" s="1025"/>
      <c r="X3237" s="1030"/>
      <c r="Y3237" s="694">
        <f t="shared" si="425"/>
        <v>0</v>
      </c>
      <c r="Z3237" s="690"/>
      <c r="AA3237" s="690"/>
      <c r="AB3237" s="695">
        <f t="shared" si="426"/>
        <v>0</v>
      </c>
      <c r="AC3237" s="1035"/>
      <c r="AD3237" s="690"/>
      <c r="AE3237" s="1025"/>
      <c r="AF3237" s="1030"/>
      <c r="AG3237" s="690"/>
      <c r="AH3237" s="690"/>
      <c r="AI3237" s="696">
        <f t="shared" si="427"/>
        <v>18000000</v>
      </c>
      <c r="AJ3237" s="697">
        <f t="shared" si="428"/>
        <v>750000</v>
      </c>
    </row>
    <row r="3238" spans="1:36" s="700" customFormat="1" ht="12.75" customHeight="1">
      <c r="A3238" s="773" t="s">
        <v>216</v>
      </c>
      <c r="B3238" s="773" t="s">
        <v>422</v>
      </c>
      <c r="C3238" s="993" t="s">
        <v>439</v>
      </c>
      <c r="D3238" s="993"/>
      <c r="E3238" s="902"/>
      <c r="F3238" s="903"/>
      <c r="G3238" s="1025"/>
      <c r="H3238" s="690"/>
      <c r="I3238" s="1030"/>
      <c r="J3238" s="690"/>
      <c r="K3238" s="1030"/>
      <c r="L3238" s="690"/>
      <c r="M3238" s="1025"/>
      <c r="N3238" s="1030"/>
      <c r="O3238" s="692">
        <f t="shared" si="421"/>
        <v>0</v>
      </c>
      <c r="P3238" s="690"/>
      <c r="Q3238" s="690"/>
      <c r="R3238" s="691">
        <f t="shared" si="422"/>
        <v>0</v>
      </c>
      <c r="S3238" s="692">
        <f t="shared" si="423"/>
        <v>0</v>
      </c>
      <c r="T3238" s="693">
        <f t="shared" si="424"/>
        <v>0</v>
      </c>
      <c r="U3238" s="1035"/>
      <c r="V3238" s="690"/>
      <c r="W3238" s="1025"/>
      <c r="X3238" s="1030"/>
      <c r="Y3238" s="694">
        <f t="shared" si="425"/>
        <v>0</v>
      </c>
      <c r="Z3238" s="690"/>
      <c r="AA3238" s="690"/>
      <c r="AB3238" s="695">
        <f t="shared" si="426"/>
        <v>0</v>
      </c>
      <c r="AC3238" s="1035"/>
      <c r="AD3238" s="690"/>
      <c r="AE3238" s="1025"/>
      <c r="AF3238" s="1030"/>
      <c r="AG3238" s="690"/>
      <c r="AH3238" s="690"/>
      <c r="AI3238" s="696">
        <f t="shared" si="427"/>
        <v>0</v>
      </c>
      <c r="AJ3238" s="697">
        <f t="shared" si="428"/>
        <v>0</v>
      </c>
    </row>
    <row r="3239" spans="1:36" s="700" customFormat="1" ht="12.75" customHeight="1">
      <c r="A3239" s="773" t="s">
        <v>216</v>
      </c>
      <c r="B3239" s="773" t="s">
        <v>422</v>
      </c>
      <c r="C3239" s="999" t="s">
        <v>1836</v>
      </c>
      <c r="D3239" s="999"/>
      <c r="E3239" s="902"/>
      <c r="F3239" s="903"/>
      <c r="G3239" s="1025"/>
      <c r="H3239" s="690"/>
      <c r="I3239" s="1030"/>
      <c r="J3239" s="690"/>
      <c r="K3239" s="1030"/>
      <c r="L3239" s="690"/>
      <c r="M3239" s="1025"/>
      <c r="N3239" s="1030"/>
      <c r="O3239" s="692">
        <f t="shared" si="421"/>
        <v>0</v>
      </c>
      <c r="P3239" s="690"/>
      <c r="Q3239" s="690"/>
      <c r="R3239" s="691">
        <f t="shared" si="422"/>
        <v>0</v>
      </c>
      <c r="S3239" s="692">
        <f t="shared" si="423"/>
        <v>0</v>
      </c>
      <c r="T3239" s="693">
        <f t="shared" si="424"/>
        <v>0</v>
      </c>
      <c r="U3239" s="1035"/>
      <c r="V3239" s="690"/>
      <c r="W3239" s="1025"/>
      <c r="X3239" s="1030"/>
      <c r="Y3239" s="694">
        <f t="shared" si="425"/>
        <v>0</v>
      </c>
      <c r="Z3239" s="690"/>
      <c r="AA3239" s="690"/>
      <c r="AB3239" s="695">
        <f t="shared" si="426"/>
        <v>0</v>
      </c>
      <c r="AC3239" s="1035"/>
      <c r="AD3239" s="690"/>
      <c r="AE3239" s="1025"/>
      <c r="AF3239" s="1030"/>
      <c r="AG3239" s="690"/>
      <c r="AH3239" s="690"/>
      <c r="AI3239" s="696">
        <f t="shared" si="427"/>
        <v>0</v>
      </c>
      <c r="AJ3239" s="697">
        <f t="shared" si="428"/>
        <v>0</v>
      </c>
    </row>
    <row r="3240" spans="1:36" s="700" customFormat="1" ht="12.75" customHeight="1">
      <c r="A3240" s="773" t="s">
        <v>216</v>
      </c>
      <c r="B3240" s="995" t="s">
        <v>382</v>
      </c>
      <c r="C3240" s="996" t="s">
        <v>443</v>
      </c>
      <c r="D3240" s="996"/>
      <c r="E3240" s="997"/>
      <c r="F3240" s="776"/>
      <c r="G3240" s="1025"/>
      <c r="H3240" s="690"/>
      <c r="I3240" s="1030"/>
      <c r="J3240" s="690"/>
      <c r="K3240" s="1030"/>
      <c r="L3240" s="690"/>
      <c r="M3240" s="1025"/>
      <c r="N3240" s="1030"/>
      <c r="O3240" s="692">
        <f t="shared" si="421"/>
        <v>0</v>
      </c>
      <c r="P3240" s="690"/>
      <c r="Q3240" s="690"/>
      <c r="R3240" s="691">
        <f t="shared" si="422"/>
        <v>0</v>
      </c>
      <c r="S3240" s="692">
        <f t="shared" si="423"/>
        <v>0</v>
      </c>
      <c r="T3240" s="693">
        <f t="shared" si="424"/>
        <v>0</v>
      </c>
      <c r="U3240" s="1035"/>
      <c r="V3240" s="690"/>
      <c r="W3240" s="1025"/>
      <c r="X3240" s="1030"/>
      <c r="Y3240" s="694">
        <f t="shared" si="425"/>
        <v>0</v>
      </c>
      <c r="Z3240" s="690"/>
      <c r="AA3240" s="690"/>
      <c r="AB3240" s="695">
        <f t="shared" si="426"/>
        <v>0</v>
      </c>
      <c r="AC3240" s="1035"/>
      <c r="AD3240" s="690"/>
      <c r="AE3240" s="1025"/>
      <c r="AF3240" s="1030"/>
      <c r="AG3240" s="690"/>
      <c r="AH3240" s="690"/>
      <c r="AI3240" s="696">
        <f t="shared" si="427"/>
        <v>0</v>
      </c>
      <c r="AJ3240" s="697">
        <f t="shared" si="428"/>
        <v>0</v>
      </c>
    </row>
    <row r="3241" spans="1:36" s="700" customFormat="1" ht="12.75" customHeight="1">
      <c r="A3241" s="773" t="s">
        <v>216</v>
      </c>
      <c r="B3241" s="995" t="s">
        <v>383</v>
      </c>
      <c r="C3241" s="996" t="s">
        <v>377</v>
      </c>
      <c r="D3241" s="996"/>
      <c r="E3241" s="997"/>
      <c r="F3241" s="776"/>
      <c r="G3241" s="1025"/>
      <c r="H3241" s="690"/>
      <c r="I3241" s="1030"/>
      <c r="J3241" s="690"/>
      <c r="K3241" s="1030"/>
      <c r="L3241" s="690"/>
      <c r="M3241" s="1025"/>
      <c r="N3241" s="1030"/>
      <c r="O3241" s="692">
        <f t="shared" si="421"/>
        <v>0</v>
      </c>
      <c r="P3241" s="690"/>
      <c r="Q3241" s="690"/>
      <c r="R3241" s="691">
        <f t="shared" si="422"/>
        <v>0</v>
      </c>
      <c r="S3241" s="692">
        <f t="shared" si="423"/>
        <v>0</v>
      </c>
      <c r="T3241" s="693">
        <f t="shared" si="424"/>
        <v>0</v>
      </c>
      <c r="U3241" s="1035">
        <v>58831933</v>
      </c>
      <c r="V3241" s="690">
        <v>53456233</v>
      </c>
      <c r="W3241" s="1025"/>
      <c r="X3241" s="1030"/>
      <c r="Y3241" s="694">
        <f t="shared" si="425"/>
        <v>0</v>
      </c>
      <c r="Z3241" s="690"/>
      <c r="AA3241" s="690"/>
      <c r="AB3241" s="695">
        <f t="shared" si="426"/>
        <v>0</v>
      </c>
      <c r="AC3241" s="1035"/>
      <c r="AD3241" s="690"/>
      <c r="AE3241" s="1025"/>
      <c r="AF3241" s="1030"/>
      <c r="AG3241" s="690"/>
      <c r="AH3241" s="690"/>
      <c r="AI3241" s="696">
        <f t="shared" si="427"/>
        <v>58831933</v>
      </c>
      <c r="AJ3241" s="697">
        <f t="shared" si="428"/>
        <v>53456233</v>
      </c>
    </row>
    <row r="3242" spans="1:36" s="700" customFormat="1" ht="12.75" customHeight="1">
      <c r="A3242" s="773" t="s">
        <v>216</v>
      </c>
      <c r="B3242" s="773" t="s">
        <v>422</v>
      </c>
      <c r="C3242" s="999" t="s">
        <v>1837</v>
      </c>
      <c r="D3242" s="999"/>
      <c r="E3242" s="902"/>
      <c r="F3242" s="903"/>
      <c r="G3242" s="1025"/>
      <c r="H3242" s="690"/>
      <c r="I3242" s="1030"/>
      <c r="J3242" s="690"/>
      <c r="K3242" s="1030"/>
      <c r="L3242" s="690"/>
      <c r="M3242" s="1025"/>
      <c r="N3242" s="1030"/>
      <c r="O3242" s="692">
        <f t="shared" si="421"/>
        <v>0</v>
      </c>
      <c r="P3242" s="690"/>
      <c r="Q3242" s="690"/>
      <c r="R3242" s="691">
        <f t="shared" si="422"/>
        <v>0</v>
      </c>
      <c r="S3242" s="692">
        <f t="shared" si="423"/>
        <v>0</v>
      </c>
      <c r="T3242" s="693">
        <f t="shared" si="424"/>
        <v>0</v>
      </c>
      <c r="U3242" s="1035"/>
      <c r="V3242" s="690"/>
      <c r="W3242" s="1025"/>
      <c r="X3242" s="1030"/>
      <c r="Y3242" s="694">
        <f t="shared" si="425"/>
        <v>0</v>
      </c>
      <c r="Z3242" s="690"/>
      <c r="AA3242" s="690"/>
      <c r="AB3242" s="695">
        <f t="shared" si="426"/>
        <v>0</v>
      </c>
      <c r="AC3242" s="1035"/>
      <c r="AD3242" s="690"/>
      <c r="AE3242" s="1025"/>
      <c r="AF3242" s="1030"/>
      <c r="AG3242" s="690"/>
      <c r="AH3242" s="690"/>
      <c r="AI3242" s="696">
        <f t="shared" si="427"/>
        <v>0</v>
      </c>
      <c r="AJ3242" s="697">
        <f t="shared" si="428"/>
        <v>0</v>
      </c>
    </row>
    <row r="3243" spans="1:36" s="700" customFormat="1" ht="12.75" customHeight="1">
      <c r="A3243" s="773" t="s">
        <v>216</v>
      </c>
      <c r="B3243" s="995" t="s">
        <v>382</v>
      </c>
      <c r="C3243" s="996" t="s">
        <v>443</v>
      </c>
      <c r="D3243" s="996"/>
      <c r="E3243" s="997"/>
      <c r="F3243" s="776"/>
      <c r="G3243" s="1025"/>
      <c r="H3243" s="690"/>
      <c r="I3243" s="1030"/>
      <c r="J3243" s="690"/>
      <c r="K3243" s="1030"/>
      <c r="L3243" s="690"/>
      <c r="M3243" s="1025"/>
      <c r="N3243" s="1030"/>
      <c r="O3243" s="692">
        <f t="shared" si="421"/>
        <v>0</v>
      </c>
      <c r="P3243" s="690"/>
      <c r="Q3243" s="690"/>
      <c r="R3243" s="691">
        <f t="shared" si="422"/>
        <v>0</v>
      </c>
      <c r="S3243" s="692">
        <f t="shared" si="423"/>
        <v>0</v>
      </c>
      <c r="T3243" s="693">
        <f t="shared" si="424"/>
        <v>0</v>
      </c>
      <c r="U3243" s="1035"/>
      <c r="V3243" s="690"/>
      <c r="W3243" s="1025"/>
      <c r="X3243" s="1030"/>
      <c r="Y3243" s="694">
        <f t="shared" si="425"/>
        <v>0</v>
      </c>
      <c r="Z3243" s="690"/>
      <c r="AA3243" s="690"/>
      <c r="AB3243" s="695">
        <f t="shared" si="426"/>
        <v>0</v>
      </c>
      <c r="AC3243" s="1035"/>
      <c r="AD3243" s="690"/>
      <c r="AE3243" s="1025"/>
      <c r="AF3243" s="1030"/>
      <c r="AG3243" s="690"/>
      <c r="AH3243" s="690"/>
      <c r="AI3243" s="696">
        <f t="shared" si="427"/>
        <v>0</v>
      </c>
      <c r="AJ3243" s="697">
        <f t="shared" si="428"/>
        <v>0</v>
      </c>
    </row>
    <row r="3244" spans="1:36" s="700" customFormat="1" ht="12.75" customHeight="1">
      <c r="A3244" s="773" t="s">
        <v>216</v>
      </c>
      <c r="B3244" s="995" t="s">
        <v>383</v>
      </c>
      <c r="C3244" s="996" t="s">
        <v>377</v>
      </c>
      <c r="D3244" s="996"/>
      <c r="E3244" s="997"/>
      <c r="F3244" s="776"/>
      <c r="G3244" s="1025"/>
      <c r="H3244" s="690"/>
      <c r="I3244" s="1030"/>
      <c r="J3244" s="690"/>
      <c r="K3244" s="1030"/>
      <c r="L3244" s="690"/>
      <c r="M3244" s="1025"/>
      <c r="N3244" s="1030"/>
      <c r="O3244" s="692">
        <f t="shared" si="421"/>
        <v>0</v>
      </c>
      <c r="P3244" s="690"/>
      <c r="Q3244" s="690"/>
      <c r="R3244" s="691">
        <f t="shared" si="422"/>
        <v>0</v>
      </c>
      <c r="S3244" s="692">
        <f t="shared" si="423"/>
        <v>0</v>
      </c>
      <c r="T3244" s="693">
        <f t="shared" si="424"/>
        <v>0</v>
      </c>
      <c r="U3244" s="1035">
        <v>4728681</v>
      </c>
      <c r="V3244" s="690">
        <v>3139170</v>
      </c>
      <c r="W3244" s="1025"/>
      <c r="X3244" s="1030"/>
      <c r="Y3244" s="694">
        <f t="shared" si="425"/>
        <v>0</v>
      </c>
      <c r="Z3244" s="690"/>
      <c r="AA3244" s="690"/>
      <c r="AB3244" s="695">
        <f t="shared" si="426"/>
        <v>0</v>
      </c>
      <c r="AC3244" s="1035"/>
      <c r="AD3244" s="690"/>
      <c r="AE3244" s="1025"/>
      <c r="AF3244" s="1030"/>
      <c r="AG3244" s="690"/>
      <c r="AH3244" s="690"/>
      <c r="AI3244" s="696">
        <f t="shared" si="427"/>
        <v>4728681</v>
      </c>
      <c r="AJ3244" s="697">
        <f t="shared" si="428"/>
        <v>3139170</v>
      </c>
    </row>
    <row r="3245" spans="1:36" s="700" customFormat="1" ht="12.75" customHeight="1">
      <c r="A3245" s="908" t="s">
        <v>217</v>
      </c>
      <c r="B3245" s="908" t="s">
        <v>392</v>
      </c>
      <c r="C3245" s="909" t="s">
        <v>1838</v>
      </c>
      <c r="D3245" s="909"/>
      <c r="E3245" s="1000">
        <v>238032</v>
      </c>
      <c r="F3245" s="911">
        <v>1</v>
      </c>
      <c r="G3245" s="1025">
        <v>70868714</v>
      </c>
      <c r="H3245" s="1001">
        <v>68791992</v>
      </c>
      <c r="I3245" s="1030"/>
      <c r="J3245" s="690"/>
      <c r="K3245" s="1030"/>
      <c r="L3245" s="690"/>
      <c r="M3245" s="1025">
        <v>259411338</v>
      </c>
      <c r="N3245" s="1030">
        <v>10000398</v>
      </c>
      <c r="O3245" s="692">
        <f t="shared" si="421"/>
        <v>269411736</v>
      </c>
      <c r="P3245" s="690">
        <v>265351961</v>
      </c>
      <c r="Q3245" s="690">
        <v>10008963</v>
      </c>
      <c r="R3245" s="691">
        <f t="shared" si="422"/>
        <v>275360924</v>
      </c>
      <c r="S3245" s="692">
        <f t="shared" si="423"/>
        <v>330280052</v>
      </c>
      <c r="T3245" s="693">
        <f t="shared" si="424"/>
        <v>334143953</v>
      </c>
      <c r="U3245" s="1035"/>
      <c r="V3245" s="690"/>
      <c r="W3245" s="1025"/>
      <c r="X3245" s="1030"/>
      <c r="Y3245" s="694">
        <f t="shared" si="425"/>
        <v>0</v>
      </c>
      <c r="Z3245" s="690"/>
      <c r="AA3245" s="690"/>
      <c r="AB3245" s="695">
        <f t="shared" si="426"/>
        <v>0</v>
      </c>
      <c r="AC3245" s="1035"/>
      <c r="AD3245" s="690"/>
      <c r="AE3245" s="1025"/>
      <c r="AF3245" s="1030"/>
      <c r="AG3245" s="690"/>
      <c r="AH3245" s="690"/>
      <c r="AI3245" s="696">
        <f t="shared" si="427"/>
        <v>330280052</v>
      </c>
      <c r="AJ3245" s="697">
        <f t="shared" si="428"/>
        <v>334143953</v>
      </c>
    </row>
    <row r="3246" spans="1:36" s="700" customFormat="1" ht="12.75" customHeight="1">
      <c r="A3246" s="908" t="s">
        <v>217</v>
      </c>
      <c r="B3246" s="908" t="s">
        <v>408</v>
      </c>
      <c r="C3246" s="1002" t="s">
        <v>965</v>
      </c>
      <c r="D3246" s="1002"/>
      <c r="E3246" s="1000">
        <v>238032</v>
      </c>
      <c r="F3246" s="911">
        <v>1</v>
      </c>
      <c r="G3246" s="1025"/>
      <c r="H3246" s="796"/>
      <c r="I3246" s="1030"/>
      <c r="J3246" s="690"/>
      <c r="K3246" s="1030"/>
      <c r="L3246" s="690"/>
      <c r="M3246" s="1025"/>
      <c r="N3246" s="1030"/>
      <c r="O3246" s="692">
        <f t="shared" si="421"/>
        <v>0</v>
      </c>
      <c r="P3246" s="690"/>
      <c r="Q3246" s="690"/>
      <c r="R3246" s="691">
        <f t="shared" si="422"/>
        <v>0</v>
      </c>
      <c r="S3246" s="692">
        <f t="shared" si="423"/>
        <v>0</v>
      </c>
      <c r="T3246" s="693">
        <f t="shared" si="424"/>
        <v>0</v>
      </c>
      <c r="U3246" s="1035"/>
      <c r="V3246" s="690"/>
      <c r="W3246" s="1025"/>
      <c r="X3246" s="1030"/>
      <c r="Y3246" s="694">
        <f t="shared" si="425"/>
        <v>0</v>
      </c>
      <c r="Z3246" s="690"/>
      <c r="AA3246" s="690"/>
      <c r="AB3246" s="695">
        <f t="shared" si="426"/>
        <v>0</v>
      </c>
      <c r="AC3246" s="1035"/>
      <c r="AD3246" s="690"/>
      <c r="AE3246" s="1025"/>
      <c r="AF3246" s="1030"/>
      <c r="AG3246" s="690"/>
      <c r="AH3246" s="690"/>
      <c r="AI3246" s="696">
        <f t="shared" si="427"/>
        <v>0</v>
      </c>
      <c r="AJ3246" s="697">
        <f t="shared" si="428"/>
        <v>0</v>
      </c>
    </row>
    <row r="3247" spans="1:36" s="700" customFormat="1" ht="12.75" customHeight="1">
      <c r="A3247" s="908" t="s">
        <v>217</v>
      </c>
      <c r="B3247" s="908" t="s">
        <v>408</v>
      </c>
      <c r="C3247" s="912" t="s">
        <v>1839</v>
      </c>
      <c r="D3247" s="912"/>
      <c r="E3247" s="1000">
        <v>238032</v>
      </c>
      <c r="F3247" s="911">
        <v>1</v>
      </c>
      <c r="G3247" s="1025"/>
      <c r="H3247" s="796"/>
      <c r="I3247" s="1030"/>
      <c r="J3247" s="690"/>
      <c r="K3247" s="1030"/>
      <c r="L3247" s="690"/>
      <c r="M3247" s="1025"/>
      <c r="N3247" s="1030"/>
      <c r="O3247" s="692">
        <f t="shared" si="421"/>
        <v>0</v>
      </c>
      <c r="P3247" s="690"/>
      <c r="Q3247" s="690"/>
      <c r="R3247" s="691">
        <f t="shared" si="422"/>
        <v>0</v>
      </c>
      <c r="S3247" s="692">
        <f t="shared" si="423"/>
        <v>0</v>
      </c>
      <c r="T3247" s="693">
        <f t="shared" si="424"/>
        <v>0</v>
      </c>
      <c r="U3247" s="1035"/>
      <c r="V3247" s="690"/>
      <c r="W3247" s="1025"/>
      <c r="X3247" s="1030"/>
      <c r="Y3247" s="694">
        <f t="shared" si="425"/>
        <v>0</v>
      </c>
      <c r="Z3247" s="690"/>
      <c r="AA3247" s="690"/>
      <c r="AB3247" s="695">
        <f t="shared" si="426"/>
        <v>0</v>
      </c>
      <c r="AC3247" s="1035">
        <v>65907598</v>
      </c>
      <c r="AD3247" s="690">
        <v>65771516</v>
      </c>
      <c r="AE3247" s="1025">
        <v>40441809</v>
      </c>
      <c r="AF3247" s="1030"/>
      <c r="AG3247" s="690">
        <v>40441809</v>
      </c>
      <c r="AH3247" s="690"/>
      <c r="AI3247" s="696">
        <f t="shared" si="427"/>
        <v>106349407</v>
      </c>
      <c r="AJ3247" s="697">
        <f t="shared" si="428"/>
        <v>106213325</v>
      </c>
    </row>
    <row r="3248" spans="1:36" s="700" customFormat="1" ht="12.75" customHeight="1">
      <c r="A3248" s="908" t="s">
        <v>217</v>
      </c>
      <c r="B3248" s="908" t="s">
        <v>408</v>
      </c>
      <c r="C3248" s="912" t="s">
        <v>1840</v>
      </c>
      <c r="D3248" s="912"/>
      <c r="E3248" s="1000">
        <v>238032</v>
      </c>
      <c r="F3248" s="911">
        <v>1</v>
      </c>
      <c r="G3248" s="1025"/>
      <c r="H3248" s="796"/>
      <c r="I3248" s="1030"/>
      <c r="J3248" s="690"/>
      <c r="K3248" s="1030"/>
      <c r="L3248" s="690"/>
      <c r="M3248" s="1025"/>
      <c r="N3248" s="1030"/>
      <c r="O3248" s="692">
        <f t="shared" si="421"/>
        <v>0</v>
      </c>
      <c r="P3248" s="690"/>
      <c r="Q3248" s="690"/>
      <c r="R3248" s="691">
        <f t="shared" si="422"/>
        <v>0</v>
      </c>
      <c r="S3248" s="692">
        <f t="shared" si="423"/>
        <v>0</v>
      </c>
      <c r="T3248" s="693">
        <f t="shared" si="424"/>
        <v>0</v>
      </c>
      <c r="U3248" s="1035"/>
      <c r="V3248" s="690"/>
      <c r="W3248" s="1025"/>
      <c r="X3248" s="1030"/>
      <c r="Y3248" s="694">
        <f t="shared" si="425"/>
        <v>0</v>
      </c>
      <c r="Z3248" s="690"/>
      <c r="AA3248" s="690"/>
      <c r="AB3248" s="695">
        <f t="shared" si="426"/>
        <v>0</v>
      </c>
      <c r="AC3248" s="1035">
        <v>1307955</v>
      </c>
      <c r="AD3248" s="690">
        <v>1285775</v>
      </c>
      <c r="AE3248" s="1025" t="s">
        <v>131</v>
      </c>
      <c r="AF3248" s="1030"/>
      <c r="AG3248" s="690" t="s">
        <v>131</v>
      </c>
      <c r="AH3248" s="690"/>
      <c r="AI3248" s="696">
        <f t="shared" si="427"/>
        <v>1307955</v>
      </c>
      <c r="AJ3248" s="697">
        <f t="shared" si="428"/>
        <v>1285775</v>
      </c>
    </row>
    <row r="3249" spans="1:36" s="700" customFormat="1" ht="12.75" customHeight="1">
      <c r="A3249" s="908" t="s">
        <v>217</v>
      </c>
      <c r="B3249" s="908" t="s">
        <v>431</v>
      </c>
      <c r="C3249" s="912" t="s">
        <v>1841</v>
      </c>
      <c r="D3249" s="912"/>
      <c r="E3249" s="1000">
        <v>238032</v>
      </c>
      <c r="F3249" s="911">
        <v>1</v>
      </c>
      <c r="G3249" s="1025"/>
      <c r="H3249" s="796"/>
      <c r="I3249" s="1030">
        <v>1343803</v>
      </c>
      <c r="J3249" s="1001">
        <f>1278883</f>
        <v>1278883</v>
      </c>
      <c r="K3249" s="1030"/>
      <c r="L3249" s="690"/>
      <c r="M3249" s="1025"/>
      <c r="N3249" s="1030"/>
      <c r="O3249" s="692">
        <f t="shared" si="421"/>
        <v>0</v>
      </c>
      <c r="P3249" s="690"/>
      <c r="Q3249" s="690"/>
      <c r="R3249" s="691">
        <f t="shared" si="422"/>
        <v>0</v>
      </c>
      <c r="S3249" s="692">
        <f t="shared" si="423"/>
        <v>1343803</v>
      </c>
      <c r="T3249" s="693">
        <f t="shared" si="424"/>
        <v>1278883</v>
      </c>
      <c r="U3249" s="1035"/>
      <c r="V3249" s="690"/>
      <c r="W3249" s="1025"/>
      <c r="X3249" s="1030"/>
      <c r="Y3249" s="694">
        <f t="shared" si="425"/>
        <v>0</v>
      </c>
      <c r="Z3249" s="690"/>
      <c r="AA3249" s="690"/>
      <c r="AB3249" s="695">
        <f t="shared" si="426"/>
        <v>0</v>
      </c>
      <c r="AC3249" s="1035"/>
      <c r="AD3249" s="690"/>
      <c r="AE3249" s="1025"/>
      <c r="AF3249" s="1030"/>
      <c r="AG3249" s="690"/>
      <c r="AH3249" s="690"/>
      <c r="AI3249" s="696">
        <f t="shared" si="427"/>
        <v>1343803</v>
      </c>
      <c r="AJ3249" s="697">
        <f t="shared" si="428"/>
        <v>1278883</v>
      </c>
    </row>
    <row r="3250" spans="1:36" s="700" customFormat="1" ht="12.75" customHeight="1">
      <c r="A3250" s="908" t="s">
        <v>217</v>
      </c>
      <c r="B3250" s="908" t="s">
        <v>431</v>
      </c>
      <c r="C3250" s="912" t="s">
        <v>1842</v>
      </c>
      <c r="D3250" s="912"/>
      <c r="E3250" s="1000">
        <v>238032</v>
      </c>
      <c r="F3250" s="911">
        <v>1</v>
      </c>
      <c r="G3250" s="1025"/>
      <c r="H3250" s="796"/>
      <c r="I3250" s="1030">
        <v>363675</v>
      </c>
      <c r="J3250" s="1001">
        <v>347335</v>
      </c>
      <c r="K3250" s="1030"/>
      <c r="L3250" s="690"/>
      <c r="M3250" s="1025"/>
      <c r="N3250" s="1030"/>
      <c r="O3250" s="692">
        <f t="shared" si="421"/>
        <v>0</v>
      </c>
      <c r="P3250" s="690"/>
      <c r="Q3250" s="690"/>
      <c r="R3250" s="691">
        <f t="shared" si="422"/>
        <v>0</v>
      </c>
      <c r="S3250" s="692">
        <f t="shared" si="423"/>
        <v>363675</v>
      </c>
      <c r="T3250" s="693">
        <f t="shared" si="424"/>
        <v>347335</v>
      </c>
      <c r="U3250" s="1035"/>
      <c r="V3250" s="690"/>
      <c r="W3250" s="1025"/>
      <c r="X3250" s="1030"/>
      <c r="Y3250" s="694">
        <f t="shared" si="425"/>
        <v>0</v>
      </c>
      <c r="Z3250" s="690"/>
      <c r="AA3250" s="690"/>
      <c r="AB3250" s="695">
        <f t="shared" si="426"/>
        <v>0</v>
      </c>
      <c r="AC3250" s="1035"/>
      <c r="AD3250" s="690"/>
      <c r="AE3250" s="1025"/>
      <c r="AF3250" s="1030"/>
      <c r="AG3250" s="690"/>
      <c r="AH3250" s="690"/>
      <c r="AI3250" s="696">
        <f t="shared" si="427"/>
        <v>363675</v>
      </c>
      <c r="AJ3250" s="697">
        <f t="shared" si="428"/>
        <v>347335</v>
      </c>
    </row>
    <row r="3251" spans="1:36" s="700" customFormat="1" ht="12.75" customHeight="1">
      <c r="A3251" s="908" t="s">
        <v>217</v>
      </c>
      <c r="B3251" s="908" t="s">
        <v>408</v>
      </c>
      <c r="C3251" s="913" t="s">
        <v>451</v>
      </c>
      <c r="D3251" s="913"/>
      <c r="E3251" s="1003">
        <v>238032</v>
      </c>
      <c r="F3251" s="911">
        <v>1</v>
      </c>
      <c r="G3251" s="1025"/>
      <c r="H3251" s="796"/>
      <c r="I3251" s="1030">
        <v>2756291</v>
      </c>
      <c r="J3251" s="1001">
        <v>1861930</v>
      </c>
      <c r="K3251" s="1030"/>
      <c r="L3251" s="690"/>
      <c r="M3251" s="1025"/>
      <c r="N3251" s="1030"/>
      <c r="O3251" s="692">
        <f t="shared" si="421"/>
        <v>0</v>
      </c>
      <c r="P3251" s="690"/>
      <c r="Q3251" s="690"/>
      <c r="R3251" s="691">
        <f t="shared" si="422"/>
        <v>0</v>
      </c>
      <c r="S3251" s="692">
        <f t="shared" si="423"/>
        <v>2756291</v>
      </c>
      <c r="T3251" s="693">
        <f t="shared" si="424"/>
        <v>1861930</v>
      </c>
      <c r="U3251" s="1035"/>
      <c r="V3251" s="690"/>
      <c r="W3251" s="1025"/>
      <c r="X3251" s="1030"/>
      <c r="Y3251" s="694">
        <f t="shared" si="425"/>
        <v>0</v>
      </c>
      <c r="Z3251" s="690"/>
      <c r="AA3251" s="690"/>
      <c r="AB3251" s="695">
        <f t="shared" si="426"/>
        <v>0</v>
      </c>
      <c r="AC3251" s="1035"/>
      <c r="AD3251" s="690"/>
      <c r="AE3251" s="1025"/>
      <c r="AF3251" s="1030"/>
      <c r="AG3251" s="690"/>
      <c r="AH3251" s="690"/>
      <c r="AI3251" s="696">
        <f t="shared" si="427"/>
        <v>2756291</v>
      </c>
      <c r="AJ3251" s="697">
        <f t="shared" si="428"/>
        <v>1861930</v>
      </c>
    </row>
    <row r="3252" spans="1:36" s="700" customFormat="1" ht="12.75" customHeight="1">
      <c r="A3252" s="908" t="s">
        <v>217</v>
      </c>
      <c r="B3252" s="908" t="s">
        <v>408</v>
      </c>
      <c r="C3252" s="912" t="s">
        <v>1843</v>
      </c>
      <c r="D3252" s="912"/>
      <c r="E3252" s="1003">
        <v>238032</v>
      </c>
      <c r="F3252" s="911">
        <v>1</v>
      </c>
      <c r="G3252" s="1025"/>
      <c r="H3252" s="796"/>
      <c r="I3252" s="1030"/>
      <c r="J3252" s="1001"/>
      <c r="K3252" s="1030"/>
      <c r="L3252" s="690"/>
      <c r="M3252" s="1025"/>
      <c r="N3252" s="1030"/>
      <c r="O3252" s="692">
        <f t="shared" si="421"/>
        <v>0</v>
      </c>
      <c r="P3252" s="690"/>
      <c r="Q3252" s="690"/>
      <c r="R3252" s="691">
        <f t="shared" si="422"/>
        <v>0</v>
      </c>
      <c r="S3252" s="692">
        <f t="shared" si="423"/>
        <v>0</v>
      </c>
      <c r="T3252" s="693">
        <f t="shared" si="424"/>
        <v>0</v>
      </c>
      <c r="U3252" s="1035"/>
      <c r="V3252" s="690"/>
      <c r="W3252" s="1025"/>
      <c r="X3252" s="1030"/>
      <c r="Y3252" s="694">
        <f t="shared" si="425"/>
        <v>0</v>
      </c>
      <c r="Z3252" s="690"/>
      <c r="AA3252" s="690"/>
      <c r="AB3252" s="695">
        <f t="shared" si="426"/>
        <v>0</v>
      </c>
      <c r="AC3252" s="1035">
        <v>800000</v>
      </c>
      <c r="AD3252" s="690">
        <v>800000</v>
      </c>
      <c r="AE3252" s="1025"/>
      <c r="AF3252" s="1030"/>
      <c r="AG3252" s="690"/>
      <c r="AH3252" s="690"/>
      <c r="AI3252" s="696">
        <f t="shared" si="427"/>
        <v>800000</v>
      </c>
      <c r="AJ3252" s="697">
        <f t="shared" si="428"/>
        <v>800000</v>
      </c>
    </row>
    <row r="3253" spans="1:36" s="700" customFormat="1" ht="12.75" customHeight="1">
      <c r="A3253" s="908" t="s">
        <v>217</v>
      </c>
      <c r="B3253" s="908" t="s">
        <v>431</v>
      </c>
      <c r="C3253" s="912" t="s">
        <v>1844</v>
      </c>
      <c r="D3253" s="912"/>
      <c r="E3253" s="1000">
        <v>238032</v>
      </c>
      <c r="F3253" s="911">
        <v>1</v>
      </c>
      <c r="G3253" s="1025"/>
      <c r="H3253" s="796"/>
      <c r="I3253" s="1030">
        <v>60030</v>
      </c>
      <c r="J3253" s="1001">
        <v>57475</v>
      </c>
      <c r="K3253" s="1030"/>
      <c r="L3253" s="690"/>
      <c r="M3253" s="1025"/>
      <c r="N3253" s="1030"/>
      <c r="O3253" s="692">
        <f t="shared" si="421"/>
        <v>0</v>
      </c>
      <c r="P3253" s="690"/>
      <c r="Q3253" s="690"/>
      <c r="R3253" s="691">
        <f t="shared" si="422"/>
        <v>0</v>
      </c>
      <c r="S3253" s="692">
        <f t="shared" si="423"/>
        <v>60030</v>
      </c>
      <c r="T3253" s="693">
        <f t="shared" si="424"/>
        <v>57475</v>
      </c>
      <c r="U3253" s="1035"/>
      <c r="V3253" s="690"/>
      <c r="W3253" s="1025"/>
      <c r="X3253" s="1030"/>
      <c r="Y3253" s="694">
        <f t="shared" si="425"/>
        <v>0</v>
      </c>
      <c r="Z3253" s="690"/>
      <c r="AA3253" s="690"/>
      <c r="AB3253" s="695">
        <f t="shared" si="426"/>
        <v>0</v>
      </c>
      <c r="AC3253" s="1035"/>
      <c r="AD3253" s="690"/>
      <c r="AE3253" s="1025"/>
      <c r="AF3253" s="1030"/>
      <c r="AG3253" s="690"/>
      <c r="AH3253" s="690"/>
      <c r="AI3253" s="696">
        <f t="shared" si="427"/>
        <v>60030</v>
      </c>
      <c r="AJ3253" s="697">
        <f t="shared" si="428"/>
        <v>57475</v>
      </c>
    </row>
    <row r="3254" spans="1:36" s="700" customFormat="1" ht="12.75" customHeight="1">
      <c r="A3254" s="908" t="s">
        <v>217</v>
      </c>
      <c r="B3254" s="908" t="s">
        <v>408</v>
      </c>
      <c r="C3254" s="912" t="s">
        <v>1845</v>
      </c>
      <c r="D3254" s="912"/>
      <c r="E3254" s="1003">
        <v>238032</v>
      </c>
      <c r="F3254" s="911">
        <v>1</v>
      </c>
      <c r="G3254" s="1025"/>
      <c r="H3254" s="796"/>
      <c r="I3254" s="1030"/>
      <c r="J3254" s="1001"/>
      <c r="K3254" s="1030"/>
      <c r="L3254" s="690"/>
      <c r="M3254" s="1025"/>
      <c r="N3254" s="1030"/>
      <c r="O3254" s="692">
        <f t="shared" si="421"/>
        <v>0</v>
      </c>
      <c r="P3254" s="690"/>
      <c r="Q3254" s="690"/>
      <c r="R3254" s="691">
        <f t="shared" si="422"/>
        <v>0</v>
      </c>
      <c r="S3254" s="692">
        <f t="shared" si="423"/>
        <v>0</v>
      </c>
      <c r="T3254" s="693">
        <f t="shared" si="424"/>
        <v>0</v>
      </c>
      <c r="U3254" s="1035"/>
      <c r="V3254" s="690"/>
      <c r="W3254" s="1025"/>
      <c r="X3254" s="1030"/>
      <c r="Y3254" s="694">
        <f t="shared" si="425"/>
        <v>0</v>
      </c>
      <c r="Z3254" s="690"/>
      <c r="AA3254" s="690"/>
      <c r="AB3254" s="695">
        <f t="shared" si="426"/>
        <v>0</v>
      </c>
      <c r="AC3254" s="1035">
        <v>943080</v>
      </c>
      <c r="AD3254" s="690">
        <v>943080</v>
      </c>
      <c r="AE3254" s="1025"/>
      <c r="AF3254" s="1030"/>
      <c r="AG3254" s="690"/>
      <c r="AH3254" s="690"/>
      <c r="AI3254" s="696">
        <f t="shared" si="427"/>
        <v>943080</v>
      </c>
      <c r="AJ3254" s="697">
        <f t="shared" si="428"/>
        <v>943080</v>
      </c>
    </row>
    <row r="3255" spans="1:36" s="700" customFormat="1" ht="12.75" customHeight="1">
      <c r="A3255" s="908" t="s">
        <v>217</v>
      </c>
      <c r="B3255" s="908" t="s">
        <v>396</v>
      </c>
      <c r="C3255" s="913" t="s">
        <v>385</v>
      </c>
      <c r="D3255" s="913"/>
      <c r="E3255" s="1003">
        <v>238032</v>
      </c>
      <c r="F3255" s="911">
        <v>1</v>
      </c>
      <c r="G3255" s="1025"/>
      <c r="H3255" s="796"/>
      <c r="I3255" s="1030">
        <v>16244913</v>
      </c>
      <c r="J3255" s="1001">
        <v>15680913</v>
      </c>
      <c r="K3255" s="1030"/>
      <c r="L3255" s="690"/>
      <c r="M3255" s="1025"/>
      <c r="N3255" s="1030"/>
      <c r="O3255" s="692">
        <f t="shared" si="421"/>
        <v>0</v>
      </c>
      <c r="P3255" s="690"/>
      <c r="Q3255" s="690"/>
      <c r="R3255" s="691">
        <f t="shared" si="422"/>
        <v>0</v>
      </c>
      <c r="S3255" s="692">
        <f t="shared" si="423"/>
        <v>16244913</v>
      </c>
      <c r="T3255" s="693">
        <f t="shared" si="424"/>
        <v>15680913</v>
      </c>
      <c r="U3255" s="1035"/>
      <c r="V3255" s="690"/>
      <c r="W3255" s="1025"/>
      <c r="X3255" s="1030"/>
      <c r="Y3255" s="694">
        <f t="shared" si="425"/>
        <v>0</v>
      </c>
      <c r="Z3255" s="690"/>
      <c r="AA3255" s="690"/>
      <c r="AB3255" s="695">
        <f t="shared" si="426"/>
        <v>0</v>
      </c>
      <c r="AC3255" s="1035"/>
      <c r="AD3255" s="690"/>
      <c r="AE3255" s="1025"/>
      <c r="AF3255" s="1030"/>
      <c r="AG3255" s="690"/>
      <c r="AH3255" s="690"/>
      <c r="AI3255" s="696">
        <f t="shared" si="427"/>
        <v>16244913</v>
      </c>
      <c r="AJ3255" s="697">
        <f t="shared" si="428"/>
        <v>15680913</v>
      </c>
    </row>
    <row r="3256" spans="1:36" s="700" customFormat="1" ht="12.75" customHeight="1">
      <c r="A3256" s="908" t="s">
        <v>217</v>
      </c>
      <c r="B3256" s="908" t="s">
        <v>397</v>
      </c>
      <c r="C3256" s="913" t="s">
        <v>384</v>
      </c>
      <c r="D3256" s="913"/>
      <c r="E3256" s="1003">
        <v>238032</v>
      </c>
      <c r="F3256" s="911">
        <v>1</v>
      </c>
      <c r="G3256" s="1025"/>
      <c r="H3256" s="796"/>
      <c r="I3256" s="1030">
        <v>6423345</v>
      </c>
      <c r="J3256" s="1001">
        <v>7101325</v>
      </c>
      <c r="K3256" s="1030"/>
      <c r="L3256" s="690"/>
      <c r="M3256" s="1025"/>
      <c r="N3256" s="1030"/>
      <c r="O3256" s="692">
        <f t="shared" si="421"/>
        <v>0</v>
      </c>
      <c r="P3256" s="690"/>
      <c r="Q3256" s="690"/>
      <c r="R3256" s="691">
        <f t="shared" si="422"/>
        <v>0</v>
      </c>
      <c r="S3256" s="692">
        <f t="shared" si="423"/>
        <v>6423345</v>
      </c>
      <c r="T3256" s="693">
        <f t="shared" si="424"/>
        <v>7101325</v>
      </c>
      <c r="U3256" s="1035"/>
      <c r="V3256" s="690"/>
      <c r="W3256" s="1025"/>
      <c r="X3256" s="1030"/>
      <c r="Y3256" s="694">
        <f t="shared" si="425"/>
        <v>0</v>
      </c>
      <c r="Z3256" s="690"/>
      <c r="AA3256" s="690"/>
      <c r="AB3256" s="695">
        <f t="shared" si="426"/>
        <v>0</v>
      </c>
      <c r="AC3256" s="1035"/>
      <c r="AD3256" s="690"/>
      <c r="AE3256" s="1025"/>
      <c r="AF3256" s="1030"/>
      <c r="AG3256" s="690"/>
      <c r="AH3256" s="690"/>
      <c r="AI3256" s="696">
        <f t="shared" si="427"/>
        <v>6423345</v>
      </c>
      <c r="AJ3256" s="697">
        <f t="shared" si="428"/>
        <v>7101325</v>
      </c>
    </row>
    <row r="3257" spans="1:36" s="700" customFormat="1" ht="12.75" customHeight="1">
      <c r="A3257" s="908" t="s">
        <v>217</v>
      </c>
      <c r="B3257" s="908" t="s">
        <v>398</v>
      </c>
      <c r="C3257" s="913" t="s">
        <v>440</v>
      </c>
      <c r="D3257" s="913"/>
      <c r="E3257" s="1003">
        <v>238032</v>
      </c>
      <c r="F3257" s="911">
        <v>1</v>
      </c>
      <c r="G3257" s="1025"/>
      <c r="H3257" s="796"/>
      <c r="I3257" s="1030">
        <v>2834610</v>
      </c>
      <c r="J3257" s="1001">
        <v>2746090</v>
      </c>
      <c r="K3257" s="1030"/>
      <c r="L3257" s="690"/>
      <c r="M3257" s="1025"/>
      <c r="N3257" s="1030"/>
      <c r="O3257" s="692">
        <f t="shared" si="421"/>
        <v>0</v>
      </c>
      <c r="P3257" s="690"/>
      <c r="Q3257" s="690"/>
      <c r="R3257" s="691">
        <f t="shared" si="422"/>
        <v>0</v>
      </c>
      <c r="S3257" s="692">
        <f t="shared" si="423"/>
        <v>2834610</v>
      </c>
      <c r="T3257" s="693">
        <f t="shared" si="424"/>
        <v>2746090</v>
      </c>
      <c r="U3257" s="1035"/>
      <c r="V3257" s="690"/>
      <c r="W3257" s="1025"/>
      <c r="X3257" s="1030"/>
      <c r="Y3257" s="694">
        <f t="shared" si="425"/>
        <v>0</v>
      </c>
      <c r="Z3257" s="690"/>
      <c r="AA3257" s="690"/>
      <c r="AB3257" s="695">
        <f t="shared" si="426"/>
        <v>0</v>
      </c>
      <c r="AC3257" s="1035"/>
      <c r="AD3257" s="690"/>
      <c r="AE3257" s="1025"/>
      <c r="AF3257" s="1030"/>
      <c r="AG3257" s="690"/>
      <c r="AH3257" s="690"/>
      <c r="AI3257" s="696">
        <f t="shared" si="427"/>
        <v>2834610</v>
      </c>
      <c r="AJ3257" s="697">
        <f t="shared" si="428"/>
        <v>2746090</v>
      </c>
    </row>
    <row r="3258" spans="1:36" s="700" customFormat="1" ht="12.75" customHeight="1">
      <c r="A3258" s="908" t="s">
        <v>217</v>
      </c>
      <c r="B3258" s="908" t="s">
        <v>399</v>
      </c>
      <c r="C3258" s="913" t="s">
        <v>441</v>
      </c>
      <c r="D3258" s="913"/>
      <c r="E3258" s="1003">
        <v>238032</v>
      </c>
      <c r="F3258" s="911">
        <v>1</v>
      </c>
      <c r="G3258" s="1025"/>
      <c r="H3258" s="796"/>
      <c r="I3258" s="1030">
        <v>2655756</v>
      </c>
      <c r="J3258" s="1001">
        <f>2059534+563276</f>
        <v>2622810</v>
      </c>
      <c r="K3258" s="1030"/>
      <c r="L3258" s="690"/>
      <c r="M3258" s="1025"/>
      <c r="N3258" s="1030"/>
      <c r="O3258" s="692">
        <f t="shared" si="421"/>
        <v>0</v>
      </c>
      <c r="P3258" s="690"/>
      <c r="Q3258" s="690"/>
      <c r="R3258" s="691">
        <f t="shared" si="422"/>
        <v>0</v>
      </c>
      <c r="S3258" s="692">
        <f t="shared" si="423"/>
        <v>2655756</v>
      </c>
      <c r="T3258" s="693">
        <f t="shared" si="424"/>
        <v>2622810</v>
      </c>
      <c r="U3258" s="1035"/>
      <c r="V3258" s="690"/>
      <c r="W3258" s="1025"/>
      <c r="X3258" s="1030"/>
      <c r="Y3258" s="694">
        <f t="shared" si="425"/>
        <v>0</v>
      </c>
      <c r="Z3258" s="690"/>
      <c r="AA3258" s="690"/>
      <c r="AB3258" s="695">
        <f t="shared" si="426"/>
        <v>0</v>
      </c>
      <c r="AC3258" s="1035"/>
      <c r="AD3258" s="690"/>
      <c r="AE3258" s="1025"/>
      <c r="AF3258" s="1030"/>
      <c r="AG3258" s="690"/>
      <c r="AH3258" s="690"/>
      <c r="AI3258" s="696">
        <f t="shared" si="427"/>
        <v>2655756</v>
      </c>
      <c r="AJ3258" s="697">
        <f t="shared" si="428"/>
        <v>2622810</v>
      </c>
    </row>
    <row r="3259" spans="1:36" s="700" customFormat="1" ht="12.75" customHeight="1">
      <c r="A3259" s="908" t="s">
        <v>217</v>
      </c>
      <c r="B3259" s="908" t="s">
        <v>399</v>
      </c>
      <c r="C3259" s="912" t="s">
        <v>1846</v>
      </c>
      <c r="D3259" s="912"/>
      <c r="E3259" s="1003">
        <v>238032</v>
      </c>
      <c r="F3259" s="911">
        <v>1</v>
      </c>
      <c r="G3259" s="1025"/>
      <c r="H3259" s="796"/>
      <c r="I3259" s="1030">
        <v>2056393</v>
      </c>
      <c r="J3259" s="1001">
        <v>2001682</v>
      </c>
      <c r="K3259" s="1030"/>
      <c r="L3259" s="690"/>
      <c r="M3259" s="1025"/>
      <c r="N3259" s="1030"/>
      <c r="O3259" s="692">
        <f t="shared" si="421"/>
        <v>0</v>
      </c>
      <c r="P3259" s="690"/>
      <c r="Q3259" s="690"/>
      <c r="R3259" s="691">
        <f t="shared" si="422"/>
        <v>0</v>
      </c>
      <c r="S3259" s="692">
        <f t="shared" si="423"/>
        <v>2056393</v>
      </c>
      <c r="T3259" s="693">
        <f t="shared" si="424"/>
        <v>2001682</v>
      </c>
      <c r="U3259" s="1035"/>
      <c r="V3259" s="690"/>
      <c r="W3259" s="1025"/>
      <c r="X3259" s="1030"/>
      <c r="Y3259" s="694">
        <f t="shared" si="425"/>
        <v>0</v>
      </c>
      <c r="Z3259" s="690"/>
      <c r="AA3259" s="690"/>
      <c r="AB3259" s="695">
        <f t="shared" si="426"/>
        <v>0</v>
      </c>
      <c r="AC3259" s="1035"/>
      <c r="AD3259" s="690"/>
      <c r="AE3259" s="1025"/>
      <c r="AF3259" s="1030"/>
      <c r="AG3259" s="690"/>
      <c r="AH3259" s="690"/>
      <c r="AI3259" s="696">
        <f t="shared" si="427"/>
        <v>2056393</v>
      </c>
      <c r="AJ3259" s="697">
        <f t="shared" si="428"/>
        <v>2001682</v>
      </c>
    </row>
    <row r="3260" spans="1:36" s="700" customFormat="1" ht="12.75" customHeight="1">
      <c r="A3260" s="908" t="s">
        <v>217</v>
      </c>
      <c r="B3260" s="908" t="s">
        <v>400</v>
      </c>
      <c r="C3260" s="913" t="s">
        <v>1418</v>
      </c>
      <c r="D3260" s="913"/>
      <c r="E3260" s="1003">
        <v>238032</v>
      </c>
      <c r="F3260" s="911">
        <v>1</v>
      </c>
      <c r="G3260" s="1025"/>
      <c r="H3260" s="796"/>
      <c r="I3260" s="1030">
        <v>3030860</v>
      </c>
      <c r="J3260" s="1001">
        <f>200000+369623+3683143</f>
        <v>4252766</v>
      </c>
      <c r="K3260" s="1030"/>
      <c r="L3260" s="690"/>
      <c r="M3260" s="1025"/>
      <c r="N3260" s="1030"/>
      <c r="O3260" s="692">
        <f t="shared" si="421"/>
        <v>0</v>
      </c>
      <c r="P3260" s="690"/>
      <c r="Q3260" s="690"/>
      <c r="R3260" s="691">
        <f t="shared" si="422"/>
        <v>0</v>
      </c>
      <c r="S3260" s="692">
        <f t="shared" si="423"/>
        <v>3030860</v>
      </c>
      <c r="T3260" s="693">
        <f t="shared" si="424"/>
        <v>4252766</v>
      </c>
      <c r="U3260" s="1035"/>
      <c r="V3260" s="690"/>
      <c r="W3260" s="1025"/>
      <c r="X3260" s="1030"/>
      <c r="Y3260" s="694">
        <f t="shared" si="425"/>
        <v>0</v>
      </c>
      <c r="Z3260" s="690"/>
      <c r="AA3260" s="690"/>
      <c r="AB3260" s="695">
        <f t="shared" si="426"/>
        <v>0</v>
      </c>
      <c r="AC3260" s="1035"/>
      <c r="AD3260" s="690"/>
      <c r="AE3260" s="1025"/>
      <c r="AF3260" s="1030"/>
      <c r="AG3260" s="690"/>
      <c r="AH3260" s="690"/>
      <c r="AI3260" s="696">
        <f t="shared" si="427"/>
        <v>3030860</v>
      </c>
      <c r="AJ3260" s="697">
        <f t="shared" si="428"/>
        <v>4252766</v>
      </c>
    </row>
    <row r="3261" spans="1:36" s="700" customFormat="1" ht="12.75" customHeight="1">
      <c r="A3261" s="908" t="s">
        <v>217</v>
      </c>
      <c r="B3261" s="908" t="s">
        <v>400</v>
      </c>
      <c r="C3261" s="912" t="s">
        <v>1847</v>
      </c>
      <c r="D3261" s="912"/>
      <c r="E3261" s="1003">
        <v>238032</v>
      </c>
      <c r="F3261" s="911">
        <v>1</v>
      </c>
      <c r="G3261" s="1025"/>
      <c r="H3261" s="796"/>
      <c r="I3261" s="1030">
        <v>277458</v>
      </c>
      <c r="J3261" s="1001">
        <v>265127</v>
      </c>
      <c r="K3261" s="1030"/>
      <c r="L3261" s="690"/>
      <c r="M3261" s="1025"/>
      <c r="N3261" s="1030"/>
      <c r="O3261" s="692">
        <f t="shared" si="421"/>
        <v>0</v>
      </c>
      <c r="P3261" s="690"/>
      <c r="Q3261" s="690"/>
      <c r="R3261" s="691">
        <f t="shared" si="422"/>
        <v>0</v>
      </c>
      <c r="S3261" s="692">
        <f t="shared" si="423"/>
        <v>277458</v>
      </c>
      <c r="T3261" s="693">
        <f t="shared" si="424"/>
        <v>265127</v>
      </c>
      <c r="U3261" s="1035"/>
      <c r="V3261" s="690"/>
      <c r="W3261" s="1025"/>
      <c r="X3261" s="1030"/>
      <c r="Y3261" s="694">
        <f t="shared" si="425"/>
        <v>0</v>
      </c>
      <c r="Z3261" s="690"/>
      <c r="AA3261" s="690"/>
      <c r="AB3261" s="695">
        <f t="shared" si="426"/>
        <v>0</v>
      </c>
      <c r="AC3261" s="1035"/>
      <c r="AD3261" s="690"/>
      <c r="AE3261" s="1025"/>
      <c r="AF3261" s="1030"/>
      <c r="AG3261" s="690"/>
      <c r="AH3261" s="690"/>
      <c r="AI3261" s="696">
        <f t="shared" si="427"/>
        <v>277458</v>
      </c>
      <c r="AJ3261" s="697">
        <f t="shared" si="428"/>
        <v>265127</v>
      </c>
    </row>
    <row r="3262" spans="1:36" s="700" customFormat="1" ht="12.75" customHeight="1">
      <c r="A3262" s="908" t="s">
        <v>217</v>
      </c>
      <c r="B3262" s="908" t="s">
        <v>392</v>
      </c>
      <c r="C3262" s="909" t="s">
        <v>1848</v>
      </c>
      <c r="D3262" s="909"/>
      <c r="E3262" s="1003">
        <v>237525</v>
      </c>
      <c r="F3262" s="911">
        <v>3</v>
      </c>
      <c r="G3262" s="1025">
        <v>44147691</v>
      </c>
      <c r="H3262" s="796">
        <v>45897948</v>
      </c>
      <c r="I3262" s="1030"/>
      <c r="J3262" s="1001"/>
      <c r="K3262" s="1030"/>
      <c r="L3262" s="690"/>
      <c r="M3262" s="1025">
        <v>63660698</v>
      </c>
      <c r="N3262" s="1030">
        <v>4308327</v>
      </c>
      <c r="O3262" s="692">
        <f t="shared" si="421"/>
        <v>67969025</v>
      </c>
      <c r="P3262" s="690">
        <v>64363645</v>
      </c>
      <c r="Q3262" s="690">
        <v>4310796</v>
      </c>
      <c r="R3262" s="691">
        <f t="shared" si="422"/>
        <v>68674441</v>
      </c>
      <c r="S3262" s="692">
        <f t="shared" si="423"/>
        <v>107808389</v>
      </c>
      <c r="T3262" s="693">
        <f t="shared" si="424"/>
        <v>110261593</v>
      </c>
      <c r="U3262" s="1035"/>
      <c r="V3262" s="690"/>
      <c r="W3262" s="1025"/>
      <c r="X3262" s="1030"/>
      <c r="Y3262" s="694">
        <f t="shared" si="425"/>
        <v>0</v>
      </c>
      <c r="Z3262" s="690"/>
      <c r="AA3262" s="690"/>
      <c r="AB3262" s="695">
        <f t="shared" si="426"/>
        <v>0</v>
      </c>
      <c r="AC3262" s="1035"/>
      <c r="AD3262" s="690"/>
      <c r="AE3262" s="1025"/>
      <c r="AF3262" s="1030"/>
      <c r="AG3262" s="690"/>
      <c r="AH3262" s="690"/>
      <c r="AI3262" s="696">
        <f t="shared" si="427"/>
        <v>107808389</v>
      </c>
      <c r="AJ3262" s="697">
        <f t="shared" si="428"/>
        <v>110261593</v>
      </c>
    </row>
    <row r="3263" spans="1:36" s="700" customFormat="1" ht="12.75" customHeight="1">
      <c r="A3263" s="908" t="s">
        <v>217</v>
      </c>
      <c r="B3263" s="908" t="s">
        <v>399</v>
      </c>
      <c r="C3263" s="913" t="s">
        <v>441</v>
      </c>
      <c r="D3263" s="913"/>
      <c r="E3263" s="1003">
        <v>237525</v>
      </c>
      <c r="F3263" s="911">
        <v>3</v>
      </c>
      <c r="G3263" s="1025"/>
      <c r="H3263" s="690"/>
      <c r="I3263" s="1030"/>
      <c r="J3263" s="1001"/>
      <c r="K3263" s="1030"/>
      <c r="L3263" s="690"/>
      <c r="M3263" s="1025"/>
      <c r="N3263" s="1030"/>
      <c r="O3263" s="692">
        <f t="shared" si="421"/>
        <v>0</v>
      </c>
      <c r="P3263" s="690"/>
      <c r="Q3263" s="690"/>
      <c r="R3263" s="691">
        <f t="shared" si="422"/>
        <v>0</v>
      </c>
      <c r="S3263" s="692">
        <f t="shared" si="423"/>
        <v>0</v>
      </c>
      <c r="T3263" s="693">
        <f t="shared" si="424"/>
        <v>0</v>
      </c>
      <c r="U3263" s="1035"/>
      <c r="V3263" s="690"/>
      <c r="W3263" s="1025"/>
      <c r="X3263" s="1030"/>
      <c r="Y3263" s="694">
        <f t="shared" si="425"/>
        <v>0</v>
      </c>
      <c r="Z3263" s="690"/>
      <c r="AA3263" s="690"/>
      <c r="AB3263" s="695">
        <f t="shared" si="426"/>
        <v>0</v>
      </c>
      <c r="AC3263" s="1035"/>
      <c r="AD3263" s="690"/>
      <c r="AE3263" s="1025"/>
      <c r="AF3263" s="1030"/>
      <c r="AG3263" s="690"/>
      <c r="AH3263" s="690"/>
      <c r="AI3263" s="696">
        <f t="shared" si="427"/>
        <v>0</v>
      </c>
      <c r="AJ3263" s="697">
        <f t="shared" si="428"/>
        <v>0</v>
      </c>
    </row>
    <row r="3264" spans="1:36" s="700" customFormat="1" ht="12.75" customHeight="1">
      <c r="A3264" s="908" t="s">
        <v>217</v>
      </c>
      <c r="B3264" s="908" t="s">
        <v>400</v>
      </c>
      <c r="C3264" s="912" t="s">
        <v>1849</v>
      </c>
      <c r="D3264" s="912"/>
      <c r="E3264" s="1003">
        <v>237525</v>
      </c>
      <c r="F3264" s="911">
        <v>3</v>
      </c>
      <c r="G3264" s="1025"/>
      <c r="H3264" s="690"/>
      <c r="I3264" s="1030">
        <v>181280</v>
      </c>
      <c r="J3264" s="1001">
        <v>181280</v>
      </c>
      <c r="K3264" s="1030"/>
      <c r="L3264" s="690"/>
      <c r="M3264" s="1025"/>
      <c r="N3264" s="1030"/>
      <c r="O3264" s="692">
        <f t="shared" si="421"/>
        <v>0</v>
      </c>
      <c r="P3264" s="690"/>
      <c r="Q3264" s="690"/>
      <c r="R3264" s="691">
        <f t="shared" si="422"/>
        <v>0</v>
      </c>
      <c r="S3264" s="692">
        <f t="shared" si="423"/>
        <v>181280</v>
      </c>
      <c r="T3264" s="693">
        <f t="shared" si="424"/>
        <v>181280</v>
      </c>
      <c r="U3264" s="1035"/>
      <c r="V3264" s="690"/>
      <c r="W3264" s="1025"/>
      <c r="X3264" s="1030"/>
      <c r="Y3264" s="694">
        <f t="shared" si="425"/>
        <v>0</v>
      </c>
      <c r="Z3264" s="690"/>
      <c r="AA3264" s="690"/>
      <c r="AB3264" s="695">
        <f t="shared" si="426"/>
        <v>0</v>
      </c>
      <c r="AC3264" s="1035"/>
      <c r="AD3264" s="690"/>
      <c r="AE3264" s="1025"/>
      <c r="AF3264" s="1030"/>
      <c r="AG3264" s="690"/>
      <c r="AH3264" s="690"/>
      <c r="AI3264" s="696">
        <f t="shared" si="427"/>
        <v>181280</v>
      </c>
      <c r="AJ3264" s="697">
        <f t="shared" si="428"/>
        <v>181280</v>
      </c>
    </row>
    <row r="3265" spans="1:36" s="700" customFormat="1" ht="12.75" customHeight="1">
      <c r="A3265" s="908" t="s">
        <v>217</v>
      </c>
      <c r="B3265" s="908" t="s">
        <v>399</v>
      </c>
      <c r="C3265" s="912" t="s">
        <v>1850</v>
      </c>
      <c r="D3265" s="912"/>
      <c r="E3265" s="1003">
        <v>237525</v>
      </c>
      <c r="F3265" s="911">
        <v>3</v>
      </c>
      <c r="G3265" s="1025"/>
      <c r="H3265" s="690"/>
      <c r="I3265" s="1030">
        <v>2012918</v>
      </c>
      <c r="J3265" s="1001">
        <v>1915060</v>
      </c>
      <c r="K3265" s="1030"/>
      <c r="L3265" s="690"/>
      <c r="M3265" s="1025"/>
      <c r="N3265" s="1030"/>
      <c r="O3265" s="692">
        <f t="shared" si="421"/>
        <v>0</v>
      </c>
      <c r="P3265" s="690"/>
      <c r="Q3265" s="690"/>
      <c r="R3265" s="691">
        <f t="shared" si="422"/>
        <v>0</v>
      </c>
      <c r="S3265" s="692">
        <f t="shared" si="423"/>
        <v>2012918</v>
      </c>
      <c r="T3265" s="693">
        <f t="shared" si="424"/>
        <v>1915060</v>
      </c>
      <c r="U3265" s="1035"/>
      <c r="V3265" s="690"/>
      <c r="W3265" s="1025"/>
      <c r="X3265" s="1030"/>
      <c r="Y3265" s="694">
        <f t="shared" si="425"/>
        <v>0</v>
      </c>
      <c r="Z3265" s="690"/>
      <c r="AA3265" s="690"/>
      <c r="AB3265" s="695">
        <f t="shared" si="426"/>
        <v>0</v>
      </c>
      <c r="AC3265" s="1035"/>
      <c r="AD3265" s="690"/>
      <c r="AE3265" s="1025"/>
      <c r="AF3265" s="1030"/>
      <c r="AG3265" s="690"/>
      <c r="AH3265" s="690"/>
      <c r="AI3265" s="696">
        <f t="shared" si="427"/>
        <v>2012918</v>
      </c>
      <c r="AJ3265" s="697">
        <f t="shared" si="428"/>
        <v>1915060</v>
      </c>
    </row>
    <row r="3266" spans="1:36" s="700" customFormat="1" ht="12.75" customHeight="1">
      <c r="A3266" s="908" t="s">
        <v>217</v>
      </c>
      <c r="B3266" s="908" t="s">
        <v>400</v>
      </c>
      <c r="C3266" s="913" t="s">
        <v>1418</v>
      </c>
      <c r="D3266" s="913"/>
      <c r="E3266" s="1003">
        <v>237525</v>
      </c>
      <c r="F3266" s="911">
        <v>3</v>
      </c>
      <c r="G3266" s="1025"/>
      <c r="H3266" s="690"/>
      <c r="I3266" s="1030">
        <v>778555</v>
      </c>
      <c r="J3266" s="1001">
        <f>22960+369623+100000+274522</f>
        <v>767105</v>
      </c>
      <c r="K3266" s="1030"/>
      <c r="L3266" s="690"/>
      <c r="M3266" s="1025"/>
      <c r="N3266" s="1030"/>
      <c r="O3266" s="692">
        <f t="shared" si="421"/>
        <v>0</v>
      </c>
      <c r="P3266" s="690"/>
      <c r="Q3266" s="690"/>
      <c r="R3266" s="691">
        <f t="shared" si="422"/>
        <v>0</v>
      </c>
      <c r="S3266" s="692">
        <f t="shared" si="423"/>
        <v>778555</v>
      </c>
      <c r="T3266" s="693">
        <f t="shared" si="424"/>
        <v>767105</v>
      </c>
      <c r="U3266" s="1035"/>
      <c r="V3266" s="690"/>
      <c r="W3266" s="1025"/>
      <c r="X3266" s="1030"/>
      <c r="Y3266" s="694">
        <f t="shared" si="425"/>
        <v>0</v>
      </c>
      <c r="Z3266" s="690"/>
      <c r="AA3266" s="690"/>
      <c r="AB3266" s="695">
        <f t="shared" si="426"/>
        <v>0</v>
      </c>
      <c r="AC3266" s="1035"/>
      <c r="AD3266" s="690"/>
      <c r="AE3266" s="1025"/>
      <c r="AF3266" s="1030"/>
      <c r="AG3266" s="690"/>
      <c r="AH3266" s="690"/>
      <c r="AI3266" s="696">
        <f t="shared" si="427"/>
        <v>778555</v>
      </c>
      <c r="AJ3266" s="697">
        <f t="shared" si="428"/>
        <v>767105</v>
      </c>
    </row>
    <row r="3267" spans="1:36" s="700" customFormat="1" ht="12.75" customHeight="1">
      <c r="A3267" s="908" t="s">
        <v>217</v>
      </c>
      <c r="B3267" s="908" t="s">
        <v>408</v>
      </c>
      <c r="C3267" s="913" t="s">
        <v>713</v>
      </c>
      <c r="D3267" s="913"/>
      <c r="E3267" s="1003">
        <v>237525</v>
      </c>
      <c r="F3267" s="911">
        <v>3</v>
      </c>
      <c r="G3267" s="1025"/>
      <c r="H3267" s="690"/>
      <c r="I3267" s="1030"/>
      <c r="J3267" s="690"/>
      <c r="K3267" s="1030"/>
      <c r="L3267" s="690"/>
      <c r="M3267" s="1025"/>
      <c r="N3267" s="1030"/>
      <c r="O3267" s="692">
        <f t="shared" si="421"/>
        <v>0</v>
      </c>
      <c r="P3267" s="690"/>
      <c r="Q3267" s="690"/>
      <c r="R3267" s="691">
        <f t="shared" si="422"/>
        <v>0</v>
      </c>
      <c r="S3267" s="692">
        <f t="shared" si="423"/>
        <v>0</v>
      </c>
      <c r="T3267" s="693">
        <f t="shared" si="424"/>
        <v>0</v>
      </c>
      <c r="U3267" s="1035"/>
      <c r="V3267" s="690"/>
      <c r="W3267" s="1025"/>
      <c r="X3267" s="1030"/>
      <c r="Y3267" s="694">
        <f t="shared" si="425"/>
        <v>0</v>
      </c>
      <c r="Z3267" s="690"/>
      <c r="AA3267" s="690"/>
      <c r="AB3267" s="695">
        <f t="shared" si="426"/>
        <v>0</v>
      </c>
      <c r="AC3267" s="1035">
        <v>17949799</v>
      </c>
      <c r="AD3267" s="690">
        <v>17788946</v>
      </c>
      <c r="AE3267" s="1025">
        <v>7075181</v>
      </c>
      <c r="AF3267" s="1030" t="s">
        <v>131</v>
      </c>
      <c r="AG3267" s="690">
        <v>7075181</v>
      </c>
      <c r="AH3267" s="690"/>
      <c r="AI3267" s="696">
        <f t="shared" si="427"/>
        <v>25024980</v>
      </c>
      <c r="AJ3267" s="697">
        <f t="shared" si="428"/>
        <v>24864127</v>
      </c>
    </row>
    <row r="3268" spans="1:36" s="700" customFormat="1" ht="12.75" customHeight="1">
      <c r="A3268" s="908" t="s">
        <v>217</v>
      </c>
      <c r="B3268" s="908" t="s">
        <v>408</v>
      </c>
      <c r="C3268" s="912" t="s">
        <v>1851</v>
      </c>
      <c r="D3268" s="912"/>
      <c r="E3268" s="1003">
        <v>237525</v>
      </c>
      <c r="F3268" s="911">
        <v>3</v>
      </c>
      <c r="G3268" s="1025"/>
      <c r="H3268" s="690"/>
      <c r="I3268" s="1030"/>
      <c r="J3268" s="690"/>
      <c r="K3268" s="1030"/>
      <c r="L3268" s="690"/>
      <c r="M3268" s="1025"/>
      <c r="N3268" s="1030"/>
      <c r="O3268" s="692">
        <f t="shared" si="421"/>
        <v>0</v>
      </c>
      <c r="P3268" s="690"/>
      <c r="Q3268" s="690"/>
      <c r="R3268" s="691">
        <f t="shared" si="422"/>
        <v>0</v>
      </c>
      <c r="S3268" s="692">
        <f t="shared" si="423"/>
        <v>0</v>
      </c>
      <c r="T3268" s="693">
        <f t="shared" si="424"/>
        <v>0</v>
      </c>
      <c r="U3268" s="1035"/>
      <c r="V3268" s="690"/>
      <c r="W3268" s="1025"/>
      <c r="X3268" s="1030"/>
      <c r="Y3268" s="694">
        <f t="shared" si="425"/>
        <v>0</v>
      </c>
      <c r="Z3268" s="690"/>
      <c r="AA3268" s="690"/>
      <c r="AB3268" s="695">
        <f t="shared" si="426"/>
        <v>0</v>
      </c>
      <c r="AC3268" s="1035">
        <v>295477</v>
      </c>
      <c r="AD3268" s="690">
        <v>295477</v>
      </c>
      <c r="AE3268" s="1025"/>
      <c r="AF3268" s="1030"/>
      <c r="AG3268" s="690"/>
      <c r="AH3268" s="690"/>
      <c r="AI3268" s="696">
        <f t="shared" si="427"/>
        <v>295477</v>
      </c>
      <c r="AJ3268" s="697">
        <f t="shared" si="428"/>
        <v>295477</v>
      </c>
    </row>
    <row r="3269" spans="1:36" s="700" customFormat="1" ht="12.75" customHeight="1">
      <c r="A3269" s="908" t="s">
        <v>217</v>
      </c>
      <c r="B3269" s="908" t="s">
        <v>408</v>
      </c>
      <c r="C3269" s="912" t="s">
        <v>1852</v>
      </c>
      <c r="D3269" s="912"/>
      <c r="E3269" s="1003">
        <v>237525</v>
      </c>
      <c r="F3269" s="911">
        <v>3</v>
      </c>
      <c r="G3269" s="1025"/>
      <c r="H3269" s="690"/>
      <c r="I3269" s="1030"/>
      <c r="J3269" s="690"/>
      <c r="K3269" s="1030"/>
      <c r="L3269" s="690"/>
      <c r="M3269" s="1025"/>
      <c r="N3269" s="1030"/>
      <c r="O3269" s="692">
        <f t="shared" si="421"/>
        <v>0</v>
      </c>
      <c r="P3269" s="690"/>
      <c r="Q3269" s="690"/>
      <c r="R3269" s="691">
        <f t="shared" si="422"/>
        <v>0</v>
      </c>
      <c r="S3269" s="692">
        <f t="shared" si="423"/>
        <v>0</v>
      </c>
      <c r="T3269" s="693">
        <f t="shared" si="424"/>
        <v>0</v>
      </c>
      <c r="U3269" s="1035"/>
      <c r="V3269" s="690"/>
      <c r="W3269" s="1025"/>
      <c r="X3269" s="1030"/>
      <c r="Y3269" s="694">
        <f t="shared" si="425"/>
        <v>0</v>
      </c>
      <c r="Z3269" s="690"/>
      <c r="AA3269" s="690"/>
      <c r="AB3269" s="695">
        <f t="shared" si="426"/>
        <v>0</v>
      </c>
      <c r="AC3269" s="1035">
        <v>175061</v>
      </c>
      <c r="AD3269" s="690">
        <v>275061</v>
      </c>
      <c r="AE3269" s="1025"/>
      <c r="AF3269" s="1030"/>
      <c r="AG3269" s="690"/>
      <c r="AH3269" s="690"/>
      <c r="AI3269" s="696">
        <f t="shared" si="427"/>
        <v>175061</v>
      </c>
      <c r="AJ3269" s="697">
        <f t="shared" si="428"/>
        <v>275061</v>
      </c>
    </row>
    <row r="3270" spans="1:36" s="700" customFormat="1" ht="12.75" customHeight="1">
      <c r="A3270" s="908" t="s">
        <v>217</v>
      </c>
      <c r="B3270" s="908" t="s">
        <v>399</v>
      </c>
      <c r="C3270" s="912" t="s">
        <v>1853</v>
      </c>
      <c r="D3270" s="912"/>
      <c r="E3270" s="1003">
        <v>237525</v>
      </c>
      <c r="F3270" s="911">
        <v>3</v>
      </c>
      <c r="G3270" s="1025"/>
      <c r="H3270" s="690"/>
      <c r="I3270" s="1030"/>
      <c r="J3270" s="690"/>
      <c r="K3270" s="1030"/>
      <c r="L3270" s="690"/>
      <c r="M3270" s="1025"/>
      <c r="N3270" s="1030"/>
      <c r="O3270" s="692">
        <f t="shared" si="421"/>
        <v>0</v>
      </c>
      <c r="P3270" s="690"/>
      <c r="Q3270" s="690"/>
      <c r="R3270" s="691">
        <f t="shared" si="422"/>
        <v>0</v>
      </c>
      <c r="S3270" s="692">
        <f t="shared" si="423"/>
        <v>0</v>
      </c>
      <c r="T3270" s="693">
        <f t="shared" si="424"/>
        <v>0</v>
      </c>
      <c r="U3270" s="1035"/>
      <c r="V3270" s="690"/>
      <c r="W3270" s="1025"/>
      <c r="X3270" s="1030"/>
      <c r="Y3270" s="694">
        <f t="shared" si="425"/>
        <v>0</v>
      </c>
      <c r="Z3270" s="690"/>
      <c r="AA3270" s="690"/>
      <c r="AB3270" s="695">
        <f t="shared" si="426"/>
        <v>0</v>
      </c>
      <c r="AC3270" s="1035">
        <v>417351</v>
      </c>
      <c r="AD3270" s="690">
        <v>417351</v>
      </c>
      <c r="AE3270" s="1025"/>
      <c r="AF3270" s="1030"/>
      <c r="AG3270" s="690"/>
      <c r="AH3270" s="690"/>
      <c r="AI3270" s="696">
        <f t="shared" si="427"/>
        <v>417351</v>
      </c>
      <c r="AJ3270" s="697">
        <f t="shared" si="428"/>
        <v>417351</v>
      </c>
    </row>
    <row r="3271" spans="1:36" s="700" customFormat="1" ht="12.75" customHeight="1">
      <c r="A3271" s="908" t="s">
        <v>217</v>
      </c>
      <c r="B3271" s="908" t="s">
        <v>400</v>
      </c>
      <c r="C3271" s="912" t="s">
        <v>1840</v>
      </c>
      <c r="D3271" s="912"/>
      <c r="E3271" s="1003">
        <v>237525</v>
      </c>
      <c r="F3271" s="911">
        <v>3</v>
      </c>
      <c r="G3271" s="1025"/>
      <c r="H3271" s="690"/>
      <c r="I3271" s="1030"/>
      <c r="J3271" s="690"/>
      <c r="K3271" s="1030"/>
      <c r="L3271" s="690"/>
      <c r="M3271" s="1025"/>
      <c r="N3271" s="1030"/>
      <c r="O3271" s="692">
        <f t="shared" si="421"/>
        <v>0</v>
      </c>
      <c r="P3271" s="690"/>
      <c r="Q3271" s="690"/>
      <c r="R3271" s="691">
        <f t="shared" si="422"/>
        <v>0</v>
      </c>
      <c r="S3271" s="692">
        <f t="shared" si="423"/>
        <v>0</v>
      </c>
      <c r="T3271" s="693">
        <f t="shared" si="424"/>
        <v>0</v>
      </c>
      <c r="U3271" s="1035"/>
      <c r="V3271" s="690"/>
      <c r="W3271" s="1025"/>
      <c r="X3271" s="1030"/>
      <c r="Y3271" s="694">
        <f t="shared" si="425"/>
        <v>0</v>
      </c>
      <c r="Z3271" s="690"/>
      <c r="AA3271" s="690"/>
      <c r="AB3271" s="695">
        <f t="shared" si="426"/>
        <v>0</v>
      </c>
      <c r="AC3271" s="1035">
        <v>948674</v>
      </c>
      <c r="AD3271" s="690">
        <v>932587</v>
      </c>
      <c r="AE3271" s="1025"/>
      <c r="AF3271" s="1030"/>
      <c r="AG3271" s="690"/>
      <c r="AH3271" s="690"/>
      <c r="AI3271" s="696">
        <f t="shared" si="427"/>
        <v>948674</v>
      </c>
      <c r="AJ3271" s="697">
        <f t="shared" si="428"/>
        <v>932587</v>
      </c>
    </row>
    <row r="3272" spans="1:36" s="700" customFormat="1" ht="12.75" customHeight="1">
      <c r="A3272" s="908" t="s">
        <v>217</v>
      </c>
      <c r="B3272" s="908" t="s">
        <v>392</v>
      </c>
      <c r="C3272" s="914" t="s">
        <v>1854</v>
      </c>
      <c r="D3272" s="914"/>
      <c r="E3272" s="1004">
        <v>237367</v>
      </c>
      <c r="F3272" s="1005">
        <v>5</v>
      </c>
      <c r="G3272" s="1025">
        <v>13293378</v>
      </c>
      <c r="H3272" s="1001">
        <v>15611661</v>
      </c>
      <c r="I3272" s="1030"/>
      <c r="J3272" s="690"/>
      <c r="K3272" s="1030"/>
      <c r="L3272" s="690"/>
      <c r="M3272" s="1025">
        <v>20293934</v>
      </c>
      <c r="N3272" s="1030">
        <v>1019071</v>
      </c>
      <c r="O3272" s="692">
        <f t="shared" si="421"/>
        <v>21313005</v>
      </c>
      <c r="P3272" s="690">
        <v>19076411</v>
      </c>
      <c r="Q3272" s="690">
        <f>1014798+1221796</f>
        <v>2236594</v>
      </c>
      <c r="R3272" s="691">
        <f t="shared" si="422"/>
        <v>21313005</v>
      </c>
      <c r="S3272" s="692">
        <f t="shared" si="423"/>
        <v>33587312</v>
      </c>
      <c r="T3272" s="693">
        <f t="shared" si="424"/>
        <v>34688072</v>
      </c>
      <c r="U3272" s="1035"/>
      <c r="V3272" s="690"/>
      <c r="W3272" s="1025"/>
      <c r="X3272" s="1030"/>
      <c r="Y3272" s="694">
        <f t="shared" si="425"/>
        <v>0</v>
      </c>
      <c r="Z3272" s="690"/>
      <c r="AA3272" s="690"/>
      <c r="AB3272" s="695">
        <f t="shared" si="426"/>
        <v>0</v>
      </c>
      <c r="AC3272" s="1035"/>
      <c r="AD3272" s="690"/>
      <c r="AE3272" s="1025"/>
      <c r="AF3272" s="1030"/>
      <c r="AG3272" s="690"/>
      <c r="AH3272" s="690"/>
      <c r="AI3272" s="696">
        <f t="shared" si="427"/>
        <v>33587312</v>
      </c>
      <c r="AJ3272" s="697">
        <f t="shared" si="428"/>
        <v>34688072</v>
      </c>
    </row>
    <row r="3273" spans="1:36" s="700" customFormat="1" ht="12.75" customHeight="1">
      <c r="A3273" s="908" t="s">
        <v>217</v>
      </c>
      <c r="B3273" s="908" t="s">
        <v>392</v>
      </c>
      <c r="C3273" s="1006" t="s">
        <v>1855</v>
      </c>
      <c r="D3273" s="1006"/>
      <c r="E3273" s="1003">
        <v>237215</v>
      </c>
      <c r="F3273" s="911">
        <v>6</v>
      </c>
      <c r="G3273" s="1025">
        <v>5960892</v>
      </c>
      <c r="H3273" s="1001">
        <v>5882611</v>
      </c>
      <c r="I3273" s="1030"/>
      <c r="J3273" s="690"/>
      <c r="K3273" s="1030"/>
      <c r="L3273" s="690"/>
      <c r="M3273" s="1025">
        <v>9981541</v>
      </c>
      <c r="N3273" s="1030">
        <v>26242</v>
      </c>
      <c r="O3273" s="692">
        <f t="shared" si="421"/>
        <v>10007783</v>
      </c>
      <c r="P3273" s="690">
        <v>9981839</v>
      </c>
      <c r="Q3273" s="690">
        <v>25944</v>
      </c>
      <c r="R3273" s="691">
        <f t="shared" si="422"/>
        <v>10007783</v>
      </c>
      <c r="S3273" s="692">
        <f t="shared" si="423"/>
        <v>15942433</v>
      </c>
      <c r="T3273" s="693">
        <f t="shared" si="424"/>
        <v>15864450</v>
      </c>
      <c r="U3273" s="1035"/>
      <c r="V3273" s="690"/>
      <c r="W3273" s="1025"/>
      <c r="X3273" s="1030"/>
      <c r="Y3273" s="694">
        <f t="shared" si="425"/>
        <v>0</v>
      </c>
      <c r="Z3273" s="690"/>
      <c r="AA3273" s="690"/>
      <c r="AB3273" s="695">
        <f t="shared" si="426"/>
        <v>0</v>
      </c>
      <c r="AC3273" s="1035"/>
      <c r="AD3273" s="690"/>
      <c r="AE3273" s="1025"/>
      <c r="AF3273" s="1030"/>
      <c r="AG3273" s="690"/>
      <c r="AH3273" s="690"/>
      <c r="AI3273" s="696">
        <f t="shared" si="427"/>
        <v>15942433</v>
      </c>
      <c r="AJ3273" s="697">
        <f t="shared" si="428"/>
        <v>15864450</v>
      </c>
    </row>
    <row r="3274" spans="1:36" s="700" customFormat="1" ht="12.75" customHeight="1">
      <c r="A3274" s="908" t="s">
        <v>217</v>
      </c>
      <c r="B3274" s="908" t="s">
        <v>392</v>
      </c>
      <c r="C3274" s="909" t="s">
        <v>1856</v>
      </c>
      <c r="D3274" s="909"/>
      <c r="E3274" s="1003">
        <v>237330</v>
      </c>
      <c r="F3274" s="911">
        <v>6</v>
      </c>
      <c r="G3274" s="1025">
        <v>9201500</v>
      </c>
      <c r="H3274" s="1001">
        <f>9175771-100000</f>
        <v>9075771</v>
      </c>
      <c r="I3274" s="1030"/>
      <c r="J3274" s="690"/>
      <c r="K3274" s="1030"/>
      <c r="L3274" s="690"/>
      <c r="M3274" s="1025">
        <v>13922667</v>
      </c>
      <c r="N3274" s="1030">
        <v>333925</v>
      </c>
      <c r="O3274" s="692">
        <f t="shared" si="421"/>
        <v>14256592</v>
      </c>
      <c r="P3274" s="690">
        <v>13926432</v>
      </c>
      <c r="Q3274" s="690">
        <v>330160</v>
      </c>
      <c r="R3274" s="691">
        <f t="shared" si="422"/>
        <v>14256592</v>
      </c>
      <c r="S3274" s="692">
        <f t="shared" si="423"/>
        <v>23124167</v>
      </c>
      <c r="T3274" s="693">
        <f t="shared" si="424"/>
        <v>23002203</v>
      </c>
      <c r="U3274" s="1035"/>
      <c r="V3274" s="690"/>
      <c r="W3274" s="1025"/>
      <c r="X3274" s="1030"/>
      <c r="Y3274" s="694">
        <f t="shared" si="425"/>
        <v>0</v>
      </c>
      <c r="Z3274" s="690"/>
      <c r="AA3274" s="690"/>
      <c r="AB3274" s="695">
        <f t="shared" si="426"/>
        <v>0</v>
      </c>
      <c r="AC3274" s="1035"/>
      <c r="AD3274" s="690"/>
      <c r="AE3274" s="1025"/>
      <c r="AF3274" s="1030"/>
      <c r="AG3274" s="690"/>
      <c r="AH3274" s="690"/>
      <c r="AI3274" s="696">
        <f t="shared" si="427"/>
        <v>23124167</v>
      </c>
      <c r="AJ3274" s="697">
        <f t="shared" si="428"/>
        <v>23002203</v>
      </c>
    </row>
    <row r="3275" spans="1:36" s="700" customFormat="1" ht="12.75" customHeight="1">
      <c r="A3275" s="908" t="s">
        <v>217</v>
      </c>
      <c r="B3275" s="908" t="s">
        <v>400</v>
      </c>
      <c r="C3275" s="913" t="s">
        <v>1418</v>
      </c>
      <c r="D3275" s="913"/>
      <c r="E3275" s="1003">
        <v>237330</v>
      </c>
      <c r="F3275" s="911">
        <v>6</v>
      </c>
      <c r="G3275" s="1025"/>
      <c r="H3275" s="796"/>
      <c r="I3275" s="1030">
        <v>100000</v>
      </c>
      <c r="J3275" s="690">
        <v>100000</v>
      </c>
      <c r="K3275" s="1030"/>
      <c r="L3275" s="690"/>
      <c r="M3275" s="1025"/>
      <c r="N3275" s="1030"/>
      <c r="O3275" s="692">
        <f t="shared" si="421"/>
        <v>0</v>
      </c>
      <c r="P3275" s="690"/>
      <c r="Q3275" s="690"/>
      <c r="R3275" s="691">
        <f t="shared" si="422"/>
        <v>0</v>
      </c>
      <c r="S3275" s="692">
        <f t="shared" si="423"/>
        <v>100000</v>
      </c>
      <c r="T3275" s="693">
        <f t="shared" si="424"/>
        <v>100000</v>
      </c>
      <c r="U3275" s="1035"/>
      <c r="V3275" s="690"/>
      <c r="W3275" s="1025"/>
      <c r="X3275" s="1030"/>
      <c r="Y3275" s="694">
        <f t="shared" si="425"/>
        <v>0</v>
      </c>
      <c r="Z3275" s="690"/>
      <c r="AA3275" s="690"/>
      <c r="AB3275" s="695">
        <f t="shared" si="426"/>
        <v>0</v>
      </c>
      <c r="AC3275" s="1035"/>
      <c r="AD3275" s="690"/>
      <c r="AE3275" s="1025"/>
      <c r="AF3275" s="1030"/>
      <c r="AG3275" s="690"/>
      <c r="AH3275" s="690"/>
      <c r="AI3275" s="696">
        <f t="shared" si="427"/>
        <v>100000</v>
      </c>
      <c r="AJ3275" s="697">
        <f t="shared" si="428"/>
        <v>100000</v>
      </c>
    </row>
    <row r="3276" spans="1:36" s="700" customFormat="1" ht="12.75" customHeight="1">
      <c r="A3276" s="908" t="s">
        <v>217</v>
      </c>
      <c r="B3276" s="908" t="s">
        <v>392</v>
      </c>
      <c r="C3276" s="909" t="s">
        <v>1857</v>
      </c>
      <c r="D3276" s="909"/>
      <c r="E3276" s="1003">
        <v>237385</v>
      </c>
      <c r="F3276" s="911">
        <v>6</v>
      </c>
      <c r="G3276" s="1025">
        <v>5851935</v>
      </c>
      <c r="H3276" s="1001">
        <f>5974510-200000</f>
        <v>5774510</v>
      </c>
      <c r="I3276" s="1030"/>
      <c r="J3276" s="690"/>
      <c r="K3276" s="1030"/>
      <c r="L3276" s="690"/>
      <c r="M3276" s="1025">
        <v>6547964</v>
      </c>
      <c r="N3276" s="1030">
        <v>260429</v>
      </c>
      <c r="O3276" s="692">
        <f t="shared" si="421"/>
        <v>6808393</v>
      </c>
      <c r="P3276" s="690">
        <v>6293921</v>
      </c>
      <c r="Q3276" s="690">
        <f>259798+254674</f>
        <v>514472</v>
      </c>
      <c r="R3276" s="691">
        <f t="shared" si="422"/>
        <v>6808393</v>
      </c>
      <c r="S3276" s="692">
        <f t="shared" si="423"/>
        <v>12399899</v>
      </c>
      <c r="T3276" s="693">
        <f t="shared" si="424"/>
        <v>12068431</v>
      </c>
      <c r="U3276" s="1035"/>
      <c r="V3276" s="690"/>
      <c r="W3276" s="1025"/>
      <c r="X3276" s="1030"/>
      <c r="Y3276" s="694">
        <f t="shared" si="425"/>
        <v>0</v>
      </c>
      <c r="Z3276" s="690"/>
      <c r="AA3276" s="690"/>
      <c r="AB3276" s="695">
        <f t="shared" si="426"/>
        <v>0</v>
      </c>
      <c r="AC3276" s="1035"/>
      <c r="AD3276" s="690"/>
      <c r="AE3276" s="1025"/>
      <c r="AF3276" s="1030"/>
      <c r="AG3276" s="690"/>
      <c r="AH3276" s="690"/>
      <c r="AI3276" s="696">
        <f t="shared" si="427"/>
        <v>12399899</v>
      </c>
      <c r="AJ3276" s="697">
        <f t="shared" si="428"/>
        <v>12068431</v>
      </c>
    </row>
    <row r="3277" spans="1:36" s="700" customFormat="1" ht="12.75" customHeight="1">
      <c r="A3277" s="908" t="s">
        <v>217</v>
      </c>
      <c r="B3277" s="908" t="s">
        <v>400</v>
      </c>
      <c r="C3277" s="913" t="s">
        <v>1418</v>
      </c>
      <c r="D3277" s="913"/>
      <c r="E3277" s="1003">
        <v>237385</v>
      </c>
      <c r="F3277" s="911">
        <v>6</v>
      </c>
      <c r="G3277" s="1025"/>
      <c r="H3277" s="1001"/>
      <c r="I3277" s="1030">
        <v>200000</v>
      </c>
      <c r="J3277" s="690">
        <v>400000</v>
      </c>
      <c r="K3277" s="1030"/>
      <c r="L3277" s="690"/>
      <c r="M3277" s="1025"/>
      <c r="N3277" s="1030"/>
      <c r="O3277" s="692">
        <f t="shared" ref="O3277:O3340" si="429">SUM(M3277:N3277)</f>
        <v>0</v>
      </c>
      <c r="P3277" s="690"/>
      <c r="Q3277" s="690"/>
      <c r="R3277" s="691">
        <f t="shared" ref="R3277:R3340" si="430">SUM(P3277:Q3277)</f>
        <v>0</v>
      </c>
      <c r="S3277" s="692">
        <f t="shared" ref="S3277:S3340" si="431">SUM(G3277,I3277,K3277,M3277)</f>
        <v>200000</v>
      </c>
      <c r="T3277" s="693">
        <f t="shared" ref="T3277:T3340" si="432">SUM(H3277,J3277,L3277,P3277)</f>
        <v>400000</v>
      </c>
      <c r="U3277" s="1035"/>
      <c r="V3277" s="690"/>
      <c r="W3277" s="1025"/>
      <c r="X3277" s="1030"/>
      <c r="Y3277" s="694">
        <f t="shared" ref="Y3277:Y3340" si="433">SUM(W3277:X3277)</f>
        <v>0</v>
      </c>
      <c r="Z3277" s="690"/>
      <c r="AA3277" s="690"/>
      <c r="AB3277" s="695">
        <f t="shared" ref="AB3277:AB3340" si="434">SUM(Z3277:AA3277)</f>
        <v>0</v>
      </c>
      <c r="AC3277" s="1035"/>
      <c r="AD3277" s="690"/>
      <c r="AE3277" s="1025"/>
      <c r="AF3277" s="1030"/>
      <c r="AG3277" s="690"/>
      <c r="AH3277" s="690"/>
      <c r="AI3277" s="696">
        <f t="shared" ref="AI3277:AI3340" si="435">SUM(S3277,U3277,W3277,AC3277,AE3277)</f>
        <v>200000</v>
      </c>
      <c r="AJ3277" s="697">
        <f t="shared" ref="AJ3277:AJ3340" si="436">SUM(T3277,V3277,Z3277,AD3277,AG3277)</f>
        <v>400000</v>
      </c>
    </row>
    <row r="3278" spans="1:36" s="700" customFormat="1" ht="12.75" customHeight="1">
      <c r="A3278" s="908" t="s">
        <v>217</v>
      </c>
      <c r="B3278" s="908" t="s">
        <v>392</v>
      </c>
      <c r="C3278" s="1102" t="s">
        <v>1858</v>
      </c>
      <c r="D3278" s="1111" t="s">
        <v>1987</v>
      </c>
      <c r="E3278" s="1003">
        <v>237792</v>
      </c>
      <c r="F3278" s="1103">
        <v>5</v>
      </c>
      <c r="G3278" s="1025">
        <v>10196444</v>
      </c>
      <c r="H3278" s="1001">
        <f>10153214-100000</f>
        <v>10053214</v>
      </c>
      <c r="I3278" s="1030"/>
      <c r="J3278" s="690"/>
      <c r="K3278" s="1030"/>
      <c r="L3278" s="690"/>
      <c r="M3278" s="1025">
        <v>24729378</v>
      </c>
      <c r="N3278" s="1030">
        <v>553626</v>
      </c>
      <c r="O3278" s="692">
        <f t="shared" si="429"/>
        <v>25283004</v>
      </c>
      <c r="P3278" s="690">
        <v>24098468</v>
      </c>
      <c r="Q3278" s="690">
        <f>547384+637152</f>
        <v>1184536</v>
      </c>
      <c r="R3278" s="691">
        <f t="shared" si="430"/>
        <v>25283004</v>
      </c>
      <c r="S3278" s="692">
        <f t="shared" si="431"/>
        <v>34925822</v>
      </c>
      <c r="T3278" s="693">
        <f t="shared" si="432"/>
        <v>34151682</v>
      </c>
      <c r="U3278" s="1035"/>
      <c r="V3278" s="690"/>
      <c r="W3278" s="1025"/>
      <c r="X3278" s="1030"/>
      <c r="Y3278" s="694">
        <f t="shared" si="433"/>
        <v>0</v>
      </c>
      <c r="Z3278" s="690"/>
      <c r="AA3278" s="690"/>
      <c r="AB3278" s="695">
        <f t="shared" si="434"/>
        <v>0</v>
      </c>
      <c r="AC3278" s="1035"/>
      <c r="AD3278" s="690"/>
      <c r="AE3278" s="1025"/>
      <c r="AF3278" s="1030"/>
      <c r="AG3278" s="690"/>
      <c r="AH3278" s="690"/>
      <c r="AI3278" s="696">
        <f t="shared" si="435"/>
        <v>34925822</v>
      </c>
      <c r="AJ3278" s="697">
        <f t="shared" si="436"/>
        <v>34151682</v>
      </c>
    </row>
    <row r="3279" spans="1:36" s="700" customFormat="1" ht="12.75" customHeight="1">
      <c r="A3279" s="908" t="s">
        <v>217</v>
      </c>
      <c r="B3279" s="908" t="s">
        <v>400</v>
      </c>
      <c r="C3279" s="913" t="s">
        <v>1418</v>
      </c>
      <c r="D3279" s="913"/>
      <c r="E3279" s="1003">
        <v>237792</v>
      </c>
      <c r="F3279" s="1103">
        <v>5</v>
      </c>
      <c r="G3279" s="1025"/>
      <c r="H3279" s="1001"/>
      <c r="I3279" s="1030">
        <v>100000</v>
      </c>
      <c r="J3279" s="690">
        <v>100000</v>
      </c>
      <c r="K3279" s="1030"/>
      <c r="L3279" s="690"/>
      <c r="M3279" s="1025"/>
      <c r="N3279" s="1030"/>
      <c r="O3279" s="692">
        <f t="shared" si="429"/>
        <v>0</v>
      </c>
      <c r="P3279" s="690"/>
      <c r="Q3279" s="690"/>
      <c r="R3279" s="691">
        <f t="shared" si="430"/>
        <v>0</v>
      </c>
      <c r="S3279" s="692">
        <f t="shared" si="431"/>
        <v>100000</v>
      </c>
      <c r="T3279" s="693">
        <f t="shared" si="432"/>
        <v>100000</v>
      </c>
      <c r="U3279" s="1035"/>
      <c r="V3279" s="690"/>
      <c r="W3279" s="1025"/>
      <c r="X3279" s="1030"/>
      <c r="Y3279" s="694">
        <f t="shared" si="433"/>
        <v>0</v>
      </c>
      <c r="Z3279" s="690"/>
      <c r="AA3279" s="690"/>
      <c r="AB3279" s="695">
        <f t="shared" si="434"/>
        <v>0</v>
      </c>
      <c r="AC3279" s="1035"/>
      <c r="AD3279" s="690"/>
      <c r="AE3279" s="1025"/>
      <c r="AF3279" s="1030"/>
      <c r="AG3279" s="690"/>
      <c r="AH3279" s="690"/>
      <c r="AI3279" s="696">
        <f t="shared" si="435"/>
        <v>100000</v>
      </c>
      <c r="AJ3279" s="697">
        <f t="shared" si="436"/>
        <v>100000</v>
      </c>
    </row>
    <row r="3280" spans="1:36" s="700" customFormat="1" ht="12.75" customHeight="1">
      <c r="A3280" s="908" t="s">
        <v>217</v>
      </c>
      <c r="B3280" s="908" t="s">
        <v>392</v>
      </c>
      <c r="C3280" s="909" t="s">
        <v>1859</v>
      </c>
      <c r="D3280" s="909"/>
      <c r="E3280" s="1003">
        <v>237932</v>
      </c>
      <c r="F3280" s="911">
        <v>6</v>
      </c>
      <c r="G3280" s="1025">
        <v>8547749</v>
      </c>
      <c r="H3280" s="1001">
        <v>8440109</v>
      </c>
      <c r="I3280" s="1030"/>
      <c r="J3280" s="690"/>
      <c r="K3280" s="1030"/>
      <c r="L3280" s="690"/>
      <c r="M3280" s="1025">
        <v>13619326</v>
      </c>
      <c r="N3280" s="1030">
        <v>682336</v>
      </c>
      <c r="O3280" s="692">
        <f t="shared" si="429"/>
        <v>14301662</v>
      </c>
      <c r="P3280" s="690">
        <v>13326225</v>
      </c>
      <c r="Q3280" s="690">
        <f>680256+295181</f>
        <v>975437</v>
      </c>
      <c r="R3280" s="691">
        <f t="shared" si="430"/>
        <v>14301662</v>
      </c>
      <c r="S3280" s="692">
        <f t="shared" si="431"/>
        <v>22167075</v>
      </c>
      <c r="T3280" s="693">
        <f t="shared" si="432"/>
        <v>21766334</v>
      </c>
      <c r="U3280" s="1035"/>
      <c r="V3280" s="690"/>
      <c r="W3280" s="1025"/>
      <c r="X3280" s="1030"/>
      <c r="Y3280" s="694">
        <f t="shared" si="433"/>
        <v>0</v>
      </c>
      <c r="Z3280" s="690"/>
      <c r="AA3280" s="690"/>
      <c r="AB3280" s="695">
        <f t="shared" si="434"/>
        <v>0</v>
      </c>
      <c r="AC3280" s="1035"/>
      <c r="AD3280" s="690"/>
      <c r="AE3280" s="1025"/>
      <c r="AF3280" s="1030"/>
      <c r="AG3280" s="690"/>
      <c r="AH3280" s="690"/>
      <c r="AI3280" s="696">
        <f t="shared" si="435"/>
        <v>22167075</v>
      </c>
      <c r="AJ3280" s="697">
        <f t="shared" si="436"/>
        <v>21766334</v>
      </c>
    </row>
    <row r="3281" spans="1:36" s="700" customFormat="1" ht="12.75" customHeight="1">
      <c r="A3281" s="908" t="s">
        <v>217</v>
      </c>
      <c r="B3281" s="908" t="s">
        <v>392</v>
      </c>
      <c r="C3281" s="909" t="s">
        <v>1860</v>
      </c>
      <c r="D3281" s="909"/>
      <c r="E3281" s="1003">
        <v>237899</v>
      </c>
      <c r="F3281" s="911">
        <v>6</v>
      </c>
      <c r="G3281" s="1025">
        <v>11814795</v>
      </c>
      <c r="H3281" s="1001">
        <f>9877879+1752280</f>
        <v>11630159</v>
      </c>
      <c r="I3281" s="1030"/>
      <c r="J3281" s="690"/>
      <c r="K3281" s="1030"/>
      <c r="L3281" s="690"/>
      <c r="M3281" s="1025">
        <v>15441153</v>
      </c>
      <c r="N3281" s="1030">
        <v>279018</v>
      </c>
      <c r="O3281" s="692">
        <f t="shared" si="429"/>
        <v>15720171</v>
      </c>
      <c r="P3281" s="690">
        <v>15444298</v>
      </c>
      <c r="Q3281" s="690">
        <v>275873</v>
      </c>
      <c r="R3281" s="691">
        <f t="shared" si="430"/>
        <v>15720171</v>
      </c>
      <c r="S3281" s="692">
        <f t="shared" si="431"/>
        <v>27255948</v>
      </c>
      <c r="T3281" s="693">
        <f t="shared" si="432"/>
        <v>27074457</v>
      </c>
      <c r="U3281" s="1035"/>
      <c r="V3281" s="690"/>
      <c r="W3281" s="1025"/>
      <c r="X3281" s="1030"/>
      <c r="Y3281" s="694">
        <f t="shared" si="433"/>
        <v>0</v>
      </c>
      <c r="Z3281" s="690"/>
      <c r="AA3281" s="690"/>
      <c r="AB3281" s="695">
        <f t="shared" si="434"/>
        <v>0</v>
      </c>
      <c r="AC3281" s="1035"/>
      <c r="AD3281" s="690"/>
      <c r="AE3281" s="1025"/>
      <c r="AF3281" s="1030"/>
      <c r="AG3281" s="690"/>
      <c r="AH3281" s="690"/>
      <c r="AI3281" s="696">
        <f t="shared" si="435"/>
        <v>27255948</v>
      </c>
      <c r="AJ3281" s="697">
        <f t="shared" si="436"/>
        <v>27074457</v>
      </c>
    </row>
    <row r="3282" spans="1:36" s="700" customFormat="1" ht="12.75" customHeight="1">
      <c r="A3282" s="908" t="s">
        <v>217</v>
      </c>
      <c r="B3282" s="908" t="s">
        <v>392</v>
      </c>
      <c r="C3282" s="1007" t="s">
        <v>1861</v>
      </c>
      <c r="D3282" s="1007"/>
      <c r="E3282" s="1003">
        <v>237950</v>
      </c>
      <c r="F3282" s="911">
        <v>6</v>
      </c>
      <c r="G3282" s="1025">
        <v>7961871</v>
      </c>
      <c r="H3282" s="1001">
        <v>7836746</v>
      </c>
      <c r="I3282" s="1030"/>
      <c r="J3282" s="690"/>
      <c r="K3282" s="1030"/>
      <c r="L3282" s="690"/>
      <c r="M3282" s="1025">
        <v>6911845</v>
      </c>
      <c r="N3282" s="1030">
        <v>186140</v>
      </c>
      <c r="O3282" s="692">
        <f t="shared" si="429"/>
        <v>7097985</v>
      </c>
      <c r="P3282" s="690">
        <v>6913943</v>
      </c>
      <c r="Q3282" s="690">
        <v>184042</v>
      </c>
      <c r="R3282" s="691">
        <f t="shared" si="430"/>
        <v>7097985</v>
      </c>
      <c r="S3282" s="692">
        <f t="shared" si="431"/>
        <v>14873716</v>
      </c>
      <c r="T3282" s="693">
        <f t="shared" si="432"/>
        <v>14750689</v>
      </c>
      <c r="U3282" s="1035"/>
      <c r="V3282" s="690"/>
      <c r="W3282" s="1025"/>
      <c r="X3282" s="1030"/>
      <c r="Y3282" s="694">
        <f t="shared" si="433"/>
        <v>0</v>
      </c>
      <c r="Z3282" s="690"/>
      <c r="AA3282" s="690"/>
      <c r="AB3282" s="695">
        <f t="shared" si="434"/>
        <v>0</v>
      </c>
      <c r="AC3282" s="1035"/>
      <c r="AD3282" s="690"/>
      <c r="AE3282" s="1025"/>
      <c r="AF3282" s="1030"/>
      <c r="AG3282" s="690"/>
      <c r="AH3282" s="690"/>
      <c r="AI3282" s="696">
        <f t="shared" si="435"/>
        <v>14873716</v>
      </c>
      <c r="AJ3282" s="697">
        <f t="shared" si="436"/>
        <v>14750689</v>
      </c>
    </row>
    <row r="3283" spans="1:36" s="700" customFormat="1" ht="12.75" customHeight="1">
      <c r="A3283" s="908" t="s">
        <v>217</v>
      </c>
      <c r="B3283" s="908" t="s">
        <v>400</v>
      </c>
      <c r="C3283" s="1008" t="s">
        <v>1862</v>
      </c>
      <c r="D3283" s="1008"/>
      <c r="E3283" s="1003">
        <v>237950</v>
      </c>
      <c r="F3283" s="911">
        <v>6</v>
      </c>
      <c r="G3283" s="1025"/>
      <c r="H3283" s="796"/>
      <c r="I3283" s="1030"/>
      <c r="J3283" s="690"/>
      <c r="K3283" s="1030"/>
      <c r="L3283" s="690"/>
      <c r="M3283" s="1025"/>
      <c r="N3283" s="1030"/>
      <c r="O3283" s="692">
        <f t="shared" si="429"/>
        <v>0</v>
      </c>
      <c r="P3283" s="690"/>
      <c r="Q3283" s="690"/>
      <c r="R3283" s="691">
        <f t="shared" si="430"/>
        <v>0</v>
      </c>
      <c r="S3283" s="692">
        <f t="shared" si="431"/>
        <v>0</v>
      </c>
      <c r="T3283" s="693">
        <f t="shared" si="432"/>
        <v>0</v>
      </c>
      <c r="U3283" s="1035"/>
      <c r="V3283" s="690"/>
      <c r="W3283" s="1025"/>
      <c r="X3283" s="1030"/>
      <c r="Y3283" s="694">
        <f t="shared" si="433"/>
        <v>0</v>
      </c>
      <c r="Z3283" s="690"/>
      <c r="AA3283" s="690"/>
      <c r="AB3283" s="695">
        <f t="shared" si="434"/>
        <v>0</v>
      </c>
      <c r="AC3283" s="1035"/>
      <c r="AD3283" s="690"/>
      <c r="AE3283" s="1025"/>
      <c r="AF3283" s="1030"/>
      <c r="AG3283" s="690"/>
      <c r="AH3283" s="690"/>
      <c r="AI3283" s="696">
        <f t="shared" si="435"/>
        <v>0</v>
      </c>
      <c r="AJ3283" s="697">
        <f t="shared" si="436"/>
        <v>0</v>
      </c>
    </row>
    <row r="3284" spans="1:36" s="700" customFormat="1" ht="12.75" customHeight="1">
      <c r="A3284" s="908" t="s">
        <v>217</v>
      </c>
      <c r="B3284" s="908" t="s">
        <v>392</v>
      </c>
      <c r="C3284" s="1009" t="s">
        <v>1863</v>
      </c>
      <c r="D3284" s="1009"/>
      <c r="E3284" s="1004">
        <v>237701</v>
      </c>
      <c r="F3284" s="1005">
        <v>7</v>
      </c>
      <c r="G3284" s="1025">
        <v>4076858</v>
      </c>
      <c r="H3284" s="1001">
        <f>4211706-207500</f>
        <v>4004206</v>
      </c>
      <c r="I3284" s="1030"/>
      <c r="J3284" s="690"/>
      <c r="K3284" s="1030"/>
      <c r="L3284" s="690"/>
      <c r="M3284" s="1025">
        <v>5284522</v>
      </c>
      <c r="N3284" s="1030">
        <v>84730</v>
      </c>
      <c r="O3284" s="692">
        <f t="shared" si="429"/>
        <v>5369252</v>
      </c>
      <c r="P3284" s="690">
        <v>5284442</v>
      </c>
      <c r="Q3284" s="690">
        <v>84810</v>
      </c>
      <c r="R3284" s="691">
        <f t="shared" si="430"/>
        <v>5369252</v>
      </c>
      <c r="S3284" s="692">
        <f t="shared" si="431"/>
        <v>9361380</v>
      </c>
      <c r="T3284" s="693">
        <f t="shared" si="432"/>
        <v>9288648</v>
      </c>
      <c r="U3284" s="1035"/>
      <c r="V3284" s="690"/>
      <c r="W3284" s="1025"/>
      <c r="X3284" s="1030"/>
      <c r="Y3284" s="694">
        <f t="shared" si="433"/>
        <v>0</v>
      </c>
      <c r="Z3284" s="690"/>
      <c r="AA3284" s="690"/>
      <c r="AB3284" s="695">
        <f t="shared" si="434"/>
        <v>0</v>
      </c>
      <c r="AC3284" s="1035"/>
      <c r="AD3284" s="690"/>
      <c r="AE3284" s="1025"/>
      <c r="AF3284" s="1030"/>
      <c r="AG3284" s="690"/>
      <c r="AH3284" s="690"/>
      <c r="AI3284" s="696">
        <f t="shared" si="435"/>
        <v>9361380</v>
      </c>
      <c r="AJ3284" s="697">
        <f t="shared" si="436"/>
        <v>9288648</v>
      </c>
    </row>
    <row r="3285" spans="1:36" s="700" customFormat="1" ht="12.75" customHeight="1">
      <c r="A3285" s="908" t="s">
        <v>217</v>
      </c>
      <c r="B3285" s="908" t="s">
        <v>400</v>
      </c>
      <c r="C3285" s="913" t="s">
        <v>1418</v>
      </c>
      <c r="D3285" s="913"/>
      <c r="E3285" s="1003">
        <v>237701</v>
      </c>
      <c r="F3285" s="1005">
        <v>7</v>
      </c>
      <c r="G3285" s="1025"/>
      <c r="H3285" s="1001"/>
      <c r="I3285" s="1030">
        <v>207500</v>
      </c>
      <c r="J3285" s="690">
        <v>207500</v>
      </c>
      <c r="K3285" s="1030"/>
      <c r="L3285" s="690"/>
      <c r="M3285" s="1025"/>
      <c r="N3285" s="1030"/>
      <c r="O3285" s="692">
        <f t="shared" si="429"/>
        <v>0</v>
      </c>
      <c r="P3285" s="690"/>
      <c r="Q3285" s="690"/>
      <c r="R3285" s="691">
        <f t="shared" si="430"/>
        <v>0</v>
      </c>
      <c r="S3285" s="692">
        <f t="shared" si="431"/>
        <v>207500</v>
      </c>
      <c r="T3285" s="693">
        <f t="shared" si="432"/>
        <v>207500</v>
      </c>
      <c r="U3285" s="1035"/>
      <c r="V3285" s="690"/>
      <c r="W3285" s="1025"/>
      <c r="X3285" s="1030"/>
      <c r="Y3285" s="694">
        <f t="shared" si="433"/>
        <v>0</v>
      </c>
      <c r="Z3285" s="690"/>
      <c r="AA3285" s="690"/>
      <c r="AB3285" s="695">
        <f t="shared" si="434"/>
        <v>0</v>
      </c>
      <c r="AC3285" s="1035"/>
      <c r="AD3285" s="690"/>
      <c r="AE3285" s="1025"/>
      <c r="AF3285" s="1030"/>
      <c r="AG3285" s="690"/>
      <c r="AH3285" s="690"/>
      <c r="AI3285" s="696">
        <f t="shared" si="435"/>
        <v>207500</v>
      </c>
      <c r="AJ3285" s="697">
        <f t="shared" si="436"/>
        <v>207500</v>
      </c>
    </row>
    <row r="3286" spans="1:36" s="700" customFormat="1" ht="12.75" customHeight="1">
      <c r="A3286" s="908" t="s">
        <v>217</v>
      </c>
      <c r="B3286" s="908" t="s">
        <v>392</v>
      </c>
      <c r="C3286" s="1007" t="s">
        <v>1864</v>
      </c>
      <c r="D3286" s="1007"/>
      <c r="E3286" s="1003">
        <v>237686</v>
      </c>
      <c r="F3286" s="911">
        <v>7</v>
      </c>
      <c r="G3286" s="1025">
        <v>9059602</v>
      </c>
      <c r="H3286" s="1001">
        <v>8942043</v>
      </c>
      <c r="I3286" s="1030"/>
      <c r="J3286" s="690"/>
      <c r="K3286" s="1030"/>
      <c r="L3286" s="690"/>
      <c r="M3286" s="1025">
        <v>9080905</v>
      </c>
      <c r="N3286" s="1030">
        <v>127095</v>
      </c>
      <c r="O3286" s="692">
        <f t="shared" si="429"/>
        <v>9208000</v>
      </c>
      <c r="P3286" s="690">
        <v>9080785</v>
      </c>
      <c r="Q3286" s="690">
        <v>127215</v>
      </c>
      <c r="R3286" s="691">
        <f t="shared" si="430"/>
        <v>9208000</v>
      </c>
      <c r="S3286" s="692">
        <f t="shared" si="431"/>
        <v>18140507</v>
      </c>
      <c r="T3286" s="693">
        <f t="shared" si="432"/>
        <v>18022828</v>
      </c>
      <c r="U3286" s="1035"/>
      <c r="V3286" s="690"/>
      <c r="W3286" s="1025"/>
      <c r="X3286" s="1030"/>
      <c r="Y3286" s="694">
        <f t="shared" si="433"/>
        <v>0</v>
      </c>
      <c r="Z3286" s="690"/>
      <c r="AA3286" s="690"/>
      <c r="AB3286" s="695">
        <f t="shared" si="434"/>
        <v>0</v>
      </c>
      <c r="AC3286" s="1035"/>
      <c r="AD3286" s="690"/>
      <c r="AE3286" s="1025"/>
      <c r="AF3286" s="1030"/>
      <c r="AG3286" s="690"/>
      <c r="AH3286" s="690"/>
      <c r="AI3286" s="696">
        <f t="shared" si="435"/>
        <v>18140507</v>
      </c>
      <c r="AJ3286" s="697">
        <f t="shared" si="436"/>
        <v>18022828</v>
      </c>
    </row>
    <row r="3287" spans="1:36" s="700" customFormat="1" ht="12.75" customHeight="1">
      <c r="A3287" s="908" t="s">
        <v>217</v>
      </c>
      <c r="B3287" s="908" t="s">
        <v>400</v>
      </c>
      <c r="C3287" s="913" t="s">
        <v>1418</v>
      </c>
      <c r="D3287" s="913"/>
      <c r="E3287" s="1003">
        <v>237686</v>
      </c>
      <c r="F3287" s="911">
        <v>7</v>
      </c>
      <c r="G3287" s="1025"/>
      <c r="H3287" s="1001"/>
      <c r="I3287" s="1030"/>
      <c r="J3287" s="690"/>
      <c r="K3287" s="1030"/>
      <c r="L3287" s="690"/>
      <c r="M3287" s="1025"/>
      <c r="N3287" s="1030"/>
      <c r="O3287" s="692">
        <f t="shared" si="429"/>
        <v>0</v>
      </c>
      <c r="P3287" s="690"/>
      <c r="Q3287" s="690"/>
      <c r="R3287" s="691">
        <f t="shared" si="430"/>
        <v>0</v>
      </c>
      <c r="S3287" s="692">
        <f t="shared" si="431"/>
        <v>0</v>
      </c>
      <c r="T3287" s="693">
        <f t="shared" si="432"/>
        <v>0</v>
      </c>
      <c r="U3287" s="1035"/>
      <c r="V3287" s="690"/>
      <c r="W3287" s="1025"/>
      <c r="X3287" s="1030"/>
      <c r="Y3287" s="694">
        <f t="shared" si="433"/>
        <v>0</v>
      </c>
      <c r="Z3287" s="690"/>
      <c r="AA3287" s="690"/>
      <c r="AB3287" s="695">
        <f t="shared" si="434"/>
        <v>0</v>
      </c>
      <c r="AC3287" s="1035"/>
      <c r="AD3287" s="690"/>
      <c r="AE3287" s="1025"/>
      <c r="AF3287" s="1030"/>
      <c r="AG3287" s="690"/>
      <c r="AH3287" s="690"/>
      <c r="AI3287" s="696">
        <f t="shared" si="435"/>
        <v>0</v>
      </c>
      <c r="AJ3287" s="697">
        <f t="shared" si="436"/>
        <v>0</v>
      </c>
    </row>
    <row r="3288" spans="1:36" s="700" customFormat="1" ht="12.75" customHeight="1">
      <c r="A3288" s="908" t="s">
        <v>217</v>
      </c>
      <c r="B3288" s="908" t="s">
        <v>392</v>
      </c>
      <c r="C3288" s="1007" t="s">
        <v>1865</v>
      </c>
      <c r="D3288" s="1007"/>
      <c r="E3288" s="1003">
        <v>445674</v>
      </c>
      <c r="F3288" s="911">
        <v>10</v>
      </c>
      <c r="G3288" s="1025">
        <v>3644960</v>
      </c>
      <c r="H3288" s="1001">
        <v>3607883</v>
      </c>
      <c r="I3288" s="1030"/>
      <c r="J3288" s="690"/>
      <c r="K3288" s="1030"/>
      <c r="L3288" s="690"/>
      <c r="M3288" s="1025">
        <v>2033326</v>
      </c>
      <c r="N3288" s="1030">
        <v>73635</v>
      </c>
      <c r="O3288" s="692">
        <f t="shared" si="429"/>
        <v>2106961</v>
      </c>
      <c r="P3288" s="690">
        <v>1926701</v>
      </c>
      <c r="Q3288" s="690">
        <v>72805</v>
      </c>
      <c r="R3288" s="691">
        <f t="shared" si="430"/>
        <v>1999506</v>
      </c>
      <c r="S3288" s="692">
        <f t="shared" si="431"/>
        <v>5678286</v>
      </c>
      <c r="T3288" s="693">
        <f t="shared" si="432"/>
        <v>5534584</v>
      </c>
      <c r="U3288" s="1035"/>
      <c r="V3288" s="690"/>
      <c r="W3288" s="1025"/>
      <c r="X3288" s="1030"/>
      <c r="Y3288" s="694">
        <f t="shared" si="433"/>
        <v>0</v>
      </c>
      <c r="Z3288" s="690"/>
      <c r="AA3288" s="690"/>
      <c r="AB3288" s="695">
        <f t="shared" si="434"/>
        <v>0</v>
      </c>
      <c r="AC3288" s="1035"/>
      <c r="AD3288" s="690"/>
      <c r="AE3288" s="1025"/>
      <c r="AF3288" s="1030"/>
      <c r="AG3288" s="690"/>
      <c r="AH3288" s="690"/>
      <c r="AI3288" s="696">
        <f t="shared" si="435"/>
        <v>5678286</v>
      </c>
      <c r="AJ3288" s="697">
        <f t="shared" si="436"/>
        <v>5534584</v>
      </c>
    </row>
    <row r="3289" spans="1:36" s="700" customFormat="1" ht="12.75" customHeight="1">
      <c r="A3289" s="908" t="s">
        <v>217</v>
      </c>
      <c r="B3289" s="908" t="s">
        <v>400</v>
      </c>
      <c r="C3289" s="913" t="s">
        <v>1418</v>
      </c>
      <c r="D3289" s="913"/>
      <c r="E3289" s="1003">
        <v>445674</v>
      </c>
      <c r="F3289" s="911">
        <v>10</v>
      </c>
      <c r="G3289" s="1025"/>
      <c r="H3289" s="1001"/>
      <c r="I3289" s="1030"/>
      <c r="J3289" s="690"/>
      <c r="K3289" s="1030"/>
      <c r="L3289" s="690"/>
      <c r="M3289" s="1025"/>
      <c r="N3289" s="1030"/>
      <c r="O3289" s="692">
        <f t="shared" si="429"/>
        <v>0</v>
      </c>
      <c r="P3289" s="690"/>
      <c r="Q3289" s="690"/>
      <c r="R3289" s="691">
        <f t="shared" si="430"/>
        <v>0</v>
      </c>
      <c r="S3289" s="692">
        <f t="shared" si="431"/>
        <v>0</v>
      </c>
      <c r="T3289" s="693">
        <f t="shared" si="432"/>
        <v>0</v>
      </c>
      <c r="U3289" s="1035"/>
      <c r="V3289" s="690"/>
      <c r="W3289" s="1025"/>
      <c r="X3289" s="1030"/>
      <c r="Y3289" s="694">
        <f t="shared" si="433"/>
        <v>0</v>
      </c>
      <c r="Z3289" s="690"/>
      <c r="AA3289" s="690"/>
      <c r="AB3289" s="695">
        <f t="shared" si="434"/>
        <v>0</v>
      </c>
      <c r="AC3289" s="1035"/>
      <c r="AD3289" s="690"/>
      <c r="AE3289" s="1025"/>
      <c r="AF3289" s="1030"/>
      <c r="AG3289" s="690"/>
      <c r="AH3289" s="690"/>
      <c r="AI3289" s="696">
        <f t="shared" si="435"/>
        <v>0</v>
      </c>
      <c r="AJ3289" s="697">
        <f t="shared" si="436"/>
        <v>0</v>
      </c>
    </row>
    <row r="3290" spans="1:36" s="700" customFormat="1" ht="12.75" customHeight="1">
      <c r="A3290" s="908" t="s">
        <v>217</v>
      </c>
      <c r="B3290" s="908" t="s">
        <v>400</v>
      </c>
      <c r="C3290" s="1008" t="s">
        <v>1866</v>
      </c>
      <c r="D3290" s="1008"/>
      <c r="E3290" s="1003">
        <v>445674</v>
      </c>
      <c r="F3290" s="911">
        <v>10</v>
      </c>
      <c r="G3290" s="1025"/>
      <c r="H3290" s="1001"/>
      <c r="I3290" s="1030"/>
      <c r="J3290" s="690"/>
      <c r="K3290" s="1030"/>
      <c r="L3290" s="690"/>
      <c r="M3290" s="1025"/>
      <c r="N3290" s="1030"/>
      <c r="O3290" s="692">
        <f t="shared" si="429"/>
        <v>0</v>
      </c>
      <c r="P3290" s="690"/>
      <c r="Q3290" s="690"/>
      <c r="R3290" s="691">
        <f t="shared" si="430"/>
        <v>0</v>
      </c>
      <c r="S3290" s="692">
        <f t="shared" si="431"/>
        <v>0</v>
      </c>
      <c r="T3290" s="693">
        <f t="shared" si="432"/>
        <v>0</v>
      </c>
      <c r="U3290" s="1035"/>
      <c r="V3290" s="690"/>
      <c r="W3290" s="1025"/>
      <c r="X3290" s="1030"/>
      <c r="Y3290" s="694">
        <f t="shared" si="433"/>
        <v>0</v>
      </c>
      <c r="Z3290" s="690"/>
      <c r="AA3290" s="690"/>
      <c r="AB3290" s="695">
        <f t="shared" si="434"/>
        <v>0</v>
      </c>
      <c r="AC3290" s="1035"/>
      <c r="AD3290" s="690"/>
      <c r="AE3290" s="1025"/>
      <c r="AF3290" s="1030"/>
      <c r="AG3290" s="690"/>
      <c r="AH3290" s="690"/>
      <c r="AI3290" s="696">
        <f t="shared" si="435"/>
        <v>0</v>
      </c>
      <c r="AJ3290" s="697">
        <f t="shared" si="436"/>
        <v>0</v>
      </c>
    </row>
    <row r="3291" spans="1:36" s="700" customFormat="1" ht="12.75" customHeight="1">
      <c r="A3291" s="908" t="s">
        <v>217</v>
      </c>
      <c r="B3291" s="908" t="s">
        <v>392</v>
      </c>
      <c r="C3291" s="909" t="s">
        <v>1867</v>
      </c>
      <c r="D3291" s="909"/>
      <c r="E3291" s="1003">
        <v>446774</v>
      </c>
      <c r="F3291" s="911">
        <v>10</v>
      </c>
      <c r="G3291" s="1025">
        <v>2761141</v>
      </c>
      <c r="H3291" s="1001">
        <v>2737641</v>
      </c>
      <c r="I3291" s="1030"/>
      <c r="J3291" s="690"/>
      <c r="K3291" s="1030"/>
      <c r="L3291" s="690"/>
      <c r="M3291" s="1025">
        <v>5137649</v>
      </c>
      <c r="N3291" s="1030">
        <v>122434</v>
      </c>
      <c r="O3291" s="692">
        <f t="shared" si="429"/>
        <v>5260083</v>
      </c>
      <c r="P3291" s="690">
        <v>5139029</v>
      </c>
      <c r="Q3291" s="690">
        <v>121054</v>
      </c>
      <c r="R3291" s="691">
        <f t="shared" si="430"/>
        <v>5260083</v>
      </c>
      <c r="S3291" s="692">
        <f t="shared" si="431"/>
        <v>7898790</v>
      </c>
      <c r="T3291" s="693">
        <f t="shared" si="432"/>
        <v>7876670</v>
      </c>
      <c r="U3291" s="1035"/>
      <c r="V3291" s="690"/>
      <c r="W3291" s="1025"/>
      <c r="X3291" s="1030"/>
      <c r="Y3291" s="694">
        <f t="shared" si="433"/>
        <v>0</v>
      </c>
      <c r="Z3291" s="690"/>
      <c r="AA3291" s="690"/>
      <c r="AB3291" s="695">
        <f t="shared" si="434"/>
        <v>0</v>
      </c>
      <c r="AC3291" s="1035"/>
      <c r="AD3291" s="690"/>
      <c r="AE3291" s="1025"/>
      <c r="AF3291" s="1030"/>
      <c r="AG3291" s="690"/>
      <c r="AH3291" s="690"/>
      <c r="AI3291" s="696">
        <f t="shared" si="435"/>
        <v>7898790</v>
      </c>
      <c r="AJ3291" s="697">
        <f t="shared" si="436"/>
        <v>7876670</v>
      </c>
    </row>
    <row r="3292" spans="1:36" s="700" customFormat="1" ht="12.75" customHeight="1">
      <c r="A3292" s="908" t="s">
        <v>217</v>
      </c>
      <c r="B3292" s="908" t="s">
        <v>400</v>
      </c>
      <c r="C3292" s="913" t="s">
        <v>1418</v>
      </c>
      <c r="D3292" s="913"/>
      <c r="E3292" s="1003">
        <v>446774</v>
      </c>
      <c r="F3292" s="911">
        <v>10</v>
      </c>
      <c r="G3292" s="1025"/>
      <c r="H3292" s="1001"/>
      <c r="I3292" s="1030"/>
      <c r="J3292" s="690"/>
      <c r="K3292" s="1030"/>
      <c r="L3292" s="690"/>
      <c r="M3292" s="1025"/>
      <c r="N3292" s="1030"/>
      <c r="O3292" s="692">
        <f t="shared" si="429"/>
        <v>0</v>
      </c>
      <c r="P3292" s="690"/>
      <c r="Q3292" s="690"/>
      <c r="R3292" s="691">
        <f t="shared" si="430"/>
        <v>0</v>
      </c>
      <c r="S3292" s="692">
        <f t="shared" si="431"/>
        <v>0</v>
      </c>
      <c r="T3292" s="693">
        <f t="shared" si="432"/>
        <v>0</v>
      </c>
      <c r="U3292" s="1035"/>
      <c r="V3292" s="690"/>
      <c r="W3292" s="1025"/>
      <c r="X3292" s="1030"/>
      <c r="Y3292" s="694">
        <f t="shared" si="433"/>
        <v>0</v>
      </c>
      <c r="Z3292" s="690"/>
      <c r="AA3292" s="690"/>
      <c r="AB3292" s="695">
        <f t="shared" si="434"/>
        <v>0</v>
      </c>
      <c r="AC3292" s="1035"/>
      <c r="AD3292" s="690"/>
      <c r="AE3292" s="1025"/>
      <c r="AF3292" s="1030"/>
      <c r="AG3292" s="690"/>
      <c r="AH3292" s="690"/>
      <c r="AI3292" s="696">
        <f t="shared" si="435"/>
        <v>0</v>
      </c>
      <c r="AJ3292" s="697">
        <f t="shared" si="436"/>
        <v>0</v>
      </c>
    </row>
    <row r="3293" spans="1:36" s="700" customFormat="1" ht="12.75" customHeight="1">
      <c r="A3293" s="908" t="s">
        <v>217</v>
      </c>
      <c r="B3293" s="908" t="s">
        <v>400</v>
      </c>
      <c r="C3293" s="1008" t="s">
        <v>1866</v>
      </c>
      <c r="D3293" s="1008"/>
      <c r="E3293" s="1003">
        <v>446774</v>
      </c>
      <c r="F3293" s="911">
        <v>10</v>
      </c>
      <c r="G3293" s="1025"/>
      <c r="H3293" s="1001"/>
      <c r="I3293" s="1030"/>
      <c r="J3293" s="690"/>
      <c r="K3293" s="1030"/>
      <c r="L3293" s="690"/>
      <c r="M3293" s="1025"/>
      <c r="N3293" s="1030"/>
      <c r="O3293" s="692">
        <f t="shared" si="429"/>
        <v>0</v>
      </c>
      <c r="P3293" s="690"/>
      <c r="Q3293" s="690"/>
      <c r="R3293" s="691">
        <f t="shared" si="430"/>
        <v>0</v>
      </c>
      <c r="S3293" s="692">
        <f t="shared" si="431"/>
        <v>0</v>
      </c>
      <c r="T3293" s="693">
        <f t="shared" si="432"/>
        <v>0</v>
      </c>
      <c r="U3293" s="1035"/>
      <c r="V3293" s="690"/>
      <c r="W3293" s="1025"/>
      <c r="X3293" s="1030"/>
      <c r="Y3293" s="694">
        <f t="shared" si="433"/>
        <v>0</v>
      </c>
      <c r="Z3293" s="690"/>
      <c r="AA3293" s="690"/>
      <c r="AB3293" s="695">
        <f t="shared" si="434"/>
        <v>0</v>
      </c>
      <c r="AC3293" s="1035"/>
      <c r="AD3293" s="690"/>
      <c r="AE3293" s="1025"/>
      <c r="AF3293" s="1030"/>
      <c r="AG3293" s="690"/>
      <c r="AH3293" s="690"/>
      <c r="AI3293" s="696">
        <f t="shared" si="435"/>
        <v>0</v>
      </c>
      <c r="AJ3293" s="697">
        <f t="shared" si="436"/>
        <v>0</v>
      </c>
    </row>
    <row r="3294" spans="1:36" s="700" customFormat="1" ht="12.75" customHeight="1">
      <c r="A3294" s="908" t="s">
        <v>217</v>
      </c>
      <c r="B3294" s="908" t="s">
        <v>392</v>
      </c>
      <c r="C3294" s="1007" t="s">
        <v>1868</v>
      </c>
      <c r="D3294" s="1007"/>
      <c r="E3294" s="1003">
        <v>438708</v>
      </c>
      <c r="F3294" s="911">
        <v>10</v>
      </c>
      <c r="G3294" s="1025">
        <v>1925638</v>
      </c>
      <c r="H3294" s="1001">
        <v>1906570</v>
      </c>
      <c r="I3294" s="1030"/>
      <c r="J3294" s="690"/>
      <c r="K3294" s="1030"/>
      <c r="L3294" s="690"/>
      <c r="M3294" s="1025">
        <v>534228</v>
      </c>
      <c r="N3294" s="1030"/>
      <c r="O3294" s="692">
        <f t="shared" si="429"/>
        <v>534228</v>
      </c>
      <c r="P3294" s="690">
        <v>534228</v>
      </c>
      <c r="Q3294" s="690"/>
      <c r="R3294" s="691">
        <f t="shared" si="430"/>
        <v>534228</v>
      </c>
      <c r="S3294" s="692">
        <f t="shared" si="431"/>
        <v>2459866</v>
      </c>
      <c r="T3294" s="693">
        <f t="shared" si="432"/>
        <v>2440798</v>
      </c>
      <c r="U3294" s="1035"/>
      <c r="V3294" s="690"/>
      <c r="W3294" s="1025"/>
      <c r="X3294" s="1030"/>
      <c r="Y3294" s="694">
        <f t="shared" si="433"/>
        <v>0</v>
      </c>
      <c r="Z3294" s="690"/>
      <c r="AA3294" s="690"/>
      <c r="AB3294" s="695">
        <f t="shared" si="434"/>
        <v>0</v>
      </c>
      <c r="AC3294" s="1035"/>
      <c r="AD3294" s="690"/>
      <c r="AE3294" s="1025"/>
      <c r="AF3294" s="1030"/>
      <c r="AG3294" s="690"/>
      <c r="AH3294" s="690"/>
      <c r="AI3294" s="696">
        <f t="shared" si="435"/>
        <v>2459866</v>
      </c>
      <c r="AJ3294" s="697">
        <f t="shared" si="436"/>
        <v>2440798</v>
      </c>
    </row>
    <row r="3295" spans="1:36" s="700" customFormat="1" ht="12.75" customHeight="1">
      <c r="A3295" s="908" t="s">
        <v>217</v>
      </c>
      <c r="B3295" s="908" t="s">
        <v>400</v>
      </c>
      <c r="C3295" s="913" t="s">
        <v>1418</v>
      </c>
      <c r="D3295" s="913"/>
      <c r="E3295" s="1003">
        <v>438708</v>
      </c>
      <c r="F3295" s="911">
        <v>10</v>
      </c>
      <c r="G3295" s="1025"/>
      <c r="H3295" s="1001"/>
      <c r="I3295" s="1030"/>
      <c r="J3295" s="690"/>
      <c r="K3295" s="1030"/>
      <c r="L3295" s="690"/>
      <c r="M3295" s="1025"/>
      <c r="N3295" s="1030"/>
      <c r="O3295" s="692">
        <f t="shared" si="429"/>
        <v>0</v>
      </c>
      <c r="P3295" s="690"/>
      <c r="Q3295" s="690"/>
      <c r="R3295" s="691">
        <f t="shared" si="430"/>
        <v>0</v>
      </c>
      <c r="S3295" s="692">
        <f t="shared" si="431"/>
        <v>0</v>
      </c>
      <c r="T3295" s="693">
        <f t="shared" si="432"/>
        <v>0</v>
      </c>
      <c r="U3295" s="1035"/>
      <c r="V3295" s="690"/>
      <c r="W3295" s="1025"/>
      <c r="X3295" s="1030"/>
      <c r="Y3295" s="694">
        <f t="shared" si="433"/>
        <v>0</v>
      </c>
      <c r="Z3295" s="690"/>
      <c r="AA3295" s="690"/>
      <c r="AB3295" s="695">
        <f t="shared" si="434"/>
        <v>0</v>
      </c>
      <c r="AC3295" s="1035"/>
      <c r="AD3295" s="690"/>
      <c r="AE3295" s="1025"/>
      <c r="AF3295" s="1030"/>
      <c r="AG3295" s="690"/>
      <c r="AH3295" s="690"/>
      <c r="AI3295" s="696">
        <f t="shared" si="435"/>
        <v>0</v>
      </c>
      <c r="AJ3295" s="697">
        <f t="shared" si="436"/>
        <v>0</v>
      </c>
    </row>
    <row r="3296" spans="1:36" s="700" customFormat="1" ht="12.75" customHeight="1">
      <c r="A3296" s="908" t="s">
        <v>217</v>
      </c>
      <c r="B3296" s="908" t="s">
        <v>392</v>
      </c>
      <c r="C3296" s="914" t="s">
        <v>1988</v>
      </c>
      <c r="D3296" s="1104" t="s">
        <v>1989</v>
      </c>
      <c r="E3296" s="1003">
        <v>444954</v>
      </c>
      <c r="F3296" s="911">
        <v>10</v>
      </c>
      <c r="G3296" s="1025">
        <v>5515026</v>
      </c>
      <c r="H3296" s="1001">
        <v>5464151</v>
      </c>
      <c r="I3296" s="1030"/>
      <c r="J3296" s="690"/>
      <c r="K3296" s="1030"/>
      <c r="L3296" s="690"/>
      <c r="M3296" s="1025">
        <v>6922460</v>
      </c>
      <c r="N3296" s="1030">
        <v>434791</v>
      </c>
      <c r="O3296" s="692">
        <f t="shared" si="429"/>
        <v>7357251</v>
      </c>
      <c r="P3296" s="690">
        <v>6922395</v>
      </c>
      <c r="Q3296" s="690">
        <v>434856</v>
      </c>
      <c r="R3296" s="691">
        <f t="shared" si="430"/>
        <v>7357251</v>
      </c>
      <c r="S3296" s="692">
        <f t="shared" si="431"/>
        <v>12437486</v>
      </c>
      <c r="T3296" s="693">
        <f t="shared" si="432"/>
        <v>12386546</v>
      </c>
      <c r="U3296" s="1035"/>
      <c r="V3296" s="690"/>
      <c r="W3296" s="1025"/>
      <c r="X3296" s="1030"/>
      <c r="Y3296" s="694">
        <f t="shared" si="433"/>
        <v>0</v>
      </c>
      <c r="Z3296" s="690"/>
      <c r="AA3296" s="690"/>
      <c r="AB3296" s="695">
        <f t="shared" si="434"/>
        <v>0</v>
      </c>
      <c r="AC3296" s="1035"/>
      <c r="AD3296" s="690"/>
      <c r="AE3296" s="1025"/>
      <c r="AF3296" s="1030"/>
      <c r="AG3296" s="690"/>
      <c r="AH3296" s="690"/>
      <c r="AI3296" s="696">
        <f t="shared" si="435"/>
        <v>12437486</v>
      </c>
      <c r="AJ3296" s="697">
        <f t="shared" si="436"/>
        <v>12386546</v>
      </c>
    </row>
    <row r="3297" spans="1:36" s="700" customFormat="1" ht="12.75" customHeight="1">
      <c r="A3297" s="908" t="s">
        <v>217</v>
      </c>
      <c r="B3297" s="908" t="s">
        <v>400</v>
      </c>
      <c r="C3297" s="913" t="s">
        <v>1418</v>
      </c>
      <c r="D3297" s="913"/>
      <c r="E3297" s="1003">
        <v>444954</v>
      </c>
      <c r="F3297" s="911">
        <v>10</v>
      </c>
      <c r="G3297" s="1025"/>
      <c r="H3297" s="1001"/>
      <c r="I3297" s="1030"/>
      <c r="J3297" s="690"/>
      <c r="K3297" s="1030"/>
      <c r="L3297" s="690"/>
      <c r="M3297" s="1025"/>
      <c r="N3297" s="1030"/>
      <c r="O3297" s="692">
        <f t="shared" si="429"/>
        <v>0</v>
      </c>
      <c r="P3297" s="690"/>
      <c r="Q3297" s="690"/>
      <c r="R3297" s="691">
        <f t="shared" si="430"/>
        <v>0</v>
      </c>
      <c r="S3297" s="692">
        <f t="shared" si="431"/>
        <v>0</v>
      </c>
      <c r="T3297" s="693">
        <f t="shared" si="432"/>
        <v>0</v>
      </c>
      <c r="U3297" s="1035"/>
      <c r="V3297" s="690"/>
      <c r="W3297" s="1025"/>
      <c r="X3297" s="1030"/>
      <c r="Y3297" s="694">
        <f t="shared" si="433"/>
        <v>0</v>
      </c>
      <c r="Z3297" s="690"/>
      <c r="AA3297" s="690"/>
      <c r="AB3297" s="695">
        <f t="shared" si="434"/>
        <v>0</v>
      </c>
      <c r="AC3297" s="1035"/>
      <c r="AD3297" s="690"/>
      <c r="AE3297" s="1025"/>
      <c r="AF3297" s="1030"/>
      <c r="AG3297" s="690"/>
      <c r="AH3297" s="690"/>
      <c r="AI3297" s="696">
        <f t="shared" si="435"/>
        <v>0</v>
      </c>
      <c r="AJ3297" s="697">
        <f t="shared" si="436"/>
        <v>0</v>
      </c>
    </row>
    <row r="3298" spans="1:36" s="700" customFormat="1" ht="12.75" customHeight="1">
      <c r="A3298" s="908" t="s">
        <v>217</v>
      </c>
      <c r="B3298" s="908" t="s">
        <v>392</v>
      </c>
      <c r="C3298" s="914" t="s">
        <v>1869</v>
      </c>
      <c r="D3298" s="1104" t="s">
        <v>1990</v>
      </c>
      <c r="E3298" s="1003">
        <v>447582</v>
      </c>
      <c r="F3298" s="911">
        <v>10</v>
      </c>
      <c r="G3298" s="1025">
        <v>5297821</v>
      </c>
      <c r="H3298" s="1001">
        <v>5248676</v>
      </c>
      <c r="I3298" s="1030"/>
      <c r="J3298" s="690"/>
      <c r="K3298" s="1030"/>
      <c r="L3298" s="690"/>
      <c r="M3298" s="1025">
        <v>7388903</v>
      </c>
      <c r="N3298" s="1030">
        <v>22697</v>
      </c>
      <c r="O3298" s="692">
        <f t="shared" si="429"/>
        <v>7411600</v>
      </c>
      <c r="P3298" s="690">
        <v>7389158</v>
      </c>
      <c r="Q3298" s="690">
        <v>22442</v>
      </c>
      <c r="R3298" s="691">
        <f t="shared" si="430"/>
        <v>7411600</v>
      </c>
      <c r="S3298" s="692">
        <f t="shared" si="431"/>
        <v>12686724</v>
      </c>
      <c r="T3298" s="693">
        <f t="shared" si="432"/>
        <v>12637834</v>
      </c>
      <c r="U3298" s="1035"/>
      <c r="V3298" s="690"/>
      <c r="W3298" s="1025"/>
      <c r="X3298" s="1030"/>
      <c r="Y3298" s="694">
        <f t="shared" si="433"/>
        <v>0</v>
      </c>
      <c r="Z3298" s="690"/>
      <c r="AA3298" s="690"/>
      <c r="AB3298" s="695">
        <f t="shared" si="434"/>
        <v>0</v>
      </c>
      <c r="AC3298" s="1035"/>
      <c r="AD3298" s="690"/>
      <c r="AE3298" s="1025"/>
      <c r="AF3298" s="1030"/>
      <c r="AG3298" s="690"/>
      <c r="AH3298" s="690"/>
      <c r="AI3298" s="696">
        <f t="shared" si="435"/>
        <v>12686724</v>
      </c>
      <c r="AJ3298" s="697">
        <f t="shared" si="436"/>
        <v>12637834</v>
      </c>
    </row>
    <row r="3299" spans="1:36" s="700" customFormat="1" ht="12.75" customHeight="1">
      <c r="A3299" s="908" t="s">
        <v>217</v>
      </c>
      <c r="B3299" s="908" t="s">
        <v>400</v>
      </c>
      <c r="C3299" s="913" t="s">
        <v>1418</v>
      </c>
      <c r="D3299" s="913"/>
      <c r="E3299" s="1003">
        <v>447582</v>
      </c>
      <c r="F3299" s="911">
        <v>10</v>
      </c>
      <c r="G3299" s="1025"/>
      <c r="H3299" s="1001"/>
      <c r="I3299" s="1030"/>
      <c r="J3299" s="690"/>
      <c r="K3299" s="1030"/>
      <c r="L3299" s="690"/>
      <c r="M3299" s="1025"/>
      <c r="N3299" s="1030"/>
      <c r="O3299" s="692">
        <f t="shared" si="429"/>
        <v>0</v>
      </c>
      <c r="P3299" s="690"/>
      <c r="Q3299" s="690"/>
      <c r="R3299" s="691">
        <f t="shared" si="430"/>
        <v>0</v>
      </c>
      <c r="S3299" s="692">
        <f t="shared" si="431"/>
        <v>0</v>
      </c>
      <c r="T3299" s="693">
        <f t="shared" si="432"/>
        <v>0</v>
      </c>
      <c r="U3299" s="1035"/>
      <c r="V3299" s="690"/>
      <c r="W3299" s="1025"/>
      <c r="X3299" s="1030"/>
      <c r="Y3299" s="694">
        <f t="shared" si="433"/>
        <v>0</v>
      </c>
      <c r="Z3299" s="690"/>
      <c r="AA3299" s="690"/>
      <c r="AB3299" s="695">
        <f t="shared" si="434"/>
        <v>0</v>
      </c>
      <c r="AC3299" s="1035"/>
      <c r="AD3299" s="690"/>
      <c r="AE3299" s="1025"/>
      <c r="AF3299" s="1030"/>
      <c r="AG3299" s="690"/>
      <c r="AH3299" s="690"/>
      <c r="AI3299" s="696">
        <f t="shared" si="435"/>
        <v>0</v>
      </c>
      <c r="AJ3299" s="697">
        <f t="shared" si="436"/>
        <v>0</v>
      </c>
    </row>
    <row r="3300" spans="1:36" s="700" customFormat="1" ht="12.75" customHeight="1">
      <c r="A3300" s="908" t="s">
        <v>217</v>
      </c>
      <c r="B3300" s="908" t="s">
        <v>392</v>
      </c>
      <c r="C3300" s="1009" t="s">
        <v>1870</v>
      </c>
      <c r="D3300" s="1105" t="s">
        <v>1990</v>
      </c>
      <c r="E3300" s="1004">
        <v>443492</v>
      </c>
      <c r="F3300" s="1005">
        <v>10</v>
      </c>
      <c r="G3300" s="1025">
        <v>7769519</v>
      </c>
      <c r="H3300" s="1001">
        <v>7683748</v>
      </c>
      <c r="I3300" s="1030"/>
      <c r="J3300" s="690"/>
      <c r="K3300" s="1030"/>
      <c r="L3300" s="690"/>
      <c r="M3300" s="1025">
        <v>8016696</v>
      </c>
      <c r="N3300" s="1030"/>
      <c r="O3300" s="692">
        <f t="shared" si="429"/>
        <v>8016696</v>
      </c>
      <c r="P3300" s="690">
        <v>8016696</v>
      </c>
      <c r="Q3300" s="690"/>
      <c r="R3300" s="691">
        <f t="shared" si="430"/>
        <v>8016696</v>
      </c>
      <c r="S3300" s="692">
        <f t="shared" si="431"/>
        <v>15786215</v>
      </c>
      <c r="T3300" s="693">
        <f t="shared" si="432"/>
        <v>15700444</v>
      </c>
      <c r="U3300" s="1035"/>
      <c r="V3300" s="690"/>
      <c r="W3300" s="1025"/>
      <c r="X3300" s="1030"/>
      <c r="Y3300" s="694">
        <f t="shared" si="433"/>
        <v>0</v>
      </c>
      <c r="Z3300" s="690"/>
      <c r="AA3300" s="690"/>
      <c r="AB3300" s="695">
        <f t="shared" si="434"/>
        <v>0</v>
      </c>
      <c r="AC3300" s="1035"/>
      <c r="AD3300" s="690"/>
      <c r="AE3300" s="1025"/>
      <c r="AF3300" s="1030"/>
      <c r="AG3300" s="690"/>
      <c r="AH3300" s="690"/>
      <c r="AI3300" s="696">
        <f t="shared" si="435"/>
        <v>15786215</v>
      </c>
      <c r="AJ3300" s="697">
        <f t="shared" si="436"/>
        <v>15700444</v>
      </c>
    </row>
    <row r="3301" spans="1:36" s="700" customFormat="1" ht="12.75" customHeight="1">
      <c r="A3301" s="908" t="s">
        <v>217</v>
      </c>
      <c r="B3301" s="908" t="s">
        <v>400</v>
      </c>
      <c r="C3301" s="913" t="s">
        <v>1418</v>
      </c>
      <c r="D3301" s="913"/>
      <c r="E3301" s="1003">
        <v>443492</v>
      </c>
      <c r="F3301" s="1005">
        <v>10</v>
      </c>
      <c r="G3301" s="1025"/>
      <c r="H3301" s="1001"/>
      <c r="I3301" s="1030"/>
      <c r="J3301" s="690"/>
      <c r="K3301" s="1030"/>
      <c r="L3301" s="690"/>
      <c r="M3301" s="1025"/>
      <c r="N3301" s="1030"/>
      <c r="O3301" s="692">
        <f t="shared" si="429"/>
        <v>0</v>
      </c>
      <c r="P3301" s="690"/>
      <c r="Q3301" s="690"/>
      <c r="R3301" s="691">
        <f t="shared" si="430"/>
        <v>0</v>
      </c>
      <c r="S3301" s="692">
        <f t="shared" si="431"/>
        <v>0</v>
      </c>
      <c r="T3301" s="693">
        <f t="shared" si="432"/>
        <v>0</v>
      </c>
      <c r="U3301" s="1035"/>
      <c r="V3301" s="690"/>
      <c r="W3301" s="1025"/>
      <c r="X3301" s="1030"/>
      <c r="Y3301" s="694">
        <f t="shared" si="433"/>
        <v>0</v>
      </c>
      <c r="Z3301" s="690"/>
      <c r="AA3301" s="690"/>
      <c r="AB3301" s="695">
        <f t="shared" si="434"/>
        <v>0</v>
      </c>
      <c r="AC3301" s="1035"/>
      <c r="AD3301" s="690"/>
      <c r="AE3301" s="1025"/>
      <c r="AF3301" s="1030"/>
      <c r="AG3301" s="690"/>
      <c r="AH3301" s="690"/>
      <c r="AI3301" s="696">
        <f t="shared" si="435"/>
        <v>0</v>
      </c>
      <c r="AJ3301" s="697">
        <f t="shared" si="436"/>
        <v>0</v>
      </c>
    </row>
    <row r="3302" spans="1:36" s="700" customFormat="1" ht="12.75" customHeight="1">
      <c r="A3302" s="908" t="s">
        <v>217</v>
      </c>
      <c r="B3302" s="908" t="s">
        <v>392</v>
      </c>
      <c r="C3302" s="1007" t="s">
        <v>1871</v>
      </c>
      <c r="D3302" s="1007"/>
      <c r="E3302" s="1003">
        <v>237817</v>
      </c>
      <c r="F3302" s="911">
        <v>10</v>
      </c>
      <c r="G3302" s="1025">
        <v>8064346</v>
      </c>
      <c r="H3302" s="1001">
        <v>7985386</v>
      </c>
      <c r="I3302" s="1030"/>
      <c r="J3302" s="690"/>
      <c r="K3302" s="1030"/>
      <c r="L3302" s="690"/>
      <c r="M3302" s="1025">
        <v>5044352</v>
      </c>
      <c r="N3302" s="1030"/>
      <c r="O3302" s="692">
        <f t="shared" si="429"/>
        <v>5044352</v>
      </c>
      <c r="P3302" s="690">
        <v>5044352</v>
      </c>
      <c r="Q3302" s="690"/>
      <c r="R3302" s="691">
        <f t="shared" si="430"/>
        <v>5044352</v>
      </c>
      <c r="S3302" s="692">
        <f t="shared" si="431"/>
        <v>13108698</v>
      </c>
      <c r="T3302" s="693">
        <f t="shared" si="432"/>
        <v>13029738</v>
      </c>
      <c r="U3302" s="1035"/>
      <c r="V3302" s="690"/>
      <c r="W3302" s="1025"/>
      <c r="X3302" s="1030"/>
      <c r="Y3302" s="694">
        <f t="shared" si="433"/>
        <v>0</v>
      </c>
      <c r="Z3302" s="690"/>
      <c r="AA3302" s="690"/>
      <c r="AB3302" s="695">
        <f t="shared" si="434"/>
        <v>0</v>
      </c>
      <c r="AC3302" s="1035"/>
      <c r="AD3302" s="690"/>
      <c r="AE3302" s="1025"/>
      <c r="AF3302" s="1030"/>
      <c r="AG3302" s="690"/>
      <c r="AH3302" s="690"/>
      <c r="AI3302" s="696">
        <f t="shared" si="435"/>
        <v>13108698</v>
      </c>
      <c r="AJ3302" s="697">
        <f t="shared" si="436"/>
        <v>13029738</v>
      </c>
    </row>
    <row r="3303" spans="1:36" s="700" customFormat="1" ht="12.75" customHeight="1">
      <c r="A3303" s="908" t="s">
        <v>217</v>
      </c>
      <c r="B3303" s="908" t="s">
        <v>400</v>
      </c>
      <c r="C3303" s="913" t="s">
        <v>1418</v>
      </c>
      <c r="D3303" s="913"/>
      <c r="E3303" s="1003">
        <v>237817</v>
      </c>
      <c r="F3303" s="911">
        <v>10</v>
      </c>
      <c r="G3303" s="1025"/>
      <c r="H3303" s="1001"/>
      <c r="I3303" s="1030"/>
      <c r="J3303" s="690">
        <v>400000</v>
      </c>
      <c r="K3303" s="1030"/>
      <c r="L3303" s="690"/>
      <c r="M3303" s="1025"/>
      <c r="N3303" s="1030"/>
      <c r="O3303" s="692">
        <f t="shared" si="429"/>
        <v>0</v>
      </c>
      <c r="P3303" s="690"/>
      <c r="Q3303" s="690"/>
      <c r="R3303" s="691">
        <f t="shared" si="430"/>
        <v>0</v>
      </c>
      <c r="S3303" s="692">
        <f t="shared" si="431"/>
        <v>0</v>
      </c>
      <c r="T3303" s="693">
        <f t="shared" si="432"/>
        <v>400000</v>
      </c>
      <c r="U3303" s="1035"/>
      <c r="V3303" s="690"/>
      <c r="W3303" s="1025"/>
      <c r="X3303" s="1030"/>
      <c r="Y3303" s="694">
        <f t="shared" si="433"/>
        <v>0</v>
      </c>
      <c r="Z3303" s="690"/>
      <c r="AA3303" s="690"/>
      <c r="AB3303" s="695">
        <f t="shared" si="434"/>
        <v>0</v>
      </c>
      <c r="AC3303" s="1035"/>
      <c r="AD3303" s="690"/>
      <c r="AE3303" s="1025"/>
      <c r="AF3303" s="1030"/>
      <c r="AG3303" s="690"/>
      <c r="AH3303" s="690"/>
      <c r="AI3303" s="696">
        <f t="shared" si="435"/>
        <v>0</v>
      </c>
      <c r="AJ3303" s="697">
        <f t="shared" si="436"/>
        <v>400000</v>
      </c>
    </row>
    <row r="3304" spans="1:36" s="700" customFormat="1" ht="12.75" customHeight="1">
      <c r="A3304" s="908" t="s">
        <v>217</v>
      </c>
      <c r="B3304" s="908" t="s">
        <v>392</v>
      </c>
      <c r="C3304" s="914" t="s">
        <v>1872</v>
      </c>
      <c r="D3304" s="1104" t="s">
        <v>1991</v>
      </c>
      <c r="E3304" s="1003">
        <v>238014</v>
      </c>
      <c r="F3304" s="911">
        <v>10</v>
      </c>
      <c r="G3304" s="1025">
        <v>7185176</v>
      </c>
      <c r="H3304" s="1001">
        <v>7120613</v>
      </c>
      <c r="I3304" s="1030"/>
      <c r="J3304" s="690"/>
      <c r="K3304" s="1030"/>
      <c r="L3304" s="690"/>
      <c r="M3304" s="1025">
        <v>6553444</v>
      </c>
      <c r="N3304" s="1030">
        <v>33044</v>
      </c>
      <c r="O3304" s="692">
        <f t="shared" si="429"/>
        <v>6586488</v>
      </c>
      <c r="P3304" s="690">
        <v>6553817</v>
      </c>
      <c r="Q3304" s="690">
        <v>32671</v>
      </c>
      <c r="R3304" s="691">
        <f t="shared" si="430"/>
        <v>6586488</v>
      </c>
      <c r="S3304" s="692">
        <f t="shared" si="431"/>
        <v>13738620</v>
      </c>
      <c r="T3304" s="693">
        <f t="shared" si="432"/>
        <v>13674430</v>
      </c>
      <c r="U3304" s="1035"/>
      <c r="V3304" s="690"/>
      <c r="W3304" s="1025"/>
      <c r="X3304" s="1030"/>
      <c r="Y3304" s="694">
        <f t="shared" si="433"/>
        <v>0</v>
      </c>
      <c r="Z3304" s="690"/>
      <c r="AA3304" s="690"/>
      <c r="AB3304" s="695">
        <f t="shared" si="434"/>
        <v>0</v>
      </c>
      <c r="AC3304" s="1035"/>
      <c r="AD3304" s="690"/>
      <c r="AE3304" s="1025"/>
      <c r="AF3304" s="1030"/>
      <c r="AG3304" s="690"/>
      <c r="AH3304" s="690"/>
      <c r="AI3304" s="696">
        <f t="shared" si="435"/>
        <v>13738620</v>
      </c>
      <c r="AJ3304" s="697">
        <f t="shared" si="436"/>
        <v>13674430</v>
      </c>
    </row>
    <row r="3305" spans="1:36" s="700" customFormat="1" ht="12.75" customHeight="1">
      <c r="A3305" s="908" t="s">
        <v>217</v>
      </c>
      <c r="B3305" s="908" t="s">
        <v>400</v>
      </c>
      <c r="C3305" s="913" t="s">
        <v>1418</v>
      </c>
      <c r="D3305" s="913"/>
      <c r="E3305" s="1003">
        <v>238014</v>
      </c>
      <c r="F3305" s="911">
        <v>10</v>
      </c>
      <c r="G3305" s="1025"/>
      <c r="H3305" s="1001" t="s">
        <v>131</v>
      </c>
      <c r="I3305" s="1030"/>
      <c r="J3305" s="690"/>
      <c r="K3305" s="1030"/>
      <c r="L3305" s="690"/>
      <c r="M3305" s="1025"/>
      <c r="N3305" s="1030"/>
      <c r="O3305" s="692">
        <f t="shared" si="429"/>
        <v>0</v>
      </c>
      <c r="P3305" s="690"/>
      <c r="Q3305" s="690"/>
      <c r="R3305" s="691">
        <f t="shared" si="430"/>
        <v>0</v>
      </c>
      <c r="S3305" s="692">
        <f t="shared" si="431"/>
        <v>0</v>
      </c>
      <c r="T3305" s="693">
        <f t="shared" si="432"/>
        <v>0</v>
      </c>
      <c r="U3305" s="1035"/>
      <c r="V3305" s="690"/>
      <c r="W3305" s="1025"/>
      <c r="X3305" s="1030"/>
      <c r="Y3305" s="694">
        <f t="shared" si="433"/>
        <v>0</v>
      </c>
      <c r="Z3305" s="690"/>
      <c r="AA3305" s="690"/>
      <c r="AB3305" s="695">
        <f t="shared" si="434"/>
        <v>0</v>
      </c>
      <c r="AC3305" s="1035"/>
      <c r="AD3305" s="690"/>
      <c r="AE3305" s="1025"/>
      <c r="AF3305" s="1030"/>
      <c r="AG3305" s="690"/>
      <c r="AH3305" s="690"/>
      <c r="AI3305" s="696">
        <f t="shared" si="435"/>
        <v>0</v>
      </c>
      <c r="AJ3305" s="697">
        <f t="shared" si="436"/>
        <v>0</v>
      </c>
    </row>
    <row r="3306" spans="1:36" s="700" customFormat="1" ht="12.75" customHeight="1">
      <c r="A3306" s="908" t="s">
        <v>217</v>
      </c>
      <c r="B3306" s="908" t="s">
        <v>392</v>
      </c>
      <c r="C3306" s="914" t="s">
        <v>1873</v>
      </c>
      <c r="D3306" s="914"/>
      <c r="E3306" s="1003">
        <v>237899</v>
      </c>
      <c r="F3306" s="911">
        <v>10</v>
      </c>
      <c r="G3306" s="1025">
        <v>3776404</v>
      </c>
      <c r="H3306" s="1001">
        <v>3737641</v>
      </c>
      <c r="I3306" s="1030"/>
      <c r="J3306" s="690"/>
      <c r="K3306" s="1030"/>
      <c r="L3306" s="690"/>
      <c r="M3306" s="1025">
        <v>3427262</v>
      </c>
      <c r="N3306" s="1030">
        <v>122333</v>
      </c>
      <c r="O3306" s="692">
        <f t="shared" si="429"/>
        <v>3549595</v>
      </c>
      <c r="P3306" s="690">
        <v>3428641</v>
      </c>
      <c r="Q3306" s="690">
        <v>120954</v>
      </c>
      <c r="R3306" s="691">
        <f t="shared" si="430"/>
        <v>3549595</v>
      </c>
      <c r="S3306" s="692">
        <f t="shared" si="431"/>
        <v>7203666</v>
      </c>
      <c r="T3306" s="693">
        <f t="shared" si="432"/>
        <v>7166282</v>
      </c>
      <c r="U3306" s="1035"/>
      <c r="V3306" s="690"/>
      <c r="W3306" s="1025"/>
      <c r="X3306" s="1030"/>
      <c r="Y3306" s="694">
        <f t="shared" si="433"/>
        <v>0</v>
      </c>
      <c r="Z3306" s="690"/>
      <c r="AA3306" s="690"/>
      <c r="AB3306" s="695">
        <f t="shared" si="434"/>
        <v>0</v>
      </c>
      <c r="AC3306" s="1035"/>
      <c r="AD3306" s="690"/>
      <c r="AE3306" s="1025"/>
      <c r="AF3306" s="1030"/>
      <c r="AG3306" s="690"/>
      <c r="AH3306" s="690"/>
      <c r="AI3306" s="696">
        <f t="shared" si="435"/>
        <v>7203666</v>
      </c>
      <c r="AJ3306" s="697">
        <f t="shared" si="436"/>
        <v>7166282</v>
      </c>
    </row>
    <row r="3307" spans="1:36" s="700" customFormat="1" ht="12.75" customHeight="1">
      <c r="A3307" s="908" t="s">
        <v>217</v>
      </c>
      <c r="B3307" s="908" t="s">
        <v>400</v>
      </c>
      <c r="C3307" s="913" t="s">
        <v>1418</v>
      </c>
      <c r="D3307" s="913"/>
      <c r="E3307" s="1003">
        <v>237899</v>
      </c>
      <c r="F3307" s="911">
        <v>10</v>
      </c>
      <c r="G3307" s="1025"/>
      <c r="H3307" s="1001"/>
      <c r="I3307" s="1030"/>
      <c r="J3307" s="690"/>
      <c r="K3307" s="1030"/>
      <c r="L3307" s="690"/>
      <c r="M3307" s="1025"/>
      <c r="N3307" s="1030"/>
      <c r="O3307" s="692">
        <f t="shared" si="429"/>
        <v>0</v>
      </c>
      <c r="P3307" s="690"/>
      <c r="Q3307" s="690"/>
      <c r="R3307" s="691">
        <f t="shared" si="430"/>
        <v>0</v>
      </c>
      <c r="S3307" s="692">
        <f t="shared" si="431"/>
        <v>0</v>
      </c>
      <c r="T3307" s="693">
        <f t="shared" si="432"/>
        <v>0</v>
      </c>
      <c r="U3307" s="1035"/>
      <c r="V3307" s="690"/>
      <c r="W3307" s="1025"/>
      <c r="X3307" s="1030"/>
      <c r="Y3307" s="694">
        <f t="shared" si="433"/>
        <v>0</v>
      </c>
      <c r="Z3307" s="690"/>
      <c r="AA3307" s="690"/>
      <c r="AB3307" s="695">
        <f t="shared" si="434"/>
        <v>0</v>
      </c>
      <c r="AC3307" s="1035"/>
      <c r="AD3307" s="690"/>
      <c r="AE3307" s="1025"/>
      <c r="AF3307" s="1030"/>
      <c r="AG3307" s="690"/>
      <c r="AH3307" s="690"/>
      <c r="AI3307" s="696">
        <f t="shared" si="435"/>
        <v>0</v>
      </c>
      <c r="AJ3307" s="697">
        <f t="shared" si="436"/>
        <v>0</v>
      </c>
    </row>
    <row r="3308" spans="1:36" s="700" customFormat="1" ht="12.75" customHeight="1">
      <c r="A3308" s="908" t="s">
        <v>217</v>
      </c>
      <c r="B3308" s="908" t="s">
        <v>429</v>
      </c>
      <c r="C3308" s="1007" t="s">
        <v>1874</v>
      </c>
      <c r="D3308" s="1007"/>
      <c r="E3308" s="1003">
        <v>237880</v>
      </c>
      <c r="F3308" s="911">
        <v>15</v>
      </c>
      <c r="G3308" s="1025"/>
      <c r="H3308" s="1001" t="s">
        <v>131</v>
      </c>
      <c r="I3308" s="1030"/>
      <c r="J3308" s="690"/>
      <c r="K3308" s="1030"/>
      <c r="L3308" s="690"/>
      <c r="M3308" s="1025"/>
      <c r="N3308" s="1030"/>
      <c r="O3308" s="692">
        <f t="shared" si="429"/>
        <v>0</v>
      </c>
      <c r="P3308" s="690"/>
      <c r="Q3308" s="690"/>
      <c r="R3308" s="691">
        <f t="shared" si="430"/>
        <v>0</v>
      </c>
      <c r="S3308" s="692">
        <f t="shared" si="431"/>
        <v>0</v>
      </c>
      <c r="T3308" s="693">
        <f t="shared" si="432"/>
        <v>0</v>
      </c>
      <c r="U3308" s="1035"/>
      <c r="V3308" s="690"/>
      <c r="W3308" s="1025"/>
      <c r="X3308" s="1030"/>
      <c r="Y3308" s="694">
        <f t="shared" si="433"/>
        <v>0</v>
      </c>
      <c r="Z3308" s="690"/>
      <c r="AA3308" s="690"/>
      <c r="AB3308" s="695">
        <f t="shared" si="434"/>
        <v>0</v>
      </c>
      <c r="AC3308" s="1035">
        <v>7049430</v>
      </c>
      <c r="AD3308" s="690">
        <v>6901010</v>
      </c>
      <c r="AE3308" s="1025">
        <v>31963161</v>
      </c>
      <c r="AF3308" s="1030" t="s">
        <v>131</v>
      </c>
      <c r="AG3308" s="690">
        <v>31963161</v>
      </c>
      <c r="AH3308" s="690"/>
      <c r="AI3308" s="696">
        <f t="shared" si="435"/>
        <v>39012591</v>
      </c>
      <c r="AJ3308" s="697">
        <f t="shared" si="436"/>
        <v>38864171</v>
      </c>
    </row>
    <row r="3309" spans="1:36" s="700" customFormat="1" ht="12.75" customHeight="1">
      <c r="A3309" s="908" t="s">
        <v>217</v>
      </c>
      <c r="B3309" s="908" t="s">
        <v>400</v>
      </c>
      <c r="C3309" s="913" t="s">
        <v>1418</v>
      </c>
      <c r="D3309" s="913"/>
      <c r="E3309" s="1003">
        <v>237880</v>
      </c>
      <c r="F3309" s="911">
        <v>15</v>
      </c>
      <c r="G3309" s="1025"/>
      <c r="H3309" s="1001"/>
      <c r="I3309" s="1030"/>
      <c r="J3309" s="690"/>
      <c r="K3309" s="1030"/>
      <c r="L3309" s="690"/>
      <c r="M3309" s="1025"/>
      <c r="N3309" s="1030"/>
      <c r="O3309" s="692">
        <f t="shared" si="429"/>
        <v>0</v>
      </c>
      <c r="P3309" s="690"/>
      <c r="Q3309" s="690"/>
      <c r="R3309" s="691">
        <f t="shared" si="430"/>
        <v>0</v>
      </c>
      <c r="S3309" s="692">
        <f t="shared" si="431"/>
        <v>0</v>
      </c>
      <c r="T3309" s="693">
        <f t="shared" si="432"/>
        <v>0</v>
      </c>
      <c r="U3309" s="1035"/>
      <c r="V3309" s="690"/>
      <c r="W3309" s="1025"/>
      <c r="X3309" s="1030"/>
      <c r="Y3309" s="694">
        <f t="shared" si="433"/>
        <v>0</v>
      </c>
      <c r="Z3309" s="690"/>
      <c r="AA3309" s="690"/>
      <c r="AB3309" s="695">
        <f t="shared" si="434"/>
        <v>0</v>
      </c>
      <c r="AC3309" s="1035" t="s">
        <v>131</v>
      </c>
      <c r="AD3309" s="690"/>
      <c r="AE3309" s="1025"/>
      <c r="AF3309" s="1030"/>
      <c r="AG3309" s="690"/>
      <c r="AH3309" s="690"/>
      <c r="AI3309" s="696">
        <f t="shared" si="435"/>
        <v>0</v>
      </c>
      <c r="AJ3309" s="697">
        <f t="shared" si="436"/>
        <v>0</v>
      </c>
    </row>
    <row r="3310" spans="1:36" s="700" customFormat="1" ht="12.75" customHeight="1">
      <c r="A3310" s="908" t="s">
        <v>217</v>
      </c>
      <c r="B3310" s="908" t="s">
        <v>400</v>
      </c>
      <c r="C3310" s="912" t="s">
        <v>1840</v>
      </c>
      <c r="D3310" s="912"/>
      <c r="E3310" s="1003">
        <v>237880</v>
      </c>
      <c r="F3310" s="911">
        <v>15</v>
      </c>
      <c r="G3310" s="1025"/>
      <c r="H3310" s="1001"/>
      <c r="I3310" s="1030"/>
      <c r="J3310" s="690"/>
      <c r="K3310" s="1030"/>
      <c r="L3310" s="690"/>
      <c r="M3310" s="1025"/>
      <c r="N3310" s="1030"/>
      <c r="O3310" s="692">
        <f t="shared" si="429"/>
        <v>0</v>
      </c>
      <c r="P3310" s="690"/>
      <c r="Q3310" s="690"/>
      <c r="R3310" s="691">
        <f t="shared" si="430"/>
        <v>0</v>
      </c>
      <c r="S3310" s="692">
        <f t="shared" si="431"/>
        <v>0</v>
      </c>
      <c r="T3310" s="693">
        <f t="shared" si="432"/>
        <v>0</v>
      </c>
      <c r="U3310" s="1035"/>
      <c r="V3310" s="690"/>
      <c r="W3310" s="1025"/>
      <c r="X3310" s="1030"/>
      <c r="Y3310" s="694">
        <f t="shared" si="433"/>
        <v>0</v>
      </c>
      <c r="Z3310" s="690"/>
      <c r="AA3310" s="690"/>
      <c r="AB3310" s="695">
        <f t="shared" si="434"/>
        <v>0</v>
      </c>
      <c r="AC3310" s="1035">
        <v>168841</v>
      </c>
      <c r="AD3310" s="690">
        <v>160236</v>
      </c>
      <c r="AE3310" s="1025"/>
      <c r="AF3310" s="1030"/>
      <c r="AG3310" s="690"/>
      <c r="AH3310" s="690"/>
      <c r="AI3310" s="696">
        <f t="shared" si="435"/>
        <v>168841</v>
      </c>
      <c r="AJ3310" s="697">
        <f t="shared" si="436"/>
        <v>160236</v>
      </c>
    </row>
    <row r="3311" spans="1:36" s="700" customFormat="1" ht="12.75" customHeight="1">
      <c r="A3311" s="908" t="s">
        <v>217</v>
      </c>
      <c r="B3311" s="908" t="s">
        <v>401</v>
      </c>
      <c r="C3311" s="915" t="s">
        <v>838</v>
      </c>
      <c r="D3311" s="915"/>
      <c r="E3311" s="1010"/>
      <c r="F3311" s="911"/>
      <c r="G3311" s="1025"/>
      <c r="H3311" s="1001"/>
      <c r="I3311" s="1030"/>
      <c r="J3311" s="690"/>
      <c r="K3311" s="1030"/>
      <c r="L3311" s="690"/>
      <c r="M3311" s="1025"/>
      <c r="N3311" s="1030"/>
      <c r="O3311" s="692">
        <f t="shared" si="429"/>
        <v>0</v>
      </c>
      <c r="P3311" s="690"/>
      <c r="Q3311" s="690"/>
      <c r="R3311" s="691">
        <f t="shared" si="430"/>
        <v>0</v>
      </c>
      <c r="S3311" s="692">
        <f t="shared" si="431"/>
        <v>0</v>
      </c>
      <c r="T3311" s="693">
        <f t="shared" si="432"/>
        <v>0</v>
      </c>
      <c r="U3311" s="1035"/>
      <c r="V3311" s="690"/>
      <c r="W3311" s="1025"/>
      <c r="X3311" s="1030"/>
      <c r="Y3311" s="694">
        <f t="shared" si="433"/>
        <v>0</v>
      </c>
      <c r="Z3311" s="690"/>
      <c r="AA3311" s="690"/>
      <c r="AB3311" s="695">
        <f t="shared" si="434"/>
        <v>0</v>
      </c>
      <c r="AC3311" s="1035"/>
      <c r="AD3311" s="690"/>
      <c r="AE3311" s="1025"/>
      <c r="AF3311" s="1030"/>
      <c r="AG3311" s="690"/>
      <c r="AH3311" s="690"/>
      <c r="AI3311" s="696">
        <f t="shared" si="435"/>
        <v>0</v>
      </c>
      <c r="AJ3311" s="697">
        <f t="shared" si="436"/>
        <v>0</v>
      </c>
    </row>
    <row r="3312" spans="1:36" s="700" customFormat="1" ht="12.75" customHeight="1">
      <c r="A3312" s="908" t="s">
        <v>217</v>
      </c>
      <c r="B3312" s="908" t="s">
        <v>402</v>
      </c>
      <c r="C3312" s="913" t="s">
        <v>451</v>
      </c>
      <c r="D3312" s="913"/>
      <c r="E3312" s="1010"/>
      <c r="F3312" s="911"/>
      <c r="G3312" s="1025"/>
      <c r="H3312" s="1001"/>
      <c r="I3312" s="1030"/>
      <c r="J3312" s="690"/>
      <c r="K3312" s="1030"/>
      <c r="L3312" s="690"/>
      <c r="M3312" s="1025"/>
      <c r="N3312" s="1030"/>
      <c r="O3312" s="692">
        <f t="shared" si="429"/>
        <v>0</v>
      </c>
      <c r="P3312" s="690"/>
      <c r="Q3312" s="690"/>
      <c r="R3312" s="691">
        <f t="shared" si="430"/>
        <v>0</v>
      </c>
      <c r="S3312" s="692">
        <f t="shared" si="431"/>
        <v>0</v>
      </c>
      <c r="T3312" s="693">
        <f t="shared" si="432"/>
        <v>0</v>
      </c>
      <c r="U3312" s="1035"/>
      <c r="V3312" s="690"/>
      <c r="W3312" s="1025"/>
      <c r="X3312" s="1030"/>
      <c r="Y3312" s="694">
        <f t="shared" si="433"/>
        <v>0</v>
      </c>
      <c r="Z3312" s="690"/>
      <c r="AA3312" s="690"/>
      <c r="AB3312" s="695">
        <f t="shared" si="434"/>
        <v>0</v>
      </c>
      <c r="AC3312" s="1035"/>
      <c r="AD3312" s="690"/>
      <c r="AE3312" s="1025"/>
      <c r="AF3312" s="1030"/>
      <c r="AG3312" s="690"/>
      <c r="AH3312" s="690"/>
      <c r="AI3312" s="696">
        <f t="shared" si="435"/>
        <v>0</v>
      </c>
      <c r="AJ3312" s="697">
        <f t="shared" si="436"/>
        <v>0</v>
      </c>
    </row>
    <row r="3313" spans="1:36" s="700" customFormat="1" ht="12.75" customHeight="1">
      <c r="A3313" s="908" t="s">
        <v>217</v>
      </c>
      <c r="B3313" s="908" t="s">
        <v>402</v>
      </c>
      <c r="C3313" s="912" t="s">
        <v>1875</v>
      </c>
      <c r="D3313" s="912"/>
      <c r="E3313" s="1010"/>
      <c r="F3313" s="911"/>
      <c r="G3313" s="1025"/>
      <c r="H3313" s="1001"/>
      <c r="I3313" s="1030"/>
      <c r="J3313" s="690"/>
      <c r="K3313" s="1030"/>
      <c r="L3313" s="690"/>
      <c r="M3313" s="1025"/>
      <c r="N3313" s="1030"/>
      <c r="O3313" s="692">
        <f t="shared" si="429"/>
        <v>0</v>
      </c>
      <c r="P3313" s="690"/>
      <c r="Q3313" s="690"/>
      <c r="R3313" s="691">
        <f t="shared" si="430"/>
        <v>0</v>
      </c>
      <c r="S3313" s="692">
        <f t="shared" si="431"/>
        <v>0</v>
      </c>
      <c r="T3313" s="693">
        <f t="shared" si="432"/>
        <v>0</v>
      </c>
      <c r="U3313" s="1035">
        <v>2826131</v>
      </c>
      <c r="V3313" s="690">
        <v>2612899</v>
      </c>
      <c r="W3313" s="1025"/>
      <c r="X3313" s="1030"/>
      <c r="Y3313" s="694">
        <f t="shared" si="433"/>
        <v>0</v>
      </c>
      <c r="Z3313" s="690"/>
      <c r="AA3313" s="690"/>
      <c r="AB3313" s="695">
        <f t="shared" si="434"/>
        <v>0</v>
      </c>
      <c r="AC3313" s="1035"/>
      <c r="AD3313" s="690"/>
      <c r="AE3313" s="1025"/>
      <c r="AF3313" s="1030"/>
      <c r="AG3313" s="690"/>
      <c r="AH3313" s="690"/>
      <c r="AI3313" s="696">
        <f t="shared" si="435"/>
        <v>2826131</v>
      </c>
      <c r="AJ3313" s="697">
        <f t="shared" si="436"/>
        <v>2612899</v>
      </c>
    </row>
    <row r="3314" spans="1:36" s="700" customFormat="1" ht="12.75" customHeight="1">
      <c r="A3314" s="908" t="s">
        <v>217</v>
      </c>
      <c r="B3314" s="908" t="s">
        <v>402</v>
      </c>
      <c r="C3314" s="912" t="s">
        <v>1876</v>
      </c>
      <c r="D3314" s="912"/>
      <c r="E3314" s="1010"/>
      <c r="F3314" s="911"/>
      <c r="G3314" s="1025"/>
      <c r="H3314" s="1001"/>
      <c r="I3314" s="1030"/>
      <c r="J3314" s="690"/>
      <c r="K3314" s="1030"/>
      <c r="L3314" s="690"/>
      <c r="M3314" s="1025"/>
      <c r="N3314" s="1030"/>
      <c r="O3314" s="692">
        <f t="shared" si="429"/>
        <v>0</v>
      </c>
      <c r="P3314" s="690"/>
      <c r="Q3314" s="690"/>
      <c r="R3314" s="691">
        <f t="shared" si="430"/>
        <v>0</v>
      </c>
      <c r="S3314" s="692">
        <f t="shared" si="431"/>
        <v>0</v>
      </c>
      <c r="T3314" s="693">
        <f t="shared" si="432"/>
        <v>0</v>
      </c>
      <c r="U3314" s="1035">
        <v>101727</v>
      </c>
      <c r="V3314" s="690">
        <v>96939</v>
      </c>
      <c r="W3314" s="1025"/>
      <c r="X3314" s="1030"/>
      <c r="Y3314" s="694">
        <f t="shared" si="433"/>
        <v>0</v>
      </c>
      <c r="Z3314" s="690"/>
      <c r="AA3314" s="690"/>
      <c r="AB3314" s="695">
        <f t="shared" si="434"/>
        <v>0</v>
      </c>
      <c r="AC3314" s="1035"/>
      <c r="AD3314" s="690"/>
      <c r="AE3314" s="1025"/>
      <c r="AF3314" s="1030"/>
      <c r="AG3314" s="690"/>
      <c r="AH3314" s="690"/>
      <c r="AI3314" s="696">
        <f t="shared" si="435"/>
        <v>101727</v>
      </c>
      <c r="AJ3314" s="697">
        <f t="shared" si="436"/>
        <v>96939</v>
      </c>
    </row>
    <row r="3315" spans="1:36" s="700" customFormat="1" ht="12.75" customHeight="1">
      <c r="A3315" s="908" t="s">
        <v>217</v>
      </c>
      <c r="B3315" s="908" t="s">
        <v>402</v>
      </c>
      <c r="C3315" s="912" t="s">
        <v>1877</v>
      </c>
      <c r="D3315" s="912"/>
      <c r="E3315" s="1010"/>
      <c r="F3315" s="911"/>
      <c r="G3315" s="1025"/>
      <c r="H3315" s="1001"/>
      <c r="I3315" s="1030"/>
      <c r="J3315" s="690"/>
      <c r="K3315" s="1030"/>
      <c r="L3315" s="690"/>
      <c r="M3315" s="1025"/>
      <c r="N3315" s="1030"/>
      <c r="O3315" s="692">
        <f t="shared" si="429"/>
        <v>0</v>
      </c>
      <c r="P3315" s="690"/>
      <c r="Q3315" s="690"/>
      <c r="R3315" s="691">
        <f t="shared" si="430"/>
        <v>0</v>
      </c>
      <c r="S3315" s="692">
        <f t="shared" si="431"/>
        <v>0</v>
      </c>
      <c r="T3315" s="693">
        <f t="shared" si="432"/>
        <v>0</v>
      </c>
      <c r="U3315" s="1035">
        <v>2332340</v>
      </c>
      <c r="V3315" s="690">
        <v>2383200</v>
      </c>
      <c r="W3315" s="1025"/>
      <c r="X3315" s="1030"/>
      <c r="Y3315" s="694">
        <f t="shared" si="433"/>
        <v>0</v>
      </c>
      <c r="Z3315" s="690"/>
      <c r="AA3315" s="690"/>
      <c r="AB3315" s="695">
        <f t="shared" si="434"/>
        <v>0</v>
      </c>
      <c r="AC3315" s="1035"/>
      <c r="AD3315" s="690"/>
      <c r="AE3315" s="1025"/>
      <c r="AF3315" s="1030"/>
      <c r="AG3315" s="690"/>
      <c r="AH3315" s="690"/>
      <c r="AI3315" s="696">
        <f t="shared" si="435"/>
        <v>2332340</v>
      </c>
      <c r="AJ3315" s="697">
        <f t="shared" si="436"/>
        <v>2383200</v>
      </c>
    </row>
    <row r="3316" spans="1:36" s="700" customFormat="1" ht="12.75" customHeight="1">
      <c r="A3316" s="908" t="s">
        <v>217</v>
      </c>
      <c r="B3316" s="908" t="s">
        <v>403</v>
      </c>
      <c r="C3316" s="912" t="s">
        <v>1878</v>
      </c>
      <c r="D3316" s="912"/>
      <c r="E3316" s="1010"/>
      <c r="F3316" s="911"/>
      <c r="G3316" s="1025"/>
      <c r="H3316" s="1001"/>
      <c r="I3316" s="1030"/>
      <c r="J3316" s="690"/>
      <c r="K3316" s="1030"/>
      <c r="L3316" s="690"/>
      <c r="M3316" s="1025"/>
      <c r="N3316" s="1030"/>
      <c r="O3316" s="692">
        <f t="shared" si="429"/>
        <v>0</v>
      </c>
      <c r="P3316" s="690"/>
      <c r="Q3316" s="690"/>
      <c r="R3316" s="691">
        <f t="shared" si="430"/>
        <v>0</v>
      </c>
      <c r="S3316" s="692">
        <f t="shared" si="431"/>
        <v>0</v>
      </c>
      <c r="T3316" s="693">
        <f t="shared" si="432"/>
        <v>0</v>
      </c>
      <c r="U3316" s="1035">
        <v>262713</v>
      </c>
      <c r="V3316" s="690">
        <v>249632</v>
      </c>
      <c r="W3316" s="1025"/>
      <c r="X3316" s="1030"/>
      <c r="Y3316" s="694">
        <f t="shared" si="433"/>
        <v>0</v>
      </c>
      <c r="Z3316" s="690"/>
      <c r="AA3316" s="690"/>
      <c r="AB3316" s="695">
        <f t="shared" si="434"/>
        <v>0</v>
      </c>
      <c r="AC3316" s="1035"/>
      <c r="AD3316" s="690"/>
      <c r="AE3316" s="1025"/>
      <c r="AF3316" s="1030"/>
      <c r="AG3316" s="690"/>
      <c r="AH3316" s="690"/>
      <c r="AI3316" s="696">
        <f t="shared" si="435"/>
        <v>262713</v>
      </c>
      <c r="AJ3316" s="697">
        <f t="shared" si="436"/>
        <v>249632</v>
      </c>
    </row>
    <row r="3317" spans="1:36" s="700" customFormat="1" ht="12.75" customHeight="1">
      <c r="A3317" s="908" t="s">
        <v>217</v>
      </c>
      <c r="B3317" s="908" t="s">
        <v>431</v>
      </c>
      <c r="C3317" s="915" t="s">
        <v>1518</v>
      </c>
      <c r="D3317" s="915"/>
      <c r="E3317" s="1010"/>
      <c r="F3317" s="911"/>
      <c r="G3317" s="1025"/>
      <c r="H3317" s="1001"/>
      <c r="I3317" s="1030"/>
      <c r="J3317" s="690"/>
      <c r="K3317" s="1030"/>
      <c r="L3317" s="690"/>
      <c r="M3317" s="1025"/>
      <c r="N3317" s="1030"/>
      <c r="O3317" s="692">
        <f t="shared" si="429"/>
        <v>0</v>
      </c>
      <c r="P3317" s="690"/>
      <c r="Q3317" s="690"/>
      <c r="R3317" s="691">
        <f t="shared" si="430"/>
        <v>0</v>
      </c>
      <c r="S3317" s="692">
        <f t="shared" si="431"/>
        <v>0</v>
      </c>
      <c r="T3317" s="693">
        <f t="shared" si="432"/>
        <v>0</v>
      </c>
      <c r="U3317" s="1035"/>
      <c r="V3317" s="690"/>
      <c r="W3317" s="1025"/>
      <c r="X3317" s="1030"/>
      <c r="Y3317" s="694">
        <f t="shared" si="433"/>
        <v>0</v>
      </c>
      <c r="Z3317" s="690"/>
      <c r="AA3317" s="690"/>
      <c r="AB3317" s="695">
        <f t="shared" si="434"/>
        <v>0</v>
      </c>
      <c r="AC3317" s="1035"/>
      <c r="AD3317" s="690"/>
      <c r="AE3317" s="1025"/>
      <c r="AF3317" s="1030"/>
      <c r="AG3317" s="690"/>
      <c r="AH3317" s="690"/>
      <c r="AI3317" s="696">
        <f t="shared" si="435"/>
        <v>0</v>
      </c>
      <c r="AJ3317" s="697">
        <f t="shared" si="436"/>
        <v>0</v>
      </c>
    </row>
    <row r="3318" spans="1:36" s="700" customFormat="1" ht="12.75" customHeight="1">
      <c r="A3318" s="908" t="s">
        <v>217</v>
      </c>
      <c r="B3318" s="908" t="s">
        <v>431</v>
      </c>
      <c r="C3318" s="912" t="s">
        <v>1879</v>
      </c>
      <c r="D3318" s="912"/>
      <c r="E3318" s="1010"/>
      <c r="F3318" s="911"/>
      <c r="G3318" s="1025"/>
      <c r="H3318" s="1001"/>
      <c r="I3318" s="1030">
        <v>333500</v>
      </c>
      <c r="J3318" s="690">
        <v>323500</v>
      </c>
      <c r="K3318" s="1030"/>
      <c r="L3318" s="690"/>
      <c r="M3318" s="1025"/>
      <c r="N3318" s="1030"/>
      <c r="O3318" s="692">
        <f t="shared" si="429"/>
        <v>0</v>
      </c>
      <c r="P3318" s="690"/>
      <c r="Q3318" s="690"/>
      <c r="R3318" s="691">
        <f t="shared" si="430"/>
        <v>0</v>
      </c>
      <c r="S3318" s="692">
        <f t="shared" si="431"/>
        <v>333500</v>
      </c>
      <c r="T3318" s="693">
        <f t="shared" si="432"/>
        <v>323500</v>
      </c>
      <c r="U3318" s="1035"/>
      <c r="V3318" s="690"/>
      <c r="W3318" s="1025"/>
      <c r="X3318" s="1030"/>
      <c r="Y3318" s="694">
        <f t="shared" si="433"/>
        <v>0</v>
      </c>
      <c r="Z3318" s="690"/>
      <c r="AA3318" s="690"/>
      <c r="AB3318" s="695">
        <f t="shared" si="434"/>
        <v>0</v>
      </c>
      <c r="AC3318" s="1035"/>
      <c r="AD3318" s="690"/>
      <c r="AE3318" s="1025"/>
      <c r="AF3318" s="1030"/>
      <c r="AG3318" s="690"/>
      <c r="AH3318" s="690"/>
      <c r="AI3318" s="696">
        <f t="shared" si="435"/>
        <v>333500</v>
      </c>
      <c r="AJ3318" s="697">
        <f t="shared" si="436"/>
        <v>323500</v>
      </c>
    </row>
    <row r="3319" spans="1:36" s="700" customFormat="1" ht="12.75" customHeight="1">
      <c r="A3319" s="908" t="s">
        <v>217</v>
      </c>
      <c r="B3319" s="908" t="s">
        <v>431</v>
      </c>
      <c r="C3319" s="912" t="s">
        <v>1866</v>
      </c>
      <c r="D3319" s="912"/>
      <c r="E3319" s="1010"/>
      <c r="F3319" s="911"/>
      <c r="G3319" s="1025"/>
      <c r="H3319" s="1001"/>
      <c r="I3319" s="1030"/>
      <c r="J3319" s="690"/>
      <c r="K3319" s="1030"/>
      <c r="L3319" s="690"/>
      <c r="M3319" s="1025"/>
      <c r="N3319" s="1030"/>
      <c r="O3319" s="692">
        <f t="shared" si="429"/>
        <v>0</v>
      </c>
      <c r="P3319" s="690"/>
      <c r="Q3319" s="690"/>
      <c r="R3319" s="691">
        <f t="shared" si="430"/>
        <v>0</v>
      </c>
      <c r="S3319" s="692">
        <f t="shared" si="431"/>
        <v>0</v>
      </c>
      <c r="T3319" s="693">
        <f t="shared" si="432"/>
        <v>0</v>
      </c>
      <c r="U3319" s="1035">
        <v>7220207</v>
      </c>
      <c r="V3319" s="690">
        <v>6823120</v>
      </c>
      <c r="W3319" s="1025"/>
      <c r="X3319" s="1030"/>
      <c r="Y3319" s="694">
        <f t="shared" si="433"/>
        <v>0</v>
      </c>
      <c r="Z3319" s="690"/>
      <c r="AA3319" s="690"/>
      <c r="AB3319" s="695">
        <f t="shared" si="434"/>
        <v>0</v>
      </c>
      <c r="AC3319" s="1035"/>
      <c r="AD3319" s="690"/>
      <c r="AE3319" s="1025"/>
      <c r="AF3319" s="1030"/>
      <c r="AG3319" s="690"/>
      <c r="AH3319" s="690"/>
      <c r="AI3319" s="696">
        <f t="shared" si="435"/>
        <v>7220207</v>
      </c>
      <c r="AJ3319" s="697">
        <f t="shared" si="436"/>
        <v>6823120</v>
      </c>
    </row>
    <row r="3320" spans="1:36" s="700" customFormat="1" ht="12.75" customHeight="1">
      <c r="A3320" s="908" t="s">
        <v>217</v>
      </c>
      <c r="B3320" s="908" t="s">
        <v>409</v>
      </c>
      <c r="C3320" s="915" t="s">
        <v>157</v>
      </c>
      <c r="D3320" s="915"/>
      <c r="E3320" s="1010"/>
      <c r="F3320" s="911"/>
      <c r="G3320" s="1025"/>
      <c r="H3320" s="1001"/>
      <c r="I3320" s="1030"/>
      <c r="J3320" s="690"/>
      <c r="K3320" s="1030"/>
      <c r="L3320" s="690"/>
      <c r="M3320" s="1025"/>
      <c r="N3320" s="1030"/>
      <c r="O3320" s="692">
        <f t="shared" si="429"/>
        <v>0</v>
      </c>
      <c r="P3320" s="690"/>
      <c r="Q3320" s="690"/>
      <c r="R3320" s="691">
        <f t="shared" si="430"/>
        <v>0</v>
      </c>
      <c r="S3320" s="692">
        <f t="shared" si="431"/>
        <v>0</v>
      </c>
      <c r="T3320" s="693">
        <f t="shared" si="432"/>
        <v>0</v>
      </c>
      <c r="U3320" s="1035"/>
      <c r="V3320" s="690"/>
      <c r="W3320" s="1025"/>
      <c r="X3320" s="1030"/>
      <c r="Y3320" s="694">
        <f t="shared" si="433"/>
        <v>0</v>
      </c>
      <c r="Z3320" s="690"/>
      <c r="AA3320" s="690"/>
      <c r="AB3320" s="695">
        <f t="shared" si="434"/>
        <v>0</v>
      </c>
      <c r="AC3320" s="1035"/>
      <c r="AD3320" s="690"/>
      <c r="AE3320" s="1025"/>
      <c r="AF3320" s="1030"/>
      <c r="AG3320" s="690"/>
      <c r="AH3320" s="690"/>
      <c r="AI3320" s="696">
        <f t="shared" si="435"/>
        <v>0</v>
      </c>
      <c r="AJ3320" s="697">
        <f t="shared" si="436"/>
        <v>0</v>
      </c>
    </row>
    <row r="3321" spans="1:36" s="700" customFormat="1" ht="12.75" customHeight="1">
      <c r="A3321" s="908" t="s">
        <v>217</v>
      </c>
      <c r="B3321" s="908" t="s">
        <v>410</v>
      </c>
      <c r="C3321" s="913" t="s">
        <v>200</v>
      </c>
      <c r="D3321" s="913"/>
      <c r="E3321" s="1010"/>
      <c r="F3321" s="911"/>
      <c r="G3321" s="1025"/>
      <c r="H3321" s="1001"/>
      <c r="I3321" s="1030"/>
      <c r="J3321" s="690"/>
      <c r="K3321" s="1030"/>
      <c r="L3321" s="690"/>
      <c r="M3321" s="1025"/>
      <c r="N3321" s="1030"/>
      <c r="O3321" s="692">
        <f t="shared" si="429"/>
        <v>0</v>
      </c>
      <c r="P3321" s="690"/>
      <c r="Q3321" s="690"/>
      <c r="R3321" s="691">
        <f t="shared" si="430"/>
        <v>0</v>
      </c>
      <c r="S3321" s="692">
        <f t="shared" si="431"/>
        <v>0</v>
      </c>
      <c r="T3321" s="693">
        <f t="shared" si="432"/>
        <v>0</v>
      </c>
      <c r="U3321" s="1035"/>
      <c r="V3321" s="690"/>
      <c r="W3321" s="1025"/>
      <c r="X3321" s="1030"/>
      <c r="Y3321" s="694">
        <f t="shared" si="433"/>
        <v>0</v>
      </c>
      <c r="Z3321" s="690"/>
      <c r="AA3321" s="690"/>
      <c r="AB3321" s="695">
        <f t="shared" si="434"/>
        <v>0</v>
      </c>
      <c r="AC3321" s="1035"/>
      <c r="AD3321" s="690"/>
      <c r="AE3321" s="1025"/>
      <c r="AF3321" s="1030"/>
      <c r="AG3321" s="690"/>
      <c r="AH3321" s="690"/>
      <c r="AI3321" s="696">
        <f t="shared" si="435"/>
        <v>0</v>
      </c>
      <c r="AJ3321" s="697">
        <f t="shared" si="436"/>
        <v>0</v>
      </c>
    </row>
    <row r="3322" spans="1:36" s="700" customFormat="1" ht="12.75" customHeight="1">
      <c r="A3322" s="908" t="s">
        <v>217</v>
      </c>
      <c r="B3322" s="908" t="s">
        <v>410</v>
      </c>
      <c r="C3322" s="913" t="s">
        <v>1880</v>
      </c>
      <c r="D3322" s="913"/>
      <c r="E3322" s="1010"/>
      <c r="F3322" s="911"/>
      <c r="G3322" s="1025"/>
      <c r="H3322" s="1001"/>
      <c r="I3322" s="1030"/>
      <c r="J3322" s="690"/>
      <c r="K3322" s="1030"/>
      <c r="L3322" s="690"/>
      <c r="M3322" s="1025"/>
      <c r="N3322" s="1030"/>
      <c r="O3322" s="692">
        <f t="shared" si="429"/>
        <v>0</v>
      </c>
      <c r="P3322" s="690"/>
      <c r="Q3322" s="690"/>
      <c r="R3322" s="691">
        <f t="shared" si="430"/>
        <v>0</v>
      </c>
      <c r="S3322" s="692">
        <f t="shared" si="431"/>
        <v>0</v>
      </c>
      <c r="T3322" s="693">
        <f t="shared" si="432"/>
        <v>0</v>
      </c>
      <c r="U3322" s="1035">
        <v>2127053</v>
      </c>
      <c r="V3322" s="690">
        <v>2194509</v>
      </c>
      <c r="W3322" s="1025"/>
      <c r="X3322" s="1030"/>
      <c r="Y3322" s="694">
        <f t="shared" si="433"/>
        <v>0</v>
      </c>
      <c r="Z3322" s="690"/>
      <c r="AA3322" s="690"/>
      <c r="AB3322" s="695">
        <f t="shared" si="434"/>
        <v>0</v>
      </c>
      <c r="AC3322" s="1035"/>
      <c r="AD3322" s="690"/>
      <c r="AE3322" s="1025"/>
      <c r="AF3322" s="1030"/>
      <c r="AG3322" s="690"/>
      <c r="AH3322" s="690"/>
      <c r="AI3322" s="696">
        <f t="shared" si="435"/>
        <v>2127053</v>
      </c>
      <c r="AJ3322" s="697">
        <f t="shared" si="436"/>
        <v>2194509</v>
      </c>
    </row>
    <row r="3323" spans="1:36" s="700" customFormat="1" ht="12.75" customHeight="1">
      <c r="A3323" s="908" t="s">
        <v>217</v>
      </c>
      <c r="B3323" s="908" t="s">
        <v>410</v>
      </c>
      <c r="C3323" s="913" t="s">
        <v>1881</v>
      </c>
      <c r="D3323" s="913"/>
      <c r="E3323" s="1010"/>
      <c r="F3323" s="911"/>
      <c r="G3323" s="1025"/>
      <c r="H3323" s="1001"/>
      <c r="I3323" s="1030"/>
      <c r="J3323" s="690"/>
      <c r="K3323" s="1030"/>
      <c r="L3323" s="690"/>
      <c r="M3323" s="1025"/>
      <c r="N3323" s="1030"/>
      <c r="O3323" s="692">
        <f t="shared" si="429"/>
        <v>0</v>
      </c>
      <c r="P3323" s="690"/>
      <c r="Q3323" s="690"/>
      <c r="R3323" s="691">
        <f t="shared" si="430"/>
        <v>0</v>
      </c>
      <c r="S3323" s="692">
        <f t="shared" si="431"/>
        <v>0</v>
      </c>
      <c r="T3323" s="693">
        <f t="shared" si="432"/>
        <v>0</v>
      </c>
      <c r="U3323" s="1035">
        <v>1943208</v>
      </c>
      <c r="V3323" s="690">
        <v>1914713</v>
      </c>
      <c r="W3323" s="1025"/>
      <c r="X3323" s="1030"/>
      <c r="Y3323" s="694">
        <f t="shared" si="433"/>
        <v>0</v>
      </c>
      <c r="Z3323" s="690"/>
      <c r="AA3323" s="690"/>
      <c r="AB3323" s="695">
        <f t="shared" si="434"/>
        <v>0</v>
      </c>
      <c r="AC3323" s="1035"/>
      <c r="AD3323" s="690"/>
      <c r="AE3323" s="1025"/>
      <c r="AF3323" s="1030"/>
      <c r="AG3323" s="690"/>
      <c r="AH3323" s="690"/>
      <c r="AI3323" s="696">
        <f t="shared" si="435"/>
        <v>1943208</v>
      </c>
      <c r="AJ3323" s="697">
        <f t="shared" si="436"/>
        <v>1914713</v>
      </c>
    </row>
    <row r="3324" spans="1:36" s="700" customFormat="1" ht="12.75" customHeight="1">
      <c r="A3324" s="908" t="s">
        <v>217</v>
      </c>
      <c r="B3324" s="908" t="s">
        <v>411</v>
      </c>
      <c r="C3324" s="913" t="s">
        <v>199</v>
      </c>
      <c r="D3324" s="913"/>
      <c r="E3324" s="1010"/>
      <c r="F3324" s="911"/>
      <c r="G3324" s="1025"/>
      <c r="H3324" s="1001"/>
      <c r="I3324" s="1030"/>
      <c r="J3324" s="690"/>
      <c r="K3324" s="1030"/>
      <c r="L3324" s="690"/>
      <c r="M3324" s="1025"/>
      <c r="N3324" s="1030"/>
      <c r="O3324" s="692">
        <f t="shared" si="429"/>
        <v>0</v>
      </c>
      <c r="P3324" s="690"/>
      <c r="Q3324" s="690"/>
      <c r="R3324" s="691">
        <f t="shared" si="430"/>
        <v>0</v>
      </c>
      <c r="S3324" s="692">
        <f t="shared" si="431"/>
        <v>0</v>
      </c>
      <c r="T3324" s="693">
        <f t="shared" si="432"/>
        <v>0</v>
      </c>
      <c r="U3324" s="1035"/>
      <c r="V3324" s="690"/>
      <c r="W3324" s="1025"/>
      <c r="X3324" s="1030"/>
      <c r="Y3324" s="694">
        <f t="shared" si="433"/>
        <v>0</v>
      </c>
      <c r="Z3324" s="690"/>
      <c r="AA3324" s="690"/>
      <c r="AB3324" s="695">
        <f t="shared" si="434"/>
        <v>0</v>
      </c>
      <c r="AC3324" s="1035"/>
      <c r="AD3324" s="690"/>
      <c r="AE3324" s="1025"/>
      <c r="AF3324" s="1030"/>
      <c r="AG3324" s="690"/>
      <c r="AH3324" s="690"/>
      <c r="AI3324" s="696">
        <f t="shared" si="435"/>
        <v>0</v>
      </c>
      <c r="AJ3324" s="697">
        <f t="shared" si="436"/>
        <v>0</v>
      </c>
    </row>
    <row r="3325" spans="1:36" s="700" customFormat="1" ht="12.75" customHeight="1">
      <c r="A3325" s="908" t="s">
        <v>217</v>
      </c>
      <c r="B3325" s="908" t="s">
        <v>411</v>
      </c>
      <c r="C3325" s="912" t="s">
        <v>1882</v>
      </c>
      <c r="D3325" s="912"/>
      <c r="E3325" s="1010"/>
      <c r="F3325" s="911"/>
      <c r="G3325" s="1025"/>
      <c r="H3325" s="1001"/>
      <c r="I3325" s="1030"/>
      <c r="J3325" s="690"/>
      <c r="K3325" s="1030"/>
      <c r="L3325" s="690"/>
      <c r="M3325" s="1025"/>
      <c r="N3325" s="1030"/>
      <c r="O3325" s="692">
        <f t="shared" si="429"/>
        <v>0</v>
      </c>
      <c r="P3325" s="690"/>
      <c r="Q3325" s="690"/>
      <c r="R3325" s="691">
        <f t="shared" si="430"/>
        <v>0</v>
      </c>
      <c r="S3325" s="692">
        <f t="shared" si="431"/>
        <v>0</v>
      </c>
      <c r="T3325" s="693">
        <f t="shared" si="432"/>
        <v>0</v>
      </c>
      <c r="U3325" s="1035">
        <v>844629</v>
      </c>
      <c r="V3325" s="690">
        <v>853273</v>
      </c>
      <c r="W3325" s="1025"/>
      <c r="X3325" s="1030"/>
      <c r="Y3325" s="694">
        <f t="shared" si="433"/>
        <v>0</v>
      </c>
      <c r="Z3325" s="690"/>
      <c r="AA3325" s="690"/>
      <c r="AB3325" s="695">
        <f t="shared" si="434"/>
        <v>0</v>
      </c>
      <c r="AC3325" s="1035"/>
      <c r="AD3325" s="690"/>
      <c r="AE3325" s="1025"/>
      <c r="AF3325" s="1030"/>
      <c r="AG3325" s="690"/>
      <c r="AH3325" s="690"/>
      <c r="AI3325" s="696">
        <f t="shared" si="435"/>
        <v>844629</v>
      </c>
      <c r="AJ3325" s="697">
        <f t="shared" si="436"/>
        <v>853273</v>
      </c>
    </row>
    <row r="3326" spans="1:36" s="700" customFormat="1" ht="12.75" customHeight="1">
      <c r="A3326" s="908" t="s">
        <v>217</v>
      </c>
      <c r="B3326" s="908" t="s">
        <v>412</v>
      </c>
      <c r="C3326" s="913" t="s">
        <v>198</v>
      </c>
      <c r="D3326" s="913"/>
      <c r="E3326" s="1010"/>
      <c r="F3326" s="911"/>
      <c r="G3326" s="1025"/>
      <c r="H3326" s="1001"/>
      <c r="I3326" s="1030"/>
      <c r="J3326" s="690"/>
      <c r="K3326" s="1030"/>
      <c r="L3326" s="690"/>
      <c r="M3326" s="1025"/>
      <c r="N3326" s="1030"/>
      <c r="O3326" s="692">
        <f t="shared" si="429"/>
        <v>0</v>
      </c>
      <c r="P3326" s="690"/>
      <c r="Q3326" s="690"/>
      <c r="R3326" s="691">
        <f t="shared" si="430"/>
        <v>0</v>
      </c>
      <c r="S3326" s="692">
        <f t="shared" si="431"/>
        <v>0</v>
      </c>
      <c r="T3326" s="693">
        <f t="shared" si="432"/>
        <v>0</v>
      </c>
      <c r="U3326" s="1035"/>
      <c r="V3326" s="690"/>
      <c r="W3326" s="1025"/>
      <c r="X3326" s="1030"/>
      <c r="Y3326" s="694">
        <f t="shared" si="433"/>
        <v>0</v>
      </c>
      <c r="Z3326" s="690"/>
      <c r="AA3326" s="690"/>
      <c r="AB3326" s="695">
        <f t="shared" si="434"/>
        <v>0</v>
      </c>
      <c r="AC3326" s="1035"/>
      <c r="AD3326" s="690"/>
      <c r="AE3326" s="1025"/>
      <c r="AF3326" s="1030"/>
      <c r="AG3326" s="690"/>
      <c r="AH3326" s="690"/>
      <c r="AI3326" s="696">
        <f t="shared" si="435"/>
        <v>0</v>
      </c>
      <c r="AJ3326" s="697">
        <f t="shared" si="436"/>
        <v>0</v>
      </c>
    </row>
    <row r="3327" spans="1:36" s="700" customFormat="1" ht="12.75" customHeight="1">
      <c r="A3327" s="908" t="s">
        <v>217</v>
      </c>
      <c r="B3327" s="908" t="s">
        <v>413</v>
      </c>
      <c r="C3327" s="913" t="s">
        <v>632</v>
      </c>
      <c r="D3327" s="913"/>
      <c r="E3327" s="1010"/>
      <c r="F3327" s="911"/>
      <c r="G3327" s="1025"/>
      <c r="H3327" s="1001"/>
      <c r="I3327" s="1030"/>
      <c r="J3327" s="690"/>
      <c r="K3327" s="1030"/>
      <c r="L3327" s="690"/>
      <c r="M3327" s="1025"/>
      <c r="N3327" s="1030"/>
      <c r="O3327" s="692">
        <f t="shared" si="429"/>
        <v>0</v>
      </c>
      <c r="P3327" s="690"/>
      <c r="Q3327" s="690"/>
      <c r="R3327" s="691">
        <f t="shared" si="430"/>
        <v>0</v>
      </c>
      <c r="S3327" s="692">
        <f t="shared" si="431"/>
        <v>0</v>
      </c>
      <c r="T3327" s="693">
        <f t="shared" si="432"/>
        <v>0</v>
      </c>
      <c r="U3327" s="1035">
        <v>1022813</v>
      </c>
      <c r="V3327" s="690">
        <v>1208402</v>
      </c>
      <c r="W3327" s="1025"/>
      <c r="X3327" s="1030"/>
      <c r="Y3327" s="694">
        <f t="shared" si="433"/>
        <v>0</v>
      </c>
      <c r="Z3327" s="690"/>
      <c r="AA3327" s="690"/>
      <c r="AB3327" s="695">
        <f t="shared" si="434"/>
        <v>0</v>
      </c>
      <c r="AC3327" s="1035"/>
      <c r="AD3327" s="690"/>
      <c r="AE3327" s="1025"/>
      <c r="AF3327" s="1030"/>
      <c r="AG3327" s="690"/>
      <c r="AH3327" s="690"/>
      <c r="AI3327" s="696">
        <f t="shared" si="435"/>
        <v>1022813</v>
      </c>
      <c r="AJ3327" s="697">
        <f t="shared" si="436"/>
        <v>1208402</v>
      </c>
    </row>
    <row r="3328" spans="1:36" s="700" customFormat="1" ht="12.75" customHeight="1">
      <c r="A3328" s="908" t="s">
        <v>217</v>
      </c>
      <c r="B3328" s="908" t="s">
        <v>414</v>
      </c>
      <c r="C3328" s="915" t="s">
        <v>160</v>
      </c>
      <c r="D3328" s="915"/>
      <c r="E3328" s="1010"/>
      <c r="F3328" s="911"/>
      <c r="G3328" s="1025"/>
      <c r="H3328" s="1001"/>
      <c r="I3328" s="1030"/>
      <c r="J3328" s="690"/>
      <c r="K3328" s="1030"/>
      <c r="L3328" s="690"/>
      <c r="M3328" s="1025"/>
      <c r="N3328" s="1030"/>
      <c r="O3328" s="692">
        <f t="shared" si="429"/>
        <v>0</v>
      </c>
      <c r="P3328" s="690"/>
      <c r="Q3328" s="690"/>
      <c r="R3328" s="691">
        <f t="shared" si="430"/>
        <v>0</v>
      </c>
      <c r="S3328" s="692">
        <f t="shared" si="431"/>
        <v>0</v>
      </c>
      <c r="T3328" s="693">
        <f t="shared" si="432"/>
        <v>0</v>
      </c>
      <c r="U3328" s="1035"/>
      <c r="V3328" s="690"/>
      <c r="W3328" s="1025"/>
      <c r="X3328" s="1030"/>
      <c r="Y3328" s="694">
        <f t="shared" si="433"/>
        <v>0</v>
      </c>
      <c r="Z3328" s="690"/>
      <c r="AA3328" s="690"/>
      <c r="AB3328" s="695">
        <f t="shared" si="434"/>
        <v>0</v>
      </c>
      <c r="AC3328" s="1035"/>
      <c r="AD3328" s="690"/>
      <c r="AE3328" s="1025"/>
      <c r="AF3328" s="1030"/>
      <c r="AG3328" s="690"/>
      <c r="AH3328" s="690"/>
      <c r="AI3328" s="696">
        <f t="shared" si="435"/>
        <v>0</v>
      </c>
      <c r="AJ3328" s="697">
        <f t="shared" si="436"/>
        <v>0</v>
      </c>
    </row>
    <row r="3329" spans="1:36" s="700" customFormat="1" ht="12.75" customHeight="1">
      <c r="A3329" s="908" t="s">
        <v>217</v>
      </c>
      <c r="B3329" s="908" t="s">
        <v>415</v>
      </c>
      <c r="C3329" s="915" t="s">
        <v>165</v>
      </c>
      <c r="D3329" s="915"/>
      <c r="E3329" s="1010"/>
      <c r="F3329" s="911"/>
      <c r="G3329" s="1025"/>
      <c r="H3329" s="1001"/>
      <c r="I3329" s="1030"/>
      <c r="J3329" s="690"/>
      <c r="K3329" s="1030"/>
      <c r="L3329" s="690"/>
      <c r="M3329" s="1025"/>
      <c r="N3329" s="1030"/>
      <c r="O3329" s="692">
        <f t="shared" si="429"/>
        <v>0</v>
      </c>
      <c r="P3329" s="690"/>
      <c r="Q3329" s="690"/>
      <c r="R3329" s="691">
        <f t="shared" si="430"/>
        <v>0</v>
      </c>
      <c r="S3329" s="692">
        <f t="shared" si="431"/>
        <v>0</v>
      </c>
      <c r="T3329" s="693">
        <f t="shared" si="432"/>
        <v>0</v>
      </c>
      <c r="U3329" s="1035"/>
      <c r="V3329" s="690"/>
      <c r="W3329" s="1025"/>
      <c r="X3329" s="1030"/>
      <c r="Y3329" s="694">
        <f t="shared" si="433"/>
        <v>0</v>
      </c>
      <c r="Z3329" s="690"/>
      <c r="AA3329" s="690"/>
      <c r="AB3329" s="695">
        <f t="shared" si="434"/>
        <v>0</v>
      </c>
      <c r="AC3329" s="1035"/>
      <c r="AD3329" s="690"/>
      <c r="AE3329" s="1025"/>
      <c r="AF3329" s="1030"/>
      <c r="AG3329" s="690"/>
      <c r="AH3329" s="690"/>
      <c r="AI3329" s="696">
        <f t="shared" si="435"/>
        <v>0</v>
      </c>
      <c r="AJ3329" s="697">
        <f t="shared" si="436"/>
        <v>0</v>
      </c>
    </row>
    <row r="3330" spans="1:36" s="700" customFormat="1" ht="12.75" customHeight="1">
      <c r="A3330" s="908" t="s">
        <v>217</v>
      </c>
      <c r="B3330" s="908" t="s">
        <v>416</v>
      </c>
      <c r="C3330" s="913" t="s">
        <v>166</v>
      </c>
      <c r="D3330" s="913"/>
      <c r="E3330" s="1010"/>
      <c r="F3330" s="911"/>
      <c r="G3330" s="1025"/>
      <c r="H3330" s="1001"/>
      <c r="I3330" s="1030"/>
      <c r="J3330" s="690"/>
      <c r="K3330" s="1030"/>
      <c r="L3330" s="690"/>
      <c r="M3330" s="1025"/>
      <c r="N3330" s="1030"/>
      <c r="O3330" s="692">
        <f t="shared" si="429"/>
        <v>0</v>
      </c>
      <c r="P3330" s="690"/>
      <c r="Q3330" s="690"/>
      <c r="R3330" s="691">
        <f t="shared" si="430"/>
        <v>0</v>
      </c>
      <c r="S3330" s="692">
        <f t="shared" si="431"/>
        <v>0</v>
      </c>
      <c r="T3330" s="693">
        <f t="shared" si="432"/>
        <v>0</v>
      </c>
      <c r="U3330" s="1035"/>
      <c r="V3330" s="690"/>
      <c r="W3330" s="1025"/>
      <c r="X3330" s="1030"/>
      <c r="Y3330" s="694">
        <f t="shared" si="433"/>
        <v>0</v>
      </c>
      <c r="Z3330" s="690"/>
      <c r="AA3330" s="690"/>
      <c r="AB3330" s="695">
        <f t="shared" si="434"/>
        <v>0</v>
      </c>
      <c r="AC3330" s="1035"/>
      <c r="AD3330" s="690"/>
      <c r="AE3330" s="1025"/>
      <c r="AF3330" s="1030"/>
      <c r="AG3330" s="690"/>
      <c r="AH3330" s="690"/>
      <c r="AI3330" s="696">
        <f t="shared" si="435"/>
        <v>0</v>
      </c>
      <c r="AJ3330" s="697">
        <f t="shared" si="436"/>
        <v>0</v>
      </c>
    </row>
    <row r="3331" spans="1:36" s="700" customFormat="1" ht="12.75" customHeight="1">
      <c r="A3331" s="908" t="s">
        <v>217</v>
      </c>
      <c r="B3331" s="908" t="s">
        <v>416</v>
      </c>
      <c r="C3331" s="912" t="s">
        <v>633</v>
      </c>
      <c r="D3331" s="912"/>
      <c r="E3331" s="1010"/>
      <c r="F3331" s="911"/>
      <c r="G3331" s="1025"/>
      <c r="H3331" s="1001"/>
      <c r="I3331" s="1030"/>
      <c r="J3331" s="690"/>
      <c r="K3331" s="1030"/>
      <c r="L3331" s="690"/>
      <c r="M3331" s="1025"/>
      <c r="N3331" s="1030"/>
      <c r="O3331" s="692">
        <f t="shared" si="429"/>
        <v>0</v>
      </c>
      <c r="P3331" s="690"/>
      <c r="Q3331" s="690"/>
      <c r="R3331" s="691">
        <f t="shared" si="430"/>
        <v>0</v>
      </c>
      <c r="S3331" s="692">
        <f t="shared" si="431"/>
        <v>0</v>
      </c>
      <c r="T3331" s="693">
        <f t="shared" si="432"/>
        <v>0</v>
      </c>
      <c r="U3331" s="1035">
        <v>17385</v>
      </c>
      <c r="V3331" s="690">
        <v>7655</v>
      </c>
      <c r="W3331" s="1025"/>
      <c r="X3331" s="1030"/>
      <c r="Y3331" s="694">
        <f t="shared" si="433"/>
        <v>0</v>
      </c>
      <c r="Z3331" s="690"/>
      <c r="AA3331" s="690"/>
      <c r="AB3331" s="695">
        <f t="shared" si="434"/>
        <v>0</v>
      </c>
      <c r="AC3331" s="1035"/>
      <c r="AD3331" s="690"/>
      <c r="AE3331" s="1025"/>
      <c r="AF3331" s="1030"/>
      <c r="AG3331" s="690"/>
      <c r="AH3331" s="690"/>
      <c r="AI3331" s="696">
        <f t="shared" si="435"/>
        <v>17385</v>
      </c>
      <c r="AJ3331" s="697">
        <f t="shared" si="436"/>
        <v>7655</v>
      </c>
    </row>
    <row r="3332" spans="1:36" s="700" customFormat="1" ht="12.75" customHeight="1">
      <c r="A3332" s="908" t="s">
        <v>217</v>
      </c>
      <c r="B3332" s="908" t="s">
        <v>416</v>
      </c>
      <c r="C3332" s="912" t="s">
        <v>955</v>
      </c>
      <c r="D3332" s="912"/>
      <c r="E3332" s="1010"/>
      <c r="F3332" s="911"/>
      <c r="G3332" s="1025"/>
      <c r="H3332" s="1001"/>
      <c r="I3332" s="1030"/>
      <c r="J3332" s="690"/>
      <c r="K3332" s="1030"/>
      <c r="L3332" s="690"/>
      <c r="M3332" s="1025"/>
      <c r="N3332" s="1030"/>
      <c r="O3332" s="692">
        <f t="shared" si="429"/>
        <v>0</v>
      </c>
      <c r="P3332" s="690"/>
      <c r="Q3332" s="690"/>
      <c r="R3332" s="691">
        <f t="shared" si="430"/>
        <v>0</v>
      </c>
      <c r="S3332" s="692">
        <f t="shared" si="431"/>
        <v>0</v>
      </c>
      <c r="T3332" s="693">
        <f t="shared" si="432"/>
        <v>0</v>
      </c>
      <c r="U3332" s="1035">
        <v>91440</v>
      </c>
      <c r="V3332" s="690">
        <v>40272</v>
      </c>
      <c r="W3332" s="1025"/>
      <c r="X3332" s="1030"/>
      <c r="Y3332" s="694">
        <f t="shared" si="433"/>
        <v>0</v>
      </c>
      <c r="Z3332" s="690"/>
      <c r="AA3332" s="690"/>
      <c r="AB3332" s="695">
        <f t="shared" si="434"/>
        <v>0</v>
      </c>
      <c r="AC3332" s="1035"/>
      <c r="AD3332" s="690"/>
      <c r="AE3332" s="1025"/>
      <c r="AF3332" s="1030"/>
      <c r="AG3332" s="690"/>
      <c r="AH3332" s="690"/>
      <c r="AI3332" s="696">
        <f t="shared" si="435"/>
        <v>91440</v>
      </c>
      <c r="AJ3332" s="697">
        <f t="shared" si="436"/>
        <v>40272</v>
      </c>
    </row>
    <row r="3333" spans="1:36" s="700" customFormat="1" ht="12.75" customHeight="1">
      <c r="A3333" s="908" t="s">
        <v>217</v>
      </c>
      <c r="B3333" s="908" t="s">
        <v>416</v>
      </c>
      <c r="C3333" s="912" t="s">
        <v>636</v>
      </c>
      <c r="D3333" s="912"/>
      <c r="E3333" s="1010"/>
      <c r="F3333" s="911"/>
      <c r="G3333" s="1025"/>
      <c r="H3333" s="690"/>
      <c r="I3333" s="1030"/>
      <c r="J3333" s="690"/>
      <c r="K3333" s="1030"/>
      <c r="L3333" s="690"/>
      <c r="M3333" s="1025"/>
      <c r="N3333" s="1030"/>
      <c r="O3333" s="692">
        <f t="shared" si="429"/>
        <v>0</v>
      </c>
      <c r="P3333" s="690"/>
      <c r="Q3333" s="690"/>
      <c r="R3333" s="691">
        <f t="shared" si="430"/>
        <v>0</v>
      </c>
      <c r="S3333" s="692">
        <f t="shared" si="431"/>
        <v>0</v>
      </c>
      <c r="T3333" s="693">
        <f t="shared" si="432"/>
        <v>0</v>
      </c>
      <c r="U3333" s="1035">
        <v>91922</v>
      </c>
      <c r="V3333" s="690">
        <v>69394</v>
      </c>
      <c r="W3333" s="1025"/>
      <c r="X3333" s="1030"/>
      <c r="Y3333" s="694">
        <f t="shared" si="433"/>
        <v>0</v>
      </c>
      <c r="Z3333" s="690"/>
      <c r="AA3333" s="690"/>
      <c r="AB3333" s="695">
        <f t="shared" si="434"/>
        <v>0</v>
      </c>
      <c r="AC3333" s="1035"/>
      <c r="AD3333" s="690"/>
      <c r="AE3333" s="1025"/>
      <c r="AF3333" s="1030"/>
      <c r="AG3333" s="690"/>
      <c r="AH3333" s="690"/>
      <c r="AI3333" s="696">
        <f t="shared" si="435"/>
        <v>91922</v>
      </c>
      <c r="AJ3333" s="697">
        <f t="shared" si="436"/>
        <v>69394</v>
      </c>
    </row>
    <row r="3334" spans="1:36" s="700" customFormat="1" ht="12.75" customHeight="1">
      <c r="A3334" s="908" t="s">
        <v>217</v>
      </c>
      <c r="B3334" s="908" t="s">
        <v>417</v>
      </c>
      <c r="C3334" s="913" t="s">
        <v>168</v>
      </c>
      <c r="D3334" s="913"/>
      <c r="E3334" s="1010"/>
      <c r="F3334" s="911"/>
      <c r="G3334" s="1025"/>
      <c r="H3334" s="690"/>
      <c r="I3334" s="1030"/>
      <c r="J3334" s="690"/>
      <c r="K3334" s="1030"/>
      <c r="L3334" s="690"/>
      <c r="M3334" s="1025"/>
      <c r="N3334" s="1030"/>
      <c r="O3334" s="692">
        <f t="shared" si="429"/>
        <v>0</v>
      </c>
      <c r="P3334" s="690"/>
      <c r="Q3334" s="690"/>
      <c r="R3334" s="691">
        <f t="shared" si="430"/>
        <v>0</v>
      </c>
      <c r="S3334" s="692">
        <f t="shared" si="431"/>
        <v>0</v>
      </c>
      <c r="T3334" s="693">
        <f t="shared" si="432"/>
        <v>0</v>
      </c>
      <c r="U3334" s="1035"/>
      <c r="V3334" s="690"/>
      <c r="W3334" s="1025"/>
      <c r="X3334" s="1030"/>
      <c r="Y3334" s="694">
        <f t="shared" si="433"/>
        <v>0</v>
      </c>
      <c r="Z3334" s="690"/>
      <c r="AA3334" s="690"/>
      <c r="AB3334" s="695">
        <f t="shared" si="434"/>
        <v>0</v>
      </c>
      <c r="AC3334" s="1035"/>
      <c r="AD3334" s="690"/>
      <c r="AE3334" s="1025"/>
      <c r="AF3334" s="1030"/>
      <c r="AG3334" s="690"/>
      <c r="AH3334" s="690"/>
      <c r="AI3334" s="696">
        <f t="shared" si="435"/>
        <v>0</v>
      </c>
      <c r="AJ3334" s="697">
        <f t="shared" si="436"/>
        <v>0</v>
      </c>
    </row>
    <row r="3335" spans="1:36" s="700" customFormat="1" ht="12.75" customHeight="1">
      <c r="A3335" s="908" t="s">
        <v>217</v>
      </c>
      <c r="B3335" s="908" t="s">
        <v>417</v>
      </c>
      <c r="C3335" s="912" t="s">
        <v>1550</v>
      </c>
      <c r="D3335" s="912"/>
      <c r="E3335" s="1010"/>
      <c r="F3335" s="911"/>
      <c r="G3335" s="1025"/>
      <c r="H3335" s="690"/>
      <c r="I3335" s="1030"/>
      <c r="J3335" s="690"/>
      <c r="K3335" s="1030"/>
      <c r="L3335" s="690"/>
      <c r="M3335" s="1025"/>
      <c r="N3335" s="1030"/>
      <c r="O3335" s="692">
        <f t="shared" si="429"/>
        <v>0</v>
      </c>
      <c r="P3335" s="690"/>
      <c r="Q3335" s="690"/>
      <c r="R3335" s="691">
        <f t="shared" si="430"/>
        <v>0</v>
      </c>
      <c r="S3335" s="692">
        <f t="shared" si="431"/>
        <v>0</v>
      </c>
      <c r="T3335" s="693">
        <f t="shared" si="432"/>
        <v>0</v>
      </c>
      <c r="U3335" s="1035">
        <v>480092</v>
      </c>
      <c r="V3335" s="690">
        <v>483259</v>
      </c>
      <c r="W3335" s="1025"/>
      <c r="X3335" s="1030"/>
      <c r="Y3335" s="694">
        <f t="shared" si="433"/>
        <v>0</v>
      </c>
      <c r="Z3335" s="690"/>
      <c r="AA3335" s="690"/>
      <c r="AB3335" s="695">
        <f t="shared" si="434"/>
        <v>0</v>
      </c>
      <c r="AC3335" s="1035"/>
      <c r="AD3335" s="690"/>
      <c r="AE3335" s="1025"/>
      <c r="AF3335" s="1030"/>
      <c r="AG3335" s="690"/>
      <c r="AH3335" s="690"/>
      <c r="AI3335" s="696">
        <f t="shared" si="435"/>
        <v>480092</v>
      </c>
      <c r="AJ3335" s="697">
        <f t="shared" si="436"/>
        <v>483259</v>
      </c>
    </row>
    <row r="3336" spans="1:36" s="700" customFormat="1" ht="12.75" customHeight="1">
      <c r="A3336" s="908" t="s">
        <v>217</v>
      </c>
      <c r="B3336" s="908" t="s">
        <v>417</v>
      </c>
      <c r="C3336" s="912" t="s">
        <v>1883</v>
      </c>
      <c r="D3336" s="912"/>
      <c r="E3336" s="1010"/>
      <c r="F3336" s="911"/>
      <c r="G3336" s="1025"/>
      <c r="H3336" s="690"/>
      <c r="I3336" s="1030"/>
      <c r="J3336" s="690"/>
      <c r="K3336" s="1030"/>
      <c r="L3336" s="690"/>
      <c r="M3336" s="1025"/>
      <c r="N3336" s="1030"/>
      <c r="O3336" s="692">
        <f t="shared" si="429"/>
        <v>0</v>
      </c>
      <c r="P3336" s="690"/>
      <c r="Q3336" s="690"/>
      <c r="R3336" s="691">
        <f t="shared" si="430"/>
        <v>0</v>
      </c>
      <c r="S3336" s="692">
        <f t="shared" si="431"/>
        <v>0</v>
      </c>
      <c r="T3336" s="693">
        <f t="shared" si="432"/>
        <v>0</v>
      </c>
      <c r="U3336" s="1035">
        <v>44809</v>
      </c>
      <c r="V3336" s="690">
        <v>80543</v>
      </c>
      <c r="W3336" s="1025"/>
      <c r="X3336" s="1030"/>
      <c r="Y3336" s="694">
        <f t="shared" si="433"/>
        <v>0</v>
      </c>
      <c r="Z3336" s="690"/>
      <c r="AA3336" s="690"/>
      <c r="AB3336" s="695">
        <f t="shared" si="434"/>
        <v>0</v>
      </c>
      <c r="AC3336" s="1035"/>
      <c r="AD3336" s="690"/>
      <c r="AE3336" s="1025"/>
      <c r="AF3336" s="1030"/>
      <c r="AG3336" s="690"/>
      <c r="AH3336" s="690"/>
      <c r="AI3336" s="696">
        <f t="shared" si="435"/>
        <v>44809</v>
      </c>
      <c r="AJ3336" s="697">
        <f t="shared" si="436"/>
        <v>80543</v>
      </c>
    </row>
    <row r="3337" spans="1:36" s="700" customFormat="1" ht="12.75" customHeight="1">
      <c r="A3337" s="908" t="s">
        <v>217</v>
      </c>
      <c r="B3337" s="908" t="s">
        <v>417</v>
      </c>
      <c r="C3337" s="912" t="s">
        <v>1133</v>
      </c>
      <c r="D3337" s="912"/>
      <c r="E3337" s="1010"/>
      <c r="F3337" s="911"/>
      <c r="G3337" s="1025"/>
      <c r="H3337" s="690"/>
      <c r="I3337" s="1030"/>
      <c r="J3337" s="690"/>
      <c r="K3337" s="1030"/>
      <c r="L3337" s="690"/>
      <c r="M3337" s="1025"/>
      <c r="N3337" s="1030"/>
      <c r="O3337" s="692">
        <f t="shared" si="429"/>
        <v>0</v>
      </c>
      <c r="P3337" s="690"/>
      <c r="Q3337" s="690"/>
      <c r="R3337" s="691">
        <f t="shared" si="430"/>
        <v>0</v>
      </c>
      <c r="S3337" s="692">
        <f t="shared" si="431"/>
        <v>0</v>
      </c>
      <c r="T3337" s="693">
        <f t="shared" si="432"/>
        <v>0</v>
      </c>
      <c r="U3337" s="1035">
        <v>115222</v>
      </c>
      <c r="V3337" s="690">
        <v>201358</v>
      </c>
      <c r="W3337" s="1025"/>
      <c r="X3337" s="1030"/>
      <c r="Y3337" s="694">
        <f t="shared" si="433"/>
        <v>0</v>
      </c>
      <c r="Z3337" s="690"/>
      <c r="AA3337" s="690"/>
      <c r="AB3337" s="695">
        <f t="shared" si="434"/>
        <v>0</v>
      </c>
      <c r="AC3337" s="1035"/>
      <c r="AD3337" s="690"/>
      <c r="AE3337" s="1025"/>
      <c r="AF3337" s="1030"/>
      <c r="AG3337" s="690"/>
      <c r="AH3337" s="690"/>
      <c r="AI3337" s="696">
        <f t="shared" si="435"/>
        <v>115222</v>
      </c>
      <c r="AJ3337" s="697">
        <f t="shared" si="436"/>
        <v>201358</v>
      </c>
    </row>
    <row r="3338" spans="1:36" s="700" customFormat="1" ht="12.75" customHeight="1">
      <c r="A3338" s="908" t="s">
        <v>217</v>
      </c>
      <c r="B3338" s="908" t="s">
        <v>418</v>
      </c>
      <c r="C3338" s="913" t="s">
        <v>197</v>
      </c>
      <c r="D3338" s="913"/>
      <c r="E3338" s="1010"/>
      <c r="F3338" s="911"/>
      <c r="G3338" s="1025"/>
      <c r="H3338" s="690"/>
      <c r="I3338" s="1030"/>
      <c r="J3338" s="690"/>
      <c r="K3338" s="1030"/>
      <c r="L3338" s="690"/>
      <c r="M3338" s="1025"/>
      <c r="N3338" s="1030"/>
      <c r="O3338" s="692">
        <f t="shared" si="429"/>
        <v>0</v>
      </c>
      <c r="P3338" s="690"/>
      <c r="Q3338" s="690"/>
      <c r="R3338" s="691">
        <f t="shared" si="430"/>
        <v>0</v>
      </c>
      <c r="S3338" s="692">
        <f t="shared" si="431"/>
        <v>0</v>
      </c>
      <c r="T3338" s="693">
        <f t="shared" si="432"/>
        <v>0</v>
      </c>
      <c r="U3338" s="1035">
        <v>179964</v>
      </c>
      <c r="V3338" s="690">
        <v>138371</v>
      </c>
      <c r="W3338" s="1025"/>
      <c r="X3338" s="1030"/>
      <c r="Y3338" s="694">
        <f t="shared" si="433"/>
        <v>0</v>
      </c>
      <c r="Z3338" s="690"/>
      <c r="AA3338" s="690"/>
      <c r="AB3338" s="695">
        <f t="shared" si="434"/>
        <v>0</v>
      </c>
      <c r="AC3338" s="1035"/>
      <c r="AD3338" s="690"/>
      <c r="AE3338" s="1025"/>
      <c r="AF3338" s="1030"/>
      <c r="AG3338" s="690"/>
      <c r="AH3338" s="690"/>
      <c r="AI3338" s="696">
        <f t="shared" si="435"/>
        <v>179964</v>
      </c>
      <c r="AJ3338" s="697">
        <f t="shared" si="436"/>
        <v>138371</v>
      </c>
    </row>
    <row r="3339" spans="1:36" s="700" customFormat="1" ht="12.75" customHeight="1">
      <c r="A3339" s="908" t="s">
        <v>217</v>
      </c>
      <c r="B3339" s="908" t="s">
        <v>419</v>
      </c>
      <c r="C3339" s="915" t="s">
        <v>50</v>
      </c>
      <c r="D3339" s="915"/>
      <c r="E3339" s="1010"/>
      <c r="F3339" s="911"/>
      <c r="G3339" s="1025"/>
      <c r="H3339" s="690"/>
      <c r="I3339" s="1030"/>
      <c r="J3339" s="690"/>
      <c r="K3339" s="1030"/>
      <c r="L3339" s="690"/>
      <c r="M3339" s="1025"/>
      <c r="N3339" s="1030"/>
      <c r="O3339" s="692">
        <f t="shared" si="429"/>
        <v>0</v>
      </c>
      <c r="P3339" s="690"/>
      <c r="Q3339" s="690"/>
      <c r="R3339" s="691">
        <f t="shared" si="430"/>
        <v>0</v>
      </c>
      <c r="S3339" s="692">
        <f t="shared" si="431"/>
        <v>0</v>
      </c>
      <c r="T3339" s="693">
        <f t="shared" si="432"/>
        <v>0</v>
      </c>
      <c r="U3339" s="1035"/>
      <c r="V3339" s="690"/>
      <c r="W3339" s="1025"/>
      <c r="X3339" s="1030"/>
      <c r="Y3339" s="694">
        <f t="shared" si="433"/>
        <v>0</v>
      </c>
      <c r="Z3339" s="690"/>
      <c r="AA3339" s="690"/>
      <c r="AB3339" s="695">
        <f t="shared" si="434"/>
        <v>0</v>
      </c>
      <c r="AC3339" s="1035"/>
      <c r="AD3339" s="690"/>
      <c r="AE3339" s="1025"/>
      <c r="AF3339" s="1030"/>
      <c r="AG3339" s="690"/>
      <c r="AH3339" s="690"/>
      <c r="AI3339" s="696">
        <f t="shared" si="435"/>
        <v>0</v>
      </c>
      <c r="AJ3339" s="697">
        <f t="shared" si="436"/>
        <v>0</v>
      </c>
    </row>
    <row r="3340" spans="1:36" s="700" customFormat="1" ht="12.75" customHeight="1">
      <c r="A3340" s="908" t="s">
        <v>217</v>
      </c>
      <c r="B3340" s="908" t="s">
        <v>420</v>
      </c>
      <c r="C3340" s="918" t="s">
        <v>51</v>
      </c>
      <c r="D3340" s="918"/>
      <c r="E3340" s="1010"/>
      <c r="F3340" s="911"/>
      <c r="G3340" s="1025"/>
      <c r="H3340" s="690"/>
      <c r="I3340" s="1030"/>
      <c r="J3340" s="690"/>
      <c r="K3340" s="1030"/>
      <c r="L3340" s="690"/>
      <c r="M3340" s="1025"/>
      <c r="N3340" s="1030"/>
      <c r="O3340" s="692">
        <f t="shared" si="429"/>
        <v>0</v>
      </c>
      <c r="P3340" s="690"/>
      <c r="Q3340" s="690"/>
      <c r="R3340" s="691">
        <f t="shared" si="430"/>
        <v>0</v>
      </c>
      <c r="S3340" s="692">
        <f t="shared" si="431"/>
        <v>0</v>
      </c>
      <c r="T3340" s="693">
        <f t="shared" si="432"/>
        <v>0</v>
      </c>
      <c r="U3340" s="1035"/>
      <c r="V3340" s="690"/>
      <c r="W3340" s="1025"/>
      <c r="X3340" s="1030"/>
      <c r="Y3340" s="694">
        <f t="shared" si="433"/>
        <v>0</v>
      </c>
      <c r="Z3340" s="690"/>
      <c r="AA3340" s="690"/>
      <c r="AB3340" s="695">
        <f t="shared" si="434"/>
        <v>0</v>
      </c>
      <c r="AC3340" s="1035"/>
      <c r="AD3340" s="690"/>
      <c r="AE3340" s="1025"/>
      <c r="AF3340" s="1030"/>
      <c r="AG3340" s="690"/>
      <c r="AH3340" s="690"/>
      <c r="AI3340" s="696">
        <f t="shared" si="435"/>
        <v>0</v>
      </c>
      <c r="AJ3340" s="697">
        <f t="shared" si="436"/>
        <v>0</v>
      </c>
    </row>
    <row r="3341" spans="1:36" s="700" customFormat="1" ht="12.75" customHeight="1">
      <c r="A3341" s="908" t="s">
        <v>217</v>
      </c>
      <c r="B3341" s="908" t="s">
        <v>420</v>
      </c>
      <c r="C3341" s="919" t="s">
        <v>1884</v>
      </c>
      <c r="D3341" s="919"/>
      <c r="E3341" s="1010"/>
      <c r="F3341" s="911"/>
      <c r="G3341" s="1025"/>
      <c r="H3341" s="690"/>
      <c r="I3341" s="1030"/>
      <c r="J3341" s="690"/>
      <c r="K3341" s="1030"/>
      <c r="L3341" s="690"/>
      <c r="M3341" s="1025"/>
      <c r="N3341" s="1030"/>
      <c r="O3341" s="692">
        <f t="shared" ref="O3341:O3395" si="437">SUM(M3341:N3341)</f>
        <v>0</v>
      </c>
      <c r="P3341" s="690"/>
      <c r="Q3341" s="690"/>
      <c r="R3341" s="691">
        <f t="shared" ref="R3341:R3395" si="438">SUM(P3341:Q3341)</f>
        <v>0</v>
      </c>
      <c r="S3341" s="692">
        <f t="shared" ref="S3341:S3395" si="439">SUM(G3341,I3341,K3341,M3341)</f>
        <v>0</v>
      </c>
      <c r="T3341" s="693">
        <f t="shared" ref="T3341:T3395" si="440">SUM(H3341,J3341,L3341,P3341)</f>
        <v>0</v>
      </c>
      <c r="U3341" s="1035"/>
      <c r="V3341" s="690"/>
      <c r="W3341" s="1025"/>
      <c r="X3341" s="1030"/>
      <c r="Y3341" s="694">
        <f t="shared" ref="Y3341:Y3395" si="441">SUM(W3341:X3341)</f>
        <v>0</v>
      </c>
      <c r="Z3341" s="690"/>
      <c r="AA3341" s="690"/>
      <c r="AB3341" s="695">
        <f t="shared" ref="AB3341:AB3395" si="442">SUM(Z3341:AA3341)</f>
        <v>0</v>
      </c>
      <c r="AC3341" s="1035"/>
      <c r="AD3341" s="690"/>
      <c r="AE3341" s="1025"/>
      <c r="AF3341" s="1030"/>
      <c r="AG3341" s="690"/>
      <c r="AH3341" s="690"/>
      <c r="AI3341" s="696">
        <f t="shared" ref="AI3341:AI3395" si="443">SUM(S3341,U3341,W3341,AC3341,AE3341)</f>
        <v>0</v>
      </c>
      <c r="AJ3341" s="697">
        <f t="shared" ref="AJ3341:AJ3395" si="444">SUM(T3341,V3341,Z3341,AD3341,AG3341)</f>
        <v>0</v>
      </c>
    </row>
    <row r="3342" spans="1:36" s="700" customFormat="1" ht="12.75" customHeight="1">
      <c r="A3342" s="908" t="s">
        <v>217</v>
      </c>
      <c r="B3342" s="927" t="s">
        <v>295</v>
      </c>
      <c r="C3342" s="920" t="s">
        <v>1885</v>
      </c>
      <c r="D3342" s="920"/>
      <c r="E3342" s="916"/>
      <c r="F3342" s="917"/>
      <c r="G3342" s="1025"/>
      <c r="H3342" s="690"/>
      <c r="I3342" s="1030"/>
      <c r="J3342" s="690"/>
      <c r="K3342" s="1030"/>
      <c r="L3342" s="690"/>
      <c r="M3342" s="1025"/>
      <c r="N3342" s="1030"/>
      <c r="O3342" s="692">
        <f t="shared" si="437"/>
        <v>0</v>
      </c>
      <c r="P3342" s="690"/>
      <c r="Q3342" s="690"/>
      <c r="R3342" s="691">
        <f t="shared" si="438"/>
        <v>0</v>
      </c>
      <c r="S3342" s="692">
        <f t="shared" si="439"/>
        <v>0</v>
      </c>
      <c r="T3342" s="693">
        <f t="shared" si="440"/>
        <v>0</v>
      </c>
      <c r="U3342" s="1035"/>
      <c r="V3342" s="690"/>
      <c r="W3342" s="1025"/>
      <c r="X3342" s="1030"/>
      <c r="Y3342" s="694">
        <f t="shared" si="441"/>
        <v>0</v>
      </c>
      <c r="Z3342" s="690"/>
      <c r="AA3342" s="690"/>
      <c r="AB3342" s="695">
        <f t="shared" si="442"/>
        <v>0</v>
      </c>
      <c r="AC3342" s="1035"/>
      <c r="AD3342" s="690"/>
      <c r="AE3342" s="1025"/>
      <c r="AF3342" s="1030"/>
      <c r="AG3342" s="690"/>
      <c r="AH3342" s="690"/>
      <c r="AI3342" s="696">
        <f t="shared" si="443"/>
        <v>0</v>
      </c>
      <c r="AJ3342" s="697">
        <f t="shared" si="444"/>
        <v>0</v>
      </c>
    </row>
    <row r="3343" spans="1:36" s="700" customFormat="1" ht="12.75" customHeight="1">
      <c r="A3343" s="908" t="s">
        <v>217</v>
      </c>
      <c r="B3343" s="927" t="s">
        <v>296</v>
      </c>
      <c r="C3343" s="920" t="s">
        <v>443</v>
      </c>
      <c r="D3343" s="920"/>
      <c r="E3343" s="916"/>
      <c r="F3343" s="917"/>
      <c r="G3343" s="1025"/>
      <c r="H3343" s="690"/>
      <c r="I3343" s="1030"/>
      <c r="J3343" s="690"/>
      <c r="K3343" s="1030"/>
      <c r="L3343" s="690"/>
      <c r="M3343" s="1025"/>
      <c r="N3343" s="1030"/>
      <c r="O3343" s="692">
        <f t="shared" si="437"/>
        <v>0</v>
      </c>
      <c r="P3343" s="690"/>
      <c r="Q3343" s="690"/>
      <c r="R3343" s="691">
        <f t="shared" si="438"/>
        <v>0</v>
      </c>
      <c r="S3343" s="692">
        <f t="shared" si="439"/>
        <v>0</v>
      </c>
      <c r="T3343" s="693">
        <f t="shared" si="440"/>
        <v>0</v>
      </c>
      <c r="U3343" s="1035">
        <v>30100411</v>
      </c>
      <c r="V3343" s="690">
        <v>28372023</v>
      </c>
      <c r="W3343" s="1025"/>
      <c r="X3343" s="1030"/>
      <c r="Y3343" s="694">
        <f t="shared" si="441"/>
        <v>0</v>
      </c>
      <c r="Z3343" s="690"/>
      <c r="AA3343" s="690"/>
      <c r="AB3343" s="695">
        <f t="shared" si="442"/>
        <v>0</v>
      </c>
      <c r="AC3343" s="1035"/>
      <c r="AD3343" s="690"/>
      <c r="AE3343" s="1025"/>
      <c r="AF3343" s="1030"/>
      <c r="AG3343" s="690"/>
      <c r="AH3343" s="690"/>
      <c r="AI3343" s="696">
        <f t="shared" si="443"/>
        <v>30100411</v>
      </c>
      <c r="AJ3343" s="697">
        <f t="shared" si="444"/>
        <v>28372023</v>
      </c>
    </row>
    <row r="3344" spans="1:36" s="700" customFormat="1" ht="12.75" customHeight="1">
      <c r="A3344" s="908" t="s">
        <v>217</v>
      </c>
      <c r="B3344" s="927" t="s">
        <v>278</v>
      </c>
      <c r="C3344" s="920" t="s">
        <v>377</v>
      </c>
      <c r="D3344" s="920"/>
      <c r="E3344" s="916"/>
      <c r="F3344" s="917"/>
      <c r="G3344" s="1025"/>
      <c r="H3344" s="690"/>
      <c r="I3344" s="1030"/>
      <c r="J3344" s="690"/>
      <c r="K3344" s="1030"/>
      <c r="L3344" s="690"/>
      <c r="M3344" s="1025"/>
      <c r="N3344" s="1030"/>
      <c r="O3344" s="692">
        <f t="shared" si="437"/>
        <v>0</v>
      </c>
      <c r="P3344" s="690"/>
      <c r="Q3344" s="690"/>
      <c r="R3344" s="691">
        <f t="shared" si="438"/>
        <v>0</v>
      </c>
      <c r="S3344" s="692">
        <f t="shared" si="439"/>
        <v>0</v>
      </c>
      <c r="T3344" s="693">
        <f t="shared" si="440"/>
        <v>0</v>
      </c>
      <c r="U3344" s="1035"/>
      <c r="V3344" s="690"/>
      <c r="W3344" s="1025"/>
      <c r="X3344" s="1030"/>
      <c r="Y3344" s="694">
        <f t="shared" si="441"/>
        <v>0</v>
      </c>
      <c r="Z3344" s="690"/>
      <c r="AA3344" s="690"/>
      <c r="AB3344" s="695">
        <f t="shared" si="442"/>
        <v>0</v>
      </c>
      <c r="AC3344" s="1035"/>
      <c r="AD3344" s="690"/>
      <c r="AE3344" s="1025"/>
      <c r="AF3344" s="1030"/>
      <c r="AG3344" s="690"/>
      <c r="AH3344" s="690"/>
      <c r="AI3344" s="696">
        <f t="shared" si="443"/>
        <v>0</v>
      </c>
      <c r="AJ3344" s="697">
        <f t="shared" si="444"/>
        <v>0</v>
      </c>
    </row>
    <row r="3345" spans="1:36" s="700" customFormat="1" ht="12.75" customHeight="1">
      <c r="A3345" s="908" t="s">
        <v>217</v>
      </c>
      <c r="B3345" s="908" t="s">
        <v>279</v>
      </c>
      <c r="C3345" s="920" t="s">
        <v>1886</v>
      </c>
      <c r="D3345" s="920"/>
      <c r="E3345" s="916"/>
      <c r="F3345" s="917"/>
      <c r="G3345" s="1025"/>
      <c r="H3345" s="690"/>
      <c r="I3345" s="1030"/>
      <c r="J3345" s="690"/>
      <c r="K3345" s="1030"/>
      <c r="L3345" s="690"/>
      <c r="M3345" s="1025"/>
      <c r="N3345" s="1030"/>
      <c r="O3345" s="692">
        <f t="shared" si="437"/>
        <v>0</v>
      </c>
      <c r="P3345" s="690"/>
      <c r="Q3345" s="690"/>
      <c r="R3345" s="691">
        <f t="shared" si="438"/>
        <v>0</v>
      </c>
      <c r="S3345" s="692">
        <f t="shared" si="439"/>
        <v>0</v>
      </c>
      <c r="T3345" s="693">
        <f t="shared" si="440"/>
        <v>0</v>
      </c>
      <c r="U3345" s="1035"/>
      <c r="V3345" s="690"/>
      <c r="W3345" s="1025"/>
      <c r="X3345" s="1030"/>
      <c r="Y3345" s="694">
        <f t="shared" si="441"/>
        <v>0</v>
      </c>
      <c r="Z3345" s="690"/>
      <c r="AA3345" s="690"/>
      <c r="AB3345" s="695">
        <f t="shared" si="442"/>
        <v>0</v>
      </c>
      <c r="AC3345" s="1035"/>
      <c r="AD3345" s="690"/>
      <c r="AE3345" s="1025"/>
      <c r="AF3345" s="1030"/>
      <c r="AG3345" s="690"/>
      <c r="AH3345" s="690"/>
      <c r="AI3345" s="696">
        <f t="shared" si="443"/>
        <v>0</v>
      </c>
      <c r="AJ3345" s="697">
        <f t="shared" si="444"/>
        <v>0</v>
      </c>
    </row>
    <row r="3346" spans="1:36" s="700" customFormat="1" ht="12.75" customHeight="1">
      <c r="A3346" s="908" t="s">
        <v>217</v>
      </c>
      <c r="B3346" s="927" t="s">
        <v>317</v>
      </c>
      <c r="C3346" s="920" t="s">
        <v>443</v>
      </c>
      <c r="D3346" s="920"/>
      <c r="E3346" s="916"/>
      <c r="F3346" s="917"/>
      <c r="G3346" s="1025"/>
      <c r="H3346" s="690"/>
      <c r="I3346" s="1030"/>
      <c r="J3346" s="690"/>
      <c r="K3346" s="1030"/>
      <c r="L3346" s="690"/>
      <c r="M3346" s="1025"/>
      <c r="N3346" s="1030"/>
      <c r="O3346" s="692">
        <f t="shared" si="437"/>
        <v>0</v>
      </c>
      <c r="P3346" s="690"/>
      <c r="Q3346" s="690"/>
      <c r="R3346" s="691">
        <f t="shared" si="438"/>
        <v>0</v>
      </c>
      <c r="S3346" s="692">
        <f t="shared" si="439"/>
        <v>0</v>
      </c>
      <c r="T3346" s="693">
        <f t="shared" si="440"/>
        <v>0</v>
      </c>
      <c r="U3346" s="1035">
        <v>3840731</v>
      </c>
      <c r="V3346" s="690">
        <v>5483775</v>
      </c>
      <c r="W3346" s="1025"/>
      <c r="X3346" s="1030"/>
      <c r="Y3346" s="694">
        <f t="shared" si="441"/>
        <v>0</v>
      </c>
      <c r="Z3346" s="690"/>
      <c r="AA3346" s="690"/>
      <c r="AB3346" s="695">
        <f t="shared" si="442"/>
        <v>0</v>
      </c>
      <c r="AC3346" s="1035"/>
      <c r="AD3346" s="690"/>
      <c r="AE3346" s="1025"/>
      <c r="AF3346" s="1030"/>
      <c r="AG3346" s="690"/>
      <c r="AH3346" s="690"/>
      <c r="AI3346" s="696">
        <f t="shared" si="443"/>
        <v>3840731</v>
      </c>
      <c r="AJ3346" s="697">
        <f t="shared" si="444"/>
        <v>5483775</v>
      </c>
    </row>
    <row r="3347" spans="1:36" s="700" customFormat="1" ht="12.75" customHeight="1">
      <c r="A3347" s="908" t="s">
        <v>217</v>
      </c>
      <c r="B3347" s="927" t="s">
        <v>318</v>
      </c>
      <c r="C3347" s="920" t="s">
        <v>377</v>
      </c>
      <c r="D3347" s="920"/>
      <c r="E3347" s="916"/>
      <c r="F3347" s="917"/>
      <c r="G3347" s="1025"/>
      <c r="H3347" s="690"/>
      <c r="I3347" s="1030"/>
      <c r="J3347" s="690"/>
      <c r="K3347" s="1030"/>
      <c r="L3347" s="690"/>
      <c r="M3347" s="1025"/>
      <c r="N3347" s="1030"/>
      <c r="O3347" s="692">
        <f t="shared" si="437"/>
        <v>0</v>
      </c>
      <c r="P3347" s="690"/>
      <c r="Q3347" s="690"/>
      <c r="R3347" s="691">
        <f t="shared" si="438"/>
        <v>0</v>
      </c>
      <c r="S3347" s="692">
        <f t="shared" si="439"/>
        <v>0</v>
      </c>
      <c r="T3347" s="693">
        <f t="shared" si="440"/>
        <v>0</v>
      </c>
      <c r="U3347" s="1035"/>
      <c r="V3347" s="690"/>
      <c r="W3347" s="1025"/>
      <c r="X3347" s="1030"/>
      <c r="Y3347" s="694">
        <f t="shared" si="441"/>
        <v>0</v>
      </c>
      <c r="Z3347" s="690"/>
      <c r="AA3347" s="690"/>
      <c r="AB3347" s="695">
        <f t="shared" si="442"/>
        <v>0</v>
      </c>
      <c r="AC3347" s="1035"/>
      <c r="AD3347" s="690"/>
      <c r="AE3347" s="1025"/>
      <c r="AF3347" s="1030"/>
      <c r="AG3347" s="690"/>
      <c r="AH3347" s="690"/>
      <c r="AI3347" s="696">
        <f t="shared" si="443"/>
        <v>0</v>
      </c>
      <c r="AJ3347" s="697">
        <f t="shared" si="444"/>
        <v>0</v>
      </c>
    </row>
    <row r="3348" spans="1:36" s="700" customFormat="1" ht="12.75" customHeight="1">
      <c r="A3348" s="908" t="s">
        <v>217</v>
      </c>
      <c r="B3348" s="908" t="s">
        <v>420</v>
      </c>
      <c r="C3348" s="919" t="s">
        <v>1887</v>
      </c>
      <c r="D3348" s="919"/>
      <c r="E3348" s="916"/>
      <c r="F3348" s="917"/>
      <c r="G3348" s="1025"/>
      <c r="H3348" s="690"/>
      <c r="I3348" s="1030"/>
      <c r="J3348" s="690"/>
      <c r="K3348" s="1030"/>
      <c r="L3348" s="690"/>
      <c r="M3348" s="1025"/>
      <c r="N3348" s="1030"/>
      <c r="O3348" s="692">
        <f t="shared" si="437"/>
        <v>0</v>
      </c>
      <c r="P3348" s="690"/>
      <c r="Q3348" s="690"/>
      <c r="R3348" s="691">
        <f t="shared" si="438"/>
        <v>0</v>
      </c>
      <c r="S3348" s="692">
        <f t="shared" si="439"/>
        <v>0</v>
      </c>
      <c r="T3348" s="693">
        <f t="shared" si="440"/>
        <v>0</v>
      </c>
      <c r="U3348" s="1035"/>
      <c r="V3348" s="690"/>
      <c r="W3348" s="1025"/>
      <c r="X3348" s="1030"/>
      <c r="Y3348" s="694">
        <f t="shared" si="441"/>
        <v>0</v>
      </c>
      <c r="Z3348" s="690"/>
      <c r="AA3348" s="690"/>
      <c r="AB3348" s="695">
        <f t="shared" si="442"/>
        <v>0</v>
      </c>
      <c r="AC3348" s="1035"/>
      <c r="AD3348" s="690"/>
      <c r="AE3348" s="1025"/>
      <c r="AF3348" s="1030"/>
      <c r="AG3348" s="690"/>
      <c r="AH3348" s="690"/>
      <c r="AI3348" s="696">
        <f t="shared" si="443"/>
        <v>0</v>
      </c>
      <c r="AJ3348" s="697">
        <f t="shared" si="444"/>
        <v>0</v>
      </c>
    </row>
    <row r="3349" spans="1:36" s="700" customFormat="1" ht="12.75" customHeight="1">
      <c r="A3349" s="908" t="s">
        <v>217</v>
      </c>
      <c r="B3349" s="927" t="s">
        <v>295</v>
      </c>
      <c r="C3349" s="920" t="s">
        <v>1885</v>
      </c>
      <c r="D3349" s="920"/>
      <c r="E3349" s="916"/>
      <c r="F3349" s="917"/>
      <c r="G3349" s="1025"/>
      <c r="H3349" s="690"/>
      <c r="I3349" s="1030"/>
      <c r="J3349" s="690"/>
      <c r="K3349" s="1030"/>
      <c r="L3349" s="690"/>
      <c r="M3349" s="1025"/>
      <c r="N3349" s="1030"/>
      <c r="O3349" s="692">
        <f t="shared" si="437"/>
        <v>0</v>
      </c>
      <c r="P3349" s="690"/>
      <c r="Q3349" s="690"/>
      <c r="R3349" s="691">
        <f t="shared" si="438"/>
        <v>0</v>
      </c>
      <c r="S3349" s="692">
        <f t="shared" si="439"/>
        <v>0</v>
      </c>
      <c r="T3349" s="693">
        <f t="shared" si="440"/>
        <v>0</v>
      </c>
      <c r="U3349" s="1035"/>
      <c r="V3349" s="690"/>
      <c r="W3349" s="1025"/>
      <c r="X3349" s="1030"/>
      <c r="Y3349" s="694">
        <f t="shared" si="441"/>
        <v>0</v>
      </c>
      <c r="Z3349" s="690"/>
      <c r="AA3349" s="690"/>
      <c r="AB3349" s="695">
        <f t="shared" si="442"/>
        <v>0</v>
      </c>
      <c r="AC3349" s="1035"/>
      <c r="AD3349" s="690"/>
      <c r="AE3349" s="1025"/>
      <c r="AF3349" s="1030"/>
      <c r="AG3349" s="690"/>
      <c r="AH3349" s="690"/>
      <c r="AI3349" s="696">
        <f t="shared" si="443"/>
        <v>0</v>
      </c>
      <c r="AJ3349" s="697">
        <f t="shared" si="444"/>
        <v>0</v>
      </c>
    </row>
    <row r="3350" spans="1:36" s="700" customFormat="1" ht="12.75" customHeight="1">
      <c r="A3350" s="908" t="s">
        <v>217</v>
      </c>
      <c r="B3350" s="927" t="s">
        <v>296</v>
      </c>
      <c r="C3350" s="920" t="s">
        <v>443</v>
      </c>
      <c r="D3350" s="920"/>
      <c r="E3350" s="916"/>
      <c r="F3350" s="917"/>
      <c r="G3350" s="1025"/>
      <c r="H3350" s="690"/>
      <c r="I3350" s="1030"/>
      <c r="J3350" s="690"/>
      <c r="K3350" s="1030"/>
      <c r="L3350" s="690"/>
      <c r="M3350" s="1025"/>
      <c r="N3350" s="1030"/>
      <c r="O3350" s="692">
        <f t="shared" si="437"/>
        <v>0</v>
      </c>
      <c r="P3350" s="690"/>
      <c r="Q3350" s="690"/>
      <c r="R3350" s="691">
        <f t="shared" si="438"/>
        <v>0</v>
      </c>
      <c r="S3350" s="692">
        <f t="shared" si="439"/>
        <v>0</v>
      </c>
      <c r="T3350" s="693">
        <f t="shared" si="440"/>
        <v>0</v>
      </c>
      <c r="U3350" s="1035"/>
      <c r="V3350" s="690"/>
      <c r="W3350" s="1025"/>
      <c r="X3350" s="1030"/>
      <c r="Y3350" s="694">
        <f t="shared" si="441"/>
        <v>0</v>
      </c>
      <c r="Z3350" s="690"/>
      <c r="AA3350" s="690"/>
      <c r="AB3350" s="695">
        <f t="shared" si="442"/>
        <v>0</v>
      </c>
      <c r="AC3350" s="1035"/>
      <c r="AD3350" s="690"/>
      <c r="AE3350" s="1025"/>
      <c r="AF3350" s="1030"/>
      <c r="AG3350" s="690"/>
      <c r="AH3350" s="690"/>
      <c r="AI3350" s="696">
        <f t="shared" si="443"/>
        <v>0</v>
      </c>
      <c r="AJ3350" s="697">
        <f t="shared" si="444"/>
        <v>0</v>
      </c>
    </row>
    <row r="3351" spans="1:36" s="700" customFormat="1" ht="12.75" customHeight="1">
      <c r="A3351" s="908" t="s">
        <v>217</v>
      </c>
      <c r="B3351" s="927" t="s">
        <v>278</v>
      </c>
      <c r="C3351" s="920" t="s">
        <v>377</v>
      </c>
      <c r="D3351" s="920"/>
      <c r="E3351" s="916"/>
      <c r="F3351" s="917"/>
      <c r="G3351" s="1025"/>
      <c r="H3351" s="690"/>
      <c r="I3351" s="1030"/>
      <c r="J3351" s="690"/>
      <c r="K3351" s="1030"/>
      <c r="L3351" s="690"/>
      <c r="M3351" s="1025"/>
      <c r="N3351" s="1030"/>
      <c r="O3351" s="692">
        <f t="shared" si="437"/>
        <v>0</v>
      </c>
      <c r="P3351" s="690"/>
      <c r="Q3351" s="690"/>
      <c r="R3351" s="691">
        <f t="shared" si="438"/>
        <v>0</v>
      </c>
      <c r="S3351" s="692">
        <f t="shared" si="439"/>
        <v>0</v>
      </c>
      <c r="T3351" s="693">
        <f t="shared" si="440"/>
        <v>0</v>
      </c>
      <c r="U3351" s="1035">
        <v>40260791</v>
      </c>
      <c r="V3351" s="690">
        <v>42895472</v>
      </c>
      <c r="W3351" s="1025"/>
      <c r="X3351" s="1030"/>
      <c r="Y3351" s="694">
        <f t="shared" si="441"/>
        <v>0</v>
      </c>
      <c r="Z3351" s="690"/>
      <c r="AA3351" s="690"/>
      <c r="AB3351" s="695">
        <f t="shared" si="442"/>
        <v>0</v>
      </c>
      <c r="AC3351" s="1035"/>
      <c r="AD3351" s="690"/>
      <c r="AE3351" s="1025"/>
      <c r="AF3351" s="1030"/>
      <c r="AG3351" s="690"/>
      <c r="AH3351" s="690"/>
      <c r="AI3351" s="696">
        <f t="shared" si="443"/>
        <v>40260791</v>
      </c>
      <c r="AJ3351" s="697">
        <f t="shared" si="444"/>
        <v>42895472</v>
      </c>
    </row>
    <row r="3352" spans="1:36" s="700" customFormat="1" ht="12.75" customHeight="1">
      <c r="A3352" s="908" t="s">
        <v>217</v>
      </c>
      <c r="B3352" s="908" t="s">
        <v>279</v>
      </c>
      <c r="C3352" s="920" t="s">
        <v>1886</v>
      </c>
      <c r="D3352" s="920"/>
      <c r="E3352" s="916"/>
      <c r="F3352" s="917"/>
      <c r="G3352" s="1025"/>
      <c r="H3352" s="690"/>
      <c r="I3352" s="1030"/>
      <c r="J3352" s="690"/>
      <c r="K3352" s="1030"/>
      <c r="L3352" s="690"/>
      <c r="M3352" s="1025"/>
      <c r="N3352" s="1030"/>
      <c r="O3352" s="692">
        <f t="shared" si="437"/>
        <v>0</v>
      </c>
      <c r="P3352" s="690"/>
      <c r="Q3352" s="690"/>
      <c r="R3352" s="691">
        <f t="shared" si="438"/>
        <v>0</v>
      </c>
      <c r="S3352" s="692">
        <f t="shared" si="439"/>
        <v>0</v>
      </c>
      <c r="T3352" s="693">
        <f t="shared" si="440"/>
        <v>0</v>
      </c>
      <c r="U3352" s="1035"/>
      <c r="V3352" s="690"/>
      <c r="W3352" s="1025"/>
      <c r="X3352" s="1030"/>
      <c r="Y3352" s="694">
        <f t="shared" si="441"/>
        <v>0</v>
      </c>
      <c r="Z3352" s="690"/>
      <c r="AA3352" s="690"/>
      <c r="AB3352" s="695">
        <f t="shared" si="442"/>
        <v>0</v>
      </c>
      <c r="AC3352" s="1035"/>
      <c r="AD3352" s="690"/>
      <c r="AE3352" s="1025"/>
      <c r="AF3352" s="1030"/>
      <c r="AG3352" s="690"/>
      <c r="AH3352" s="690"/>
      <c r="AI3352" s="696">
        <f t="shared" si="443"/>
        <v>0</v>
      </c>
      <c r="AJ3352" s="697">
        <f t="shared" si="444"/>
        <v>0</v>
      </c>
    </row>
    <row r="3353" spans="1:36" s="700" customFormat="1" ht="12.75" customHeight="1">
      <c r="A3353" s="908" t="s">
        <v>217</v>
      </c>
      <c r="B3353" s="927" t="s">
        <v>317</v>
      </c>
      <c r="C3353" s="920" t="s">
        <v>443</v>
      </c>
      <c r="D3353" s="920"/>
      <c r="E3353" s="916"/>
      <c r="F3353" s="917"/>
      <c r="G3353" s="1025"/>
      <c r="H3353" s="690"/>
      <c r="I3353" s="1030"/>
      <c r="J3353" s="690"/>
      <c r="K3353" s="1030"/>
      <c r="L3353" s="690"/>
      <c r="M3353" s="1025"/>
      <c r="N3353" s="1030"/>
      <c r="O3353" s="692">
        <f t="shared" si="437"/>
        <v>0</v>
      </c>
      <c r="P3353" s="690"/>
      <c r="Q3353" s="690"/>
      <c r="R3353" s="691">
        <f t="shared" si="438"/>
        <v>0</v>
      </c>
      <c r="S3353" s="692">
        <f t="shared" si="439"/>
        <v>0</v>
      </c>
      <c r="T3353" s="693">
        <f t="shared" si="440"/>
        <v>0</v>
      </c>
      <c r="U3353" s="1035"/>
      <c r="V3353" s="690"/>
      <c r="W3353" s="1025"/>
      <c r="X3353" s="1030"/>
      <c r="Y3353" s="694">
        <f t="shared" si="441"/>
        <v>0</v>
      </c>
      <c r="Z3353" s="690"/>
      <c r="AA3353" s="690"/>
      <c r="AB3353" s="695">
        <f t="shared" si="442"/>
        <v>0</v>
      </c>
      <c r="AC3353" s="1035"/>
      <c r="AD3353" s="690"/>
      <c r="AE3353" s="1025"/>
      <c r="AF3353" s="1030"/>
      <c r="AG3353" s="690"/>
      <c r="AH3353" s="690"/>
      <c r="AI3353" s="696">
        <f t="shared" si="443"/>
        <v>0</v>
      </c>
      <c r="AJ3353" s="697">
        <f t="shared" si="444"/>
        <v>0</v>
      </c>
    </row>
    <row r="3354" spans="1:36" s="700" customFormat="1" ht="12.75" customHeight="1">
      <c r="A3354" s="908" t="s">
        <v>217</v>
      </c>
      <c r="B3354" s="927" t="s">
        <v>318</v>
      </c>
      <c r="C3354" s="920" t="s">
        <v>377</v>
      </c>
      <c r="D3354" s="920"/>
      <c r="E3354" s="916"/>
      <c r="F3354" s="917"/>
      <c r="G3354" s="1025"/>
      <c r="H3354" s="690"/>
      <c r="I3354" s="1030"/>
      <c r="J3354" s="690"/>
      <c r="K3354" s="1030"/>
      <c r="L3354" s="690"/>
      <c r="M3354" s="1025"/>
      <c r="N3354" s="1030"/>
      <c r="O3354" s="692">
        <f t="shared" si="437"/>
        <v>0</v>
      </c>
      <c r="P3354" s="690"/>
      <c r="Q3354" s="690"/>
      <c r="R3354" s="691">
        <f t="shared" si="438"/>
        <v>0</v>
      </c>
      <c r="S3354" s="692">
        <f t="shared" si="439"/>
        <v>0</v>
      </c>
      <c r="T3354" s="693">
        <f t="shared" si="440"/>
        <v>0</v>
      </c>
      <c r="U3354" s="1035">
        <v>4386256</v>
      </c>
      <c r="V3354" s="690">
        <v>5198736</v>
      </c>
      <c r="W3354" s="1025"/>
      <c r="X3354" s="1030"/>
      <c r="Y3354" s="694">
        <f t="shared" si="441"/>
        <v>0</v>
      </c>
      <c r="Z3354" s="690"/>
      <c r="AA3354" s="690"/>
      <c r="AB3354" s="695">
        <f t="shared" si="442"/>
        <v>0</v>
      </c>
      <c r="AC3354" s="1035"/>
      <c r="AD3354" s="690"/>
      <c r="AE3354" s="1025"/>
      <c r="AF3354" s="1030"/>
      <c r="AG3354" s="690"/>
      <c r="AH3354" s="690"/>
      <c r="AI3354" s="696">
        <f t="shared" si="443"/>
        <v>4386256</v>
      </c>
      <c r="AJ3354" s="697">
        <f t="shared" si="444"/>
        <v>5198736</v>
      </c>
    </row>
    <row r="3355" spans="1:36" s="700" customFormat="1" ht="12.75" customHeight="1">
      <c r="A3355" s="908" t="s">
        <v>217</v>
      </c>
      <c r="B3355" s="908" t="s">
        <v>420</v>
      </c>
      <c r="C3355" s="919" t="s">
        <v>1888</v>
      </c>
      <c r="D3355" s="919"/>
      <c r="E3355" s="1010"/>
      <c r="F3355" s="911"/>
      <c r="G3355" s="1025"/>
      <c r="H3355" s="690"/>
      <c r="I3355" s="1030"/>
      <c r="J3355" s="690"/>
      <c r="K3355" s="1030"/>
      <c r="L3355" s="690"/>
      <c r="M3355" s="1025"/>
      <c r="N3355" s="1030"/>
      <c r="O3355" s="692">
        <f t="shared" si="437"/>
        <v>0</v>
      </c>
      <c r="P3355" s="690"/>
      <c r="Q3355" s="690"/>
      <c r="R3355" s="691">
        <f t="shared" si="438"/>
        <v>0</v>
      </c>
      <c r="S3355" s="692">
        <f t="shared" si="439"/>
        <v>0</v>
      </c>
      <c r="T3355" s="693">
        <f t="shared" si="440"/>
        <v>0</v>
      </c>
      <c r="U3355" s="1035"/>
      <c r="V3355" s="690"/>
      <c r="W3355" s="1025"/>
      <c r="X3355" s="1030"/>
      <c r="Y3355" s="694">
        <f t="shared" si="441"/>
        <v>0</v>
      </c>
      <c r="Z3355" s="690"/>
      <c r="AA3355" s="690"/>
      <c r="AB3355" s="695">
        <f t="shared" si="442"/>
        <v>0</v>
      </c>
      <c r="AC3355" s="1035"/>
      <c r="AD3355" s="690"/>
      <c r="AE3355" s="1025"/>
      <c r="AF3355" s="1030"/>
      <c r="AG3355" s="690"/>
      <c r="AH3355" s="690"/>
      <c r="AI3355" s="696">
        <f t="shared" si="443"/>
        <v>0</v>
      </c>
      <c r="AJ3355" s="697">
        <f t="shared" si="444"/>
        <v>0</v>
      </c>
    </row>
    <row r="3356" spans="1:36" s="700" customFormat="1" ht="12.75" customHeight="1">
      <c r="A3356" s="908" t="s">
        <v>217</v>
      </c>
      <c r="B3356" s="927" t="s">
        <v>295</v>
      </c>
      <c r="C3356" s="920" t="s">
        <v>1885</v>
      </c>
      <c r="D3356" s="920"/>
      <c r="E3356" s="916"/>
      <c r="F3356" s="917"/>
      <c r="G3356" s="1025"/>
      <c r="H3356" s="690"/>
      <c r="I3356" s="1030"/>
      <c r="J3356" s="690"/>
      <c r="K3356" s="1030"/>
      <c r="L3356" s="690"/>
      <c r="M3356" s="1025"/>
      <c r="N3356" s="1030"/>
      <c r="O3356" s="692">
        <f t="shared" si="437"/>
        <v>0</v>
      </c>
      <c r="P3356" s="690"/>
      <c r="Q3356" s="690"/>
      <c r="R3356" s="691">
        <f t="shared" si="438"/>
        <v>0</v>
      </c>
      <c r="S3356" s="692">
        <f t="shared" si="439"/>
        <v>0</v>
      </c>
      <c r="T3356" s="693">
        <f t="shared" si="440"/>
        <v>0</v>
      </c>
      <c r="U3356" s="1035"/>
      <c r="V3356" s="690"/>
      <c r="W3356" s="1025"/>
      <c r="X3356" s="1030"/>
      <c r="Y3356" s="694">
        <f t="shared" si="441"/>
        <v>0</v>
      </c>
      <c r="Z3356" s="690"/>
      <c r="AA3356" s="690"/>
      <c r="AB3356" s="695">
        <f t="shared" si="442"/>
        <v>0</v>
      </c>
      <c r="AC3356" s="1035"/>
      <c r="AD3356" s="690"/>
      <c r="AE3356" s="1025"/>
      <c r="AF3356" s="1030"/>
      <c r="AG3356" s="690"/>
      <c r="AH3356" s="690"/>
      <c r="AI3356" s="696">
        <f t="shared" si="443"/>
        <v>0</v>
      </c>
      <c r="AJ3356" s="697">
        <f t="shared" si="444"/>
        <v>0</v>
      </c>
    </row>
    <row r="3357" spans="1:36" s="700" customFormat="1" ht="12.75" customHeight="1">
      <c r="A3357" s="908" t="s">
        <v>217</v>
      </c>
      <c r="B3357" s="927" t="s">
        <v>296</v>
      </c>
      <c r="C3357" s="920" t="s">
        <v>443</v>
      </c>
      <c r="D3357" s="920"/>
      <c r="E3357" s="916"/>
      <c r="F3357" s="917"/>
      <c r="G3357" s="1025"/>
      <c r="H3357" s="690"/>
      <c r="I3357" s="1030"/>
      <c r="J3357" s="690"/>
      <c r="K3357" s="1030"/>
      <c r="L3357" s="690"/>
      <c r="M3357" s="1025"/>
      <c r="N3357" s="1030"/>
      <c r="O3357" s="692">
        <f t="shared" si="437"/>
        <v>0</v>
      </c>
      <c r="P3357" s="690"/>
      <c r="Q3357" s="690"/>
      <c r="R3357" s="691">
        <f t="shared" si="438"/>
        <v>0</v>
      </c>
      <c r="S3357" s="692">
        <f t="shared" si="439"/>
        <v>0</v>
      </c>
      <c r="T3357" s="693">
        <f t="shared" si="440"/>
        <v>0</v>
      </c>
      <c r="U3357" s="1035">
        <v>150000</v>
      </c>
      <c r="V3357" s="690">
        <v>150000</v>
      </c>
      <c r="W3357" s="1025"/>
      <c r="X3357" s="1030"/>
      <c r="Y3357" s="694">
        <f t="shared" si="441"/>
        <v>0</v>
      </c>
      <c r="Z3357" s="690"/>
      <c r="AA3357" s="690"/>
      <c r="AB3357" s="695">
        <f t="shared" si="442"/>
        <v>0</v>
      </c>
      <c r="AC3357" s="1035"/>
      <c r="AD3357" s="690"/>
      <c r="AE3357" s="1025"/>
      <c r="AF3357" s="1030"/>
      <c r="AG3357" s="690"/>
      <c r="AH3357" s="690"/>
      <c r="AI3357" s="696">
        <f t="shared" si="443"/>
        <v>150000</v>
      </c>
      <c r="AJ3357" s="697">
        <f t="shared" si="444"/>
        <v>150000</v>
      </c>
    </row>
    <row r="3358" spans="1:36" s="700" customFormat="1" ht="12.75" customHeight="1">
      <c r="A3358" s="908" t="s">
        <v>217</v>
      </c>
      <c r="B3358" s="927" t="s">
        <v>278</v>
      </c>
      <c r="C3358" s="920" t="s">
        <v>377</v>
      </c>
      <c r="D3358" s="920"/>
      <c r="E3358" s="916"/>
      <c r="F3358" s="917"/>
      <c r="G3358" s="1025"/>
      <c r="H3358" s="690"/>
      <c r="I3358" s="1030"/>
      <c r="J3358" s="690"/>
      <c r="K3358" s="1030"/>
      <c r="L3358" s="690"/>
      <c r="M3358" s="1025"/>
      <c r="N3358" s="1030"/>
      <c r="O3358" s="692">
        <f t="shared" si="437"/>
        <v>0</v>
      </c>
      <c r="P3358" s="690"/>
      <c r="Q3358" s="690"/>
      <c r="R3358" s="691">
        <f t="shared" si="438"/>
        <v>0</v>
      </c>
      <c r="S3358" s="692">
        <f t="shared" si="439"/>
        <v>0</v>
      </c>
      <c r="T3358" s="693">
        <f t="shared" si="440"/>
        <v>0</v>
      </c>
      <c r="U3358" s="1035"/>
      <c r="V3358" s="690"/>
      <c r="W3358" s="1025"/>
      <c r="X3358" s="1030"/>
      <c r="Y3358" s="694">
        <f t="shared" si="441"/>
        <v>0</v>
      </c>
      <c r="Z3358" s="690"/>
      <c r="AA3358" s="690"/>
      <c r="AB3358" s="695">
        <f t="shared" si="442"/>
        <v>0</v>
      </c>
      <c r="AC3358" s="1035"/>
      <c r="AD3358" s="690"/>
      <c r="AE3358" s="1025"/>
      <c r="AF3358" s="1030"/>
      <c r="AG3358" s="690"/>
      <c r="AH3358" s="690"/>
      <c r="AI3358" s="696">
        <f t="shared" si="443"/>
        <v>0</v>
      </c>
      <c r="AJ3358" s="697">
        <f t="shared" si="444"/>
        <v>0</v>
      </c>
    </row>
    <row r="3359" spans="1:36" s="700" customFormat="1" ht="12.75" customHeight="1">
      <c r="A3359" s="908" t="s">
        <v>217</v>
      </c>
      <c r="B3359" s="908" t="s">
        <v>279</v>
      </c>
      <c r="C3359" s="920" t="s">
        <v>1886</v>
      </c>
      <c r="D3359" s="920"/>
      <c r="E3359" s="916"/>
      <c r="F3359" s="917"/>
      <c r="G3359" s="1025"/>
      <c r="H3359" s="690"/>
      <c r="I3359" s="1030"/>
      <c r="J3359" s="690"/>
      <c r="K3359" s="1030"/>
      <c r="L3359" s="690"/>
      <c r="M3359" s="1025"/>
      <c r="N3359" s="1030"/>
      <c r="O3359" s="692">
        <f t="shared" si="437"/>
        <v>0</v>
      </c>
      <c r="P3359" s="690"/>
      <c r="Q3359" s="690"/>
      <c r="R3359" s="691">
        <f t="shared" si="438"/>
        <v>0</v>
      </c>
      <c r="S3359" s="692">
        <f t="shared" si="439"/>
        <v>0</v>
      </c>
      <c r="T3359" s="693">
        <f t="shared" si="440"/>
        <v>0</v>
      </c>
      <c r="U3359" s="1035"/>
      <c r="V3359" s="690"/>
      <c r="W3359" s="1025"/>
      <c r="X3359" s="1030"/>
      <c r="Y3359" s="694">
        <f t="shared" si="441"/>
        <v>0</v>
      </c>
      <c r="Z3359" s="690"/>
      <c r="AA3359" s="690"/>
      <c r="AB3359" s="695">
        <f t="shared" si="442"/>
        <v>0</v>
      </c>
      <c r="AC3359" s="1035"/>
      <c r="AD3359" s="690"/>
      <c r="AE3359" s="1025"/>
      <c r="AF3359" s="1030"/>
      <c r="AG3359" s="690"/>
      <c r="AH3359" s="690"/>
      <c r="AI3359" s="696">
        <f t="shared" si="443"/>
        <v>0</v>
      </c>
      <c r="AJ3359" s="697">
        <f t="shared" si="444"/>
        <v>0</v>
      </c>
    </row>
    <row r="3360" spans="1:36" s="700" customFormat="1" ht="12.75" customHeight="1">
      <c r="A3360" s="908" t="s">
        <v>217</v>
      </c>
      <c r="B3360" s="927" t="s">
        <v>317</v>
      </c>
      <c r="C3360" s="920" t="s">
        <v>443</v>
      </c>
      <c r="D3360" s="920"/>
      <c r="E3360" s="916"/>
      <c r="F3360" s="917"/>
      <c r="G3360" s="1025"/>
      <c r="H3360" s="690"/>
      <c r="I3360" s="1030"/>
      <c r="J3360" s="690"/>
      <c r="K3360" s="1030"/>
      <c r="L3360" s="690"/>
      <c r="M3360" s="1025"/>
      <c r="N3360" s="1030"/>
      <c r="O3360" s="692">
        <f t="shared" si="437"/>
        <v>0</v>
      </c>
      <c r="P3360" s="690"/>
      <c r="Q3360" s="690"/>
      <c r="R3360" s="691">
        <f t="shared" si="438"/>
        <v>0</v>
      </c>
      <c r="S3360" s="692">
        <f t="shared" si="439"/>
        <v>0</v>
      </c>
      <c r="T3360" s="693">
        <f t="shared" si="440"/>
        <v>0</v>
      </c>
      <c r="U3360" s="1035"/>
      <c r="V3360" s="690"/>
      <c r="W3360" s="1025"/>
      <c r="X3360" s="1030"/>
      <c r="Y3360" s="694">
        <f t="shared" si="441"/>
        <v>0</v>
      </c>
      <c r="Z3360" s="690"/>
      <c r="AA3360" s="690"/>
      <c r="AB3360" s="695">
        <f t="shared" si="442"/>
        <v>0</v>
      </c>
      <c r="AC3360" s="1035"/>
      <c r="AD3360" s="690"/>
      <c r="AE3360" s="1025"/>
      <c r="AF3360" s="1030"/>
      <c r="AG3360" s="690"/>
      <c r="AH3360" s="690"/>
      <c r="AI3360" s="696">
        <f t="shared" si="443"/>
        <v>0</v>
      </c>
      <c r="AJ3360" s="697">
        <f t="shared" si="444"/>
        <v>0</v>
      </c>
    </row>
    <row r="3361" spans="1:36" s="700" customFormat="1" ht="12.75" customHeight="1">
      <c r="A3361" s="908" t="s">
        <v>217</v>
      </c>
      <c r="B3361" s="927" t="s">
        <v>318</v>
      </c>
      <c r="C3361" s="920" t="s">
        <v>377</v>
      </c>
      <c r="D3361" s="920"/>
      <c r="E3361" s="916"/>
      <c r="F3361" s="917"/>
      <c r="G3361" s="1025"/>
      <c r="H3361" s="690"/>
      <c r="I3361" s="1030"/>
      <c r="J3361" s="690"/>
      <c r="K3361" s="1030"/>
      <c r="L3361" s="690"/>
      <c r="M3361" s="1025"/>
      <c r="N3361" s="1030"/>
      <c r="O3361" s="692">
        <f t="shared" si="437"/>
        <v>0</v>
      </c>
      <c r="P3361" s="690"/>
      <c r="Q3361" s="690"/>
      <c r="R3361" s="691">
        <f t="shared" si="438"/>
        <v>0</v>
      </c>
      <c r="S3361" s="692">
        <f t="shared" si="439"/>
        <v>0</v>
      </c>
      <c r="T3361" s="693">
        <f t="shared" si="440"/>
        <v>0</v>
      </c>
      <c r="U3361" s="1035"/>
      <c r="V3361" s="690"/>
      <c r="W3361" s="1025"/>
      <c r="X3361" s="1030"/>
      <c r="Y3361" s="694">
        <f t="shared" si="441"/>
        <v>0</v>
      </c>
      <c r="Z3361" s="690"/>
      <c r="AA3361" s="690"/>
      <c r="AB3361" s="695">
        <f t="shared" si="442"/>
        <v>0</v>
      </c>
      <c r="AC3361" s="1035"/>
      <c r="AD3361" s="690"/>
      <c r="AE3361" s="1025"/>
      <c r="AF3361" s="1030"/>
      <c r="AG3361" s="690"/>
      <c r="AH3361" s="690"/>
      <c r="AI3361" s="696">
        <f t="shared" si="443"/>
        <v>0</v>
      </c>
      <c r="AJ3361" s="697">
        <f t="shared" si="444"/>
        <v>0</v>
      </c>
    </row>
    <row r="3362" spans="1:36" s="700" customFormat="1" ht="12.75" customHeight="1">
      <c r="A3362" s="908" t="s">
        <v>217</v>
      </c>
      <c r="B3362" s="908" t="s">
        <v>420</v>
      </c>
      <c r="C3362" s="919" t="s">
        <v>1889</v>
      </c>
      <c r="D3362" s="919"/>
      <c r="E3362" s="1010"/>
      <c r="F3362" s="911"/>
      <c r="G3362" s="1025"/>
      <c r="H3362" s="690"/>
      <c r="I3362" s="1030"/>
      <c r="J3362" s="690"/>
      <c r="K3362" s="1030"/>
      <c r="L3362" s="690"/>
      <c r="M3362" s="1025"/>
      <c r="N3362" s="1030"/>
      <c r="O3362" s="692">
        <f t="shared" si="437"/>
        <v>0</v>
      </c>
      <c r="P3362" s="690"/>
      <c r="Q3362" s="690"/>
      <c r="R3362" s="691">
        <f t="shared" si="438"/>
        <v>0</v>
      </c>
      <c r="S3362" s="692">
        <f t="shared" si="439"/>
        <v>0</v>
      </c>
      <c r="T3362" s="693">
        <f t="shared" si="440"/>
        <v>0</v>
      </c>
      <c r="U3362" s="1035"/>
      <c r="V3362" s="690"/>
      <c r="W3362" s="1025"/>
      <c r="X3362" s="1030"/>
      <c r="Y3362" s="694">
        <f t="shared" si="441"/>
        <v>0</v>
      </c>
      <c r="Z3362" s="690"/>
      <c r="AA3362" s="690"/>
      <c r="AB3362" s="695">
        <f t="shared" si="442"/>
        <v>0</v>
      </c>
      <c r="AC3362" s="1035"/>
      <c r="AD3362" s="690"/>
      <c r="AE3362" s="1025"/>
      <c r="AF3362" s="1030"/>
      <c r="AG3362" s="690"/>
      <c r="AH3362" s="690"/>
      <c r="AI3362" s="696">
        <f t="shared" si="443"/>
        <v>0</v>
      </c>
      <c r="AJ3362" s="697">
        <f t="shared" si="444"/>
        <v>0</v>
      </c>
    </row>
    <row r="3363" spans="1:36" s="700" customFormat="1" ht="12.75" customHeight="1">
      <c r="A3363" s="908" t="s">
        <v>217</v>
      </c>
      <c r="B3363" s="927" t="s">
        <v>295</v>
      </c>
      <c r="C3363" s="920" t="s">
        <v>1885</v>
      </c>
      <c r="D3363" s="920"/>
      <c r="E3363" s="916"/>
      <c r="F3363" s="917"/>
      <c r="G3363" s="1025"/>
      <c r="H3363" s="690"/>
      <c r="I3363" s="1030"/>
      <c r="J3363" s="690"/>
      <c r="K3363" s="1030"/>
      <c r="L3363" s="690"/>
      <c r="M3363" s="1025"/>
      <c r="N3363" s="1030"/>
      <c r="O3363" s="692">
        <f t="shared" si="437"/>
        <v>0</v>
      </c>
      <c r="P3363" s="690"/>
      <c r="Q3363" s="690"/>
      <c r="R3363" s="691">
        <f t="shared" si="438"/>
        <v>0</v>
      </c>
      <c r="S3363" s="692">
        <f t="shared" si="439"/>
        <v>0</v>
      </c>
      <c r="T3363" s="693">
        <f t="shared" si="440"/>
        <v>0</v>
      </c>
      <c r="U3363" s="1035"/>
      <c r="V3363" s="690"/>
      <c r="W3363" s="1025"/>
      <c r="X3363" s="1030"/>
      <c r="Y3363" s="694">
        <f t="shared" si="441"/>
        <v>0</v>
      </c>
      <c r="Z3363" s="690"/>
      <c r="AA3363" s="690"/>
      <c r="AB3363" s="695">
        <f t="shared" si="442"/>
        <v>0</v>
      </c>
      <c r="AC3363" s="1035"/>
      <c r="AD3363" s="690"/>
      <c r="AE3363" s="1025"/>
      <c r="AF3363" s="1030"/>
      <c r="AG3363" s="690"/>
      <c r="AH3363" s="690"/>
      <c r="AI3363" s="696">
        <f t="shared" si="443"/>
        <v>0</v>
      </c>
      <c r="AJ3363" s="697">
        <f t="shared" si="444"/>
        <v>0</v>
      </c>
    </row>
    <row r="3364" spans="1:36" s="700" customFormat="1" ht="12.75" customHeight="1">
      <c r="A3364" s="908" t="s">
        <v>217</v>
      </c>
      <c r="B3364" s="927" t="s">
        <v>296</v>
      </c>
      <c r="C3364" s="920" t="s">
        <v>443</v>
      </c>
      <c r="D3364" s="920"/>
      <c r="E3364" s="916"/>
      <c r="F3364" s="917"/>
      <c r="G3364" s="1025"/>
      <c r="H3364" s="690"/>
      <c r="I3364" s="1030"/>
      <c r="J3364" s="690"/>
      <c r="K3364" s="1030"/>
      <c r="L3364" s="690"/>
      <c r="M3364" s="1025"/>
      <c r="N3364" s="1030"/>
      <c r="O3364" s="692">
        <f t="shared" si="437"/>
        <v>0</v>
      </c>
      <c r="P3364" s="690"/>
      <c r="Q3364" s="690"/>
      <c r="R3364" s="691">
        <f t="shared" si="438"/>
        <v>0</v>
      </c>
      <c r="S3364" s="692">
        <f t="shared" si="439"/>
        <v>0</v>
      </c>
      <c r="T3364" s="693">
        <f t="shared" si="440"/>
        <v>0</v>
      </c>
      <c r="U3364" s="1035"/>
      <c r="V3364" s="690"/>
      <c r="W3364" s="1025"/>
      <c r="X3364" s="1030"/>
      <c r="Y3364" s="694">
        <f t="shared" si="441"/>
        <v>0</v>
      </c>
      <c r="Z3364" s="690"/>
      <c r="AA3364" s="690"/>
      <c r="AB3364" s="695">
        <f t="shared" si="442"/>
        <v>0</v>
      </c>
      <c r="AC3364" s="1035"/>
      <c r="AD3364" s="690"/>
      <c r="AE3364" s="1025"/>
      <c r="AF3364" s="1030"/>
      <c r="AG3364" s="690"/>
      <c r="AH3364" s="690"/>
      <c r="AI3364" s="696">
        <f t="shared" si="443"/>
        <v>0</v>
      </c>
      <c r="AJ3364" s="697">
        <f t="shared" si="444"/>
        <v>0</v>
      </c>
    </row>
    <row r="3365" spans="1:36" s="700" customFormat="1" ht="12.75" customHeight="1">
      <c r="A3365" s="908" t="s">
        <v>217</v>
      </c>
      <c r="B3365" s="927" t="s">
        <v>278</v>
      </c>
      <c r="C3365" s="920" t="s">
        <v>377</v>
      </c>
      <c r="D3365" s="920"/>
      <c r="E3365" s="916"/>
      <c r="F3365" s="917"/>
      <c r="G3365" s="1025"/>
      <c r="H3365" s="690"/>
      <c r="I3365" s="1030"/>
      <c r="J3365" s="690"/>
      <c r="K3365" s="1030"/>
      <c r="L3365" s="690"/>
      <c r="M3365" s="1025"/>
      <c r="N3365" s="1030"/>
      <c r="O3365" s="692">
        <f t="shared" si="437"/>
        <v>0</v>
      </c>
      <c r="P3365" s="690"/>
      <c r="Q3365" s="690"/>
      <c r="R3365" s="691">
        <f t="shared" si="438"/>
        <v>0</v>
      </c>
      <c r="S3365" s="692">
        <f t="shared" si="439"/>
        <v>0</v>
      </c>
      <c r="T3365" s="693">
        <f t="shared" si="440"/>
        <v>0</v>
      </c>
      <c r="U3365" s="1035">
        <v>115736</v>
      </c>
      <c r="V3365" s="690">
        <v>127772</v>
      </c>
      <c r="W3365" s="1025"/>
      <c r="X3365" s="1030"/>
      <c r="Y3365" s="694">
        <f t="shared" si="441"/>
        <v>0</v>
      </c>
      <c r="Z3365" s="690"/>
      <c r="AA3365" s="690"/>
      <c r="AB3365" s="695">
        <f t="shared" si="442"/>
        <v>0</v>
      </c>
      <c r="AC3365" s="1035"/>
      <c r="AD3365" s="690"/>
      <c r="AE3365" s="1025"/>
      <c r="AF3365" s="1030"/>
      <c r="AG3365" s="690"/>
      <c r="AH3365" s="690"/>
      <c r="AI3365" s="696">
        <f t="shared" si="443"/>
        <v>115736</v>
      </c>
      <c r="AJ3365" s="697">
        <f t="shared" si="444"/>
        <v>127772</v>
      </c>
    </row>
    <row r="3366" spans="1:36" s="700" customFormat="1" ht="12.75" customHeight="1">
      <c r="A3366" s="908" t="s">
        <v>217</v>
      </c>
      <c r="B3366" s="908" t="s">
        <v>279</v>
      </c>
      <c r="C3366" s="920" t="s">
        <v>1886</v>
      </c>
      <c r="D3366" s="920"/>
      <c r="E3366" s="916"/>
      <c r="F3366" s="917"/>
      <c r="G3366" s="1025"/>
      <c r="H3366" s="690"/>
      <c r="I3366" s="1030"/>
      <c r="J3366" s="690"/>
      <c r="K3366" s="1030"/>
      <c r="L3366" s="690"/>
      <c r="M3366" s="1025"/>
      <c r="N3366" s="1030"/>
      <c r="O3366" s="692">
        <f t="shared" si="437"/>
        <v>0</v>
      </c>
      <c r="P3366" s="690"/>
      <c r="Q3366" s="690"/>
      <c r="R3366" s="691">
        <f t="shared" si="438"/>
        <v>0</v>
      </c>
      <c r="S3366" s="692">
        <f t="shared" si="439"/>
        <v>0</v>
      </c>
      <c r="T3366" s="693">
        <f t="shared" si="440"/>
        <v>0</v>
      </c>
      <c r="U3366" s="1035"/>
      <c r="V3366" s="690"/>
      <c r="W3366" s="1025"/>
      <c r="X3366" s="1030"/>
      <c r="Y3366" s="694">
        <f t="shared" si="441"/>
        <v>0</v>
      </c>
      <c r="Z3366" s="690"/>
      <c r="AA3366" s="690"/>
      <c r="AB3366" s="695">
        <f t="shared" si="442"/>
        <v>0</v>
      </c>
      <c r="AC3366" s="1035"/>
      <c r="AD3366" s="690"/>
      <c r="AE3366" s="1025"/>
      <c r="AF3366" s="1030"/>
      <c r="AG3366" s="690"/>
      <c r="AH3366" s="690"/>
      <c r="AI3366" s="696">
        <f t="shared" si="443"/>
        <v>0</v>
      </c>
      <c r="AJ3366" s="697">
        <f t="shared" si="444"/>
        <v>0</v>
      </c>
    </row>
    <row r="3367" spans="1:36" s="700" customFormat="1" ht="12.75" customHeight="1">
      <c r="A3367" s="908" t="s">
        <v>217</v>
      </c>
      <c r="B3367" s="927" t="s">
        <v>317</v>
      </c>
      <c r="C3367" s="920" t="s">
        <v>443</v>
      </c>
      <c r="D3367" s="920"/>
      <c r="E3367" s="916"/>
      <c r="F3367" s="917"/>
      <c r="G3367" s="1025"/>
      <c r="H3367" s="690"/>
      <c r="I3367" s="1030"/>
      <c r="J3367" s="690"/>
      <c r="K3367" s="1030"/>
      <c r="L3367" s="690"/>
      <c r="M3367" s="1025"/>
      <c r="N3367" s="1030"/>
      <c r="O3367" s="692">
        <f t="shared" si="437"/>
        <v>0</v>
      </c>
      <c r="P3367" s="690"/>
      <c r="Q3367" s="690"/>
      <c r="R3367" s="691">
        <f t="shared" si="438"/>
        <v>0</v>
      </c>
      <c r="S3367" s="692">
        <f t="shared" si="439"/>
        <v>0</v>
      </c>
      <c r="T3367" s="693">
        <f t="shared" si="440"/>
        <v>0</v>
      </c>
      <c r="U3367" s="1035"/>
      <c r="V3367" s="690"/>
      <c r="W3367" s="1025"/>
      <c r="X3367" s="1030"/>
      <c r="Y3367" s="694">
        <f t="shared" si="441"/>
        <v>0</v>
      </c>
      <c r="Z3367" s="690"/>
      <c r="AA3367" s="690"/>
      <c r="AB3367" s="695">
        <f t="shared" si="442"/>
        <v>0</v>
      </c>
      <c r="AC3367" s="1035"/>
      <c r="AD3367" s="690"/>
      <c r="AE3367" s="1025"/>
      <c r="AF3367" s="1030"/>
      <c r="AG3367" s="690"/>
      <c r="AH3367" s="690"/>
      <c r="AI3367" s="696">
        <f t="shared" si="443"/>
        <v>0</v>
      </c>
      <c r="AJ3367" s="697">
        <f t="shared" si="444"/>
        <v>0</v>
      </c>
    </row>
    <row r="3368" spans="1:36" s="700" customFormat="1" ht="12.75" customHeight="1">
      <c r="A3368" s="908" t="s">
        <v>217</v>
      </c>
      <c r="B3368" s="927" t="s">
        <v>318</v>
      </c>
      <c r="C3368" s="920" t="s">
        <v>377</v>
      </c>
      <c r="D3368" s="920"/>
      <c r="E3368" s="916"/>
      <c r="F3368" s="917"/>
      <c r="G3368" s="1025"/>
      <c r="H3368" s="690"/>
      <c r="I3368" s="1030"/>
      <c r="J3368" s="690"/>
      <c r="K3368" s="1030"/>
      <c r="L3368" s="690"/>
      <c r="M3368" s="1025"/>
      <c r="N3368" s="1030"/>
      <c r="O3368" s="692">
        <f t="shared" si="437"/>
        <v>0</v>
      </c>
      <c r="P3368" s="690"/>
      <c r="Q3368" s="690"/>
      <c r="R3368" s="691">
        <f t="shared" si="438"/>
        <v>0</v>
      </c>
      <c r="S3368" s="692">
        <f t="shared" si="439"/>
        <v>0</v>
      </c>
      <c r="T3368" s="693">
        <f t="shared" si="440"/>
        <v>0</v>
      </c>
      <c r="U3368" s="1035">
        <v>25406</v>
      </c>
      <c r="V3368" s="690">
        <v>13370</v>
      </c>
      <c r="W3368" s="1025"/>
      <c r="X3368" s="1030"/>
      <c r="Y3368" s="694">
        <f t="shared" si="441"/>
        <v>0</v>
      </c>
      <c r="Z3368" s="690"/>
      <c r="AA3368" s="690"/>
      <c r="AB3368" s="695">
        <f t="shared" si="442"/>
        <v>0</v>
      </c>
      <c r="AC3368" s="1035"/>
      <c r="AD3368" s="690"/>
      <c r="AE3368" s="1025"/>
      <c r="AF3368" s="1030"/>
      <c r="AG3368" s="690"/>
      <c r="AH3368" s="690"/>
      <c r="AI3368" s="696">
        <f t="shared" si="443"/>
        <v>25406</v>
      </c>
      <c r="AJ3368" s="697">
        <f t="shared" si="444"/>
        <v>13370</v>
      </c>
    </row>
    <row r="3369" spans="1:36" s="700" customFormat="1" ht="12.75" customHeight="1">
      <c r="A3369" s="908" t="s">
        <v>217</v>
      </c>
      <c r="B3369" s="908" t="s">
        <v>420</v>
      </c>
      <c r="C3369" s="919" t="s">
        <v>1890</v>
      </c>
      <c r="D3369" s="919"/>
      <c r="E3369" s="916"/>
      <c r="F3369" s="917"/>
      <c r="G3369" s="1025"/>
      <c r="H3369" s="690"/>
      <c r="I3369" s="1030"/>
      <c r="J3369" s="690"/>
      <c r="K3369" s="1030"/>
      <c r="L3369" s="690"/>
      <c r="M3369" s="1025"/>
      <c r="N3369" s="1030"/>
      <c r="O3369" s="692">
        <f t="shared" si="437"/>
        <v>0</v>
      </c>
      <c r="P3369" s="690"/>
      <c r="Q3369" s="690"/>
      <c r="R3369" s="691">
        <f t="shared" si="438"/>
        <v>0</v>
      </c>
      <c r="S3369" s="692">
        <f t="shared" si="439"/>
        <v>0</v>
      </c>
      <c r="T3369" s="693">
        <f t="shared" si="440"/>
        <v>0</v>
      </c>
      <c r="U3369" s="1035"/>
      <c r="V3369" s="690"/>
      <c r="W3369" s="1025"/>
      <c r="X3369" s="1030"/>
      <c r="Y3369" s="694">
        <f t="shared" si="441"/>
        <v>0</v>
      </c>
      <c r="Z3369" s="690"/>
      <c r="AA3369" s="690"/>
      <c r="AB3369" s="695">
        <f t="shared" si="442"/>
        <v>0</v>
      </c>
      <c r="AC3369" s="1035"/>
      <c r="AD3369" s="690"/>
      <c r="AE3369" s="1025"/>
      <c r="AF3369" s="1030"/>
      <c r="AG3369" s="690"/>
      <c r="AH3369" s="690"/>
      <c r="AI3369" s="696">
        <f t="shared" si="443"/>
        <v>0</v>
      </c>
      <c r="AJ3369" s="697">
        <f t="shared" si="444"/>
        <v>0</v>
      </c>
    </row>
    <row r="3370" spans="1:36" s="700" customFormat="1" ht="12.75" customHeight="1">
      <c r="A3370" s="908" t="s">
        <v>217</v>
      </c>
      <c r="B3370" s="927" t="s">
        <v>295</v>
      </c>
      <c r="C3370" s="920" t="s">
        <v>1885</v>
      </c>
      <c r="D3370" s="920"/>
      <c r="E3370" s="916"/>
      <c r="F3370" s="917"/>
      <c r="G3370" s="1025"/>
      <c r="H3370" s="690"/>
      <c r="I3370" s="1030"/>
      <c r="J3370" s="690"/>
      <c r="K3370" s="1030"/>
      <c r="L3370" s="690"/>
      <c r="M3370" s="1025"/>
      <c r="N3370" s="1030"/>
      <c r="O3370" s="692">
        <f t="shared" si="437"/>
        <v>0</v>
      </c>
      <c r="P3370" s="690"/>
      <c r="Q3370" s="690"/>
      <c r="R3370" s="691">
        <f t="shared" si="438"/>
        <v>0</v>
      </c>
      <c r="S3370" s="692">
        <f t="shared" si="439"/>
        <v>0</v>
      </c>
      <c r="T3370" s="693">
        <f t="shared" si="440"/>
        <v>0</v>
      </c>
      <c r="U3370" s="1035"/>
      <c r="V3370" s="690"/>
      <c r="W3370" s="1025"/>
      <c r="X3370" s="1030"/>
      <c r="Y3370" s="694">
        <f t="shared" si="441"/>
        <v>0</v>
      </c>
      <c r="Z3370" s="690"/>
      <c r="AA3370" s="690"/>
      <c r="AB3370" s="695">
        <f t="shared" si="442"/>
        <v>0</v>
      </c>
      <c r="AC3370" s="1035"/>
      <c r="AD3370" s="690"/>
      <c r="AE3370" s="1025"/>
      <c r="AF3370" s="1030"/>
      <c r="AG3370" s="690"/>
      <c r="AH3370" s="690"/>
      <c r="AI3370" s="696">
        <f t="shared" si="443"/>
        <v>0</v>
      </c>
      <c r="AJ3370" s="697">
        <f t="shared" si="444"/>
        <v>0</v>
      </c>
    </row>
    <row r="3371" spans="1:36" s="700" customFormat="1" ht="12.75" customHeight="1">
      <c r="A3371" s="908" t="s">
        <v>217</v>
      </c>
      <c r="B3371" s="927" t="s">
        <v>296</v>
      </c>
      <c r="C3371" s="920" t="s">
        <v>443</v>
      </c>
      <c r="D3371" s="920"/>
      <c r="E3371" s="916"/>
      <c r="F3371" s="917"/>
      <c r="G3371" s="1025"/>
      <c r="H3371" s="690"/>
      <c r="I3371" s="1030"/>
      <c r="J3371" s="690"/>
      <c r="K3371" s="1030"/>
      <c r="L3371" s="690"/>
      <c r="M3371" s="1025"/>
      <c r="N3371" s="1030"/>
      <c r="O3371" s="692">
        <f t="shared" si="437"/>
        <v>0</v>
      </c>
      <c r="P3371" s="690"/>
      <c r="Q3371" s="690"/>
      <c r="R3371" s="691">
        <f t="shared" si="438"/>
        <v>0</v>
      </c>
      <c r="S3371" s="692">
        <f t="shared" si="439"/>
        <v>0</v>
      </c>
      <c r="T3371" s="693">
        <f t="shared" si="440"/>
        <v>0</v>
      </c>
      <c r="U3371" s="1035"/>
      <c r="V3371" s="690"/>
      <c r="W3371" s="1025"/>
      <c r="X3371" s="1030"/>
      <c r="Y3371" s="694">
        <f t="shared" si="441"/>
        <v>0</v>
      </c>
      <c r="Z3371" s="690"/>
      <c r="AA3371" s="690"/>
      <c r="AB3371" s="695">
        <f t="shared" si="442"/>
        <v>0</v>
      </c>
      <c r="AC3371" s="1035"/>
      <c r="AD3371" s="690"/>
      <c r="AE3371" s="1025"/>
      <c r="AF3371" s="1030"/>
      <c r="AG3371" s="690"/>
      <c r="AH3371" s="690"/>
      <c r="AI3371" s="696">
        <f t="shared" si="443"/>
        <v>0</v>
      </c>
      <c r="AJ3371" s="697">
        <f t="shared" si="444"/>
        <v>0</v>
      </c>
    </row>
    <row r="3372" spans="1:36" s="700" customFormat="1" ht="12.75" customHeight="1">
      <c r="A3372" s="908" t="s">
        <v>217</v>
      </c>
      <c r="B3372" s="927" t="s">
        <v>278</v>
      </c>
      <c r="C3372" s="920" t="s">
        <v>377</v>
      </c>
      <c r="D3372" s="920"/>
      <c r="E3372" s="916"/>
      <c r="F3372" s="917"/>
      <c r="G3372" s="1025"/>
      <c r="H3372" s="690"/>
      <c r="I3372" s="1030"/>
      <c r="J3372" s="690"/>
      <c r="K3372" s="1030"/>
      <c r="L3372" s="690"/>
      <c r="M3372" s="1025"/>
      <c r="N3372" s="1030"/>
      <c r="O3372" s="692">
        <f t="shared" si="437"/>
        <v>0</v>
      </c>
      <c r="P3372" s="690"/>
      <c r="Q3372" s="690"/>
      <c r="R3372" s="691">
        <f t="shared" si="438"/>
        <v>0</v>
      </c>
      <c r="S3372" s="692">
        <f t="shared" si="439"/>
        <v>0</v>
      </c>
      <c r="T3372" s="693">
        <f t="shared" si="440"/>
        <v>0</v>
      </c>
      <c r="U3372" s="1035">
        <v>461064</v>
      </c>
      <c r="V3372" s="690">
        <v>445341</v>
      </c>
      <c r="W3372" s="1025"/>
      <c r="X3372" s="1030"/>
      <c r="Y3372" s="694">
        <f t="shared" si="441"/>
        <v>0</v>
      </c>
      <c r="Z3372" s="690"/>
      <c r="AA3372" s="690"/>
      <c r="AB3372" s="695">
        <f t="shared" si="442"/>
        <v>0</v>
      </c>
      <c r="AC3372" s="1035"/>
      <c r="AD3372" s="690"/>
      <c r="AE3372" s="1025"/>
      <c r="AF3372" s="1030"/>
      <c r="AG3372" s="690"/>
      <c r="AH3372" s="690"/>
      <c r="AI3372" s="696">
        <f t="shared" si="443"/>
        <v>461064</v>
      </c>
      <c r="AJ3372" s="697">
        <f t="shared" si="444"/>
        <v>445341</v>
      </c>
    </row>
    <row r="3373" spans="1:36" s="700" customFormat="1" ht="12.75" customHeight="1">
      <c r="A3373" s="908" t="s">
        <v>217</v>
      </c>
      <c r="B3373" s="927" t="s">
        <v>279</v>
      </c>
      <c r="C3373" s="920" t="s">
        <v>1886</v>
      </c>
      <c r="D3373" s="920"/>
      <c r="E3373" s="916"/>
      <c r="F3373" s="917"/>
      <c r="G3373" s="1025"/>
      <c r="H3373" s="690"/>
      <c r="I3373" s="1030"/>
      <c r="J3373" s="690"/>
      <c r="K3373" s="1030"/>
      <c r="L3373" s="690"/>
      <c r="M3373" s="1025"/>
      <c r="N3373" s="1030"/>
      <c r="O3373" s="692">
        <f t="shared" si="437"/>
        <v>0</v>
      </c>
      <c r="P3373" s="690"/>
      <c r="Q3373" s="690"/>
      <c r="R3373" s="691">
        <f t="shared" si="438"/>
        <v>0</v>
      </c>
      <c r="S3373" s="692">
        <f t="shared" si="439"/>
        <v>0</v>
      </c>
      <c r="T3373" s="693">
        <f t="shared" si="440"/>
        <v>0</v>
      </c>
      <c r="U3373" s="1035"/>
      <c r="V3373" s="690"/>
      <c r="W3373" s="1025"/>
      <c r="X3373" s="1030"/>
      <c r="Y3373" s="694">
        <f t="shared" si="441"/>
        <v>0</v>
      </c>
      <c r="Z3373" s="690"/>
      <c r="AA3373" s="690"/>
      <c r="AB3373" s="695">
        <f t="shared" si="442"/>
        <v>0</v>
      </c>
      <c r="AC3373" s="1035"/>
      <c r="AD3373" s="690"/>
      <c r="AE3373" s="1025"/>
      <c r="AF3373" s="1030"/>
      <c r="AG3373" s="690"/>
      <c r="AH3373" s="690"/>
      <c r="AI3373" s="696">
        <f t="shared" si="443"/>
        <v>0</v>
      </c>
      <c r="AJ3373" s="697">
        <f t="shared" si="444"/>
        <v>0</v>
      </c>
    </row>
    <row r="3374" spans="1:36" s="700" customFormat="1" ht="12.75" customHeight="1">
      <c r="A3374" s="908" t="s">
        <v>217</v>
      </c>
      <c r="B3374" s="927" t="s">
        <v>317</v>
      </c>
      <c r="C3374" s="920" t="s">
        <v>443</v>
      </c>
      <c r="D3374" s="920"/>
      <c r="E3374" s="916"/>
      <c r="F3374" s="917"/>
      <c r="G3374" s="1025"/>
      <c r="H3374" s="690"/>
      <c r="I3374" s="1030"/>
      <c r="J3374" s="690"/>
      <c r="K3374" s="1030"/>
      <c r="L3374" s="690"/>
      <c r="M3374" s="1025"/>
      <c r="N3374" s="1030"/>
      <c r="O3374" s="692">
        <f t="shared" si="437"/>
        <v>0</v>
      </c>
      <c r="P3374" s="690"/>
      <c r="Q3374" s="690"/>
      <c r="R3374" s="691">
        <f t="shared" si="438"/>
        <v>0</v>
      </c>
      <c r="S3374" s="692">
        <f t="shared" si="439"/>
        <v>0</v>
      </c>
      <c r="T3374" s="693">
        <f t="shared" si="440"/>
        <v>0</v>
      </c>
      <c r="U3374" s="1035"/>
      <c r="V3374" s="690"/>
      <c r="W3374" s="1025"/>
      <c r="X3374" s="1030"/>
      <c r="Y3374" s="694">
        <f t="shared" si="441"/>
        <v>0</v>
      </c>
      <c r="Z3374" s="690"/>
      <c r="AA3374" s="690"/>
      <c r="AB3374" s="695">
        <f t="shared" si="442"/>
        <v>0</v>
      </c>
      <c r="AC3374" s="1035"/>
      <c r="AD3374" s="690"/>
      <c r="AE3374" s="1025"/>
      <c r="AF3374" s="1030"/>
      <c r="AG3374" s="690"/>
      <c r="AH3374" s="690"/>
      <c r="AI3374" s="696">
        <f t="shared" si="443"/>
        <v>0</v>
      </c>
      <c r="AJ3374" s="697">
        <f t="shared" si="444"/>
        <v>0</v>
      </c>
    </row>
    <row r="3375" spans="1:36" s="700" customFormat="1" ht="12.75" customHeight="1">
      <c r="A3375" s="908" t="s">
        <v>217</v>
      </c>
      <c r="B3375" s="927" t="s">
        <v>318</v>
      </c>
      <c r="C3375" s="920" t="s">
        <v>377</v>
      </c>
      <c r="D3375" s="920"/>
      <c r="E3375" s="916"/>
      <c r="F3375" s="917"/>
      <c r="G3375" s="1025"/>
      <c r="H3375" s="690"/>
      <c r="I3375" s="1030"/>
      <c r="J3375" s="690"/>
      <c r="K3375" s="1030"/>
      <c r="L3375" s="690"/>
      <c r="M3375" s="1025"/>
      <c r="N3375" s="1030"/>
      <c r="O3375" s="692">
        <f t="shared" si="437"/>
        <v>0</v>
      </c>
      <c r="P3375" s="690"/>
      <c r="Q3375" s="690"/>
      <c r="R3375" s="691">
        <f t="shared" si="438"/>
        <v>0</v>
      </c>
      <c r="S3375" s="692">
        <f t="shared" si="439"/>
        <v>0</v>
      </c>
      <c r="T3375" s="693">
        <f t="shared" si="440"/>
        <v>0</v>
      </c>
      <c r="U3375" s="1035">
        <v>9409</v>
      </c>
      <c r="V3375" s="690">
        <v>25132</v>
      </c>
      <c r="W3375" s="1025"/>
      <c r="X3375" s="1030"/>
      <c r="Y3375" s="694">
        <f t="shared" si="441"/>
        <v>0</v>
      </c>
      <c r="Z3375" s="690"/>
      <c r="AA3375" s="690"/>
      <c r="AB3375" s="695">
        <f t="shared" si="442"/>
        <v>0</v>
      </c>
      <c r="AC3375" s="1035"/>
      <c r="AD3375" s="690"/>
      <c r="AE3375" s="1025"/>
      <c r="AF3375" s="1030"/>
      <c r="AG3375" s="690"/>
      <c r="AH3375" s="690"/>
      <c r="AI3375" s="696">
        <f t="shared" si="443"/>
        <v>9409</v>
      </c>
      <c r="AJ3375" s="697">
        <f t="shared" si="444"/>
        <v>25132</v>
      </c>
    </row>
    <row r="3376" spans="1:36" s="700" customFormat="1" ht="12.75" customHeight="1">
      <c r="A3376" s="908" t="s">
        <v>217</v>
      </c>
      <c r="B3376" s="908" t="s">
        <v>420</v>
      </c>
      <c r="C3376" s="919" t="s">
        <v>1891</v>
      </c>
      <c r="D3376" s="919"/>
      <c r="E3376" s="1010"/>
      <c r="F3376" s="911"/>
      <c r="G3376" s="1025"/>
      <c r="H3376" s="690"/>
      <c r="I3376" s="1030"/>
      <c r="J3376" s="690"/>
      <c r="K3376" s="1030"/>
      <c r="L3376" s="690"/>
      <c r="M3376" s="1025"/>
      <c r="N3376" s="1030"/>
      <c r="O3376" s="692">
        <f t="shared" si="437"/>
        <v>0</v>
      </c>
      <c r="P3376" s="690"/>
      <c r="Q3376" s="690"/>
      <c r="R3376" s="691">
        <f t="shared" si="438"/>
        <v>0</v>
      </c>
      <c r="S3376" s="692">
        <f t="shared" si="439"/>
        <v>0</v>
      </c>
      <c r="T3376" s="693">
        <f t="shared" si="440"/>
        <v>0</v>
      </c>
      <c r="U3376" s="1035"/>
      <c r="V3376" s="690"/>
      <c r="W3376" s="1025"/>
      <c r="X3376" s="1030"/>
      <c r="Y3376" s="694">
        <f t="shared" si="441"/>
        <v>0</v>
      </c>
      <c r="Z3376" s="690"/>
      <c r="AA3376" s="690"/>
      <c r="AB3376" s="695">
        <f t="shared" si="442"/>
        <v>0</v>
      </c>
      <c r="AC3376" s="1035"/>
      <c r="AD3376" s="690"/>
      <c r="AE3376" s="1025"/>
      <c r="AF3376" s="1030"/>
      <c r="AG3376" s="690"/>
      <c r="AH3376" s="690"/>
      <c r="AI3376" s="696">
        <f t="shared" si="443"/>
        <v>0</v>
      </c>
      <c r="AJ3376" s="697">
        <f t="shared" si="444"/>
        <v>0</v>
      </c>
    </row>
    <row r="3377" spans="1:36" s="700" customFormat="1" ht="12.75" customHeight="1">
      <c r="A3377" s="908" t="s">
        <v>217</v>
      </c>
      <c r="B3377" s="927" t="s">
        <v>295</v>
      </c>
      <c r="C3377" s="920" t="s">
        <v>1892</v>
      </c>
      <c r="D3377" s="920"/>
      <c r="E3377" s="916"/>
      <c r="F3377" s="917"/>
      <c r="G3377" s="1025"/>
      <c r="H3377" s="690"/>
      <c r="I3377" s="1030"/>
      <c r="J3377" s="690"/>
      <c r="K3377" s="1030"/>
      <c r="L3377" s="690"/>
      <c r="M3377" s="1025"/>
      <c r="N3377" s="1030"/>
      <c r="O3377" s="692">
        <f t="shared" si="437"/>
        <v>0</v>
      </c>
      <c r="P3377" s="690"/>
      <c r="Q3377" s="690"/>
      <c r="R3377" s="691">
        <f t="shared" si="438"/>
        <v>0</v>
      </c>
      <c r="S3377" s="692">
        <f t="shared" si="439"/>
        <v>0</v>
      </c>
      <c r="T3377" s="693">
        <f t="shared" si="440"/>
        <v>0</v>
      </c>
      <c r="U3377" s="1035"/>
      <c r="V3377" s="690"/>
      <c r="W3377" s="1025"/>
      <c r="X3377" s="1030"/>
      <c r="Y3377" s="694">
        <f t="shared" si="441"/>
        <v>0</v>
      </c>
      <c r="Z3377" s="690"/>
      <c r="AA3377" s="690"/>
      <c r="AB3377" s="695">
        <f t="shared" si="442"/>
        <v>0</v>
      </c>
      <c r="AC3377" s="1035"/>
      <c r="AD3377" s="690"/>
      <c r="AE3377" s="1025"/>
      <c r="AF3377" s="1030"/>
      <c r="AG3377" s="690"/>
      <c r="AH3377" s="690"/>
      <c r="AI3377" s="696">
        <f t="shared" si="443"/>
        <v>0</v>
      </c>
      <c r="AJ3377" s="697">
        <f t="shared" si="444"/>
        <v>0</v>
      </c>
    </row>
    <row r="3378" spans="1:36" s="700" customFormat="1" ht="12.75" customHeight="1">
      <c r="A3378" s="908" t="s">
        <v>217</v>
      </c>
      <c r="B3378" s="927" t="s">
        <v>296</v>
      </c>
      <c r="C3378" s="920" t="s">
        <v>443</v>
      </c>
      <c r="D3378" s="920"/>
      <c r="E3378" s="916"/>
      <c r="F3378" s="917"/>
      <c r="G3378" s="1025"/>
      <c r="H3378" s="690"/>
      <c r="I3378" s="1030"/>
      <c r="J3378" s="690"/>
      <c r="K3378" s="1030"/>
      <c r="L3378" s="690"/>
      <c r="M3378" s="1025"/>
      <c r="N3378" s="1030"/>
      <c r="O3378" s="692">
        <f t="shared" si="437"/>
        <v>0</v>
      </c>
      <c r="P3378" s="690"/>
      <c r="Q3378" s="690"/>
      <c r="R3378" s="691">
        <f t="shared" si="438"/>
        <v>0</v>
      </c>
      <c r="S3378" s="692">
        <f t="shared" si="439"/>
        <v>0</v>
      </c>
      <c r="T3378" s="693">
        <f t="shared" si="440"/>
        <v>0</v>
      </c>
      <c r="U3378" s="1035"/>
      <c r="V3378" s="690"/>
      <c r="W3378" s="1025"/>
      <c r="X3378" s="1030"/>
      <c r="Y3378" s="694">
        <f t="shared" si="441"/>
        <v>0</v>
      </c>
      <c r="Z3378" s="690"/>
      <c r="AA3378" s="690"/>
      <c r="AB3378" s="695">
        <f t="shared" si="442"/>
        <v>0</v>
      </c>
      <c r="AC3378" s="1035"/>
      <c r="AD3378" s="690"/>
      <c r="AE3378" s="1025"/>
      <c r="AF3378" s="1030"/>
      <c r="AG3378" s="690"/>
      <c r="AH3378" s="690"/>
      <c r="AI3378" s="696">
        <f t="shared" si="443"/>
        <v>0</v>
      </c>
      <c r="AJ3378" s="697">
        <f t="shared" si="444"/>
        <v>0</v>
      </c>
    </row>
    <row r="3379" spans="1:36" s="700" customFormat="1" ht="12.75" customHeight="1">
      <c r="A3379" s="908" t="s">
        <v>217</v>
      </c>
      <c r="B3379" s="927" t="s">
        <v>278</v>
      </c>
      <c r="C3379" s="920" t="s">
        <v>377</v>
      </c>
      <c r="D3379" s="920"/>
      <c r="E3379" s="916"/>
      <c r="F3379" s="917"/>
      <c r="G3379" s="1025"/>
      <c r="H3379" s="690"/>
      <c r="I3379" s="1030"/>
      <c r="J3379" s="690"/>
      <c r="K3379" s="1030"/>
      <c r="L3379" s="690"/>
      <c r="M3379" s="1025"/>
      <c r="N3379" s="1030"/>
      <c r="O3379" s="692">
        <f t="shared" si="437"/>
        <v>0</v>
      </c>
      <c r="P3379" s="690"/>
      <c r="Q3379" s="690"/>
      <c r="R3379" s="691">
        <f t="shared" si="438"/>
        <v>0</v>
      </c>
      <c r="S3379" s="692">
        <f t="shared" si="439"/>
        <v>0</v>
      </c>
      <c r="T3379" s="693">
        <f t="shared" si="440"/>
        <v>0</v>
      </c>
      <c r="U3379" s="1035">
        <v>240900</v>
      </c>
      <c r="V3379" s="690">
        <v>198290</v>
      </c>
      <c r="W3379" s="1025"/>
      <c r="X3379" s="1030"/>
      <c r="Y3379" s="694">
        <f t="shared" si="441"/>
        <v>0</v>
      </c>
      <c r="Z3379" s="690"/>
      <c r="AA3379" s="690"/>
      <c r="AB3379" s="695">
        <f t="shared" si="442"/>
        <v>0</v>
      </c>
      <c r="AC3379" s="1035"/>
      <c r="AD3379" s="690"/>
      <c r="AE3379" s="1025"/>
      <c r="AF3379" s="1030"/>
      <c r="AG3379" s="690"/>
      <c r="AH3379" s="690"/>
      <c r="AI3379" s="696">
        <f t="shared" si="443"/>
        <v>240900</v>
      </c>
      <c r="AJ3379" s="697">
        <f t="shared" si="444"/>
        <v>198290</v>
      </c>
    </row>
    <row r="3380" spans="1:36" s="700" customFormat="1" ht="12.75" customHeight="1">
      <c r="A3380" s="908" t="s">
        <v>217</v>
      </c>
      <c r="B3380" s="908" t="s">
        <v>279</v>
      </c>
      <c r="C3380" s="920" t="s">
        <v>1886</v>
      </c>
      <c r="D3380" s="920"/>
      <c r="E3380" s="916"/>
      <c r="F3380" s="917"/>
      <c r="G3380" s="1025"/>
      <c r="H3380" s="690"/>
      <c r="I3380" s="1030"/>
      <c r="J3380" s="690"/>
      <c r="K3380" s="1030"/>
      <c r="L3380" s="690"/>
      <c r="M3380" s="1025"/>
      <c r="N3380" s="1030"/>
      <c r="O3380" s="692">
        <f t="shared" si="437"/>
        <v>0</v>
      </c>
      <c r="P3380" s="690"/>
      <c r="Q3380" s="690"/>
      <c r="R3380" s="691">
        <f t="shared" si="438"/>
        <v>0</v>
      </c>
      <c r="S3380" s="692">
        <f t="shared" si="439"/>
        <v>0</v>
      </c>
      <c r="T3380" s="693">
        <f t="shared" si="440"/>
        <v>0</v>
      </c>
      <c r="U3380" s="1035"/>
      <c r="V3380" s="690"/>
      <c r="W3380" s="1025"/>
      <c r="X3380" s="1030"/>
      <c r="Y3380" s="694">
        <f t="shared" si="441"/>
        <v>0</v>
      </c>
      <c r="Z3380" s="690"/>
      <c r="AA3380" s="690"/>
      <c r="AB3380" s="695">
        <f t="shared" si="442"/>
        <v>0</v>
      </c>
      <c r="AC3380" s="1035"/>
      <c r="AD3380" s="690"/>
      <c r="AE3380" s="1025"/>
      <c r="AF3380" s="1030"/>
      <c r="AG3380" s="690"/>
      <c r="AH3380" s="690"/>
      <c r="AI3380" s="696">
        <f t="shared" si="443"/>
        <v>0</v>
      </c>
      <c r="AJ3380" s="697">
        <f t="shared" si="444"/>
        <v>0</v>
      </c>
    </row>
    <row r="3381" spans="1:36" s="700" customFormat="1" ht="12.75" customHeight="1">
      <c r="A3381" s="908" t="s">
        <v>217</v>
      </c>
      <c r="B3381" s="927" t="s">
        <v>317</v>
      </c>
      <c r="C3381" s="920" t="s">
        <v>443</v>
      </c>
      <c r="D3381" s="920"/>
      <c r="E3381" s="916"/>
      <c r="F3381" s="917"/>
      <c r="G3381" s="1025"/>
      <c r="H3381" s="690"/>
      <c r="I3381" s="1030"/>
      <c r="J3381" s="690"/>
      <c r="K3381" s="1030"/>
      <c r="L3381" s="690"/>
      <c r="M3381" s="1025"/>
      <c r="N3381" s="1030"/>
      <c r="O3381" s="692">
        <f t="shared" si="437"/>
        <v>0</v>
      </c>
      <c r="P3381" s="690"/>
      <c r="Q3381" s="690"/>
      <c r="R3381" s="691">
        <f t="shared" si="438"/>
        <v>0</v>
      </c>
      <c r="S3381" s="692">
        <f t="shared" si="439"/>
        <v>0</v>
      </c>
      <c r="T3381" s="693">
        <f t="shared" si="440"/>
        <v>0</v>
      </c>
      <c r="U3381" s="1035"/>
      <c r="V3381" s="690"/>
      <c r="W3381" s="1025"/>
      <c r="X3381" s="1030"/>
      <c r="Y3381" s="694">
        <f t="shared" si="441"/>
        <v>0</v>
      </c>
      <c r="Z3381" s="690"/>
      <c r="AA3381" s="690"/>
      <c r="AB3381" s="695">
        <f t="shared" si="442"/>
        <v>0</v>
      </c>
      <c r="AC3381" s="1035"/>
      <c r="AD3381" s="690"/>
      <c r="AE3381" s="1025"/>
      <c r="AF3381" s="1030"/>
      <c r="AG3381" s="690"/>
      <c r="AH3381" s="690"/>
      <c r="AI3381" s="696">
        <f t="shared" si="443"/>
        <v>0</v>
      </c>
      <c r="AJ3381" s="697">
        <f t="shared" si="444"/>
        <v>0</v>
      </c>
    </row>
    <row r="3382" spans="1:36" s="700" customFormat="1" ht="12.75" customHeight="1">
      <c r="A3382" s="908" t="s">
        <v>217</v>
      </c>
      <c r="B3382" s="927" t="s">
        <v>318</v>
      </c>
      <c r="C3382" s="920" t="s">
        <v>377</v>
      </c>
      <c r="D3382" s="920"/>
      <c r="E3382" s="916"/>
      <c r="F3382" s="917"/>
      <c r="G3382" s="1025"/>
      <c r="H3382" s="690"/>
      <c r="I3382" s="1030"/>
      <c r="J3382" s="690"/>
      <c r="K3382" s="1030"/>
      <c r="L3382" s="690"/>
      <c r="M3382" s="1025"/>
      <c r="N3382" s="1030"/>
      <c r="O3382" s="692">
        <f t="shared" si="437"/>
        <v>0</v>
      </c>
      <c r="P3382" s="690"/>
      <c r="Q3382" s="690"/>
      <c r="R3382" s="691">
        <f t="shared" si="438"/>
        <v>0</v>
      </c>
      <c r="S3382" s="692">
        <f t="shared" si="439"/>
        <v>0</v>
      </c>
      <c r="T3382" s="693">
        <f t="shared" si="440"/>
        <v>0</v>
      </c>
      <c r="U3382" s="1035">
        <v>10000</v>
      </c>
      <c r="V3382" s="690">
        <v>52710</v>
      </c>
      <c r="W3382" s="1025"/>
      <c r="X3382" s="1030"/>
      <c r="Y3382" s="694">
        <f t="shared" si="441"/>
        <v>0</v>
      </c>
      <c r="Z3382" s="690"/>
      <c r="AA3382" s="690"/>
      <c r="AB3382" s="695">
        <f t="shared" si="442"/>
        <v>0</v>
      </c>
      <c r="AC3382" s="1035"/>
      <c r="AD3382" s="690"/>
      <c r="AE3382" s="1025"/>
      <c r="AF3382" s="1030"/>
      <c r="AG3382" s="690"/>
      <c r="AH3382" s="690"/>
      <c r="AI3382" s="696">
        <f t="shared" si="443"/>
        <v>10000</v>
      </c>
      <c r="AJ3382" s="697">
        <f t="shared" si="444"/>
        <v>52710</v>
      </c>
    </row>
    <row r="3383" spans="1:36" s="700" customFormat="1" ht="12.75" customHeight="1">
      <c r="A3383" s="908" t="s">
        <v>217</v>
      </c>
      <c r="B3383" s="908" t="s">
        <v>420</v>
      </c>
      <c r="C3383" s="919" t="s">
        <v>1893</v>
      </c>
      <c r="D3383" s="919"/>
      <c r="E3383" s="1010"/>
      <c r="F3383" s="911"/>
      <c r="G3383" s="1025"/>
      <c r="H3383" s="690"/>
      <c r="I3383" s="1030"/>
      <c r="J3383" s="690"/>
      <c r="K3383" s="1030"/>
      <c r="L3383" s="690"/>
      <c r="M3383" s="1025"/>
      <c r="N3383" s="1030"/>
      <c r="O3383" s="692">
        <f t="shared" si="437"/>
        <v>0</v>
      </c>
      <c r="P3383" s="690"/>
      <c r="Q3383" s="690"/>
      <c r="R3383" s="691">
        <f t="shared" si="438"/>
        <v>0</v>
      </c>
      <c r="S3383" s="692">
        <f t="shared" si="439"/>
        <v>0</v>
      </c>
      <c r="T3383" s="693">
        <f t="shared" si="440"/>
        <v>0</v>
      </c>
      <c r="U3383" s="1035"/>
      <c r="V3383" s="690"/>
      <c r="W3383" s="1025"/>
      <c r="X3383" s="1030"/>
      <c r="Y3383" s="694">
        <f t="shared" si="441"/>
        <v>0</v>
      </c>
      <c r="Z3383" s="690"/>
      <c r="AA3383" s="690"/>
      <c r="AB3383" s="695">
        <f t="shared" si="442"/>
        <v>0</v>
      </c>
      <c r="AC3383" s="1035"/>
      <c r="AD3383" s="690"/>
      <c r="AE3383" s="1025"/>
      <c r="AF3383" s="1030"/>
      <c r="AG3383" s="690"/>
      <c r="AH3383" s="690"/>
      <c r="AI3383" s="696">
        <f t="shared" si="443"/>
        <v>0</v>
      </c>
      <c r="AJ3383" s="697">
        <f t="shared" si="444"/>
        <v>0</v>
      </c>
    </row>
    <row r="3384" spans="1:36" s="700" customFormat="1" ht="12.75" customHeight="1">
      <c r="A3384" s="908" t="s">
        <v>217</v>
      </c>
      <c r="B3384" s="927" t="s">
        <v>295</v>
      </c>
      <c r="C3384" s="920" t="s">
        <v>1885</v>
      </c>
      <c r="D3384" s="920"/>
      <c r="E3384" s="916"/>
      <c r="F3384" s="917"/>
      <c r="G3384" s="1025"/>
      <c r="H3384" s="690"/>
      <c r="I3384" s="1030"/>
      <c r="J3384" s="690"/>
      <c r="K3384" s="1030"/>
      <c r="L3384" s="690"/>
      <c r="M3384" s="1025"/>
      <c r="N3384" s="1030"/>
      <c r="O3384" s="692">
        <f t="shared" si="437"/>
        <v>0</v>
      </c>
      <c r="P3384" s="690"/>
      <c r="Q3384" s="690"/>
      <c r="R3384" s="691">
        <f t="shared" si="438"/>
        <v>0</v>
      </c>
      <c r="S3384" s="692">
        <f t="shared" si="439"/>
        <v>0</v>
      </c>
      <c r="T3384" s="693">
        <f t="shared" si="440"/>
        <v>0</v>
      </c>
      <c r="U3384" s="1035"/>
      <c r="V3384" s="690"/>
      <c r="W3384" s="1025"/>
      <c r="X3384" s="1030"/>
      <c r="Y3384" s="694">
        <f t="shared" si="441"/>
        <v>0</v>
      </c>
      <c r="Z3384" s="690"/>
      <c r="AA3384" s="690"/>
      <c r="AB3384" s="695">
        <f t="shared" si="442"/>
        <v>0</v>
      </c>
      <c r="AC3384" s="1035"/>
      <c r="AD3384" s="690"/>
      <c r="AE3384" s="1025"/>
      <c r="AF3384" s="1030"/>
      <c r="AG3384" s="690"/>
      <c r="AH3384" s="690"/>
      <c r="AI3384" s="696">
        <f t="shared" si="443"/>
        <v>0</v>
      </c>
      <c r="AJ3384" s="697">
        <f t="shared" si="444"/>
        <v>0</v>
      </c>
    </row>
    <row r="3385" spans="1:36" s="700" customFormat="1" ht="12.75" customHeight="1">
      <c r="A3385" s="908" t="s">
        <v>217</v>
      </c>
      <c r="B3385" s="927" t="s">
        <v>296</v>
      </c>
      <c r="C3385" s="920" t="s">
        <v>443</v>
      </c>
      <c r="D3385" s="920"/>
      <c r="E3385" s="916"/>
      <c r="F3385" s="917"/>
      <c r="G3385" s="1025"/>
      <c r="H3385" s="690"/>
      <c r="I3385" s="1030"/>
      <c r="J3385" s="690"/>
      <c r="K3385" s="1030"/>
      <c r="L3385" s="690"/>
      <c r="M3385" s="1025"/>
      <c r="N3385" s="1030"/>
      <c r="O3385" s="692">
        <f t="shared" si="437"/>
        <v>0</v>
      </c>
      <c r="P3385" s="690"/>
      <c r="Q3385" s="690"/>
      <c r="R3385" s="691">
        <f t="shared" si="438"/>
        <v>0</v>
      </c>
      <c r="S3385" s="692">
        <f t="shared" si="439"/>
        <v>0</v>
      </c>
      <c r="T3385" s="693">
        <f t="shared" si="440"/>
        <v>0</v>
      </c>
      <c r="U3385" s="1035">
        <v>4340390</v>
      </c>
      <c r="V3385" s="690">
        <v>3874262</v>
      </c>
      <c r="W3385" s="1025"/>
      <c r="X3385" s="1030"/>
      <c r="Y3385" s="694">
        <f t="shared" si="441"/>
        <v>0</v>
      </c>
      <c r="Z3385" s="690"/>
      <c r="AA3385" s="690"/>
      <c r="AB3385" s="695">
        <f t="shared" si="442"/>
        <v>0</v>
      </c>
      <c r="AC3385" s="1035"/>
      <c r="AD3385" s="690"/>
      <c r="AE3385" s="1025"/>
      <c r="AF3385" s="1030"/>
      <c r="AG3385" s="690"/>
      <c r="AH3385" s="690"/>
      <c r="AI3385" s="696">
        <f t="shared" si="443"/>
        <v>4340390</v>
      </c>
      <c r="AJ3385" s="697">
        <f t="shared" si="444"/>
        <v>3874262</v>
      </c>
    </row>
    <row r="3386" spans="1:36" s="700" customFormat="1" ht="12.75" customHeight="1">
      <c r="A3386" s="908" t="s">
        <v>217</v>
      </c>
      <c r="B3386" s="927" t="s">
        <v>278</v>
      </c>
      <c r="C3386" s="920" t="s">
        <v>377</v>
      </c>
      <c r="D3386" s="920"/>
      <c r="E3386" s="916"/>
      <c r="F3386" s="917"/>
      <c r="G3386" s="1025"/>
      <c r="H3386" s="690"/>
      <c r="I3386" s="1030"/>
      <c r="J3386" s="690"/>
      <c r="K3386" s="1030"/>
      <c r="L3386" s="690"/>
      <c r="M3386" s="1025"/>
      <c r="N3386" s="1030"/>
      <c r="O3386" s="692">
        <f t="shared" si="437"/>
        <v>0</v>
      </c>
      <c r="P3386" s="690"/>
      <c r="Q3386" s="690"/>
      <c r="R3386" s="691">
        <f t="shared" si="438"/>
        <v>0</v>
      </c>
      <c r="S3386" s="692">
        <f t="shared" si="439"/>
        <v>0</v>
      </c>
      <c r="T3386" s="693">
        <f t="shared" si="440"/>
        <v>0</v>
      </c>
      <c r="U3386" s="1035"/>
      <c r="V3386" s="690"/>
      <c r="W3386" s="1025"/>
      <c r="X3386" s="1030"/>
      <c r="Y3386" s="694">
        <f t="shared" si="441"/>
        <v>0</v>
      </c>
      <c r="Z3386" s="690"/>
      <c r="AA3386" s="690"/>
      <c r="AB3386" s="695">
        <f t="shared" si="442"/>
        <v>0</v>
      </c>
      <c r="AC3386" s="1035"/>
      <c r="AD3386" s="690"/>
      <c r="AE3386" s="1025"/>
      <c r="AF3386" s="1030"/>
      <c r="AG3386" s="690"/>
      <c r="AH3386" s="690"/>
      <c r="AI3386" s="696">
        <f t="shared" si="443"/>
        <v>0</v>
      </c>
      <c r="AJ3386" s="697">
        <f t="shared" si="444"/>
        <v>0</v>
      </c>
    </row>
    <row r="3387" spans="1:36" s="700" customFormat="1" ht="12.75" customHeight="1">
      <c r="A3387" s="908" t="s">
        <v>217</v>
      </c>
      <c r="B3387" s="908" t="s">
        <v>279</v>
      </c>
      <c r="C3387" s="920" t="s">
        <v>1886</v>
      </c>
      <c r="D3387" s="920"/>
      <c r="E3387" s="916"/>
      <c r="F3387" s="917"/>
      <c r="G3387" s="1025"/>
      <c r="H3387" s="690"/>
      <c r="I3387" s="1030"/>
      <c r="J3387" s="690"/>
      <c r="K3387" s="1030"/>
      <c r="L3387" s="690"/>
      <c r="M3387" s="1025"/>
      <c r="N3387" s="1030"/>
      <c r="O3387" s="692">
        <f t="shared" si="437"/>
        <v>0</v>
      </c>
      <c r="P3387" s="690"/>
      <c r="Q3387" s="690"/>
      <c r="R3387" s="691">
        <f t="shared" si="438"/>
        <v>0</v>
      </c>
      <c r="S3387" s="692">
        <f t="shared" si="439"/>
        <v>0</v>
      </c>
      <c r="T3387" s="693">
        <f t="shared" si="440"/>
        <v>0</v>
      </c>
      <c r="U3387" s="1035"/>
      <c r="V3387" s="690"/>
      <c r="W3387" s="1025"/>
      <c r="X3387" s="1030"/>
      <c r="Y3387" s="694">
        <f t="shared" si="441"/>
        <v>0</v>
      </c>
      <c r="Z3387" s="690"/>
      <c r="AA3387" s="690"/>
      <c r="AB3387" s="695">
        <f t="shared" si="442"/>
        <v>0</v>
      </c>
      <c r="AC3387" s="1035"/>
      <c r="AD3387" s="690"/>
      <c r="AE3387" s="1025"/>
      <c r="AF3387" s="1030"/>
      <c r="AG3387" s="690"/>
      <c r="AH3387" s="690"/>
      <c r="AI3387" s="696">
        <f t="shared" si="443"/>
        <v>0</v>
      </c>
      <c r="AJ3387" s="697">
        <f t="shared" si="444"/>
        <v>0</v>
      </c>
    </row>
    <row r="3388" spans="1:36" s="700" customFormat="1" ht="12.75" customHeight="1">
      <c r="A3388" s="908" t="s">
        <v>217</v>
      </c>
      <c r="B3388" s="927" t="s">
        <v>317</v>
      </c>
      <c r="C3388" s="920" t="s">
        <v>443</v>
      </c>
      <c r="D3388" s="920"/>
      <c r="E3388" s="916"/>
      <c r="F3388" s="917"/>
      <c r="G3388" s="1025"/>
      <c r="H3388" s="690"/>
      <c r="I3388" s="1030"/>
      <c r="J3388" s="690"/>
      <c r="K3388" s="1030"/>
      <c r="L3388" s="690"/>
      <c r="M3388" s="1025"/>
      <c r="N3388" s="1030"/>
      <c r="O3388" s="692">
        <f t="shared" si="437"/>
        <v>0</v>
      </c>
      <c r="P3388" s="690"/>
      <c r="Q3388" s="690"/>
      <c r="R3388" s="691">
        <f t="shared" si="438"/>
        <v>0</v>
      </c>
      <c r="S3388" s="692">
        <f t="shared" si="439"/>
        <v>0</v>
      </c>
      <c r="T3388" s="693">
        <f t="shared" si="440"/>
        <v>0</v>
      </c>
      <c r="U3388" s="1035">
        <v>385835</v>
      </c>
      <c r="V3388" s="690">
        <v>991465</v>
      </c>
      <c r="W3388" s="1025"/>
      <c r="X3388" s="1030"/>
      <c r="Y3388" s="694">
        <f t="shared" si="441"/>
        <v>0</v>
      </c>
      <c r="Z3388" s="690"/>
      <c r="AA3388" s="690"/>
      <c r="AB3388" s="695">
        <f t="shared" si="442"/>
        <v>0</v>
      </c>
      <c r="AC3388" s="1035"/>
      <c r="AD3388" s="690"/>
      <c r="AE3388" s="1025"/>
      <c r="AF3388" s="1030"/>
      <c r="AG3388" s="690"/>
      <c r="AH3388" s="690"/>
      <c r="AI3388" s="696">
        <f t="shared" si="443"/>
        <v>385835</v>
      </c>
      <c r="AJ3388" s="697">
        <f t="shared" si="444"/>
        <v>991465</v>
      </c>
    </row>
    <row r="3389" spans="1:36" s="700" customFormat="1" ht="12.75" customHeight="1">
      <c r="A3389" s="908" t="s">
        <v>217</v>
      </c>
      <c r="B3389" s="927" t="s">
        <v>318</v>
      </c>
      <c r="C3389" s="920" t="s">
        <v>377</v>
      </c>
      <c r="D3389" s="920"/>
      <c r="E3389" s="916"/>
      <c r="F3389" s="917"/>
      <c r="G3389" s="1025"/>
      <c r="H3389" s="690"/>
      <c r="I3389" s="1030"/>
      <c r="J3389" s="690"/>
      <c r="K3389" s="1030"/>
      <c r="L3389" s="690"/>
      <c r="M3389" s="1025"/>
      <c r="N3389" s="1030"/>
      <c r="O3389" s="692">
        <f t="shared" si="437"/>
        <v>0</v>
      </c>
      <c r="P3389" s="690"/>
      <c r="Q3389" s="690"/>
      <c r="R3389" s="691">
        <f t="shared" si="438"/>
        <v>0</v>
      </c>
      <c r="S3389" s="692">
        <f t="shared" si="439"/>
        <v>0</v>
      </c>
      <c r="T3389" s="693">
        <f t="shared" si="440"/>
        <v>0</v>
      </c>
      <c r="U3389" s="1035"/>
      <c r="V3389" s="690"/>
      <c r="W3389" s="1025"/>
      <c r="X3389" s="1030"/>
      <c r="Y3389" s="694">
        <f t="shared" si="441"/>
        <v>0</v>
      </c>
      <c r="Z3389" s="690"/>
      <c r="AA3389" s="690"/>
      <c r="AB3389" s="695">
        <f t="shared" si="442"/>
        <v>0</v>
      </c>
      <c r="AC3389" s="1035"/>
      <c r="AD3389" s="690"/>
      <c r="AE3389" s="1025"/>
      <c r="AF3389" s="1030"/>
      <c r="AG3389" s="690"/>
      <c r="AH3389" s="690"/>
      <c r="AI3389" s="696">
        <f t="shared" si="443"/>
        <v>0</v>
      </c>
      <c r="AJ3389" s="697">
        <f t="shared" si="444"/>
        <v>0</v>
      </c>
    </row>
    <row r="3390" spans="1:36" s="700" customFormat="1" ht="12.75" customHeight="1">
      <c r="A3390" s="908" t="s">
        <v>217</v>
      </c>
      <c r="B3390" s="927" t="s">
        <v>421</v>
      </c>
      <c r="C3390" s="928" t="s">
        <v>19</v>
      </c>
      <c r="D3390" s="928"/>
      <c r="E3390" s="916"/>
      <c r="F3390" s="917"/>
      <c r="G3390" s="1025"/>
      <c r="H3390" s="690"/>
      <c r="I3390" s="1030"/>
      <c r="J3390" s="690"/>
      <c r="K3390" s="1030"/>
      <c r="L3390" s="690"/>
      <c r="M3390" s="1025"/>
      <c r="N3390" s="1030"/>
      <c r="O3390" s="692">
        <f t="shared" si="437"/>
        <v>0</v>
      </c>
      <c r="P3390" s="690"/>
      <c r="Q3390" s="690"/>
      <c r="R3390" s="691">
        <f t="shared" si="438"/>
        <v>0</v>
      </c>
      <c r="S3390" s="692">
        <f t="shared" si="439"/>
        <v>0</v>
      </c>
      <c r="T3390" s="693">
        <f t="shared" si="440"/>
        <v>0</v>
      </c>
      <c r="U3390" s="1035"/>
      <c r="V3390" s="690"/>
      <c r="W3390" s="1025"/>
      <c r="X3390" s="1030"/>
      <c r="Y3390" s="694">
        <f t="shared" si="441"/>
        <v>0</v>
      </c>
      <c r="Z3390" s="690"/>
      <c r="AA3390" s="690"/>
      <c r="AB3390" s="695">
        <f t="shared" si="442"/>
        <v>0</v>
      </c>
      <c r="AC3390" s="1035"/>
      <c r="AD3390" s="690"/>
      <c r="AE3390" s="1025"/>
      <c r="AF3390" s="1030"/>
      <c r="AG3390" s="690"/>
      <c r="AH3390" s="690"/>
      <c r="AI3390" s="696">
        <f t="shared" si="443"/>
        <v>0</v>
      </c>
      <c r="AJ3390" s="697">
        <f t="shared" si="444"/>
        <v>0</v>
      </c>
    </row>
    <row r="3391" spans="1:36" s="700" customFormat="1" ht="12.75" customHeight="1">
      <c r="A3391" s="908" t="s">
        <v>217</v>
      </c>
      <c r="B3391" s="927" t="s">
        <v>380</v>
      </c>
      <c r="C3391" s="920" t="s">
        <v>443</v>
      </c>
      <c r="D3391" s="920"/>
      <c r="E3391" s="916"/>
      <c r="F3391" s="917"/>
      <c r="G3391" s="1025"/>
      <c r="H3391" s="690"/>
      <c r="I3391" s="1030"/>
      <c r="J3391" s="690"/>
      <c r="K3391" s="1030"/>
      <c r="L3391" s="690"/>
      <c r="M3391" s="1025"/>
      <c r="N3391" s="1030"/>
      <c r="O3391" s="692">
        <f t="shared" si="437"/>
        <v>0</v>
      </c>
      <c r="P3391" s="690"/>
      <c r="Q3391" s="690"/>
      <c r="R3391" s="691">
        <f t="shared" si="438"/>
        <v>0</v>
      </c>
      <c r="S3391" s="692">
        <f t="shared" si="439"/>
        <v>0</v>
      </c>
      <c r="T3391" s="693">
        <f t="shared" si="440"/>
        <v>0</v>
      </c>
      <c r="U3391" s="1035"/>
      <c r="V3391" s="690"/>
      <c r="W3391" s="1025"/>
      <c r="X3391" s="1030"/>
      <c r="Y3391" s="694">
        <f t="shared" si="441"/>
        <v>0</v>
      </c>
      <c r="Z3391" s="690"/>
      <c r="AA3391" s="690"/>
      <c r="AB3391" s="695">
        <f t="shared" si="442"/>
        <v>0</v>
      </c>
      <c r="AC3391" s="1035"/>
      <c r="AD3391" s="690"/>
      <c r="AE3391" s="1025"/>
      <c r="AF3391" s="1030"/>
      <c r="AG3391" s="690"/>
      <c r="AH3391" s="690"/>
      <c r="AI3391" s="696">
        <f t="shared" si="443"/>
        <v>0</v>
      </c>
      <c r="AJ3391" s="697">
        <f t="shared" si="444"/>
        <v>0</v>
      </c>
    </row>
    <row r="3392" spans="1:36" s="700" customFormat="1" ht="12.75" customHeight="1">
      <c r="A3392" s="908" t="s">
        <v>217</v>
      </c>
      <c r="B3392" s="927" t="s">
        <v>381</v>
      </c>
      <c r="C3392" s="920" t="s">
        <v>377</v>
      </c>
      <c r="D3392" s="920"/>
      <c r="E3392" s="916"/>
      <c r="F3392" s="917"/>
      <c r="G3392" s="1025"/>
      <c r="H3392" s="690"/>
      <c r="I3392" s="1030"/>
      <c r="J3392" s="690"/>
      <c r="K3392" s="1030"/>
      <c r="L3392" s="690"/>
      <c r="M3392" s="1025"/>
      <c r="N3392" s="1030"/>
      <c r="O3392" s="692">
        <f t="shared" si="437"/>
        <v>0</v>
      </c>
      <c r="P3392" s="690"/>
      <c r="Q3392" s="690"/>
      <c r="R3392" s="691">
        <f t="shared" si="438"/>
        <v>0</v>
      </c>
      <c r="S3392" s="692">
        <f t="shared" si="439"/>
        <v>0</v>
      </c>
      <c r="T3392" s="693">
        <f t="shared" si="440"/>
        <v>0</v>
      </c>
      <c r="U3392" s="1035"/>
      <c r="V3392" s="690"/>
      <c r="W3392" s="1025"/>
      <c r="X3392" s="1030"/>
      <c r="Y3392" s="694">
        <f t="shared" si="441"/>
        <v>0</v>
      </c>
      <c r="Z3392" s="690"/>
      <c r="AA3392" s="690"/>
      <c r="AB3392" s="695">
        <f t="shared" si="442"/>
        <v>0</v>
      </c>
      <c r="AC3392" s="1035"/>
      <c r="AD3392" s="690"/>
      <c r="AE3392" s="1025"/>
      <c r="AF3392" s="1030"/>
      <c r="AG3392" s="690"/>
      <c r="AH3392" s="690"/>
      <c r="AI3392" s="696">
        <f t="shared" si="443"/>
        <v>0</v>
      </c>
      <c r="AJ3392" s="697">
        <f t="shared" si="444"/>
        <v>0</v>
      </c>
    </row>
    <row r="3393" spans="1:36" s="700" customFormat="1" ht="12.75" customHeight="1">
      <c r="A3393" s="908" t="s">
        <v>217</v>
      </c>
      <c r="B3393" s="927" t="s">
        <v>421</v>
      </c>
      <c r="C3393" s="928" t="s">
        <v>150</v>
      </c>
      <c r="D3393" s="928"/>
      <c r="E3393" s="916"/>
      <c r="F3393" s="917"/>
      <c r="G3393" s="1025"/>
      <c r="H3393" s="690"/>
      <c r="I3393" s="1030"/>
      <c r="J3393" s="690"/>
      <c r="K3393" s="1030"/>
      <c r="L3393" s="690"/>
      <c r="M3393" s="1025"/>
      <c r="N3393" s="1030"/>
      <c r="O3393" s="692">
        <f t="shared" si="437"/>
        <v>0</v>
      </c>
      <c r="P3393" s="690"/>
      <c r="Q3393" s="690"/>
      <c r="R3393" s="691">
        <f t="shared" si="438"/>
        <v>0</v>
      </c>
      <c r="S3393" s="692">
        <f t="shared" si="439"/>
        <v>0</v>
      </c>
      <c r="T3393" s="693">
        <f t="shared" si="440"/>
        <v>0</v>
      </c>
      <c r="U3393" s="1035"/>
      <c r="V3393" s="690"/>
      <c r="W3393" s="1025"/>
      <c r="X3393" s="1030"/>
      <c r="Y3393" s="694">
        <f t="shared" si="441"/>
        <v>0</v>
      </c>
      <c r="Z3393" s="690"/>
      <c r="AA3393" s="690"/>
      <c r="AB3393" s="695">
        <f t="shared" si="442"/>
        <v>0</v>
      </c>
      <c r="AC3393" s="1035"/>
      <c r="AD3393" s="690"/>
      <c r="AE3393" s="1025"/>
      <c r="AF3393" s="1030"/>
      <c r="AG3393" s="690"/>
      <c r="AH3393" s="690"/>
      <c r="AI3393" s="696">
        <f t="shared" si="443"/>
        <v>0</v>
      </c>
      <c r="AJ3393" s="697">
        <f t="shared" si="444"/>
        <v>0</v>
      </c>
    </row>
    <row r="3394" spans="1:36" s="700" customFormat="1" ht="12.75" customHeight="1">
      <c r="A3394" s="908" t="s">
        <v>217</v>
      </c>
      <c r="B3394" s="927" t="s">
        <v>380</v>
      </c>
      <c r="C3394" s="920" t="s">
        <v>443</v>
      </c>
      <c r="D3394" s="920"/>
      <c r="E3394" s="916"/>
      <c r="F3394" s="917"/>
      <c r="G3394" s="1025"/>
      <c r="H3394" s="690"/>
      <c r="I3394" s="1030"/>
      <c r="J3394" s="690"/>
      <c r="K3394" s="1030"/>
      <c r="L3394" s="690"/>
      <c r="M3394" s="1025"/>
      <c r="N3394" s="1030"/>
      <c r="O3394" s="692">
        <f t="shared" si="437"/>
        <v>0</v>
      </c>
      <c r="P3394" s="690"/>
      <c r="Q3394" s="690"/>
      <c r="R3394" s="691">
        <f t="shared" si="438"/>
        <v>0</v>
      </c>
      <c r="S3394" s="692">
        <f t="shared" si="439"/>
        <v>0</v>
      </c>
      <c r="T3394" s="693">
        <f t="shared" si="440"/>
        <v>0</v>
      </c>
      <c r="U3394" s="1035"/>
      <c r="V3394" s="690"/>
      <c r="W3394" s="1025"/>
      <c r="X3394" s="1030"/>
      <c r="Y3394" s="694">
        <f t="shared" si="441"/>
        <v>0</v>
      </c>
      <c r="Z3394" s="690"/>
      <c r="AA3394" s="690"/>
      <c r="AB3394" s="695">
        <f t="shared" si="442"/>
        <v>0</v>
      </c>
      <c r="AC3394" s="1035"/>
      <c r="AD3394" s="690"/>
      <c r="AE3394" s="1025"/>
      <c r="AF3394" s="1030"/>
      <c r="AG3394" s="690"/>
      <c r="AH3394" s="690"/>
      <c r="AI3394" s="696">
        <f t="shared" si="443"/>
        <v>0</v>
      </c>
      <c r="AJ3394" s="697">
        <f t="shared" si="444"/>
        <v>0</v>
      </c>
    </row>
    <row r="3395" spans="1:36" s="700" customFormat="1" ht="12.75" customHeight="1">
      <c r="A3395" s="908" t="s">
        <v>217</v>
      </c>
      <c r="B3395" s="927" t="s">
        <v>381</v>
      </c>
      <c r="C3395" s="920" t="s">
        <v>377</v>
      </c>
      <c r="D3395" s="920"/>
      <c r="E3395" s="916"/>
      <c r="F3395" s="917"/>
      <c r="G3395" s="1025"/>
      <c r="H3395" s="690"/>
      <c r="I3395" s="1030"/>
      <c r="J3395" s="690"/>
      <c r="K3395" s="1030"/>
      <c r="L3395" s="690"/>
      <c r="M3395" s="1025"/>
      <c r="N3395" s="1030"/>
      <c r="O3395" s="692">
        <f t="shared" si="437"/>
        <v>0</v>
      </c>
      <c r="P3395" s="690"/>
      <c r="Q3395" s="690"/>
      <c r="R3395" s="691">
        <f t="shared" si="438"/>
        <v>0</v>
      </c>
      <c r="S3395" s="692">
        <f t="shared" si="439"/>
        <v>0</v>
      </c>
      <c r="T3395" s="693">
        <f t="shared" si="440"/>
        <v>0</v>
      </c>
      <c r="U3395" s="1035"/>
      <c r="V3395" s="690"/>
      <c r="W3395" s="1025"/>
      <c r="X3395" s="1030"/>
      <c r="Y3395" s="694">
        <f t="shared" si="441"/>
        <v>0</v>
      </c>
      <c r="Z3395" s="690"/>
      <c r="AA3395" s="690"/>
      <c r="AB3395" s="695">
        <f t="shared" si="442"/>
        <v>0</v>
      </c>
      <c r="AC3395" s="1035"/>
      <c r="AD3395" s="690"/>
      <c r="AE3395" s="1025"/>
      <c r="AF3395" s="1030"/>
      <c r="AG3395" s="690"/>
      <c r="AH3395" s="690"/>
      <c r="AI3395" s="696">
        <f t="shared" si="443"/>
        <v>0</v>
      </c>
      <c r="AJ3395" s="697">
        <f t="shared" si="444"/>
        <v>0</v>
      </c>
    </row>
  </sheetData>
  <mergeCells count="12">
    <mergeCell ref="U4:AB4"/>
    <mergeCell ref="AE5:AH5"/>
    <mergeCell ref="O5:O6"/>
    <mergeCell ref="P5:P6"/>
    <mergeCell ref="Q5:Q6"/>
    <mergeCell ref="R5:R6"/>
    <mergeCell ref="S4:T6"/>
    <mergeCell ref="G4:H6"/>
    <mergeCell ref="I4:J6"/>
    <mergeCell ref="K4:L6"/>
    <mergeCell ref="M5:M6"/>
    <mergeCell ref="N5:N6"/>
  </mergeCells>
  <phoneticPr fontId="6" type="noConversion"/>
  <conditionalFormatting sqref="Z9:AA9 AD9 L9 J9 V9 P9:Q9 H9">
    <cfRule type="expression" dxfId="393" priority="2017" stopIfTrue="1">
      <formula>H9&lt;(G9-(G9*0.05))</formula>
    </cfRule>
    <cfRule type="expression" dxfId="392" priority="2018" stopIfTrue="1">
      <formula>H9&gt;(G9+(G9*0.05))</formula>
    </cfRule>
  </conditionalFormatting>
  <conditionalFormatting sqref="V9 H9 AD9 L9 J9">
    <cfRule type="cellIs" dxfId="391" priority="579" stopIfTrue="1" operator="greaterThan">
      <formula>G9+(G9*0.05)</formula>
    </cfRule>
    <cfRule type="cellIs" dxfId="390" priority="580" stopIfTrue="1" operator="lessThan">
      <formula>G9-(G9*0.05)</formula>
    </cfRule>
  </conditionalFormatting>
  <conditionalFormatting sqref="P9:Q9 Z9:AA9">
    <cfRule type="cellIs" dxfId="389" priority="579" stopIfTrue="1" operator="greaterThan">
      <formula>M9+(M9*0.05)</formula>
    </cfRule>
    <cfRule type="cellIs" dxfId="388" priority="580" stopIfTrue="1" operator="lessThan">
      <formula>M9-(M9*0.05)</formula>
    </cfRule>
  </conditionalFormatting>
  <conditionalFormatting sqref="AG9:AH9">
    <cfRule type="cellIs" dxfId="387" priority="627" stopIfTrue="1" operator="greaterThan">
      <formula>AE9+(AE9*0.05)</formula>
    </cfRule>
    <cfRule type="cellIs" dxfId="386" priority="628" stopIfTrue="1" operator="lessThan">
      <formula>AE9-(AE9*0.05)</formula>
    </cfRule>
  </conditionalFormatting>
  <conditionalFormatting sqref="AG9:AH9">
    <cfRule type="expression" dxfId="385" priority="2019" stopIfTrue="1">
      <formula>AG9&lt;(AE9-(AE9*0.05))</formula>
    </cfRule>
    <cfRule type="expression" dxfId="384" priority="2020" stopIfTrue="1">
      <formula>AG9&gt;(AE9+(AE9*0.05))</formula>
    </cfRule>
  </conditionalFormatting>
  <conditionalFormatting sqref="AD104:AD105 V104:V105 L104:L105 J104:J105 H104:H105 H107:H113 J107:J113 L107:L113 V107:V113 AD107:AD113 AD115:AD117 V115:V117 L115:L117 J115:J117 H115:H117 H119:H121 J119:J121 L119:L121 V119:V121 AD119:AD121 AD123:AD125 V123:V125 L123:L125 J123:J125 H123:H125 H127:H129 J127:J129 L127:L129 V127:V129 AD127:AD129 AD131:AD133 V131:V133 L131:L133 J131:J133 H131:H133 H135:H137 J135:J137 L135:L137 V135:V137 AD135:AD137 AD139:AD145 V139:V145 L139:L145 J139:J145 H139:H145 H147:H149 J147:J149 L147:L149 V147:V149 AD147:AD149 AD151:AD153 V151:V153 L151:L153 J151:J153 H151:H153 H155:H157 J155:J157 L155:L157 V155:V157 AD155:AD157 AD159:AD161 V159:V161 L159:L161 J159:J161 H159:H161 H163:H165 J163:J165 L163:L165 V163:V165 AD163:AD165 AD167:AD168 V167:V168 L167:L168 J167:J168 H167:H168 H170:H172 J170:J172 L170:L172 V170:V172 AD170:AD172 AD174:AD176 V174:V176 L174:L176 J174:J176 H174:H176 H178:H180 J178:J180 L178:L180 V178:V180 AD178:AD180 AD182:AD184 V182:V184 L182:L184 J182:J184 H182:H184 H186:H188 J186:J188 L186:L188 V186:V188 AD186:AD188 AD190:AD192 V190:V192 L190:L192 J190:J192 H190:H192 H194:H196 J194:J196 L194:L196 V194:V196 AD194:AD196 H198:H203 J198:J203 L198:L203 V198:V203 AD198:AD203 AD205:AD219 V206:V219 L205:L219 H1011:H1089 H205:H219 AD45:AD95 V45:V95 L45:L95 J45:J95 H45:H95 H97:H102 J97:J102 L97:L102 V97:V102 AD97:AD102 H221:H352 J216:J217 L221:L352 J227:J352 AD221:AD352 AD17:AD43 V17:V43 L17:L43 J17:J43 H17:H43 H9:H15 J9:J15 L9:L15 V9:V15 AD9:AD15 AD1713 V1713 L1713 J1713 H1713 H1244:H1320 AD1244:AD1320 V1244:V1320 L1244:L1320 J1244:J1320 AD2904:AD3141 V2904:V3141 L1328:L1380 V1328:V1380 AD1328:AD1380 H1328:H1380 J1328:J1380 L1011:L1089 V1011:V1089 AD1011:AD1089 J1011:J1089 J205:J207 J209:J210 J212 J214 J221:J224 V221:V229 V237:V283 V288:V302 V304:V305 V307:V326 V328:V333 V335:V340 V342:V343 V345:V351 L2904:L3141 J2904:J3141 H2904:H3141 L2402:L2806 V2402:V2806 AD2402:AD2806 H2402:H2806 J2402:J2806">
    <cfRule type="expression" dxfId="383" priority="399">
      <formula>H9&gt;(G9+(G9*0.1))</formula>
    </cfRule>
    <cfRule type="expression" dxfId="382" priority="400">
      <formula>H9&lt;(G9-(G9*0.1))</formula>
    </cfRule>
  </conditionalFormatting>
  <conditionalFormatting sqref="AG104:AH105 Z104:AA105 P104:Q105 P107:Q113 Z107:AA113 AG107:AH113 AG115:AH117 Z115:AA117 P115:Q117 P119:Q121 Z119:AA121 AG119:AH121 AG123:AH125 Z123:AA125 P123:Q125 P127:Q129 Z127:AA129 AG127:AH129 AG131:AH133 Z131:AA133 P131:Q133 P135:Q137 Z135:AA137 AG135:AH137 AG139:AH145 Z139:AA145 P139:Q145 P147:Q149 Z147:AA149 AG147:AH149 AG151:AH153 Z151:AA153 P151:Q153 P155:Q157 Z155:AA157 AG155:AH157 AG159:AH161 Z159:AA161 P159:Q161 P163:Q165 Z163:AA165 AG163:AH165 AG167:AH168 Z167:AA168 P167:Q168 P170:Q172 Z170:AA172 AG170:AH172 AG174:AH176 Z174:AA176 P174:Q176 P178:Q180 Z178:AA180 AG178:AH180 AG182:AH184 Z182:AA184 P182:Q184 P186:Q188 Z186:AA188 AG186:AH188 AG190:AH192 Z190:AA192 P190:Q192 P194:Q196 Z194:AA196 AG194:AH196 P198:Q203 Z198:AA203 AG198:AH203 AG205:AH219 Z205:AA219 P205:Q219 AG33:AG43 Z45:AA95 P45:Q95 P97:Q102 Z97:AA102 AG97:AH102 P221:Q352 Z221:AA352 AG221:AH352 AG12:AG15 Z17:AA43 P17:Q43 P9:Q15 Z9:AA15 P1011:Q1089 AG1713:AH1713 Z1713:AA1713 P1713:Q1713 AG1244:AH1320 Z1244:AA1320 P1244:Q1320 AG2904:AH3141 Z2904:AA3141 Z1328:AA1380 AG1328:AH1380 P1328:Q1380 Z1011:AA1089 AG1011:AH1089 AH9:AH15 AG9:AG10 AH17:AH43 AG17:AG23 AG25:AG31 AH45:AH95 AG45:AG61 AG63:AG95 P2904:Q3141 AG2402:AH2681 Z2402:AA2806 P2422:Q2450 P2402:Q2408">
    <cfRule type="expression" dxfId="381" priority="397">
      <formula>P9&gt;(M9+(M9*0.1))</formula>
    </cfRule>
    <cfRule type="expression" dxfId="380" priority="398">
      <formula>P9&lt;(M9-(M9*0.1))</formula>
    </cfRule>
  </conditionalFormatting>
  <conditionalFormatting sqref="H103 J103 L103 V103 AD103">
    <cfRule type="expression" dxfId="379" priority="395">
      <formula>H103&gt;(G103+(G103*0.1))</formula>
    </cfRule>
    <cfRule type="expression" dxfId="378" priority="396">
      <formula>H103&lt;(G103-(G103*0.1))</formula>
    </cfRule>
  </conditionalFormatting>
  <conditionalFormatting sqref="P103:Q103 Z103:AA103 AG103:AH103">
    <cfRule type="expression" dxfId="377" priority="393">
      <formula>P103&gt;(M103+(M103*0.1))</formula>
    </cfRule>
    <cfRule type="expression" dxfId="376" priority="394">
      <formula>P103&lt;(M103-(M103*0.1))</formula>
    </cfRule>
  </conditionalFormatting>
  <conditionalFormatting sqref="AD106 V106 L106 J106 H106">
    <cfRule type="expression" dxfId="375" priority="391">
      <formula>H106&gt;(G106+(G106*0.1))</formula>
    </cfRule>
    <cfRule type="expression" dxfId="374" priority="392">
      <formula>H106&lt;(G106-(G106*0.1))</formula>
    </cfRule>
  </conditionalFormatting>
  <conditionalFormatting sqref="AG106:AH106 Z106:AA106 P106:Q106">
    <cfRule type="expression" dxfId="373" priority="389">
      <formula>P106&gt;(M106+(M106*0.1))</formula>
    </cfRule>
    <cfRule type="expression" dxfId="372" priority="390">
      <formula>P106&lt;(M106-(M106*0.1))</formula>
    </cfRule>
  </conditionalFormatting>
  <conditionalFormatting sqref="H114 J114 L114 V114 AD114">
    <cfRule type="expression" dxfId="371" priority="387">
      <formula>H114&gt;(G114+(G114*0.1))</formula>
    </cfRule>
    <cfRule type="expression" dxfId="370" priority="388">
      <formula>H114&lt;(G114-(G114*0.1))</formula>
    </cfRule>
  </conditionalFormatting>
  <conditionalFormatting sqref="P114:Q114 Z114:AA114 AG114:AH114">
    <cfRule type="expression" dxfId="369" priority="385">
      <formula>P114&gt;(M114+(M114*0.1))</formula>
    </cfRule>
    <cfRule type="expression" dxfId="368" priority="386">
      <formula>P114&lt;(M114-(M114*0.1))</formula>
    </cfRule>
  </conditionalFormatting>
  <conditionalFormatting sqref="AD118 V118 L118 J118 H118">
    <cfRule type="expression" dxfId="367" priority="383">
      <formula>H118&gt;(G118+(G118*0.1))</formula>
    </cfRule>
    <cfRule type="expression" dxfId="366" priority="384">
      <formula>H118&lt;(G118-(G118*0.1))</formula>
    </cfRule>
  </conditionalFormatting>
  <conditionalFormatting sqref="AG118:AH118 Z118:AA118 P118:Q118">
    <cfRule type="expression" dxfId="365" priority="381">
      <formula>P118&gt;(M118+(M118*0.1))</formula>
    </cfRule>
    <cfRule type="expression" dxfId="364" priority="382">
      <formula>P118&lt;(M118-(M118*0.1))</formula>
    </cfRule>
  </conditionalFormatting>
  <conditionalFormatting sqref="H122 J122 L122 V122 AD122">
    <cfRule type="expression" dxfId="363" priority="379">
      <formula>H122&gt;(G122+(G122*0.1))</formula>
    </cfRule>
    <cfRule type="expression" dxfId="362" priority="380">
      <formula>H122&lt;(G122-(G122*0.1))</formula>
    </cfRule>
  </conditionalFormatting>
  <conditionalFormatting sqref="P122:Q122 Z122:AA122 AG122:AH122">
    <cfRule type="expression" dxfId="361" priority="377">
      <formula>P122&gt;(M122+(M122*0.1))</formula>
    </cfRule>
    <cfRule type="expression" dxfId="360" priority="378">
      <formula>P122&lt;(M122-(M122*0.1))</formula>
    </cfRule>
  </conditionalFormatting>
  <conditionalFormatting sqref="AD126 V126 L126 J126 H126">
    <cfRule type="expression" dxfId="359" priority="375">
      <formula>H126&gt;(G126+(G126*0.1))</formula>
    </cfRule>
    <cfRule type="expression" dxfId="358" priority="376">
      <formula>H126&lt;(G126-(G126*0.1))</formula>
    </cfRule>
  </conditionalFormatting>
  <conditionalFormatting sqref="AG126:AH126 Z126:AA126 P126:Q126">
    <cfRule type="expression" dxfId="357" priority="373">
      <formula>P126&gt;(M126+(M126*0.1))</formula>
    </cfRule>
    <cfRule type="expression" dxfId="356" priority="374">
      <formula>P126&lt;(M126-(M126*0.1))</formula>
    </cfRule>
  </conditionalFormatting>
  <conditionalFormatting sqref="H130 J130 L130 V130 AD130">
    <cfRule type="expression" dxfId="355" priority="371">
      <formula>H130&gt;(G130+(G130*0.1))</formula>
    </cfRule>
    <cfRule type="expression" dxfId="354" priority="372">
      <formula>H130&lt;(G130-(G130*0.1))</formula>
    </cfRule>
  </conditionalFormatting>
  <conditionalFormatting sqref="P130:Q130 Z130:AA130 AG130:AH130">
    <cfRule type="expression" dxfId="353" priority="369">
      <formula>P130&gt;(M130+(M130*0.1))</formula>
    </cfRule>
    <cfRule type="expression" dxfId="352" priority="370">
      <formula>P130&lt;(M130-(M130*0.1))</formula>
    </cfRule>
  </conditionalFormatting>
  <conditionalFormatting sqref="AD134 V134 L134 J134 H134">
    <cfRule type="expression" dxfId="351" priority="367">
      <formula>H134&gt;(G134+(G134*0.1))</formula>
    </cfRule>
    <cfRule type="expression" dxfId="350" priority="368">
      <formula>H134&lt;(G134-(G134*0.1))</formula>
    </cfRule>
  </conditionalFormatting>
  <conditionalFormatting sqref="AG134:AH134 Z134:AA134 P134:Q134">
    <cfRule type="expression" dxfId="349" priority="365">
      <formula>P134&gt;(M134+(M134*0.1))</formula>
    </cfRule>
    <cfRule type="expression" dxfId="348" priority="366">
      <formula>P134&lt;(M134-(M134*0.1))</formula>
    </cfRule>
  </conditionalFormatting>
  <conditionalFormatting sqref="H138 J138 L138 V138 AD138">
    <cfRule type="expression" dxfId="347" priority="363">
      <formula>H138&gt;(G138+(G138*0.1))</formula>
    </cfRule>
    <cfRule type="expression" dxfId="346" priority="364">
      <formula>H138&lt;(G138-(G138*0.1))</formula>
    </cfRule>
  </conditionalFormatting>
  <conditionalFormatting sqref="P138:Q138 Z138:AA138 AG138:AH138">
    <cfRule type="expression" dxfId="345" priority="361">
      <formula>P138&gt;(M138+(M138*0.1))</formula>
    </cfRule>
    <cfRule type="expression" dxfId="344" priority="362">
      <formula>P138&lt;(M138-(M138*0.1))</formula>
    </cfRule>
  </conditionalFormatting>
  <conditionalFormatting sqref="AD146 V146 L146 J146 H146">
    <cfRule type="expression" dxfId="343" priority="359">
      <formula>H146&gt;(G146+(G146*0.1))</formula>
    </cfRule>
    <cfRule type="expression" dxfId="342" priority="360">
      <formula>H146&lt;(G146-(G146*0.1))</formula>
    </cfRule>
  </conditionalFormatting>
  <conditionalFormatting sqref="AG146:AH146 Z146:AA146 P146:Q146">
    <cfRule type="expression" dxfId="341" priority="357">
      <formula>P146&gt;(M146+(M146*0.1))</formula>
    </cfRule>
    <cfRule type="expression" dxfId="340" priority="358">
      <formula>P146&lt;(M146-(M146*0.1))</formula>
    </cfRule>
  </conditionalFormatting>
  <conditionalFormatting sqref="H150 J150 L150 V150 AD150">
    <cfRule type="expression" dxfId="339" priority="355">
      <formula>H150&gt;(G150+(G150*0.1))</formula>
    </cfRule>
    <cfRule type="expression" dxfId="338" priority="356">
      <formula>H150&lt;(G150-(G150*0.1))</formula>
    </cfRule>
  </conditionalFormatting>
  <conditionalFormatting sqref="P150:Q150 Z150:AA150 AG150:AH150">
    <cfRule type="expression" dxfId="337" priority="353">
      <formula>P150&gt;(M150+(M150*0.1))</formula>
    </cfRule>
    <cfRule type="expression" dxfId="336" priority="354">
      <formula>P150&lt;(M150-(M150*0.1))</formula>
    </cfRule>
  </conditionalFormatting>
  <conditionalFormatting sqref="AD154 V154 L154 J154 H154">
    <cfRule type="expression" dxfId="335" priority="351">
      <formula>H154&gt;(G154+(G154*0.1))</formula>
    </cfRule>
    <cfRule type="expression" dxfId="334" priority="352">
      <formula>H154&lt;(G154-(G154*0.1))</formula>
    </cfRule>
  </conditionalFormatting>
  <conditionalFormatting sqref="AG154:AH154 Z154:AA154 P154:Q154">
    <cfRule type="expression" dxfId="333" priority="349">
      <formula>P154&gt;(M154+(M154*0.1))</formula>
    </cfRule>
    <cfRule type="expression" dxfId="332" priority="350">
      <formula>P154&lt;(M154-(M154*0.1))</formula>
    </cfRule>
  </conditionalFormatting>
  <conditionalFormatting sqref="H158 J158 L158 V158 AD158">
    <cfRule type="expression" dxfId="331" priority="347">
      <formula>H158&gt;(G158+(G158*0.1))</formula>
    </cfRule>
    <cfRule type="expression" dxfId="330" priority="348">
      <formula>H158&lt;(G158-(G158*0.1))</formula>
    </cfRule>
  </conditionalFormatting>
  <conditionalFormatting sqref="P158:Q158 Z158:AA158 AG158:AH158">
    <cfRule type="expression" dxfId="329" priority="345">
      <formula>P158&gt;(M158+(M158*0.1))</formula>
    </cfRule>
    <cfRule type="expression" dxfId="328" priority="346">
      <formula>P158&lt;(M158-(M158*0.1))</formula>
    </cfRule>
  </conditionalFormatting>
  <conditionalFormatting sqref="AD162 V162 L162 J162 H162">
    <cfRule type="expression" dxfId="327" priority="343">
      <formula>H162&gt;(G162+(G162*0.1))</formula>
    </cfRule>
    <cfRule type="expression" dxfId="326" priority="344">
      <formula>H162&lt;(G162-(G162*0.1))</formula>
    </cfRule>
  </conditionalFormatting>
  <conditionalFormatting sqref="AG162:AH162 Z162:AA162 P162:Q162">
    <cfRule type="expression" dxfId="325" priority="341">
      <formula>P162&gt;(M162+(M162*0.1))</formula>
    </cfRule>
    <cfRule type="expression" dxfId="324" priority="342">
      <formula>P162&lt;(M162-(M162*0.1))</formula>
    </cfRule>
  </conditionalFormatting>
  <conditionalFormatting sqref="H166 J166 L166 V166 AD166">
    <cfRule type="expression" dxfId="323" priority="339">
      <formula>H166&gt;(G166+(G166*0.1))</formula>
    </cfRule>
    <cfRule type="expression" dxfId="322" priority="340">
      <formula>H166&lt;(G166-(G166*0.1))</formula>
    </cfRule>
  </conditionalFormatting>
  <conditionalFormatting sqref="P166:Q166 Z166:AA166 AG166:AH166">
    <cfRule type="expression" dxfId="321" priority="337">
      <formula>P166&gt;(M166+(M166*0.1))</formula>
    </cfRule>
    <cfRule type="expression" dxfId="320" priority="338">
      <formula>P166&lt;(M166-(M166*0.1))</formula>
    </cfRule>
  </conditionalFormatting>
  <conditionalFormatting sqref="AD169 V169 L169 J169 H169">
    <cfRule type="expression" dxfId="319" priority="335">
      <formula>H169&gt;(G169+(G169*0.1))</formula>
    </cfRule>
    <cfRule type="expression" dxfId="318" priority="336">
      <formula>H169&lt;(G169-(G169*0.1))</formula>
    </cfRule>
  </conditionalFormatting>
  <conditionalFormatting sqref="AG169:AH169 Z169:AA169 P169:Q169">
    <cfRule type="expression" dxfId="317" priority="333">
      <formula>P169&gt;(M169+(M169*0.1))</formula>
    </cfRule>
    <cfRule type="expression" dxfId="316" priority="334">
      <formula>P169&lt;(M169-(M169*0.1))</formula>
    </cfRule>
  </conditionalFormatting>
  <conditionalFormatting sqref="H173 J173 L173 V173 AD173">
    <cfRule type="expression" dxfId="315" priority="331">
      <formula>H173&gt;(G173+(G173*0.1))</formula>
    </cfRule>
    <cfRule type="expression" dxfId="314" priority="332">
      <formula>H173&lt;(G173-(G173*0.1))</formula>
    </cfRule>
  </conditionalFormatting>
  <conditionalFormatting sqref="P173:Q173 Z173:AA173 AG173:AH173">
    <cfRule type="expression" dxfId="313" priority="329">
      <formula>P173&gt;(M173+(M173*0.1))</formula>
    </cfRule>
    <cfRule type="expression" dxfId="312" priority="330">
      <formula>P173&lt;(M173-(M173*0.1))</formula>
    </cfRule>
  </conditionalFormatting>
  <conditionalFormatting sqref="AD177 V177 L177 J177 H177">
    <cfRule type="expression" dxfId="311" priority="327">
      <formula>H177&gt;(G177+(G177*0.1))</formula>
    </cfRule>
    <cfRule type="expression" dxfId="310" priority="328">
      <formula>H177&lt;(G177-(G177*0.1))</formula>
    </cfRule>
  </conditionalFormatting>
  <conditionalFormatting sqref="AG177:AH177 Z177:AA177 P177:Q177">
    <cfRule type="expression" dxfId="309" priority="325">
      <formula>P177&gt;(M177+(M177*0.1))</formula>
    </cfRule>
    <cfRule type="expression" dxfId="308" priority="326">
      <formula>P177&lt;(M177-(M177*0.1))</formula>
    </cfRule>
  </conditionalFormatting>
  <conditionalFormatting sqref="H181 J181 L181 V181 AD181">
    <cfRule type="expression" dxfId="307" priority="323">
      <formula>H181&gt;(G181+(G181*0.1))</formula>
    </cfRule>
    <cfRule type="expression" dxfId="306" priority="324">
      <formula>H181&lt;(G181-(G181*0.1))</formula>
    </cfRule>
  </conditionalFormatting>
  <conditionalFormatting sqref="P181:Q181 Z181:AA181 AG181:AH181">
    <cfRule type="expression" dxfId="305" priority="321">
      <formula>P181&gt;(M181+(M181*0.1))</formula>
    </cfRule>
    <cfRule type="expression" dxfId="304" priority="322">
      <formula>P181&lt;(M181-(M181*0.1))</formula>
    </cfRule>
  </conditionalFormatting>
  <conditionalFormatting sqref="AD185 V185 L185 J185 H185">
    <cfRule type="expression" dxfId="303" priority="319">
      <formula>H185&gt;(G185+(G185*0.1))</formula>
    </cfRule>
    <cfRule type="expression" dxfId="302" priority="320">
      <formula>H185&lt;(G185-(G185*0.1))</formula>
    </cfRule>
  </conditionalFormatting>
  <conditionalFormatting sqref="AG185:AH185 Z185:AA185 P185:Q185">
    <cfRule type="expression" dxfId="301" priority="317">
      <formula>P185&gt;(M185+(M185*0.1))</formula>
    </cfRule>
    <cfRule type="expression" dxfId="300" priority="318">
      <formula>P185&lt;(M185-(M185*0.1))</formula>
    </cfRule>
  </conditionalFormatting>
  <conditionalFormatting sqref="H189 J189 L189 V189 AD189">
    <cfRule type="expression" dxfId="299" priority="315">
      <formula>H189&gt;(G189+(G189*0.1))</formula>
    </cfRule>
    <cfRule type="expression" dxfId="298" priority="316">
      <formula>H189&lt;(G189-(G189*0.1))</formula>
    </cfRule>
  </conditionalFormatting>
  <conditionalFormatting sqref="P189:Q189 Z189:AA189 AG189:AH189">
    <cfRule type="expression" dxfId="297" priority="313">
      <formula>P189&gt;(M189+(M189*0.1))</formula>
    </cfRule>
    <cfRule type="expression" dxfId="296" priority="314">
      <formula>P189&lt;(M189-(M189*0.1))</formula>
    </cfRule>
  </conditionalFormatting>
  <conditionalFormatting sqref="AD193 V193 L193 J193 H193">
    <cfRule type="expression" dxfId="295" priority="311">
      <formula>H193&gt;(G193+(G193*0.1))</formula>
    </cfRule>
    <cfRule type="expression" dxfId="294" priority="312">
      <formula>H193&lt;(G193-(G193*0.1))</formula>
    </cfRule>
  </conditionalFormatting>
  <conditionalFormatting sqref="AG193:AH193 Z193:AA193 P193:Q193">
    <cfRule type="expression" dxfId="293" priority="309">
      <formula>P193&gt;(M193+(M193*0.1))</formula>
    </cfRule>
    <cfRule type="expression" dxfId="292" priority="310">
      <formula>P193&lt;(M193-(M193*0.1))</formula>
    </cfRule>
  </conditionalFormatting>
  <conditionalFormatting sqref="H197 J197 L197 V197 AD197">
    <cfRule type="expression" dxfId="291" priority="307">
      <formula>H197&gt;(G197+(G197*0.1))</formula>
    </cfRule>
    <cfRule type="expression" dxfId="290" priority="308">
      <formula>H197&lt;(G197-(G197*0.1))</formula>
    </cfRule>
  </conditionalFormatting>
  <conditionalFormatting sqref="P197:Q197 Z197:AA197 AG197:AH197">
    <cfRule type="expression" dxfId="289" priority="305">
      <formula>P197&gt;(M197+(M197*0.1))</formula>
    </cfRule>
    <cfRule type="expression" dxfId="288" priority="306">
      <formula>P197&lt;(M197-(M197*0.1))</formula>
    </cfRule>
  </conditionalFormatting>
  <conditionalFormatting sqref="H204 J204 L204 V204 AD204">
    <cfRule type="expression" dxfId="287" priority="303">
      <formula>H204&gt;(G204+(G204*0.1))</formula>
    </cfRule>
    <cfRule type="expression" dxfId="286" priority="304">
      <formula>H204&lt;(G204-(G204*0.1))</formula>
    </cfRule>
  </conditionalFormatting>
  <conditionalFormatting sqref="P204:Q204 Z204:AA204 AG204:AH204">
    <cfRule type="expression" dxfId="285" priority="301">
      <formula>P204&gt;(M204+(M204*0.1))</formula>
    </cfRule>
    <cfRule type="expression" dxfId="284" priority="302">
      <formula>P204&lt;(M204-(M204*0.1))</formula>
    </cfRule>
  </conditionalFormatting>
  <conditionalFormatting sqref="H44 J44 L44 V44 AD44">
    <cfRule type="expression" dxfId="283" priority="299">
      <formula>H44&gt;(G44+(G44*0.1))</formula>
    </cfRule>
    <cfRule type="expression" dxfId="282" priority="300">
      <formula>H44&lt;(G44-(G44*0.1))</formula>
    </cfRule>
  </conditionalFormatting>
  <conditionalFormatting sqref="P44:Q44 Z44:AA44 AG44:AH44">
    <cfRule type="expression" dxfId="281" priority="297">
      <formula>P44&gt;(M44+(M44*0.1))</formula>
    </cfRule>
    <cfRule type="expression" dxfId="280" priority="298">
      <formula>P44&lt;(M44-(M44*0.1))</formula>
    </cfRule>
  </conditionalFormatting>
  <conditionalFormatting sqref="AD96 V96 L96 J96 H96">
    <cfRule type="expression" dxfId="279" priority="295">
      <formula>H96&gt;(G96+(G96*0.1))</formula>
    </cfRule>
    <cfRule type="expression" dxfId="278" priority="296">
      <formula>H96&lt;(G96-(G96*0.1))</formula>
    </cfRule>
  </conditionalFormatting>
  <conditionalFormatting sqref="AG96:AH96 Z96:AA96 P96:Q96">
    <cfRule type="expression" dxfId="277" priority="293">
      <formula>P96&gt;(M96+(M96*0.1))</formula>
    </cfRule>
    <cfRule type="expression" dxfId="276" priority="294">
      <formula>P96&lt;(M96-(M96*0.1))</formula>
    </cfRule>
  </conditionalFormatting>
  <conditionalFormatting sqref="AD220 V220 L220 H220">
    <cfRule type="expression" dxfId="275" priority="291">
      <formula>H220&gt;(G220+(G220*0.1))</formula>
    </cfRule>
    <cfRule type="expression" dxfId="274" priority="292">
      <formula>H220&lt;(G220-(G220*0.1))</formula>
    </cfRule>
  </conditionalFormatting>
  <conditionalFormatting sqref="AG220:AH220 Z220:AA220 P220:Q220">
    <cfRule type="expression" dxfId="273" priority="289">
      <formula>P220&gt;(M220+(M220*0.1))</formula>
    </cfRule>
    <cfRule type="expression" dxfId="272" priority="290">
      <formula>P220&lt;(M220-(M220*0.1))</formula>
    </cfRule>
  </conditionalFormatting>
  <conditionalFormatting sqref="H16 J16 L16 V16 AD16">
    <cfRule type="expression" dxfId="271" priority="287">
      <formula>H16&gt;(G16+(G16*0.1))</formula>
    </cfRule>
    <cfRule type="expression" dxfId="270" priority="288">
      <formula>H16&lt;(G16-(G16*0.1))</formula>
    </cfRule>
  </conditionalFormatting>
  <conditionalFormatting sqref="P16:Q16 Z16:AA16 AG16:AH16">
    <cfRule type="expression" dxfId="269" priority="285">
      <formula>P16&gt;(M16+(M16*0.1))</formula>
    </cfRule>
    <cfRule type="expression" dxfId="268" priority="286">
      <formula>P16&lt;(M16-(M16*0.1))</formula>
    </cfRule>
  </conditionalFormatting>
  <conditionalFormatting sqref="V205">
    <cfRule type="expression" dxfId="267" priority="283">
      <formula>V205&gt;(U205+(U205*0.1))</formula>
    </cfRule>
    <cfRule type="expression" dxfId="266" priority="284">
      <formula>V205&lt;(U205-(U205*0.1))</formula>
    </cfRule>
  </conditionalFormatting>
  <conditionalFormatting sqref="H353:H534 J353:J534 L353:L534 AD353:AD534 V354:V534">
    <cfRule type="expression" dxfId="265" priority="281">
      <formula>H353&gt;(G353+(G353*0.1))</formula>
    </cfRule>
    <cfRule type="expression" dxfId="264" priority="282">
      <formula>H353&lt;(G353-(G353*0.1))</formula>
    </cfRule>
  </conditionalFormatting>
  <conditionalFormatting sqref="P353:Q534 Z353:AA534 AG353:AH534">
    <cfRule type="expression" dxfId="263" priority="279">
      <formula>P353&gt;(M353+(M353*0.1))</formula>
    </cfRule>
    <cfRule type="expression" dxfId="262" priority="280">
      <formula>P353&lt;(M353-(M353*0.1))</formula>
    </cfRule>
  </conditionalFormatting>
  <conditionalFormatting sqref="H535:H732 J535:J732 L535:L732 AD535:AD732 V536:V732">
    <cfRule type="expression" dxfId="261" priority="277">
      <formula>H535&gt;(G535+(G535*0.1))</formula>
    </cfRule>
    <cfRule type="expression" dxfId="260" priority="278">
      <formula>H535&lt;(G535-(G535*0.1))</formula>
    </cfRule>
  </conditionalFormatting>
  <conditionalFormatting sqref="P535:Q732 Z535:AA732 AG535:AH732">
    <cfRule type="expression" dxfId="259" priority="275">
      <formula>P535&gt;(M535+(M535*0.1))</formula>
    </cfRule>
    <cfRule type="expression" dxfId="258" priority="276">
      <formula>P535&lt;(M535-(M535*0.1))</formula>
    </cfRule>
  </conditionalFormatting>
  <conditionalFormatting sqref="H733:H920 J733:J920 L733:L920 V733:V920 AD733:AD920">
    <cfRule type="expression" dxfId="257" priority="273">
      <formula>H733&gt;(G733+(G733*0.1))</formula>
    </cfRule>
    <cfRule type="expression" dxfId="256" priority="274">
      <formula>H733&lt;(G733-(G733*0.1))</formula>
    </cfRule>
  </conditionalFormatting>
  <conditionalFormatting sqref="P733:Q920 Z733:AA920 AG733:AH920">
    <cfRule type="expression" dxfId="255" priority="271">
      <formula>P733&gt;(M733+(M733*0.1))</formula>
    </cfRule>
    <cfRule type="expression" dxfId="254" priority="272">
      <formula>P733&lt;(M733-(M733*0.1))</formula>
    </cfRule>
  </conditionalFormatting>
  <conditionalFormatting sqref="H921:H950 J921:J950 L921:L950 V921:V950 AD921:AD950">
    <cfRule type="expression" dxfId="253" priority="269">
      <formula>H921&gt;(G921+(G921*0.1))</formula>
    </cfRule>
    <cfRule type="expression" dxfId="252" priority="270">
      <formula>H921&lt;(G921-(G921*0.1))</formula>
    </cfRule>
  </conditionalFormatting>
  <conditionalFormatting sqref="P921:Q950 Z921:AA950 AG921:AH950">
    <cfRule type="expression" dxfId="251" priority="267">
      <formula>P921&gt;(M921+(M921*0.1))</formula>
    </cfRule>
    <cfRule type="expression" dxfId="250" priority="268">
      <formula>P921&lt;(M921-(M921*0.1))</formula>
    </cfRule>
  </conditionalFormatting>
  <conditionalFormatting sqref="J951:J1010 AD951:AD1010 V951:V1010 L951:L1010 H951:H1010">
    <cfRule type="expression" dxfId="249" priority="265">
      <formula>H951&gt;(G951+(G951*0.1))</formula>
    </cfRule>
    <cfRule type="expression" dxfId="248" priority="266">
      <formula>H951&lt;(G951-(G951*0.1))</formula>
    </cfRule>
  </conditionalFormatting>
  <conditionalFormatting sqref="P951:P1002 Z951:Z1003 AG951:AH1010 Z1005:Z1010 AA951:AA1010 P1005:P1010 Q951:Q1010">
    <cfRule type="expression" dxfId="247" priority="263">
      <formula>P951&gt;(M951+(M951*0.1))</formula>
    </cfRule>
    <cfRule type="expression" dxfId="246" priority="264">
      <formula>P951&lt;(M951-(M951*0.1))</formula>
    </cfRule>
  </conditionalFormatting>
  <conditionalFormatting sqref="Z1004">
    <cfRule type="expression" dxfId="245" priority="261">
      <formula>Z1004&gt;(M1004+(M1004*0.1))</formula>
    </cfRule>
    <cfRule type="expression" dxfId="244" priority="262">
      <formula>Z1004&lt;(M1004-(M1004*0.1))</formula>
    </cfRule>
  </conditionalFormatting>
  <conditionalFormatting sqref="H1090:H1126 AD1090:AD1126 V1090:V1126 L1090:L1126 J1090:J1126">
    <cfRule type="expression" dxfId="243" priority="259">
      <formula>H1090&gt;(G1090+(G1090*0.1))</formula>
    </cfRule>
    <cfRule type="expression" dxfId="242" priority="260">
      <formula>H1090&lt;(G1090-(G1090*0.1))</formula>
    </cfRule>
  </conditionalFormatting>
  <conditionalFormatting sqref="P1090:Q1126 AG1090:AH1126 Z1090:AA1126">
    <cfRule type="expression" dxfId="241" priority="257">
      <formula>P1090&gt;(M1090+(M1090*0.1))</formula>
    </cfRule>
    <cfRule type="expression" dxfId="240" priority="258">
      <formula>P1090&lt;(M1090-(M1090*0.1))</formula>
    </cfRule>
  </conditionalFormatting>
  <conditionalFormatting sqref="H1127:H1243 J1127:J1243 L1127:L1243 V1127:V1243 AD1127:AD1243">
    <cfRule type="expression" dxfId="239" priority="255">
      <formula>H1127&gt;(G1127+(G1127*0.1))</formula>
    </cfRule>
    <cfRule type="expression" dxfId="238" priority="256">
      <formula>H1127&lt;(G1127-(G1127*0.1))</formula>
    </cfRule>
  </conditionalFormatting>
  <conditionalFormatting sqref="P1127:Q1243 Z1127:AA1243 AG1127:AH1243">
    <cfRule type="expression" dxfId="237" priority="253">
      <formula>P1127&gt;(M1127+(M1127*0.1))</formula>
    </cfRule>
    <cfRule type="expression" dxfId="236" priority="254">
      <formula>P1127&lt;(M1127-(M1127*0.1))</formula>
    </cfRule>
  </conditionalFormatting>
  <conditionalFormatting sqref="J1321:J1327 L1321:L1327 V1321:V1327 AD1321:AD1327 H1321:H1327">
    <cfRule type="expression" dxfId="235" priority="247">
      <formula>H1321&gt;(G1321+(G1321*0.1))</formula>
    </cfRule>
    <cfRule type="expression" dxfId="234" priority="248">
      <formula>H1321&lt;(G1321-(G1321*0.1))</formula>
    </cfRule>
  </conditionalFormatting>
  <conditionalFormatting sqref="P1321:Q1327 Z1321:AA1327 AG1321:AH1327">
    <cfRule type="expression" dxfId="233" priority="245">
      <formula>P1321&gt;(M1321+(M1321*0.1))</formula>
    </cfRule>
    <cfRule type="expression" dxfId="232" priority="246">
      <formula>P1321&lt;(M1321-(M1321*0.1))</formula>
    </cfRule>
  </conditionalFormatting>
  <conditionalFormatting sqref="H1381:H1627 J1381:J1627 L1381:L1627 V1381:V1627 AD1381:AD1627">
    <cfRule type="expression" dxfId="231" priority="243" stopIfTrue="1">
      <formula>H1381&gt;(G1381+(G1381*0.1))</formula>
    </cfRule>
    <cfRule type="expression" dxfId="230" priority="244" stopIfTrue="1">
      <formula>H1381&lt;(G1381-(G1381*0.1))</formula>
    </cfRule>
  </conditionalFormatting>
  <conditionalFormatting sqref="P1381:Q1627 Z1381:AA1627 AG1381:AH1627">
    <cfRule type="expression" dxfId="229" priority="241" stopIfTrue="1">
      <formula>P1381&gt;(M1381+(M1381*0.1))</formula>
    </cfRule>
    <cfRule type="expression" dxfId="228" priority="242" stopIfTrue="1">
      <formula>P1381&lt;(M1381-(M1381*0.1))</formula>
    </cfRule>
  </conditionalFormatting>
  <conditionalFormatting sqref="J1714:J1723 L1714:L1723 V1714:V1723 AD1714:AD1723 AD1628:AD1712 V1628:V1712 L1628:L1712 J1628:J1712 H1628:H1712 H1714:H1723">
    <cfRule type="expression" dxfId="227" priority="239">
      <formula>H1628&gt;(G1628+(G1628*0.1))</formula>
    </cfRule>
    <cfRule type="expression" dxfId="226" priority="240">
      <formula>H1628&lt;(G1628-(G1628*0.1))</formula>
    </cfRule>
  </conditionalFormatting>
  <conditionalFormatting sqref="Z1714:AA1723 AG1714:AH1723 AG1628:AH1712 Z1628:AA1712 P1628:Q1712 P1714:Q1723">
    <cfRule type="expression" dxfId="225" priority="237">
      <formula>P1628&gt;(M1628+(M1628*0.1))</formula>
    </cfRule>
    <cfRule type="expression" dxfId="224" priority="238">
      <formula>P1628&lt;(M1628-(M1628*0.1))</formula>
    </cfRule>
  </conditionalFormatting>
  <conditionalFormatting sqref="H1724:H1776 J1724:J1776 L1724:L1776 V1724:V1776 AD1724:AD1776">
    <cfRule type="expression" dxfId="223" priority="231">
      <formula>H1724&gt;(G1724+(G1724*0.1))</formula>
    </cfRule>
    <cfRule type="expression" dxfId="222" priority="232">
      <formula>H1724&lt;(G1724-(G1724*0.1))</formula>
    </cfRule>
  </conditionalFormatting>
  <conditionalFormatting sqref="P1724:Q1776 Z1724:AA1776 AG1724:AH1776">
    <cfRule type="expression" dxfId="221" priority="229">
      <formula>P1724&gt;(M1724+(M1724*0.1))</formula>
    </cfRule>
    <cfRule type="expression" dxfId="220" priority="230">
      <formula>P1724&lt;(M1724-(M1724*0.1))</formula>
    </cfRule>
  </conditionalFormatting>
  <conditionalFormatting sqref="H1777:H1906 J1777:J1906 L1777:L1906 V1777:V1906 AD1777:AD1906">
    <cfRule type="expression" dxfId="219" priority="227">
      <formula>H1777&gt;(G1777+(G1777*0.1))</formula>
    </cfRule>
    <cfRule type="expression" dxfId="218" priority="228">
      <formula>H1777&lt;(G1777-(G1777*0.1))</formula>
    </cfRule>
  </conditionalFormatting>
  <conditionalFormatting sqref="P1777:Q1906 Z1777:AA1906 AG1777:AH1906">
    <cfRule type="expression" dxfId="217" priority="225">
      <formula>P1777&gt;(M1777+(M1777*0.1))</formula>
    </cfRule>
    <cfRule type="expression" dxfId="216" priority="226">
      <formula>P1777&lt;(M1777-(M1777*0.1))</formula>
    </cfRule>
  </conditionalFormatting>
  <conditionalFormatting sqref="AD1777:AD1936 H1777:H1936 J1777:J1936 L1777:L1936 V1777:V1936">
    <cfRule type="expression" dxfId="215" priority="223">
      <formula>H1777&gt;(G1777+(G1777*0.1))</formula>
    </cfRule>
    <cfRule type="expression" dxfId="214" priority="224">
      <formula>H1777&lt;(G1777-(G1777*0.1))</formula>
    </cfRule>
  </conditionalFormatting>
  <conditionalFormatting sqref="AG1777:AH1936 P1777:Q1936 Z1777:AA1936">
    <cfRule type="expression" dxfId="213" priority="221">
      <formula>P1777&gt;(M1777+(M1777*0.1))</formula>
    </cfRule>
    <cfRule type="expression" dxfId="212" priority="222">
      <formula>P1777&lt;(M1777-(M1777*0.1))</formula>
    </cfRule>
  </conditionalFormatting>
  <conditionalFormatting sqref="H1937:H2174 J1937:J2174 V1937:V2174 AD1937:AD2174 L1937:L2174">
    <cfRule type="expression" dxfId="211" priority="219">
      <formula>H1937&gt;(G1937+(G1937*0.1))</formula>
    </cfRule>
    <cfRule type="expression" dxfId="210" priority="220">
      <formula>H1937&lt;(G1937-(G1937*0.1))</formula>
    </cfRule>
  </conditionalFormatting>
  <conditionalFormatting sqref="P1937:Q2174 Z1937:AA2174 AG1937:AH2174">
    <cfRule type="expression" dxfId="209" priority="217">
      <formula>P1937&gt;(M1937+(M1937*0.1))</formula>
    </cfRule>
    <cfRule type="expression" dxfId="208" priority="218">
      <formula>P1937&lt;(M1937-(M1937*0.1))</formula>
    </cfRule>
  </conditionalFormatting>
  <conditionalFormatting sqref="H2175:H2288 J2175:J2288 L2175:L2288 V2175:V2288 AD2175:AD2288">
    <cfRule type="expression" dxfId="207" priority="215" stopIfTrue="1">
      <formula>H2175&gt;(G2175+(G2175*0.1))</formula>
    </cfRule>
    <cfRule type="expression" dxfId="206" priority="216" stopIfTrue="1">
      <formula>H2175&lt;(G2175-(G2175*0.1))</formula>
    </cfRule>
  </conditionalFormatting>
  <conditionalFormatting sqref="P2175:Q2288 Z2175:AA2288 AG2175:AH2288">
    <cfRule type="expression" dxfId="205" priority="213" stopIfTrue="1">
      <formula>P2175&gt;(M2175+(M2175*0.1))</formula>
    </cfRule>
    <cfRule type="expression" dxfId="204" priority="214" stopIfTrue="1">
      <formula>P2175&lt;(M2175-(M2175*0.1))</formula>
    </cfRule>
  </conditionalFormatting>
  <conditionalFormatting sqref="H2289:H2343 J2289:J2343 L2289:L2343 V2289:V2343 AD2289:AD2343">
    <cfRule type="expression" dxfId="203" priority="211">
      <formula>H2289&gt;(G2289+(G2289*0.1))</formula>
    </cfRule>
    <cfRule type="expression" dxfId="202" priority="212">
      <formula>H2289&lt;(G2289-(G2289*0.1))</formula>
    </cfRule>
  </conditionalFormatting>
  <conditionalFormatting sqref="P2289:Q2343 Z2289:AA2343 AG2289:AH2343">
    <cfRule type="expression" dxfId="201" priority="209">
      <formula>P2289&gt;(M2289+(M2289*0.1))</formula>
    </cfRule>
    <cfRule type="expression" dxfId="200" priority="210">
      <formula>P2289&lt;(M2289-(M2289*0.1))</formula>
    </cfRule>
  </conditionalFormatting>
  <conditionalFormatting sqref="AD2344:AD2376 H2344:H2376 H2380:H2401 AD2380:AD2401 V2344:V2401 L2344:L2401 J2344:J2401">
    <cfRule type="expression" dxfId="199" priority="207">
      <formula>H2344&gt;(G2344+(G2344*0.1))</formula>
    </cfRule>
    <cfRule type="expression" dxfId="198" priority="208">
      <formula>H2344&lt;(G2344-(G2344*0.1))</formula>
    </cfRule>
  </conditionalFormatting>
  <conditionalFormatting sqref="P2452:Q2806 P2409:Q2420 P2344:Q2381 AG2344:AH2376 AG2683:AH2806 AG2378:AH2401 P2383:Q2401 Z2344:AA2401">
    <cfRule type="expression" dxfId="197" priority="205">
      <formula>P2344&gt;(M2344+(M2344*0.1))</formula>
    </cfRule>
    <cfRule type="expression" dxfId="196" priority="206">
      <formula>P2344&lt;(M2344-(M2344*0.1))</formula>
    </cfRule>
  </conditionalFormatting>
  <conditionalFormatting sqref="AD2377:AD2379">
    <cfRule type="expression" dxfId="195" priority="203">
      <formula>AD2377&gt;(G2377+(G2377*0.1))</formula>
    </cfRule>
    <cfRule type="expression" dxfId="194" priority="204">
      <formula>AD2377&lt;(G2377-(G2377*0.1))</formula>
    </cfRule>
  </conditionalFormatting>
  <conditionalFormatting sqref="H2807:H2903 J2807:J2903 L2807:L2903 V2807:V2903 AD2807:AD2903">
    <cfRule type="expression" dxfId="193" priority="201">
      <formula>H2807&gt;(G2807+(G2807*0.1))</formula>
    </cfRule>
    <cfRule type="expression" dxfId="192" priority="202">
      <formula>H2807&lt;(G2807-(G2807*0.1))</formula>
    </cfRule>
  </conditionalFormatting>
  <conditionalFormatting sqref="P2807:Q2903 Z2807:AA2903 AG2807:AH2903">
    <cfRule type="expression" dxfId="191" priority="199">
      <formula>P2807&gt;(M2807+(M2807*0.1))</formula>
    </cfRule>
    <cfRule type="expression" dxfId="190" priority="200">
      <formula>P2807&lt;(M2807-(M2807*0.1))</formula>
    </cfRule>
  </conditionalFormatting>
  <conditionalFormatting sqref="H3142:H3244 J3142:J3244 L3142:L3244 V3142:V3244 AD3142:AD3244">
    <cfRule type="expression" dxfId="189" priority="193">
      <formula>H3142&gt;(G3142+(G3142*0.1))</formula>
    </cfRule>
    <cfRule type="expression" dxfId="188" priority="194">
      <formula>H3142&lt;(G3142-(G3142*0.1))</formula>
    </cfRule>
  </conditionalFormatting>
  <conditionalFormatting sqref="P3142:Q3244 Z3142:AA3244 AG3142:AH3244">
    <cfRule type="expression" dxfId="187" priority="191">
      <formula>P3142&gt;(M3142+(M3142*0.1))</formula>
    </cfRule>
    <cfRule type="expression" dxfId="186" priority="192">
      <formula>P3142&lt;(M3142-(M3142*0.1))</formula>
    </cfRule>
  </conditionalFormatting>
  <conditionalFormatting sqref="J3245:J3248 H3245 H3263:H3271 H3284:H3395 AD3245:AD3395 L3245:L3395 V3245:V3395 J3267:J3395 H3276:H3279">
    <cfRule type="expression" dxfId="185" priority="189">
      <formula>H3245&gt;(G3245+(G3245*0.1))</formula>
    </cfRule>
    <cfRule type="expression" dxfId="184" priority="190">
      <formula>H3245&lt;(G3245-(G3245*0.1))</formula>
    </cfRule>
  </conditionalFormatting>
  <conditionalFormatting sqref="P3245:Q3395 Z3245:AA3395 AG3245:AH3395">
    <cfRule type="expression" dxfId="183" priority="187">
      <formula>P3245&gt;(M3245+(M3245*0.1))</formula>
    </cfRule>
    <cfRule type="expression" dxfId="182" priority="188">
      <formula>P3245&lt;(M3245-(M3245*0.1))</formula>
    </cfRule>
  </conditionalFormatting>
  <conditionalFormatting sqref="H3245 H3284:H3331 H3276:H3279">
    <cfRule type="cellIs" dxfId="181" priority="185" stopIfTrue="1" operator="greaterThan">
      <formula>G3245+(G3245*0.05)</formula>
    </cfRule>
    <cfRule type="cellIs" dxfId="180" priority="186" stopIfTrue="1" operator="lessThan">
      <formula>G3245-(G3245*0.05)</formula>
    </cfRule>
  </conditionalFormatting>
  <conditionalFormatting sqref="H3245">
    <cfRule type="cellIs" dxfId="179" priority="183" stopIfTrue="1" operator="greaterThan">
      <formula>G3245+(G3245*0.05)</formula>
    </cfRule>
    <cfRule type="cellIs" dxfId="178" priority="184" stopIfTrue="1" operator="lessThan">
      <formula>G3245-(G3245*0.05)</formula>
    </cfRule>
  </conditionalFormatting>
  <conditionalFormatting sqref="J3250:J3266">
    <cfRule type="expression" dxfId="177" priority="181">
      <formula>J3250&gt;(G3246+(G3246*0.1))</formula>
    </cfRule>
    <cfRule type="expression" dxfId="176" priority="182">
      <formula>J3250&lt;(G3246-(G3246*0.1))</formula>
    </cfRule>
  </conditionalFormatting>
  <conditionalFormatting sqref="J3250:J3266">
    <cfRule type="cellIs" dxfId="175" priority="179" stopIfTrue="1" operator="greaterThan">
      <formula>G3246+(G3246*0.05)</formula>
    </cfRule>
    <cfRule type="cellIs" dxfId="174" priority="180" stopIfTrue="1" operator="lessThan">
      <formula>G3246-(G3246*0.05)</formula>
    </cfRule>
  </conditionalFormatting>
  <conditionalFormatting sqref="J3249:J3266">
    <cfRule type="cellIs" dxfId="173" priority="177" stopIfTrue="1" operator="greaterThan">
      <formula>I3249+(I3249*0.05)</formula>
    </cfRule>
    <cfRule type="cellIs" dxfId="172" priority="178" stopIfTrue="1" operator="lessThan">
      <formula>I3249-(I3249*0.05)</formula>
    </cfRule>
  </conditionalFormatting>
  <conditionalFormatting sqref="H3280:H3282">
    <cfRule type="expression" dxfId="171" priority="175">
      <formula>H3280&gt;(G3281+(G3281*0.1))</formula>
    </cfRule>
    <cfRule type="expression" dxfId="170" priority="176">
      <formula>H3280&lt;(G3281-(G3281*0.1))</formula>
    </cfRule>
  </conditionalFormatting>
  <conditionalFormatting sqref="H3280:H3282">
    <cfRule type="cellIs" dxfId="169" priority="173" stopIfTrue="1" operator="greaterThan">
      <formula>G3281+(G3281*0.05)</formula>
    </cfRule>
    <cfRule type="cellIs" dxfId="168" priority="174" stopIfTrue="1" operator="lessThan">
      <formula>G3281-(G3281*0.05)</formula>
    </cfRule>
  </conditionalFormatting>
  <conditionalFormatting sqref="H3273:H3274">
    <cfRule type="expression" dxfId="167" priority="171">
      <formula>H3273&gt;(G3272+(G3272*0.1))</formula>
    </cfRule>
    <cfRule type="expression" dxfId="166" priority="172">
      <formula>H3273&lt;(G3272-(G3272*0.1))</formula>
    </cfRule>
  </conditionalFormatting>
  <conditionalFormatting sqref="H3273:H3274">
    <cfRule type="cellIs" dxfId="165" priority="169" stopIfTrue="1" operator="greaterThan">
      <formula>G3272+(G3272*0.05)</formula>
    </cfRule>
    <cfRule type="cellIs" dxfId="164" priority="170" stopIfTrue="1" operator="lessThan">
      <formula>G3272-(G3272*0.05)</formula>
    </cfRule>
  </conditionalFormatting>
  <conditionalFormatting sqref="H3272">
    <cfRule type="expression" dxfId="163" priority="167">
      <formula>H3272&gt;(G3275+(G3275*0.1))</formula>
    </cfRule>
    <cfRule type="expression" dxfId="162" priority="168">
      <formula>H3272&lt;(G3275-(G3275*0.1))</formula>
    </cfRule>
  </conditionalFormatting>
  <conditionalFormatting sqref="H3272">
    <cfRule type="cellIs" dxfId="161" priority="165" stopIfTrue="1" operator="greaterThan">
      <formula>G3275+(G3275*0.05)</formula>
    </cfRule>
    <cfRule type="cellIs" dxfId="160" priority="166" stopIfTrue="1" operator="lessThan">
      <formula>G3275-(G3275*0.05)</formula>
    </cfRule>
  </conditionalFormatting>
  <conditionalFormatting sqref="H3284">
    <cfRule type="cellIs" dxfId="159" priority="163" stopIfTrue="1" operator="greaterThan">
      <formula>G3284+(G3284*0.05)</formula>
    </cfRule>
    <cfRule type="cellIs" dxfId="158" priority="164" stopIfTrue="1" operator="lessThan">
      <formula>G3284-(G3284*0.05)</formula>
    </cfRule>
  </conditionalFormatting>
  <conditionalFormatting sqref="H3288">
    <cfRule type="cellIs" dxfId="157" priority="161" stopIfTrue="1" operator="greaterThan">
      <formula>G3288+(G3288*0.05)</formula>
    </cfRule>
    <cfRule type="cellIs" dxfId="156" priority="162" stopIfTrue="1" operator="lessThan">
      <formula>G3288-(G3288*0.05)</formula>
    </cfRule>
  </conditionalFormatting>
  <conditionalFormatting sqref="H3302">
    <cfRule type="cellIs" dxfId="155" priority="159" stopIfTrue="1" operator="greaterThan">
      <formula>G3302+(G3302*0.05)</formula>
    </cfRule>
    <cfRule type="cellIs" dxfId="154" priority="160" stopIfTrue="1" operator="lessThan">
      <formula>G3302-(G3302*0.05)</formula>
    </cfRule>
  </conditionalFormatting>
  <conditionalFormatting sqref="H3304:H3306">
    <cfRule type="cellIs" dxfId="153" priority="157" stopIfTrue="1" operator="greaterThan">
      <formula>G3304+(G3304*0.05)</formula>
    </cfRule>
    <cfRule type="cellIs" dxfId="152" priority="158" stopIfTrue="1" operator="lessThan">
      <formula>G3304-(G3304*0.05)</formula>
    </cfRule>
  </conditionalFormatting>
  <conditionalFormatting sqref="H3306">
    <cfRule type="cellIs" dxfId="151" priority="155" stopIfTrue="1" operator="greaterThan">
      <formula>G3306+(G3306*0.05)</formula>
    </cfRule>
    <cfRule type="cellIs" dxfId="150" priority="156" stopIfTrue="1" operator="lessThan">
      <formula>G3306-(G3306*0.05)</formula>
    </cfRule>
  </conditionalFormatting>
  <conditionalFormatting sqref="H3314:H3332">
    <cfRule type="cellIs" dxfId="149" priority="153" stopIfTrue="1" operator="greaterThan">
      <formula>G3314+(G3314*0.05)</formula>
    </cfRule>
    <cfRule type="cellIs" dxfId="148" priority="154" stopIfTrue="1" operator="lessThan">
      <formula>G3314-(G3314*0.05)</formula>
    </cfRule>
  </conditionalFormatting>
  <conditionalFormatting sqref="L10:L227 H10:H227 J10:J207 J209:J210 J212 J214 J216:J217 J221:J224 J227">
    <cfRule type="expression" dxfId="147" priority="151" stopIfTrue="1">
      <formula>H10&lt;(G10-(G10*0.05))</formula>
    </cfRule>
    <cfRule type="expression" dxfId="146" priority="152" stopIfTrue="1">
      <formula>H10&gt;(G10+(G10*0.05))</formula>
    </cfRule>
  </conditionalFormatting>
  <conditionalFormatting sqref="H10:H227 L10:L227 J10:J207 J209:J210 J212 J214 J216:J217 J221:J224 J227">
    <cfRule type="cellIs" dxfId="145" priority="149" stopIfTrue="1" operator="greaterThan">
      <formula>G10+(G10*0.05)</formula>
    </cfRule>
    <cfRule type="cellIs" dxfId="144" priority="150" stopIfTrue="1" operator="lessThan">
      <formula>G10-(G10*0.05)</formula>
    </cfRule>
  </conditionalFormatting>
  <conditionalFormatting sqref="H949 J949 L949 V949 AD949">
    <cfRule type="expression" dxfId="143" priority="143">
      <formula>H949&gt;(G949+(G949*0.1))</formula>
    </cfRule>
    <cfRule type="expression" dxfId="142" priority="144">
      <formula>H949&lt;(G949-(G949*0.1))</formula>
    </cfRule>
  </conditionalFormatting>
  <conditionalFormatting sqref="AG949:AH949 P949:Q949 Z949:AA949">
    <cfRule type="expression" dxfId="141" priority="141">
      <formula>P949&gt;(M949+(M949*0.1))</formula>
    </cfRule>
    <cfRule type="expression" dxfId="140" priority="142">
      <formula>P949&lt;(M949-(M949*0.1))</formula>
    </cfRule>
  </conditionalFormatting>
  <conditionalFormatting sqref="V1355">
    <cfRule type="expression" dxfId="139" priority="139">
      <formula>V1355&gt;(U1355+(U1355*0.1))</formula>
    </cfRule>
    <cfRule type="expression" dxfId="138" priority="140">
      <formula>V1355&lt;(U1355-(U1355*0.1))</formula>
    </cfRule>
  </conditionalFormatting>
  <conditionalFormatting sqref="J951:J1010 AD951:AD1010 V951:V1010 L951:L1010 H951:H1010">
    <cfRule type="expression" dxfId="137" priority="137">
      <formula>H951&gt;(G951+(G951*0.1))</formula>
    </cfRule>
    <cfRule type="expression" dxfId="136" priority="138">
      <formula>H951&lt;(G951-(G951*0.1))</formula>
    </cfRule>
  </conditionalFormatting>
  <conditionalFormatting sqref="P951:P1002 Z951:Z1003 AG951:AH1010 Z1005:Z1010 AA951:AA1010 P1005:P1010 Q951:Q1010">
    <cfRule type="expression" dxfId="135" priority="135">
      <formula>P951&gt;(M951+(M951*0.1))</formula>
    </cfRule>
    <cfRule type="expression" dxfId="134" priority="136">
      <formula>P951&lt;(M951-(M951*0.1))</formula>
    </cfRule>
  </conditionalFormatting>
  <conditionalFormatting sqref="Z1004">
    <cfRule type="expression" dxfId="133" priority="133">
      <formula>Z1004&gt;(M1004+(M1004*0.1))</formula>
    </cfRule>
    <cfRule type="expression" dxfId="132" priority="134">
      <formula>Z1004&lt;(M1004-(M1004*0.1))</formula>
    </cfRule>
  </conditionalFormatting>
  <conditionalFormatting sqref="J1011:J1012 AD1011:AD1012 V1011:V1012 L1011:L1012 H1011:H1012">
    <cfRule type="expression" dxfId="131" priority="131">
      <formula>H1011&gt;(G1011+(G1011*0.1))</formula>
    </cfRule>
    <cfRule type="expression" dxfId="130" priority="132">
      <formula>H1011&lt;(G1011-(G1011*0.1))</formula>
    </cfRule>
  </conditionalFormatting>
  <conditionalFormatting sqref="AG1011:AH1012 Z1011:AA1012 P1011:Q1012">
    <cfRule type="expression" dxfId="129" priority="129">
      <formula>P1011&gt;(M1011+(M1011*0.1))</formula>
    </cfRule>
    <cfRule type="expression" dxfId="128" priority="130">
      <formula>P1011&lt;(M1011-(M1011*0.1))</formula>
    </cfRule>
  </conditionalFormatting>
  <conditionalFormatting sqref="J1011:J1012 AD1011:AD1012 V1011:V1012 L1011:L1012 H1011:H1012">
    <cfRule type="expression" dxfId="127" priority="127">
      <formula>H1011&gt;(G1011+(G1011*0.1))</formula>
    </cfRule>
    <cfRule type="expression" dxfId="126" priority="128">
      <formula>H1011&lt;(G1011-(G1011*0.1))</formula>
    </cfRule>
  </conditionalFormatting>
  <conditionalFormatting sqref="AG1011:AH1012 Z1011:AA1012 P1011:Q1012">
    <cfRule type="expression" dxfId="125" priority="125">
      <formula>P1011&gt;(M1011+(M1011*0.1))</formula>
    </cfRule>
    <cfRule type="expression" dxfId="124" priority="126">
      <formula>P1011&lt;(M1011-(M1011*0.1))</formula>
    </cfRule>
  </conditionalFormatting>
  <conditionalFormatting sqref="J1015 AD1015 V1015 L1015 H1015">
    <cfRule type="expression" dxfId="123" priority="123">
      <formula>H1015&gt;(G1015+(G1015*0.1))</formula>
    </cfRule>
    <cfRule type="expression" dxfId="122" priority="124">
      <formula>H1015&lt;(G1015-(G1015*0.1))</formula>
    </cfRule>
  </conditionalFormatting>
  <conditionalFormatting sqref="AG1015:AH1015 Z1015:AA1015 P1015:Q1015">
    <cfRule type="expression" dxfId="121" priority="121">
      <formula>P1015&gt;(M1015+(M1015*0.1))</formula>
    </cfRule>
    <cfRule type="expression" dxfId="120" priority="122">
      <formula>P1015&lt;(M1015-(M1015*0.1))</formula>
    </cfRule>
  </conditionalFormatting>
  <conditionalFormatting sqref="J1015 AD1015 V1015 L1015 H1015">
    <cfRule type="expression" dxfId="119" priority="119">
      <formula>H1015&gt;(G1015+(G1015*0.1))</formula>
    </cfRule>
    <cfRule type="expression" dxfId="118" priority="120">
      <formula>H1015&lt;(G1015-(G1015*0.1))</formula>
    </cfRule>
  </conditionalFormatting>
  <conditionalFormatting sqref="AG1015:AH1015 Z1015:AA1015 P1015:Q1015">
    <cfRule type="expression" dxfId="117" priority="117">
      <formula>P1015&gt;(M1015+(M1015*0.1))</formula>
    </cfRule>
    <cfRule type="expression" dxfId="116" priority="118">
      <formula>P1015&lt;(M1015-(M1015*0.1))</formula>
    </cfRule>
  </conditionalFormatting>
  <conditionalFormatting sqref="H2475">
    <cfRule type="expression" dxfId="115" priority="115">
      <formula>H2475&gt;(G2475+(G2475*0.1))</formula>
    </cfRule>
    <cfRule type="expression" dxfId="114" priority="116">
      <formula>H2475&lt;(G2475-(G2475*0.1))</formula>
    </cfRule>
  </conditionalFormatting>
  <conditionalFormatting sqref="H2487">
    <cfRule type="expression" dxfId="113" priority="113">
      <formula>H2487&gt;(G2487+(G2487*0.1))</formula>
    </cfRule>
    <cfRule type="expression" dxfId="112" priority="114">
      <formula>H2487&lt;(G2487-(G2487*0.1))</formula>
    </cfRule>
  </conditionalFormatting>
  <conditionalFormatting sqref="H2499">
    <cfRule type="expression" dxfId="111" priority="111">
      <formula>H2499&gt;(G2499+(G2499*0.1))</formula>
    </cfRule>
    <cfRule type="expression" dxfId="110" priority="112">
      <formula>H2499&lt;(G2499-(G2499*0.1))</formula>
    </cfRule>
  </conditionalFormatting>
  <conditionalFormatting sqref="H2511">
    <cfRule type="expression" dxfId="109" priority="109">
      <formula>H2511&gt;(G2511+(G2511*0.1))</formula>
    </cfRule>
    <cfRule type="expression" dxfId="108" priority="110">
      <formula>H2511&lt;(G2511-(G2511*0.1))</formula>
    </cfRule>
  </conditionalFormatting>
  <conditionalFormatting sqref="H2522">
    <cfRule type="expression" dxfId="107" priority="107">
      <formula>H2522&gt;(G2522+(G2522*0.1))</formula>
    </cfRule>
    <cfRule type="expression" dxfId="106" priority="108">
      <formula>H2522&lt;(G2522-(G2522*0.1))</formula>
    </cfRule>
  </conditionalFormatting>
  <conditionalFormatting sqref="H2533">
    <cfRule type="expression" dxfId="105" priority="105">
      <formula>H2533&gt;(G2533+(G2533*0.1))</formula>
    </cfRule>
    <cfRule type="expression" dxfId="104" priority="106">
      <formula>H2533&lt;(G2533-(G2533*0.1))</formula>
    </cfRule>
  </conditionalFormatting>
  <conditionalFormatting sqref="H2546">
    <cfRule type="expression" dxfId="103" priority="103">
      <formula>H2546&gt;(G2546+(G2546*0.1))</formula>
    </cfRule>
    <cfRule type="expression" dxfId="102" priority="104">
      <formula>H2546&lt;(G2546-(G2546*0.1))</formula>
    </cfRule>
  </conditionalFormatting>
  <conditionalFormatting sqref="H2557">
    <cfRule type="expression" dxfId="101" priority="101">
      <formula>H2557&gt;(G2557+(G2557*0.1))</formula>
    </cfRule>
    <cfRule type="expression" dxfId="100" priority="102">
      <formula>H2557&lt;(G2557-(G2557*0.1))</formula>
    </cfRule>
  </conditionalFormatting>
  <conditionalFormatting sqref="H2557">
    <cfRule type="expression" dxfId="99" priority="99">
      <formula>H2557&gt;(G2557+(G2557*0.1))</formula>
    </cfRule>
    <cfRule type="expression" dxfId="98" priority="100">
      <formula>H2557&lt;(G2557-(G2557*0.1))</formula>
    </cfRule>
  </conditionalFormatting>
  <conditionalFormatting sqref="H2568">
    <cfRule type="expression" dxfId="97" priority="97">
      <formula>H2568&gt;(G2568+(G2568*0.1))</formula>
    </cfRule>
    <cfRule type="expression" dxfId="96" priority="98">
      <formula>H2568&lt;(G2568-(G2568*0.1))</formula>
    </cfRule>
  </conditionalFormatting>
  <conditionalFormatting sqref="H2579">
    <cfRule type="expression" dxfId="95" priority="95">
      <formula>H2579&gt;(G2579+(G2579*0.1))</formula>
    </cfRule>
    <cfRule type="expression" dxfId="94" priority="96">
      <formula>H2579&lt;(G2579-(G2579*0.1))</formula>
    </cfRule>
  </conditionalFormatting>
  <conditionalFormatting sqref="H2590">
    <cfRule type="expression" dxfId="93" priority="93">
      <formula>H2590&gt;(G2590+(G2590*0.1))</formula>
    </cfRule>
    <cfRule type="expression" dxfId="92" priority="94">
      <formula>H2590&lt;(G2590-(G2590*0.1))</formula>
    </cfRule>
  </conditionalFormatting>
  <conditionalFormatting sqref="H2601">
    <cfRule type="expression" dxfId="91" priority="91">
      <formula>H2601&gt;(G2601+(G2601*0.1))</formula>
    </cfRule>
    <cfRule type="expression" dxfId="90" priority="92">
      <formula>H2601&lt;(G2601-(G2601*0.1))</formula>
    </cfRule>
  </conditionalFormatting>
  <conditionalFormatting sqref="H2612:H2631">
    <cfRule type="expression" dxfId="89" priority="89">
      <formula>H2612&gt;(G2612+(G2612*0.1))</formula>
    </cfRule>
    <cfRule type="expression" dxfId="88" priority="90">
      <formula>H2612&lt;(G2612-(G2612*0.1))</formula>
    </cfRule>
  </conditionalFormatting>
  <conditionalFormatting sqref="H2672">
    <cfRule type="expression" dxfId="87" priority="87">
      <formula>H2672&gt;(G2672+(G2672*0.1))</formula>
    </cfRule>
    <cfRule type="expression" dxfId="86" priority="88">
      <formula>H2672&lt;(G2672-(G2672*0.1))</formula>
    </cfRule>
  </conditionalFormatting>
  <conditionalFormatting sqref="J2486">
    <cfRule type="expression" dxfId="85" priority="85">
      <formula>J2486&gt;(I2486+(I2486*0.1))</formula>
    </cfRule>
    <cfRule type="expression" dxfId="84" priority="86">
      <formula>J2486&lt;(I2486-(I2486*0.1))</formula>
    </cfRule>
  </conditionalFormatting>
  <conditionalFormatting sqref="J2498">
    <cfRule type="expression" dxfId="83" priority="83">
      <formula>J2498&gt;(I2498+(I2498*0.1))</formula>
    </cfRule>
    <cfRule type="expression" dxfId="82" priority="84">
      <formula>J2498&lt;(I2498-(I2498*0.1))</formula>
    </cfRule>
  </conditionalFormatting>
  <conditionalFormatting sqref="J2503">
    <cfRule type="expression" dxfId="81" priority="81">
      <formula>J2503&gt;(I2503+(I2503*0.1))</formula>
    </cfRule>
    <cfRule type="expression" dxfId="80" priority="82">
      <formula>J2503&lt;(I2503-(I2503*0.1))</formula>
    </cfRule>
  </conditionalFormatting>
  <conditionalFormatting sqref="J2510">
    <cfRule type="expression" dxfId="79" priority="79">
      <formula>J2510&gt;(I2510+(I2510*0.1))</formula>
    </cfRule>
    <cfRule type="expression" dxfId="78" priority="80">
      <formula>J2510&lt;(I2510-(I2510*0.1))</formula>
    </cfRule>
  </conditionalFormatting>
  <conditionalFormatting sqref="J2521">
    <cfRule type="expression" dxfId="77" priority="77">
      <formula>J2521&gt;(I2521+(I2521*0.1))</formula>
    </cfRule>
    <cfRule type="expression" dxfId="76" priority="78">
      <formula>J2521&lt;(I2521-(I2521*0.1))</formula>
    </cfRule>
  </conditionalFormatting>
  <conditionalFormatting sqref="J2532">
    <cfRule type="expression" dxfId="75" priority="75">
      <formula>J2532&gt;(I2532+(I2532*0.1))</formula>
    </cfRule>
    <cfRule type="expression" dxfId="74" priority="76">
      <formula>J2532&lt;(I2532-(I2532*0.1))</formula>
    </cfRule>
  </conditionalFormatting>
  <conditionalFormatting sqref="J2545">
    <cfRule type="expression" dxfId="73" priority="73">
      <formula>J2545&gt;(I2545+(I2545*0.1))</formula>
    </cfRule>
    <cfRule type="expression" dxfId="72" priority="74">
      <formula>J2545&lt;(I2545-(I2545*0.1))</formula>
    </cfRule>
  </conditionalFormatting>
  <conditionalFormatting sqref="J2556">
    <cfRule type="expression" dxfId="71" priority="71">
      <formula>J2556&gt;(I2556+(I2556*0.1))</formula>
    </cfRule>
    <cfRule type="expression" dxfId="70" priority="72">
      <formula>J2556&lt;(I2556-(I2556*0.1))</formula>
    </cfRule>
  </conditionalFormatting>
  <conditionalFormatting sqref="J2567">
    <cfRule type="expression" dxfId="69" priority="69">
      <formula>J2567&gt;(I2567+(I2567*0.1))</formula>
    </cfRule>
    <cfRule type="expression" dxfId="68" priority="70">
      <formula>J2567&lt;(I2567-(I2567*0.1))</formula>
    </cfRule>
  </conditionalFormatting>
  <conditionalFormatting sqref="J2578">
    <cfRule type="expression" dxfId="67" priority="67">
      <formula>J2578&gt;(I2578+(I2578*0.1))</formula>
    </cfRule>
    <cfRule type="expression" dxfId="66" priority="68">
      <formula>J2578&lt;(I2578-(I2578*0.1))</formula>
    </cfRule>
  </conditionalFormatting>
  <conditionalFormatting sqref="J2589">
    <cfRule type="expression" dxfId="65" priority="65">
      <formula>J2589&gt;(I2589+(I2589*0.1))</formula>
    </cfRule>
    <cfRule type="expression" dxfId="64" priority="66">
      <formula>J2589&lt;(I2589-(I2589*0.1))</formula>
    </cfRule>
  </conditionalFormatting>
  <conditionalFormatting sqref="J2600">
    <cfRule type="expression" dxfId="63" priority="63">
      <formula>J2600&gt;(I2600+(I2600*0.1))</formula>
    </cfRule>
    <cfRule type="expression" dxfId="62" priority="64">
      <formula>J2600&lt;(I2600-(I2600*0.1))</formula>
    </cfRule>
  </conditionalFormatting>
  <conditionalFormatting sqref="J2611">
    <cfRule type="expression" dxfId="61" priority="61">
      <formula>J2611&gt;(I2611+(I2611*0.1))</formula>
    </cfRule>
    <cfRule type="expression" dxfId="60" priority="62">
      <formula>J2611&lt;(I2611-(I2611*0.1))</formula>
    </cfRule>
  </conditionalFormatting>
  <conditionalFormatting sqref="J2620">
    <cfRule type="expression" dxfId="59" priority="59">
      <formula>J2620&gt;(I2620+(I2620*0.1))</formula>
    </cfRule>
    <cfRule type="expression" dxfId="58" priority="60">
      <formula>J2620&lt;(I2620-(I2620*0.1))</formula>
    </cfRule>
  </conditionalFormatting>
  <conditionalFormatting sqref="J2630">
    <cfRule type="expression" dxfId="57" priority="57">
      <formula>J2630&gt;(I2630+(I2630*0.1))</formula>
    </cfRule>
    <cfRule type="expression" dxfId="56" priority="58">
      <formula>J2630&lt;(I2630-(I2630*0.1))</formula>
    </cfRule>
  </conditionalFormatting>
  <conditionalFormatting sqref="J2641">
    <cfRule type="expression" dxfId="55" priority="55">
      <formula>J2641&gt;(I2641+(I2641*0.1))</formula>
    </cfRule>
    <cfRule type="expression" dxfId="54" priority="56">
      <formula>J2641&lt;(I2641-(I2641*0.1))</formula>
    </cfRule>
  </conditionalFormatting>
  <conditionalFormatting sqref="J2681">
    <cfRule type="expression" dxfId="53" priority="53">
      <formula>J2681&gt;(I2681+(I2681*0.1))</formula>
    </cfRule>
    <cfRule type="expression" dxfId="52" priority="54">
      <formula>J2681&lt;(I2681-(I2681*0.1))</formula>
    </cfRule>
  </conditionalFormatting>
  <conditionalFormatting sqref="P2345:Q2356">
    <cfRule type="expression" dxfId="51" priority="51">
      <formula>P2345&gt;(M2345+(M2345*0.1))</formula>
    </cfRule>
    <cfRule type="expression" dxfId="50" priority="52">
      <formula>P2345&lt;(M2345-(M2345*0.1))</formula>
    </cfRule>
  </conditionalFormatting>
  <conditionalFormatting sqref="P2460:Q2466 P2468:Q2474 P2476:Q2486">
    <cfRule type="expression" dxfId="49" priority="49">
      <formula>P2460&gt;(M2460+(M2460*0.1))</formula>
    </cfRule>
    <cfRule type="expression" dxfId="48" priority="50">
      <formula>P2460&lt;(M2460-(M2460*0.1))</formula>
    </cfRule>
  </conditionalFormatting>
  <conditionalFormatting sqref="P2500:Q2510 P2512:Q2521">
    <cfRule type="expression" dxfId="47" priority="47">
      <formula>P2500&gt;(M2500+(M2500*0.1))</formula>
    </cfRule>
    <cfRule type="expression" dxfId="46" priority="48">
      <formula>P2500&lt;(M2500-(M2500*0.1))</formula>
    </cfRule>
  </conditionalFormatting>
  <conditionalFormatting sqref="P2534:Q2545 P2547:Q2556">
    <cfRule type="expression" dxfId="45" priority="45">
      <formula>P2534&gt;(M2534+(M2534*0.1))</formula>
    </cfRule>
    <cfRule type="expression" dxfId="44" priority="46">
      <formula>P2534&lt;(M2534-(M2534*0.1))</formula>
    </cfRule>
  </conditionalFormatting>
  <conditionalFormatting sqref="P2569:P2578 Q2568:Q2578 P2580:Q2589">
    <cfRule type="expression" dxfId="43" priority="43">
      <formula>P2568&gt;(M2568+(M2568*0.1))</formula>
    </cfRule>
    <cfRule type="expression" dxfId="42" priority="44">
      <formula>P2568&lt;(M2568-(M2568*0.1))</formula>
    </cfRule>
  </conditionalFormatting>
  <conditionalFormatting sqref="P2602:Q2620 P2622:Q2630">
    <cfRule type="expression" dxfId="41" priority="41">
      <formula>P2602&gt;(M2602+(M2602*0.1))</formula>
    </cfRule>
    <cfRule type="expression" dxfId="40" priority="42">
      <formula>P2602&lt;(M2602-(M2602*0.1))</formula>
    </cfRule>
  </conditionalFormatting>
  <conditionalFormatting sqref="P2643:Q2650 P2652:Q2659 P2661:Q2665">
    <cfRule type="expression" dxfId="39" priority="39">
      <formula>P2643&gt;(M2643+(M2643*0.1))</formula>
    </cfRule>
    <cfRule type="expression" dxfId="38" priority="40">
      <formula>P2643&lt;(M2643-(M2643*0.1))</formula>
    </cfRule>
  </conditionalFormatting>
  <conditionalFormatting sqref="V2724">
    <cfRule type="expression" dxfId="37" priority="37">
      <formula>V2724&gt;(U2724+(U2724*0.1))</formula>
    </cfRule>
    <cfRule type="expression" dxfId="36" priority="38">
      <formula>V2724&lt;(U2724-(U2724*0.1))</formula>
    </cfRule>
  </conditionalFormatting>
  <conditionalFormatting sqref="V2734:V2736">
    <cfRule type="expression" dxfId="35" priority="35">
      <formula>V2734&gt;(U2734+(U2734*0.1))</formula>
    </cfRule>
    <cfRule type="expression" dxfId="34" priority="36">
      <formula>V2734&lt;(U2734-(U2734*0.1))</formula>
    </cfRule>
  </conditionalFormatting>
  <conditionalFormatting sqref="V2739">
    <cfRule type="expression" dxfId="33" priority="33">
      <formula>V2739&gt;(U2739+(U2739*0.1))</formula>
    </cfRule>
    <cfRule type="expression" dxfId="32" priority="34">
      <formula>V2739&lt;(U2739-(U2739*0.1))</formula>
    </cfRule>
  </conditionalFormatting>
  <conditionalFormatting sqref="V2741">
    <cfRule type="expression" dxfId="31" priority="31">
      <formula>V2741&gt;(U2741+(U2741*0.1))</formula>
    </cfRule>
    <cfRule type="expression" dxfId="30" priority="32">
      <formula>V2741&lt;(U2741-(U2741*0.1))</formula>
    </cfRule>
  </conditionalFormatting>
  <conditionalFormatting sqref="V2741:V2742">
    <cfRule type="expression" dxfId="29" priority="29">
      <formula>V2741&gt;(U2741+(U2741*0.1))</formula>
    </cfRule>
    <cfRule type="expression" dxfId="28" priority="30">
      <formula>V2741&lt;(U2741-(U2741*0.1))</formula>
    </cfRule>
  </conditionalFormatting>
  <conditionalFormatting sqref="P2345:Q2356">
    <cfRule type="expression" dxfId="27" priority="27">
      <formula>P2345&gt;(M2345+(M2345*0.1))</formula>
    </cfRule>
    <cfRule type="expression" dxfId="26" priority="28">
      <formula>P2345&lt;(M2345-(M2345*0.1))</formula>
    </cfRule>
  </conditionalFormatting>
  <conditionalFormatting sqref="P2383:Q2401 P2409:Q2420">
    <cfRule type="expression" dxfId="25" priority="25">
      <formula>P2383&gt;(M2383+(M2383*0.1))</formula>
    </cfRule>
    <cfRule type="expression" dxfId="24" priority="26">
      <formula>P2383&lt;(M2383-(M2383*0.1))</formula>
    </cfRule>
  </conditionalFormatting>
  <conditionalFormatting sqref="P2452:Q2458 P2460:Q2466">
    <cfRule type="expression" dxfId="23" priority="23">
      <formula>P2452&gt;(M2452+(M2452*0.1))</formula>
    </cfRule>
    <cfRule type="expression" dxfId="22" priority="24">
      <formula>P2452&lt;(M2452-(M2452*0.1))</formula>
    </cfRule>
  </conditionalFormatting>
  <conditionalFormatting sqref="P2476:Q2486 P2488:Q2498">
    <cfRule type="expression" dxfId="21" priority="21">
      <formula>P2476&gt;(M2476+(M2476*0.1))</formula>
    </cfRule>
    <cfRule type="expression" dxfId="20" priority="22">
      <formula>P2476&lt;(M2476-(M2476*0.1))</formula>
    </cfRule>
  </conditionalFormatting>
  <conditionalFormatting sqref="P2512:Q2521 P2523:Q2532">
    <cfRule type="expression" dxfId="19" priority="19">
      <formula>P2512&gt;(M2512+(M2512*0.1))</formula>
    </cfRule>
    <cfRule type="expression" dxfId="18" priority="20">
      <formula>P2512&lt;(M2512-(M2512*0.1))</formula>
    </cfRule>
  </conditionalFormatting>
  <conditionalFormatting sqref="P2547:Q2556 P2558:P2567 Q2558:Q2568">
    <cfRule type="expression" dxfId="17" priority="17">
      <formula>P2547&gt;(M2547+(M2547*0.1))</formula>
    </cfRule>
    <cfRule type="expression" dxfId="16" priority="18">
      <formula>P2547&lt;(M2547-(M2547*0.1))</formula>
    </cfRule>
  </conditionalFormatting>
  <conditionalFormatting sqref="P2580:Q2589 P2591:Q2600">
    <cfRule type="expression" dxfId="15" priority="15">
      <formula>P2580&gt;(M2580+(M2580*0.1))</formula>
    </cfRule>
    <cfRule type="expression" dxfId="14" priority="16">
      <formula>P2580&lt;(M2580-(M2580*0.1))</formula>
    </cfRule>
  </conditionalFormatting>
  <conditionalFormatting sqref="P2612:Q2620 P2622:Q2630 P2632:Q2641">
    <cfRule type="expression" dxfId="13" priority="13">
      <formula>P2612&gt;(M2612+(M2612*0.1))</formula>
    </cfRule>
    <cfRule type="expression" dxfId="12" priority="14">
      <formula>P2612&lt;(M2612-(M2612*0.1))</formula>
    </cfRule>
  </conditionalFormatting>
  <conditionalFormatting sqref="P2667:Q2672 P2652:Q2659 P2661:Q2665">
    <cfRule type="expression" dxfId="11" priority="11">
      <formula>P2652&gt;(M2652+(M2652*0.1))</formula>
    </cfRule>
    <cfRule type="expression" dxfId="10" priority="12">
      <formula>P2652&lt;(M2652-(M2652*0.1))</formula>
    </cfRule>
  </conditionalFormatting>
  <conditionalFormatting sqref="V2893:V2894">
    <cfRule type="expression" dxfId="9" priority="9">
      <formula>V2893&gt;(U2893+(U2893*0.1))</formula>
    </cfRule>
    <cfRule type="expression" dxfId="8" priority="10">
      <formula>V2893&lt;(U2893-(U2893*0.1))</formula>
    </cfRule>
  </conditionalFormatting>
  <conditionalFormatting sqref="V2896:V2897">
    <cfRule type="expression" dxfId="7" priority="7">
      <formula>V2896&gt;(U2896+(U2896*0.1))</formula>
    </cfRule>
    <cfRule type="expression" dxfId="6" priority="8">
      <formula>V2896&lt;(U2896-(U2896*0.1))</formula>
    </cfRule>
  </conditionalFormatting>
  <conditionalFormatting sqref="V2895">
    <cfRule type="expression" dxfId="5" priority="5">
      <formula>V2895&gt;(U2895+(U2895*0.1))</formula>
    </cfRule>
    <cfRule type="expression" dxfId="4" priority="6">
      <formula>V2895&lt;(U2895-(U2895*0.1))</formula>
    </cfRule>
  </conditionalFormatting>
  <conditionalFormatting sqref="AG2182">
    <cfRule type="expression" dxfId="3" priority="3" stopIfTrue="1">
      <formula>AG2182&gt;(AD2182+(AD2182*0.1))</formula>
    </cfRule>
    <cfRule type="expression" dxfId="2" priority="4" stopIfTrue="1">
      <formula>AG2182&lt;(AD2182-(AD2182*0.1))</formula>
    </cfRule>
  </conditionalFormatting>
  <conditionalFormatting sqref="V535">
    <cfRule type="expression" dxfId="1" priority="1">
      <formula>V535&gt;(U535+(U535*0.1))</formula>
    </cfRule>
    <cfRule type="expression" dxfId="0" priority="2">
      <formula>V535&lt;(U535-(U535*0.1))</formula>
    </cfRule>
  </conditionalFormatting>
  <pageMargins left="0.5" right="0.5" top="0.4" bottom="0.4" header="0.35" footer="0.17"/>
  <pageSetup paperSize="5" scale="89" orientation="landscape" r:id="rId1"/>
  <headerFooter alignWithMargins="0">
    <oddFooter>&amp;L&amp;"Arial,Regular"SREB-State Data Exchange&amp;C&amp;"Arial,Regular"&amp;D&amp;R&amp;"Arial,Regular"&amp;P</oddFooter>
  </headerFooter>
  <drawing r:id="rId2"/>
  <legacyDrawing r:id="rId3"/>
</worksheet>
</file>

<file path=xl/worksheets/sheet13.xml><?xml version="1.0" encoding="utf-8"?>
<worksheet xmlns="http://schemas.openxmlformats.org/spreadsheetml/2006/main" xmlns:r="http://schemas.openxmlformats.org/officeDocument/2006/relationships">
  <sheetPr enableFormatConditionsCalculation="0">
    <tabColor indexed="58"/>
  </sheetPr>
  <dimension ref="A1:AN138"/>
  <sheetViews>
    <sheetView showGridLines="0" zoomScale="80" zoomScaleNormal="80" workbookViewId="0">
      <pane xSplit="1" ySplit="7" topLeftCell="B100" activePane="bottomRight" state="frozen"/>
      <selection pane="topRight" activeCell="B1" sqref="B1"/>
      <selection pane="bottomLeft" activeCell="A8" sqref="A8"/>
      <selection pane="bottomRight" activeCell="A123" sqref="A123"/>
    </sheetView>
  </sheetViews>
  <sheetFormatPr defaultRowHeight="12.75"/>
  <cols>
    <col min="1" max="1" width="24.5" style="181" customWidth="1"/>
    <col min="2" max="2" width="12" style="181" customWidth="1"/>
    <col min="3" max="3" width="11.75" style="181" bestFit="1" customWidth="1"/>
    <col min="4" max="4" width="11.25" style="181" bestFit="1" customWidth="1"/>
    <col min="5" max="5" width="10.875" style="181" bestFit="1" customWidth="1"/>
    <col min="6" max="6" width="13.5" style="181" customWidth="1"/>
    <col min="7" max="8" width="10.75" style="181" customWidth="1"/>
    <col min="9" max="9" width="11.5" style="181" bestFit="1" customWidth="1"/>
    <col min="10" max="10" width="11.875" style="181" customWidth="1"/>
    <col min="11" max="11" width="12.875" style="181" customWidth="1"/>
    <col min="12" max="12" width="11.375" style="181" bestFit="1" customWidth="1"/>
    <col min="13" max="13" width="12.75" style="181" customWidth="1"/>
    <col min="14" max="14" width="10.625" style="181" customWidth="1"/>
    <col min="15" max="15" width="11.625" style="181" bestFit="1" customWidth="1"/>
    <col min="16" max="16" width="11.5" style="181" customWidth="1"/>
    <col min="17" max="17" width="11.125" style="181" bestFit="1" customWidth="1"/>
    <col min="18" max="18" width="16.75" style="181" customWidth="1"/>
    <col min="19" max="19" width="11.25" style="181" customWidth="1"/>
    <col min="20" max="20" width="13.5" style="6" bestFit="1" customWidth="1"/>
    <col min="21" max="21" width="12.5" style="181" customWidth="1"/>
    <col min="22" max="22" width="10.125" style="181" customWidth="1"/>
    <col min="23" max="23" width="9.875" style="181" customWidth="1"/>
    <col min="24" max="24" width="10.125" style="181" customWidth="1"/>
    <col min="25" max="25" width="11" style="181" customWidth="1"/>
    <col min="26" max="26" width="10.75" style="181" customWidth="1"/>
    <col min="27" max="27" width="10.875" style="181" customWidth="1"/>
    <col min="28" max="28" width="9.5" style="181" bestFit="1" customWidth="1"/>
    <col min="29" max="29" width="9.75" style="181" customWidth="1"/>
    <col min="30" max="30" width="10" style="181" customWidth="1"/>
    <col min="31" max="31" width="11.5" style="181" customWidth="1"/>
    <col min="32" max="32" width="22.5" style="181" customWidth="1"/>
    <col min="33" max="33" width="12" style="181" customWidth="1"/>
    <col min="34" max="34" width="10.5" style="181" customWidth="1"/>
    <col min="35" max="35" width="10.125" style="181" customWidth="1"/>
    <col min="36" max="36" width="9" style="181"/>
    <col min="37" max="37" width="9.75" style="181" customWidth="1"/>
    <col min="38" max="38" width="11" style="181" customWidth="1"/>
    <col min="39" max="39" width="9.75" style="181" customWidth="1"/>
    <col min="40" max="40" width="11.875" style="181" customWidth="1"/>
    <col min="41" max="16384" width="9" style="181"/>
  </cols>
  <sheetData>
    <row r="1" spans="1:20" ht="23.25">
      <c r="A1" s="221" t="s">
        <v>546</v>
      </c>
      <c r="B1" s="92"/>
      <c r="C1" s="92"/>
      <c r="D1" s="92"/>
      <c r="E1" s="402"/>
      <c r="F1" s="92"/>
      <c r="G1" s="92"/>
      <c r="H1" s="92"/>
      <c r="I1" s="92"/>
      <c r="J1" s="92"/>
      <c r="K1" s="92"/>
      <c r="L1" s="92"/>
      <c r="M1" s="92"/>
      <c r="N1" s="92"/>
      <c r="O1" s="92"/>
      <c r="P1" s="92"/>
      <c r="S1" s="92"/>
    </row>
    <row r="2" spans="1:20">
      <c r="A2" s="96"/>
      <c r="B2" s="96"/>
      <c r="C2" s="96"/>
      <c r="D2" s="96"/>
      <c r="E2" s="96"/>
      <c r="F2" s="96"/>
      <c r="G2" s="96"/>
      <c r="H2" s="96"/>
      <c r="I2" s="96"/>
      <c r="J2" s="96"/>
      <c r="K2" s="96"/>
      <c r="L2" s="96"/>
      <c r="M2" s="96"/>
      <c r="N2" s="96"/>
      <c r="O2" s="97"/>
      <c r="P2" s="96"/>
      <c r="S2" s="96"/>
      <c r="T2" s="8"/>
    </row>
    <row r="3" spans="1:20" ht="15.75">
      <c r="A3" s="267"/>
      <c r="B3" s="152" t="s">
        <v>102</v>
      </c>
      <c r="C3" s="152"/>
      <c r="D3" s="152"/>
      <c r="E3" s="152"/>
      <c r="F3" s="152"/>
      <c r="G3" s="152"/>
      <c r="H3" s="152"/>
      <c r="I3" s="152"/>
      <c r="J3" s="152"/>
      <c r="K3" s="152"/>
      <c r="L3" s="152"/>
      <c r="M3" s="156"/>
      <c r="N3" s="242" t="s">
        <v>131</v>
      </c>
      <c r="O3" s="109"/>
      <c r="P3" s="109"/>
      <c r="Q3" s="242" t="s">
        <v>131</v>
      </c>
      <c r="R3" s="109"/>
      <c r="S3" s="109"/>
      <c r="T3" s="263"/>
    </row>
    <row r="4" spans="1:20" ht="22.5">
      <c r="A4" s="95"/>
      <c r="B4" s="237" t="s">
        <v>101</v>
      </c>
      <c r="C4" s="237"/>
      <c r="D4" s="237"/>
      <c r="E4" s="236" t="s">
        <v>103</v>
      </c>
      <c r="F4" s="237"/>
      <c r="G4" s="237"/>
      <c r="H4" s="236" t="s">
        <v>71</v>
      </c>
      <c r="I4" s="238"/>
      <c r="J4" s="243" t="s">
        <v>138</v>
      </c>
      <c r="K4" s="243"/>
      <c r="L4" s="261" t="s">
        <v>131</v>
      </c>
      <c r="M4" s="261" t="s">
        <v>131</v>
      </c>
      <c r="N4" s="240" t="s">
        <v>105</v>
      </c>
      <c r="O4" s="241"/>
      <c r="P4" s="241"/>
      <c r="Q4" s="240" t="s">
        <v>106</v>
      </c>
      <c r="R4" s="241"/>
      <c r="S4" s="241"/>
      <c r="T4" s="259"/>
    </row>
    <row r="5" spans="1:20" ht="58.5" customHeight="1">
      <c r="A5" s="50"/>
      <c r="B5" s="51" t="s">
        <v>99</v>
      </c>
      <c r="C5" s="52" t="s">
        <v>100</v>
      </c>
      <c r="D5" s="52" t="s">
        <v>62</v>
      </c>
      <c r="E5" s="53" t="s">
        <v>99</v>
      </c>
      <c r="F5" s="52" t="s">
        <v>100</v>
      </c>
      <c r="G5" s="52" t="s">
        <v>62</v>
      </c>
      <c r="H5" s="53" t="s">
        <v>99</v>
      </c>
      <c r="I5" s="239" t="s">
        <v>100</v>
      </c>
      <c r="J5" s="244" t="s">
        <v>99</v>
      </c>
      <c r="K5" s="245" t="s">
        <v>100</v>
      </c>
      <c r="L5" s="240" t="s">
        <v>63</v>
      </c>
      <c r="M5" s="260" t="s">
        <v>467</v>
      </c>
      <c r="N5" s="53" t="s">
        <v>99</v>
      </c>
      <c r="O5" s="52" t="s">
        <v>100</v>
      </c>
      <c r="P5" s="52" t="s">
        <v>62</v>
      </c>
      <c r="Q5" s="53" t="s">
        <v>99</v>
      </c>
      <c r="R5" s="52" t="s">
        <v>100</v>
      </c>
      <c r="S5" s="52" t="s">
        <v>62</v>
      </c>
      <c r="T5" s="264" t="s">
        <v>467</v>
      </c>
    </row>
    <row r="6" spans="1:20">
      <c r="A6" s="73" t="s">
        <v>64</v>
      </c>
      <c r="B6" s="1115">
        <f>'Distrib pivot table'!U$75</f>
        <v>317327158</v>
      </c>
      <c r="C6" s="1120">
        <f>'Distrib pivot table'!U$77</f>
        <v>829931142</v>
      </c>
      <c r="D6" s="1121">
        <f>'Distrib pivot table'!U$73</f>
        <v>453145</v>
      </c>
      <c r="E6" s="1122">
        <f>'Distrib pivot table'!U$81</f>
        <v>92193421</v>
      </c>
      <c r="F6" s="1120">
        <f>'Distrib pivot table'!U$83</f>
        <v>140919379</v>
      </c>
      <c r="G6" s="1115">
        <f>'Distrib pivot table'!U$79</f>
        <v>288500</v>
      </c>
      <c r="H6" s="1122">
        <f>'Distrib pivot table'!U$69</f>
        <v>11693942</v>
      </c>
      <c r="I6" s="1123">
        <f>'Distrib pivot table'!U$71</f>
        <v>389796335</v>
      </c>
      <c r="J6" s="246">
        <f>+B6+E6+H6</f>
        <v>421214521</v>
      </c>
      <c r="K6" s="254">
        <f>+C6+F6+I6</f>
        <v>1360646856</v>
      </c>
      <c r="L6" s="1122">
        <f>'Distrib pivot table'!U$67</f>
        <v>543130888</v>
      </c>
      <c r="M6" s="1124">
        <f>+D6+G6+J6+K6+L6</f>
        <v>2325733910</v>
      </c>
      <c r="N6" s="1122">
        <f>'Distrib pivot table'!U$87</f>
        <v>397610510</v>
      </c>
      <c r="O6" s="1120">
        <f>'Distrib pivot table'!U$89</f>
        <v>508128656</v>
      </c>
      <c r="P6" s="1115">
        <f>'Distrib pivot table'!U$85</f>
        <v>750000</v>
      </c>
      <c r="Q6" s="1122">
        <f>'Distrib pivot table'!U$93</f>
        <v>135645533</v>
      </c>
      <c r="R6" s="1120">
        <f>'Distrib pivot table'!U$95</f>
        <v>239057293</v>
      </c>
      <c r="S6" s="1115">
        <f>'Distrib pivot table'!U$91</f>
        <v>3578751</v>
      </c>
      <c r="T6" s="270">
        <f>+M6+N6+O6+P6+Q6+R6+S6</f>
        <v>3610504653</v>
      </c>
    </row>
    <row r="7" spans="1:20" s="524" customFormat="1">
      <c r="A7" s="1116" t="s">
        <v>2014</v>
      </c>
      <c r="B7" s="1117">
        <v>75</v>
      </c>
      <c r="C7" s="1117">
        <v>77</v>
      </c>
      <c r="D7" s="1117">
        <v>73</v>
      </c>
      <c r="E7" s="1118">
        <v>81</v>
      </c>
      <c r="F7" s="1117">
        <v>83</v>
      </c>
      <c r="G7" s="1117">
        <v>79</v>
      </c>
      <c r="H7" s="1118">
        <v>69</v>
      </c>
      <c r="I7" s="1119">
        <v>71</v>
      </c>
      <c r="J7" s="1117"/>
      <c r="K7" s="1119"/>
      <c r="L7" s="1119">
        <v>67</v>
      </c>
      <c r="M7" s="1119"/>
      <c r="N7" s="1119">
        <v>87</v>
      </c>
      <c r="O7" s="1119">
        <v>89</v>
      </c>
      <c r="P7" s="1119">
        <v>85</v>
      </c>
      <c r="Q7" s="1119">
        <v>93</v>
      </c>
      <c r="R7" s="1119">
        <v>95</v>
      </c>
      <c r="S7" s="1119">
        <v>91</v>
      </c>
      <c r="T7" s="522"/>
    </row>
    <row r="8" spans="1:20">
      <c r="A8" s="73" t="s">
        <v>452</v>
      </c>
      <c r="B8" s="252">
        <f>'Distrib pivot table'!E$75</f>
        <v>2220461</v>
      </c>
      <c r="C8" s="252">
        <f>'Distrib pivot table'!E$77</f>
        <v>39135619</v>
      </c>
      <c r="D8" s="253">
        <f>'Distrib pivot table'!E$73</f>
        <v>0</v>
      </c>
      <c r="E8" s="247">
        <f>'Distrib pivot table'!E$81</f>
        <v>531607</v>
      </c>
      <c r="F8" s="252">
        <f>'Distrib pivot table'!E$83</f>
        <v>85856</v>
      </c>
      <c r="G8" s="252">
        <f>'Distrib pivot table'!E$79</f>
        <v>0</v>
      </c>
      <c r="H8" s="247">
        <f>'Distrib pivot table'!E$69</f>
        <v>10316</v>
      </c>
      <c r="I8" s="253">
        <f>'Distrib pivot table'!E$71</f>
        <v>1673820</v>
      </c>
      <c r="J8" s="246">
        <f t="shared" ref="J8:J23" si="0">+B8+E8+H8</f>
        <v>2762384</v>
      </c>
      <c r="K8" s="254">
        <f t="shared" ref="K8:K23" si="1">+C8+F8+I8</f>
        <v>40895295</v>
      </c>
      <c r="L8" s="247">
        <f>'Distrib pivot table'!E$67</f>
        <v>0</v>
      </c>
      <c r="M8" s="268">
        <f t="shared" ref="M8:M23" si="2">+D8+G8+J8+K8+L8</f>
        <v>43657679</v>
      </c>
      <c r="N8" s="247">
        <f>'Distrib pivot table'!E$87</f>
        <v>0</v>
      </c>
      <c r="O8" s="252">
        <f>'Distrib pivot table'!E$89</f>
        <v>112500</v>
      </c>
      <c r="P8" s="252">
        <f>'Distrib pivot table'!E$85</f>
        <v>0</v>
      </c>
      <c r="Q8" s="247">
        <f>'Distrib pivot table'!E$93</f>
        <v>0</v>
      </c>
      <c r="R8" s="252">
        <f>'Distrib pivot table'!E$95</f>
        <v>2175808</v>
      </c>
      <c r="S8" s="252">
        <f>'Distrib pivot table'!E$91</f>
        <v>0</v>
      </c>
      <c r="T8" s="271">
        <f t="shared" ref="T8:T23" si="3">+M8+N8+O8+P8+Q8+R8+S8</f>
        <v>45945987</v>
      </c>
    </row>
    <row r="9" spans="1:20">
      <c r="A9" s="73" t="s">
        <v>466</v>
      </c>
      <c r="B9" s="252">
        <f>'Distrib pivot table'!F$75</f>
        <v>13900000</v>
      </c>
      <c r="C9" s="252">
        <f>'Distrib pivot table'!F$77</f>
        <v>121615000</v>
      </c>
      <c r="D9" s="253">
        <f>'Distrib pivot table'!F$73</f>
        <v>0</v>
      </c>
      <c r="E9" s="247">
        <f>'Distrib pivot table'!F$81</f>
        <v>1350000</v>
      </c>
      <c r="F9" s="252">
        <f>'Distrib pivot table'!F$83</f>
        <v>17325000</v>
      </c>
      <c r="G9" s="252">
        <f>'Distrib pivot table'!F$79</f>
        <v>0</v>
      </c>
      <c r="H9" s="247">
        <f>'Distrib pivot table'!F$69</f>
        <v>0</v>
      </c>
      <c r="I9" s="253">
        <f>'Distrib pivot table'!F$71</f>
        <v>200000</v>
      </c>
      <c r="J9" s="246">
        <f t="shared" si="0"/>
        <v>15250000</v>
      </c>
      <c r="K9" s="254">
        <f t="shared" si="1"/>
        <v>139140000</v>
      </c>
      <c r="L9" s="247">
        <f>'Distrib pivot table'!F$67</f>
        <v>0</v>
      </c>
      <c r="M9" s="268">
        <f t="shared" si="2"/>
        <v>154390000</v>
      </c>
      <c r="N9" s="247">
        <f>'Distrib pivot table'!F$87</f>
        <v>0</v>
      </c>
      <c r="O9" s="252">
        <f>'Distrib pivot table'!F$89</f>
        <v>200000</v>
      </c>
      <c r="P9" s="252">
        <f>'Distrib pivot table'!F$85</f>
        <v>0</v>
      </c>
      <c r="Q9" s="247">
        <f>'Distrib pivot table'!F$93</f>
        <v>0</v>
      </c>
      <c r="R9" s="252">
        <f>'Distrib pivot table'!F$95</f>
        <v>0</v>
      </c>
      <c r="S9" s="252">
        <f>'Distrib pivot table'!F$91</f>
        <v>0</v>
      </c>
      <c r="T9" s="271">
        <f t="shared" si="3"/>
        <v>154590000</v>
      </c>
    </row>
    <row r="10" spans="1:20">
      <c r="A10" s="73" t="s">
        <v>453</v>
      </c>
      <c r="B10" s="251">
        <f>'Distrib pivot table'!G$75</f>
        <v>133493</v>
      </c>
      <c r="C10" s="251">
        <f>'Distrib pivot table'!G$77</f>
        <v>1050419</v>
      </c>
      <c r="D10" s="249">
        <f>'Distrib pivot table'!G$73</f>
        <v>0</v>
      </c>
      <c r="E10" s="248">
        <f>'Distrib pivot table'!G$81</f>
        <v>395570</v>
      </c>
      <c r="F10" s="251">
        <f>'Distrib pivot table'!G$83</f>
        <v>512414</v>
      </c>
      <c r="G10" s="252">
        <f>'Distrib pivot table'!G$79</f>
        <v>0</v>
      </c>
      <c r="H10" s="248">
        <f>'Distrib pivot table'!G$69</f>
        <v>7500</v>
      </c>
      <c r="I10" s="249">
        <f>'Distrib pivot table'!G$71</f>
        <v>20000</v>
      </c>
      <c r="J10" s="250">
        <f t="shared" si="0"/>
        <v>536563</v>
      </c>
      <c r="K10" s="250">
        <f t="shared" si="1"/>
        <v>1582833</v>
      </c>
      <c r="L10" s="248">
        <f>'Distrib pivot table'!G$67</f>
        <v>1700473</v>
      </c>
      <c r="M10" s="268">
        <f t="shared" si="2"/>
        <v>3819869</v>
      </c>
      <c r="N10" s="248">
        <f>'Distrib pivot table'!G$87</f>
        <v>0</v>
      </c>
      <c r="O10" s="251">
        <f>'Distrib pivot table'!G$89</f>
        <v>0</v>
      </c>
      <c r="P10" s="252">
        <f>'Distrib pivot table'!G$85</f>
        <v>0</v>
      </c>
      <c r="Q10" s="259">
        <f>'Distrib pivot table'!G$93</f>
        <v>0</v>
      </c>
      <c r="R10" s="6">
        <f>'Distrib pivot table'!G$95</f>
        <v>0</v>
      </c>
      <c r="S10" s="252">
        <f>'Distrib pivot table'!G$91</f>
        <v>0</v>
      </c>
      <c r="T10" s="271">
        <f t="shared" si="3"/>
        <v>3819869</v>
      </c>
    </row>
    <row r="11" spans="1:20">
      <c r="A11" s="73" t="s">
        <v>460</v>
      </c>
      <c r="B11" s="251">
        <f>'Distrib pivot table'!H$75</f>
        <v>0</v>
      </c>
      <c r="C11" s="251">
        <f>'Distrib pivot table'!H$77</f>
        <v>0</v>
      </c>
      <c r="D11" s="249">
        <f>'Distrib pivot table'!H$73</f>
        <v>0</v>
      </c>
      <c r="E11" s="248">
        <f>'Distrib pivot table'!H$81</f>
        <v>0</v>
      </c>
      <c r="F11" s="251">
        <f>'Distrib pivot table'!H$83</f>
        <v>0</v>
      </c>
      <c r="G11" s="252">
        <f>'Distrib pivot table'!H$79</f>
        <v>0</v>
      </c>
      <c r="H11" s="248">
        <f>'Distrib pivot table'!H$69</f>
        <v>4736983</v>
      </c>
      <c r="I11" s="249">
        <f>'Distrib pivot table'!H$71</f>
        <v>340810340</v>
      </c>
      <c r="J11" s="250">
        <f t="shared" si="0"/>
        <v>4736983</v>
      </c>
      <c r="K11" s="250">
        <f t="shared" si="1"/>
        <v>340810340</v>
      </c>
      <c r="L11" s="248">
        <f>'Distrib pivot table'!H$67</f>
        <v>0</v>
      </c>
      <c r="M11" s="268">
        <f t="shared" si="2"/>
        <v>345547323</v>
      </c>
      <c r="N11" s="248">
        <f>'Distrib pivot table'!H$87</f>
        <v>100350612</v>
      </c>
      <c r="O11" s="251">
        <f>'Distrib pivot table'!H$89</f>
        <v>1259124</v>
      </c>
      <c r="P11" s="252">
        <f>'Distrib pivot table'!H$85</f>
        <v>0</v>
      </c>
      <c r="Q11" s="259">
        <f>'Distrib pivot table'!H$93</f>
        <v>27792261</v>
      </c>
      <c r="R11" s="6">
        <f>'Distrib pivot table'!H$95</f>
        <v>60644855</v>
      </c>
      <c r="S11" s="252">
        <f>'Distrib pivot table'!H$91</f>
        <v>0</v>
      </c>
      <c r="T11" s="271">
        <f t="shared" si="3"/>
        <v>535594175</v>
      </c>
    </row>
    <row r="12" spans="1:20">
      <c r="A12" s="73" t="s">
        <v>461</v>
      </c>
      <c r="B12" s="251">
        <f>'Distrib pivot table'!I$75</f>
        <v>0</v>
      </c>
      <c r="C12" s="251">
        <f>'Distrib pivot table'!I$77</f>
        <v>306761</v>
      </c>
      <c r="D12" s="249">
        <f>'Distrib pivot table'!I$73</f>
        <v>0</v>
      </c>
      <c r="E12" s="248">
        <f>'Distrib pivot table'!I$81</f>
        <v>0</v>
      </c>
      <c r="F12" s="251">
        <f>'Distrib pivot table'!I$83</f>
        <v>550000</v>
      </c>
      <c r="G12" s="252">
        <f>'Distrib pivot table'!I$79</f>
        <v>0</v>
      </c>
      <c r="H12" s="248">
        <f>'Distrib pivot table'!I$69</f>
        <v>0</v>
      </c>
      <c r="I12" s="249">
        <f>'Distrib pivot table'!I$71</f>
        <v>0</v>
      </c>
      <c r="J12" s="250">
        <f t="shared" si="0"/>
        <v>0</v>
      </c>
      <c r="K12" s="250">
        <f t="shared" si="1"/>
        <v>856761</v>
      </c>
      <c r="L12" s="248">
        <f>'Distrib pivot table'!I$67</f>
        <v>0</v>
      </c>
      <c r="M12" s="268">
        <f t="shared" si="2"/>
        <v>856761</v>
      </c>
      <c r="N12" s="248">
        <f>'Distrib pivot table'!I$87</f>
        <v>0</v>
      </c>
      <c r="O12" s="251">
        <f>'Distrib pivot table'!I$89</f>
        <v>474575353</v>
      </c>
      <c r="P12" s="252">
        <f>'Distrib pivot table'!I$85</f>
        <v>0</v>
      </c>
      <c r="Q12" s="259">
        <f>'Distrib pivot table'!I$93</f>
        <v>0</v>
      </c>
      <c r="R12" s="6">
        <f>'Distrib pivot table'!I$95</f>
        <v>60560841</v>
      </c>
      <c r="S12" s="252">
        <f>'Distrib pivot table'!I$91</f>
        <v>0</v>
      </c>
      <c r="T12" s="271">
        <f t="shared" si="3"/>
        <v>535992955</v>
      </c>
    </row>
    <row r="13" spans="1:20">
      <c r="A13" s="73" t="s">
        <v>454</v>
      </c>
      <c r="B13" s="252">
        <f>'Distrib pivot table'!J$75</f>
        <v>46516961</v>
      </c>
      <c r="C13" s="252">
        <f>'Distrib pivot table'!J$77</f>
        <v>75975729</v>
      </c>
      <c r="D13" s="253">
        <f>'Distrib pivot table'!J$73</f>
        <v>0</v>
      </c>
      <c r="E13" s="247">
        <f>'Distrib pivot table'!J$81</f>
        <v>16772094</v>
      </c>
      <c r="F13" s="252">
        <f>'Distrib pivot table'!J$83</f>
        <v>17441194</v>
      </c>
      <c r="G13" s="252">
        <f>'Distrib pivot table'!J$79</f>
        <v>0</v>
      </c>
      <c r="H13" s="247">
        <f>'Distrib pivot table'!J$69</f>
        <v>0</v>
      </c>
      <c r="I13" s="253">
        <f>'Distrib pivot table'!J$71</f>
        <v>0</v>
      </c>
      <c r="J13" s="254">
        <f t="shared" si="0"/>
        <v>63289055</v>
      </c>
      <c r="K13" s="254">
        <f t="shared" si="1"/>
        <v>93416923</v>
      </c>
      <c r="L13" s="247">
        <f>'Distrib pivot table'!J$67</f>
        <v>0</v>
      </c>
      <c r="M13" s="268">
        <f t="shared" si="2"/>
        <v>156705978</v>
      </c>
      <c r="N13" s="247">
        <f>'Distrib pivot table'!J$87</f>
        <v>0</v>
      </c>
      <c r="O13" s="252">
        <f>'Distrib pivot table'!J$89</f>
        <v>0</v>
      </c>
      <c r="P13" s="252">
        <f>'Distrib pivot table'!J$85</f>
        <v>0</v>
      </c>
      <c r="Q13" s="259">
        <f>'Distrib pivot table'!J$93</f>
        <v>32395283</v>
      </c>
      <c r="R13" s="6">
        <f>'Distrib pivot table'!J$95</f>
        <v>810705</v>
      </c>
      <c r="S13" s="252">
        <f>'Distrib pivot table'!J$91</f>
        <v>0</v>
      </c>
      <c r="T13" s="271">
        <f t="shared" si="3"/>
        <v>189911966</v>
      </c>
    </row>
    <row r="14" spans="1:20">
      <c r="A14" s="73" t="s">
        <v>316</v>
      </c>
      <c r="B14" s="252">
        <f>'Distrib pivot table'!K$75</f>
        <v>23843765</v>
      </c>
      <c r="C14" s="252">
        <f>'Distrib pivot table'!K$77</f>
        <v>133605798</v>
      </c>
      <c r="D14" s="253">
        <f>'Distrib pivot table'!K$73</f>
        <v>0</v>
      </c>
      <c r="E14" s="247">
        <f>'Distrib pivot table'!K$81</f>
        <v>2304740</v>
      </c>
      <c r="F14" s="252">
        <f>'Distrib pivot table'!K$83</f>
        <v>11522079</v>
      </c>
      <c r="G14" s="252">
        <f>'Distrib pivot table'!K$79</f>
        <v>0</v>
      </c>
      <c r="H14" s="247">
        <f>'Distrib pivot table'!K$69</f>
        <v>0</v>
      </c>
      <c r="I14" s="253">
        <f>'Distrib pivot table'!K$71</f>
        <v>0</v>
      </c>
      <c r="J14" s="254">
        <f t="shared" si="0"/>
        <v>26148505</v>
      </c>
      <c r="K14" s="254">
        <f t="shared" si="1"/>
        <v>145127877</v>
      </c>
      <c r="L14" s="247">
        <f>'Distrib pivot table'!K$67</f>
        <v>0</v>
      </c>
      <c r="M14" s="268">
        <f t="shared" si="2"/>
        <v>171276382</v>
      </c>
      <c r="N14" s="247">
        <f>'Distrib pivot table'!K$87</f>
        <v>0</v>
      </c>
      <c r="O14" s="252">
        <f>'Distrib pivot table'!K$89</f>
        <v>5999100</v>
      </c>
      <c r="P14" s="252">
        <f>'Distrib pivot table'!K$85</f>
        <v>0</v>
      </c>
      <c r="Q14" s="259">
        <f>'Distrib pivot table'!K$93</f>
        <v>600</v>
      </c>
      <c r="R14" s="6">
        <f>'Distrib pivot table'!K$95</f>
        <v>0</v>
      </c>
      <c r="S14" s="252">
        <f>'Distrib pivot table'!K$91</f>
        <v>0</v>
      </c>
      <c r="T14" s="271">
        <f t="shared" si="3"/>
        <v>177276082</v>
      </c>
    </row>
    <row r="15" spans="1:20">
      <c r="A15" s="73" t="s">
        <v>465</v>
      </c>
      <c r="B15" s="252">
        <f>'Distrib pivot table'!L$75</f>
        <v>62106921</v>
      </c>
      <c r="C15" s="252">
        <f>'Distrib pivot table'!L$77</f>
        <v>11143996</v>
      </c>
      <c r="D15" s="253">
        <f>'Distrib pivot table'!L$73</f>
        <v>0</v>
      </c>
      <c r="E15" s="247">
        <f>'Distrib pivot table'!L$81</f>
        <v>14522900</v>
      </c>
      <c r="F15" s="252">
        <f>'Distrib pivot table'!L$83</f>
        <v>2125384</v>
      </c>
      <c r="G15" s="252">
        <f>'Distrib pivot table'!L$79</f>
        <v>288500</v>
      </c>
      <c r="H15" s="247">
        <f>'Distrib pivot table'!L$69</f>
        <v>0</v>
      </c>
      <c r="I15" s="253">
        <f>'Distrib pivot table'!L$71</f>
        <v>0</v>
      </c>
      <c r="J15" s="254">
        <f t="shared" si="0"/>
        <v>76629821</v>
      </c>
      <c r="K15" s="254">
        <f t="shared" si="1"/>
        <v>13269380</v>
      </c>
      <c r="L15" s="247">
        <f>'Distrib pivot table'!L$67</f>
        <v>0</v>
      </c>
      <c r="M15" s="268">
        <f t="shared" si="2"/>
        <v>90187701</v>
      </c>
      <c r="N15" s="247">
        <f>'Distrib pivot table'!L$87</f>
        <v>0</v>
      </c>
      <c r="O15" s="252">
        <f>'Distrib pivot table'!L$89</f>
        <v>0</v>
      </c>
      <c r="P15" s="252">
        <f>'Distrib pivot table'!L$85</f>
        <v>0</v>
      </c>
      <c r="Q15" s="259">
        <f>'Distrib pivot table'!L$93</f>
        <v>0</v>
      </c>
      <c r="R15" s="6">
        <f>'Distrib pivot table'!L$95</f>
        <v>0</v>
      </c>
      <c r="S15" s="252">
        <f>'Distrib pivot table'!L$91</f>
        <v>0</v>
      </c>
      <c r="T15" s="271">
        <f t="shared" si="3"/>
        <v>90187701</v>
      </c>
    </row>
    <row r="16" spans="1:20">
      <c r="A16" s="73" t="s">
        <v>455</v>
      </c>
      <c r="B16" s="252">
        <f>'Distrib pivot table'!M$75</f>
        <v>4001415</v>
      </c>
      <c r="C16" s="252">
        <f>'Distrib pivot table'!M$77</f>
        <v>12519094</v>
      </c>
      <c r="D16" s="252">
        <f>'Distrib pivot table'!M$73</f>
        <v>453145</v>
      </c>
      <c r="E16" s="247">
        <f>'Distrib pivot table'!M$81</f>
        <v>378599</v>
      </c>
      <c r="F16" s="252">
        <f>'Distrib pivot table'!M$83</f>
        <v>3012753</v>
      </c>
      <c r="G16" s="252">
        <f>'Distrib pivot table'!M$79</f>
        <v>0</v>
      </c>
      <c r="H16" s="247">
        <f>'Distrib pivot table'!M$69</f>
        <v>0</v>
      </c>
      <c r="I16" s="253">
        <f>'Distrib pivot table'!M$71</f>
        <v>337194</v>
      </c>
      <c r="J16" s="254">
        <f t="shared" si="0"/>
        <v>4380014</v>
      </c>
      <c r="K16" s="254">
        <f t="shared" si="1"/>
        <v>15869041</v>
      </c>
      <c r="L16" s="247">
        <f>'Distrib pivot table'!M$67</f>
        <v>0</v>
      </c>
      <c r="M16" s="268">
        <f t="shared" si="2"/>
        <v>20702200</v>
      </c>
      <c r="N16" s="247">
        <f>'Distrib pivot table'!M$87</f>
        <v>750000</v>
      </c>
      <c r="O16" s="252">
        <f>'Distrib pivot table'!M$89</f>
        <v>6865475</v>
      </c>
      <c r="P16" s="252">
        <f>'Distrib pivot table'!M$85</f>
        <v>0</v>
      </c>
      <c r="Q16" s="259">
        <f>'Distrib pivot table'!M$93</f>
        <v>0</v>
      </c>
      <c r="R16" s="6">
        <f>'Distrib pivot table'!M$95</f>
        <v>0</v>
      </c>
      <c r="S16" s="252">
        <f>'Distrib pivot table'!M$91</f>
        <v>0</v>
      </c>
      <c r="T16" s="271">
        <f t="shared" si="3"/>
        <v>28317675</v>
      </c>
    </row>
    <row r="17" spans="1:40">
      <c r="A17" s="73" t="s">
        <v>456</v>
      </c>
      <c r="B17" s="252">
        <f>'Distrib pivot table'!N$75</f>
        <v>0</v>
      </c>
      <c r="C17" s="252">
        <f>'Distrib pivot table'!N$77</f>
        <v>0</v>
      </c>
      <c r="D17" s="253">
        <f>'Distrib pivot table'!N$73</f>
        <v>0</v>
      </c>
      <c r="E17" s="247">
        <f>'Distrib pivot table'!N$81</f>
        <v>0</v>
      </c>
      <c r="F17" s="252">
        <f>'Distrib pivot table'!N$83</f>
        <v>0</v>
      </c>
      <c r="G17" s="252">
        <f>'Distrib pivot table'!N$79</f>
        <v>0</v>
      </c>
      <c r="H17" s="247">
        <f>'Distrib pivot table'!N$69</f>
        <v>6939143</v>
      </c>
      <c r="I17" s="253">
        <f>'Distrib pivot table'!N$71</f>
        <v>16054981</v>
      </c>
      <c r="J17" s="254">
        <f t="shared" si="0"/>
        <v>6939143</v>
      </c>
      <c r="K17" s="254">
        <f t="shared" si="1"/>
        <v>16054981</v>
      </c>
      <c r="L17" s="247">
        <f>'Distrib pivot table'!N$67</f>
        <v>0</v>
      </c>
      <c r="M17" s="268">
        <f t="shared" si="2"/>
        <v>22994124</v>
      </c>
      <c r="N17" s="247">
        <f>'Distrib pivot table'!N$87</f>
        <v>163141858</v>
      </c>
      <c r="O17" s="252">
        <f>'Distrib pivot table'!N$89</f>
        <v>6757282</v>
      </c>
      <c r="P17" s="252">
        <f>'Distrib pivot table'!N$85</f>
        <v>0</v>
      </c>
      <c r="Q17" s="259">
        <f>'Distrib pivot table'!N$93</f>
        <v>45896963</v>
      </c>
      <c r="R17" s="6">
        <f>'Distrib pivot table'!N$95</f>
        <v>58269681</v>
      </c>
      <c r="S17" s="252">
        <f>'Distrib pivot table'!N$91</f>
        <v>0</v>
      </c>
      <c r="T17" s="271">
        <f t="shared" si="3"/>
        <v>297059908</v>
      </c>
    </row>
    <row r="18" spans="1:40">
      <c r="A18" s="73" t="s">
        <v>463</v>
      </c>
      <c r="B18" s="252">
        <f>'Distrib pivot table'!O$75</f>
        <v>0</v>
      </c>
      <c r="C18" s="252">
        <f>'Distrib pivot table'!O$77</f>
        <v>0</v>
      </c>
      <c r="D18" s="253">
        <f>'Distrib pivot table'!O$73</f>
        <v>0</v>
      </c>
      <c r="E18" s="247">
        <f>'Distrib pivot table'!O$81</f>
        <v>0</v>
      </c>
      <c r="F18" s="252">
        <f>'Distrib pivot table'!O$83</f>
        <v>0</v>
      </c>
      <c r="G18" s="252">
        <f>'Distrib pivot table'!O$79</f>
        <v>0</v>
      </c>
      <c r="H18" s="247">
        <f>'Distrib pivot table'!O$69</f>
        <v>0</v>
      </c>
      <c r="I18" s="253">
        <f>'Distrib pivot table'!O$71</f>
        <v>0</v>
      </c>
      <c r="J18" s="254">
        <f t="shared" si="0"/>
        <v>0</v>
      </c>
      <c r="K18" s="254">
        <f t="shared" si="1"/>
        <v>0</v>
      </c>
      <c r="L18" s="247">
        <f>'Distrib pivot table'!O$67</f>
        <v>77100669</v>
      </c>
      <c r="M18" s="268">
        <f t="shared" si="2"/>
        <v>77100669</v>
      </c>
      <c r="N18" s="247">
        <f>'Distrib pivot table'!O$87</f>
        <v>0</v>
      </c>
      <c r="O18" s="252">
        <f>'Distrib pivot table'!O$89</f>
        <v>0</v>
      </c>
      <c r="P18" s="252">
        <f>'Distrib pivot table'!O$85</f>
        <v>0</v>
      </c>
      <c r="Q18" s="259">
        <f>'Distrib pivot table'!O$93</f>
        <v>0</v>
      </c>
      <c r="R18" s="6">
        <f>'Distrib pivot table'!O$95</f>
        <v>0</v>
      </c>
      <c r="S18" s="252">
        <f>'Distrib pivot table'!O$91</f>
        <v>3578751</v>
      </c>
      <c r="T18" s="271">
        <f t="shared" si="3"/>
        <v>80679420</v>
      </c>
    </row>
    <row r="19" spans="1:40">
      <c r="A19" s="73" t="s">
        <v>457</v>
      </c>
      <c r="B19" s="252">
        <f>'Distrib pivot table'!P$75</f>
        <v>19187764</v>
      </c>
      <c r="C19" s="252">
        <f>'Distrib pivot table'!P$77</f>
        <v>226444421</v>
      </c>
      <c r="D19" s="253">
        <f>'Distrib pivot table'!P$73</f>
        <v>0</v>
      </c>
      <c r="E19" s="247">
        <f>'Distrib pivot table'!P$81</f>
        <v>4443802</v>
      </c>
      <c r="F19" s="252">
        <f>'Distrib pivot table'!P$83</f>
        <v>44224382</v>
      </c>
      <c r="G19" s="252">
        <f>'Distrib pivot table'!P$79</f>
        <v>0</v>
      </c>
      <c r="H19" s="247">
        <f>'Distrib pivot table'!P$69</f>
        <v>0</v>
      </c>
      <c r="I19" s="253">
        <f>'Distrib pivot table'!P$71</f>
        <v>1700000</v>
      </c>
      <c r="J19" s="254">
        <f t="shared" si="0"/>
        <v>23631566</v>
      </c>
      <c r="K19" s="254">
        <f t="shared" si="1"/>
        <v>272368803</v>
      </c>
      <c r="L19" s="247">
        <f>'Distrib pivot table'!P$67</f>
        <v>0</v>
      </c>
      <c r="M19" s="268">
        <f t="shared" si="2"/>
        <v>296000369</v>
      </c>
      <c r="N19" s="247">
        <f>'Distrib pivot table'!P$87</f>
        <v>0</v>
      </c>
      <c r="O19" s="252">
        <f>'Distrib pivot table'!P$89</f>
        <v>0</v>
      </c>
      <c r="P19" s="252">
        <f>'Distrib pivot table'!P$85</f>
        <v>0</v>
      </c>
      <c r="Q19" s="259">
        <f>'Distrib pivot table'!P$93</f>
        <v>29560426</v>
      </c>
      <c r="R19" s="6">
        <f>'Distrib pivot table'!P$95</f>
        <v>0</v>
      </c>
      <c r="S19" s="252">
        <f>'Distrib pivot table'!P$91</f>
        <v>0</v>
      </c>
      <c r="T19" s="271">
        <f t="shared" si="3"/>
        <v>325560795</v>
      </c>
    </row>
    <row r="20" spans="1:40">
      <c r="A20" s="73" t="s">
        <v>130</v>
      </c>
      <c r="B20" s="252">
        <f>'Distrib pivot table'!Q$75</f>
        <v>109647988</v>
      </c>
      <c r="C20" s="252">
        <f>'Distrib pivot table'!Q$77</f>
        <v>163467430</v>
      </c>
      <c r="D20" s="253">
        <f>'Distrib pivot table'!Q$73</f>
        <v>0</v>
      </c>
      <c r="E20" s="247">
        <f>'Distrib pivot table'!Q$81</f>
        <v>43977224</v>
      </c>
      <c r="F20" s="252">
        <f>'Distrib pivot table'!Q$83</f>
        <v>38830369</v>
      </c>
      <c r="G20" s="252">
        <f>'Distrib pivot table'!Q$79</f>
        <v>0</v>
      </c>
      <c r="H20" s="247">
        <f>'Distrib pivot table'!Q$69</f>
        <v>0</v>
      </c>
      <c r="I20" s="253">
        <f>'Distrib pivot table'!Q$71</f>
        <v>0</v>
      </c>
      <c r="J20" s="254">
        <f t="shared" si="0"/>
        <v>153625212</v>
      </c>
      <c r="K20" s="254">
        <f t="shared" si="1"/>
        <v>202297799</v>
      </c>
      <c r="L20" s="247">
        <f>'Distrib pivot table'!Q$67</f>
        <v>0</v>
      </c>
      <c r="M20" s="268">
        <f t="shared" si="2"/>
        <v>355923011</v>
      </c>
      <c r="N20" s="247">
        <f>'Distrib pivot table'!Q$87</f>
        <v>0</v>
      </c>
      <c r="O20" s="252">
        <f>'Distrib pivot table'!Q$89</f>
        <v>0</v>
      </c>
      <c r="P20" s="252">
        <f>'Distrib pivot table'!Q$85</f>
        <v>0</v>
      </c>
      <c r="Q20" s="259">
        <f>'Distrib pivot table'!Q$93</f>
        <v>0</v>
      </c>
      <c r="R20" s="6">
        <f>'Distrib pivot table'!Q$95</f>
        <v>0</v>
      </c>
      <c r="S20" s="252">
        <f>'Distrib pivot table'!Q$91</f>
        <v>0</v>
      </c>
      <c r="T20" s="271">
        <f t="shared" si="3"/>
        <v>355923011</v>
      </c>
    </row>
    <row r="21" spans="1:40">
      <c r="A21" s="73" t="s">
        <v>458</v>
      </c>
      <c r="B21" s="252">
        <f>'Distrib pivot table'!R$75</f>
        <v>0</v>
      </c>
      <c r="C21" s="252">
        <f>'Distrib pivot table'!R$77</f>
        <v>0</v>
      </c>
      <c r="D21" s="253">
        <f>'Distrib pivot table'!R$73</f>
        <v>0</v>
      </c>
      <c r="E21" s="247">
        <f>'Distrib pivot table'!R$81</f>
        <v>0</v>
      </c>
      <c r="F21" s="252">
        <f>'Distrib pivot table'!R$83</f>
        <v>0</v>
      </c>
      <c r="G21" s="252">
        <f>'Distrib pivot table'!R$79</f>
        <v>0</v>
      </c>
      <c r="H21" s="247">
        <f>'Distrib pivot table'!R$69</f>
        <v>0</v>
      </c>
      <c r="I21" s="253">
        <f>'Distrib pivot table'!R$71</f>
        <v>29000000</v>
      </c>
      <c r="J21" s="254">
        <f t="shared" si="0"/>
        <v>0</v>
      </c>
      <c r="K21" s="254">
        <f t="shared" si="1"/>
        <v>29000000</v>
      </c>
      <c r="L21" s="247">
        <f>'Distrib pivot table'!R$67</f>
        <v>464329746</v>
      </c>
      <c r="M21" s="268">
        <f t="shared" si="2"/>
        <v>493329746</v>
      </c>
      <c r="N21" s="247">
        <f>'Distrib pivot table'!R$87</f>
        <v>0</v>
      </c>
      <c r="O21" s="252">
        <f>'Distrib pivot table'!R$89</f>
        <v>0</v>
      </c>
      <c r="P21" s="252">
        <f>'Distrib pivot table'!R$85</f>
        <v>0</v>
      </c>
      <c r="Q21" s="259">
        <f>'Distrib pivot table'!R$93</f>
        <v>0</v>
      </c>
      <c r="R21" s="6">
        <f>'Distrib pivot table'!R$95</f>
        <v>0</v>
      </c>
      <c r="S21" s="265">
        <f>'Distrib pivot table'!R$91</f>
        <v>0</v>
      </c>
      <c r="T21" s="271">
        <f t="shared" si="3"/>
        <v>493329746</v>
      </c>
    </row>
    <row r="22" spans="1:40">
      <c r="A22" s="73" t="s">
        <v>459</v>
      </c>
      <c r="B22" s="252">
        <f>'Distrib pivot table'!S$75</f>
        <v>3372105</v>
      </c>
      <c r="C22" s="252">
        <f>'Distrib pivot table'!S$77</f>
        <v>1000000</v>
      </c>
      <c r="D22" s="253">
        <f>'Distrib pivot table'!S$73</f>
        <v>0</v>
      </c>
      <c r="E22" s="247">
        <f>'Distrib pivot table'!S$81</f>
        <v>1041645</v>
      </c>
      <c r="F22" s="252">
        <f>'Distrib pivot table'!S$83</f>
        <v>0</v>
      </c>
      <c r="G22" s="252">
        <f>'Distrib pivot table'!S$79</f>
        <v>0</v>
      </c>
      <c r="H22" s="247">
        <f>'Distrib pivot table'!S$69</f>
        <v>0</v>
      </c>
      <c r="I22" s="253">
        <f>'Distrib pivot table'!S$71</f>
        <v>0</v>
      </c>
      <c r="J22" s="254">
        <f t="shared" si="0"/>
        <v>4413750</v>
      </c>
      <c r="K22" s="254">
        <f t="shared" si="1"/>
        <v>1000000</v>
      </c>
      <c r="L22" s="247">
        <f>'Distrib pivot table'!S$67</f>
        <v>0</v>
      </c>
      <c r="M22" s="268">
        <f t="shared" si="2"/>
        <v>5413750</v>
      </c>
      <c r="N22" s="247">
        <f>'Distrib pivot table'!S$87</f>
        <v>133368040</v>
      </c>
      <c r="O22" s="252">
        <f>'Distrib pivot table'!S$89</f>
        <v>12359822</v>
      </c>
      <c r="P22" s="252">
        <f>'Distrib pivot table'!S$85</f>
        <v>750000</v>
      </c>
      <c r="Q22" s="259">
        <f>'Distrib pivot table'!S$93</f>
        <v>0</v>
      </c>
      <c r="R22" s="6">
        <f>'Distrib pivot table'!S$95</f>
        <v>56595403</v>
      </c>
      <c r="S22" s="265">
        <f>'Distrib pivot table'!S$91</f>
        <v>0</v>
      </c>
      <c r="T22" s="271">
        <f t="shared" si="3"/>
        <v>208487015</v>
      </c>
    </row>
    <row r="23" spans="1:40">
      <c r="A23" s="74" t="s">
        <v>464</v>
      </c>
      <c r="B23" s="256">
        <f>'Distrib pivot table'!T$75</f>
        <v>32396285</v>
      </c>
      <c r="C23" s="256">
        <f>'Distrib pivot table'!T$77</f>
        <v>43666875</v>
      </c>
      <c r="D23" s="257">
        <f>'Distrib pivot table'!T$73</f>
        <v>0</v>
      </c>
      <c r="E23" s="255">
        <f>'Distrib pivot table'!T$81</f>
        <v>6475240</v>
      </c>
      <c r="F23" s="256">
        <f>'Distrib pivot table'!T$83</f>
        <v>5289948</v>
      </c>
      <c r="G23" s="256">
        <f>'Distrib pivot table'!T$79</f>
        <v>0</v>
      </c>
      <c r="H23" s="255">
        <f>'Distrib pivot table'!T$69</f>
        <v>0</v>
      </c>
      <c r="I23" s="257">
        <f>'Distrib pivot table'!T$71</f>
        <v>0</v>
      </c>
      <c r="J23" s="258">
        <f t="shared" si="0"/>
        <v>38871525</v>
      </c>
      <c r="K23" s="258">
        <f t="shared" si="1"/>
        <v>48956823</v>
      </c>
      <c r="L23" s="255">
        <f>'Distrib pivot table'!T$67</f>
        <v>0</v>
      </c>
      <c r="M23" s="269">
        <f t="shared" si="2"/>
        <v>87828348</v>
      </c>
      <c r="N23" s="255">
        <f>'Distrib pivot table'!T$87</f>
        <v>0</v>
      </c>
      <c r="O23" s="256">
        <f>'Distrib pivot table'!T$89</f>
        <v>0</v>
      </c>
      <c r="P23" s="256">
        <f>'Distrib pivot table'!T$85</f>
        <v>0</v>
      </c>
      <c r="Q23" s="262">
        <f>'Distrib pivot table'!T$93</f>
        <v>0</v>
      </c>
      <c r="R23" s="8">
        <f>'Distrib pivot table'!T$95</f>
        <v>0</v>
      </c>
      <c r="S23" s="266">
        <f>'Distrib pivot table'!T$141</f>
        <v>0</v>
      </c>
      <c r="T23" s="272">
        <f t="shared" si="3"/>
        <v>87828348</v>
      </c>
    </row>
    <row r="24" spans="1:40">
      <c r="A24" s="99"/>
      <c r="B24" s="75"/>
      <c r="C24" s="75"/>
      <c r="D24" s="75"/>
      <c r="E24" s="75"/>
      <c r="F24" s="75"/>
      <c r="G24" s="75"/>
      <c r="H24" s="75"/>
      <c r="I24" s="75"/>
      <c r="J24" s="75"/>
      <c r="K24" s="75"/>
      <c r="L24" s="75"/>
      <c r="M24" s="75"/>
      <c r="N24" s="107"/>
      <c r="O24" s="107"/>
      <c r="P24" s="107"/>
      <c r="S24" s="107"/>
      <c r="AN24" s="6"/>
    </row>
    <row r="25" spans="1:40" ht="15.75">
      <c r="A25" s="221" t="s">
        <v>547</v>
      </c>
      <c r="B25" s="92"/>
      <c r="C25" s="92"/>
      <c r="D25" s="92"/>
      <c r="E25" s="92"/>
      <c r="F25" s="92"/>
      <c r="G25" s="92"/>
      <c r="H25" s="92"/>
      <c r="I25" s="92"/>
      <c r="J25" s="92"/>
      <c r="K25" s="92"/>
      <c r="L25" s="92"/>
      <c r="M25" s="92"/>
      <c r="N25" s="92"/>
      <c r="O25" s="92"/>
      <c r="P25" s="92"/>
      <c r="S25" s="92"/>
      <c r="AN25" s="6"/>
    </row>
    <row r="26" spans="1:40">
      <c r="A26" s="96"/>
      <c r="B26" s="96"/>
      <c r="C26" s="96"/>
      <c r="D26" s="96"/>
      <c r="E26" s="96"/>
      <c r="F26" s="96"/>
      <c r="G26" s="96"/>
      <c r="H26" s="96"/>
      <c r="I26" s="96"/>
      <c r="J26" s="96"/>
      <c r="K26" s="96"/>
      <c r="L26" s="96"/>
      <c r="M26" s="96"/>
      <c r="N26" s="96"/>
      <c r="O26" s="97"/>
      <c r="P26" s="96"/>
      <c r="S26" s="96"/>
      <c r="T26" s="8"/>
      <c r="AN26" s="6"/>
    </row>
    <row r="27" spans="1:40" ht="15.75">
      <c r="A27" s="267"/>
      <c r="B27" s="152" t="s">
        <v>102</v>
      </c>
      <c r="C27" s="152"/>
      <c r="D27" s="152"/>
      <c r="E27" s="152"/>
      <c r="F27" s="152"/>
      <c r="G27" s="152"/>
      <c r="H27" s="152"/>
      <c r="I27" s="152"/>
      <c r="J27" s="152"/>
      <c r="K27" s="152"/>
      <c r="L27" s="152"/>
      <c r="M27" s="156"/>
      <c r="N27" s="242" t="s">
        <v>131</v>
      </c>
      <c r="O27" s="109"/>
      <c r="P27" s="109"/>
      <c r="Q27" s="242" t="s">
        <v>131</v>
      </c>
      <c r="R27" s="109"/>
      <c r="S27" s="109"/>
      <c r="T27" s="263"/>
      <c r="AN27" s="6"/>
    </row>
    <row r="28" spans="1:40" ht="22.5">
      <c r="A28" s="95"/>
      <c r="B28" s="237" t="s">
        <v>101</v>
      </c>
      <c r="C28" s="237"/>
      <c r="D28" s="237"/>
      <c r="E28" s="236" t="s">
        <v>103</v>
      </c>
      <c r="F28" s="237"/>
      <c r="G28" s="237"/>
      <c r="H28" s="236" t="s">
        <v>71</v>
      </c>
      <c r="I28" s="238"/>
      <c r="J28" s="243" t="s">
        <v>138</v>
      </c>
      <c r="K28" s="243"/>
      <c r="L28" s="261" t="s">
        <v>131</v>
      </c>
      <c r="M28" s="261" t="s">
        <v>131</v>
      </c>
      <c r="N28" s="240" t="s">
        <v>105</v>
      </c>
      <c r="O28" s="241"/>
      <c r="P28" s="241"/>
      <c r="Q28" s="240" t="s">
        <v>106</v>
      </c>
      <c r="R28" s="241"/>
      <c r="S28" s="241"/>
      <c r="T28" s="259"/>
      <c r="AN28" s="6"/>
    </row>
    <row r="29" spans="1:40" ht="45">
      <c r="A29" s="50"/>
      <c r="B29" s="51" t="s">
        <v>99</v>
      </c>
      <c r="C29" s="52" t="s">
        <v>100</v>
      </c>
      <c r="D29" s="52" t="s">
        <v>62</v>
      </c>
      <c r="E29" s="53" t="s">
        <v>99</v>
      </c>
      <c r="F29" s="52" t="s">
        <v>100</v>
      </c>
      <c r="G29" s="52" t="s">
        <v>62</v>
      </c>
      <c r="H29" s="53" t="s">
        <v>99</v>
      </c>
      <c r="I29" s="239" t="s">
        <v>100</v>
      </c>
      <c r="J29" s="244" t="s">
        <v>99</v>
      </c>
      <c r="K29" s="245" t="s">
        <v>100</v>
      </c>
      <c r="L29" s="240" t="s">
        <v>63</v>
      </c>
      <c r="M29" s="260" t="s">
        <v>467</v>
      </c>
      <c r="N29" s="53" t="s">
        <v>99</v>
      </c>
      <c r="O29" s="52" t="s">
        <v>100</v>
      </c>
      <c r="P29" s="52" t="s">
        <v>62</v>
      </c>
      <c r="Q29" s="53" t="s">
        <v>99</v>
      </c>
      <c r="R29" s="52" t="s">
        <v>100</v>
      </c>
      <c r="S29" s="52" t="s">
        <v>62</v>
      </c>
      <c r="T29" s="264" t="s">
        <v>467</v>
      </c>
      <c r="AN29" s="6"/>
    </row>
    <row r="30" spans="1:40">
      <c r="A30" s="73" t="s">
        <v>64</v>
      </c>
      <c r="B30" s="1115">
        <f>'Distrib pivot table'!U$74</f>
        <v>341468631.42957973</v>
      </c>
      <c r="C30" s="1120">
        <f>'Distrib pivot table'!U$76</f>
        <v>680939813.50903535</v>
      </c>
      <c r="D30" s="1121">
        <f>'Distrib pivot table'!U$72</f>
        <v>5237091</v>
      </c>
      <c r="E30" s="1122">
        <f>'Distrib pivot table'!U$80</f>
        <v>94697841.57042028</v>
      </c>
      <c r="F30" s="1120">
        <f>'Distrib pivot table'!U$82</f>
        <v>125596043.49096464</v>
      </c>
      <c r="G30" s="1115">
        <f>'Distrib pivot table'!U$78</f>
        <v>1737648</v>
      </c>
      <c r="H30" s="1122">
        <f>'Distrib pivot table'!U$68</f>
        <v>11650492</v>
      </c>
      <c r="I30" s="1123">
        <f>'Distrib pivot table'!U$71</f>
        <v>389796335</v>
      </c>
      <c r="J30" s="246">
        <f>+B30+E30+H30</f>
        <v>447816965</v>
      </c>
      <c r="K30" s="254">
        <f>+C30+F30+I30</f>
        <v>1196332192</v>
      </c>
      <c r="L30" s="1122">
        <f>'Distrib pivot table'!U$66</f>
        <v>574213045</v>
      </c>
      <c r="M30" s="1124">
        <f>+D30+G30+J30+K30+L30</f>
        <v>2225336941</v>
      </c>
      <c r="N30" s="1122">
        <f>'Distrib pivot table'!U$86</f>
        <v>366634500</v>
      </c>
      <c r="O30" s="1120">
        <f>'Distrib pivot table'!U$88</f>
        <v>474128198.39999998</v>
      </c>
      <c r="P30" s="1115">
        <f>'Distrib pivot table'!U$84</f>
        <v>18000000</v>
      </c>
      <c r="Q30" s="1122">
        <f>'Distrib pivot table'!U$92</f>
        <v>133095924</v>
      </c>
      <c r="R30" s="1120">
        <f>'Distrib pivot table'!U$94</f>
        <v>229226922.5</v>
      </c>
      <c r="S30" s="1115">
        <f>'Distrib pivot table'!U$90</f>
        <v>3828751</v>
      </c>
      <c r="T30" s="270">
        <f>+M30+N30+O30+P30+Q30+R30+S30</f>
        <v>3450251236.9000001</v>
      </c>
      <c r="AN30" s="6"/>
    </row>
    <row r="31" spans="1:40" s="524" customFormat="1">
      <c r="A31" s="1116" t="s">
        <v>2014</v>
      </c>
      <c r="B31" s="1117">
        <v>74</v>
      </c>
      <c r="C31" s="1117">
        <v>76</v>
      </c>
      <c r="D31" s="1117">
        <v>72</v>
      </c>
      <c r="E31" s="1118">
        <v>80</v>
      </c>
      <c r="F31" s="1117">
        <v>82</v>
      </c>
      <c r="G31" s="1117">
        <v>78</v>
      </c>
      <c r="H31" s="1118">
        <v>68</v>
      </c>
      <c r="I31" s="1119">
        <v>70</v>
      </c>
      <c r="J31" s="522"/>
      <c r="K31" s="521"/>
      <c r="L31" s="1119">
        <v>66</v>
      </c>
      <c r="M31" s="523"/>
      <c r="N31" s="1119">
        <v>86</v>
      </c>
      <c r="O31" s="1119">
        <v>88</v>
      </c>
      <c r="P31" s="1119">
        <v>84</v>
      </c>
      <c r="Q31" s="1119">
        <v>92</v>
      </c>
      <c r="R31" s="1119">
        <v>84</v>
      </c>
      <c r="S31" s="1119">
        <v>90</v>
      </c>
      <c r="T31" s="522"/>
      <c r="AN31" s="525"/>
    </row>
    <row r="32" spans="1:40">
      <c r="A32" s="73" t="s">
        <v>452</v>
      </c>
      <c r="B32" s="252">
        <f>'Distrib pivot table'!E$74</f>
        <v>2246979</v>
      </c>
      <c r="C32" s="252">
        <f>'Distrib pivot table'!E$76</f>
        <v>33151227</v>
      </c>
      <c r="D32" s="253">
        <f>'Distrib pivot table'!E$72</f>
        <v>0</v>
      </c>
      <c r="E32" s="247">
        <f>'Distrib pivot table'!E$80</f>
        <v>548921</v>
      </c>
      <c r="F32" s="252">
        <f>'Distrib pivot table'!E$82</f>
        <v>123657</v>
      </c>
      <c r="G32" s="252">
        <f>'Distrib pivot table'!E$78</f>
        <v>0</v>
      </c>
      <c r="H32" s="247">
        <f>'Distrib pivot table'!E$68</f>
        <v>10405</v>
      </c>
      <c r="I32" s="253">
        <f>'Distrib pivot table'!E$71</f>
        <v>1673820</v>
      </c>
      <c r="J32" s="246">
        <f t="shared" ref="J32:J47" si="4">+B32+E32+H32</f>
        <v>2806305</v>
      </c>
      <c r="K32" s="254">
        <f t="shared" ref="K32:K47" si="5">+C32+F32+I32</f>
        <v>34948704</v>
      </c>
      <c r="L32" s="247">
        <f>'Distrib pivot table'!E$66</f>
        <v>0</v>
      </c>
      <c r="M32" s="268">
        <f t="shared" ref="M32:M47" si="6">+D32+G32+J32+K32+L32</f>
        <v>37755009</v>
      </c>
      <c r="N32" s="247">
        <f>'Distrib pivot table'!E$86</f>
        <v>0</v>
      </c>
      <c r="O32" s="252">
        <f>'Distrib pivot table'!E$88</f>
        <v>112500</v>
      </c>
      <c r="P32" s="252">
        <f>'Distrib pivot table'!E$84</f>
        <v>0</v>
      </c>
      <c r="Q32" s="247">
        <f>'Distrib pivot table'!E$92</f>
        <v>0</v>
      </c>
      <c r="R32" s="252">
        <f>'Distrib pivot table'!E$94</f>
        <v>2213292</v>
      </c>
      <c r="S32" s="252">
        <f>'Distrib pivot table'!E$90</f>
        <v>0</v>
      </c>
      <c r="T32" s="271">
        <f t="shared" ref="T32:T47" si="7">+M32+N32+O32+P32+Q32+R32+S32</f>
        <v>40080801</v>
      </c>
      <c r="AN32" s="6"/>
    </row>
    <row r="33" spans="1:40">
      <c r="A33" s="73" t="s">
        <v>466</v>
      </c>
      <c r="B33" s="252">
        <f>'Distrib pivot table'!F$74</f>
        <v>28282187</v>
      </c>
      <c r="C33" s="252">
        <f>'Distrib pivot table'!F$76</f>
        <v>11633718</v>
      </c>
      <c r="D33" s="253">
        <f>'Distrib pivot table'!F$72</f>
        <v>0</v>
      </c>
      <c r="E33" s="247">
        <f>'Distrib pivot table'!F$80</f>
        <v>3241103</v>
      </c>
      <c r="F33" s="252">
        <f>'Distrib pivot table'!F$82</f>
        <v>3464451</v>
      </c>
      <c r="G33" s="252">
        <f>'Distrib pivot table'!F$78</f>
        <v>0</v>
      </c>
      <c r="H33" s="247">
        <f>'Distrib pivot table'!F$68</f>
        <v>0</v>
      </c>
      <c r="I33" s="253">
        <f>'Distrib pivot table'!F$71</f>
        <v>200000</v>
      </c>
      <c r="J33" s="246">
        <f t="shared" si="4"/>
        <v>31523290</v>
      </c>
      <c r="K33" s="254">
        <f t="shared" si="5"/>
        <v>15298169</v>
      </c>
      <c r="L33" s="247">
        <f>'Distrib pivot table'!F$66</f>
        <v>0</v>
      </c>
      <c r="M33" s="268">
        <f t="shared" si="6"/>
        <v>46821459</v>
      </c>
      <c r="N33" s="247">
        <f>'Distrib pivot table'!F$86</f>
        <v>0</v>
      </c>
      <c r="O33" s="252">
        <f>'Distrib pivot table'!F$88</f>
        <v>174571</v>
      </c>
      <c r="P33" s="252">
        <f>'Distrib pivot table'!F$84</f>
        <v>0</v>
      </c>
      <c r="Q33" s="247">
        <f>'Distrib pivot table'!F$92</f>
        <v>0</v>
      </c>
      <c r="R33" s="252">
        <f>'Distrib pivot table'!F$94</f>
        <v>0</v>
      </c>
      <c r="S33" s="252">
        <f>'Distrib pivot table'!F$90</f>
        <v>0</v>
      </c>
      <c r="T33" s="271">
        <f t="shared" si="7"/>
        <v>46996030</v>
      </c>
      <c r="AN33" s="6"/>
    </row>
    <row r="34" spans="1:40">
      <c r="A34" s="73" t="s">
        <v>453</v>
      </c>
      <c r="B34" s="251">
        <f>'Distrib pivot table'!G$74</f>
        <v>177181</v>
      </c>
      <c r="C34" s="251">
        <f>'Distrib pivot table'!G$76</f>
        <v>1021135</v>
      </c>
      <c r="D34" s="249">
        <f>'Distrib pivot table'!G$72</f>
        <v>0</v>
      </c>
      <c r="E34" s="248">
        <f>'Distrib pivot table'!G$80</f>
        <v>390021</v>
      </c>
      <c r="F34" s="251">
        <f>'Distrib pivot table'!G$82</f>
        <v>510676</v>
      </c>
      <c r="G34" s="252">
        <f>'Distrib pivot table'!G$78</f>
        <v>0</v>
      </c>
      <c r="H34" s="248">
        <f>'Distrib pivot table'!G$68</f>
        <v>7500</v>
      </c>
      <c r="I34" s="249">
        <f>'Distrib pivot table'!G$71</f>
        <v>20000</v>
      </c>
      <c r="J34" s="250">
        <f t="shared" si="4"/>
        <v>574702</v>
      </c>
      <c r="K34" s="250">
        <f t="shared" si="5"/>
        <v>1551811</v>
      </c>
      <c r="L34" s="248">
        <f>'Distrib pivot table'!G$66</f>
        <v>2256226</v>
      </c>
      <c r="M34" s="268">
        <f t="shared" si="6"/>
        <v>4382739</v>
      </c>
      <c r="N34" s="248">
        <f>'Distrib pivot table'!G$86</f>
        <v>0</v>
      </c>
      <c r="O34" s="251">
        <f>'Distrib pivot table'!G$88</f>
        <v>0</v>
      </c>
      <c r="P34" s="252">
        <f>'Distrib pivot table'!G$84</f>
        <v>0</v>
      </c>
      <c r="Q34" s="259">
        <f>'Distrib pivot table'!G$92</f>
        <v>0</v>
      </c>
      <c r="R34" s="6">
        <f>'Distrib pivot table'!G$94</f>
        <v>0</v>
      </c>
      <c r="S34" s="252">
        <f>'Distrib pivot table'!G$90</f>
        <v>0</v>
      </c>
      <c r="T34" s="271">
        <f t="shared" si="7"/>
        <v>4382739</v>
      </c>
      <c r="AN34" s="6"/>
    </row>
    <row r="35" spans="1:40">
      <c r="A35" s="73" t="s">
        <v>460</v>
      </c>
      <c r="B35" s="251">
        <f>'Distrib pivot table'!H$74</f>
        <v>0</v>
      </c>
      <c r="C35" s="251">
        <f>'Distrib pivot table'!H$76</f>
        <v>0</v>
      </c>
      <c r="D35" s="249">
        <f>'Distrib pivot table'!H$72</f>
        <v>0</v>
      </c>
      <c r="E35" s="248">
        <f>'Distrib pivot table'!H$80</f>
        <v>0</v>
      </c>
      <c r="F35" s="251">
        <f>'Distrib pivot table'!H$82</f>
        <v>0</v>
      </c>
      <c r="G35" s="252">
        <f>'Distrib pivot table'!H$78</f>
        <v>0</v>
      </c>
      <c r="H35" s="248">
        <f>'Distrib pivot table'!H$68</f>
        <v>4906964</v>
      </c>
      <c r="I35" s="249">
        <f>'Distrib pivot table'!H$71</f>
        <v>340810340</v>
      </c>
      <c r="J35" s="250">
        <f t="shared" si="4"/>
        <v>4906964</v>
      </c>
      <c r="K35" s="250">
        <f t="shared" si="5"/>
        <v>340810340</v>
      </c>
      <c r="L35" s="248">
        <f>'Distrib pivot table'!H$66</f>
        <v>0</v>
      </c>
      <c r="M35" s="268">
        <f t="shared" si="6"/>
        <v>345717304</v>
      </c>
      <c r="N35" s="248">
        <f>'Distrib pivot table'!H$86</f>
        <v>98546590</v>
      </c>
      <c r="O35" s="251">
        <f>'Distrib pivot table'!H$88</f>
        <v>3823442</v>
      </c>
      <c r="P35" s="252">
        <f>'Distrib pivot table'!H$84</f>
        <v>0</v>
      </c>
      <c r="Q35" s="259">
        <f>'Distrib pivot table'!H$92</f>
        <v>27313952</v>
      </c>
      <c r="R35" s="6">
        <f>'Distrib pivot table'!H$94</f>
        <v>60853996</v>
      </c>
      <c r="S35" s="252">
        <f>'Distrib pivot table'!H$90</f>
        <v>0</v>
      </c>
      <c r="T35" s="271">
        <f t="shared" si="7"/>
        <v>536255284</v>
      </c>
      <c r="AN35" s="6"/>
    </row>
    <row r="36" spans="1:40">
      <c r="A36" s="73" t="s">
        <v>461</v>
      </c>
      <c r="B36" s="251">
        <f>'Distrib pivot table'!I$74</f>
        <v>0</v>
      </c>
      <c r="C36" s="251">
        <f>'Distrib pivot table'!I$76</f>
        <v>255850</v>
      </c>
      <c r="D36" s="249">
        <f>'Distrib pivot table'!I$72</f>
        <v>0</v>
      </c>
      <c r="E36" s="248">
        <f>'Distrib pivot table'!I$80</f>
        <v>0</v>
      </c>
      <c r="F36" s="251">
        <f>'Distrib pivot table'!I$82</f>
        <v>710000</v>
      </c>
      <c r="G36" s="252">
        <f>'Distrib pivot table'!I$78</f>
        <v>0</v>
      </c>
      <c r="H36" s="248">
        <f>'Distrib pivot table'!I$68</f>
        <v>0</v>
      </c>
      <c r="I36" s="249">
        <f>'Distrib pivot table'!I$71</f>
        <v>0</v>
      </c>
      <c r="J36" s="250">
        <f t="shared" si="4"/>
        <v>0</v>
      </c>
      <c r="K36" s="250">
        <f t="shared" si="5"/>
        <v>965850</v>
      </c>
      <c r="L36" s="248">
        <f>'Distrib pivot table'!I$66</f>
        <v>11238887</v>
      </c>
      <c r="M36" s="268">
        <f t="shared" si="6"/>
        <v>12204737</v>
      </c>
      <c r="N36" s="248">
        <f>'Distrib pivot table'!I$86</f>
        <v>0</v>
      </c>
      <c r="O36" s="251">
        <f>'Distrib pivot table'!I$88</f>
        <v>439062132</v>
      </c>
      <c r="P36" s="252">
        <f>'Distrib pivot table'!I$84</f>
        <v>0</v>
      </c>
      <c r="Q36" s="259">
        <f>'Distrib pivot table'!I$92</f>
        <v>0</v>
      </c>
      <c r="R36" s="6">
        <f>'Distrib pivot table'!I$94</f>
        <v>46411337</v>
      </c>
      <c r="S36" s="252">
        <f>'Distrib pivot table'!I$90</f>
        <v>0</v>
      </c>
      <c r="T36" s="271">
        <f t="shared" si="7"/>
        <v>497678206</v>
      </c>
      <c r="AN36" s="6"/>
    </row>
    <row r="37" spans="1:40">
      <c r="A37" s="73" t="s">
        <v>454</v>
      </c>
      <c r="B37" s="252">
        <f>'Distrib pivot table'!J$74</f>
        <v>46211086</v>
      </c>
      <c r="C37" s="252">
        <f>'Distrib pivot table'!J$76</f>
        <v>73506633</v>
      </c>
      <c r="D37" s="253">
        <f>'Distrib pivot table'!J$72</f>
        <v>0</v>
      </c>
      <c r="E37" s="247">
        <f>'Distrib pivot table'!J$80</f>
        <v>14913204</v>
      </c>
      <c r="F37" s="252">
        <f>'Distrib pivot table'!J$82</f>
        <v>16878045</v>
      </c>
      <c r="G37" s="252">
        <f>'Distrib pivot table'!J$78</f>
        <v>0</v>
      </c>
      <c r="H37" s="247">
        <f>'Distrib pivot table'!J$68</f>
        <v>0</v>
      </c>
      <c r="I37" s="253">
        <f>'Distrib pivot table'!J$71</f>
        <v>0</v>
      </c>
      <c r="J37" s="254">
        <f t="shared" si="4"/>
        <v>61124290</v>
      </c>
      <c r="K37" s="254">
        <f t="shared" si="5"/>
        <v>90384678</v>
      </c>
      <c r="L37" s="247">
        <f>'Distrib pivot table'!J$66</f>
        <v>0</v>
      </c>
      <c r="M37" s="268">
        <f t="shared" si="6"/>
        <v>151508968</v>
      </c>
      <c r="N37" s="247">
        <f>'Distrib pivot table'!J$86</f>
        <v>0</v>
      </c>
      <c r="O37" s="252">
        <f>'Distrib pivot table'!J$88</f>
        <v>0</v>
      </c>
      <c r="P37" s="252">
        <f>'Distrib pivot table'!J$84</f>
        <v>0</v>
      </c>
      <c r="Q37" s="259">
        <f>'Distrib pivot table'!J$92</f>
        <v>31938565</v>
      </c>
      <c r="R37" s="6">
        <f>'Distrib pivot table'!J$94</f>
        <v>949878</v>
      </c>
      <c r="S37" s="252">
        <f>'Distrib pivot table'!J$90</f>
        <v>0</v>
      </c>
      <c r="T37" s="271">
        <f t="shared" si="7"/>
        <v>184397411</v>
      </c>
      <c r="AN37" s="6"/>
    </row>
    <row r="38" spans="1:40">
      <c r="A38" s="73" t="s">
        <v>316</v>
      </c>
      <c r="B38" s="252">
        <f>'Distrib pivot table'!K$74</f>
        <v>19479148</v>
      </c>
      <c r="C38" s="252">
        <f>'Distrib pivot table'!K$76</f>
        <v>119164022</v>
      </c>
      <c r="D38" s="253">
        <f>'Distrib pivot table'!K$72</f>
        <v>0</v>
      </c>
      <c r="E38" s="247">
        <f>'Distrib pivot table'!K$80</f>
        <v>2428101</v>
      </c>
      <c r="F38" s="252">
        <f>'Distrib pivot table'!K$82</f>
        <v>10589811</v>
      </c>
      <c r="G38" s="252">
        <f>'Distrib pivot table'!K$78</f>
        <v>0</v>
      </c>
      <c r="H38" s="247">
        <f>'Distrib pivot table'!K$68</f>
        <v>0</v>
      </c>
      <c r="I38" s="253">
        <f>'Distrib pivot table'!K$71</f>
        <v>0</v>
      </c>
      <c r="J38" s="254">
        <f t="shared" si="4"/>
        <v>21907249</v>
      </c>
      <c r="K38" s="254">
        <f t="shared" si="5"/>
        <v>129753833</v>
      </c>
      <c r="L38" s="247">
        <f>'Distrib pivot table'!K$66</f>
        <v>0</v>
      </c>
      <c r="M38" s="268">
        <f t="shared" si="6"/>
        <v>151661082</v>
      </c>
      <c r="N38" s="247">
        <f>'Distrib pivot table'!K$86</f>
        <v>0</v>
      </c>
      <c r="O38" s="252">
        <f>'Distrib pivot table'!K$88</f>
        <v>5578800</v>
      </c>
      <c r="P38" s="252">
        <f>'Distrib pivot table'!K$84</f>
        <v>0</v>
      </c>
      <c r="Q38" s="259">
        <f>'Distrib pivot table'!K$92</f>
        <v>2100</v>
      </c>
      <c r="R38" s="6">
        <f>'Distrib pivot table'!K$94</f>
        <v>0</v>
      </c>
      <c r="S38" s="252">
        <f>'Distrib pivot table'!K$90</f>
        <v>0</v>
      </c>
      <c r="T38" s="271">
        <f t="shared" si="7"/>
        <v>157241982</v>
      </c>
      <c r="AN38" s="6"/>
    </row>
    <row r="39" spans="1:40">
      <c r="A39" s="73" t="s">
        <v>465</v>
      </c>
      <c r="B39" s="252">
        <f>'Distrib pivot table'!L$74</f>
        <v>84751416</v>
      </c>
      <c r="C39" s="252">
        <f>'Distrib pivot table'!L$76</f>
        <v>14106761</v>
      </c>
      <c r="D39" s="253">
        <f>'Distrib pivot table'!L$72</f>
        <v>5237091</v>
      </c>
      <c r="E39" s="247">
        <f>'Distrib pivot table'!L$80</f>
        <v>21273873</v>
      </c>
      <c r="F39" s="252">
        <f>'Distrib pivot table'!L$82</f>
        <v>5593893</v>
      </c>
      <c r="G39" s="252">
        <f>'Distrib pivot table'!L$78</f>
        <v>1737648</v>
      </c>
      <c r="H39" s="247">
        <f>'Distrib pivot table'!L$68</f>
        <v>0</v>
      </c>
      <c r="I39" s="253">
        <f>'Distrib pivot table'!L$71</f>
        <v>0</v>
      </c>
      <c r="J39" s="254">
        <f t="shared" si="4"/>
        <v>106025289</v>
      </c>
      <c r="K39" s="254">
        <f t="shared" si="5"/>
        <v>19700654</v>
      </c>
      <c r="L39" s="247">
        <f>'Distrib pivot table'!L$66</f>
        <v>0</v>
      </c>
      <c r="M39" s="268">
        <f t="shared" si="6"/>
        <v>132700682</v>
      </c>
      <c r="N39" s="247">
        <f>'Distrib pivot table'!L$86</f>
        <v>0</v>
      </c>
      <c r="O39" s="252">
        <f>'Distrib pivot table'!L$88</f>
        <v>0</v>
      </c>
      <c r="P39" s="252">
        <f>'Distrib pivot table'!L$84</f>
        <v>0</v>
      </c>
      <c r="Q39" s="259">
        <f>'Distrib pivot table'!L$92</f>
        <v>0</v>
      </c>
      <c r="R39" s="6">
        <f>'Distrib pivot table'!L$94</f>
        <v>0</v>
      </c>
      <c r="S39" s="252">
        <f>'Distrib pivot table'!L$90</f>
        <v>0</v>
      </c>
      <c r="T39" s="271">
        <f t="shared" si="7"/>
        <v>132700682</v>
      </c>
      <c r="AN39" s="6"/>
    </row>
    <row r="40" spans="1:40">
      <c r="A40" s="73" t="s">
        <v>455</v>
      </c>
      <c r="B40" s="252">
        <f>'Distrib pivot table'!M$74</f>
        <v>3633795</v>
      </c>
      <c r="C40" s="252">
        <f>'Distrib pivot table'!M$76</f>
        <v>12347167</v>
      </c>
      <c r="D40" s="252">
        <f>'Distrib pivot table'!M$72</f>
        <v>0</v>
      </c>
      <c r="E40" s="247">
        <f>'Distrib pivot table'!M$80</f>
        <v>223545</v>
      </c>
      <c r="F40" s="252">
        <f>'Distrib pivot table'!M$82</f>
        <v>3042842</v>
      </c>
      <c r="G40" s="252">
        <f>'Distrib pivot table'!M$78</f>
        <v>0</v>
      </c>
      <c r="H40" s="247">
        <f>'Distrib pivot table'!M$68</f>
        <v>0</v>
      </c>
      <c r="I40" s="253">
        <f>'Distrib pivot table'!M$71</f>
        <v>337194</v>
      </c>
      <c r="J40" s="254">
        <f t="shared" si="4"/>
        <v>3857340</v>
      </c>
      <c r="K40" s="254">
        <f t="shared" si="5"/>
        <v>15727203</v>
      </c>
      <c r="L40" s="247">
        <f>'Distrib pivot table'!M$66</f>
        <v>0</v>
      </c>
      <c r="M40" s="268">
        <f t="shared" si="6"/>
        <v>19584543</v>
      </c>
      <c r="N40" s="247">
        <f>'Distrib pivot table'!M$86</f>
        <v>697591.5</v>
      </c>
      <c r="O40" s="252">
        <f>'Distrib pivot table'!M$88</f>
        <v>6441844.4000000004</v>
      </c>
      <c r="P40" s="252">
        <f>'Distrib pivot table'!M$84</f>
        <v>0</v>
      </c>
      <c r="Q40" s="259">
        <f>'Distrib pivot table'!M$92</f>
        <v>0</v>
      </c>
      <c r="R40" s="6">
        <f>'Distrib pivot table'!M$94</f>
        <v>0</v>
      </c>
      <c r="S40" s="252">
        <f>'Distrib pivot table'!M$90</f>
        <v>0</v>
      </c>
      <c r="T40" s="271">
        <f t="shared" si="7"/>
        <v>26723978.899999999</v>
      </c>
      <c r="AN40" s="6"/>
    </row>
    <row r="41" spans="1:40">
      <c r="A41" s="73" t="s">
        <v>456</v>
      </c>
      <c r="B41" s="252">
        <f>'Distrib pivot table'!N$74</f>
        <v>0</v>
      </c>
      <c r="C41" s="252">
        <f>'Distrib pivot table'!N$76</f>
        <v>0</v>
      </c>
      <c r="D41" s="253">
        <f>'Distrib pivot table'!N$72</f>
        <v>0</v>
      </c>
      <c r="E41" s="247">
        <f>'Distrib pivot table'!N$80</f>
        <v>0</v>
      </c>
      <c r="F41" s="252">
        <f>'Distrib pivot table'!N$82</f>
        <v>0</v>
      </c>
      <c r="G41" s="252">
        <f>'Distrib pivot table'!N$78</f>
        <v>0</v>
      </c>
      <c r="H41" s="247">
        <f>'Distrib pivot table'!N$68</f>
        <v>6725623</v>
      </c>
      <c r="I41" s="253">
        <f>'Distrib pivot table'!N$71</f>
        <v>16054981</v>
      </c>
      <c r="J41" s="254">
        <f t="shared" si="4"/>
        <v>6725623</v>
      </c>
      <c r="K41" s="254">
        <f t="shared" si="5"/>
        <v>16054981</v>
      </c>
      <c r="L41" s="247">
        <f>'Distrib pivot table'!N$66</f>
        <v>0</v>
      </c>
      <c r="M41" s="268">
        <f t="shared" si="6"/>
        <v>22780604</v>
      </c>
      <c r="N41" s="247">
        <f>'Distrib pivot table'!N$86</f>
        <v>134172278.5</v>
      </c>
      <c r="O41" s="252">
        <f>'Distrib pivot table'!N$88</f>
        <v>6575087</v>
      </c>
      <c r="P41" s="252">
        <f>'Distrib pivot table'!N$84</f>
        <v>0</v>
      </c>
      <c r="Q41" s="259">
        <f>'Distrib pivot table'!N$92</f>
        <v>44304452</v>
      </c>
      <c r="R41" s="6">
        <f>'Distrib pivot table'!N$94</f>
        <v>55237805.5</v>
      </c>
      <c r="S41" s="252">
        <f>'Distrib pivot table'!N$90</f>
        <v>0</v>
      </c>
      <c r="T41" s="271">
        <f t="shared" si="7"/>
        <v>263070227</v>
      </c>
      <c r="U41" s="429"/>
      <c r="AN41" s="6"/>
    </row>
    <row r="42" spans="1:40">
      <c r="A42" s="73" t="s">
        <v>463</v>
      </c>
      <c r="B42" s="252">
        <f>'Distrib pivot table'!O$74</f>
        <v>0</v>
      </c>
      <c r="C42" s="252">
        <f>'Distrib pivot table'!O$76</f>
        <v>0</v>
      </c>
      <c r="D42" s="253">
        <f>'Distrib pivot table'!O$72</f>
        <v>0</v>
      </c>
      <c r="E42" s="247">
        <f>'Distrib pivot table'!O$80</f>
        <v>0</v>
      </c>
      <c r="F42" s="252">
        <f>'Distrib pivot table'!O$82</f>
        <v>0</v>
      </c>
      <c r="G42" s="252">
        <f>'Distrib pivot table'!O$78</f>
        <v>0</v>
      </c>
      <c r="H42" s="247">
        <f>'Distrib pivot table'!O$68</f>
        <v>0</v>
      </c>
      <c r="I42" s="253">
        <f>'Distrib pivot table'!O$71</f>
        <v>0</v>
      </c>
      <c r="J42" s="254">
        <f t="shared" si="4"/>
        <v>0</v>
      </c>
      <c r="K42" s="254">
        <f t="shared" si="5"/>
        <v>0</v>
      </c>
      <c r="L42" s="247">
        <f>'Distrib pivot table'!O$66</f>
        <v>73867556</v>
      </c>
      <c r="M42" s="268">
        <f t="shared" si="6"/>
        <v>73867556</v>
      </c>
      <c r="N42" s="247">
        <f>'Distrib pivot table'!O$86</f>
        <v>0</v>
      </c>
      <c r="O42" s="252">
        <f>'Distrib pivot table'!O$88</f>
        <v>0</v>
      </c>
      <c r="P42" s="252">
        <f>'Distrib pivot table'!O$84</f>
        <v>0</v>
      </c>
      <c r="Q42" s="259">
        <f>'Distrib pivot table'!O$92</f>
        <v>0</v>
      </c>
      <c r="R42" s="6">
        <f>'Distrib pivot table'!O$94</f>
        <v>0</v>
      </c>
      <c r="S42" s="252">
        <f>'Distrib pivot table'!O$90</f>
        <v>3828751</v>
      </c>
      <c r="T42" s="271">
        <f t="shared" si="7"/>
        <v>77696307</v>
      </c>
      <c r="AN42" s="6"/>
    </row>
    <row r="43" spans="1:40">
      <c r="A43" s="73" t="s">
        <v>457</v>
      </c>
      <c r="B43" s="252">
        <f>'Distrib pivot table'!P$74</f>
        <v>19862906.429579724</v>
      </c>
      <c r="C43" s="252">
        <f>'Distrib pivot table'!P$76</f>
        <v>211058426.50903538</v>
      </c>
      <c r="D43" s="253">
        <f>'Distrib pivot table'!P$72</f>
        <v>0</v>
      </c>
      <c r="E43" s="247">
        <f>'Distrib pivot table'!P$80</f>
        <v>5268659.5704202773</v>
      </c>
      <c r="F43" s="252">
        <f>'Distrib pivot table'!P$82</f>
        <v>42331276.490964636</v>
      </c>
      <c r="G43" s="252">
        <f>'Distrib pivot table'!P$78</f>
        <v>0</v>
      </c>
      <c r="H43" s="247">
        <f>'Distrib pivot table'!P$68</f>
        <v>0</v>
      </c>
      <c r="I43" s="253">
        <f>'Distrib pivot table'!P$71</f>
        <v>1700000</v>
      </c>
      <c r="J43" s="254">
        <f t="shared" si="4"/>
        <v>25131566</v>
      </c>
      <c r="K43" s="254">
        <f t="shared" si="5"/>
        <v>255089703</v>
      </c>
      <c r="L43" s="247">
        <f>'Distrib pivot table'!P$66</f>
        <v>0</v>
      </c>
      <c r="M43" s="268">
        <f t="shared" si="6"/>
        <v>280221269</v>
      </c>
      <c r="N43" s="247">
        <f>'Distrib pivot table'!P$86</f>
        <v>0</v>
      </c>
      <c r="O43" s="252">
        <f>'Distrib pivot table'!P$88</f>
        <v>0</v>
      </c>
      <c r="P43" s="252">
        <f>'Distrib pivot table'!P$84</f>
        <v>0</v>
      </c>
      <c r="Q43" s="259">
        <f>'Distrib pivot table'!P$92</f>
        <v>29536855</v>
      </c>
      <c r="R43" s="6">
        <f>'Distrib pivot table'!P$94</f>
        <v>0</v>
      </c>
      <c r="S43" s="252">
        <f>'Distrib pivot table'!P$90</f>
        <v>0</v>
      </c>
      <c r="T43" s="271">
        <f t="shared" si="7"/>
        <v>309758124</v>
      </c>
      <c r="AN43" s="6"/>
    </row>
    <row r="44" spans="1:40">
      <c r="A44" s="73" t="s">
        <v>130</v>
      </c>
      <c r="B44" s="252">
        <f>'Distrib pivot table'!Q$74</f>
        <v>98861027</v>
      </c>
      <c r="C44" s="252">
        <f>'Distrib pivot table'!Q$76</f>
        <v>162616383</v>
      </c>
      <c r="D44" s="253">
        <f>'Distrib pivot table'!Q$72</f>
        <v>0</v>
      </c>
      <c r="E44" s="247">
        <f>'Distrib pivot table'!Q$80</f>
        <v>41142203</v>
      </c>
      <c r="F44" s="252">
        <f>'Distrib pivot table'!Q$82</f>
        <v>37920321</v>
      </c>
      <c r="G44" s="252">
        <f>'Distrib pivot table'!Q$78</f>
        <v>0</v>
      </c>
      <c r="H44" s="247">
        <f>'Distrib pivot table'!Q$68</f>
        <v>0</v>
      </c>
      <c r="I44" s="253">
        <f>'Distrib pivot table'!Q$71</f>
        <v>0</v>
      </c>
      <c r="J44" s="254">
        <f t="shared" si="4"/>
        <v>140003230</v>
      </c>
      <c r="K44" s="254">
        <f t="shared" si="5"/>
        <v>200536704</v>
      </c>
      <c r="L44" s="247">
        <f>'Distrib pivot table'!Q$66</f>
        <v>0</v>
      </c>
      <c r="M44" s="268">
        <f t="shared" si="6"/>
        <v>340539934</v>
      </c>
      <c r="N44" s="247">
        <f>'Distrib pivot table'!Q$86</f>
        <v>0</v>
      </c>
      <c r="O44" s="252">
        <f>'Distrib pivot table'!Q$88</f>
        <v>0</v>
      </c>
      <c r="P44" s="252">
        <f>'Distrib pivot table'!Q$84</f>
        <v>0</v>
      </c>
      <c r="Q44" s="259">
        <f>'Distrib pivot table'!Q$92</f>
        <v>0</v>
      </c>
      <c r="R44" s="6">
        <f>'Distrib pivot table'!Q$94</f>
        <v>0</v>
      </c>
      <c r="S44" s="252">
        <f>'Distrib pivot table'!Q$90</f>
        <v>0</v>
      </c>
      <c r="T44" s="271">
        <f t="shared" si="7"/>
        <v>340539934</v>
      </c>
      <c r="AN44" s="6"/>
    </row>
    <row r="45" spans="1:40">
      <c r="A45" s="73" t="s">
        <v>458</v>
      </c>
      <c r="B45" s="252">
        <f>'Distrib pivot table'!R$74</f>
        <v>0</v>
      </c>
      <c r="C45" s="252">
        <f>'Distrib pivot table'!R$76</f>
        <v>0</v>
      </c>
      <c r="D45" s="253">
        <f>'Distrib pivot table'!R$72</f>
        <v>0</v>
      </c>
      <c r="E45" s="247">
        <f>'Distrib pivot table'!R$80</f>
        <v>0</v>
      </c>
      <c r="F45" s="252">
        <f>'Distrib pivot table'!R$82</f>
        <v>0</v>
      </c>
      <c r="G45" s="252">
        <f>'Distrib pivot table'!R$78</f>
        <v>0</v>
      </c>
      <c r="H45" s="247">
        <f>'Distrib pivot table'!R$68</f>
        <v>0</v>
      </c>
      <c r="I45" s="253">
        <f>'Distrib pivot table'!R$71</f>
        <v>29000000</v>
      </c>
      <c r="J45" s="254">
        <f t="shared" si="4"/>
        <v>0</v>
      </c>
      <c r="K45" s="254">
        <f t="shared" si="5"/>
        <v>29000000</v>
      </c>
      <c r="L45" s="247">
        <f>'Distrib pivot table'!R$66</f>
        <v>486850376</v>
      </c>
      <c r="M45" s="268">
        <f t="shared" si="6"/>
        <v>515850376</v>
      </c>
      <c r="N45" s="247">
        <f>'Distrib pivot table'!R$86</f>
        <v>0</v>
      </c>
      <c r="O45" s="252">
        <f>'Distrib pivot table'!R$88</f>
        <v>0</v>
      </c>
      <c r="P45" s="252">
        <f>'Distrib pivot table'!R$84</f>
        <v>0</v>
      </c>
      <c r="Q45" s="259">
        <f>'Distrib pivot table'!R$92</f>
        <v>0</v>
      </c>
      <c r="R45" s="6">
        <f>'Distrib pivot table'!R$94</f>
        <v>0</v>
      </c>
      <c r="S45" s="265">
        <f>'Distrib pivot table'!R$90</f>
        <v>0</v>
      </c>
      <c r="T45" s="271">
        <f t="shared" si="7"/>
        <v>515850376</v>
      </c>
      <c r="AN45" s="6"/>
    </row>
    <row r="46" spans="1:40">
      <c r="A46" s="73" t="s">
        <v>459</v>
      </c>
      <c r="B46" s="252">
        <f>'Distrib pivot table'!S$74</f>
        <v>3372105</v>
      </c>
      <c r="C46" s="252">
        <f>'Distrib pivot table'!S$76</f>
        <v>1000000</v>
      </c>
      <c r="D46" s="253">
        <f>'Distrib pivot table'!S$72</f>
        <v>0</v>
      </c>
      <c r="E46" s="247">
        <f>'Distrib pivot table'!S$80</f>
        <v>1041645</v>
      </c>
      <c r="F46" s="252">
        <f>'Distrib pivot table'!S$82</f>
        <v>0</v>
      </c>
      <c r="G46" s="252">
        <f>'Distrib pivot table'!S$78</f>
        <v>0</v>
      </c>
      <c r="H46" s="247">
        <f>'Distrib pivot table'!S$68</f>
        <v>0</v>
      </c>
      <c r="I46" s="253">
        <f>'Distrib pivot table'!S$71</f>
        <v>0</v>
      </c>
      <c r="J46" s="254">
        <f t="shared" si="4"/>
        <v>4413750</v>
      </c>
      <c r="K46" s="254">
        <f t="shared" si="5"/>
        <v>1000000</v>
      </c>
      <c r="L46" s="247">
        <f>'Distrib pivot table'!S$66</f>
        <v>0</v>
      </c>
      <c r="M46" s="268">
        <f t="shared" si="6"/>
        <v>5413750</v>
      </c>
      <c r="N46" s="247">
        <f>'Distrib pivot table'!S$86</f>
        <v>133218040</v>
      </c>
      <c r="O46" s="252">
        <f>'Distrib pivot table'!S$88</f>
        <v>12359822</v>
      </c>
      <c r="P46" s="252">
        <f>'Distrib pivot table'!S$84</f>
        <v>18000000</v>
      </c>
      <c r="Q46" s="259">
        <f>'Distrib pivot table'!S$92</f>
        <v>0</v>
      </c>
      <c r="R46" s="6">
        <f>'Distrib pivot table'!S$94</f>
        <v>63560614</v>
      </c>
      <c r="S46" s="265">
        <f>'Distrib pivot table'!S$90</f>
        <v>0</v>
      </c>
      <c r="T46" s="271">
        <f t="shared" si="7"/>
        <v>232552226</v>
      </c>
      <c r="AN46" s="6"/>
    </row>
    <row r="47" spans="1:40">
      <c r="A47" s="74" t="s">
        <v>464</v>
      </c>
      <c r="B47" s="256">
        <f>'Distrib pivot table'!T$74</f>
        <v>34590801</v>
      </c>
      <c r="C47" s="256">
        <f>'Distrib pivot table'!T$76</f>
        <v>41078491</v>
      </c>
      <c r="D47" s="257">
        <f>'Distrib pivot table'!T$72</f>
        <v>0</v>
      </c>
      <c r="E47" s="255">
        <f>'Distrib pivot table'!T$80</f>
        <v>4226566</v>
      </c>
      <c r="F47" s="256">
        <f>'Distrib pivot table'!T$82</f>
        <v>4431071</v>
      </c>
      <c r="G47" s="256">
        <f>'Distrib pivot table'!T$78</f>
        <v>0</v>
      </c>
      <c r="H47" s="255">
        <f>'Distrib pivot table'!T$68</f>
        <v>0</v>
      </c>
      <c r="I47" s="257">
        <f>'Distrib pivot table'!T$71</f>
        <v>0</v>
      </c>
      <c r="J47" s="258">
        <f t="shared" si="4"/>
        <v>38817367</v>
      </c>
      <c r="K47" s="258">
        <f t="shared" si="5"/>
        <v>45509562</v>
      </c>
      <c r="L47" s="255">
        <f>'Distrib pivot table'!T$66</f>
        <v>0</v>
      </c>
      <c r="M47" s="269">
        <f t="shared" si="6"/>
        <v>84326929</v>
      </c>
      <c r="N47" s="255">
        <f>'Distrib pivot table'!T$86</f>
        <v>0</v>
      </c>
      <c r="O47" s="256">
        <f>'Distrib pivot table'!T$88</f>
        <v>0</v>
      </c>
      <c r="P47" s="256">
        <f>'Distrib pivot table'!T$84</f>
        <v>0</v>
      </c>
      <c r="Q47" s="262">
        <f>'Distrib pivot table'!T$92</f>
        <v>0</v>
      </c>
      <c r="R47" s="8">
        <f>'Distrib pivot table'!T$94</f>
        <v>0</v>
      </c>
      <c r="S47" s="266">
        <f>'Distrib pivot table'!T$90</f>
        <v>0</v>
      </c>
      <c r="T47" s="272">
        <f t="shared" si="7"/>
        <v>84326929</v>
      </c>
      <c r="AN47" s="6"/>
    </row>
    <row r="48" spans="1:40" ht="24" customHeight="1">
      <c r="A48" s="99"/>
      <c r="B48" s="75"/>
      <c r="C48" s="75"/>
      <c r="D48" s="75"/>
      <c r="E48" s="75"/>
      <c r="F48" s="75"/>
      <c r="G48" s="75"/>
      <c r="H48" s="75"/>
      <c r="I48" s="75"/>
      <c r="J48" s="75"/>
      <c r="K48" s="75"/>
      <c r="L48" s="75"/>
      <c r="M48" s="75"/>
      <c r="N48" s="107"/>
      <c r="O48" s="107"/>
      <c r="P48" s="107"/>
      <c r="S48" s="107"/>
      <c r="AN48" s="6"/>
    </row>
    <row r="49" spans="1:19" ht="24" customHeight="1">
      <c r="A49" s="298" t="s">
        <v>548</v>
      </c>
      <c r="B49" s="75"/>
      <c r="C49" s="75"/>
      <c r="D49" s="75"/>
      <c r="E49" s="75"/>
      <c r="F49" s="75"/>
      <c r="G49" s="75"/>
      <c r="H49" s="75"/>
      <c r="I49" s="75"/>
      <c r="J49" s="104"/>
      <c r="K49" s="75"/>
      <c r="L49" s="75"/>
      <c r="M49" s="75"/>
      <c r="N49" s="75"/>
      <c r="O49" s="75"/>
      <c r="P49" s="75"/>
      <c r="Q49" s="75"/>
      <c r="R49" s="75"/>
      <c r="S49" s="75"/>
    </row>
    <row r="50" spans="1:19" ht="26.25" customHeight="1">
      <c r="A50" s="95"/>
      <c r="B50" s="237" t="s">
        <v>101</v>
      </c>
      <c r="C50" s="237"/>
      <c r="D50" s="237"/>
      <c r="E50" s="236" t="s">
        <v>103</v>
      </c>
      <c r="F50" s="237"/>
      <c r="G50" s="237"/>
      <c r="H50" s="236" t="s">
        <v>71</v>
      </c>
      <c r="I50" s="238"/>
      <c r="J50" s="261" t="s">
        <v>131</v>
      </c>
      <c r="K50" s="275"/>
      <c r="L50" s="75"/>
      <c r="M50" s="75"/>
      <c r="N50" s="75"/>
      <c r="O50" s="75"/>
      <c r="P50" s="75"/>
      <c r="Q50" s="75"/>
      <c r="R50" s="75"/>
      <c r="S50" s="75"/>
    </row>
    <row r="51" spans="1:19" ht="57" customHeight="1">
      <c r="A51" s="50"/>
      <c r="B51" s="51" t="s">
        <v>99</v>
      </c>
      <c r="C51" s="52" t="s">
        <v>100</v>
      </c>
      <c r="D51" s="52" t="s">
        <v>62</v>
      </c>
      <c r="E51" s="53" t="s">
        <v>99</v>
      </c>
      <c r="F51" s="52" t="s">
        <v>100</v>
      </c>
      <c r="G51" s="52" t="s">
        <v>62</v>
      </c>
      <c r="H51" s="53" t="s">
        <v>99</v>
      </c>
      <c r="I51" s="239" t="s">
        <v>100</v>
      </c>
      <c r="J51" s="281" t="s">
        <v>63</v>
      </c>
      <c r="K51" s="273" t="s">
        <v>467</v>
      </c>
      <c r="L51" s="293"/>
      <c r="M51" s="75"/>
      <c r="N51" s="75"/>
      <c r="O51" s="75"/>
      <c r="P51" s="75"/>
      <c r="Q51" s="75"/>
      <c r="R51" s="75"/>
      <c r="S51" s="75"/>
    </row>
    <row r="52" spans="1:19" ht="24" customHeight="1">
      <c r="A52" s="73" t="s">
        <v>64</v>
      </c>
      <c r="B52" s="277">
        <f t="shared" ref="B52:G52" si="8">+B6+N6</f>
        <v>714937668</v>
      </c>
      <c r="C52" s="277">
        <f t="shared" si="8"/>
        <v>1338059798</v>
      </c>
      <c r="D52" s="276">
        <f t="shared" si="8"/>
        <v>1203145</v>
      </c>
      <c r="E52" s="277">
        <f t="shared" si="8"/>
        <v>227838954</v>
      </c>
      <c r="F52" s="277">
        <f t="shared" si="8"/>
        <v>379976672</v>
      </c>
      <c r="G52" s="276">
        <f t="shared" si="8"/>
        <v>3867251</v>
      </c>
      <c r="H52" s="277">
        <f>+H6</f>
        <v>11693942</v>
      </c>
      <c r="I52" s="276">
        <f>+I6</f>
        <v>389796335</v>
      </c>
      <c r="J52" s="276">
        <f>+L6</f>
        <v>543130888</v>
      </c>
      <c r="K52" s="277">
        <f>SUM(B52:J52)</f>
        <v>3610504653</v>
      </c>
      <c r="L52" s="73" t="s">
        <v>64</v>
      </c>
      <c r="M52" s="75"/>
      <c r="N52" s="75"/>
      <c r="O52" s="75"/>
      <c r="P52" s="75"/>
      <c r="Q52" s="75"/>
      <c r="R52" s="75"/>
      <c r="S52" s="75"/>
    </row>
    <row r="53" spans="1:19" ht="9" customHeight="1">
      <c r="A53" s="73"/>
      <c r="B53" s="274"/>
      <c r="C53" s="274"/>
      <c r="D53" s="279"/>
      <c r="E53" s="274"/>
      <c r="F53" s="274"/>
      <c r="G53" s="279"/>
      <c r="H53" s="274"/>
      <c r="I53" s="279"/>
      <c r="J53" s="279"/>
      <c r="K53" s="274"/>
      <c r="L53" s="73"/>
      <c r="M53" s="75"/>
      <c r="N53" s="75"/>
      <c r="O53" s="75"/>
      <c r="P53" s="75"/>
      <c r="Q53" s="75"/>
      <c r="R53" s="75"/>
      <c r="S53" s="75"/>
    </row>
    <row r="54" spans="1:19">
      <c r="A54" s="73" t="s">
        <v>452</v>
      </c>
      <c r="B54" s="274">
        <f t="shared" ref="B54:B69" si="9">+B8+N8</f>
        <v>2220461</v>
      </c>
      <c r="C54" s="274">
        <f t="shared" ref="C54:C69" si="10">+C8+O8</f>
        <v>39248119</v>
      </c>
      <c r="D54" s="279">
        <f t="shared" ref="D54:D69" si="11">+D8+P8</f>
        <v>0</v>
      </c>
      <c r="E54" s="274">
        <f t="shared" ref="E54:E69" si="12">+E8+Q8</f>
        <v>531607</v>
      </c>
      <c r="F54" s="274">
        <f t="shared" ref="F54:F69" si="13">+F8+R8</f>
        <v>2261664</v>
      </c>
      <c r="G54" s="279">
        <f t="shared" ref="G54:G69" si="14">+G8+S8</f>
        <v>0</v>
      </c>
      <c r="H54" s="274">
        <f t="shared" ref="H54:I69" si="15">+H8</f>
        <v>10316</v>
      </c>
      <c r="I54" s="279">
        <f t="shared" si="15"/>
        <v>1673820</v>
      </c>
      <c r="J54" s="279">
        <f t="shared" ref="J54:J69" si="16">+L8</f>
        <v>0</v>
      </c>
      <c r="K54" s="274">
        <f>SUM(B54:J54)</f>
        <v>45945987</v>
      </c>
      <c r="L54" s="73" t="s">
        <v>452</v>
      </c>
    </row>
    <row r="55" spans="1:19">
      <c r="A55" s="73" t="s">
        <v>466</v>
      </c>
      <c r="B55" s="274">
        <f t="shared" si="9"/>
        <v>13900000</v>
      </c>
      <c r="C55" s="274">
        <f t="shared" si="10"/>
        <v>121815000</v>
      </c>
      <c r="D55" s="279">
        <f t="shared" si="11"/>
        <v>0</v>
      </c>
      <c r="E55" s="274">
        <f t="shared" si="12"/>
        <v>1350000</v>
      </c>
      <c r="F55" s="274">
        <f t="shared" si="13"/>
        <v>17325000</v>
      </c>
      <c r="G55" s="279">
        <f t="shared" si="14"/>
        <v>0</v>
      </c>
      <c r="H55" s="274">
        <f t="shared" si="15"/>
        <v>0</v>
      </c>
      <c r="I55" s="279">
        <f t="shared" si="15"/>
        <v>200000</v>
      </c>
      <c r="J55" s="279">
        <f t="shared" si="16"/>
        <v>0</v>
      </c>
      <c r="K55" s="274">
        <f t="shared" ref="K55:K69" si="17">SUM(B55:J55)</f>
        <v>154590000</v>
      </c>
      <c r="L55" s="73" t="s">
        <v>466</v>
      </c>
    </row>
    <row r="56" spans="1:19">
      <c r="A56" s="73" t="s">
        <v>453</v>
      </c>
      <c r="B56" s="274">
        <f>+B10+N10</f>
        <v>133493</v>
      </c>
      <c r="C56" s="274">
        <f t="shared" si="10"/>
        <v>1050419</v>
      </c>
      <c r="D56" s="279">
        <f t="shared" si="11"/>
        <v>0</v>
      </c>
      <c r="E56" s="274">
        <f t="shared" si="12"/>
        <v>395570</v>
      </c>
      <c r="F56" s="274">
        <f t="shared" si="13"/>
        <v>512414</v>
      </c>
      <c r="G56" s="279">
        <f t="shared" si="14"/>
        <v>0</v>
      </c>
      <c r="H56" s="274">
        <f t="shared" si="15"/>
        <v>7500</v>
      </c>
      <c r="I56" s="279">
        <f t="shared" si="15"/>
        <v>20000</v>
      </c>
      <c r="J56" s="279">
        <f t="shared" si="16"/>
        <v>1700473</v>
      </c>
      <c r="K56" s="274">
        <f t="shared" si="17"/>
        <v>3819869</v>
      </c>
      <c r="L56" s="73" t="s">
        <v>453</v>
      </c>
    </row>
    <row r="57" spans="1:19">
      <c r="A57" s="73" t="s">
        <v>460</v>
      </c>
      <c r="B57" s="274">
        <f t="shared" si="9"/>
        <v>100350612</v>
      </c>
      <c r="C57" s="274">
        <f t="shared" si="10"/>
        <v>1259124</v>
      </c>
      <c r="D57" s="279">
        <f t="shared" si="11"/>
        <v>0</v>
      </c>
      <c r="E57" s="274">
        <f t="shared" si="12"/>
        <v>27792261</v>
      </c>
      <c r="F57" s="274">
        <f t="shared" si="13"/>
        <v>60644855</v>
      </c>
      <c r="G57" s="279">
        <f t="shared" si="14"/>
        <v>0</v>
      </c>
      <c r="H57" s="274">
        <f t="shared" si="15"/>
        <v>4736983</v>
      </c>
      <c r="I57" s="279">
        <f t="shared" si="15"/>
        <v>340810340</v>
      </c>
      <c r="J57" s="279">
        <f t="shared" si="16"/>
        <v>0</v>
      </c>
      <c r="K57" s="274">
        <f t="shared" si="17"/>
        <v>535594175</v>
      </c>
      <c r="L57" s="73" t="s">
        <v>460</v>
      </c>
    </row>
    <row r="58" spans="1:19">
      <c r="A58" s="73" t="s">
        <v>461</v>
      </c>
      <c r="B58" s="274">
        <f t="shared" si="9"/>
        <v>0</v>
      </c>
      <c r="C58" s="274">
        <f t="shared" si="10"/>
        <v>474882114</v>
      </c>
      <c r="D58" s="279">
        <f t="shared" si="11"/>
        <v>0</v>
      </c>
      <c r="E58" s="274">
        <f t="shared" si="12"/>
        <v>0</v>
      </c>
      <c r="F58" s="274">
        <f t="shared" si="13"/>
        <v>61110841</v>
      </c>
      <c r="G58" s="279">
        <f t="shared" si="14"/>
        <v>0</v>
      </c>
      <c r="H58" s="274">
        <f t="shared" si="15"/>
        <v>0</v>
      </c>
      <c r="I58" s="279">
        <f t="shared" si="15"/>
        <v>0</v>
      </c>
      <c r="J58" s="279">
        <f t="shared" si="16"/>
        <v>0</v>
      </c>
      <c r="K58" s="274">
        <f t="shared" si="17"/>
        <v>535992955</v>
      </c>
      <c r="L58" s="73" t="s">
        <v>461</v>
      </c>
    </row>
    <row r="59" spans="1:19">
      <c r="A59" s="73" t="s">
        <v>454</v>
      </c>
      <c r="B59" s="274">
        <f t="shared" si="9"/>
        <v>46516961</v>
      </c>
      <c r="C59" s="274">
        <f t="shared" si="10"/>
        <v>75975729</v>
      </c>
      <c r="D59" s="279">
        <f t="shared" si="11"/>
        <v>0</v>
      </c>
      <c r="E59" s="274">
        <f t="shared" si="12"/>
        <v>49167377</v>
      </c>
      <c r="F59" s="274">
        <f t="shared" si="13"/>
        <v>18251899</v>
      </c>
      <c r="G59" s="279">
        <f t="shared" si="14"/>
        <v>0</v>
      </c>
      <c r="H59" s="274">
        <f t="shared" si="15"/>
        <v>0</v>
      </c>
      <c r="I59" s="279">
        <f t="shared" si="15"/>
        <v>0</v>
      </c>
      <c r="J59" s="279">
        <f t="shared" si="16"/>
        <v>0</v>
      </c>
      <c r="K59" s="274">
        <f t="shared" si="17"/>
        <v>189911966</v>
      </c>
      <c r="L59" s="73" t="s">
        <v>454</v>
      </c>
    </row>
    <row r="60" spans="1:19">
      <c r="A60" s="73" t="s">
        <v>316</v>
      </c>
      <c r="B60" s="274">
        <f t="shared" si="9"/>
        <v>23843765</v>
      </c>
      <c r="C60" s="274">
        <f t="shared" si="10"/>
        <v>139604898</v>
      </c>
      <c r="D60" s="279">
        <f t="shared" si="11"/>
        <v>0</v>
      </c>
      <c r="E60" s="274">
        <f t="shared" si="12"/>
        <v>2305340</v>
      </c>
      <c r="F60" s="274">
        <f t="shared" si="13"/>
        <v>11522079</v>
      </c>
      <c r="G60" s="279">
        <f t="shared" si="14"/>
        <v>0</v>
      </c>
      <c r="H60" s="274">
        <f t="shared" si="15"/>
        <v>0</v>
      </c>
      <c r="I60" s="279">
        <f t="shared" si="15"/>
        <v>0</v>
      </c>
      <c r="J60" s="279">
        <f t="shared" si="16"/>
        <v>0</v>
      </c>
      <c r="K60" s="274">
        <f t="shared" si="17"/>
        <v>177276082</v>
      </c>
      <c r="L60" s="73" t="s">
        <v>316</v>
      </c>
    </row>
    <row r="61" spans="1:19">
      <c r="A61" s="73" t="s">
        <v>465</v>
      </c>
      <c r="B61" s="274">
        <f t="shared" si="9"/>
        <v>62106921</v>
      </c>
      <c r="C61" s="274">
        <f t="shared" si="10"/>
        <v>11143996</v>
      </c>
      <c r="D61" s="279">
        <f t="shared" si="11"/>
        <v>0</v>
      </c>
      <c r="E61" s="274">
        <f t="shared" si="12"/>
        <v>14522900</v>
      </c>
      <c r="F61" s="274">
        <f t="shared" si="13"/>
        <v>2125384</v>
      </c>
      <c r="G61" s="279">
        <f t="shared" si="14"/>
        <v>288500</v>
      </c>
      <c r="H61" s="274">
        <f t="shared" si="15"/>
        <v>0</v>
      </c>
      <c r="I61" s="279">
        <f t="shared" si="15"/>
        <v>0</v>
      </c>
      <c r="J61" s="279">
        <f t="shared" si="16"/>
        <v>0</v>
      </c>
      <c r="K61" s="274">
        <f t="shared" si="17"/>
        <v>90187701</v>
      </c>
      <c r="L61" s="73" t="s">
        <v>465</v>
      </c>
    </row>
    <row r="62" spans="1:19">
      <c r="A62" s="73" t="s">
        <v>455</v>
      </c>
      <c r="B62" s="274">
        <f t="shared" si="9"/>
        <v>4751415</v>
      </c>
      <c r="C62" s="274">
        <f t="shared" si="10"/>
        <v>19384569</v>
      </c>
      <c r="D62" s="279">
        <f t="shared" si="11"/>
        <v>453145</v>
      </c>
      <c r="E62" s="274">
        <f t="shared" si="12"/>
        <v>378599</v>
      </c>
      <c r="F62" s="274">
        <f t="shared" si="13"/>
        <v>3012753</v>
      </c>
      <c r="G62" s="279">
        <f t="shared" si="14"/>
        <v>0</v>
      </c>
      <c r="H62" s="274">
        <f t="shared" si="15"/>
        <v>0</v>
      </c>
      <c r="I62" s="279">
        <f t="shared" si="15"/>
        <v>337194</v>
      </c>
      <c r="J62" s="279">
        <f t="shared" si="16"/>
        <v>0</v>
      </c>
      <c r="K62" s="274">
        <f t="shared" si="17"/>
        <v>28317675</v>
      </c>
      <c r="L62" s="73" t="s">
        <v>455</v>
      </c>
    </row>
    <row r="63" spans="1:19">
      <c r="A63" s="73" t="s">
        <v>456</v>
      </c>
      <c r="B63" s="274">
        <f t="shared" si="9"/>
        <v>163141858</v>
      </c>
      <c r="C63" s="274">
        <f t="shared" si="10"/>
        <v>6757282</v>
      </c>
      <c r="D63" s="279">
        <f t="shared" si="11"/>
        <v>0</v>
      </c>
      <c r="E63" s="274">
        <f t="shared" si="12"/>
        <v>45896963</v>
      </c>
      <c r="F63" s="274">
        <f t="shared" si="13"/>
        <v>58269681</v>
      </c>
      <c r="G63" s="279">
        <f t="shared" si="14"/>
        <v>0</v>
      </c>
      <c r="H63" s="274">
        <f t="shared" si="15"/>
        <v>6939143</v>
      </c>
      <c r="I63" s="279">
        <f t="shared" si="15"/>
        <v>16054981</v>
      </c>
      <c r="J63" s="279">
        <f t="shared" si="16"/>
        <v>0</v>
      </c>
      <c r="K63" s="274">
        <f t="shared" si="17"/>
        <v>297059908</v>
      </c>
      <c r="L63" s="73" t="s">
        <v>456</v>
      </c>
    </row>
    <row r="64" spans="1:19">
      <c r="A64" s="73" t="s">
        <v>463</v>
      </c>
      <c r="B64" s="274">
        <f t="shared" si="9"/>
        <v>0</v>
      </c>
      <c r="C64" s="274">
        <f t="shared" si="10"/>
        <v>0</v>
      </c>
      <c r="D64" s="279">
        <f t="shared" si="11"/>
        <v>0</v>
      </c>
      <c r="E64" s="274">
        <f t="shared" si="12"/>
        <v>0</v>
      </c>
      <c r="F64" s="274">
        <f t="shared" si="13"/>
        <v>0</v>
      </c>
      <c r="G64" s="279">
        <f t="shared" si="14"/>
        <v>3578751</v>
      </c>
      <c r="H64" s="274">
        <f t="shared" si="15"/>
        <v>0</v>
      </c>
      <c r="I64" s="279">
        <f t="shared" si="15"/>
        <v>0</v>
      </c>
      <c r="J64" s="279">
        <f t="shared" si="16"/>
        <v>77100669</v>
      </c>
      <c r="K64" s="274">
        <f t="shared" si="17"/>
        <v>80679420</v>
      </c>
      <c r="L64" s="73" t="s">
        <v>463</v>
      </c>
    </row>
    <row r="65" spans="1:12">
      <c r="A65" s="73" t="s">
        <v>457</v>
      </c>
      <c r="B65" s="274">
        <f t="shared" si="9"/>
        <v>19187764</v>
      </c>
      <c r="C65" s="274">
        <f t="shared" si="10"/>
        <v>226444421</v>
      </c>
      <c r="D65" s="279">
        <f t="shared" si="11"/>
        <v>0</v>
      </c>
      <c r="E65" s="274">
        <f t="shared" si="12"/>
        <v>34004228</v>
      </c>
      <c r="F65" s="274">
        <f t="shared" si="13"/>
        <v>44224382</v>
      </c>
      <c r="G65" s="279">
        <f t="shared" si="14"/>
        <v>0</v>
      </c>
      <c r="H65" s="274">
        <f t="shared" si="15"/>
        <v>0</v>
      </c>
      <c r="I65" s="279">
        <f t="shared" si="15"/>
        <v>1700000</v>
      </c>
      <c r="J65" s="279">
        <f t="shared" si="16"/>
        <v>0</v>
      </c>
      <c r="K65" s="274">
        <f t="shared" si="17"/>
        <v>325560795</v>
      </c>
      <c r="L65" s="73" t="s">
        <v>457</v>
      </c>
    </row>
    <row r="66" spans="1:12">
      <c r="A66" s="73" t="s">
        <v>130</v>
      </c>
      <c r="B66" s="274">
        <f t="shared" si="9"/>
        <v>109647988</v>
      </c>
      <c r="C66" s="274">
        <f t="shared" si="10"/>
        <v>163467430</v>
      </c>
      <c r="D66" s="279">
        <f t="shared" si="11"/>
        <v>0</v>
      </c>
      <c r="E66" s="274">
        <f t="shared" si="12"/>
        <v>43977224</v>
      </c>
      <c r="F66" s="274">
        <f t="shared" si="13"/>
        <v>38830369</v>
      </c>
      <c r="G66" s="279">
        <f t="shared" si="14"/>
        <v>0</v>
      </c>
      <c r="H66" s="274">
        <f t="shared" si="15"/>
        <v>0</v>
      </c>
      <c r="I66" s="279">
        <f t="shared" si="15"/>
        <v>0</v>
      </c>
      <c r="J66" s="279">
        <f t="shared" si="16"/>
        <v>0</v>
      </c>
      <c r="K66" s="274">
        <f t="shared" si="17"/>
        <v>355923011</v>
      </c>
      <c r="L66" s="73" t="s">
        <v>130</v>
      </c>
    </row>
    <row r="67" spans="1:12">
      <c r="A67" s="73" t="s">
        <v>458</v>
      </c>
      <c r="B67" s="274">
        <f t="shared" si="9"/>
        <v>0</v>
      </c>
      <c r="C67" s="274">
        <f t="shared" si="10"/>
        <v>0</v>
      </c>
      <c r="D67" s="279">
        <f t="shared" si="11"/>
        <v>0</v>
      </c>
      <c r="E67" s="274">
        <f t="shared" si="12"/>
        <v>0</v>
      </c>
      <c r="F67" s="274">
        <f t="shared" si="13"/>
        <v>0</v>
      </c>
      <c r="G67" s="279">
        <f t="shared" si="14"/>
        <v>0</v>
      </c>
      <c r="H67" s="274">
        <f t="shared" si="15"/>
        <v>0</v>
      </c>
      <c r="I67" s="279">
        <f t="shared" si="15"/>
        <v>29000000</v>
      </c>
      <c r="J67" s="279">
        <f t="shared" si="16"/>
        <v>464329746</v>
      </c>
      <c r="K67" s="274">
        <f t="shared" si="17"/>
        <v>493329746</v>
      </c>
      <c r="L67" s="73" t="s">
        <v>458</v>
      </c>
    </row>
    <row r="68" spans="1:12">
      <c r="A68" s="73" t="s">
        <v>459</v>
      </c>
      <c r="B68" s="274">
        <f t="shared" si="9"/>
        <v>136740145</v>
      </c>
      <c r="C68" s="274">
        <f t="shared" si="10"/>
        <v>13359822</v>
      </c>
      <c r="D68" s="279">
        <f t="shared" si="11"/>
        <v>750000</v>
      </c>
      <c r="E68" s="274">
        <f t="shared" si="12"/>
        <v>1041645</v>
      </c>
      <c r="F68" s="274">
        <f t="shared" si="13"/>
        <v>56595403</v>
      </c>
      <c r="G68" s="279">
        <f t="shared" si="14"/>
        <v>0</v>
      </c>
      <c r="H68" s="274">
        <f t="shared" si="15"/>
        <v>0</v>
      </c>
      <c r="I68" s="279">
        <f t="shared" si="15"/>
        <v>0</v>
      </c>
      <c r="J68" s="279">
        <f t="shared" si="16"/>
        <v>0</v>
      </c>
      <c r="K68" s="274">
        <f t="shared" si="17"/>
        <v>208487015</v>
      </c>
      <c r="L68" s="73" t="s">
        <v>459</v>
      </c>
    </row>
    <row r="69" spans="1:12">
      <c r="A69" s="74" t="s">
        <v>464</v>
      </c>
      <c r="B69" s="278">
        <f t="shared" si="9"/>
        <v>32396285</v>
      </c>
      <c r="C69" s="278">
        <f t="shared" si="10"/>
        <v>43666875</v>
      </c>
      <c r="D69" s="280">
        <f t="shared" si="11"/>
        <v>0</v>
      </c>
      <c r="E69" s="278">
        <f t="shared" si="12"/>
        <v>6475240</v>
      </c>
      <c r="F69" s="278">
        <f t="shared" si="13"/>
        <v>5289948</v>
      </c>
      <c r="G69" s="280">
        <f t="shared" si="14"/>
        <v>0</v>
      </c>
      <c r="H69" s="278">
        <f t="shared" si="15"/>
        <v>0</v>
      </c>
      <c r="I69" s="280">
        <f t="shared" si="15"/>
        <v>0</v>
      </c>
      <c r="J69" s="280">
        <f t="shared" si="16"/>
        <v>0</v>
      </c>
      <c r="K69" s="278">
        <f t="shared" si="17"/>
        <v>87828348</v>
      </c>
      <c r="L69" s="74" t="s">
        <v>464</v>
      </c>
    </row>
    <row r="71" spans="1:12" ht="15.75">
      <c r="A71" s="298" t="s">
        <v>549</v>
      </c>
    </row>
    <row r="72" spans="1:12" ht="15.75">
      <c r="A72" s="95"/>
      <c r="B72" s="237" t="s">
        <v>101</v>
      </c>
      <c r="C72" s="237"/>
      <c r="D72" s="237"/>
      <c r="E72" s="236" t="s">
        <v>103</v>
      </c>
      <c r="F72" s="237"/>
      <c r="G72" s="237"/>
      <c r="H72" s="236" t="s">
        <v>104</v>
      </c>
      <c r="I72" s="238"/>
      <c r="J72" s="261" t="s">
        <v>131</v>
      </c>
      <c r="K72" s="275"/>
    </row>
    <row r="73" spans="1:12" ht="45">
      <c r="A73" s="50"/>
      <c r="B73" s="51" t="s">
        <v>99</v>
      </c>
      <c r="C73" s="52" t="s">
        <v>100</v>
      </c>
      <c r="D73" s="52" t="s">
        <v>62</v>
      </c>
      <c r="E73" s="53" t="s">
        <v>99</v>
      </c>
      <c r="F73" s="52" t="s">
        <v>100</v>
      </c>
      <c r="G73" s="52" t="s">
        <v>62</v>
      </c>
      <c r="H73" s="53" t="s">
        <v>99</v>
      </c>
      <c r="I73" s="239" t="s">
        <v>100</v>
      </c>
      <c r="J73" s="281" t="s">
        <v>63</v>
      </c>
      <c r="K73" s="273" t="s">
        <v>467</v>
      </c>
    </row>
    <row r="74" spans="1:12">
      <c r="A74" s="73" t="s">
        <v>64</v>
      </c>
      <c r="B74" s="277">
        <f t="shared" ref="B74:G74" si="18">+B30+N30</f>
        <v>708103131.42957973</v>
      </c>
      <c r="C74" s="277">
        <f t="shared" si="18"/>
        <v>1155068011.9090352</v>
      </c>
      <c r="D74" s="276">
        <f t="shared" si="18"/>
        <v>23237091</v>
      </c>
      <c r="E74" s="277">
        <f t="shared" si="18"/>
        <v>227793765.57042027</v>
      </c>
      <c r="F74" s="277">
        <f t="shared" si="18"/>
        <v>354822965.99096465</v>
      </c>
      <c r="G74" s="276">
        <f t="shared" si="18"/>
        <v>5566399</v>
      </c>
      <c r="H74" s="277">
        <f>+H30</f>
        <v>11650492</v>
      </c>
      <c r="I74" s="276">
        <f>+I30</f>
        <v>389796335</v>
      </c>
      <c r="J74" s="276">
        <f>+L30</f>
        <v>574213045</v>
      </c>
      <c r="K74" s="277">
        <f>SUM(B74:J74)</f>
        <v>3450251236.8999996</v>
      </c>
    </row>
    <row r="75" spans="1:12">
      <c r="A75" s="73"/>
      <c r="B75" s="274"/>
      <c r="C75" s="274"/>
      <c r="D75" s="279"/>
      <c r="E75" s="274"/>
      <c r="F75" s="274"/>
      <c r="G75" s="279"/>
      <c r="H75" s="274"/>
      <c r="I75" s="279"/>
      <c r="J75" s="279"/>
      <c r="K75" s="274"/>
    </row>
    <row r="76" spans="1:12">
      <c r="A76" s="73" t="s">
        <v>452</v>
      </c>
      <c r="B76" s="274">
        <f t="shared" ref="B76:B91" si="19">+B32+N32</f>
        <v>2246979</v>
      </c>
      <c r="C76" s="274">
        <f t="shared" ref="C76:C91" si="20">+C32+O32</f>
        <v>33263727</v>
      </c>
      <c r="D76" s="279">
        <f t="shared" ref="D76:D91" si="21">+D32+P32</f>
        <v>0</v>
      </c>
      <c r="E76" s="274">
        <f t="shared" ref="E76:E91" si="22">+E32+Q32</f>
        <v>548921</v>
      </c>
      <c r="F76" s="274">
        <f t="shared" ref="F76:F91" si="23">+F32+R32</f>
        <v>2336949</v>
      </c>
      <c r="G76" s="279">
        <f t="shared" ref="G76:G91" si="24">+G32+S32</f>
        <v>0</v>
      </c>
      <c r="H76" s="274">
        <f t="shared" ref="H76:I91" si="25">+H32</f>
        <v>10405</v>
      </c>
      <c r="I76" s="279">
        <f t="shared" si="25"/>
        <v>1673820</v>
      </c>
      <c r="J76" s="279">
        <f t="shared" ref="J76:J91" si="26">+L32</f>
        <v>0</v>
      </c>
      <c r="K76" s="274">
        <f t="shared" ref="K76:K91" si="27">SUM(B76:J76)</f>
        <v>40080801</v>
      </c>
    </row>
    <row r="77" spans="1:12">
      <c r="A77" s="73" t="s">
        <v>466</v>
      </c>
      <c r="B77" s="274">
        <f t="shared" si="19"/>
        <v>28282187</v>
      </c>
      <c r="C77" s="274">
        <f t="shared" si="20"/>
        <v>11808289</v>
      </c>
      <c r="D77" s="279">
        <f t="shared" si="21"/>
        <v>0</v>
      </c>
      <c r="E77" s="274">
        <f t="shared" si="22"/>
        <v>3241103</v>
      </c>
      <c r="F77" s="274">
        <f t="shared" si="23"/>
        <v>3464451</v>
      </c>
      <c r="G77" s="279">
        <f t="shared" si="24"/>
        <v>0</v>
      </c>
      <c r="H77" s="274">
        <f t="shared" si="25"/>
        <v>0</v>
      </c>
      <c r="I77" s="279">
        <f t="shared" si="25"/>
        <v>200000</v>
      </c>
      <c r="J77" s="279">
        <f t="shared" si="26"/>
        <v>0</v>
      </c>
      <c r="K77" s="274">
        <f t="shared" si="27"/>
        <v>46996030</v>
      </c>
    </row>
    <row r="78" spans="1:12">
      <c r="A78" s="73" t="s">
        <v>453</v>
      </c>
      <c r="B78" s="274">
        <f t="shared" si="19"/>
        <v>177181</v>
      </c>
      <c r="C78" s="274">
        <f t="shared" si="20"/>
        <v>1021135</v>
      </c>
      <c r="D78" s="279">
        <f t="shared" si="21"/>
        <v>0</v>
      </c>
      <c r="E78" s="274">
        <f t="shared" si="22"/>
        <v>390021</v>
      </c>
      <c r="F78" s="274">
        <f t="shared" si="23"/>
        <v>510676</v>
      </c>
      <c r="G78" s="279">
        <f t="shared" si="24"/>
        <v>0</v>
      </c>
      <c r="H78" s="274">
        <f t="shared" si="25"/>
        <v>7500</v>
      </c>
      <c r="I78" s="279">
        <f t="shared" si="25"/>
        <v>20000</v>
      </c>
      <c r="J78" s="279">
        <f t="shared" si="26"/>
        <v>2256226</v>
      </c>
      <c r="K78" s="274">
        <f t="shared" si="27"/>
        <v>4382739</v>
      </c>
    </row>
    <row r="79" spans="1:12">
      <c r="A79" s="73" t="s">
        <v>460</v>
      </c>
      <c r="B79" s="274">
        <f t="shared" si="19"/>
        <v>98546590</v>
      </c>
      <c r="C79" s="274">
        <f t="shared" si="20"/>
        <v>3823442</v>
      </c>
      <c r="D79" s="279">
        <f t="shared" si="21"/>
        <v>0</v>
      </c>
      <c r="E79" s="274">
        <f t="shared" si="22"/>
        <v>27313952</v>
      </c>
      <c r="F79" s="274">
        <f t="shared" si="23"/>
        <v>60853996</v>
      </c>
      <c r="G79" s="279">
        <f t="shared" si="24"/>
        <v>0</v>
      </c>
      <c r="H79" s="274">
        <f t="shared" si="25"/>
        <v>4906964</v>
      </c>
      <c r="I79" s="279">
        <f t="shared" si="25"/>
        <v>340810340</v>
      </c>
      <c r="J79" s="279">
        <f t="shared" si="26"/>
        <v>0</v>
      </c>
      <c r="K79" s="274">
        <f t="shared" si="27"/>
        <v>536255284</v>
      </c>
    </row>
    <row r="80" spans="1:12">
      <c r="A80" s="73" t="s">
        <v>461</v>
      </c>
      <c r="B80" s="274">
        <f t="shared" si="19"/>
        <v>0</v>
      </c>
      <c r="C80" s="274">
        <f t="shared" si="20"/>
        <v>439317982</v>
      </c>
      <c r="D80" s="279">
        <f t="shared" si="21"/>
        <v>0</v>
      </c>
      <c r="E80" s="274">
        <f t="shared" si="22"/>
        <v>0</v>
      </c>
      <c r="F80" s="274">
        <f t="shared" si="23"/>
        <v>47121337</v>
      </c>
      <c r="G80" s="279">
        <f t="shared" si="24"/>
        <v>0</v>
      </c>
      <c r="H80" s="274">
        <f t="shared" si="25"/>
        <v>0</v>
      </c>
      <c r="I80" s="279">
        <f t="shared" si="25"/>
        <v>0</v>
      </c>
      <c r="J80" s="279">
        <f t="shared" si="26"/>
        <v>11238887</v>
      </c>
      <c r="K80" s="274">
        <f t="shared" si="27"/>
        <v>497678206</v>
      </c>
    </row>
    <row r="81" spans="1:12">
      <c r="A81" s="73" t="s">
        <v>454</v>
      </c>
      <c r="B81" s="274">
        <f t="shared" si="19"/>
        <v>46211086</v>
      </c>
      <c r="C81" s="274">
        <f t="shared" si="20"/>
        <v>73506633</v>
      </c>
      <c r="D81" s="279">
        <f t="shared" si="21"/>
        <v>0</v>
      </c>
      <c r="E81" s="274">
        <f t="shared" si="22"/>
        <v>46851769</v>
      </c>
      <c r="F81" s="274">
        <f t="shared" si="23"/>
        <v>17827923</v>
      </c>
      <c r="G81" s="279">
        <f t="shared" si="24"/>
        <v>0</v>
      </c>
      <c r="H81" s="274">
        <f t="shared" si="25"/>
        <v>0</v>
      </c>
      <c r="I81" s="279">
        <f t="shared" si="25"/>
        <v>0</v>
      </c>
      <c r="J81" s="279">
        <f t="shared" si="26"/>
        <v>0</v>
      </c>
      <c r="K81" s="274">
        <f t="shared" si="27"/>
        <v>184397411</v>
      </c>
    </row>
    <row r="82" spans="1:12">
      <c r="A82" s="73" t="s">
        <v>316</v>
      </c>
      <c r="B82" s="274">
        <f t="shared" si="19"/>
        <v>19479148</v>
      </c>
      <c r="C82" s="274">
        <f t="shared" si="20"/>
        <v>124742822</v>
      </c>
      <c r="D82" s="279">
        <f t="shared" si="21"/>
        <v>0</v>
      </c>
      <c r="E82" s="274">
        <f t="shared" si="22"/>
        <v>2430201</v>
      </c>
      <c r="F82" s="274">
        <f t="shared" si="23"/>
        <v>10589811</v>
      </c>
      <c r="G82" s="279">
        <f t="shared" si="24"/>
        <v>0</v>
      </c>
      <c r="H82" s="274">
        <f t="shared" si="25"/>
        <v>0</v>
      </c>
      <c r="I82" s="279">
        <f t="shared" si="25"/>
        <v>0</v>
      </c>
      <c r="J82" s="279">
        <f t="shared" si="26"/>
        <v>0</v>
      </c>
      <c r="K82" s="274">
        <f t="shared" si="27"/>
        <v>157241982</v>
      </c>
    </row>
    <row r="83" spans="1:12">
      <c r="A83" s="73" t="s">
        <v>465</v>
      </c>
      <c r="B83" s="274">
        <f t="shared" si="19"/>
        <v>84751416</v>
      </c>
      <c r="C83" s="274">
        <f t="shared" si="20"/>
        <v>14106761</v>
      </c>
      <c r="D83" s="279">
        <f t="shared" si="21"/>
        <v>5237091</v>
      </c>
      <c r="E83" s="274">
        <f t="shared" si="22"/>
        <v>21273873</v>
      </c>
      <c r="F83" s="274">
        <f t="shared" si="23"/>
        <v>5593893</v>
      </c>
      <c r="G83" s="279">
        <f t="shared" si="24"/>
        <v>1737648</v>
      </c>
      <c r="H83" s="274">
        <f t="shared" si="25"/>
        <v>0</v>
      </c>
      <c r="I83" s="279">
        <f t="shared" si="25"/>
        <v>0</v>
      </c>
      <c r="J83" s="279">
        <f t="shared" si="26"/>
        <v>0</v>
      </c>
      <c r="K83" s="274">
        <f t="shared" si="27"/>
        <v>132700682</v>
      </c>
    </row>
    <row r="84" spans="1:12">
      <c r="A84" s="73" t="s">
        <v>455</v>
      </c>
      <c r="B84" s="274">
        <f t="shared" si="19"/>
        <v>4331386.5</v>
      </c>
      <c r="C84" s="274">
        <f t="shared" si="20"/>
        <v>18789011.399999999</v>
      </c>
      <c r="D84" s="279">
        <f t="shared" si="21"/>
        <v>0</v>
      </c>
      <c r="E84" s="274">
        <f t="shared" si="22"/>
        <v>223545</v>
      </c>
      <c r="F84" s="274">
        <f t="shared" si="23"/>
        <v>3042842</v>
      </c>
      <c r="G84" s="279">
        <f t="shared" si="24"/>
        <v>0</v>
      </c>
      <c r="H84" s="274">
        <f t="shared" si="25"/>
        <v>0</v>
      </c>
      <c r="I84" s="279">
        <f t="shared" si="25"/>
        <v>337194</v>
      </c>
      <c r="J84" s="279">
        <f t="shared" si="26"/>
        <v>0</v>
      </c>
      <c r="K84" s="274">
        <f t="shared" si="27"/>
        <v>26723978.899999999</v>
      </c>
    </row>
    <row r="85" spans="1:12">
      <c r="A85" s="73" t="s">
        <v>456</v>
      </c>
      <c r="B85" s="274">
        <f t="shared" si="19"/>
        <v>134172278.5</v>
      </c>
      <c r="C85" s="274">
        <f t="shared" si="20"/>
        <v>6575087</v>
      </c>
      <c r="D85" s="279">
        <f t="shared" si="21"/>
        <v>0</v>
      </c>
      <c r="E85" s="274">
        <f t="shared" si="22"/>
        <v>44304452</v>
      </c>
      <c r="F85" s="274">
        <f t="shared" si="23"/>
        <v>55237805.5</v>
      </c>
      <c r="G85" s="279">
        <f t="shared" si="24"/>
        <v>0</v>
      </c>
      <c r="H85" s="274">
        <f t="shared" si="25"/>
        <v>6725623</v>
      </c>
      <c r="I85" s="279">
        <f t="shared" si="25"/>
        <v>16054981</v>
      </c>
      <c r="J85" s="279">
        <f t="shared" si="26"/>
        <v>0</v>
      </c>
      <c r="K85" s="274">
        <f t="shared" si="27"/>
        <v>263070227</v>
      </c>
    </row>
    <row r="86" spans="1:12">
      <c r="A86" s="73" t="s">
        <v>463</v>
      </c>
      <c r="B86" s="274">
        <f t="shared" si="19"/>
        <v>0</v>
      </c>
      <c r="C86" s="274">
        <f t="shared" si="20"/>
        <v>0</v>
      </c>
      <c r="D86" s="279">
        <f t="shared" si="21"/>
        <v>0</v>
      </c>
      <c r="E86" s="274">
        <f t="shared" si="22"/>
        <v>0</v>
      </c>
      <c r="F86" s="274">
        <f t="shared" si="23"/>
        <v>0</v>
      </c>
      <c r="G86" s="279">
        <f t="shared" si="24"/>
        <v>3828751</v>
      </c>
      <c r="H86" s="274">
        <f t="shared" si="25"/>
        <v>0</v>
      </c>
      <c r="I86" s="279">
        <f t="shared" si="25"/>
        <v>0</v>
      </c>
      <c r="J86" s="279">
        <f t="shared" si="26"/>
        <v>73867556</v>
      </c>
      <c r="K86" s="274">
        <f t="shared" si="27"/>
        <v>77696307</v>
      </c>
    </row>
    <row r="87" spans="1:12">
      <c r="A87" s="73" t="s">
        <v>457</v>
      </c>
      <c r="B87" s="274">
        <f t="shared" si="19"/>
        <v>19862906.429579724</v>
      </c>
      <c r="C87" s="274">
        <f t="shared" si="20"/>
        <v>211058426.50903538</v>
      </c>
      <c r="D87" s="279">
        <f t="shared" si="21"/>
        <v>0</v>
      </c>
      <c r="E87" s="274">
        <f t="shared" si="22"/>
        <v>34805514.57042028</v>
      </c>
      <c r="F87" s="274">
        <f t="shared" si="23"/>
        <v>42331276.490964636</v>
      </c>
      <c r="G87" s="279">
        <f t="shared" si="24"/>
        <v>0</v>
      </c>
      <c r="H87" s="274">
        <f t="shared" si="25"/>
        <v>0</v>
      </c>
      <c r="I87" s="279">
        <f t="shared" si="25"/>
        <v>1700000</v>
      </c>
      <c r="J87" s="279">
        <f t="shared" si="26"/>
        <v>0</v>
      </c>
      <c r="K87" s="274">
        <f t="shared" si="27"/>
        <v>309758124.00000006</v>
      </c>
    </row>
    <row r="88" spans="1:12">
      <c r="A88" s="73" t="s">
        <v>130</v>
      </c>
      <c r="B88" s="274">
        <f t="shared" si="19"/>
        <v>98861027</v>
      </c>
      <c r="C88" s="274">
        <f t="shared" si="20"/>
        <v>162616383</v>
      </c>
      <c r="D88" s="279">
        <f t="shared" si="21"/>
        <v>0</v>
      </c>
      <c r="E88" s="274">
        <f t="shared" si="22"/>
        <v>41142203</v>
      </c>
      <c r="F88" s="274">
        <f t="shared" si="23"/>
        <v>37920321</v>
      </c>
      <c r="G88" s="279">
        <f t="shared" si="24"/>
        <v>0</v>
      </c>
      <c r="H88" s="274">
        <f t="shared" si="25"/>
        <v>0</v>
      </c>
      <c r="I88" s="279">
        <f t="shared" si="25"/>
        <v>0</v>
      </c>
      <c r="J88" s="279">
        <f t="shared" si="26"/>
        <v>0</v>
      </c>
      <c r="K88" s="274">
        <f t="shared" si="27"/>
        <v>340539934</v>
      </c>
    </row>
    <row r="89" spans="1:12">
      <c r="A89" s="73" t="s">
        <v>458</v>
      </c>
      <c r="B89" s="274">
        <f t="shared" si="19"/>
        <v>0</v>
      </c>
      <c r="C89" s="274">
        <f t="shared" si="20"/>
        <v>0</v>
      </c>
      <c r="D89" s="279">
        <f t="shared" si="21"/>
        <v>0</v>
      </c>
      <c r="E89" s="274">
        <f t="shared" si="22"/>
        <v>0</v>
      </c>
      <c r="F89" s="274">
        <f t="shared" si="23"/>
        <v>0</v>
      </c>
      <c r="G89" s="279">
        <f t="shared" si="24"/>
        <v>0</v>
      </c>
      <c r="H89" s="274">
        <f t="shared" si="25"/>
        <v>0</v>
      </c>
      <c r="I89" s="279">
        <f t="shared" si="25"/>
        <v>29000000</v>
      </c>
      <c r="J89" s="279">
        <f t="shared" si="26"/>
        <v>486850376</v>
      </c>
      <c r="K89" s="274">
        <f t="shared" si="27"/>
        <v>515850376</v>
      </c>
    </row>
    <row r="90" spans="1:12">
      <c r="A90" s="73" t="s">
        <v>459</v>
      </c>
      <c r="B90" s="274">
        <f t="shared" si="19"/>
        <v>136590145</v>
      </c>
      <c r="C90" s="274">
        <f t="shared" si="20"/>
        <v>13359822</v>
      </c>
      <c r="D90" s="279">
        <f t="shared" si="21"/>
        <v>18000000</v>
      </c>
      <c r="E90" s="274">
        <f t="shared" si="22"/>
        <v>1041645</v>
      </c>
      <c r="F90" s="274">
        <f t="shared" si="23"/>
        <v>63560614</v>
      </c>
      <c r="G90" s="279">
        <f t="shared" si="24"/>
        <v>0</v>
      </c>
      <c r="H90" s="274">
        <f t="shared" si="25"/>
        <v>0</v>
      </c>
      <c r="I90" s="279">
        <f t="shared" si="25"/>
        <v>0</v>
      </c>
      <c r="J90" s="279">
        <f t="shared" si="26"/>
        <v>0</v>
      </c>
      <c r="K90" s="274">
        <f t="shared" si="27"/>
        <v>232552226</v>
      </c>
    </row>
    <row r="91" spans="1:12">
      <c r="A91" s="74" t="s">
        <v>464</v>
      </c>
      <c r="B91" s="278">
        <f t="shared" si="19"/>
        <v>34590801</v>
      </c>
      <c r="C91" s="278">
        <f t="shared" si="20"/>
        <v>41078491</v>
      </c>
      <c r="D91" s="280">
        <f t="shared" si="21"/>
        <v>0</v>
      </c>
      <c r="E91" s="278">
        <f t="shared" si="22"/>
        <v>4226566</v>
      </c>
      <c r="F91" s="278">
        <f t="shared" si="23"/>
        <v>4431071</v>
      </c>
      <c r="G91" s="280">
        <f t="shared" si="24"/>
        <v>0</v>
      </c>
      <c r="H91" s="278">
        <f t="shared" si="25"/>
        <v>0</v>
      </c>
      <c r="I91" s="280">
        <f t="shared" si="25"/>
        <v>0</v>
      </c>
      <c r="J91" s="280">
        <f t="shared" si="26"/>
        <v>0</v>
      </c>
      <c r="K91" s="278">
        <f t="shared" si="27"/>
        <v>84326929</v>
      </c>
    </row>
    <row r="93" spans="1:12" ht="15.75">
      <c r="A93" s="95" t="s">
        <v>2012</v>
      </c>
    </row>
    <row r="94" spans="1:12" ht="33.75">
      <c r="A94" s="288"/>
      <c r="B94" s="53" t="s">
        <v>65</v>
      </c>
      <c r="C94" s="52" t="s">
        <v>66</v>
      </c>
      <c r="D94" s="52" t="s">
        <v>67</v>
      </c>
      <c r="E94" s="53" t="s">
        <v>68</v>
      </c>
      <c r="F94" s="52" t="s">
        <v>69</v>
      </c>
      <c r="G94" s="52" t="s">
        <v>70</v>
      </c>
      <c r="H94" s="53" t="s">
        <v>72</v>
      </c>
      <c r="I94" s="51" t="s">
        <v>73</v>
      </c>
      <c r="J94" s="236" t="s">
        <v>74</v>
      </c>
      <c r="K94" s="282" t="s">
        <v>467</v>
      </c>
    </row>
    <row r="95" spans="1:12">
      <c r="A95" s="73" t="s">
        <v>64</v>
      </c>
      <c r="B95" s="291">
        <f t="shared" ref="B95:K95" si="28">IF(B74&gt;0,(B52-B74)/B74,)</f>
        <v>9.6518942892147817E-3</v>
      </c>
      <c r="C95" s="284">
        <f t="shared" si="28"/>
        <v>0.15842511800541137</v>
      </c>
      <c r="D95" s="284">
        <f t="shared" si="28"/>
        <v>-0.94822308007486822</v>
      </c>
      <c r="E95" s="289">
        <f t="shared" si="28"/>
        <v>1.983743034695356E-4</v>
      </c>
      <c r="F95" s="283">
        <f t="shared" si="28"/>
        <v>7.0890862260803808E-2</v>
      </c>
      <c r="G95" s="290">
        <f t="shared" si="28"/>
        <v>-0.30525084529513608</v>
      </c>
      <c r="H95" s="284">
        <f t="shared" si="28"/>
        <v>3.7294562324063224E-3</v>
      </c>
      <c r="I95" s="284">
        <f t="shared" si="28"/>
        <v>0</v>
      </c>
      <c r="J95" s="294">
        <f t="shared" si="28"/>
        <v>-5.413000848839998E-2</v>
      </c>
      <c r="K95" s="297">
        <f t="shared" si="28"/>
        <v>4.6446883167843088E-2</v>
      </c>
      <c r="L95" s="73" t="s">
        <v>64</v>
      </c>
    </row>
    <row r="96" spans="1:12">
      <c r="A96" s="73"/>
      <c r="B96" s="291"/>
      <c r="C96" s="284"/>
      <c r="D96" s="285"/>
      <c r="E96" s="284"/>
      <c r="F96" s="284"/>
      <c r="G96" s="285"/>
      <c r="H96" s="284"/>
      <c r="I96" s="285"/>
      <c r="J96" s="295"/>
      <c r="K96" s="297"/>
      <c r="L96" s="73"/>
    </row>
    <row r="97" spans="1:12">
      <c r="A97" s="73" t="s">
        <v>452</v>
      </c>
      <c r="B97" s="291">
        <f t="shared" ref="B97:K97" si="29">IF(B76&gt;0,(B54-B76)/B76,)</f>
        <v>-1.1801623424161953E-2</v>
      </c>
      <c r="C97" s="284">
        <f t="shared" si="29"/>
        <v>0.17990744091905275</v>
      </c>
      <c r="D97" s="285">
        <f t="shared" si="29"/>
        <v>0</v>
      </c>
      <c r="E97" s="284">
        <f t="shared" si="29"/>
        <v>-3.1541879432559511E-2</v>
      </c>
      <c r="F97" s="284">
        <f t="shared" si="29"/>
        <v>-3.2215080431793761E-2</v>
      </c>
      <c r="G97" s="285">
        <f t="shared" si="29"/>
        <v>0</v>
      </c>
      <c r="H97" s="284">
        <f t="shared" si="29"/>
        <v>-8.5535800096107634E-3</v>
      </c>
      <c r="I97" s="285">
        <f t="shared" si="29"/>
        <v>0</v>
      </c>
      <c r="J97" s="295">
        <f t="shared" si="29"/>
        <v>0</v>
      </c>
      <c r="K97" s="297">
        <f t="shared" si="29"/>
        <v>0.14633405155750256</v>
      </c>
      <c r="L97" s="73" t="s">
        <v>452</v>
      </c>
    </row>
    <row r="98" spans="1:12">
      <c r="A98" s="73" t="s">
        <v>466</v>
      </c>
      <c r="B98" s="291">
        <f t="shared" ref="B98:K98" si="30">IF(B77&gt;0,(B55-B77)/B77,)</f>
        <v>-0.50852457060693357</v>
      </c>
      <c r="C98" s="284">
        <f t="shared" si="30"/>
        <v>9.3160584907771149</v>
      </c>
      <c r="D98" s="285">
        <f t="shared" si="30"/>
        <v>0</v>
      </c>
      <c r="E98" s="284">
        <f t="shared" si="30"/>
        <v>-0.58347513176841337</v>
      </c>
      <c r="F98" s="284">
        <f t="shared" si="30"/>
        <v>4.0007923333307351</v>
      </c>
      <c r="G98" s="285">
        <f t="shared" si="30"/>
        <v>0</v>
      </c>
      <c r="H98" s="284">
        <f t="shared" si="30"/>
        <v>0</v>
      </c>
      <c r="I98" s="285">
        <f t="shared" si="30"/>
        <v>0</v>
      </c>
      <c r="J98" s="295">
        <f t="shared" si="30"/>
        <v>0</v>
      </c>
      <c r="K98" s="297">
        <f t="shared" si="30"/>
        <v>2.2894267877520718</v>
      </c>
      <c r="L98" s="73" t="s">
        <v>466</v>
      </c>
    </row>
    <row r="99" spans="1:12">
      <c r="A99" s="73" t="s">
        <v>453</v>
      </c>
      <c r="B99" s="291">
        <f t="shared" ref="B99:K99" si="31">IF(B78&gt;0,(B56-B78)/B78,)</f>
        <v>-0.24657271377856543</v>
      </c>
      <c r="C99" s="284">
        <f t="shared" si="31"/>
        <v>2.8677892737003434E-2</v>
      </c>
      <c r="D99" s="285">
        <f t="shared" si="31"/>
        <v>0</v>
      </c>
      <c r="E99" s="284">
        <f t="shared" si="31"/>
        <v>1.4227439035333994E-2</v>
      </c>
      <c r="F99" s="284">
        <f t="shared" si="31"/>
        <v>3.4033320539833475E-3</v>
      </c>
      <c r="G99" s="285">
        <f t="shared" si="31"/>
        <v>0</v>
      </c>
      <c r="H99" s="284">
        <f t="shared" si="31"/>
        <v>0</v>
      </c>
      <c r="I99" s="285">
        <f t="shared" si="31"/>
        <v>0</v>
      </c>
      <c r="J99" s="295">
        <f t="shared" si="31"/>
        <v>-0.2463197392459798</v>
      </c>
      <c r="K99" s="297">
        <f t="shared" si="31"/>
        <v>-0.12842882042485304</v>
      </c>
      <c r="L99" s="73" t="s">
        <v>453</v>
      </c>
    </row>
    <row r="100" spans="1:12">
      <c r="A100" s="73" t="s">
        <v>460</v>
      </c>
      <c r="B100" s="291">
        <f t="shared" ref="B100:K100" si="32">IF(B79&gt;0,(B57-B79)/B79,)</f>
        <v>1.8306285382375991E-2</v>
      </c>
      <c r="C100" s="284">
        <f t="shared" si="32"/>
        <v>-0.67068311746327003</v>
      </c>
      <c r="D100" s="285">
        <f t="shared" si="32"/>
        <v>0</v>
      </c>
      <c r="E100" s="284">
        <f t="shared" si="32"/>
        <v>1.7511526709866079E-2</v>
      </c>
      <c r="F100" s="284">
        <f t="shared" si="32"/>
        <v>-3.4367669133839626E-3</v>
      </c>
      <c r="G100" s="285">
        <f t="shared" si="32"/>
        <v>0</v>
      </c>
      <c r="H100" s="284">
        <f t="shared" si="32"/>
        <v>-3.4640767692609931E-2</v>
      </c>
      <c r="I100" s="285">
        <f t="shared" si="32"/>
        <v>0</v>
      </c>
      <c r="J100" s="295">
        <f t="shared" si="32"/>
        <v>0</v>
      </c>
      <c r="K100" s="297">
        <f t="shared" si="32"/>
        <v>-1.2328251482553224E-3</v>
      </c>
      <c r="L100" s="73" t="s">
        <v>460</v>
      </c>
    </row>
    <row r="101" spans="1:12">
      <c r="A101" s="73" t="s">
        <v>461</v>
      </c>
      <c r="B101" s="291">
        <f t="shared" ref="B101:K101" si="33">IF(B80&gt;0,(B58-B80)/B80,)</f>
        <v>0</v>
      </c>
      <c r="C101" s="284">
        <f t="shared" si="33"/>
        <v>8.0953053271559466E-2</v>
      </c>
      <c r="D101" s="285">
        <f t="shared" si="33"/>
        <v>0</v>
      </c>
      <c r="E101" s="284">
        <f t="shared" si="33"/>
        <v>0</v>
      </c>
      <c r="F101" s="284">
        <f t="shared" si="33"/>
        <v>0.29688257784366345</v>
      </c>
      <c r="G101" s="285">
        <f t="shared" si="33"/>
        <v>0</v>
      </c>
      <c r="H101" s="284">
        <f t="shared" si="33"/>
        <v>0</v>
      </c>
      <c r="I101" s="285">
        <f t="shared" si="33"/>
        <v>0</v>
      </c>
      <c r="J101" s="295">
        <f t="shared" si="33"/>
        <v>-1</v>
      </c>
      <c r="K101" s="297">
        <f t="shared" si="33"/>
        <v>7.6986993880941615E-2</v>
      </c>
      <c r="L101" s="73" t="s">
        <v>461</v>
      </c>
    </row>
    <row r="102" spans="1:12">
      <c r="A102" s="73" t="s">
        <v>454</v>
      </c>
      <c r="B102" s="291">
        <f t="shared" ref="B102:K102" si="34">IF(B81&gt;0,(B59-B81)/B81,)</f>
        <v>6.6190827023628052E-3</v>
      </c>
      <c r="C102" s="284">
        <f t="shared" si="34"/>
        <v>3.3590111520956208E-2</v>
      </c>
      <c r="D102" s="285">
        <f t="shared" si="34"/>
        <v>0</v>
      </c>
      <c r="E102" s="284">
        <f t="shared" si="34"/>
        <v>4.9424131669393315E-2</v>
      </c>
      <c r="F102" s="284">
        <f t="shared" si="34"/>
        <v>2.3781570068481899E-2</v>
      </c>
      <c r="G102" s="285">
        <f t="shared" si="34"/>
        <v>0</v>
      </c>
      <c r="H102" s="284">
        <f t="shared" si="34"/>
        <v>0</v>
      </c>
      <c r="I102" s="285">
        <f t="shared" si="34"/>
        <v>0</v>
      </c>
      <c r="J102" s="295">
        <f t="shared" si="34"/>
        <v>0</v>
      </c>
      <c r="K102" s="297">
        <f t="shared" si="34"/>
        <v>2.9905815760070516E-2</v>
      </c>
      <c r="L102" s="73" t="s">
        <v>454</v>
      </c>
    </row>
    <row r="103" spans="1:12">
      <c r="A103" s="73" t="s">
        <v>316</v>
      </c>
      <c r="B103" s="291">
        <f t="shared" ref="B103:K103" si="35">IF(B82&gt;0,(B60-B82)/B82,)</f>
        <v>0.22406611418528161</v>
      </c>
      <c r="C103" s="284">
        <f t="shared" si="35"/>
        <v>0.1191417330610013</v>
      </c>
      <c r="D103" s="285">
        <f t="shared" si="35"/>
        <v>0</v>
      </c>
      <c r="E103" s="284">
        <f t="shared" si="35"/>
        <v>-5.137887771423022E-2</v>
      </c>
      <c r="F103" s="284">
        <f t="shared" si="35"/>
        <v>8.8034432342560226E-2</v>
      </c>
      <c r="G103" s="285">
        <f t="shared" si="35"/>
        <v>0</v>
      </c>
      <c r="H103" s="284">
        <f t="shared" si="35"/>
        <v>0</v>
      </c>
      <c r="I103" s="285">
        <f t="shared" si="35"/>
        <v>0</v>
      </c>
      <c r="J103" s="295">
        <f t="shared" si="35"/>
        <v>0</v>
      </c>
      <c r="K103" s="297">
        <f t="shared" si="35"/>
        <v>0.1274093581445698</v>
      </c>
      <c r="L103" s="73" t="s">
        <v>316</v>
      </c>
    </row>
    <row r="104" spans="1:12">
      <c r="A104" s="73" t="s">
        <v>465</v>
      </c>
      <c r="B104" s="291">
        <f t="shared" ref="B104:K104" si="36">IF(B83&gt;0,(B61-B83)/B83,)</f>
        <v>-0.26718721726136113</v>
      </c>
      <c r="C104" s="284">
        <f t="shared" si="36"/>
        <v>-0.21002446982691492</v>
      </c>
      <c r="D104" s="285">
        <f t="shared" si="36"/>
        <v>-1</v>
      </c>
      <c r="E104" s="284">
        <f t="shared" si="36"/>
        <v>-0.31733634021412088</v>
      </c>
      <c r="F104" s="284">
        <f t="shared" si="36"/>
        <v>-0.62005279686257853</v>
      </c>
      <c r="G104" s="285">
        <f t="shared" si="36"/>
        <v>-0.83397097686067601</v>
      </c>
      <c r="H104" s="284">
        <f t="shared" si="36"/>
        <v>0</v>
      </c>
      <c r="I104" s="285">
        <f t="shared" si="36"/>
        <v>0</v>
      </c>
      <c r="J104" s="295">
        <f t="shared" si="36"/>
        <v>0</v>
      </c>
      <c r="K104" s="297">
        <f t="shared" si="36"/>
        <v>-0.32036746427572993</v>
      </c>
      <c r="L104" s="73" t="s">
        <v>465</v>
      </c>
    </row>
    <row r="105" spans="1:12">
      <c r="A105" s="73" t="s">
        <v>455</v>
      </c>
      <c r="B105" s="291">
        <f t="shared" ref="B105:K105" si="37">IF(B84&gt;0,(B62-B84)/B84,)</f>
        <v>9.6973220930526516E-2</v>
      </c>
      <c r="C105" s="284">
        <f t="shared" si="37"/>
        <v>3.1697122712906624E-2</v>
      </c>
      <c r="D105" s="285">
        <f t="shared" si="37"/>
        <v>0</v>
      </c>
      <c r="E105" s="284">
        <f t="shared" si="37"/>
        <v>0.69361426111073832</v>
      </c>
      <c r="F105" s="284">
        <f t="shared" si="37"/>
        <v>-9.888452966010066E-3</v>
      </c>
      <c r="G105" s="285">
        <f t="shared" si="37"/>
        <v>0</v>
      </c>
      <c r="H105" s="284">
        <f t="shared" si="37"/>
        <v>0</v>
      </c>
      <c r="I105" s="285">
        <f t="shared" si="37"/>
        <v>0</v>
      </c>
      <c r="J105" s="295">
        <f t="shared" si="37"/>
        <v>0</v>
      </c>
      <c r="K105" s="297">
        <f t="shared" si="37"/>
        <v>5.9635434751821391E-2</v>
      </c>
      <c r="L105" s="73" t="s">
        <v>455</v>
      </c>
    </row>
    <row r="106" spans="1:12">
      <c r="A106" s="73" t="s">
        <v>456</v>
      </c>
      <c r="B106" s="291">
        <f t="shared" ref="B106:K106" si="38">IF(B85&gt;0,(B63-B85)/B85,)</f>
        <v>0.21591330060031738</v>
      </c>
      <c r="C106" s="284">
        <f t="shared" si="38"/>
        <v>2.7709899503991355E-2</v>
      </c>
      <c r="D106" s="285">
        <f t="shared" si="38"/>
        <v>0</v>
      </c>
      <c r="E106" s="284">
        <f t="shared" si="38"/>
        <v>3.5944717248731571E-2</v>
      </c>
      <c r="F106" s="284">
        <f t="shared" si="38"/>
        <v>5.488768919322836E-2</v>
      </c>
      <c r="G106" s="285">
        <f t="shared" si="38"/>
        <v>0</v>
      </c>
      <c r="H106" s="284">
        <f t="shared" si="38"/>
        <v>3.1747244827728227E-2</v>
      </c>
      <c r="I106" s="285">
        <f t="shared" si="38"/>
        <v>0</v>
      </c>
      <c r="J106" s="295">
        <f t="shared" si="38"/>
        <v>0</v>
      </c>
      <c r="K106" s="297">
        <f t="shared" si="38"/>
        <v>0.12920383042813888</v>
      </c>
      <c r="L106" s="73" t="s">
        <v>456</v>
      </c>
    </row>
    <row r="107" spans="1:12">
      <c r="A107" s="73" t="s">
        <v>463</v>
      </c>
      <c r="B107" s="291">
        <f t="shared" ref="B107:K107" si="39">IF(B86&gt;0,(B64-B86)/B86,)</f>
        <v>0</v>
      </c>
      <c r="C107" s="284">
        <f t="shared" si="39"/>
        <v>0</v>
      </c>
      <c r="D107" s="285">
        <f t="shared" si="39"/>
        <v>0</v>
      </c>
      <c r="E107" s="284">
        <f t="shared" si="39"/>
        <v>0</v>
      </c>
      <c r="F107" s="284">
        <f t="shared" si="39"/>
        <v>0</v>
      </c>
      <c r="G107" s="285">
        <f t="shared" si="39"/>
        <v>-6.5295444911408443E-2</v>
      </c>
      <c r="H107" s="284">
        <f t="shared" si="39"/>
        <v>0</v>
      </c>
      <c r="I107" s="285">
        <f t="shared" si="39"/>
        <v>0</v>
      </c>
      <c r="J107" s="295">
        <f t="shared" si="39"/>
        <v>4.3769053358148194E-2</v>
      </c>
      <c r="K107" s="297">
        <f t="shared" si="39"/>
        <v>3.8394527554572191E-2</v>
      </c>
      <c r="L107" s="73" t="s">
        <v>463</v>
      </c>
    </row>
    <row r="108" spans="1:12">
      <c r="A108" s="73" t="s">
        <v>457</v>
      </c>
      <c r="B108" s="291">
        <f t="shared" ref="B108:K108" si="40">IF(B87&gt;0,(B65-B87)/B87,)</f>
        <v>-3.3990112774951481E-2</v>
      </c>
      <c r="C108" s="284">
        <f t="shared" si="40"/>
        <v>7.2899219166243284E-2</v>
      </c>
      <c r="D108" s="285">
        <f t="shared" si="40"/>
        <v>0</v>
      </c>
      <c r="E108" s="284">
        <f t="shared" si="40"/>
        <v>-2.3021828015186402E-2</v>
      </c>
      <c r="F108" s="284">
        <f t="shared" si="40"/>
        <v>4.4721200633754482E-2</v>
      </c>
      <c r="G108" s="285">
        <f t="shared" si="40"/>
        <v>0</v>
      </c>
      <c r="H108" s="284">
        <f t="shared" si="40"/>
        <v>0</v>
      </c>
      <c r="I108" s="285">
        <f t="shared" si="40"/>
        <v>0</v>
      </c>
      <c r="J108" s="295">
        <f t="shared" si="40"/>
        <v>0</v>
      </c>
      <c r="K108" s="297">
        <f t="shared" si="40"/>
        <v>5.1016163178983928E-2</v>
      </c>
      <c r="L108" s="73" t="s">
        <v>457</v>
      </c>
    </row>
    <row r="109" spans="1:12">
      <c r="A109" s="73" t="s">
        <v>130</v>
      </c>
      <c r="B109" s="291">
        <f t="shared" ref="B109:K109" si="41">IF(B88&gt;0,(B66-B88)/B88,)</f>
        <v>0.10911237043895973</v>
      </c>
      <c r="C109" s="284">
        <f t="shared" si="41"/>
        <v>5.2334640846119426E-3</v>
      </c>
      <c r="D109" s="285">
        <f t="shared" si="41"/>
        <v>0</v>
      </c>
      <c r="E109" s="284">
        <f t="shared" si="41"/>
        <v>6.8907856003724455E-2</v>
      </c>
      <c r="F109" s="284">
        <f t="shared" si="41"/>
        <v>2.399895296244987E-2</v>
      </c>
      <c r="G109" s="285">
        <f t="shared" si="41"/>
        <v>0</v>
      </c>
      <c r="H109" s="284">
        <f t="shared" si="41"/>
        <v>0</v>
      </c>
      <c r="I109" s="285">
        <f t="shared" si="41"/>
        <v>0</v>
      </c>
      <c r="J109" s="295">
        <f t="shared" si="41"/>
        <v>0</v>
      </c>
      <c r="K109" s="297">
        <f t="shared" si="41"/>
        <v>4.5172608155847005E-2</v>
      </c>
      <c r="L109" s="73" t="s">
        <v>130</v>
      </c>
    </row>
    <row r="110" spans="1:12">
      <c r="A110" s="73" t="s">
        <v>458</v>
      </c>
      <c r="B110" s="291">
        <f t="shared" ref="B110:K110" si="42">IF(B89&gt;0,(B67-B89)/B89,)</f>
        <v>0</v>
      </c>
      <c r="C110" s="284">
        <f t="shared" si="42"/>
        <v>0</v>
      </c>
      <c r="D110" s="285">
        <f t="shared" si="42"/>
        <v>0</v>
      </c>
      <c r="E110" s="284">
        <f t="shared" si="42"/>
        <v>0</v>
      </c>
      <c r="F110" s="284">
        <f t="shared" si="42"/>
        <v>0</v>
      </c>
      <c r="G110" s="285">
        <f t="shared" si="42"/>
        <v>0</v>
      </c>
      <c r="H110" s="284">
        <f t="shared" si="42"/>
        <v>0</v>
      </c>
      <c r="I110" s="285">
        <f t="shared" si="42"/>
        <v>0</v>
      </c>
      <c r="J110" s="295">
        <f t="shared" si="42"/>
        <v>-4.625780549874732E-2</v>
      </c>
      <c r="K110" s="297">
        <f t="shared" si="42"/>
        <v>-4.3657291043633938E-2</v>
      </c>
      <c r="L110" s="73" t="s">
        <v>458</v>
      </c>
    </row>
    <row r="111" spans="1:12">
      <c r="A111" s="73" t="s">
        <v>459</v>
      </c>
      <c r="B111" s="291">
        <f t="shared" ref="B111:K111" si="43">IF(B90&gt;0,(B68-B90)/B90,)</f>
        <v>1.0981758603448295E-3</v>
      </c>
      <c r="C111" s="284">
        <f t="shared" si="43"/>
        <v>0</v>
      </c>
      <c r="D111" s="285">
        <f t="shared" si="43"/>
        <v>-0.95833333333333337</v>
      </c>
      <c r="E111" s="284">
        <f t="shared" si="43"/>
        <v>0</v>
      </c>
      <c r="F111" s="284">
        <f t="shared" si="43"/>
        <v>-0.10958375889823846</v>
      </c>
      <c r="G111" s="285">
        <f t="shared" si="43"/>
        <v>0</v>
      </c>
      <c r="H111" s="284">
        <f t="shared" si="43"/>
        <v>0</v>
      </c>
      <c r="I111" s="285">
        <f t="shared" si="43"/>
        <v>0</v>
      </c>
      <c r="J111" s="295">
        <f t="shared" si="43"/>
        <v>0</v>
      </c>
      <c r="K111" s="297">
        <f t="shared" si="43"/>
        <v>-0.10348303868740436</v>
      </c>
      <c r="L111" s="73" t="s">
        <v>459</v>
      </c>
    </row>
    <row r="112" spans="1:12">
      <c r="A112" s="74" t="s">
        <v>464</v>
      </c>
      <c r="B112" s="292">
        <f t="shared" ref="B112:K112" si="44">IF(B91&gt;0,(B69-B91)/B91,)</f>
        <v>-6.3442185105803128E-2</v>
      </c>
      <c r="C112" s="286">
        <f t="shared" si="44"/>
        <v>6.3010688489019723E-2</v>
      </c>
      <c r="D112" s="287">
        <f t="shared" si="44"/>
        <v>0</v>
      </c>
      <c r="E112" s="286">
        <f t="shared" si="44"/>
        <v>0.53203333391694341</v>
      </c>
      <c r="F112" s="286">
        <f t="shared" si="44"/>
        <v>0.19383056601891507</v>
      </c>
      <c r="G112" s="287">
        <f t="shared" si="44"/>
        <v>0</v>
      </c>
      <c r="H112" s="286">
        <f t="shared" si="44"/>
        <v>0</v>
      </c>
      <c r="I112" s="287">
        <f t="shared" si="44"/>
        <v>0</v>
      </c>
      <c r="J112" s="296">
        <f t="shared" si="44"/>
        <v>0</v>
      </c>
      <c r="K112" s="343">
        <f t="shared" si="44"/>
        <v>4.152195557838944E-2</v>
      </c>
      <c r="L112" s="74" t="s">
        <v>464</v>
      </c>
    </row>
    <row r="114" spans="1:16" ht="13.5" thickBot="1"/>
    <row r="115" spans="1:16" ht="13.5" thickBot="1">
      <c r="A115" s="567" t="s">
        <v>550</v>
      </c>
      <c r="B115" s="568"/>
      <c r="C115" s="568"/>
      <c r="D115" s="569"/>
      <c r="J115" s="73"/>
    </row>
    <row r="116" spans="1:16">
      <c r="A116" s="393"/>
      <c r="B116" s="427"/>
      <c r="C116" s="562" t="s">
        <v>564</v>
      </c>
      <c r="D116" s="393"/>
      <c r="E116" s="393"/>
      <c r="F116" s="393"/>
      <c r="G116" s="393"/>
      <c r="H116" s="393"/>
      <c r="J116" s="73"/>
    </row>
    <row r="117" spans="1:16" ht="13.5" thickBot="1">
      <c r="A117" s="560"/>
      <c r="B117" s="393"/>
      <c r="C117" s="556" t="s">
        <v>551</v>
      </c>
      <c r="D117" s="557" t="s">
        <v>2013</v>
      </c>
      <c r="E117" s="393"/>
      <c r="F117" s="393"/>
      <c r="G117" s="393"/>
      <c r="H117" s="393"/>
    </row>
    <row r="118" spans="1:16">
      <c r="A118" s="401" t="str">
        <f>F118&amp;" ("&amp;TEXT(E118,)&amp;")"</f>
        <v>SREB states (3.6 billion)</v>
      </c>
      <c r="B118" s="393"/>
      <c r="C118" s="558">
        <f>+K95</f>
        <v>4.6446883167843088E-2</v>
      </c>
      <c r="D118" s="1114">
        <f>ROUND(+K52/1000000000,1)</f>
        <v>3.6</v>
      </c>
      <c r="E118" s="561" t="str">
        <f>D118 &amp; " "&amp;TEXT(G118,)</f>
        <v>3.6 billion</v>
      </c>
      <c r="F118" s="427" t="s">
        <v>64</v>
      </c>
      <c r="G118" s="393" t="s">
        <v>479</v>
      </c>
      <c r="H118" s="393"/>
    </row>
    <row r="119" spans="1:16">
      <c r="A119" s="427"/>
      <c r="B119" s="393"/>
      <c r="C119" s="558"/>
      <c r="D119" s="559"/>
      <c r="E119" s="561"/>
      <c r="F119" s="427"/>
      <c r="G119" s="393"/>
      <c r="H119" s="393"/>
      <c r="P119" s="400"/>
    </row>
    <row r="120" spans="1:16">
      <c r="A120" s="401" t="str">
        <f t="shared" ref="A120:A135" si="45">F120&amp;" ("&amp;TEXT(E120,)&amp;")"</f>
        <v>Alabama (45.9 million)</v>
      </c>
      <c r="B120" s="393"/>
      <c r="C120" s="558">
        <f t="shared" ref="C120:C135" si="46">+K97</f>
        <v>0.14633405155750256</v>
      </c>
      <c r="D120" s="1114">
        <f t="shared" ref="D120:D121" si="47">ROUND(+K54/1000000,1)</f>
        <v>45.9</v>
      </c>
      <c r="E120" s="561" t="str">
        <f>D120 &amp; " "&amp;TEXT(G120,)</f>
        <v>45.9 million</v>
      </c>
      <c r="F120" s="427" t="s">
        <v>452</v>
      </c>
      <c r="G120" s="393" t="s">
        <v>480</v>
      </c>
      <c r="H120" s="393"/>
    </row>
    <row r="121" spans="1:16">
      <c r="A121" s="401" t="str">
        <f t="shared" si="45"/>
        <v>Arkansas (154.6 million)</v>
      </c>
      <c r="B121" s="393"/>
      <c r="C121" s="558">
        <f t="shared" si="46"/>
        <v>2.2894267877520718</v>
      </c>
      <c r="D121" s="1114">
        <f t="shared" si="47"/>
        <v>154.6</v>
      </c>
      <c r="E121" s="561" t="str">
        <f t="shared" ref="E121:E135" si="48">D121 &amp; " "&amp;TEXT(G121,)</f>
        <v>154.6 million</v>
      </c>
      <c r="F121" s="427" t="s">
        <v>466</v>
      </c>
      <c r="G121" s="393" t="s">
        <v>480</v>
      </c>
      <c r="H121" s="393"/>
      <c r="P121" s="400"/>
    </row>
    <row r="122" spans="1:16">
      <c r="A122" s="401" t="str">
        <f t="shared" si="45"/>
        <v>Delaware (3.8 million)</v>
      </c>
      <c r="B122" s="393"/>
      <c r="C122" s="558">
        <f t="shared" si="46"/>
        <v>-0.12842882042485304</v>
      </c>
      <c r="D122" s="1114">
        <f>ROUND(+K56/1000000,1)</f>
        <v>3.8</v>
      </c>
      <c r="E122" s="561" t="str">
        <f t="shared" si="48"/>
        <v>3.8 million</v>
      </c>
      <c r="F122" s="427" t="s">
        <v>453</v>
      </c>
      <c r="G122" s="393" t="s">
        <v>480</v>
      </c>
      <c r="H122" s="393"/>
      <c r="P122" s="400"/>
    </row>
    <row r="123" spans="1:16">
      <c r="A123" s="401" t="str">
        <f t="shared" si="45"/>
        <v>Florida (535.6 million)</v>
      </c>
      <c r="B123" s="393"/>
      <c r="C123" s="558">
        <f t="shared" si="46"/>
        <v>-1.2328251482553224E-3</v>
      </c>
      <c r="D123" s="1114">
        <f t="shared" ref="D123:D135" si="49">ROUND(+K57/1000000,1)</f>
        <v>535.6</v>
      </c>
      <c r="E123" s="561" t="str">
        <f t="shared" si="48"/>
        <v>535.6 million</v>
      </c>
      <c r="F123" s="427" t="s">
        <v>460</v>
      </c>
      <c r="G123" s="393" t="s">
        <v>480</v>
      </c>
      <c r="H123" s="393"/>
      <c r="P123" s="400"/>
    </row>
    <row r="124" spans="1:16">
      <c r="A124" s="401" t="str">
        <f t="shared" si="45"/>
        <v>Georgia (536 million)</v>
      </c>
      <c r="B124" s="393"/>
      <c r="C124" s="558">
        <f t="shared" si="46"/>
        <v>7.6986993880941615E-2</v>
      </c>
      <c r="D124" s="1114">
        <f t="shared" si="49"/>
        <v>536</v>
      </c>
      <c r="E124" s="561" t="str">
        <f t="shared" si="48"/>
        <v>536 million</v>
      </c>
      <c r="F124" s="427" t="s">
        <v>461</v>
      </c>
      <c r="G124" s="393" t="s">
        <v>480</v>
      </c>
      <c r="H124" s="393"/>
      <c r="P124" s="400"/>
    </row>
    <row r="125" spans="1:16">
      <c r="A125" s="401" t="str">
        <f t="shared" si="45"/>
        <v>Kentucky (189.9 million)</v>
      </c>
      <c r="B125" s="393"/>
      <c r="C125" s="558">
        <f t="shared" si="46"/>
        <v>2.9905815760070516E-2</v>
      </c>
      <c r="D125" s="1114">
        <f t="shared" si="49"/>
        <v>189.9</v>
      </c>
      <c r="E125" s="561" t="str">
        <f t="shared" si="48"/>
        <v>189.9 million</v>
      </c>
      <c r="F125" s="427" t="s">
        <v>454</v>
      </c>
      <c r="G125" s="393" t="s">
        <v>480</v>
      </c>
      <c r="H125" s="393"/>
      <c r="P125" s="400"/>
    </row>
    <row r="126" spans="1:16">
      <c r="A126" s="401" t="str">
        <f t="shared" si="45"/>
        <v>Louisiana (177.3 million)</v>
      </c>
      <c r="B126" s="393"/>
      <c r="C126" s="558">
        <f t="shared" si="46"/>
        <v>0.1274093581445698</v>
      </c>
      <c r="D126" s="1114">
        <f t="shared" si="49"/>
        <v>177.3</v>
      </c>
      <c r="E126" s="561" t="str">
        <f t="shared" si="48"/>
        <v>177.3 million</v>
      </c>
      <c r="F126" s="427" t="s">
        <v>462</v>
      </c>
      <c r="G126" s="393" t="s">
        <v>480</v>
      </c>
      <c r="H126" s="393"/>
      <c r="P126" s="400"/>
    </row>
    <row r="127" spans="1:16">
      <c r="A127" s="401" t="str">
        <f t="shared" si="45"/>
        <v>Maryland (90.2 million)</v>
      </c>
      <c r="B127" s="393"/>
      <c r="C127" s="558">
        <f t="shared" si="46"/>
        <v>-0.32036746427572993</v>
      </c>
      <c r="D127" s="1114">
        <f t="shared" si="49"/>
        <v>90.2</v>
      </c>
      <c r="E127" s="561" t="str">
        <f t="shared" si="48"/>
        <v>90.2 million</v>
      </c>
      <c r="F127" s="427" t="s">
        <v>465</v>
      </c>
      <c r="G127" s="393" t="s">
        <v>480</v>
      </c>
      <c r="H127" s="393"/>
      <c r="P127" s="400"/>
    </row>
    <row r="128" spans="1:16">
      <c r="A128" s="401" t="str">
        <f t="shared" si="45"/>
        <v>Mississippi (28.3 million)</v>
      </c>
      <c r="B128" s="393"/>
      <c r="C128" s="558">
        <f t="shared" si="46"/>
        <v>5.9635434751821391E-2</v>
      </c>
      <c r="D128" s="1114">
        <f t="shared" si="49"/>
        <v>28.3</v>
      </c>
      <c r="E128" s="561" t="str">
        <f t="shared" si="48"/>
        <v>28.3 million</v>
      </c>
      <c r="F128" s="427" t="s">
        <v>455</v>
      </c>
      <c r="G128" s="393" t="s">
        <v>480</v>
      </c>
      <c r="H128" s="393"/>
      <c r="P128" s="400"/>
    </row>
    <row r="129" spans="1:16">
      <c r="A129" s="401" t="str">
        <f t="shared" si="45"/>
        <v>North Carolina (297.1 million)</v>
      </c>
      <c r="B129" s="393"/>
      <c r="C129" s="558">
        <f t="shared" si="46"/>
        <v>0.12920383042813888</v>
      </c>
      <c r="D129" s="1114">
        <f t="shared" si="49"/>
        <v>297.10000000000002</v>
      </c>
      <c r="E129" s="561" t="str">
        <f t="shared" si="48"/>
        <v>297.1 million</v>
      </c>
      <c r="F129" s="427" t="s">
        <v>456</v>
      </c>
      <c r="G129" s="393" t="s">
        <v>480</v>
      </c>
      <c r="H129" s="393"/>
      <c r="P129" s="400"/>
    </row>
    <row r="130" spans="1:16">
      <c r="A130" s="401" t="str">
        <f t="shared" si="45"/>
        <v>Oklahoma (80.7 million)</v>
      </c>
      <c r="B130" s="393"/>
      <c r="C130" s="571">
        <f t="shared" si="46"/>
        <v>3.8394527554572191E-2</v>
      </c>
      <c r="D130" s="1114">
        <f t="shared" si="49"/>
        <v>80.7</v>
      </c>
      <c r="E130" s="561" t="str">
        <f t="shared" si="48"/>
        <v>80.7 million</v>
      </c>
      <c r="F130" s="427" t="s">
        <v>463</v>
      </c>
      <c r="G130" s="393" t="s">
        <v>480</v>
      </c>
      <c r="H130" s="393"/>
      <c r="P130" s="400"/>
    </row>
    <row r="131" spans="1:16">
      <c r="A131" s="401" t="str">
        <f t="shared" si="45"/>
        <v>South Carolina (325.6 million)</v>
      </c>
      <c r="B131" s="393"/>
      <c r="C131" s="558">
        <f t="shared" si="46"/>
        <v>5.1016163178983928E-2</v>
      </c>
      <c r="D131" s="1114">
        <f t="shared" si="49"/>
        <v>325.60000000000002</v>
      </c>
      <c r="E131" s="561" t="str">
        <f t="shared" si="48"/>
        <v>325.6 million</v>
      </c>
      <c r="F131" s="427" t="s">
        <v>457</v>
      </c>
      <c r="G131" s="393" t="s">
        <v>480</v>
      </c>
      <c r="H131" s="393"/>
      <c r="P131" s="400"/>
    </row>
    <row r="132" spans="1:16">
      <c r="A132" s="401" t="str">
        <f t="shared" si="45"/>
        <v>Tennessee (355.9 million)</v>
      </c>
      <c r="B132" s="393"/>
      <c r="C132" s="558">
        <f t="shared" si="46"/>
        <v>4.5172608155847005E-2</v>
      </c>
      <c r="D132" s="1114">
        <f t="shared" si="49"/>
        <v>355.9</v>
      </c>
      <c r="E132" s="561" t="str">
        <f t="shared" si="48"/>
        <v>355.9 million</v>
      </c>
      <c r="F132" s="427" t="s">
        <v>130</v>
      </c>
      <c r="G132" s="393" t="s">
        <v>480</v>
      </c>
      <c r="H132" s="393"/>
      <c r="P132" s="400"/>
    </row>
    <row r="133" spans="1:16">
      <c r="A133" s="401" t="str">
        <f t="shared" si="45"/>
        <v>Texas (493.3 million)</v>
      </c>
      <c r="B133" s="393"/>
      <c r="C133" s="558">
        <f t="shared" si="46"/>
        <v>-4.3657291043633938E-2</v>
      </c>
      <c r="D133" s="1114">
        <f t="shared" si="49"/>
        <v>493.3</v>
      </c>
      <c r="E133" s="561" t="str">
        <f t="shared" si="48"/>
        <v>493.3 million</v>
      </c>
      <c r="F133" s="427" t="s">
        <v>458</v>
      </c>
      <c r="G133" s="393" t="s">
        <v>480</v>
      </c>
      <c r="H133" s="393"/>
      <c r="P133" s="400"/>
    </row>
    <row r="134" spans="1:16">
      <c r="A134" s="401" t="str">
        <f t="shared" si="45"/>
        <v>Virginia (208.5 million)</v>
      </c>
      <c r="B134" s="393"/>
      <c r="C134" s="558">
        <f t="shared" si="46"/>
        <v>-0.10348303868740436</v>
      </c>
      <c r="D134" s="1114">
        <f t="shared" si="49"/>
        <v>208.5</v>
      </c>
      <c r="E134" s="561" t="str">
        <f t="shared" si="48"/>
        <v>208.5 million</v>
      </c>
      <c r="F134" s="427" t="s">
        <v>459</v>
      </c>
      <c r="G134" s="393" t="s">
        <v>480</v>
      </c>
      <c r="H134" s="393"/>
      <c r="P134" s="400"/>
    </row>
    <row r="135" spans="1:16">
      <c r="A135" s="401" t="str">
        <f t="shared" si="45"/>
        <v>West Virginia (87.8 million)</v>
      </c>
      <c r="B135" s="393"/>
      <c r="C135" s="558">
        <f t="shared" si="46"/>
        <v>4.152195557838944E-2</v>
      </c>
      <c r="D135" s="1114">
        <f t="shared" si="49"/>
        <v>87.8</v>
      </c>
      <c r="E135" s="561" t="str">
        <f t="shared" si="48"/>
        <v>87.8 million</v>
      </c>
      <c r="F135" s="428" t="s">
        <v>464</v>
      </c>
      <c r="G135" s="393" t="s">
        <v>480</v>
      </c>
      <c r="H135" s="393"/>
      <c r="P135" s="400"/>
    </row>
    <row r="136" spans="1:16">
      <c r="A136" s="393"/>
      <c r="B136" s="393"/>
      <c r="C136" s="393"/>
      <c r="D136" s="393"/>
      <c r="E136" s="393"/>
      <c r="F136" s="393"/>
      <c r="G136" s="393"/>
      <c r="H136" s="393"/>
      <c r="P136" s="400"/>
    </row>
    <row r="138" spans="1:16">
      <c r="I138"/>
    </row>
  </sheetData>
  <sortState ref="A120:F135">
    <sortCondition ref="F121:F136"/>
  </sortState>
  <phoneticPr fontId="6"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4.xml><?xml version="1.0" encoding="utf-8"?>
<worksheet xmlns="http://schemas.openxmlformats.org/spreadsheetml/2006/main" xmlns:r="http://schemas.openxmlformats.org/officeDocument/2006/relationships">
  <sheetPr>
    <tabColor rgb="FFFFFF99"/>
  </sheetPr>
  <dimension ref="A1:AM153"/>
  <sheetViews>
    <sheetView workbookViewId="0">
      <selection sqref="A1:XFD1048576"/>
    </sheetView>
  </sheetViews>
  <sheetFormatPr defaultRowHeight="12.75"/>
  <cols>
    <col min="1" max="1" width="11.125" style="464" customWidth="1"/>
    <col min="2" max="2" width="56.25" style="421" customWidth="1"/>
    <col min="3" max="3" width="6.5" style="393" customWidth="1"/>
    <col min="4" max="4" width="8.25" style="393" customWidth="1"/>
    <col min="5" max="5" width="12.5" style="393" customWidth="1"/>
    <col min="6" max="17" width="12.5" style="393" bestFit="1" customWidth="1"/>
    <col min="18" max="18" width="13.125" style="393" customWidth="1"/>
    <col min="19" max="20" width="12.5" style="393" bestFit="1" customWidth="1"/>
    <col min="21" max="21" width="14" style="400" customWidth="1"/>
    <col min="22" max="22" width="4.5" style="400" bestFit="1" customWidth="1"/>
    <col min="23" max="23" width="6.5" style="393" customWidth="1"/>
    <col min="24" max="24" width="4.25" style="393" customWidth="1"/>
    <col min="25" max="25" width="4.5" style="393" bestFit="1" customWidth="1"/>
    <col min="26" max="26" width="6" style="393" customWidth="1"/>
    <col min="27" max="27" width="5.125" style="393" customWidth="1"/>
    <col min="28" max="28" width="4.875" style="393" bestFit="1" customWidth="1"/>
    <col min="29" max="29" width="5.625" style="393" customWidth="1"/>
    <col min="30" max="31" width="6" style="393" customWidth="1"/>
    <col min="32" max="32" width="5.125" style="393" customWidth="1"/>
    <col min="33" max="33" width="4.5" style="393" bestFit="1" customWidth="1"/>
    <col min="34" max="34" width="5.625" style="393" customWidth="1"/>
    <col min="35" max="35" width="4.5" style="393" bestFit="1" customWidth="1"/>
    <col min="36" max="36" width="5.625" style="393" customWidth="1"/>
    <col min="37" max="37" width="5.25" style="393" customWidth="1"/>
    <col min="38" max="38" width="5" style="393" bestFit="1" customWidth="1"/>
    <col min="39" max="39" width="6.375" style="393" customWidth="1"/>
    <col min="40" max="16384" width="9" style="400"/>
  </cols>
  <sheetData>
    <row r="1" spans="1:39">
      <c r="A1" s="483"/>
      <c r="B1" s="468"/>
      <c r="C1" s="394"/>
      <c r="D1" s="394"/>
      <c r="E1" s="394"/>
      <c r="F1" s="394"/>
      <c r="G1" s="416"/>
      <c r="H1" s="416"/>
      <c r="I1" s="394"/>
      <c r="J1" s="394"/>
      <c r="K1" s="394"/>
      <c r="L1" s="394"/>
      <c r="M1" s="394"/>
      <c r="N1" s="394"/>
      <c r="O1" s="394"/>
      <c r="P1" s="394"/>
      <c r="Q1" s="394"/>
      <c r="R1" s="394"/>
      <c r="S1" s="394"/>
      <c r="T1" s="394"/>
      <c r="U1" s="469"/>
      <c r="V1" s="469"/>
      <c r="W1" s="513"/>
      <c r="X1" s="513"/>
      <c r="Y1" s="513"/>
      <c r="Z1" s="513"/>
      <c r="AA1" s="513"/>
      <c r="AB1" s="513"/>
      <c r="AC1" s="513"/>
      <c r="AD1" s="513"/>
      <c r="AE1" s="513"/>
      <c r="AF1" s="513"/>
      <c r="AG1" s="513"/>
      <c r="AH1" s="513"/>
      <c r="AI1" s="513"/>
      <c r="AJ1" s="513"/>
      <c r="AK1" s="513"/>
      <c r="AL1" s="513"/>
      <c r="AM1" s="513"/>
    </row>
    <row r="2" spans="1:39">
      <c r="C2" s="470"/>
      <c r="D2" s="471"/>
      <c r="E2" s="403"/>
      <c r="F2" s="405"/>
      <c r="G2" s="405"/>
      <c r="H2" s="405"/>
      <c r="I2" s="405"/>
      <c r="J2" s="405"/>
      <c r="K2" s="405"/>
      <c r="L2" s="405"/>
      <c r="M2" s="405"/>
      <c r="N2" s="405"/>
      <c r="O2" s="405"/>
      <c r="P2" s="405"/>
      <c r="Q2" s="405"/>
      <c r="R2" s="405"/>
      <c r="S2" s="405"/>
      <c r="T2" s="405"/>
      <c r="U2" s="467"/>
      <c r="V2" s="394"/>
      <c r="W2" s="514"/>
      <c r="X2" s="515"/>
      <c r="Y2" s="515"/>
      <c r="Z2" s="515"/>
      <c r="AA2" s="515"/>
      <c r="AB2" s="515"/>
      <c r="AC2" s="515"/>
      <c r="AD2" s="515"/>
      <c r="AE2" s="515"/>
      <c r="AF2" s="515"/>
      <c r="AG2" s="515"/>
      <c r="AH2" s="515"/>
      <c r="AI2" s="515"/>
      <c r="AJ2" s="515"/>
      <c r="AK2" s="515"/>
      <c r="AL2" s="515"/>
      <c r="AM2" s="516"/>
    </row>
    <row r="3" spans="1:39">
      <c r="C3" s="403"/>
      <c r="D3" s="403"/>
      <c r="E3" s="472"/>
      <c r="F3" s="417"/>
      <c r="G3" s="417"/>
      <c r="H3" s="417"/>
      <c r="I3" s="417"/>
      <c r="J3" s="417"/>
      <c r="K3" s="417"/>
      <c r="L3" s="417"/>
      <c r="M3" s="417"/>
      <c r="N3" s="417"/>
      <c r="O3" s="417"/>
      <c r="P3" s="417"/>
      <c r="Q3" s="417"/>
      <c r="R3" s="417"/>
      <c r="S3" s="417"/>
      <c r="T3" s="417"/>
      <c r="U3" s="473"/>
      <c r="V3" s="496"/>
      <c r="W3" s="517"/>
      <c r="X3" s="518"/>
      <c r="Y3" s="518"/>
      <c r="Z3" s="518"/>
      <c r="AA3" s="518"/>
      <c r="AB3" s="518"/>
      <c r="AC3" s="518"/>
      <c r="AD3" s="518"/>
      <c r="AE3" s="518"/>
      <c r="AF3" s="518"/>
      <c r="AG3" s="518"/>
      <c r="AH3" s="518"/>
      <c r="AI3" s="518"/>
      <c r="AJ3" s="518"/>
      <c r="AK3" s="518"/>
      <c r="AL3" s="518"/>
      <c r="AM3" s="519"/>
    </row>
    <row r="4" spans="1:39">
      <c r="A4" s="1468"/>
      <c r="B4" s="466"/>
      <c r="C4" s="474"/>
      <c r="D4" s="475"/>
      <c r="E4" s="476"/>
      <c r="F4" s="476"/>
      <c r="G4" s="476"/>
      <c r="H4" s="476"/>
      <c r="I4" s="476"/>
      <c r="J4" s="476"/>
      <c r="K4" s="476"/>
      <c r="L4" s="476"/>
      <c r="M4" s="476"/>
      <c r="N4" s="476"/>
      <c r="O4" s="476"/>
      <c r="P4" s="476"/>
      <c r="Q4" s="476"/>
      <c r="R4" s="476"/>
      <c r="S4" s="476"/>
      <c r="T4" s="476"/>
      <c r="U4" s="476"/>
      <c r="V4" s="427"/>
      <c r="W4" s="511"/>
      <c r="X4" s="511"/>
      <c r="Y4" s="511"/>
      <c r="Z4" s="511"/>
      <c r="AA4" s="511"/>
      <c r="AB4" s="511"/>
      <c r="AC4" s="511"/>
      <c r="AD4" s="511"/>
      <c r="AE4" s="511"/>
      <c r="AF4" s="511"/>
      <c r="AG4" s="511"/>
      <c r="AH4" s="511"/>
      <c r="AI4" s="511"/>
      <c r="AJ4" s="511"/>
      <c r="AK4" s="511"/>
      <c r="AL4" s="511"/>
      <c r="AM4" s="511"/>
    </row>
    <row r="5" spans="1:39">
      <c r="A5" s="1469"/>
      <c r="B5" s="477"/>
      <c r="C5" s="491"/>
      <c r="D5" s="478"/>
      <c r="E5" s="498"/>
      <c r="F5" s="498"/>
      <c r="G5" s="498"/>
      <c r="H5" s="498"/>
      <c r="I5" s="498"/>
      <c r="J5" s="498"/>
      <c r="K5" s="498"/>
      <c r="L5" s="498"/>
      <c r="M5" s="498"/>
      <c r="N5" s="498"/>
      <c r="O5" s="498"/>
      <c r="P5" s="498"/>
      <c r="Q5" s="498"/>
      <c r="R5" s="498"/>
      <c r="S5" s="498"/>
      <c r="T5" s="498"/>
      <c r="U5" s="498"/>
      <c r="V5" s="394"/>
      <c r="W5" s="512"/>
      <c r="X5" s="512"/>
      <c r="Y5" s="512"/>
      <c r="Z5" s="512"/>
      <c r="AA5" s="512"/>
      <c r="AB5" s="512"/>
      <c r="AC5" s="512"/>
      <c r="AD5" s="512"/>
      <c r="AE5" s="512"/>
      <c r="AF5" s="512"/>
      <c r="AG5" s="512"/>
      <c r="AH5" s="512"/>
      <c r="AI5" s="512"/>
      <c r="AJ5" s="512"/>
      <c r="AK5" s="512"/>
      <c r="AL5" s="512"/>
      <c r="AM5" s="512"/>
    </row>
    <row r="6" spans="1:39">
      <c r="A6" s="1469"/>
      <c r="B6" s="466"/>
      <c r="C6" s="403"/>
      <c r="D6" s="475"/>
      <c r="E6" s="476"/>
      <c r="F6" s="476"/>
      <c r="G6" s="476"/>
      <c r="H6" s="476"/>
      <c r="I6" s="476"/>
      <c r="J6" s="476"/>
      <c r="K6" s="476"/>
      <c r="L6" s="476"/>
      <c r="M6" s="476"/>
      <c r="N6" s="476"/>
      <c r="O6" s="476"/>
      <c r="P6" s="476"/>
      <c r="Q6" s="476"/>
      <c r="R6" s="476"/>
      <c r="S6" s="476"/>
      <c r="T6" s="476"/>
      <c r="U6" s="476"/>
      <c r="W6" s="511"/>
      <c r="X6" s="511"/>
      <c r="Y6" s="511"/>
      <c r="Z6" s="511"/>
      <c r="AA6" s="511"/>
      <c r="AB6" s="511"/>
      <c r="AC6" s="511"/>
      <c r="AD6" s="511"/>
      <c r="AE6" s="511"/>
      <c r="AF6" s="511"/>
      <c r="AG6" s="511"/>
      <c r="AH6" s="511"/>
      <c r="AI6" s="511"/>
      <c r="AJ6" s="511"/>
      <c r="AK6" s="511"/>
      <c r="AL6" s="511"/>
      <c r="AM6" s="511"/>
    </row>
    <row r="7" spans="1:39">
      <c r="A7" s="1469"/>
      <c r="B7" s="400"/>
      <c r="C7" s="406"/>
      <c r="D7" s="478"/>
      <c r="E7" s="498"/>
      <c r="F7" s="498"/>
      <c r="G7" s="498"/>
      <c r="H7" s="498"/>
      <c r="I7" s="498"/>
      <c r="J7" s="498"/>
      <c r="K7" s="498"/>
      <c r="L7" s="498"/>
      <c r="M7" s="498"/>
      <c r="N7" s="498"/>
      <c r="O7" s="498"/>
      <c r="P7" s="498"/>
      <c r="Q7" s="498"/>
      <c r="R7" s="498"/>
      <c r="S7" s="498"/>
      <c r="T7" s="498"/>
      <c r="U7" s="498"/>
      <c r="V7" s="497"/>
      <c r="W7" s="512"/>
      <c r="X7" s="512"/>
      <c r="Y7" s="512"/>
      <c r="Z7" s="512"/>
      <c r="AA7" s="512"/>
      <c r="AB7" s="512"/>
      <c r="AC7" s="512"/>
      <c r="AD7" s="512"/>
      <c r="AE7" s="512"/>
      <c r="AF7" s="512"/>
      <c r="AG7" s="512"/>
      <c r="AH7" s="512"/>
      <c r="AI7" s="512"/>
      <c r="AJ7" s="512"/>
      <c r="AK7" s="512"/>
      <c r="AL7" s="512"/>
      <c r="AM7" s="512"/>
    </row>
    <row r="8" spans="1:39">
      <c r="A8" s="1469"/>
      <c r="B8" s="479"/>
      <c r="C8" s="403"/>
      <c r="D8" s="475"/>
      <c r="E8" s="476"/>
      <c r="F8" s="476"/>
      <c r="G8" s="476"/>
      <c r="H8" s="476"/>
      <c r="I8" s="476"/>
      <c r="J8" s="476"/>
      <c r="K8" s="476"/>
      <c r="L8" s="476"/>
      <c r="M8" s="476"/>
      <c r="N8" s="476"/>
      <c r="O8" s="476"/>
      <c r="P8" s="476"/>
      <c r="Q8" s="476"/>
      <c r="R8" s="476"/>
      <c r="S8" s="476"/>
      <c r="T8" s="476"/>
      <c r="U8" s="476"/>
      <c r="V8" s="394"/>
      <c r="W8" s="511"/>
      <c r="X8" s="511"/>
      <c r="Y8" s="511"/>
      <c r="Z8" s="511"/>
      <c r="AA8" s="511"/>
      <c r="AB8" s="511"/>
      <c r="AC8" s="511"/>
      <c r="AD8" s="511"/>
      <c r="AE8" s="511"/>
      <c r="AF8" s="511"/>
      <c r="AG8" s="511"/>
      <c r="AH8" s="511"/>
      <c r="AI8" s="511"/>
      <c r="AJ8" s="511"/>
      <c r="AK8" s="511"/>
      <c r="AL8" s="511"/>
      <c r="AM8" s="511"/>
    </row>
    <row r="9" spans="1:39">
      <c r="A9" s="1469"/>
      <c r="B9" s="480"/>
      <c r="C9" s="406"/>
      <c r="D9" s="478"/>
      <c r="E9" s="498"/>
      <c r="F9" s="498"/>
      <c r="G9" s="498"/>
      <c r="H9" s="498"/>
      <c r="I9" s="498"/>
      <c r="J9" s="498"/>
      <c r="K9" s="498"/>
      <c r="L9" s="498"/>
      <c r="M9" s="498"/>
      <c r="N9" s="498"/>
      <c r="O9" s="498"/>
      <c r="P9" s="498"/>
      <c r="Q9" s="498"/>
      <c r="R9" s="498"/>
      <c r="S9" s="498"/>
      <c r="T9" s="498"/>
      <c r="U9" s="498"/>
      <c r="V9" s="485"/>
      <c r="W9" s="512"/>
      <c r="X9" s="512"/>
      <c r="Y9" s="512"/>
      <c r="Z9" s="512"/>
      <c r="AA9" s="512"/>
      <c r="AB9" s="512"/>
      <c r="AC9" s="512"/>
      <c r="AD9" s="512"/>
      <c r="AE9" s="512"/>
      <c r="AF9" s="512"/>
      <c r="AG9" s="512"/>
      <c r="AH9" s="512"/>
      <c r="AI9" s="512"/>
      <c r="AJ9" s="512"/>
      <c r="AK9" s="512"/>
      <c r="AL9" s="512"/>
      <c r="AM9" s="512"/>
    </row>
    <row r="10" spans="1:39">
      <c r="A10" s="1469"/>
      <c r="B10" s="479"/>
      <c r="C10" s="403"/>
      <c r="D10" s="475"/>
      <c r="E10" s="476"/>
      <c r="F10" s="476"/>
      <c r="G10" s="476"/>
      <c r="H10" s="476"/>
      <c r="I10" s="476"/>
      <c r="J10" s="476"/>
      <c r="K10" s="476"/>
      <c r="L10" s="476"/>
      <c r="M10" s="476"/>
      <c r="N10" s="476"/>
      <c r="O10" s="476"/>
      <c r="P10" s="476"/>
      <c r="Q10" s="476"/>
      <c r="R10" s="476"/>
      <c r="S10" s="476"/>
      <c r="T10" s="476"/>
      <c r="U10" s="476"/>
      <c r="V10" s="427"/>
      <c r="W10" s="511"/>
      <c r="X10" s="511"/>
      <c r="Y10" s="511"/>
      <c r="Z10" s="511"/>
      <c r="AA10" s="511"/>
      <c r="AB10" s="511"/>
      <c r="AC10" s="511"/>
      <c r="AD10" s="511"/>
      <c r="AE10" s="511"/>
      <c r="AF10" s="511"/>
      <c r="AG10" s="511"/>
      <c r="AH10" s="511"/>
      <c r="AI10" s="511"/>
      <c r="AJ10" s="511"/>
      <c r="AK10" s="511"/>
      <c r="AL10" s="511"/>
      <c r="AM10" s="511"/>
    </row>
    <row r="11" spans="1:39">
      <c r="A11" s="1469"/>
      <c r="B11" s="400"/>
      <c r="C11" s="406"/>
      <c r="D11" s="478"/>
      <c r="E11" s="498"/>
      <c r="F11" s="498"/>
      <c r="G11" s="498"/>
      <c r="H11" s="498"/>
      <c r="I11" s="498"/>
      <c r="J11" s="498"/>
      <c r="K11" s="498"/>
      <c r="L11" s="498"/>
      <c r="M11" s="498"/>
      <c r="N11" s="498"/>
      <c r="O11" s="498"/>
      <c r="P11" s="498"/>
      <c r="Q11" s="498"/>
      <c r="R11" s="498"/>
      <c r="S11" s="498"/>
      <c r="T11" s="498"/>
      <c r="U11" s="498"/>
      <c r="V11" s="394"/>
      <c r="W11" s="512"/>
      <c r="X11" s="512"/>
      <c r="Y11" s="512"/>
      <c r="Z11" s="512"/>
      <c r="AA11" s="512"/>
      <c r="AB11" s="512"/>
      <c r="AC11" s="512"/>
      <c r="AD11" s="512"/>
      <c r="AE11" s="512"/>
      <c r="AF11" s="512"/>
      <c r="AG11" s="512"/>
      <c r="AH11" s="512"/>
      <c r="AI11" s="512"/>
      <c r="AJ11" s="512"/>
      <c r="AK11" s="512"/>
      <c r="AL11" s="512"/>
      <c r="AM11" s="512"/>
    </row>
    <row r="12" spans="1:39">
      <c r="A12" s="1469"/>
      <c r="B12" s="479"/>
      <c r="C12" s="403"/>
      <c r="D12" s="475"/>
      <c r="E12" s="476"/>
      <c r="F12" s="476"/>
      <c r="G12" s="476"/>
      <c r="H12" s="476"/>
      <c r="I12" s="476"/>
      <c r="J12" s="476"/>
      <c r="K12" s="476"/>
      <c r="L12" s="476"/>
      <c r="M12" s="476"/>
      <c r="N12" s="476"/>
      <c r="O12" s="476"/>
      <c r="P12" s="476"/>
      <c r="Q12" s="476"/>
      <c r="R12" s="476"/>
      <c r="S12" s="476"/>
      <c r="T12" s="476"/>
      <c r="U12" s="476"/>
      <c r="V12" s="429"/>
      <c r="W12" s="511"/>
      <c r="X12" s="511"/>
      <c r="Y12" s="511"/>
      <c r="Z12" s="511"/>
      <c r="AA12" s="511"/>
      <c r="AB12" s="511"/>
      <c r="AC12" s="511"/>
      <c r="AD12" s="511"/>
      <c r="AE12" s="511"/>
      <c r="AF12" s="511"/>
      <c r="AG12" s="511"/>
      <c r="AH12" s="511"/>
      <c r="AI12" s="511"/>
      <c r="AJ12" s="511"/>
      <c r="AK12" s="511"/>
      <c r="AL12" s="511"/>
      <c r="AM12" s="511"/>
    </row>
    <row r="13" spans="1:39">
      <c r="A13" s="1469"/>
      <c r="B13" s="480"/>
      <c r="C13" s="406"/>
      <c r="D13" s="478"/>
      <c r="E13" s="498"/>
      <c r="F13" s="498"/>
      <c r="G13" s="498"/>
      <c r="H13" s="498"/>
      <c r="I13" s="498"/>
      <c r="J13" s="498"/>
      <c r="K13" s="498"/>
      <c r="L13" s="498"/>
      <c r="M13" s="498"/>
      <c r="N13" s="498"/>
      <c r="O13" s="498"/>
      <c r="P13" s="498"/>
      <c r="Q13" s="498"/>
      <c r="R13" s="498"/>
      <c r="S13" s="498"/>
      <c r="T13" s="498"/>
      <c r="U13" s="498"/>
      <c r="V13" s="497"/>
      <c r="W13" s="512"/>
      <c r="X13" s="512"/>
      <c r="Y13" s="512"/>
      <c r="Z13" s="512"/>
      <c r="AA13" s="512"/>
      <c r="AB13" s="512"/>
      <c r="AC13" s="512"/>
      <c r="AD13" s="512"/>
      <c r="AE13" s="512"/>
      <c r="AF13" s="512"/>
      <c r="AG13" s="512"/>
      <c r="AH13" s="512"/>
      <c r="AI13" s="512"/>
      <c r="AJ13" s="512"/>
      <c r="AK13" s="512"/>
      <c r="AL13" s="512"/>
      <c r="AM13" s="512"/>
    </row>
    <row r="14" spans="1:39">
      <c r="A14" s="1469"/>
      <c r="B14" s="479"/>
      <c r="C14" s="403"/>
      <c r="D14" s="475"/>
      <c r="E14" s="476"/>
      <c r="F14" s="476"/>
      <c r="G14" s="476"/>
      <c r="H14" s="476"/>
      <c r="I14" s="476"/>
      <c r="J14" s="476"/>
      <c r="K14" s="476"/>
      <c r="L14" s="476"/>
      <c r="M14" s="476"/>
      <c r="N14" s="476"/>
      <c r="O14" s="476"/>
      <c r="P14" s="476"/>
      <c r="Q14" s="476"/>
      <c r="R14" s="476"/>
      <c r="S14" s="476"/>
      <c r="T14" s="476"/>
      <c r="U14" s="476"/>
      <c r="V14" s="394"/>
      <c r="W14" s="511"/>
      <c r="X14" s="511"/>
      <c r="Y14" s="511"/>
      <c r="Z14" s="511"/>
      <c r="AA14" s="511"/>
      <c r="AB14" s="511"/>
      <c r="AC14" s="511"/>
      <c r="AD14" s="511"/>
      <c r="AE14" s="511"/>
      <c r="AF14" s="511"/>
      <c r="AG14" s="511"/>
      <c r="AH14" s="511"/>
      <c r="AI14" s="511"/>
      <c r="AJ14" s="511"/>
      <c r="AK14" s="511"/>
      <c r="AL14" s="511"/>
      <c r="AM14" s="511"/>
    </row>
    <row r="15" spans="1:39">
      <c r="A15" s="1469"/>
      <c r="B15" s="480"/>
      <c r="C15" s="406"/>
      <c r="D15" s="478"/>
      <c r="E15" s="498"/>
      <c r="F15" s="498"/>
      <c r="G15" s="498"/>
      <c r="H15" s="498"/>
      <c r="I15" s="498"/>
      <c r="J15" s="498"/>
      <c r="K15" s="498"/>
      <c r="L15" s="498"/>
      <c r="M15" s="498"/>
      <c r="N15" s="498"/>
      <c r="O15" s="498"/>
      <c r="P15" s="498"/>
      <c r="Q15" s="498"/>
      <c r="R15" s="498"/>
      <c r="S15" s="498"/>
      <c r="T15" s="498"/>
      <c r="U15" s="498"/>
      <c r="V15" s="485"/>
      <c r="W15" s="512"/>
      <c r="X15" s="512"/>
      <c r="Y15" s="512"/>
      <c r="Z15" s="512"/>
      <c r="AA15" s="512"/>
      <c r="AB15" s="512"/>
      <c r="AC15" s="512"/>
      <c r="AD15" s="512"/>
      <c r="AE15" s="512"/>
      <c r="AF15" s="512"/>
      <c r="AG15" s="512"/>
      <c r="AH15" s="512"/>
      <c r="AI15" s="512"/>
      <c r="AJ15" s="512"/>
      <c r="AK15" s="512"/>
      <c r="AL15" s="512"/>
      <c r="AM15" s="512"/>
    </row>
    <row r="16" spans="1:39">
      <c r="A16" s="1469"/>
      <c r="B16" s="479"/>
      <c r="C16" s="403"/>
      <c r="D16" s="475"/>
      <c r="E16" s="476"/>
      <c r="F16" s="476"/>
      <c r="G16" s="476"/>
      <c r="H16" s="476"/>
      <c r="I16" s="476"/>
      <c r="J16" s="476"/>
      <c r="K16" s="476"/>
      <c r="L16" s="476"/>
      <c r="M16" s="476"/>
      <c r="N16" s="476"/>
      <c r="O16" s="476"/>
      <c r="P16" s="476"/>
      <c r="Q16" s="476"/>
      <c r="R16" s="476"/>
      <c r="S16" s="476"/>
      <c r="T16" s="476"/>
      <c r="U16" s="476"/>
      <c r="V16" s="427"/>
      <c r="W16" s="511"/>
      <c r="X16" s="511"/>
      <c r="Y16" s="511"/>
      <c r="Z16" s="511"/>
      <c r="AA16" s="511"/>
      <c r="AB16" s="511"/>
      <c r="AC16" s="511"/>
      <c r="AD16" s="511"/>
      <c r="AE16" s="511"/>
      <c r="AF16" s="511"/>
      <c r="AG16" s="511"/>
      <c r="AH16" s="511"/>
      <c r="AI16" s="511"/>
      <c r="AJ16" s="511"/>
      <c r="AK16" s="511"/>
      <c r="AL16" s="511"/>
      <c r="AM16" s="511"/>
    </row>
    <row r="17" spans="1:39">
      <c r="A17" s="1469"/>
      <c r="B17" s="400"/>
      <c r="C17" s="406"/>
      <c r="D17" s="478"/>
      <c r="E17" s="498"/>
      <c r="F17" s="498"/>
      <c r="G17" s="498"/>
      <c r="H17" s="498"/>
      <c r="I17" s="498"/>
      <c r="J17" s="498"/>
      <c r="K17" s="498"/>
      <c r="L17" s="498"/>
      <c r="M17" s="498"/>
      <c r="N17" s="498"/>
      <c r="O17" s="498"/>
      <c r="P17" s="498"/>
      <c r="Q17" s="498"/>
      <c r="R17" s="498"/>
      <c r="S17" s="498"/>
      <c r="T17" s="498"/>
      <c r="U17" s="498"/>
      <c r="V17" s="394"/>
      <c r="W17" s="512"/>
      <c r="X17" s="512"/>
      <c r="Y17" s="512"/>
      <c r="Z17" s="512"/>
      <c r="AA17" s="512"/>
      <c r="AB17" s="512"/>
      <c r="AC17" s="512"/>
      <c r="AD17" s="512"/>
      <c r="AE17" s="512"/>
      <c r="AF17" s="512"/>
      <c r="AG17" s="512"/>
      <c r="AH17" s="512"/>
      <c r="AI17" s="512"/>
      <c r="AJ17" s="512"/>
      <c r="AK17" s="512"/>
      <c r="AL17" s="512"/>
      <c r="AM17" s="512"/>
    </row>
    <row r="18" spans="1:39">
      <c r="A18" s="1469"/>
      <c r="B18" s="479"/>
      <c r="C18" s="403"/>
      <c r="D18" s="475"/>
      <c r="E18" s="476"/>
      <c r="F18" s="476"/>
      <c r="G18" s="476"/>
      <c r="H18" s="476"/>
      <c r="I18" s="476"/>
      <c r="J18" s="476"/>
      <c r="K18" s="476"/>
      <c r="L18" s="476"/>
      <c r="M18" s="476"/>
      <c r="N18" s="476"/>
      <c r="O18" s="476"/>
      <c r="P18" s="476"/>
      <c r="Q18" s="476"/>
      <c r="R18" s="476"/>
      <c r="S18" s="476"/>
      <c r="T18" s="476"/>
      <c r="U18" s="476"/>
      <c r="V18" s="485"/>
      <c r="W18" s="511"/>
      <c r="X18" s="511"/>
      <c r="Y18" s="511"/>
      <c r="Z18" s="511"/>
      <c r="AA18" s="511"/>
      <c r="AB18" s="511"/>
      <c r="AC18" s="511"/>
      <c r="AD18" s="511"/>
      <c r="AE18" s="511"/>
      <c r="AF18" s="511"/>
      <c r="AG18" s="511"/>
      <c r="AH18" s="511"/>
      <c r="AI18" s="511"/>
      <c r="AJ18" s="511"/>
      <c r="AK18" s="511"/>
      <c r="AL18" s="511"/>
      <c r="AM18" s="511"/>
    </row>
    <row r="19" spans="1:39">
      <c r="A19" s="1469"/>
      <c r="B19" s="480"/>
      <c r="C19" s="406"/>
      <c r="D19" s="478"/>
      <c r="E19" s="498"/>
      <c r="F19" s="498"/>
      <c r="G19" s="498"/>
      <c r="H19" s="498"/>
      <c r="I19" s="498"/>
      <c r="J19" s="498"/>
      <c r="K19" s="498"/>
      <c r="L19" s="498"/>
      <c r="M19" s="498"/>
      <c r="N19" s="498"/>
      <c r="O19" s="498"/>
      <c r="P19" s="498"/>
      <c r="Q19" s="498"/>
      <c r="R19" s="498"/>
      <c r="S19" s="498"/>
      <c r="T19" s="498"/>
      <c r="U19" s="498"/>
      <c r="V19" s="427"/>
      <c r="W19" s="512"/>
      <c r="X19" s="512"/>
      <c r="Y19" s="512"/>
      <c r="Z19" s="512"/>
      <c r="AA19" s="512"/>
      <c r="AB19" s="512"/>
      <c r="AC19" s="512"/>
      <c r="AD19" s="512"/>
      <c r="AE19" s="512"/>
      <c r="AF19" s="512"/>
      <c r="AG19" s="512"/>
      <c r="AH19" s="512"/>
      <c r="AI19" s="512"/>
      <c r="AJ19" s="512"/>
      <c r="AK19" s="512"/>
      <c r="AL19" s="512"/>
      <c r="AM19" s="512"/>
    </row>
    <row r="20" spans="1:39">
      <c r="A20" s="1469"/>
      <c r="B20" s="479"/>
      <c r="C20" s="403"/>
      <c r="D20" s="475"/>
      <c r="E20" s="476"/>
      <c r="F20" s="476"/>
      <c r="G20" s="476"/>
      <c r="H20" s="476"/>
      <c r="I20" s="476"/>
      <c r="J20" s="476"/>
      <c r="K20" s="476"/>
      <c r="L20" s="476"/>
      <c r="M20" s="476"/>
      <c r="N20" s="476"/>
      <c r="O20" s="476"/>
      <c r="P20" s="476"/>
      <c r="Q20" s="476"/>
      <c r="R20" s="476"/>
      <c r="S20" s="476"/>
      <c r="T20" s="476"/>
      <c r="U20" s="476"/>
      <c r="V20" s="394"/>
      <c r="W20" s="511"/>
      <c r="X20" s="511"/>
      <c r="Y20" s="511"/>
      <c r="Z20" s="511"/>
      <c r="AA20" s="511"/>
      <c r="AB20" s="511"/>
      <c r="AC20" s="511"/>
      <c r="AD20" s="511"/>
      <c r="AE20" s="511"/>
      <c r="AF20" s="511"/>
      <c r="AG20" s="511"/>
      <c r="AH20" s="511"/>
      <c r="AI20" s="511"/>
      <c r="AJ20" s="511"/>
      <c r="AK20" s="511"/>
      <c r="AL20" s="511"/>
      <c r="AM20" s="511"/>
    </row>
    <row r="21" spans="1:39">
      <c r="A21" s="1469"/>
      <c r="B21" s="480"/>
      <c r="C21" s="406"/>
      <c r="D21" s="478"/>
      <c r="E21" s="498"/>
      <c r="F21" s="498"/>
      <c r="G21" s="498"/>
      <c r="H21" s="498"/>
      <c r="I21" s="498"/>
      <c r="J21" s="498"/>
      <c r="K21" s="498"/>
      <c r="L21" s="498"/>
      <c r="M21" s="498"/>
      <c r="N21" s="498"/>
      <c r="O21" s="498"/>
      <c r="P21" s="498"/>
      <c r="Q21" s="498"/>
      <c r="R21" s="498"/>
      <c r="S21" s="498"/>
      <c r="T21" s="498"/>
      <c r="U21" s="498"/>
      <c r="V21" s="485"/>
      <c r="W21" s="512"/>
      <c r="X21" s="512"/>
      <c r="Y21" s="512"/>
      <c r="Z21" s="512"/>
      <c r="AA21" s="512"/>
      <c r="AB21" s="512"/>
      <c r="AC21" s="512"/>
      <c r="AD21" s="512"/>
      <c r="AE21" s="512"/>
      <c r="AF21" s="512"/>
      <c r="AG21" s="512"/>
      <c r="AH21" s="512"/>
      <c r="AI21" s="512"/>
      <c r="AJ21" s="512"/>
      <c r="AK21" s="512"/>
      <c r="AL21" s="512"/>
      <c r="AM21" s="512"/>
    </row>
    <row r="22" spans="1:39">
      <c r="A22" s="1469"/>
      <c r="B22" s="466"/>
      <c r="C22" s="403"/>
      <c r="D22" s="475"/>
      <c r="E22" s="476"/>
      <c r="F22" s="476"/>
      <c r="G22" s="476"/>
      <c r="H22" s="476"/>
      <c r="I22" s="476"/>
      <c r="J22" s="476"/>
      <c r="K22" s="476"/>
      <c r="L22" s="476"/>
      <c r="M22" s="476"/>
      <c r="N22" s="476"/>
      <c r="O22" s="476"/>
      <c r="P22" s="476"/>
      <c r="Q22" s="476"/>
      <c r="R22" s="476"/>
      <c r="S22" s="476"/>
      <c r="T22" s="476"/>
      <c r="U22" s="476"/>
      <c r="V22" s="427"/>
      <c r="W22" s="511"/>
      <c r="X22" s="511"/>
      <c r="Y22" s="511"/>
      <c r="Z22" s="511"/>
      <c r="AA22" s="511"/>
      <c r="AB22" s="511"/>
      <c r="AC22" s="511"/>
      <c r="AD22" s="511"/>
      <c r="AE22" s="511"/>
      <c r="AF22" s="511"/>
      <c r="AG22" s="511"/>
      <c r="AH22" s="511"/>
      <c r="AI22" s="511"/>
      <c r="AJ22" s="511"/>
      <c r="AK22" s="511"/>
      <c r="AL22" s="511"/>
      <c r="AM22" s="511"/>
    </row>
    <row r="23" spans="1:39">
      <c r="A23" s="1469"/>
      <c r="B23" s="400"/>
      <c r="C23" s="406"/>
      <c r="D23" s="478"/>
      <c r="E23" s="498"/>
      <c r="F23" s="498"/>
      <c r="G23" s="498"/>
      <c r="H23" s="498"/>
      <c r="I23" s="498"/>
      <c r="J23" s="498"/>
      <c r="K23" s="498"/>
      <c r="L23" s="498"/>
      <c r="M23" s="498"/>
      <c r="N23" s="498"/>
      <c r="O23" s="498"/>
      <c r="P23" s="498"/>
      <c r="Q23" s="498"/>
      <c r="R23" s="498"/>
      <c r="S23" s="498"/>
      <c r="T23" s="498"/>
      <c r="U23" s="498"/>
      <c r="V23" s="394"/>
      <c r="W23" s="512"/>
      <c r="X23" s="512"/>
      <c r="Y23" s="512"/>
      <c r="Z23" s="512"/>
      <c r="AA23" s="512"/>
      <c r="AB23" s="512"/>
      <c r="AC23" s="512"/>
      <c r="AD23" s="512"/>
      <c r="AE23" s="512"/>
      <c r="AF23" s="512"/>
      <c r="AG23" s="512"/>
      <c r="AH23" s="512"/>
      <c r="AI23" s="512"/>
      <c r="AJ23" s="512"/>
      <c r="AK23" s="512"/>
      <c r="AL23" s="512"/>
      <c r="AM23" s="512"/>
    </row>
    <row r="24" spans="1:39">
      <c r="A24" s="1469"/>
      <c r="B24" s="479"/>
      <c r="C24" s="403"/>
      <c r="D24" s="475"/>
      <c r="E24" s="476"/>
      <c r="F24" s="476"/>
      <c r="G24" s="476"/>
      <c r="H24" s="476"/>
      <c r="I24" s="476"/>
      <c r="J24" s="476"/>
      <c r="K24" s="476"/>
      <c r="L24" s="476"/>
      <c r="M24" s="476"/>
      <c r="N24" s="476"/>
      <c r="O24" s="476"/>
      <c r="P24" s="476"/>
      <c r="Q24" s="476"/>
      <c r="R24" s="476"/>
      <c r="S24" s="476"/>
      <c r="T24" s="476"/>
      <c r="U24" s="476"/>
      <c r="V24" s="485"/>
      <c r="W24" s="511"/>
      <c r="X24" s="511"/>
      <c r="Y24" s="511"/>
      <c r="Z24" s="511"/>
      <c r="AA24" s="511"/>
      <c r="AB24" s="511"/>
      <c r="AC24" s="511"/>
      <c r="AD24" s="511"/>
      <c r="AE24" s="511"/>
      <c r="AF24" s="511"/>
      <c r="AG24" s="511"/>
      <c r="AH24" s="511"/>
      <c r="AI24" s="511"/>
      <c r="AJ24" s="511"/>
      <c r="AK24" s="511"/>
      <c r="AL24" s="511"/>
      <c r="AM24" s="511"/>
    </row>
    <row r="25" spans="1:39">
      <c r="A25" s="1469"/>
      <c r="B25" s="480"/>
      <c r="C25" s="406"/>
      <c r="D25" s="478"/>
      <c r="E25" s="498"/>
      <c r="F25" s="498"/>
      <c r="G25" s="498"/>
      <c r="H25" s="498"/>
      <c r="I25" s="498"/>
      <c r="J25" s="498"/>
      <c r="K25" s="498"/>
      <c r="L25" s="498"/>
      <c r="M25" s="498"/>
      <c r="N25" s="498"/>
      <c r="O25" s="498"/>
      <c r="P25" s="498"/>
      <c r="Q25" s="498"/>
      <c r="R25" s="498"/>
      <c r="S25" s="498"/>
      <c r="T25" s="498"/>
      <c r="U25" s="498"/>
      <c r="V25" s="427"/>
      <c r="W25" s="512"/>
      <c r="X25" s="512"/>
      <c r="Y25" s="512"/>
      <c r="Z25" s="512"/>
      <c r="AA25" s="512"/>
      <c r="AB25" s="512"/>
      <c r="AC25" s="512"/>
      <c r="AD25" s="512"/>
      <c r="AE25" s="512"/>
      <c r="AF25" s="512"/>
      <c r="AG25" s="512"/>
      <c r="AH25" s="512"/>
      <c r="AI25" s="512"/>
      <c r="AJ25" s="512"/>
      <c r="AK25" s="512"/>
      <c r="AL25" s="512"/>
      <c r="AM25" s="512"/>
    </row>
    <row r="26" spans="1:39">
      <c r="A26" s="1469"/>
      <c r="B26" s="479"/>
      <c r="C26" s="403"/>
      <c r="D26" s="475"/>
      <c r="E26" s="476"/>
      <c r="F26" s="476"/>
      <c r="G26" s="476"/>
      <c r="H26" s="476"/>
      <c r="I26" s="476"/>
      <c r="J26" s="476"/>
      <c r="K26" s="476"/>
      <c r="L26" s="476"/>
      <c r="M26" s="476"/>
      <c r="N26" s="476"/>
      <c r="O26" s="476"/>
      <c r="P26" s="476"/>
      <c r="Q26" s="476"/>
      <c r="R26" s="476"/>
      <c r="S26" s="476"/>
      <c r="T26" s="476"/>
      <c r="U26" s="476"/>
      <c r="V26" s="394"/>
      <c r="W26" s="511"/>
      <c r="X26" s="511"/>
      <c r="Y26" s="511"/>
      <c r="Z26" s="511"/>
      <c r="AA26" s="511"/>
      <c r="AB26" s="511"/>
      <c r="AC26" s="511"/>
      <c r="AD26" s="511"/>
      <c r="AE26" s="511"/>
      <c r="AF26" s="511"/>
      <c r="AG26" s="511"/>
      <c r="AH26" s="511"/>
      <c r="AI26" s="511"/>
      <c r="AJ26" s="511"/>
      <c r="AK26" s="511"/>
      <c r="AL26" s="511"/>
      <c r="AM26" s="511"/>
    </row>
    <row r="27" spans="1:39">
      <c r="A27" s="1469"/>
      <c r="B27" s="400"/>
      <c r="C27" s="406"/>
      <c r="D27" s="478"/>
      <c r="E27" s="498"/>
      <c r="F27" s="498"/>
      <c r="G27" s="498"/>
      <c r="H27" s="498"/>
      <c r="I27" s="498"/>
      <c r="J27" s="498"/>
      <c r="K27" s="498"/>
      <c r="L27" s="498"/>
      <c r="M27" s="498"/>
      <c r="N27" s="498"/>
      <c r="O27" s="498"/>
      <c r="P27" s="498"/>
      <c r="Q27" s="498"/>
      <c r="R27" s="498"/>
      <c r="S27" s="498"/>
      <c r="T27" s="498"/>
      <c r="U27" s="498"/>
      <c r="V27" s="485"/>
      <c r="W27" s="512"/>
      <c r="X27" s="512"/>
      <c r="Y27" s="512"/>
      <c r="Z27" s="512"/>
      <c r="AA27" s="512"/>
      <c r="AB27" s="512"/>
      <c r="AC27" s="512"/>
      <c r="AD27" s="512"/>
      <c r="AE27" s="512"/>
      <c r="AF27" s="512"/>
      <c r="AG27" s="512"/>
      <c r="AH27" s="512"/>
      <c r="AI27" s="512"/>
      <c r="AJ27" s="512"/>
      <c r="AK27" s="512"/>
      <c r="AL27" s="512"/>
      <c r="AM27" s="512"/>
    </row>
    <row r="28" spans="1:39">
      <c r="A28" s="1469"/>
      <c r="B28" s="479"/>
      <c r="C28" s="403"/>
      <c r="D28" s="475"/>
      <c r="E28" s="476"/>
      <c r="F28" s="476"/>
      <c r="G28" s="476"/>
      <c r="H28" s="476"/>
      <c r="I28" s="476"/>
      <c r="J28" s="476"/>
      <c r="K28" s="476"/>
      <c r="L28" s="476"/>
      <c r="M28" s="476"/>
      <c r="N28" s="476"/>
      <c r="O28" s="476"/>
      <c r="P28" s="476"/>
      <c r="Q28" s="476"/>
      <c r="R28" s="476"/>
      <c r="S28" s="476"/>
      <c r="T28" s="476"/>
      <c r="U28" s="476"/>
      <c r="V28" s="427"/>
      <c r="W28" s="511"/>
      <c r="X28" s="511"/>
      <c r="Y28" s="511"/>
      <c r="Z28" s="511"/>
      <c r="AA28" s="511"/>
      <c r="AB28" s="511"/>
      <c r="AC28" s="511"/>
      <c r="AD28" s="511"/>
      <c r="AE28" s="511"/>
      <c r="AF28" s="511"/>
      <c r="AG28" s="511"/>
      <c r="AH28" s="511"/>
      <c r="AI28" s="511"/>
      <c r="AJ28" s="511"/>
      <c r="AK28" s="511"/>
      <c r="AL28" s="511"/>
      <c r="AM28" s="511"/>
    </row>
    <row r="29" spans="1:39">
      <c r="A29" s="1469"/>
      <c r="B29" s="480"/>
      <c r="C29" s="409"/>
      <c r="D29" s="478"/>
      <c r="E29" s="498"/>
      <c r="F29" s="498"/>
      <c r="G29" s="498"/>
      <c r="H29" s="498"/>
      <c r="I29" s="498"/>
      <c r="J29" s="498"/>
      <c r="K29" s="498"/>
      <c r="L29" s="498"/>
      <c r="M29" s="498"/>
      <c r="N29" s="498"/>
      <c r="O29" s="498"/>
      <c r="P29" s="498"/>
      <c r="Q29" s="498"/>
      <c r="R29" s="498"/>
      <c r="S29" s="498"/>
      <c r="T29" s="498"/>
      <c r="U29" s="498"/>
      <c r="V29" s="394"/>
      <c r="W29" s="512"/>
      <c r="X29" s="512"/>
      <c r="Y29" s="512"/>
      <c r="Z29" s="512"/>
      <c r="AA29" s="512"/>
      <c r="AB29" s="512"/>
      <c r="AC29" s="512"/>
      <c r="AD29" s="512"/>
      <c r="AE29" s="512"/>
      <c r="AF29" s="512"/>
      <c r="AG29" s="512"/>
      <c r="AH29" s="512"/>
      <c r="AI29" s="512"/>
      <c r="AJ29" s="512"/>
      <c r="AK29" s="512"/>
      <c r="AL29" s="512"/>
      <c r="AM29" s="512"/>
    </row>
    <row r="30" spans="1:39">
      <c r="A30" s="1469"/>
      <c r="B30" s="479"/>
      <c r="C30" s="403"/>
      <c r="D30" s="475"/>
      <c r="E30" s="476"/>
      <c r="F30" s="476"/>
      <c r="G30" s="476"/>
      <c r="H30" s="476"/>
      <c r="I30" s="476"/>
      <c r="J30" s="476"/>
      <c r="K30" s="476"/>
      <c r="L30" s="476"/>
      <c r="M30" s="476"/>
      <c r="N30" s="476"/>
      <c r="O30" s="476"/>
      <c r="P30" s="476"/>
      <c r="Q30" s="476"/>
      <c r="R30" s="476"/>
      <c r="S30" s="476"/>
      <c r="T30" s="476"/>
      <c r="U30" s="476"/>
      <c r="V30" s="485"/>
      <c r="W30" s="511"/>
      <c r="X30" s="511"/>
      <c r="Y30" s="511"/>
      <c r="Z30" s="511"/>
      <c r="AA30" s="511"/>
      <c r="AB30" s="511"/>
      <c r="AC30" s="511"/>
      <c r="AD30" s="511"/>
      <c r="AE30" s="511"/>
      <c r="AF30" s="511"/>
      <c r="AG30" s="511"/>
      <c r="AH30" s="511"/>
      <c r="AI30" s="511"/>
      <c r="AJ30" s="511"/>
      <c r="AK30" s="511"/>
      <c r="AL30" s="511"/>
      <c r="AM30" s="511"/>
    </row>
    <row r="31" spans="1:39">
      <c r="A31" s="1469"/>
      <c r="B31" s="400"/>
      <c r="C31" s="406"/>
      <c r="D31" s="478"/>
      <c r="E31" s="498"/>
      <c r="F31" s="498"/>
      <c r="G31" s="498"/>
      <c r="H31" s="498"/>
      <c r="I31" s="498"/>
      <c r="J31" s="498"/>
      <c r="K31" s="498"/>
      <c r="L31" s="498"/>
      <c r="M31" s="498"/>
      <c r="N31" s="498"/>
      <c r="O31" s="498"/>
      <c r="P31" s="498"/>
      <c r="Q31" s="498"/>
      <c r="R31" s="498"/>
      <c r="S31" s="498"/>
      <c r="T31" s="498"/>
      <c r="U31" s="498"/>
      <c r="V31" s="427"/>
      <c r="W31" s="512"/>
      <c r="X31" s="512"/>
      <c r="Y31" s="512"/>
      <c r="Z31" s="512"/>
      <c r="AA31" s="512"/>
      <c r="AB31" s="512"/>
      <c r="AC31" s="512"/>
      <c r="AD31" s="512"/>
      <c r="AE31" s="512"/>
      <c r="AF31" s="512"/>
      <c r="AG31" s="512"/>
      <c r="AH31" s="512"/>
      <c r="AI31" s="512"/>
      <c r="AJ31" s="512"/>
      <c r="AK31" s="512"/>
      <c r="AL31" s="512"/>
      <c r="AM31" s="512"/>
    </row>
    <row r="32" spans="1:39">
      <c r="A32" s="1469"/>
      <c r="B32" s="479"/>
      <c r="C32" s="403"/>
      <c r="D32" s="475"/>
      <c r="E32" s="476"/>
      <c r="F32" s="476"/>
      <c r="G32" s="476"/>
      <c r="H32" s="476"/>
      <c r="I32" s="476"/>
      <c r="J32" s="476"/>
      <c r="K32" s="476"/>
      <c r="L32" s="476"/>
      <c r="M32" s="476"/>
      <c r="N32" s="476"/>
      <c r="O32" s="476"/>
      <c r="P32" s="476"/>
      <c r="Q32" s="476"/>
      <c r="R32" s="476"/>
      <c r="S32" s="476"/>
      <c r="T32" s="476"/>
      <c r="U32" s="476"/>
      <c r="V32" s="394"/>
      <c r="W32" s="511"/>
      <c r="X32" s="511"/>
      <c r="Y32" s="511"/>
      <c r="Z32" s="511"/>
      <c r="AA32" s="511"/>
      <c r="AB32" s="511"/>
      <c r="AC32" s="511"/>
      <c r="AD32" s="511"/>
      <c r="AE32" s="511"/>
      <c r="AF32" s="511"/>
      <c r="AG32" s="511"/>
      <c r="AH32" s="511"/>
      <c r="AI32" s="511"/>
      <c r="AJ32" s="511"/>
      <c r="AK32" s="511"/>
      <c r="AL32" s="511"/>
      <c r="AM32" s="511"/>
    </row>
    <row r="33" spans="1:39">
      <c r="A33" s="1469"/>
      <c r="B33" s="477"/>
      <c r="C33" s="406"/>
      <c r="D33" s="478"/>
      <c r="E33" s="498"/>
      <c r="F33" s="498"/>
      <c r="G33" s="498"/>
      <c r="H33" s="498"/>
      <c r="I33" s="498"/>
      <c r="J33" s="498"/>
      <c r="K33" s="498"/>
      <c r="L33" s="498"/>
      <c r="M33" s="498"/>
      <c r="N33" s="498"/>
      <c r="O33" s="498"/>
      <c r="P33" s="498"/>
      <c r="Q33" s="498"/>
      <c r="R33" s="498"/>
      <c r="S33" s="498"/>
      <c r="T33" s="498"/>
      <c r="U33" s="498"/>
      <c r="V33" s="485"/>
      <c r="W33" s="512"/>
      <c r="X33" s="512"/>
      <c r="Y33" s="512"/>
      <c r="Z33" s="512"/>
      <c r="AA33" s="512"/>
      <c r="AB33" s="512"/>
      <c r="AC33" s="512"/>
      <c r="AD33" s="512"/>
      <c r="AE33" s="512"/>
      <c r="AF33" s="512"/>
      <c r="AG33" s="512"/>
      <c r="AH33" s="512"/>
      <c r="AI33" s="512"/>
      <c r="AJ33" s="512"/>
      <c r="AK33" s="512"/>
      <c r="AL33" s="512"/>
      <c r="AM33" s="512"/>
    </row>
    <row r="34" spans="1:39">
      <c r="A34" s="1469"/>
      <c r="B34" s="479"/>
      <c r="C34" s="403"/>
      <c r="D34" s="475"/>
      <c r="E34" s="476"/>
      <c r="F34" s="476"/>
      <c r="G34" s="476"/>
      <c r="H34" s="476"/>
      <c r="I34" s="476"/>
      <c r="J34" s="476"/>
      <c r="K34" s="476"/>
      <c r="L34" s="476"/>
      <c r="M34" s="476"/>
      <c r="N34" s="476"/>
      <c r="O34" s="476"/>
      <c r="P34" s="476"/>
      <c r="Q34" s="476"/>
      <c r="R34" s="476"/>
      <c r="S34" s="476"/>
      <c r="T34" s="476"/>
      <c r="U34" s="476"/>
      <c r="V34" s="427"/>
      <c r="W34" s="511"/>
      <c r="X34" s="511"/>
      <c r="Y34" s="511"/>
      <c r="Z34" s="511"/>
      <c r="AA34" s="511"/>
      <c r="AB34" s="511"/>
      <c r="AC34" s="511"/>
      <c r="AD34" s="511"/>
      <c r="AE34" s="511"/>
      <c r="AF34" s="511"/>
      <c r="AG34" s="511"/>
      <c r="AH34" s="511"/>
      <c r="AI34" s="511"/>
      <c r="AJ34" s="511"/>
      <c r="AK34" s="511"/>
      <c r="AL34" s="511"/>
      <c r="AM34" s="511"/>
    </row>
    <row r="35" spans="1:39">
      <c r="A35" s="1469"/>
      <c r="B35" s="480"/>
      <c r="C35" s="406"/>
      <c r="D35" s="478"/>
      <c r="E35" s="498"/>
      <c r="F35" s="498"/>
      <c r="G35" s="498"/>
      <c r="H35" s="498"/>
      <c r="I35" s="498"/>
      <c r="J35" s="498"/>
      <c r="K35" s="498"/>
      <c r="L35" s="498"/>
      <c r="M35" s="498"/>
      <c r="N35" s="498"/>
      <c r="O35" s="498"/>
      <c r="P35" s="498"/>
      <c r="Q35" s="498"/>
      <c r="R35" s="498"/>
      <c r="S35" s="498"/>
      <c r="T35" s="498"/>
      <c r="U35" s="498"/>
      <c r="V35" s="394"/>
      <c r="W35" s="512"/>
      <c r="X35" s="512"/>
      <c r="Y35" s="512"/>
      <c r="Z35" s="512"/>
      <c r="AA35" s="512"/>
      <c r="AB35" s="512"/>
      <c r="AC35" s="512"/>
      <c r="AD35" s="512"/>
      <c r="AE35" s="512"/>
      <c r="AF35" s="512"/>
      <c r="AG35" s="512"/>
      <c r="AH35" s="512"/>
      <c r="AI35" s="512"/>
      <c r="AJ35" s="512"/>
      <c r="AK35" s="512"/>
      <c r="AL35" s="512"/>
      <c r="AM35" s="512"/>
    </row>
    <row r="36" spans="1:39">
      <c r="A36" s="1469"/>
      <c r="B36" s="479"/>
      <c r="C36" s="403"/>
      <c r="D36" s="475"/>
      <c r="E36" s="476"/>
      <c r="F36" s="476"/>
      <c r="G36" s="476"/>
      <c r="H36" s="476"/>
      <c r="I36" s="476"/>
      <c r="J36" s="476"/>
      <c r="K36" s="476"/>
      <c r="L36" s="476"/>
      <c r="M36" s="476"/>
      <c r="N36" s="476"/>
      <c r="O36" s="476"/>
      <c r="P36" s="476"/>
      <c r="Q36" s="476"/>
      <c r="R36" s="476"/>
      <c r="S36" s="476"/>
      <c r="T36" s="476"/>
      <c r="U36" s="476"/>
      <c r="V36" s="485"/>
      <c r="W36" s="511"/>
      <c r="X36" s="511"/>
      <c r="Y36" s="511"/>
      <c r="Z36" s="511"/>
      <c r="AA36" s="511"/>
      <c r="AB36" s="511"/>
      <c r="AC36" s="511"/>
      <c r="AD36" s="511"/>
      <c r="AE36" s="511"/>
      <c r="AF36" s="511"/>
      <c r="AG36" s="511"/>
      <c r="AH36" s="511"/>
      <c r="AI36" s="511"/>
      <c r="AJ36" s="511"/>
      <c r="AK36" s="511"/>
      <c r="AL36" s="511"/>
      <c r="AM36" s="511"/>
    </row>
    <row r="37" spans="1:39">
      <c r="A37" s="1469"/>
      <c r="B37" s="400"/>
      <c r="C37" s="406"/>
      <c r="D37" s="478"/>
      <c r="E37" s="498"/>
      <c r="F37" s="498"/>
      <c r="G37" s="498"/>
      <c r="H37" s="498"/>
      <c r="I37" s="498"/>
      <c r="J37" s="498"/>
      <c r="K37" s="498"/>
      <c r="L37" s="498"/>
      <c r="M37" s="498"/>
      <c r="N37" s="498"/>
      <c r="O37" s="498"/>
      <c r="P37" s="498"/>
      <c r="Q37" s="498"/>
      <c r="R37" s="498"/>
      <c r="S37" s="498"/>
      <c r="T37" s="498"/>
      <c r="U37" s="498"/>
      <c r="V37" s="427"/>
      <c r="W37" s="512"/>
      <c r="X37" s="512"/>
      <c r="Y37" s="512"/>
      <c r="Z37" s="512"/>
      <c r="AA37" s="512"/>
      <c r="AB37" s="512"/>
      <c r="AC37" s="512"/>
      <c r="AD37" s="512"/>
      <c r="AE37" s="512"/>
      <c r="AF37" s="512"/>
      <c r="AG37" s="512"/>
      <c r="AH37" s="512"/>
      <c r="AI37" s="512"/>
      <c r="AJ37" s="512"/>
      <c r="AK37" s="512"/>
      <c r="AL37" s="512"/>
      <c r="AM37" s="512"/>
    </row>
    <row r="38" spans="1:39">
      <c r="A38" s="1469"/>
      <c r="B38" s="466"/>
      <c r="C38" s="403"/>
      <c r="D38" s="475"/>
      <c r="E38" s="476"/>
      <c r="F38" s="476"/>
      <c r="G38" s="476"/>
      <c r="H38" s="476"/>
      <c r="I38" s="476"/>
      <c r="J38" s="476"/>
      <c r="K38" s="476"/>
      <c r="L38" s="476"/>
      <c r="M38" s="476"/>
      <c r="N38" s="476"/>
      <c r="O38" s="476"/>
      <c r="P38" s="476"/>
      <c r="Q38" s="476"/>
      <c r="R38" s="476"/>
      <c r="S38" s="476"/>
      <c r="T38" s="476"/>
      <c r="U38" s="476"/>
      <c r="V38" s="394"/>
      <c r="W38" s="511"/>
      <c r="X38" s="511"/>
      <c r="Y38" s="511"/>
      <c r="Z38" s="511"/>
      <c r="AA38" s="511"/>
      <c r="AB38" s="511"/>
      <c r="AC38" s="511"/>
      <c r="AD38" s="511"/>
      <c r="AE38" s="511"/>
      <c r="AF38" s="511"/>
      <c r="AG38" s="511"/>
      <c r="AH38" s="511"/>
      <c r="AI38" s="511"/>
      <c r="AJ38" s="511"/>
      <c r="AK38" s="511"/>
      <c r="AL38" s="511"/>
      <c r="AM38" s="511"/>
    </row>
    <row r="39" spans="1:39">
      <c r="A39" s="1470"/>
      <c r="B39" s="480"/>
      <c r="C39" s="409"/>
      <c r="D39" s="478"/>
      <c r="E39" s="498"/>
      <c r="F39" s="498"/>
      <c r="G39" s="498"/>
      <c r="H39" s="498"/>
      <c r="I39" s="498"/>
      <c r="J39" s="498"/>
      <c r="K39" s="498"/>
      <c r="L39" s="498"/>
      <c r="M39" s="498"/>
      <c r="N39" s="498"/>
      <c r="O39" s="498"/>
      <c r="P39" s="498"/>
      <c r="Q39" s="498"/>
      <c r="R39" s="498"/>
      <c r="S39" s="498"/>
      <c r="T39" s="498"/>
      <c r="U39" s="498"/>
      <c r="V39" s="485"/>
      <c r="W39" s="512"/>
      <c r="X39" s="512"/>
      <c r="Y39" s="512"/>
      <c r="Z39" s="512"/>
      <c r="AA39" s="512"/>
      <c r="AB39" s="512"/>
      <c r="AC39" s="512"/>
      <c r="AD39" s="512"/>
      <c r="AE39" s="512"/>
      <c r="AF39" s="512"/>
      <c r="AG39" s="512"/>
      <c r="AH39" s="512"/>
      <c r="AI39" s="512"/>
      <c r="AJ39" s="512"/>
      <c r="AK39" s="512"/>
      <c r="AL39" s="512"/>
      <c r="AM39" s="512"/>
    </row>
    <row r="40" spans="1:39">
      <c r="A40" s="1468"/>
      <c r="B40" s="502"/>
      <c r="C40" s="481"/>
      <c r="D40" s="475"/>
      <c r="E40" s="476"/>
      <c r="F40" s="476"/>
      <c r="G40" s="476"/>
      <c r="H40" s="476"/>
      <c r="I40" s="476"/>
      <c r="J40" s="476"/>
      <c r="K40" s="476"/>
      <c r="L40" s="476"/>
      <c r="M40" s="476"/>
      <c r="N40" s="476"/>
      <c r="O40" s="476"/>
      <c r="P40" s="476"/>
      <c r="Q40" s="476"/>
      <c r="R40" s="476"/>
      <c r="S40" s="476"/>
      <c r="T40" s="476"/>
      <c r="U40" s="476"/>
      <c r="V40" s="427"/>
      <c r="W40" s="511"/>
      <c r="X40" s="511"/>
      <c r="Y40" s="511"/>
      <c r="Z40" s="511"/>
      <c r="AA40" s="511"/>
      <c r="AB40" s="511"/>
      <c r="AC40" s="511"/>
      <c r="AD40" s="511"/>
      <c r="AE40" s="511"/>
      <c r="AF40" s="511"/>
      <c r="AG40" s="511"/>
      <c r="AH40" s="511"/>
      <c r="AI40" s="511"/>
      <c r="AJ40" s="511"/>
      <c r="AK40" s="511"/>
      <c r="AL40" s="511"/>
      <c r="AM40" s="511"/>
    </row>
    <row r="41" spans="1:39">
      <c r="A41" s="1469"/>
      <c r="B41" s="503"/>
      <c r="C41" s="406"/>
      <c r="D41" s="478"/>
      <c r="E41" s="498"/>
      <c r="F41" s="498"/>
      <c r="G41" s="498"/>
      <c r="H41" s="498"/>
      <c r="I41" s="498"/>
      <c r="J41" s="498"/>
      <c r="K41" s="498"/>
      <c r="L41" s="498"/>
      <c r="M41" s="498"/>
      <c r="N41" s="498"/>
      <c r="O41" s="498"/>
      <c r="P41" s="498"/>
      <c r="Q41" s="498"/>
      <c r="R41" s="498"/>
      <c r="S41" s="498"/>
      <c r="T41" s="498"/>
      <c r="U41" s="498"/>
      <c r="V41" s="394"/>
      <c r="W41" s="512"/>
      <c r="X41" s="512"/>
      <c r="Y41" s="512"/>
      <c r="Z41" s="512"/>
      <c r="AA41" s="512"/>
      <c r="AB41" s="512"/>
      <c r="AC41" s="512"/>
      <c r="AD41" s="512"/>
      <c r="AE41" s="512"/>
      <c r="AF41" s="512"/>
      <c r="AG41" s="512"/>
      <c r="AH41" s="512"/>
      <c r="AI41" s="512"/>
      <c r="AJ41" s="512"/>
      <c r="AK41" s="512"/>
      <c r="AL41" s="512"/>
      <c r="AM41" s="512"/>
    </row>
    <row r="42" spans="1:39">
      <c r="A42" s="1469"/>
      <c r="B42" s="504"/>
      <c r="C42" s="403"/>
      <c r="D42" s="475"/>
      <c r="E42" s="476"/>
      <c r="F42" s="476"/>
      <c r="G42" s="476"/>
      <c r="H42" s="476"/>
      <c r="I42" s="476"/>
      <c r="J42" s="476"/>
      <c r="K42" s="476"/>
      <c r="L42" s="476"/>
      <c r="M42" s="476"/>
      <c r="N42" s="476"/>
      <c r="O42" s="476"/>
      <c r="P42" s="476"/>
      <c r="Q42" s="476"/>
      <c r="R42" s="476"/>
      <c r="S42" s="476"/>
      <c r="T42" s="476"/>
      <c r="U42" s="476"/>
      <c r="V42" s="485"/>
      <c r="W42" s="511"/>
      <c r="X42" s="511"/>
      <c r="Y42" s="511"/>
      <c r="Z42" s="511"/>
      <c r="AA42" s="511"/>
      <c r="AB42" s="511"/>
      <c r="AC42" s="511"/>
      <c r="AD42" s="511"/>
      <c r="AE42" s="511"/>
      <c r="AF42" s="511"/>
      <c r="AG42" s="511"/>
      <c r="AH42" s="511"/>
      <c r="AI42" s="511"/>
      <c r="AJ42" s="511"/>
      <c r="AK42" s="511"/>
      <c r="AL42" s="511"/>
      <c r="AM42" s="511"/>
    </row>
    <row r="43" spans="1:39">
      <c r="A43" s="1469"/>
      <c r="B43" s="505"/>
      <c r="C43" s="406"/>
      <c r="D43" s="478"/>
      <c r="E43" s="498"/>
      <c r="F43" s="498"/>
      <c r="G43" s="498"/>
      <c r="H43" s="498"/>
      <c r="I43" s="498"/>
      <c r="J43" s="498"/>
      <c r="K43" s="498"/>
      <c r="L43" s="498"/>
      <c r="M43" s="498"/>
      <c r="N43" s="498"/>
      <c r="O43" s="498"/>
      <c r="P43" s="498"/>
      <c r="Q43" s="498"/>
      <c r="R43" s="498"/>
      <c r="S43" s="498"/>
      <c r="T43" s="498"/>
      <c r="U43" s="498"/>
      <c r="V43" s="427"/>
      <c r="W43" s="512"/>
      <c r="X43" s="512"/>
      <c r="Y43" s="512"/>
      <c r="Z43" s="512"/>
      <c r="AA43" s="512"/>
      <c r="AB43" s="512"/>
      <c r="AC43" s="512"/>
      <c r="AD43" s="512"/>
      <c r="AE43" s="512"/>
      <c r="AF43" s="512"/>
      <c r="AG43" s="512"/>
      <c r="AH43" s="512"/>
      <c r="AI43" s="512"/>
      <c r="AJ43" s="512"/>
      <c r="AK43" s="512"/>
      <c r="AL43" s="512"/>
      <c r="AM43" s="512"/>
    </row>
    <row r="44" spans="1:39">
      <c r="A44" s="1469"/>
      <c r="B44" s="504"/>
      <c r="C44" s="403"/>
      <c r="D44" s="475"/>
      <c r="E44" s="476"/>
      <c r="F44" s="476"/>
      <c r="G44" s="476"/>
      <c r="H44" s="476"/>
      <c r="I44" s="476"/>
      <c r="J44" s="476"/>
      <c r="K44" s="476"/>
      <c r="L44" s="476"/>
      <c r="M44" s="476"/>
      <c r="N44" s="476"/>
      <c r="O44" s="476"/>
      <c r="P44" s="476"/>
      <c r="Q44" s="476"/>
      <c r="R44" s="476"/>
      <c r="S44" s="476"/>
      <c r="T44" s="476"/>
      <c r="U44" s="476"/>
      <c r="V44" s="394"/>
      <c r="W44" s="511"/>
      <c r="X44" s="511"/>
      <c r="Y44" s="511"/>
      <c r="Z44" s="511"/>
      <c r="AA44" s="511"/>
      <c r="AB44" s="511"/>
      <c r="AC44" s="511"/>
      <c r="AD44" s="511"/>
      <c r="AE44" s="511"/>
      <c r="AF44" s="511"/>
      <c r="AG44" s="511"/>
      <c r="AH44" s="511"/>
      <c r="AI44" s="511"/>
      <c r="AJ44" s="511"/>
      <c r="AK44" s="511"/>
      <c r="AL44" s="511"/>
      <c r="AM44" s="511"/>
    </row>
    <row r="45" spans="1:39">
      <c r="A45" s="1469"/>
      <c r="B45" s="503"/>
      <c r="C45" s="409"/>
      <c r="D45" s="478"/>
      <c r="E45" s="498"/>
      <c r="F45" s="498"/>
      <c r="G45" s="498"/>
      <c r="H45" s="498"/>
      <c r="I45" s="498"/>
      <c r="J45" s="498"/>
      <c r="K45" s="498"/>
      <c r="L45" s="498"/>
      <c r="M45" s="498"/>
      <c r="N45" s="498"/>
      <c r="O45" s="498"/>
      <c r="P45" s="498"/>
      <c r="Q45" s="498"/>
      <c r="R45" s="498"/>
      <c r="S45" s="498"/>
      <c r="T45" s="498"/>
      <c r="U45" s="498"/>
      <c r="V45" s="485"/>
      <c r="W45" s="512"/>
      <c r="X45" s="512"/>
      <c r="Y45" s="512"/>
      <c r="Z45" s="512"/>
      <c r="AA45" s="512"/>
      <c r="AB45" s="512"/>
      <c r="AC45" s="512"/>
      <c r="AD45" s="512"/>
      <c r="AE45" s="512"/>
      <c r="AF45" s="512"/>
      <c r="AG45" s="512"/>
      <c r="AH45" s="512"/>
      <c r="AI45" s="512"/>
      <c r="AJ45" s="512"/>
      <c r="AK45" s="512"/>
      <c r="AL45" s="512"/>
      <c r="AM45" s="512"/>
    </row>
    <row r="46" spans="1:39">
      <c r="A46" s="1469"/>
      <c r="B46" s="502"/>
      <c r="C46" s="403"/>
      <c r="D46" s="475"/>
      <c r="E46" s="476"/>
      <c r="F46" s="476"/>
      <c r="G46" s="476"/>
      <c r="H46" s="476"/>
      <c r="I46" s="476"/>
      <c r="J46" s="476"/>
      <c r="K46" s="476"/>
      <c r="L46" s="476"/>
      <c r="M46" s="476"/>
      <c r="N46" s="476"/>
      <c r="O46" s="476"/>
      <c r="P46" s="476"/>
      <c r="Q46" s="476"/>
      <c r="R46" s="476"/>
      <c r="S46" s="476"/>
      <c r="T46" s="476"/>
      <c r="U46" s="476"/>
      <c r="V46" s="427"/>
      <c r="W46" s="511"/>
      <c r="X46" s="511"/>
      <c r="Y46" s="511"/>
      <c r="Z46" s="511"/>
      <c r="AA46" s="511"/>
      <c r="AB46" s="511"/>
      <c r="AC46" s="511"/>
      <c r="AD46" s="511"/>
      <c r="AE46" s="511"/>
      <c r="AF46" s="511"/>
      <c r="AG46" s="511"/>
      <c r="AH46" s="511"/>
      <c r="AI46" s="511"/>
      <c r="AJ46" s="511"/>
      <c r="AK46" s="511"/>
      <c r="AL46" s="511"/>
      <c r="AM46" s="511"/>
    </row>
    <row r="47" spans="1:39">
      <c r="A47" s="1469"/>
      <c r="B47" s="503"/>
      <c r="C47" s="406"/>
      <c r="D47" s="478"/>
      <c r="E47" s="498"/>
      <c r="F47" s="498"/>
      <c r="G47" s="498"/>
      <c r="H47" s="498"/>
      <c r="I47" s="498"/>
      <c r="J47" s="498"/>
      <c r="K47" s="498"/>
      <c r="L47" s="498"/>
      <c r="M47" s="498"/>
      <c r="N47" s="498"/>
      <c r="O47" s="498"/>
      <c r="P47" s="498"/>
      <c r="Q47" s="498"/>
      <c r="R47" s="498"/>
      <c r="S47" s="498"/>
      <c r="T47" s="498"/>
      <c r="U47" s="498"/>
      <c r="V47" s="394"/>
      <c r="W47" s="512"/>
      <c r="X47" s="512"/>
      <c r="Y47" s="512"/>
      <c r="Z47" s="512"/>
      <c r="AA47" s="512"/>
      <c r="AB47" s="512"/>
      <c r="AC47" s="512"/>
      <c r="AD47" s="512"/>
      <c r="AE47" s="512"/>
      <c r="AF47" s="512"/>
      <c r="AG47" s="512"/>
      <c r="AH47" s="512"/>
      <c r="AI47" s="512"/>
      <c r="AJ47" s="512"/>
      <c r="AK47" s="512"/>
      <c r="AL47" s="512"/>
      <c r="AM47" s="512"/>
    </row>
    <row r="48" spans="1:39">
      <c r="A48" s="1469"/>
      <c r="B48" s="506"/>
      <c r="C48" s="403"/>
      <c r="D48" s="475"/>
      <c r="E48" s="476"/>
      <c r="F48" s="476"/>
      <c r="G48" s="476"/>
      <c r="H48" s="476"/>
      <c r="I48" s="476"/>
      <c r="J48" s="476"/>
      <c r="K48" s="476"/>
      <c r="L48" s="476"/>
      <c r="M48" s="476"/>
      <c r="N48" s="476"/>
      <c r="O48" s="476"/>
      <c r="P48" s="476"/>
      <c r="Q48" s="476"/>
      <c r="R48" s="476"/>
      <c r="S48" s="476"/>
      <c r="T48" s="476"/>
      <c r="U48" s="476"/>
      <c r="V48" s="485"/>
      <c r="W48" s="511"/>
      <c r="X48" s="511"/>
      <c r="Y48" s="511"/>
      <c r="Z48" s="511"/>
      <c r="AA48" s="511"/>
      <c r="AB48" s="511"/>
      <c r="AC48" s="511"/>
      <c r="AD48" s="511"/>
      <c r="AE48" s="511"/>
      <c r="AF48" s="511"/>
      <c r="AG48" s="511"/>
      <c r="AH48" s="511"/>
      <c r="AI48" s="511"/>
      <c r="AJ48" s="511"/>
      <c r="AK48" s="511"/>
      <c r="AL48" s="511"/>
      <c r="AM48" s="511"/>
    </row>
    <row r="49" spans="1:39">
      <c r="A49" s="1469"/>
      <c r="B49" s="505"/>
      <c r="C49" s="406"/>
      <c r="D49" s="478"/>
      <c r="E49" s="498"/>
      <c r="F49" s="498"/>
      <c r="G49" s="498"/>
      <c r="H49" s="498"/>
      <c r="I49" s="498"/>
      <c r="J49" s="498"/>
      <c r="K49" s="498"/>
      <c r="L49" s="498"/>
      <c r="M49" s="498"/>
      <c r="N49" s="498"/>
      <c r="O49" s="498"/>
      <c r="P49" s="498"/>
      <c r="Q49" s="498"/>
      <c r="R49" s="498"/>
      <c r="S49" s="498"/>
      <c r="T49" s="498"/>
      <c r="U49" s="498"/>
      <c r="V49" s="427"/>
      <c r="W49" s="512"/>
      <c r="X49" s="512"/>
      <c r="Y49" s="512"/>
      <c r="Z49" s="512"/>
      <c r="AA49" s="512"/>
      <c r="AB49" s="512"/>
      <c r="AC49" s="512"/>
      <c r="AD49" s="512"/>
      <c r="AE49" s="512"/>
      <c r="AF49" s="512"/>
      <c r="AG49" s="512"/>
      <c r="AH49" s="512"/>
      <c r="AI49" s="512"/>
      <c r="AJ49" s="512"/>
      <c r="AK49" s="512"/>
      <c r="AL49" s="512"/>
      <c r="AM49" s="512"/>
    </row>
    <row r="50" spans="1:39">
      <c r="A50" s="1469"/>
      <c r="B50" s="506"/>
      <c r="C50" s="403"/>
      <c r="D50" s="475"/>
      <c r="E50" s="476"/>
      <c r="F50" s="476"/>
      <c r="G50" s="476"/>
      <c r="H50" s="476"/>
      <c r="I50" s="476"/>
      <c r="J50" s="476"/>
      <c r="K50" s="476"/>
      <c r="L50" s="476"/>
      <c r="M50" s="476"/>
      <c r="N50" s="476"/>
      <c r="O50" s="476"/>
      <c r="P50" s="476"/>
      <c r="Q50" s="476"/>
      <c r="R50" s="476"/>
      <c r="S50" s="476"/>
      <c r="T50" s="476"/>
      <c r="U50" s="476"/>
      <c r="V50" s="394"/>
      <c r="W50" s="511"/>
      <c r="X50" s="511"/>
      <c r="Y50" s="511"/>
      <c r="Z50" s="511"/>
      <c r="AA50" s="511"/>
      <c r="AB50" s="511"/>
      <c r="AC50" s="511"/>
      <c r="AD50" s="511"/>
      <c r="AE50" s="511"/>
      <c r="AF50" s="511"/>
      <c r="AG50" s="511"/>
      <c r="AH50" s="511"/>
      <c r="AI50" s="511"/>
      <c r="AJ50" s="511"/>
      <c r="AK50" s="511"/>
      <c r="AL50" s="511"/>
      <c r="AM50" s="511"/>
    </row>
    <row r="51" spans="1:39">
      <c r="A51" s="1469"/>
      <c r="B51" s="505"/>
      <c r="C51" s="406"/>
      <c r="D51" s="478"/>
      <c r="E51" s="498"/>
      <c r="F51" s="498"/>
      <c r="G51" s="498"/>
      <c r="H51" s="498"/>
      <c r="I51" s="498"/>
      <c r="J51" s="498"/>
      <c r="K51" s="498"/>
      <c r="L51" s="498"/>
      <c r="M51" s="498"/>
      <c r="N51" s="498"/>
      <c r="O51" s="498"/>
      <c r="P51" s="498"/>
      <c r="Q51" s="498"/>
      <c r="R51" s="498"/>
      <c r="S51" s="498"/>
      <c r="T51" s="498"/>
      <c r="U51" s="498"/>
      <c r="V51" s="485"/>
      <c r="W51" s="512"/>
      <c r="X51" s="512"/>
      <c r="Y51" s="512"/>
      <c r="Z51" s="512"/>
      <c r="AA51" s="512"/>
      <c r="AB51" s="512"/>
      <c r="AC51" s="512"/>
      <c r="AD51" s="512"/>
      <c r="AE51" s="512"/>
      <c r="AF51" s="512"/>
      <c r="AG51" s="512"/>
      <c r="AH51" s="512"/>
      <c r="AI51" s="512"/>
      <c r="AJ51" s="512"/>
      <c r="AK51" s="512"/>
      <c r="AL51" s="512"/>
      <c r="AM51" s="512"/>
    </row>
    <row r="52" spans="1:39">
      <c r="A52" s="1469"/>
      <c r="B52" s="506"/>
      <c r="C52" s="403"/>
      <c r="D52" s="475"/>
      <c r="E52" s="476"/>
      <c r="F52" s="476"/>
      <c r="G52" s="476"/>
      <c r="H52" s="476"/>
      <c r="I52" s="476"/>
      <c r="J52" s="476"/>
      <c r="K52" s="476"/>
      <c r="L52" s="476"/>
      <c r="M52" s="476"/>
      <c r="N52" s="476"/>
      <c r="O52" s="476"/>
      <c r="P52" s="476"/>
      <c r="Q52" s="476"/>
      <c r="R52" s="476"/>
      <c r="S52" s="476"/>
      <c r="T52" s="476"/>
      <c r="U52" s="476"/>
      <c r="V52" s="427"/>
      <c r="W52" s="511"/>
      <c r="X52" s="511"/>
      <c r="Y52" s="511"/>
      <c r="Z52" s="511"/>
      <c r="AA52" s="511"/>
      <c r="AB52" s="511"/>
      <c r="AC52" s="511"/>
      <c r="AD52" s="511"/>
      <c r="AE52" s="511"/>
      <c r="AF52" s="511"/>
      <c r="AG52" s="511"/>
      <c r="AH52" s="511"/>
      <c r="AI52" s="511"/>
      <c r="AJ52" s="511"/>
      <c r="AK52" s="511"/>
      <c r="AL52" s="511"/>
      <c r="AM52" s="511"/>
    </row>
    <row r="53" spans="1:39">
      <c r="A53" s="1469"/>
      <c r="B53" s="503"/>
      <c r="C53" s="406"/>
      <c r="D53" s="478"/>
      <c r="E53" s="498"/>
      <c r="F53" s="498"/>
      <c r="G53" s="498"/>
      <c r="H53" s="498"/>
      <c r="I53" s="498"/>
      <c r="J53" s="498"/>
      <c r="K53" s="498"/>
      <c r="L53" s="498"/>
      <c r="M53" s="498"/>
      <c r="N53" s="498"/>
      <c r="O53" s="498"/>
      <c r="P53" s="498"/>
      <c r="Q53" s="498"/>
      <c r="R53" s="498"/>
      <c r="S53" s="498"/>
      <c r="T53" s="498"/>
      <c r="U53" s="498"/>
      <c r="V53" s="394"/>
      <c r="W53" s="512"/>
      <c r="X53" s="512"/>
      <c r="Y53" s="512"/>
      <c r="Z53" s="512"/>
      <c r="AA53" s="512"/>
      <c r="AB53" s="512"/>
      <c r="AC53" s="512"/>
      <c r="AD53" s="512"/>
      <c r="AE53" s="512"/>
      <c r="AF53" s="512"/>
      <c r="AG53" s="512"/>
      <c r="AH53" s="512"/>
      <c r="AI53" s="512"/>
      <c r="AJ53" s="512"/>
      <c r="AK53" s="512"/>
      <c r="AL53" s="512"/>
      <c r="AM53" s="512"/>
    </row>
    <row r="54" spans="1:39">
      <c r="A54" s="1469"/>
      <c r="B54" s="506"/>
      <c r="C54" s="403"/>
      <c r="D54" s="475"/>
      <c r="E54" s="476"/>
      <c r="F54" s="476"/>
      <c r="G54" s="476"/>
      <c r="H54" s="476"/>
      <c r="I54" s="476"/>
      <c r="J54" s="476"/>
      <c r="K54" s="476"/>
      <c r="L54" s="476"/>
      <c r="M54" s="476"/>
      <c r="N54" s="476"/>
      <c r="O54" s="476"/>
      <c r="P54" s="476"/>
      <c r="Q54" s="476"/>
      <c r="R54" s="476"/>
      <c r="S54" s="476"/>
      <c r="T54" s="476"/>
      <c r="U54" s="476"/>
      <c r="V54" s="485"/>
      <c r="W54" s="511"/>
      <c r="X54" s="511"/>
      <c r="Y54" s="511"/>
      <c r="Z54" s="511"/>
      <c r="AA54" s="511"/>
      <c r="AB54" s="511"/>
      <c r="AC54" s="511"/>
      <c r="AD54" s="511"/>
      <c r="AE54" s="511"/>
      <c r="AF54" s="511"/>
      <c r="AG54" s="511"/>
      <c r="AH54" s="511"/>
      <c r="AI54" s="511"/>
      <c r="AJ54" s="511"/>
      <c r="AK54" s="511"/>
      <c r="AL54" s="511"/>
      <c r="AM54" s="511"/>
    </row>
    <row r="55" spans="1:39">
      <c r="A55" s="1469"/>
      <c r="B55" s="503"/>
      <c r="C55" s="406"/>
      <c r="D55" s="478"/>
      <c r="E55" s="498"/>
      <c r="F55" s="498"/>
      <c r="G55" s="498"/>
      <c r="H55" s="498"/>
      <c r="I55" s="498"/>
      <c r="J55" s="498"/>
      <c r="K55" s="498"/>
      <c r="L55" s="498"/>
      <c r="M55" s="498"/>
      <c r="N55" s="498"/>
      <c r="O55" s="498"/>
      <c r="P55" s="498"/>
      <c r="Q55" s="498"/>
      <c r="R55" s="498"/>
      <c r="S55" s="498"/>
      <c r="T55" s="498"/>
      <c r="U55" s="498"/>
      <c r="V55" s="427"/>
      <c r="W55" s="512"/>
      <c r="X55" s="512"/>
      <c r="Y55" s="512"/>
      <c r="Z55" s="512"/>
      <c r="AA55" s="512"/>
      <c r="AB55" s="512"/>
      <c r="AC55" s="512"/>
      <c r="AD55" s="512"/>
      <c r="AE55" s="512"/>
      <c r="AF55" s="512"/>
      <c r="AG55" s="512"/>
      <c r="AH55" s="512"/>
      <c r="AI55" s="512"/>
      <c r="AJ55" s="512"/>
      <c r="AK55" s="512"/>
      <c r="AL55" s="512"/>
      <c r="AM55" s="512"/>
    </row>
    <row r="56" spans="1:39">
      <c r="A56" s="1469"/>
      <c r="B56" s="504"/>
      <c r="C56" s="403"/>
      <c r="D56" s="475"/>
      <c r="E56" s="476"/>
      <c r="F56" s="476"/>
      <c r="G56" s="476"/>
      <c r="H56" s="476"/>
      <c r="I56" s="476"/>
      <c r="J56" s="476"/>
      <c r="K56" s="476"/>
      <c r="L56" s="476"/>
      <c r="M56" s="476"/>
      <c r="N56" s="476"/>
      <c r="O56" s="476"/>
      <c r="P56" s="476"/>
      <c r="Q56" s="476"/>
      <c r="R56" s="476"/>
      <c r="S56" s="476"/>
      <c r="T56" s="476"/>
      <c r="U56" s="476"/>
      <c r="V56" s="394"/>
      <c r="W56" s="511"/>
      <c r="X56" s="511"/>
      <c r="Y56" s="511"/>
      <c r="Z56" s="511"/>
      <c r="AA56" s="511"/>
      <c r="AB56" s="511"/>
      <c r="AC56" s="511"/>
      <c r="AD56" s="511"/>
      <c r="AE56" s="511"/>
      <c r="AF56" s="511"/>
      <c r="AG56" s="511"/>
      <c r="AH56" s="511"/>
      <c r="AI56" s="511"/>
      <c r="AJ56" s="511"/>
      <c r="AK56" s="511"/>
      <c r="AL56" s="511"/>
      <c r="AM56" s="511"/>
    </row>
    <row r="57" spans="1:39">
      <c r="A57" s="1469"/>
      <c r="B57" s="505"/>
      <c r="C57" s="406"/>
      <c r="D57" s="478"/>
      <c r="E57" s="498"/>
      <c r="F57" s="498"/>
      <c r="G57" s="498"/>
      <c r="H57" s="498"/>
      <c r="I57" s="498"/>
      <c r="J57" s="498"/>
      <c r="K57" s="498"/>
      <c r="L57" s="498"/>
      <c r="M57" s="498"/>
      <c r="N57" s="498"/>
      <c r="O57" s="498"/>
      <c r="P57" s="498"/>
      <c r="Q57" s="498"/>
      <c r="R57" s="498"/>
      <c r="S57" s="498"/>
      <c r="T57" s="498"/>
      <c r="U57" s="498"/>
      <c r="V57" s="485"/>
      <c r="W57" s="512"/>
      <c r="X57" s="512"/>
      <c r="Y57" s="512"/>
      <c r="Z57" s="512"/>
      <c r="AA57" s="512"/>
      <c r="AB57" s="512"/>
      <c r="AC57" s="512"/>
      <c r="AD57" s="512"/>
      <c r="AE57" s="512"/>
      <c r="AF57" s="512"/>
      <c r="AG57" s="512"/>
      <c r="AH57" s="512"/>
      <c r="AI57" s="512"/>
      <c r="AJ57" s="512"/>
      <c r="AK57" s="512"/>
      <c r="AL57" s="512"/>
      <c r="AM57" s="512"/>
    </row>
    <row r="58" spans="1:39">
      <c r="A58" s="1469"/>
      <c r="B58" s="504"/>
      <c r="C58" s="403"/>
      <c r="D58" s="475"/>
      <c r="E58" s="476"/>
      <c r="F58" s="476"/>
      <c r="G58" s="476"/>
      <c r="H58" s="476"/>
      <c r="I58" s="476"/>
      <c r="J58" s="476"/>
      <c r="K58" s="476"/>
      <c r="L58" s="476"/>
      <c r="M58" s="476"/>
      <c r="N58" s="476"/>
      <c r="O58" s="476"/>
      <c r="P58" s="476"/>
      <c r="Q58" s="476"/>
      <c r="R58" s="476"/>
      <c r="S58" s="476"/>
      <c r="T58" s="476"/>
      <c r="U58" s="476"/>
      <c r="V58" s="427"/>
      <c r="W58" s="511"/>
      <c r="X58" s="511"/>
      <c r="Y58" s="511"/>
      <c r="Z58" s="511"/>
      <c r="AA58" s="511"/>
      <c r="AB58" s="511"/>
      <c r="AC58" s="511"/>
      <c r="AD58" s="511"/>
      <c r="AE58" s="511"/>
      <c r="AF58" s="511"/>
      <c r="AG58" s="511"/>
      <c r="AH58" s="511"/>
      <c r="AI58" s="511"/>
      <c r="AJ58" s="511"/>
      <c r="AK58" s="511"/>
      <c r="AL58" s="511"/>
      <c r="AM58" s="511"/>
    </row>
    <row r="59" spans="1:39">
      <c r="A59" s="1469"/>
      <c r="B59" s="507"/>
      <c r="C59" s="406"/>
      <c r="D59" s="478"/>
      <c r="E59" s="498"/>
      <c r="F59" s="498"/>
      <c r="G59" s="498"/>
      <c r="H59" s="498"/>
      <c r="I59" s="498"/>
      <c r="J59" s="498"/>
      <c r="K59" s="498"/>
      <c r="L59" s="498"/>
      <c r="M59" s="498"/>
      <c r="N59" s="498"/>
      <c r="O59" s="498"/>
      <c r="P59" s="498"/>
      <c r="Q59" s="498"/>
      <c r="R59" s="498"/>
      <c r="S59" s="498"/>
      <c r="T59" s="498"/>
      <c r="U59" s="498"/>
      <c r="V59" s="394"/>
      <c r="W59" s="512"/>
      <c r="X59" s="512"/>
      <c r="Y59" s="512"/>
      <c r="Z59" s="512"/>
      <c r="AA59" s="512"/>
      <c r="AB59" s="512"/>
      <c r="AC59" s="512"/>
      <c r="AD59" s="512"/>
      <c r="AE59" s="512"/>
      <c r="AF59" s="512"/>
      <c r="AG59" s="512"/>
      <c r="AH59" s="512"/>
      <c r="AI59" s="512"/>
      <c r="AJ59" s="512"/>
      <c r="AK59" s="512"/>
      <c r="AL59" s="512"/>
      <c r="AM59" s="512"/>
    </row>
    <row r="60" spans="1:39">
      <c r="A60" s="1469"/>
      <c r="B60" s="506"/>
      <c r="C60" s="403"/>
      <c r="D60" s="475"/>
      <c r="E60" s="476"/>
      <c r="F60" s="476"/>
      <c r="G60" s="476"/>
      <c r="H60" s="476"/>
      <c r="I60" s="476"/>
      <c r="J60" s="476"/>
      <c r="K60" s="476"/>
      <c r="L60" s="476"/>
      <c r="M60" s="476"/>
      <c r="N60" s="476"/>
      <c r="O60" s="476"/>
      <c r="P60" s="476"/>
      <c r="Q60" s="476"/>
      <c r="R60" s="476"/>
      <c r="S60" s="476"/>
      <c r="T60" s="476"/>
      <c r="U60" s="476"/>
      <c r="V60" s="485"/>
      <c r="W60" s="511"/>
      <c r="X60" s="511"/>
      <c r="Y60" s="511"/>
      <c r="Z60" s="511"/>
      <c r="AA60" s="511"/>
      <c r="AB60" s="511"/>
      <c r="AC60" s="511"/>
      <c r="AD60" s="511"/>
      <c r="AE60" s="511"/>
      <c r="AF60" s="511"/>
      <c r="AG60" s="511"/>
      <c r="AH60" s="511"/>
      <c r="AI60" s="511"/>
      <c r="AJ60" s="511"/>
      <c r="AK60" s="511"/>
      <c r="AL60" s="511"/>
      <c r="AM60" s="511"/>
    </row>
    <row r="61" spans="1:39">
      <c r="A61" s="1469"/>
      <c r="B61" s="507"/>
      <c r="C61" s="406"/>
      <c r="D61" s="478"/>
      <c r="E61" s="498"/>
      <c r="F61" s="498"/>
      <c r="G61" s="498"/>
      <c r="H61" s="498"/>
      <c r="I61" s="498"/>
      <c r="J61" s="498"/>
      <c r="K61" s="498"/>
      <c r="L61" s="498"/>
      <c r="M61" s="498"/>
      <c r="N61" s="498"/>
      <c r="O61" s="498"/>
      <c r="P61" s="498"/>
      <c r="Q61" s="498"/>
      <c r="R61" s="498"/>
      <c r="S61" s="498"/>
      <c r="T61" s="498"/>
      <c r="U61" s="498"/>
      <c r="V61" s="427"/>
      <c r="W61" s="512"/>
      <c r="X61" s="512"/>
      <c r="Y61" s="512"/>
      <c r="Z61" s="512"/>
      <c r="AA61" s="512"/>
      <c r="AB61" s="512"/>
      <c r="AC61" s="512"/>
      <c r="AD61" s="512"/>
      <c r="AE61" s="512"/>
      <c r="AF61" s="512"/>
      <c r="AG61" s="512"/>
      <c r="AH61" s="512"/>
      <c r="AI61" s="512"/>
      <c r="AJ61" s="512"/>
      <c r="AK61" s="512"/>
      <c r="AL61" s="512"/>
      <c r="AM61" s="512"/>
    </row>
    <row r="62" spans="1:39">
      <c r="A62" s="1469"/>
      <c r="B62" s="506"/>
      <c r="C62" s="403"/>
      <c r="D62" s="475"/>
      <c r="E62" s="476"/>
      <c r="F62" s="476"/>
      <c r="G62" s="476"/>
      <c r="H62" s="476"/>
      <c r="I62" s="476"/>
      <c r="J62" s="476"/>
      <c r="K62" s="476"/>
      <c r="L62" s="476"/>
      <c r="M62" s="476"/>
      <c r="N62" s="476"/>
      <c r="O62" s="476"/>
      <c r="P62" s="476"/>
      <c r="Q62" s="476"/>
      <c r="R62" s="476"/>
      <c r="S62" s="476"/>
      <c r="T62" s="476"/>
      <c r="U62" s="476"/>
      <c r="V62" s="394"/>
      <c r="W62" s="511"/>
      <c r="X62" s="511"/>
      <c r="Y62" s="511"/>
      <c r="Z62" s="511"/>
      <c r="AA62" s="511"/>
      <c r="AB62" s="511"/>
      <c r="AC62" s="511"/>
      <c r="AD62" s="511"/>
      <c r="AE62" s="511"/>
      <c r="AF62" s="511"/>
      <c r="AG62" s="511"/>
      <c r="AH62" s="511"/>
      <c r="AI62" s="511"/>
      <c r="AJ62" s="511"/>
      <c r="AK62" s="511"/>
      <c r="AL62" s="511"/>
      <c r="AM62" s="511"/>
    </row>
    <row r="63" spans="1:39">
      <c r="A63" s="1469"/>
      <c r="B63" s="505"/>
      <c r="C63" s="406"/>
      <c r="D63" s="478"/>
      <c r="E63" s="498"/>
      <c r="F63" s="498"/>
      <c r="G63" s="498"/>
      <c r="H63" s="498"/>
      <c r="I63" s="498"/>
      <c r="J63" s="498"/>
      <c r="K63" s="498"/>
      <c r="L63" s="498"/>
      <c r="M63" s="498"/>
      <c r="N63" s="498"/>
      <c r="O63" s="498"/>
      <c r="P63" s="498"/>
      <c r="Q63" s="498"/>
      <c r="R63" s="498"/>
      <c r="S63" s="498"/>
      <c r="T63" s="498"/>
      <c r="U63" s="498"/>
      <c r="V63" s="485"/>
      <c r="W63" s="512"/>
      <c r="X63" s="512"/>
      <c r="Y63" s="512"/>
      <c r="Z63" s="512"/>
      <c r="AA63" s="512"/>
      <c r="AB63" s="512"/>
      <c r="AC63" s="512"/>
      <c r="AD63" s="512"/>
      <c r="AE63" s="512"/>
      <c r="AF63" s="512"/>
      <c r="AG63" s="512"/>
      <c r="AH63" s="512"/>
      <c r="AI63" s="512"/>
      <c r="AJ63" s="512"/>
      <c r="AK63" s="512"/>
      <c r="AL63" s="512"/>
      <c r="AM63" s="512"/>
    </row>
    <row r="64" spans="1:39">
      <c r="A64" s="1469"/>
      <c r="B64" s="506"/>
      <c r="C64" s="403"/>
      <c r="D64" s="475"/>
      <c r="E64" s="476"/>
      <c r="F64" s="476"/>
      <c r="G64" s="476"/>
      <c r="H64" s="476"/>
      <c r="I64" s="476"/>
      <c r="J64" s="476"/>
      <c r="K64" s="476"/>
      <c r="L64" s="476"/>
      <c r="M64" s="476"/>
      <c r="N64" s="476"/>
      <c r="O64" s="476"/>
      <c r="P64" s="476"/>
      <c r="Q64" s="476"/>
      <c r="R64" s="476"/>
      <c r="S64" s="476"/>
      <c r="T64" s="476"/>
      <c r="U64" s="476"/>
      <c r="V64" s="427"/>
      <c r="W64" s="511"/>
      <c r="X64" s="511"/>
      <c r="Y64" s="511"/>
      <c r="Z64" s="511"/>
      <c r="AA64" s="511"/>
      <c r="AB64" s="511"/>
      <c r="AC64" s="511"/>
      <c r="AD64" s="511"/>
      <c r="AE64" s="511"/>
      <c r="AF64" s="511"/>
      <c r="AG64" s="511"/>
      <c r="AH64" s="511"/>
      <c r="AI64" s="511"/>
      <c r="AJ64" s="511"/>
      <c r="AK64" s="511"/>
      <c r="AL64" s="511"/>
      <c r="AM64" s="511"/>
    </row>
    <row r="65" spans="1:39">
      <c r="A65" s="1469"/>
      <c r="B65" s="503"/>
      <c r="C65" s="409"/>
      <c r="D65" s="478"/>
      <c r="E65" s="498"/>
      <c r="F65" s="498"/>
      <c r="G65" s="498"/>
      <c r="H65" s="498"/>
      <c r="I65" s="498"/>
      <c r="J65" s="498"/>
      <c r="K65" s="498"/>
      <c r="L65" s="498"/>
      <c r="M65" s="498"/>
      <c r="N65" s="498"/>
      <c r="O65" s="498"/>
      <c r="P65" s="498"/>
      <c r="Q65" s="498"/>
      <c r="R65" s="498"/>
      <c r="S65" s="498"/>
      <c r="T65" s="498"/>
      <c r="U65" s="498"/>
      <c r="V65" s="394"/>
      <c r="W65" s="512"/>
      <c r="X65" s="512"/>
      <c r="Y65" s="512"/>
      <c r="Z65" s="512"/>
      <c r="AA65" s="512"/>
      <c r="AB65" s="512"/>
      <c r="AC65" s="512"/>
      <c r="AD65" s="512"/>
      <c r="AE65" s="512"/>
      <c r="AF65" s="512"/>
      <c r="AG65" s="512"/>
      <c r="AH65" s="512"/>
      <c r="AI65" s="512"/>
      <c r="AJ65" s="512"/>
      <c r="AK65" s="512"/>
      <c r="AL65" s="512"/>
      <c r="AM65" s="512"/>
    </row>
    <row r="66" spans="1:39">
      <c r="A66" s="1469"/>
      <c r="B66" s="502"/>
      <c r="C66" s="403"/>
      <c r="D66" s="475"/>
      <c r="E66" s="476"/>
      <c r="F66" s="476"/>
      <c r="G66" s="476"/>
      <c r="H66" s="476"/>
      <c r="I66" s="476"/>
      <c r="J66" s="476"/>
      <c r="K66" s="476"/>
      <c r="L66" s="476"/>
      <c r="M66" s="476"/>
      <c r="N66" s="476"/>
      <c r="O66" s="476"/>
      <c r="P66" s="476"/>
      <c r="Q66" s="476"/>
      <c r="R66" s="476"/>
      <c r="S66" s="476"/>
      <c r="T66" s="476"/>
      <c r="U66" s="476"/>
      <c r="V66" s="485"/>
      <c r="W66" s="511"/>
      <c r="X66" s="511"/>
      <c r="Y66" s="511"/>
      <c r="Z66" s="511"/>
      <c r="AA66" s="511"/>
      <c r="AB66" s="511"/>
      <c r="AC66" s="511"/>
      <c r="AD66" s="511"/>
      <c r="AE66" s="511"/>
      <c r="AF66" s="511"/>
      <c r="AG66" s="511"/>
      <c r="AH66" s="511"/>
      <c r="AI66" s="511"/>
      <c r="AJ66" s="511"/>
      <c r="AK66" s="511"/>
      <c r="AL66" s="511"/>
      <c r="AM66" s="511"/>
    </row>
    <row r="67" spans="1:39">
      <c r="A67" s="1469"/>
      <c r="B67" s="503"/>
      <c r="C67" s="406"/>
      <c r="D67" s="478"/>
      <c r="E67" s="498"/>
      <c r="F67" s="498"/>
      <c r="G67" s="498"/>
      <c r="H67" s="498"/>
      <c r="I67" s="498"/>
      <c r="J67" s="498"/>
      <c r="K67" s="498"/>
      <c r="L67" s="498"/>
      <c r="M67" s="498"/>
      <c r="N67" s="498"/>
      <c r="O67" s="498"/>
      <c r="P67" s="498"/>
      <c r="Q67" s="498"/>
      <c r="R67" s="498"/>
      <c r="S67" s="498"/>
      <c r="T67" s="498"/>
      <c r="U67" s="498"/>
      <c r="V67" s="427"/>
      <c r="W67" s="512"/>
      <c r="X67" s="512"/>
      <c r="Y67" s="512"/>
      <c r="Z67" s="512"/>
      <c r="AA67" s="512"/>
      <c r="AB67" s="512"/>
      <c r="AC67" s="512"/>
      <c r="AD67" s="512"/>
      <c r="AE67" s="512"/>
      <c r="AF67" s="512"/>
      <c r="AG67" s="512"/>
      <c r="AH67" s="512"/>
      <c r="AI67" s="512"/>
      <c r="AJ67" s="512"/>
      <c r="AK67" s="512"/>
      <c r="AL67" s="512"/>
      <c r="AM67" s="512"/>
    </row>
    <row r="68" spans="1:39">
      <c r="A68" s="1469"/>
      <c r="B68" s="508"/>
      <c r="C68" s="403"/>
      <c r="D68" s="475"/>
      <c r="E68" s="476"/>
      <c r="F68" s="476"/>
      <c r="G68" s="476"/>
      <c r="H68" s="476"/>
      <c r="I68" s="476"/>
      <c r="J68" s="476"/>
      <c r="K68" s="476"/>
      <c r="L68" s="476"/>
      <c r="M68" s="476"/>
      <c r="N68" s="476"/>
      <c r="O68" s="476"/>
      <c r="P68" s="476"/>
      <c r="Q68" s="476"/>
      <c r="R68" s="476"/>
      <c r="S68" s="476"/>
      <c r="T68" s="476"/>
      <c r="U68" s="476"/>
      <c r="V68" s="394"/>
      <c r="W68" s="511"/>
      <c r="X68" s="511"/>
      <c r="Y68" s="511"/>
      <c r="Z68" s="511"/>
      <c r="AA68" s="511"/>
      <c r="AB68" s="511"/>
      <c r="AC68" s="511"/>
      <c r="AD68" s="511"/>
      <c r="AE68" s="511"/>
      <c r="AF68" s="511"/>
      <c r="AG68" s="511"/>
      <c r="AH68" s="511"/>
      <c r="AI68" s="511"/>
      <c r="AJ68" s="511"/>
      <c r="AK68" s="511"/>
      <c r="AL68" s="511"/>
      <c r="AM68" s="511"/>
    </row>
    <row r="69" spans="1:39">
      <c r="A69" s="1469"/>
      <c r="B69" s="505"/>
      <c r="C69" s="406"/>
      <c r="D69" s="478"/>
      <c r="E69" s="498"/>
      <c r="F69" s="498"/>
      <c r="G69" s="498"/>
      <c r="H69" s="498"/>
      <c r="I69" s="498"/>
      <c r="J69" s="498"/>
      <c r="K69" s="498"/>
      <c r="L69" s="498"/>
      <c r="M69" s="498"/>
      <c r="N69" s="498"/>
      <c r="O69" s="498"/>
      <c r="P69" s="498"/>
      <c r="Q69" s="498"/>
      <c r="R69" s="498"/>
      <c r="S69" s="498"/>
      <c r="T69" s="498"/>
      <c r="U69" s="498"/>
      <c r="V69" s="485"/>
      <c r="W69" s="512"/>
      <c r="X69" s="512"/>
      <c r="Y69" s="512"/>
      <c r="Z69" s="512"/>
      <c r="AA69" s="512"/>
      <c r="AB69" s="512"/>
      <c r="AC69" s="512"/>
      <c r="AD69" s="512"/>
      <c r="AE69" s="512"/>
      <c r="AF69" s="512"/>
      <c r="AG69" s="512"/>
      <c r="AH69" s="512"/>
      <c r="AI69" s="512"/>
      <c r="AJ69" s="512"/>
      <c r="AK69" s="512"/>
      <c r="AL69" s="512"/>
      <c r="AM69" s="512"/>
    </row>
    <row r="70" spans="1:39">
      <c r="A70" s="1469"/>
      <c r="B70" s="506"/>
      <c r="C70" s="403"/>
      <c r="D70" s="475"/>
      <c r="E70" s="476"/>
      <c r="F70" s="476"/>
      <c r="G70" s="476"/>
      <c r="H70" s="476"/>
      <c r="I70" s="476"/>
      <c r="J70" s="476"/>
      <c r="K70" s="476"/>
      <c r="L70" s="476"/>
      <c r="M70" s="476"/>
      <c r="N70" s="476"/>
      <c r="O70" s="476"/>
      <c r="P70" s="476"/>
      <c r="Q70" s="476"/>
      <c r="R70" s="476"/>
      <c r="S70" s="476"/>
      <c r="T70" s="476"/>
      <c r="U70" s="476"/>
      <c r="V70" s="427"/>
      <c r="W70" s="511"/>
      <c r="X70" s="511"/>
      <c r="Y70" s="511"/>
      <c r="Z70" s="511"/>
      <c r="AA70" s="511"/>
      <c r="AB70" s="511"/>
      <c r="AC70" s="511"/>
      <c r="AD70" s="511"/>
      <c r="AE70" s="511"/>
      <c r="AF70" s="511"/>
      <c r="AG70" s="511"/>
      <c r="AH70" s="511"/>
      <c r="AI70" s="511"/>
      <c r="AJ70" s="511"/>
      <c r="AK70" s="511"/>
      <c r="AL70" s="511"/>
      <c r="AM70" s="511"/>
    </row>
    <row r="71" spans="1:39">
      <c r="A71" s="1469"/>
      <c r="B71" s="509"/>
      <c r="C71" s="406"/>
      <c r="D71" s="478"/>
      <c r="E71" s="498"/>
      <c r="F71" s="498"/>
      <c r="G71" s="498"/>
      <c r="H71" s="498"/>
      <c r="I71" s="498"/>
      <c r="J71" s="498"/>
      <c r="K71" s="498"/>
      <c r="L71" s="498"/>
      <c r="M71" s="498"/>
      <c r="N71" s="498"/>
      <c r="O71" s="498"/>
      <c r="P71" s="498"/>
      <c r="Q71" s="498"/>
      <c r="R71" s="498"/>
      <c r="S71" s="498"/>
      <c r="T71" s="498"/>
      <c r="U71" s="498"/>
      <c r="V71" s="394"/>
      <c r="W71" s="512"/>
      <c r="X71" s="512"/>
      <c r="Y71" s="512"/>
      <c r="Z71" s="512"/>
      <c r="AA71" s="512"/>
      <c r="AB71" s="512"/>
      <c r="AC71" s="512"/>
      <c r="AD71" s="512"/>
      <c r="AE71" s="512"/>
      <c r="AF71" s="512"/>
      <c r="AG71" s="512"/>
      <c r="AH71" s="512"/>
      <c r="AI71" s="512"/>
      <c r="AJ71" s="512"/>
      <c r="AK71" s="512"/>
      <c r="AL71" s="512"/>
      <c r="AM71" s="512"/>
    </row>
    <row r="72" spans="1:39">
      <c r="A72" s="1469"/>
      <c r="B72" s="506"/>
      <c r="C72" s="403"/>
      <c r="D72" s="475"/>
      <c r="E72" s="476"/>
      <c r="F72" s="476"/>
      <c r="G72" s="476"/>
      <c r="H72" s="476"/>
      <c r="I72" s="476"/>
      <c r="J72" s="476"/>
      <c r="K72" s="476"/>
      <c r="L72" s="476"/>
      <c r="M72" s="476"/>
      <c r="N72" s="476"/>
      <c r="O72" s="476"/>
      <c r="P72" s="476"/>
      <c r="Q72" s="476"/>
      <c r="R72" s="476"/>
      <c r="S72" s="476"/>
      <c r="T72" s="476"/>
      <c r="U72" s="476"/>
      <c r="V72" s="485"/>
      <c r="W72" s="511"/>
      <c r="X72" s="511"/>
      <c r="Y72" s="511"/>
      <c r="Z72" s="511"/>
      <c r="AA72" s="511"/>
      <c r="AB72" s="511"/>
      <c r="AC72" s="511"/>
      <c r="AD72" s="511"/>
      <c r="AE72" s="511"/>
      <c r="AF72" s="511"/>
      <c r="AG72" s="511"/>
      <c r="AH72" s="511"/>
      <c r="AI72" s="511"/>
      <c r="AJ72" s="511"/>
      <c r="AK72" s="511"/>
      <c r="AL72" s="511"/>
      <c r="AM72" s="511"/>
    </row>
    <row r="73" spans="1:39">
      <c r="A73" s="1469"/>
      <c r="B73" s="507"/>
      <c r="C73" s="406"/>
      <c r="D73" s="478"/>
      <c r="E73" s="498"/>
      <c r="F73" s="498"/>
      <c r="G73" s="498"/>
      <c r="H73" s="498"/>
      <c r="I73" s="498"/>
      <c r="J73" s="498"/>
      <c r="K73" s="498"/>
      <c r="L73" s="498"/>
      <c r="M73" s="498"/>
      <c r="N73" s="498"/>
      <c r="O73" s="498"/>
      <c r="P73" s="498"/>
      <c r="Q73" s="498"/>
      <c r="R73" s="498"/>
      <c r="S73" s="498"/>
      <c r="T73" s="498"/>
      <c r="U73" s="498"/>
      <c r="V73" s="427"/>
      <c r="W73" s="512"/>
      <c r="X73" s="512"/>
      <c r="Y73" s="512"/>
      <c r="Z73" s="512"/>
      <c r="AA73" s="512"/>
      <c r="AB73" s="512"/>
      <c r="AC73" s="512"/>
      <c r="AD73" s="512"/>
      <c r="AE73" s="512"/>
      <c r="AF73" s="512"/>
      <c r="AG73" s="512"/>
      <c r="AH73" s="512"/>
      <c r="AI73" s="512"/>
      <c r="AJ73" s="512"/>
      <c r="AK73" s="512"/>
      <c r="AL73" s="512"/>
      <c r="AM73" s="512"/>
    </row>
    <row r="74" spans="1:39">
      <c r="A74" s="1469"/>
      <c r="B74" s="506"/>
      <c r="C74" s="403"/>
      <c r="D74" s="475"/>
      <c r="E74" s="476"/>
      <c r="F74" s="476"/>
      <c r="G74" s="476"/>
      <c r="H74" s="476"/>
      <c r="I74" s="476"/>
      <c r="J74" s="476"/>
      <c r="K74" s="476"/>
      <c r="L74" s="476"/>
      <c r="M74" s="476"/>
      <c r="N74" s="476"/>
      <c r="O74" s="476"/>
      <c r="P74" s="476"/>
      <c r="Q74" s="476"/>
      <c r="R74" s="476"/>
      <c r="S74" s="476"/>
      <c r="T74" s="476"/>
      <c r="U74" s="476"/>
      <c r="V74" s="394"/>
      <c r="W74" s="511"/>
      <c r="X74" s="511"/>
      <c r="Y74" s="511"/>
      <c r="Z74" s="511"/>
      <c r="AA74" s="511"/>
      <c r="AB74" s="511"/>
      <c r="AC74" s="511"/>
      <c r="AD74" s="511"/>
      <c r="AE74" s="511"/>
      <c r="AF74" s="511"/>
      <c r="AG74" s="511"/>
      <c r="AH74" s="511"/>
      <c r="AI74" s="511"/>
      <c r="AJ74" s="511"/>
      <c r="AK74" s="511"/>
      <c r="AL74" s="511"/>
      <c r="AM74" s="511"/>
    </row>
    <row r="75" spans="1:39">
      <c r="A75" s="1469"/>
      <c r="B75" s="505"/>
      <c r="C75" s="406"/>
      <c r="D75" s="478"/>
      <c r="E75" s="498"/>
      <c r="F75" s="498"/>
      <c r="G75" s="498"/>
      <c r="H75" s="498"/>
      <c r="I75" s="498"/>
      <c r="J75" s="498"/>
      <c r="K75" s="498"/>
      <c r="L75" s="498"/>
      <c r="M75" s="498"/>
      <c r="N75" s="498"/>
      <c r="O75" s="498"/>
      <c r="P75" s="498"/>
      <c r="Q75" s="498"/>
      <c r="R75" s="498"/>
      <c r="S75" s="498"/>
      <c r="T75" s="498"/>
      <c r="U75" s="498"/>
      <c r="V75" s="485"/>
      <c r="W75" s="512"/>
      <c r="X75" s="512"/>
      <c r="Y75" s="512"/>
      <c r="Z75" s="512"/>
      <c r="AA75" s="512"/>
      <c r="AB75" s="512"/>
      <c r="AC75" s="512"/>
      <c r="AD75" s="512"/>
      <c r="AE75" s="512"/>
      <c r="AF75" s="512"/>
      <c r="AG75" s="512"/>
      <c r="AH75" s="512"/>
      <c r="AI75" s="512"/>
      <c r="AJ75" s="512"/>
      <c r="AK75" s="512"/>
      <c r="AL75" s="512"/>
      <c r="AM75" s="512"/>
    </row>
    <row r="76" spans="1:39">
      <c r="A76" s="1469"/>
      <c r="B76" s="506"/>
      <c r="C76" s="403"/>
      <c r="D76" s="475"/>
      <c r="E76" s="476"/>
      <c r="F76" s="476"/>
      <c r="G76" s="476"/>
      <c r="H76" s="476"/>
      <c r="I76" s="476"/>
      <c r="J76" s="476"/>
      <c r="K76" s="476"/>
      <c r="L76" s="476"/>
      <c r="M76" s="476"/>
      <c r="N76" s="476"/>
      <c r="O76" s="476"/>
      <c r="P76" s="476"/>
      <c r="Q76" s="476"/>
      <c r="R76" s="476"/>
      <c r="S76" s="476"/>
      <c r="T76" s="476"/>
      <c r="U76" s="476"/>
      <c r="V76" s="427"/>
      <c r="W76" s="511"/>
      <c r="X76" s="511"/>
      <c r="Y76" s="511"/>
      <c r="Z76" s="511"/>
      <c r="AA76" s="511"/>
      <c r="AB76" s="511"/>
      <c r="AC76" s="511"/>
      <c r="AD76" s="511"/>
      <c r="AE76" s="511"/>
      <c r="AF76" s="511"/>
      <c r="AG76" s="511"/>
      <c r="AH76" s="511"/>
      <c r="AI76" s="511"/>
      <c r="AJ76" s="511"/>
      <c r="AK76" s="511"/>
      <c r="AL76" s="511"/>
      <c r="AM76" s="511"/>
    </row>
    <row r="77" spans="1:39">
      <c r="A77" s="1469"/>
      <c r="B77" s="503"/>
      <c r="C77" s="406"/>
      <c r="D77" s="478"/>
      <c r="E77" s="498"/>
      <c r="F77" s="498"/>
      <c r="G77" s="498"/>
      <c r="H77" s="498"/>
      <c r="I77" s="498"/>
      <c r="J77" s="498"/>
      <c r="K77" s="498"/>
      <c r="L77" s="498"/>
      <c r="M77" s="498"/>
      <c r="N77" s="498"/>
      <c r="O77" s="498"/>
      <c r="P77" s="498"/>
      <c r="Q77" s="498"/>
      <c r="R77" s="498"/>
      <c r="S77" s="498"/>
      <c r="T77" s="498"/>
      <c r="U77" s="498"/>
      <c r="V77" s="394"/>
      <c r="W77" s="512"/>
      <c r="X77" s="512"/>
      <c r="Y77" s="512"/>
      <c r="Z77" s="512"/>
      <c r="AA77" s="512"/>
      <c r="AB77" s="512"/>
      <c r="AC77" s="512"/>
      <c r="AD77" s="512"/>
      <c r="AE77" s="512"/>
      <c r="AF77" s="512"/>
      <c r="AG77" s="512"/>
      <c r="AH77" s="512"/>
      <c r="AI77" s="512"/>
      <c r="AJ77" s="512"/>
      <c r="AK77" s="512"/>
      <c r="AL77" s="512"/>
      <c r="AM77" s="512"/>
    </row>
    <row r="78" spans="1:39">
      <c r="A78" s="1469"/>
      <c r="B78" s="506"/>
      <c r="C78" s="403"/>
      <c r="D78" s="475"/>
      <c r="E78" s="476"/>
      <c r="F78" s="1143"/>
      <c r="G78" s="476"/>
      <c r="H78" s="476"/>
      <c r="I78" s="476"/>
      <c r="J78" s="476"/>
      <c r="K78" s="476"/>
      <c r="L78" s="476"/>
      <c r="M78" s="476"/>
      <c r="N78" s="476"/>
      <c r="O78" s="476"/>
      <c r="P78" s="476"/>
      <c r="Q78" s="476"/>
      <c r="R78" s="476"/>
      <c r="S78" s="476"/>
      <c r="T78" s="476"/>
      <c r="U78" s="476"/>
      <c r="V78" s="485"/>
      <c r="W78" s="511"/>
      <c r="X78" s="511"/>
      <c r="Y78" s="511"/>
      <c r="Z78" s="511"/>
      <c r="AA78" s="511"/>
      <c r="AB78" s="511"/>
      <c r="AC78" s="511"/>
      <c r="AD78" s="511"/>
      <c r="AE78" s="511"/>
      <c r="AF78" s="511"/>
      <c r="AG78" s="511"/>
      <c r="AH78" s="511"/>
      <c r="AI78" s="511"/>
      <c r="AJ78" s="511"/>
      <c r="AK78" s="511"/>
      <c r="AL78" s="511"/>
      <c r="AM78" s="511"/>
    </row>
    <row r="79" spans="1:39">
      <c r="A79" s="1469"/>
      <c r="B79" s="503"/>
      <c r="C79" s="406"/>
      <c r="D79" s="478"/>
      <c r="E79" s="498"/>
      <c r="F79" s="1144"/>
      <c r="G79" s="498"/>
      <c r="H79" s="498"/>
      <c r="I79" s="498"/>
      <c r="J79" s="498"/>
      <c r="K79" s="498"/>
      <c r="L79" s="498"/>
      <c r="M79" s="498"/>
      <c r="N79" s="498"/>
      <c r="O79" s="498"/>
      <c r="P79" s="498"/>
      <c r="Q79" s="498"/>
      <c r="R79" s="498"/>
      <c r="S79" s="498"/>
      <c r="T79" s="498"/>
      <c r="U79" s="498"/>
      <c r="V79" s="427"/>
      <c r="W79" s="512"/>
      <c r="X79" s="512"/>
      <c r="Y79" s="512"/>
      <c r="Z79" s="512"/>
      <c r="AA79" s="512"/>
      <c r="AB79" s="512"/>
      <c r="AC79" s="512"/>
      <c r="AD79" s="512"/>
      <c r="AE79" s="512"/>
      <c r="AF79" s="512"/>
      <c r="AG79" s="512"/>
      <c r="AH79" s="512"/>
      <c r="AI79" s="512"/>
      <c r="AJ79" s="512"/>
      <c r="AK79" s="512"/>
      <c r="AL79" s="512"/>
      <c r="AM79" s="512"/>
    </row>
    <row r="80" spans="1:39">
      <c r="A80" s="1469"/>
      <c r="B80" s="506"/>
      <c r="C80" s="403"/>
      <c r="D80" s="475"/>
      <c r="E80" s="476"/>
      <c r="F80" s="476"/>
      <c r="G80" s="476"/>
      <c r="H80" s="476"/>
      <c r="I80" s="476"/>
      <c r="J80" s="476"/>
      <c r="K80" s="476"/>
      <c r="L80" s="476"/>
      <c r="M80" s="476"/>
      <c r="N80" s="476"/>
      <c r="O80" s="476"/>
      <c r="P80" s="476"/>
      <c r="Q80" s="476"/>
      <c r="R80" s="476"/>
      <c r="S80" s="476"/>
      <c r="T80" s="476"/>
      <c r="U80" s="476"/>
      <c r="V80" s="394"/>
      <c r="W80" s="511"/>
      <c r="X80" s="511"/>
      <c r="Y80" s="511"/>
      <c r="Z80" s="511"/>
      <c r="AA80" s="511"/>
      <c r="AB80" s="511"/>
      <c r="AC80" s="511"/>
      <c r="AD80" s="511"/>
      <c r="AE80" s="511"/>
      <c r="AF80" s="511"/>
      <c r="AG80" s="511"/>
      <c r="AH80" s="511"/>
      <c r="AI80" s="511"/>
      <c r="AJ80" s="511"/>
      <c r="AK80" s="511"/>
      <c r="AL80" s="511"/>
      <c r="AM80" s="511"/>
    </row>
    <row r="81" spans="1:39">
      <c r="A81" s="1469"/>
      <c r="B81" s="505"/>
      <c r="C81" s="406"/>
      <c r="D81" s="478"/>
      <c r="E81" s="498"/>
      <c r="F81" s="498"/>
      <c r="G81" s="498"/>
      <c r="H81" s="498"/>
      <c r="I81" s="498"/>
      <c r="J81" s="498"/>
      <c r="K81" s="498"/>
      <c r="L81" s="498"/>
      <c r="M81" s="498"/>
      <c r="N81" s="498"/>
      <c r="O81" s="498"/>
      <c r="P81" s="498"/>
      <c r="Q81" s="498"/>
      <c r="R81" s="498"/>
      <c r="S81" s="498"/>
      <c r="T81" s="498"/>
      <c r="U81" s="498"/>
      <c r="V81" s="485"/>
      <c r="W81" s="512"/>
      <c r="X81" s="512"/>
      <c r="Y81" s="512"/>
      <c r="Z81" s="512"/>
      <c r="AA81" s="512"/>
      <c r="AB81" s="512"/>
      <c r="AC81" s="512"/>
      <c r="AD81" s="512"/>
      <c r="AE81" s="512"/>
      <c r="AF81" s="512"/>
      <c r="AG81" s="512"/>
      <c r="AH81" s="512"/>
      <c r="AI81" s="512"/>
      <c r="AJ81" s="512"/>
      <c r="AK81" s="512"/>
      <c r="AL81" s="512"/>
      <c r="AM81" s="512"/>
    </row>
    <row r="82" spans="1:39">
      <c r="A82" s="1469"/>
      <c r="B82" s="506"/>
      <c r="C82" s="403"/>
      <c r="D82" s="475"/>
      <c r="E82" s="476"/>
      <c r="F82" s="476"/>
      <c r="G82" s="476"/>
      <c r="H82" s="476"/>
      <c r="I82" s="476"/>
      <c r="J82" s="476"/>
      <c r="K82" s="476"/>
      <c r="L82" s="476"/>
      <c r="M82" s="476"/>
      <c r="N82" s="476"/>
      <c r="O82" s="476"/>
      <c r="P82" s="476"/>
      <c r="Q82" s="476"/>
      <c r="R82" s="476"/>
      <c r="S82" s="476"/>
      <c r="T82" s="476"/>
      <c r="U82" s="476"/>
      <c r="V82" s="427"/>
      <c r="W82" s="511"/>
      <c r="X82" s="511"/>
      <c r="Y82" s="511"/>
      <c r="Z82" s="511"/>
      <c r="AA82" s="511"/>
      <c r="AB82" s="511"/>
      <c r="AC82" s="511"/>
      <c r="AD82" s="511"/>
      <c r="AE82" s="511"/>
      <c r="AF82" s="511"/>
      <c r="AG82" s="511"/>
      <c r="AH82" s="511"/>
      <c r="AI82" s="511"/>
      <c r="AJ82" s="511"/>
      <c r="AK82" s="511"/>
      <c r="AL82" s="511"/>
      <c r="AM82" s="511"/>
    </row>
    <row r="83" spans="1:39">
      <c r="A83" s="1469"/>
      <c r="B83" s="503"/>
      <c r="C83" s="406"/>
      <c r="D83" s="478"/>
      <c r="E83" s="498"/>
      <c r="F83" s="498"/>
      <c r="G83" s="498"/>
      <c r="H83" s="498"/>
      <c r="I83" s="498"/>
      <c r="J83" s="498"/>
      <c r="K83" s="498"/>
      <c r="L83" s="498"/>
      <c r="M83" s="498"/>
      <c r="N83" s="498"/>
      <c r="O83" s="498"/>
      <c r="P83" s="498"/>
      <c r="Q83" s="498"/>
      <c r="R83" s="498"/>
      <c r="S83" s="498"/>
      <c r="T83" s="498"/>
      <c r="U83" s="498"/>
      <c r="V83" s="394"/>
      <c r="W83" s="512"/>
      <c r="X83" s="512"/>
      <c r="Y83" s="512"/>
      <c r="Z83" s="512"/>
      <c r="AA83" s="512"/>
      <c r="AB83" s="512"/>
      <c r="AC83" s="512"/>
      <c r="AD83" s="512"/>
      <c r="AE83" s="512"/>
      <c r="AF83" s="512"/>
      <c r="AG83" s="512"/>
      <c r="AH83" s="512"/>
      <c r="AI83" s="512"/>
      <c r="AJ83" s="512"/>
      <c r="AK83" s="512"/>
      <c r="AL83" s="512"/>
      <c r="AM83" s="512"/>
    </row>
    <row r="84" spans="1:39">
      <c r="A84" s="1469"/>
      <c r="B84" s="506"/>
      <c r="C84" s="403"/>
      <c r="D84" s="475"/>
      <c r="E84" s="476"/>
      <c r="F84" s="1143"/>
      <c r="G84" s="476"/>
      <c r="H84" s="476"/>
      <c r="I84" s="476"/>
      <c r="J84" s="476"/>
      <c r="K84" s="476"/>
      <c r="L84" s="476"/>
      <c r="M84" s="476"/>
      <c r="N84" s="476"/>
      <c r="O84" s="476"/>
      <c r="P84" s="476"/>
      <c r="Q84" s="476"/>
      <c r="R84" s="476"/>
      <c r="S84" s="476"/>
      <c r="T84" s="476"/>
      <c r="U84" s="476"/>
      <c r="V84" s="485"/>
      <c r="W84" s="511"/>
      <c r="X84" s="511"/>
      <c r="Y84" s="511"/>
      <c r="Z84" s="511"/>
      <c r="AA84" s="511"/>
      <c r="AB84" s="511"/>
      <c r="AC84" s="511"/>
      <c r="AD84" s="511"/>
      <c r="AE84" s="511"/>
      <c r="AF84" s="511"/>
      <c r="AG84" s="511"/>
      <c r="AH84" s="511"/>
      <c r="AI84" s="511"/>
      <c r="AJ84" s="511"/>
      <c r="AK84" s="511"/>
      <c r="AL84" s="511"/>
      <c r="AM84" s="511"/>
    </row>
    <row r="85" spans="1:39">
      <c r="A85" s="1469"/>
      <c r="B85" s="505"/>
      <c r="C85" s="406"/>
      <c r="D85" s="478"/>
      <c r="E85" s="498"/>
      <c r="F85" s="1144"/>
      <c r="G85" s="498"/>
      <c r="H85" s="498"/>
      <c r="I85" s="498"/>
      <c r="J85" s="498"/>
      <c r="K85" s="498"/>
      <c r="L85" s="498"/>
      <c r="M85" s="498"/>
      <c r="N85" s="498"/>
      <c r="O85" s="498"/>
      <c r="P85" s="498"/>
      <c r="Q85" s="498"/>
      <c r="R85" s="498"/>
      <c r="S85" s="498"/>
      <c r="T85" s="498"/>
      <c r="U85" s="498"/>
      <c r="V85" s="427"/>
      <c r="W85" s="512"/>
      <c r="X85" s="512"/>
      <c r="Y85" s="512"/>
      <c r="Z85" s="512"/>
      <c r="AA85" s="512"/>
      <c r="AB85" s="512"/>
      <c r="AC85" s="512"/>
      <c r="AD85" s="512"/>
      <c r="AE85" s="512"/>
      <c r="AF85" s="512"/>
      <c r="AG85" s="512"/>
      <c r="AH85" s="512"/>
      <c r="AI85" s="512"/>
      <c r="AJ85" s="512"/>
      <c r="AK85" s="512"/>
      <c r="AL85" s="512"/>
      <c r="AM85" s="512"/>
    </row>
    <row r="86" spans="1:39">
      <c r="A86" s="1469"/>
      <c r="B86" s="508"/>
      <c r="C86" s="403"/>
      <c r="D86" s="475"/>
      <c r="E86" s="476"/>
      <c r="F86" s="476"/>
      <c r="G86" s="476"/>
      <c r="H86" s="476"/>
      <c r="I86" s="476"/>
      <c r="J86" s="476"/>
      <c r="K86" s="476"/>
      <c r="L86" s="476"/>
      <c r="M86" s="476"/>
      <c r="N86" s="476"/>
      <c r="O86" s="476"/>
      <c r="P86" s="476"/>
      <c r="Q86" s="476"/>
      <c r="R86" s="476"/>
      <c r="S86" s="476"/>
      <c r="T86" s="476"/>
      <c r="U86" s="476"/>
      <c r="V86" s="394"/>
      <c r="W86" s="511"/>
      <c r="X86" s="511"/>
      <c r="Y86" s="511"/>
      <c r="Z86" s="511"/>
      <c r="AA86" s="511"/>
      <c r="AB86" s="511"/>
      <c r="AC86" s="511"/>
      <c r="AD86" s="511"/>
      <c r="AE86" s="511"/>
      <c r="AF86" s="511"/>
      <c r="AG86" s="511"/>
      <c r="AH86" s="511"/>
      <c r="AI86" s="511"/>
      <c r="AJ86" s="511"/>
      <c r="AK86" s="511"/>
      <c r="AL86" s="511"/>
      <c r="AM86" s="511"/>
    </row>
    <row r="87" spans="1:39">
      <c r="A87" s="1469"/>
      <c r="B87" s="503"/>
      <c r="C87" s="406"/>
      <c r="D87" s="478"/>
      <c r="E87" s="498"/>
      <c r="F87" s="498"/>
      <c r="G87" s="498"/>
      <c r="H87" s="498"/>
      <c r="I87" s="498"/>
      <c r="J87" s="498"/>
      <c r="K87" s="498"/>
      <c r="L87" s="498"/>
      <c r="M87" s="498"/>
      <c r="N87" s="498"/>
      <c r="O87" s="498"/>
      <c r="P87" s="498"/>
      <c r="Q87" s="498"/>
      <c r="R87" s="498"/>
      <c r="S87" s="498"/>
      <c r="T87" s="498"/>
      <c r="U87" s="498"/>
      <c r="V87" s="485"/>
      <c r="W87" s="512"/>
      <c r="X87" s="512"/>
      <c r="Y87" s="512"/>
      <c r="Z87" s="512"/>
      <c r="AA87" s="512"/>
      <c r="AB87" s="512"/>
      <c r="AC87" s="512"/>
      <c r="AD87" s="512"/>
      <c r="AE87" s="512"/>
      <c r="AF87" s="512"/>
      <c r="AG87" s="512"/>
      <c r="AH87" s="512"/>
      <c r="AI87" s="512"/>
      <c r="AJ87" s="512"/>
      <c r="AK87" s="512"/>
      <c r="AL87" s="512"/>
      <c r="AM87" s="512"/>
    </row>
    <row r="88" spans="1:39">
      <c r="A88" s="1469"/>
      <c r="B88" s="506"/>
      <c r="C88" s="403"/>
      <c r="D88" s="475"/>
      <c r="E88" s="476"/>
      <c r="F88" s="476"/>
      <c r="G88" s="476"/>
      <c r="H88" s="476"/>
      <c r="I88" s="476"/>
      <c r="J88" s="476"/>
      <c r="K88" s="476"/>
      <c r="L88" s="476"/>
      <c r="M88" s="476"/>
      <c r="N88" s="476"/>
      <c r="O88" s="476"/>
      <c r="P88" s="476"/>
      <c r="Q88" s="476"/>
      <c r="R88" s="476"/>
      <c r="S88" s="476"/>
      <c r="T88" s="476"/>
      <c r="U88" s="476"/>
      <c r="V88" s="427"/>
      <c r="W88" s="511"/>
      <c r="X88" s="511"/>
      <c r="Y88" s="511"/>
      <c r="Z88" s="511"/>
      <c r="AA88" s="511"/>
      <c r="AB88" s="511"/>
      <c r="AC88" s="511"/>
      <c r="AD88" s="511"/>
      <c r="AE88" s="511"/>
      <c r="AF88" s="511"/>
      <c r="AG88" s="511"/>
      <c r="AH88" s="511"/>
      <c r="AI88" s="511"/>
      <c r="AJ88" s="511"/>
      <c r="AK88" s="511"/>
      <c r="AL88" s="511"/>
      <c r="AM88" s="511"/>
    </row>
    <row r="89" spans="1:39">
      <c r="A89" s="1469"/>
      <c r="B89" s="503"/>
      <c r="C89" s="406"/>
      <c r="D89" s="478"/>
      <c r="E89" s="498"/>
      <c r="F89" s="498"/>
      <c r="G89" s="498"/>
      <c r="H89" s="498"/>
      <c r="I89" s="498"/>
      <c r="J89" s="498"/>
      <c r="K89" s="498"/>
      <c r="L89" s="498"/>
      <c r="M89" s="498"/>
      <c r="N89" s="498"/>
      <c r="O89" s="498"/>
      <c r="P89" s="498"/>
      <c r="Q89" s="498"/>
      <c r="R89" s="498"/>
      <c r="S89" s="498"/>
      <c r="T89" s="498"/>
      <c r="U89" s="498"/>
      <c r="V89" s="394"/>
      <c r="W89" s="512"/>
      <c r="X89" s="512"/>
      <c r="Y89" s="512"/>
      <c r="Z89" s="512"/>
      <c r="AA89" s="512"/>
      <c r="AB89" s="512"/>
      <c r="AC89" s="512"/>
      <c r="AD89" s="512"/>
      <c r="AE89" s="512"/>
      <c r="AF89" s="512"/>
      <c r="AG89" s="512"/>
      <c r="AH89" s="512"/>
      <c r="AI89" s="512"/>
      <c r="AJ89" s="512"/>
      <c r="AK89" s="512"/>
      <c r="AL89" s="512"/>
      <c r="AM89" s="512"/>
    </row>
    <row r="90" spans="1:39">
      <c r="A90" s="1469"/>
      <c r="B90" s="506"/>
      <c r="C90" s="403"/>
      <c r="D90" s="475"/>
      <c r="E90" s="476"/>
      <c r="F90" s="476"/>
      <c r="G90" s="476"/>
      <c r="H90" s="476"/>
      <c r="I90" s="476"/>
      <c r="J90" s="476"/>
      <c r="K90" s="476"/>
      <c r="L90" s="476"/>
      <c r="M90" s="476"/>
      <c r="N90" s="476"/>
      <c r="O90" s="476"/>
      <c r="P90" s="476"/>
      <c r="Q90" s="476"/>
      <c r="R90" s="476"/>
      <c r="S90" s="476"/>
      <c r="T90" s="476"/>
      <c r="U90" s="476"/>
      <c r="V90" s="485"/>
      <c r="W90" s="511"/>
      <c r="X90" s="511"/>
      <c r="Y90" s="511"/>
      <c r="Z90" s="511"/>
      <c r="AA90" s="511"/>
      <c r="AB90" s="511"/>
      <c r="AC90" s="511"/>
      <c r="AD90" s="511"/>
      <c r="AE90" s="511"/>
      <c r="AF90" s="511"/>
      <c r="AG90" s="511"/>
      <c r="AH90" s="511"/>
      <c r="AI90" s="511"/>
      <c r="AJ90" s="511"/>
      <c r="AK90" s="511"/>
      <c r="AL90" s="511"/>
      <c r="AM90" s="511"/>
    </row>
    <row r="91" spans="1:39">
      <c r="A91" s="1469"/>
      <c r="B91" s="505"/>
      <c r="C91" s="406"/>
      <c r="D91" s="478"/>
      <c r="E91" s="498"/>
      <c r="F91" s="498"/>
      <c r="G91" s="498"/>
      <c r="H91" s="498"/>
      <c r="I91" s="498"/>
      <c r="J91" s="498"/>
      <c r="K91" s="498"/>
      <c r="L91" s="498"/>
      <c r="M91" s="498"/>
      <c r="N91" s="498"/>
      <c r="O91" s="498"/>
      <c r="P91" s="498"/>
      <c r="Q91" s="498"/>
      <c r="R91" s="498"/>
      <c r="S91" s="498"/>
      <c r="T91" s="498"/>
      <c r="U91" s="498"/>
      <c r="V91" s="427"/>
      <c r="W91" s="512"/>
      <c r="X91" s="512"/>
      <c r="Y91" s="512"/>
      <c r="Z91" s="512"/>
      <c r="AA91" s="512"/>
      <c r="AB91" s="512"/>
      <c r="AC91" s="512"/>
      <c r="AD91" s="512"/>
      <c r="AE91" s="512"/>
      <c r="AF91" s="512"/>
      <c r="AG91" s="512"/>
      <c r="AH91" s="512"/>
      <c r="AI91" s="512"/>
      <c r="AJ91" s="512"/>
      <c r="AK91" s="512"/>
      <c r="AL91" s="512"/>
      <c r="AM91" s="512"/>
    </row>
    <row r="92" spans="1:39">
      <c r="A92" s="1469"/>
      <c r="B92" s="508"/>
      <c r="C92" s="403"/>
      <c r="D92" s="475"/>
      <c r="E92" s="476"/>
      <c r="F92" s="476"/>
      <c r="G92" s="476"/>
      <c r="H92" s="476"/>
      <c r="I92" s="476"/>
      <c r="J92" s="476"/>
      <c r="K92" s="476"/>
      <c r="L92" s="476"/>
      <c r="M92" s="476"/>
      <c r="N92" s="476"/>
      <c r="O92" s="476"/>
      <c r="P92" s="476"/>
      <c r="Q92" s="476"/>
      <c r="R92" s="476"/>
      <c r="S92" s="476"/>
      <c r="T92" s="476"/>
      <c r="U92" s="476"/>
      <c r="V92" s="394"/>
      <c r="W92" s="511"/>
      <c r="X92" s="511"/>
      <c r="Y92" s="511"/>
      <c r="Z92" s="511"/>
      <c r="AA92" s="511"/>
      <c r="AB92" s="511"/>
      <c r="AC92" s="511"/>
      <c r="AD92" s="511"/>
      <c r="AE92" s="511"/>
      <c r="AF92" s="511"/>
      <c r="AG92" s="511"/>
      <c r="AH92" s="511"/>
      <c r="AI92" s="511"/>
      <c r="AJ92" s="511"/>
      <c r="AK92" s="511"/>
      <c r="AL92" s="511"/>
      <c r="AM92" s="511"/>
    </row>
    <row r="93" spans="1:39">
      <c r="A93" s="1469"/>
      <c r="B93" s="503"/>
      <c r="C93" s="406"/>
      <c r="D93" s="478"/>
      <c r="E93" s="498"/>
      <c r="F93" s="498"/>
      <c r="G93" s="498"/>
      <c r="H93" s="498"/>
      <c r="I93" s="498"/>
      <c r="J93" s="498"/>
      <c r="K93" s="498"/>
      <c r="L93" s="498"/>
      <c r="M93" s="498"/>
      <c r="N93" s="498"/>
      <c r="O93" s="498"/>
      <c r="P93" s="498"/>
      <c r="Q93" s="498"/>
      <c r="R93" s="498"/>
      <c r="S93" s="498"/>
      <c r="T93" s="498"/>
      <c r="U93" s="498"/>
      <c r="V93" s="485"/>
      <c r="W93" s="512"/>
      <c r="X93" s="512"/>
      <c r="Y93" s="512"/>
      <c r="Z93" s="512"/>
      <c r="AA93" s="512"/>
      <c r="AB93" s="512"/>
      <c r="AC93" s="512"/>
      <c r="AD93" s="512"/>
      <c r="AE93" s="512"/>
      <c r="AF93" s="512"/>
      <c r="AG93" s="512"/>
      <c r="AH93" s="512"/>
      <c r="AI93" s="512"/>
      <c r="AJ93" s="512"/>
      <c r="AK93" s="512"/>
      <c r="AL93" s="512"/>
      <c r="AM93" s="512"/>
    </row>
    <row r="94" spans="1:39">
      <c r="A94" s="1469"/>
      <c r="B94" s="506"/>
      <c r="C94" s="403"/>
      <c r="D94" s="475"/>
      <c r="E94" s="476"/>
      <c r="F94" s="476"/>
      <c r="G94" s="476"/>
      <c r="H94" s="476"/>
      <c r="I94" s="476"/>
      <c r="J94" s="476"/>
      <c r="K94" s="476"/>
      <c r="L94" s="476"/>
      <c r="M94" s="476"/>
      <c r="N94" s="476"/>
      <c r="O94" s="476"/>
      <c r="P94" s="476"/>
      <c r="Q94" s="476"/>
      <c r="R94" s="476"/>
      <c r="S94" s="476"/>
      <c r="T94" s="476"/>
      <c r="U94" s="476"/>
      <c r="V94" s="427"/>
      <c r="W94" s="511"/>
      <c r="X94" s="511"/>
      <c r="Y94" s="511"/>
      <c r="Z94" s="511"/>
      <c r="AA94" s="511"/>
      <c r="AB94" s="511"/>
      <c r="AC94" s="511"/>
      <c r="AD94" s="511"/>
      <c r="AE94" s="511"/>
      <c r="AF94" s="511"/>
      <c r="AG94" s="511"/>
      <c r="AH94" s="511"/>
      <c r="AI94" s="511"/>
      <c r="AJ94" s="511"/>
      <c r="AK94" s="511"/>
      <c r="AL94" s="511"/>
      <c r="AM94" s="511"/>
    </row>
    <row r="95" spans="1:39">
      <c r="A95" s="1469"/>
      <c r="B95" s="503"/>
      <c r="C95" s="406"/>
      <c r="D95" s="478"/>
      <c r="E95" s="498"/>
      <c r="F95" s="498"/>
      <c r="G95" s="498"/>
      <c r="H95" s="498"/>
      <c r="I95" s="498"/>
      <c r="J95" s="498"/>
      <c r="K95" s="498"/>
      <c r="L95" s="498"/>
      <c r="M95" s="498"/>
      <c r="N95" s="498"/>
      <c r="O95" s="498"/>
      <c r="P95" s="498"/>
      <c r="Q95" s="498"/>
      <c r="R95" s="498"/>
      <c r="S95" s="498"/>
      <c r="T95" s="498"/>
      <c r="U95" s="498"/>
      <c r="V95" s="394"/>
      <c r="W95" s="512"/>
      <c r="X95" s="512"/>
      <c r="Y95" s="512"/>
      <c r="Z95" s="512"/>
      <c r="AA95" s="512"/>
      <c r="AB95" s="512"/>
      <c r="AC95" s="512"/>
      <c r="AD95" s="512"/>
      <c r="AE95" s="512"/>
      <c r="AF95" s="512"/>
      <c r="AG95" s="512"/>
      <c r="AH95" s="512"/>
      <c r="AI95" s="512"/>
      <c r="AJ95" s="512"/>
      <c r="AK95" s="512"/>
      <c r="AL95" s="512"/>
      <c r="AM95" s="512"/>
    </row>
    <row r="96" spans="1:39">
      <c r="A96" s="1469"/>
      <c r="B96" s="506"/>
      <c r="C96" s="403"/>
      <c r="D96" s="475"/>
      <c r="E96" s="476"/>
      <c r="F96" s="476"/>
      <c r="G96" s="476"/>
      <c r="H96" s="476"/>
      <c r="I96" s="476"/>
      <c r="J96" s="476"/>
      <c r="K96" s="476"/>
      <c r="L96" s="476"/>
      <c r="M96" s="476"/>
      <c r="N96" s="476"/>
      <c r="O96" s="476"/>
      <c r="P96" s="476"/>
      <c r="Q96" s="476"/>
      <c r="R96" s="476"/>
      <c r="S96" s="476"/>
      <c r="T96" s="476"/>
      <c r="U96" s="476"/>
      <c r="V96" s="485"/>
      <c r="W96" s="511"/>
      <c r="X96" s="511"/>
      <c r="Y96" s="511"/>
      <c r="Z96" s="511"/>
      <c r="AA96" s="511"/>
      <c r="AB96" s="511"/>
      <c r="AC96" s="511"/>
      <c r="AD96" s="511"/>
      <c r="AE96" s="511"/>
      <c r="AF96" s="511"/>
      <c r="AG96" s="511"/>
      <c r="AH96" s="511"/>
      <c r="AI96" s="511"/>
      <c r="AJ96" s="511"/>
      <c r="AK96" s="511"/>
      <c r="AL96" s="511"/>
      <c r="AM96" s="511"/>
    </row>
    <row r="97" spans="1:39">
      <c r="A97" s="1470"/>
      <c r="B97" s="510"/>
      <c r="C97" s="409"/>
      <c r="D97" s="478"/>
      <c r="E97" s="498"/>
      <c r="F97" s="498"/>
      <c r="G97" s="498"/>
      <c r="H97" s="498"/>
      <c r="I97" s="498"/>
      <c r="J97" s="498"/>
      <c r="K97" s="498"/>
      <c r="L97" s="498"/>
      <c r="M97" s="498"/>
      <c r="N97" s="498"/>
      <c r="O97" s="498"/>
      <c r="P97" s="498"/>
      <c r="Q97" s="498"/>
      <c r="R97" s="498"/>
      <c r="S97" s="498"/>
      <c r="T97" s="498"/>
      <c r="U97" s="498"/>
      <c r="V97" s="427"/>
      <c r="W97" s="512"/>
      <c r="X97" s="512"/>
      <c r="Y97" s="512"/>
      <c r="Z97" s="512"/>
      <c r="AA97" s="512"/>
      <c r="AB97" s="512"/>
      <c r="AC97" s="512"/>
      <c r="AD97" s="512"/>
      <c r="AE97" s="512"/>
      <c r="AF97" s="512"/>
      <c r="AG97" s="512"/>
      <c r="AH97" s="512"/>
      <c r="AI97" s="512"/>
      <c r="AJ97" s="512"/>
      <c r="AK97" s="512"/>
      <c r="AL97" s="512"/>
      <c r="AM97" s="512"/>
    </row>
    <row r="98" spans="1:39">
      <c r="A98" s="1112"/>
      <c r="B98" s="501"/>
      <c r="C98" s="499"/>
      <c r="D98" s="475"/>
      <c r="E98" s="476"/>
      <c r="F98" s="476"/>
      <c r="G98" s="476"/>
      <c r="H98" s="476"/>
      <c r="I98" s="476"/>
      <c r="J98" s="476"/>
      <c r="K98" s="476"/>
      <c r="L98" s="476"/>
      <c r="M98" s="476"/>
      <c r="N98" s="476"/>
      <c r="O98" s="476"/>
      <c r="P98" s="476"/>
      <c r="Q98" s="476"/>
      <c r="R98" s="476"/>
      <c r="S98" s="476"/>
      <c r="T98" s="476"/>
      <c r="U98" s="476"/>
      <c r="V98" s="394"/>
      <c r="W98" s="511"/>
      <c r="X98" s="511"/>
      <c r="Y98" s="511"/>
      <c r="Z98" s="511"/>
      <c r="AA98" s="511"/>
      <c r="AB98" s="511"/>
      <c r="AC98" s="511"/>
      <c r="AD98" s="511"/>
      <c r="AE98" s="511"/>
      <c r="AF98" s="511"/>
      <c r="AG98" s="511"/>
      <c r="AH98" s="511"/>
      <c r="AI98" s="511"/>
      <c r="AJ98" s="511"/>
      <c r="AK98" s="511"/>
      <c r="AL98" s="511"/>
      <c r="AM98" s="511"/>
    </row>
    <row r="99" spans="1:39">
      <c r="A99" s="1112"/>
      <c r="B99" s="480"/>
      <c r="C99" s="500"/>
      <c r="D99" s="478"/>
      <c r="E99" s="498"/>
      <c r="F99" s="498"/>
      <c r="G99" s="498"/>
      <c r="H99" s="498"/>
      <c r="I99" s="498"/>
      <c r="J99" s="498"/>
      <c r="K99" s="498"/>
      <c r="L99" s="498"/>
      <c r="M99" s="498"/>
      <c r="N99" s="498"/>
      <c r="O99" s="498"/>
      <c r="P99" s="498"/>
      <c r="Q99" s="498"/>
      <c r="R99" s="498"/>
      <c r="S99" s="498"/>
      <c r="T99" s="498"/>
      <c r="U99" s="498"/>
      <c r="V99" s="485"/>
      <c r="W99" s="512"/>
      <c r="X99" s="512"/>
      <c r="Y99" s="512"/>
      <c r="Z99" s="512"/>
      <c r="AA99" s="512"/>
      <c r="AB99" s="512"/>
      <c r="AC99" s="512"/>
      <c r="AD99" s="512"/>
      <c r="AE99" s="512"/>
      <c r="AF99" s="512"/>
      <c r="AG99" s="512"/>
      <c r="AH99" s="512"/>
      <c r="AI99" s="512"/>
      <c r="AJ99" s="512"/>
      <c r="AK99" s="512"/>
      <c r="AL99" s="512"/>
      <c r="AM99" s="512"/>
    </row>
    <row r="100" spans="1:39">
      <c r="A100" s="1112"/>
      <c r="B100" s="400"/>
      <c r="C100"/>
      <c r="D100"/>
      <c r="E100"/>
      <c r="F100"/>
      <c r="G100"/>
      <c r="H100"/>
      <c r="I100"/>
      <c r="J100"/>
      <c r="K100"/>
      <c r="L100"/>
      <c r="M100"/>
      <c r="N100"/>
      <c r="O100"/>
      <c r="P100"/>
      <c r="Q100"/>
      <c r="R100"/>
      <c r="S100"/>
      <c r="T100"/>
      <c r="U100"/>
      <c r="V100" s="427"/>
    </row>
    <row r="101" spans="1:39">
      <c r="A101" s="1112"/>
      <c r="B101" s="480"/>
      <c r="C101"/>
      <c r="D101"/>
      <c r="E101"/>
      <c r="F101"/>
      <c r="G101"/>
      <c r="H101"/>
      <c r="I101"/>
      <c r="J101"/>
      <c r="K101"/>
      <c r="L101"/>
      <c r="M101"/>
      <c r="N101"/>
      <c r="O101"/>
      <c r="P101"/>
      <c r="Q101"/>
      <c r="R101"/>
      <c r="S101"/>
      <c r="T101"/>
      <c r="U101"/>
      <c r="V101" s="394"/>
    </row>
    <row r="102" spans="1:39">
      <c r="A102" s="1112"/>
      <c r="B102" s="480"/>
      <c r="C102"/>
      <c r="D102"/>
      <c r="E102"/>
      <c r="F102"/>
      <c r="G102"/>
      <c r="H102"/>
      <c r="I102"/>
      <c r="J102"/>
      <c r="K102"/>
      <c r="L102"/>
      <c r="M102"/>
      <c r="N102"/>
      <c r="O102"/>
      <c r="P102"/>
      <c r="Q102"/>
      <c r="R102"/>
      <c r="S102"/>
      <c r="T102"/>
      <c r="U102"/>
      <c r="V102" s="485"/>
    </row>
    <row r="103" spans="1:39">
      <c r="A103" s="1112"/>
      <c r="B103" s="400"/>
      <c r="C103"/>
      <c r="D103"/>
      <c r="E103"/>
      <c r="F103"/>
      <c r="G103"/>
      <c r="H103"/>
      <c r="I103"/>
      <c r="J103"/>
      <c r="K103"/>
      <c r="L103"/>
      <c r="M103"/>
      <c r="N103"/>
      <c r="O103"/>
      <c r="P103"/>
      <c r="Q103"/>
      <c r="R103"/>
      <c r="S103"/>
      <c r="T103"/>
      <c r="U103"/>
      <c r="V103" s="427"/>
    </row>
    <row r="104" spans="1:39">
      <c r="A104" s="1112"/>
      <c r="B104" s="480"/>
      <c r="C104"/>
      <c r="D104"/>
      <c r="E104"/>
      <c r="F104"/>
      <c r="G104"/>
      <c r="H104"/>
      <c r="I104"/>
      <c r="J104"/>
      <c r="K104"/>
      <c r="L104"/>
      <c r="M104"/>
      <c r="N104"/>
      <c r="O104"/>
      <c r="P104"/>
      <c r="Q104"/>
      <c r="R104"/>
      <c r="S104"/>
      <c r="T104"/>
      <c r="U104"/>
      <c r="V104" s="394"/>
    </row>
    <row r="105" spans="1:39">
      <c r="A105" s="1112"/>
      <c r="B105" s="400"/>
      <c r="C105"/>
      <c r="D105"/>
      <c r="E105"/>
      <c r="F105"/>
      <c r="G105"/>
      <c r="H105"/>
      <c r="I105"/>
      <c r="J105"/>
      <c r="K105"/>
      <c r="L105"/>
      <c r="M105"/>
      <c r="N105"/>
      <c r="O105"/>
      <c r="P105"/>
      <c r="Q105"/>
      <c r="R105"/>
      <c r="S105"/>
      <c r="T105"/>
      <c r="U105"/>
      <c r="V105" s="485"/>
    </row>
    <row r="106" spans="1:39">
      <c r="A106" s="1112"/>
      <c r="B106" s="400"/>
      <c r="C106"/>
      <c r="D106"/>
      <c r="E106"/>
      <c r="F106"/>
      <c r="G106"/>
      <c r="H106"/>
      <c r="I106"/>
      <c r="J106"/>
      <c r="K106"/>
      <c r="L106"/>
      <c r="M106"/>
      <c r="N106"/>
      <c r="O106"/>
      <c r="P106"/>
      <c r="Q106"/>
      <c r="R106"/>
      <c r="S106"/>
      <c r="T106"/>
      <c r="U106"/>
      <c r="V106" s="427"/>
    </row>
    <row r="107" spans="1:39">
      <c r="A107" s="1112"/>
      <c r="B107" s="400"/>
      <c r="C107"/>
      <c r="D107"/>
      <c r="E107"/>
      <c r="F107"/>
      <c r="G107"/>
      <c r="H107"/>
      <c r="I107"/>
      <c r="J107"/>
      <c r="K107"/>
      <c r="L107"/>
      <c r="M107"/>
      <c r="N107"/>
      <c r="O107"/>
      <c r="P107"/>
      <c r="Q107"/>
      <c r="R107"/>
      <c r="S107"/>
      <c r="T107"/>
      <c r="U107"/>
      <c r="V107" s="394"/>
    </row>
    <row r="108" spans="1:39">
      <c r="A108" s="1112"/>
      <c r="B108" s="400"/>
      <c r="C108"/>
      <c r="D108"/>
      <c r="E108"/>
      <c r="F108"/>
      <c r="G108"/>
      <c r="H108"/>
      <c r="I108"/>
      <c r="J108"/>
      <c r="K108"/>
      <c r="L108"/>
      <c r="M108"/>
      <c r="N108"/>
      <c r="O108"/>
      <c r="P108"/>
      <c r="Q108"/>
      <c r="R108"/>
      <c r="S108"/>
      <c r="T108"/>
      <c r="U108"/>
      <c r="V108" s="485"/>
    </row>
    <row r="109" spans="1:39">
      <c r="A109" s="1112"/>
      <c r="B109" s="400"/>
      <c r="C109"/>
      <c r="D109"/>
      <c r="E109"/>
      <c r="F109"/>
      <c r="G109"/>
      <c r="H109"/>
      <c r="I109"/>
      <c r="J109"/>
      <c r="K109"/>
      <c r="L109"/>
      <c r="M109"/>
      <c r="N109"/>
      <c r="O109"/>
      <c r="P109"/>
      <c r="Q109"/>
      <c r="R109"/>
      <c r="S109"/>
      <c r="T109"/>
      <c r="U109"/>
      <c r="V109" s="427"/>
    </row>
    <row r="110" spans="1:39">
      <c r="A110" s="1112"/>
      <c r="B110" s="400"/>
      <c r="C110"/>
      <c r="D110"/>
      <c r="E110"/>
      <c r="F110"/>
      <c r="G110"/>
      <c r="H110"/>
      <c r="I110"/>
      <c r="J110"/>
      <c r="K110"/>
      <c r="L110"/>
      <c r="M110"/>
      <c r="N110"/>
      <c r="O110"/>
      <c r="P110"/>
      <c r="Q110"/>
      <c r="R110"/>
      <c r="S110"/>
      <c r="T110"/>
      <c r="U110"/>
      <c r="V110" s="394"/>
    </row>
    <row r="111" spans="1:39">
      <c r="A111" s="1112"/>
      <c r="B111" s="400"/>
      <c r="C111"/>
      <c r="D111"/>
      <c r="E111"/>
      <c r="F111"/>
      <c r="G111"/>
      <c r="H111"/>
      <c r="I111"/>
      <c r="J111"/>
      <c r="K111"/>
      <c r="L111"/>
      <c r="M111"/>
      <c r="N111"/>
      <c r="O111"/>
      <c r="P111"/>
      <c r="Q111"/>
      <c r="R111"/>
      <c r="S111"/>
      <c r="T111"/>
      <c r="U111"/>
      <c r="V111" s="485"/>
    </row>
    <row r="112" spans="1:39">
      <c r="A112" s="1112"/>
      <c r="B112" s="400"/>
      <c r="C112"/>
      <c r="D112"/>
      <c r="E112"/>
      <c r="F112"/>
      <c r="G112"/>
      <c r="H112"/>
      <c r="I112"/>
      <c r="J112"/>
      <c r="K112"/>
      <c r="L112"/>
      <c r="M112"/>
      <c r="N112"/>
      <c r="O112"/>
      <c r="P112"/>
      <c r="Q112"/>
      <c r="R112"/>
      <c r="S112"/>
      <c r="T112"/>
      <c r="U112"/>
      <c r="V112" s="427"/>
    </row>
    <row r="113" spans="1:22">
      <c r="A113" s="1112"/>
      <c r="B113" s="400"/>
      <c r="C113"/>
      <c r="D113"/>
      <c r="E113"/>
      <c r="F113"/>
      <c r="G113"/>
      <c r="H113"/>
      <c r="I113"/>
      <c r="J113"/>
      <c r="K113"/>
      <c r="L113"/>
      <c r="M113"/>
      <c r="N113"/>
      <c r="O113"/>
      <c r="P113"/>
      <c r="Q113"/>
      <c r="R113"/>
      <c r="S113"/>
      <c r="T113"/>
      <c r="U113"/>
      <c r="V113" s="394"/>
    </row>
    <row r="114" spans="1:22">
      <c r="A114" s="1112"/>
      <c r="B114" s="400"/>
      <c r="C114"/>
      <c r="D114"/>
      <c r="E114"/>
      <c r="F114"/>
      <c r="G114"/>
      <c r="H114"/>
      <c r="I114"/>
      <c r="J114"/>
      <c r="K114"/>
      <c r="L114"/>
      <c r="M114"/>
      <c r="N114"/>
      <c r="O114"/>
      <c r="P114"/>
      <c r="Q114"/>
      <c r="R114"/>
      <c r="S114"/>
      <c r="T114"/>
      <c r="U114"/>
      <c r="V114" s="485"/>
    </row>
    <row r="115" spans="1:22">
      <c r="A115" s="1112"/>
      <c r="B115" s="400"/>
      <c r="C115"/>
      <c r="D115"/>
      <c r="E115"/>
      <c r="F115"/>
      <c r="G115"/>
      <c r="H115"/>
      <c r="I115"/>
      <c r="J115"/>
      <c r="K115"/>
      <c r="L115"/>
      <c r="M115"/>
      <c r="N115"/>
      <c r="O115"/>
      <c r="P115"/>
      <c r="Q115"/>
      <c r="R115"/>
      <c r="S115"/>
      <c r="T115"/>
      <c r="U115"/>
      <c r="V115" s="427"/>
    </row>
    <row r="116" spans="1:22">
      <c r="A116" s="1112"/>
      <c r="B116" s="400"/>
      <c r="C116"/>
      <c r="D116"/>
      <c r="E116"/>
      <c r="F116"/>
      <c r="G116"/>
      <c r="H116"/>
      <c r="I116"/>
      <c r="J116"/>
      <c r="K116"/>
      <c r="L116"/>
      <c r="M116"/>
      <c r="N116"/>
      <c r="O116"/>
      <c r="P116"/>
      <c r="Q116"/>
      <c r="R116"/>
      <c r="S116"/>
      <c r="T116"/>
      <c r="U116"/>
      <c r="V116" s="394"/>
    </row>
    <row r="117" spans="1:22">
      <c r="A117" s="1112"/>
      <c r="B117" s="400"/>
      <c r="C117"/>
      <c r="D117"/>
      <c r="E117"/>
      <c r="F117"/>
      <c r="G117"/>
      <c r="H117"/>
      <c r="I117"/>
      <c r="J117"/>
      <c r="K117"/>
      <c r="L117"/>
      <c r="M117"/>
      <c r="N117"/>
      <c r="O117"/>
      <c r="P117"/>
      <c r="Q117"/>
      <c r="R117"/>
      <c r="S117"/>
      <c r="T117"/>
      <c r="U117"/>
      <c r="V117" s="485"/>
    </row>
    <row r="118" spans="1:22">
      <c r="A118" s="1112"/>
      <c r="B118" s="400"/>
      <c r="C118"/>
      <c r="D118"/>
      <c r="E118"/>
      <c r="F118"/>
      <c r="G118"/>
      <c r="H118"/>
      <c r="I118"/>
      <c r="J118"/>
      <c r="K118"/>
      <c r="L118"/>
      <c r="M118"/>
      <c r="N118"/>
      <c r="O118"/>
      <c r="P118"/>
      <c r="Q118"/>
      <c r="R118"/>
      <c r="S118"/>
      <c r="T118"/>
      <c r="U118"/>
      <c r="V118" s="427"/>
    </row>
    <row r="119" spans="1:22">
      <c r="A119" s="1112"/>
      <c r="B119" s="400"/>
      <c r="C119"/>
      <c r="D119"/>
      <c r="E119"/>
      <c r="F119"/>
      <c r="G119"/>
      <c r="H119"/>
      <c r="I119"/>
      <c r="J119"/>
      <c r="K119"/>
      <c r="L119"/>
      <c r="M119"/>
      <c r="N119"/>
      <c r="O119"/>
      <c r="P119"/>
      <c r="Q119"/>
      <c r="R119"/>
      <c r="S119"/>
      <c r="T119"/>
      <c r="U119"/>
      <c r="V119" s="394"/>
    </row>
    <row r="120" spans="1:22">
      <c r="A120" s="1112"/>
      <c r="B120" s="400"/>
      <c r="C120"/>
      <c r="D120"/>
      <c r="E120"/>
      <c r="F120"/>
      <c r="G120"/>
      <c r="H120"/>
      <c r="I120"/>
      <c r="J120"/>
      <c r="K120"/>
      <c r="L120"/>
      <c r="M120"/>
      <c r="N120"/>
      <c r="O120"/>
      <c r="P120"/>
      <c r="Q120"/>
      <c r="R120"/>
      <c r="S120"/>
      <c r="T120"/>
      <c r="U120"/>
      <c r="V120" s="485"/>
    </row>
    <row r="121" spans="1:22">
      <c r="A121" s="1112"/>
      <c r="B121" s="400"/>
      <c r="C121"/>
      <c r="D121"/>
      <c r="E121"/>
      <c r="F121"/>
      <c r="G121"/>
      <c r="H121"/>
      <c r="I121"/>
      <c r="J121"/>
      <c r="K121"/>
      <c r="L121"/>
      <c r="M121"/>
      <c r="N121"/>
      <c r="O121"/>
      <c r="P121"/>
      <c r="Q121"/>
      <c r="R121"/>
      <c r="S121"/>
      <c r="T121"/>
      <c r="U121"/>
      <c r="V121" s="427"/>
    </row>
    <row r="122" spans="1:22">
      <c r="A122" s="1112"/>
      <c r="B122" s="400"/>
      <c r="C122"/>
      <c r="D122"/>
      <c r="E122"/>
      <c r="F122"/>
      <c r="G122"/>
      <c r="H122"/>
      <c r="I122"/>
      <c r="J122"/>
      <c r="K122"/>
      <c r="L122"/>
      <c r="M122"/>
      <c r="N122"/>
      <c r="O122"/>
      <c r="P122"/>
      <c r="Q122"/>
      <c r="R122"/>
      <c r="S122"/>
      <c r="T122"/>
      <c r="U122"/>
      <c r="V122" s="394"/>
    </row>
    <row r="123" spans="1:22">
      <c r="A123" s="1112"/>
      <c r="B123" s="400"/>
      <c r="C123"/>
      <c r="D123"/>
      <c r="E123"/>
      <c r="F123"/>
      <c r="G123"/>
      <c r="H123"/>
      <c r="I123"/>
      <c r="J123"/>
      <c r="K123"/>
      <c r="L123"/>
      <c r="M123"/>
      <c r="N123"/>
      <c r="O123"/>
      <c r="P123"/>
      <c r="Q123"/>
      <c r="R123"/>
      <c r="S123"/>
      <c r="T123"/>
      <c r="U123"/>
      <c r="V123" s="485"/>
    </row>
    <row r="124" spans="1:22">
      <c r="A124" s="1112"/>
      <c r="B124" s="400"/>
      <c r="C124"/>
      <c r="D124"/>
      <c r="E124"/>
      <c r="F124"/>
      <c r="G124"/>
      <c r="H124"/>
      <c r="I124"/>
      <c r="J124"/>
      <c r="K124"/>
      <c r="L124"/>
      <c r="M124"/>
      <c r="N124"/>
      <c r="O124"/>
      <c r="P124"/>
      <c r="Q124"/>
      <c r="R124"/>
      <c r="S124"/>
      <c r="T124"/>
      <c r="U124"/>
      <c r="V124" s="427"/>
    </row>
    <row r="125" spans="1:22">
      <c r="A125" s="1112"/>
      <c r="B125" s="400"/>
      <c r="C125"/>
      <c r="D125"/>
      <c r="E125"/>
      <c r="F125"/>
      <c r="G125"/>
      <c r="H125"/>
      <c r="I125"/>
      <c r="J125"/>
      <c r="K125"/>
      <c r="L125"/>
      <c r="M125"/>
      <c r="N125"/>
      <c r="O125"/>
      <c r="P125"/>
      <c r="Q125"/>
      <c r="R125"/>
      <c r="S125"/>
      <c r="T125"/>
      <c r="U125"/>
      <c r="V125" s="394"/>
    </row>
    <row r="126" spans="1:22">
      <c r="A126" s="1112"/>
      <c r="B126" s="400"/>
      <c r="C126"/>
      <c r="D126"/>
      <c r="E126"/>
      <c r="F126"/>
      <c r="G126"/>
      <c r="H126"/>
      <c r="I126"/>
      <c r="J126"/>
      <c r="K126"/>
      <c r="L126"/>
      <c r="M126"/>
      <c r="N126"/>
      <c r="O126"/>
      <c r="P126"/>
      <c r="Q126"/>
      <c r="R126"/>
      <c r="S126"/>
      <c r="T126"/>
      <c r="U126"/>
      <c r="V126" s="485"/>
    </row>
    <row r="127" spans="1:22">
      <c r="A127" s="1112"/>
      <c r="B127" s="400"/>
      <c r="C127"/>
      <c r="D127"/>
      <c r="E127"/>
      <c r="F127"/>
      <c r="G127"/>
      <c r="H127"/>
      <c r="I127"/>
      <c r="J127"/>
      <c r="K127"/>
      <c r="L127"/>
      <c r="M127"/>
      <c r="N127"/>
      <c r="O127"/>
      <c r="P127"/>
      <c r="Q127"/>
      <c r="R127"/>
      <c r="S127"/>
      <c r="T127"/>
      <c r="U127"/>
      <c r="V127" s="427"/>
    </row>
    <row r="128" spans="1:22">
      <c r="A128" s="1112"/>
      <c r="B128" s="400"/>
      <c r="C128"/>
      <c r="D128"/>
      <c r="E128"/>
      <c r="F128"/>
      <c r="G128"/>
      <c r="H128"/>
      <c r="I128"/>
      <c r="J128"/>
      <c r="K128"/>
      <c r="L128"/>
      <c r="M128"/>
      <c r="N128"/>
      <c r="O128"/>
      <c r="P128"/>
      <c r="Q128"/>
      <c r="R128"/>
      <c r="S128"/>
      <c r="T128"/>
      <c r="U128"/>
      <c r="V128" s="394"/>
    </row>
    <row r="129" spans="1:22">
      <c r="A129" s="1112"/>
      <c r="B129" s="400"/>
      <c r="C129"/>
      <c r="D129"/>
      <c r="E129"/>
      <c r="F129"/>
      <c r="G129"/>
      <c r="H129"/>
      <c r="I129"/>
      <c r="J129"/>
      <c r="K129"/>
      <c r="L129"/>
      <c r="M129"/>
      <c r="N129"/>
      <c r="O129"/>
      <c r="P129"/>
      <c r="Q129"/>
      <c r="R129"/>
      <c r="S129"/>
      <c r="T129"/>
      <c r="U129"/>
      <c r="V129" s="485"/>
    </row>
    <row r="130" spans="1:22">
      <c r="A130" s="1112"/>
      <c r="B130" s="400"/>
      <c r="C130"/>
      <c r="D130"/>
      <c r="E130"/>
      <c r="F130"/>
      <c r="G130"/>
      <c r="H130"/>
      <c r="I130"/>
      <c r="J130"/>
      <c r="K130"/>
      <c r="L130"/>
      <c r="M130"/>
      <c r="N130"/>
      <c r="O130"/>
      <c r="P130"/>
      <c r="Q130"/>
      <c r="R130"/>
      <c r="S130"/>
      <c r="T130"/>
      <c r="U130"/>
      <c r="V130" s="427"/>
    </row>
    <row r="131" spans="1:22">
      <c r="A131" s="1112"/>
      <c r="B131" s="400"/>
      <c r="C131"/>
      <c r="D131"/>
      <c r="E131"/>
      <c r="F131"/>
      <c r="G131"/>
      <c r="H131"/>
      <c r="I131"/>
      <c r="J131"/>
      <c r="K131"/>
      <c r="L131"/>
      <c r="M131"/>
      <c r="N131"/>
      <c r="O131"/>
      <c r="P131"/>
      <c r="Q131"/>
      <c r="R131"/>
      <c r="S131"/>
      <c r="T131"/>
      <c r="U131"/>
      <c r="V131" s="394"/>
    </row>
    <row r="132" spans="1:22">
      <c r="A132" s="1112"/>
      <c r="B132" s="400"/>
      <c r="C132"/>
      <c r="D132"/>
      <c r="E132"/>
      <c r="F132"/>
      <c r="G132"/>
      <c r="H132"/>
      <c r="I132"/>
      <c r="J132"/>
      <c r="K132"/>
      <c r="L132"/>
      <c r="M132"/>
      <c r="N132"/>
      <c r="O132"/>
      <c r="P132"/>
      <c r="Q132"/>
      <c r="R132"/>
      <c r="S132"/>
      <c r="T132"/>
      <c r="U132"/>
      <c r="V132" s="485"/>
    </row>
    <row r="133" spans="1:22">
      <c r="A133" s="1112"/>
      <c r="B133" s="400"/>
      <c r="C133"/>
      <c r="D133"/>
      <c r="E133"/>
      <c r="F133"/>
      <c r="G133"/>
      <c r="H133"/>
      <c r="I133"/>
      <c r="J133"/>
      <c r="K133"/>
      <c r="L133"/>
      <c r="M133"/>
      <c r="N133"/>
      <c r="O133"/>
      <c r="P133"/>
      <c r="Q133"/>
      <c r="R133"/>
      <c r="S133"/>
      <c r="T133"/>
      <c r="U133"/>
      <c r="V133" s="427"/>
    </row>
    <row r="134" spans="1:22">
      <c r="A134" s="1112"/>
      <c r="B134" s="400"/>
      <c r="C134"/>
      <c r="D134"/>
      <c r="E134"/>
      <c r="F134"/>
      <c r="G134"/>
      <c r="H134"/>
      <c r="I134"/>
      <c r="J134"/>
      <c r="K134"/>
      <c r="L134"/>
      <c r="M134"/>
      <c r="N134"/>
      <c r="O134"/>
      <c r="P134"/>
      <c r="Q134"/>
      <c r="R134"/>
      <c r="S134"/>
      <c r="T134"/>
      <c r="U134"/>
      <c r="V134" s="394"/>
    </row>
    <row r="135" spans="1:22">
      <c r="A135" s="1112"/>
      <c r="B135" s="400"/>
      <c r="C135"/>
      <c r="D135"/>
      <c r="E135"/>
      <c r="F135"/>
      <c r="G135"/>
      <c r="H135"/>
      <c r="I135"/>
      <c r="J135"/>
      <c r="K135"/>
      <c r="L135"/>
      <c r="M135"/>
      <c r="N135"/>
      <c r="O135"/>
      <c r="P135"/>
      <c r="Q135"/>
      <c r="R135"/>
      <c r="S135"/>
      <c r="T135"/>
      <c r="U135"/>
      <c r="V135" s="485"/>
    </row>
    <row r="136" spans="1:22">
      <c r="A136" s="1112"/>
      <c r="B136" s="400"/>
      <c r="C136"/>
      <c r="D136"/>
      <c r="E136"/>
      <c r="F136"/>
      <c r="G136"/>
      <c r="H136"/>
      <c r="I136"/>
      <c r="J136"/>
      <c r="K136"/>
      <c r="L136"/>
      <c r="M136"/>
      <c r="N136"/>
      <c r="O136"/>
      <c r="P136"/>
      <c r="Q136"/>
      <c r="R136"/>
      <c r="S136"/>
      <c r="T136"/>
      <c r="U136"/>
      <c r="V136" s="427"/>
    </row>
    <row r="137" spans="1:22">
      <c r="A137" s="1112"/>
      <c r="B137" s="400"/>
      <c r="C137"/>
      <c r="D137"/>
      <c r="E137"/>
      <c r="F137"/>
      <c r="G137"/>
      <c r="H137"/>
      <c r="I137"/>
      <c r="J137"/>
      <c r="K137"/>
      <c r="L137"/>
      <c r="M137"/>
      <c r="N137"/>
      <c r="O137"/>
      <c r="P137"/>
      <c r="Q137"/>
      <c r="R137"/>
      <c r="S137"/>
      <c r="T137"/>
      <c r="U137"/>
      <c r="V137" s="394"/>
    </row>
    <row r="138" spans="1:22">
      <c r="A138" s="1112"/>
      <c r="B138" s="400"/>
      <c r="C138"/>
      <c r="D138"/>
      <c r="E138"/>
      <c r="F138"/>
      <c r="G138"/>
      <c r="H138"/>
      <c r="I138"/>
      <c r="J138"/>
      <c r="K138"/>
      <c r="L138"/>
      <c r="M138"/>
      <c r="N138"/>
      <c r="O138"/>
      <c r="P138"/>
      <c r="Q138"/>
      <c r="R138"/>
      <c r="S138"/>
      <c r="T138"/>
      <c r="U138"/>
      <c r="V138" s="485"/>
    </row>
    <row r="139" spans="1:22">
      <c r="A139" s="1112"/>
      <c r="B139" s="400"/>
      <c r="C139"/>
      <c r="D139"/>
      <c r="E139"/>
      <c r="F139"/>
      <c r="G139"/>
      <c r="H139"/>
      <c r="I139"/>
      <c r="J139"/>
      <c r="K139"/>
      <c r="L139"/>
      <c r="M139"/>
      <c r="N139"/>
      <c r="O139"/>
      <c r="P139"/>
      <c r="Q139"/>
      <c r="R139"/>
      <c r="S139"/>
      <c r="T139"/>
      <c r="U139"/>
      <c r="V139" s="427"/>
    </row>
    <row r="140" spans="1:22">
      <c r="A140" s="1112"/>
      <c r="B140" s="400"/>
      <c r="C140"/>
      <c r="D140"/>
      <c r="E140"/>
      <c r="F140"/>
      <c r="G140"/>
      <c r="H140"/>
      <c r="I140"/>
      <c r="J140"/>
      <c r="K140"/>
      <c r="L140"/>
      <c r="M140"/>
      <c r="N140"/>
      <c r="O140"/>
      <c r="P140"/>
      <c r="Q140"/>
      <c r="R140"/>
      <c r="S140"/>
      <c r="T140"/>
      <c r="U140"/>
      <c r="V140" s="394"/>
    </row>
    <row r="141" spans="1:22">
      <c r="A141" s="1112"/>
      <c r="B141" s="400"/>
      <c r="C141"/>
      <c r="D141"/>
      <c r="E141"/>
      <c r="F141"/>
      <c r="G141"/>
      <c r="H141"/>
      <c r="I141"/>
      <c r="J141"/>
      <c r="K141"/>
      <c r="L141"/>
      <c r="M141"/>
      <c r="N141"/>
      <c r="O141"/>
      <c r="P141"/>
      <c r="Q141"/>
      <c r="R141"/>
      <c r="S141"/>
      <c r="T141"/>
      <c r="U141"/>
      <c r="V141" s="485"/>
    </row>
    <row r="142" spans="1:22">
      <c r="A142" s="1112"/>
      <c r="B142" s="400"/>
      <c r="C142"/>
      <c r="D142"/>
      <c r="E142"/>
      <c r="F142"/>
      <c r="G142"/>
      <c r="H142"/>
      <c r="I142"/>
      <c r="J142"/>
      <c r="K142"/>
      <c r="L142"/>
      <c r="M142"/>
      <c r="N142"/>
      <c r="O142"/>
      <c r="P142"/>
      <c r="Q142"/>
      <c r="R142"/>
      <c r="S142"/>
      <c r="T142"/>
      <c r="U142"/>
      <c r="V142" s="427"/>
    </row>
    <row r="143" spans="1:22">
      <c r="A143" s="1112"/>
      <c r="B143" s="400"/>
      <c r="C143"/>
      <c r="D143"/>
      <c r="E143"/>
      <c r="F143"/>
      <c r="G143"/>
      <c r="H143"/>
      <c r="I143"/>
      <c r="J143"/>
      <c r="K143"/>
      <c r="L143"/>
      <c r="M143"/>
      <c r="N143"/>
      <c r="O143"/>
      <c r="P143"/>
      <c r="Q143"/>
      <c r="R143"/>
      <c r="S143"/>
      <c r="T143"/>
      <c r="U143"/>
      <c r="V143" s="394"/>
    </row>
    <row r="144" spans="1:22">
      <c r="A144" s="1113"/>
      <c r="B144" s="482"/>
      <c r="C144"/>
      <c r="D144"/>
      <c r="E144"/>
      <c r="F144"/>
      <c r="G144"/>
      <c r="H144"/>
      <c r="I144"/>
      <c r="J144"/>
      <c r="K144"/>
      <c r="L144"/>
      <c r="M144"/>
      <c r="N144"/>
      <c r="O144"/>
      <c r="P144"/>
      <c r="Q144"/>
      <c r="R144"/>
      <c r="S144"/>
      <c r="T144"/>
      <c r="U144"/>
      <c r="V144" s="485"/>
    </row>
    <row r="145" spans="1:22">
      <c r="B145" s="418"/>
      <c r="C145"/>
      <c r="D145"/>
      <c r="E145"/>
      <c r="F145"/>
      <c r="G145"/>
      <c r="H145"/>
      <c r="I145"/>
      <c r="J145"/>
      <c r="K145"/>
      <c r="L145"/>
      <c r="M145"/>
      <c r="N145"/>
      <c r="O145"/>
      <c r="P145"/>
      <c r="Q145"/>
      <c r="R145"/>
      <c r="S145"/>
      <c r="T145"/>
      <c r="U145"/>
      <c r="V145" s="427"/>
    </row>
    <row r="146" spans="1:22">
      <c r="A146" s="465"/>
      <c r="B146" s="419"/>
      <c r="C146"/>
      <c r="D146"/>
      <c r="E146"/>
      <c r="F146"/>
      <c r="G146"/>
      <c r="H146"/>
      <c r="I146"/>
      <c r="J146"/>
      <c r="K146"/>
      <c r="L146"/>
      <c r="M146"/>
      <c r="N146"/>
      <c r="O146"/>
      <c r="P146"/>
      <c r="Q146"/>
      <c r="R146"/>
      <c r="S146"/>
      <c r="T146"/>
      <c r="U146"/>
      <c r="V146" s="394"/>
    </row>
    <row r="147" spans="1:22">
      <c r="A147" s="483"/>
      <c r="B147" s="420"/>
      <c r="C147"/>
      <c r="D147"/>
      <c r="E147"/>
      <c r="F147"/>
      <c r="G147"/>
      <c r="H147"/>
      <c r="I147"/>
      <c r="J147"/>
      <c r="K147"/>
      <c r="L147"/>
      <c r="M147"/>
      <c r="N147"/>
      <c r="O147"/>
      <c r="P147"/>
      <c r="Q147"/>
      <c r="R147"/>
      <c r="S147"/>
      <c r="T147"/>
      <c r="U147"/>
      <c r="V147" s="485"/>
    </row>
    <row r="148" spans="1:22">
      <c r="B148" s="418"/>
      <c r="C148" s="492"/>
      <c r="D148" s="475"/>
      <c r="E148" s="476"/>
      <c r="F148" s="487"/>
      <c r="G148" s="487"/>
      <c r="H148" s="487"/>
      <c r="I148" s="487"/>
      <c r="J148" s="487"/>
      <c r="K148" s="487"/>
      <c r="L148" s="487"/>
      <c r="M148" s="487"/>
      <c r="N148" s="487"/>
      <c r="O148" s="487"/>
      <c r="P148" s="487"/>
      <c r="Q148" s="487"/>
      <c r="R148" s="487"/>
      <c r="S148" s="487"/>
      <c r="T148" s="487"/>
      <c r="U148" s="488"/>
      <c r="V148" s="427"/>
    </row>
    <row r="149" spans="1:22">
      <c r="B149" s="418"/>
      <c r="C149" s="493"/>
      <c r="D149" s="426"/>
      <c r="E149" s="425"/>
      <c r="F149" s="394"/>
      <c r="G149" s="394"/>
      <c r="H149" s="394"/>
      <c r="I149" s="394"/>
      <c r="J149" s="394"/>
      <c r="K149" s="394"/>
      <c r="L149" s="394"/>
      <c r="M149" s="394"/>
      <c r="N149" s="394"/>
      <c r="O149" s="394"/>
      <c r="P149" s="394"/>
      <c r="Q149" s="394"/>
      <c r="R149" s="394"/>
      <c r="S149" s="394"/>
      <c r="T149" s="394"/>
      <c r="U149" s="426"/>
      <c r="V149" s="394"/>
    </row>
    <row r="150" spans="1:22">
      <c r="A150" s="483"/>
      <c r="B150" s="495"/>
      <c r="C150" s="494"/>
      <c r="D150" s="484"/>
      <c r="E150" s="486"/>
      <c r="F150" s="489"/>
      <c r="G150" s="489"/>
      <c r="H150" s="489"/>
      <c r="I150" s="489"/>
      <c r="J150" s="489"/>
      <c r="K150" s="489"/>
      <c r="L150" s="489"/>
      <c r="M150" s="489"/>
      <c r="N150" s="489"/>
      <c r="O150" s="489"/>
      <c r="P150" s="489"/>
      <c r="Q150" s="489"/>
      <c r="R150" s="489"/>
      <c r="S150" s="489"/>
      <c r="T150" s="489"/>
      <c r="U150" s="490"/>
      <c r="V150" s="485"/>
    </row>
    <row r="151" spans="1:22">
      <c r="B151" s="418"/>
      <c r="C151" s="181"/>
      <c r="D151" s="181"/>
      <c r="E151" s="181"/>
      <c r="F151" s="181"/>
      <c r="G151" s="181"/>
      <c r="H151" s="181"/>
      <c r="I151" s="181"/>
      <c r="J151" s="181"/>
      <c r="K151" s="181"/>
      <c r="L151" s="181"/>
      <c r="M151" s="181"/>
      <c r="N151" s="181"/>
      <c r="O151" s="181"/>
      <c r="P151" s="181"/>
      <c r="Q151" s="181"/>
      <c r="R151" s="181"/>
      <c r="S151" s="181"/>
      <c r="T151" s="181"/>
      <c r="U151" s="181"/>
      <c r="V151" s="181"/>
    </row>
    <row r="152" spans="1:22">
      <c r="B152" s="418"/>
      <c r="C152" s="181"/>
      <c r="D152" s="181"/>
      <c r="E152" s="181"/>
      <c r="F152" s="181"/>
      <c r="G152" s="181"/>
      <c r="H152" s="181"/>
      <c r="I152" s="181"/>
      <c r="J152" s="181"/>
      <c r="K152" s="181"/>
      <c r="L152" s="181"/>
      <c r="M152" s="181"/>
      <c r="N152" s="181"/>
      <c r="O152" s="181"/>
      <c r="P152" s="181"/>
      <c r="Q152" s="181"/>
      <c r="R152" s="181"/>
      <c r="S152" s="181"/>
      <c r="T152" s="181"/>
      <c r="U152" s="181"/>
      <c r="V152" s="181"/>
    </row>
    <row r="153" spans="1:22">
      <c r="B153" s="418"/>
      <c r="C153" s="181"/>
      <c r="D153" s="181"/>
      <c r="E153" s="181"/>
      <c r="F153" s="181"/>
      <c r="G153" s="181"/>
      <c r="H153" s="181"/>
      <c r="I153" s="181"/>
      <c r="J153" s="181"/>
      <c r="K153" s="181"/>
      <c r="L153" s="181"/>
      <c r="M153" s="181"/>
      <c r="N153" s="181"/>
      <c r="O153" s="181"/>
      <c r="P153" s="181"/>
      <c r="Q153" s="181"/>
      <c r="R153" s="181"/>
      <c r="S153" s="181"/>
      <c r="T153" s="181"/>
      <c r="U153" s="181"/>
      <c r="V153" s="181"/>
    </row>
  </sheetData>
  <mergeCells count="2">
    <mergeCell ref="A4:A39"/>
    <mergeCell ref="A40:A97"/>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FF99"/>
  </sheetPr>
  <dimension ref="A1:AB707"/>
  <sheetViews>
    <sheetView workbookViewId="0">
      <selection sqref="A1:XFD1048576"/>
    </sheetView>
  </sheetViews>
  <sheetFormatPr defaultColWidth="12.75" defaultRowHeight="12.75"/>
  <cols>
    <col min="1" max="1" width="5.375" style="644" customWidth="1"/>
    <col min="2" max="2" width="30.75" style="644" customWidth="1"/>
    <col min="3" max="3" width="12.75" style="645"/>
    <col min="4" max="21" width="12.75" style="644"/>
    <col min="22" max="22" width="12.75" style="646"/>
    <col min="23" max="23" width="12.75" style="644"/>
    <col min="24" max="24" width="12.75" style="646"/>
    <col min="25" max="25" width="12.75" style="644"/>
    <col min="26" max="28" width="12.75" style="646"/>
    <col min="29" max="16384" width="12.75" style="644"/>
  </cols>
  <sheetData>
    <row r="1" spans="1:28">
      <c r="A1" s="465"/>
      <c r="B1" s="394"/>
      <c r="C1" s="644"/>
      <c r="D1" s="1145"/>
      <c r="V1" s="644"/>
      <c r="X1" s="644"/>
      <c r="Z1" s="644"/>
      <c r="AA1" s="644"/>
      <c r="AB1" s="644"/>
    </row>
    <row r="2" spans="1:28">
      <c r="C2" s="644"/>
      <c r="V2" s="644"/>
      <c r="X2" s="644"/>
      <c r="Z2" s="644"/>
      <c r="AA2" s="644"/>
      <c r="AB2" s="644"/>
    </row>
    <row r="3" spans="1:28" s="217" customFormat="1">
      <c r="A3" s="397"/>
      <c r="B3" s="398"/>
      <c r="C3" s="233"/>
      <c r="D3" s="216"/>
      <c r="E3" s="216"/>
      <c r="F3" s="216"/>
      <c r="G3" s="216"/>
      <c r="H3" s="216"/>
      <c r="I3" s="1140"/>
      <c r="J3" s="216"/>
      <c r="K3" s="216"/>
      <c r="L3" s="216"/>
      <c r="M3" s="216"/>
      <c r="N3" s="216"/>
      <c r="O3" s="1140"/>
      <c r="P3" s="216"/>
      <c r="Q3" s="216"/>
      <c r="R3" s="216"/>
      <c r="S3" s="1140"/>
      <c r="T3" s="216"/>
      <c r="U3" s="216"/>
      <c r="V3" s="234"/>
      <c r="W3" s="1130"/>
      <c r="X3"/>
      <c r="Y3"/>
      <c r="Z3"/>
      <c r="AA3"/>
      <c r="AB3"/>
    </row>
    <row r="4" spans="1:28" s="217" customFormat="1">
      <c r="A4" s="396"/>
      <c r="B4" s="399"/>
      <c r="C4" s="233"/>
      <c r="D4" s="216"/>
      <c r="E4" s="216"/>
      <c r="F4" s="216"/>
      <c r="G4" s="216"/>
      <c r="H4" s="216"/>
      <c r="I4" s="1141"/>
      <c r="J4" s="235"/>
      <c r="K4" s="216"/>
      <c r="L4" s="216"/>
      <c r="M4" s="216"/>
      <c r="N4" s="216"/>
      <c r="O4" s="1141"/>
      <c r="P4" s="403"/>
      <c r="Q4" s="405"/>
      <c r="R4" s="405"/>
      <c r="S4" s="1141"/>
      <c r="T4" s="233"/>
      <c r="U4" s="233"/>
      <c r="V4" s="235"/>
      <c r="W4" s="1151"/>
      <c r="X4"/>
      <c r="Y4"/>
      <c r="Z4"/>
      <c r="AA4"/>
      <c r="AB4"/>
    </row>
    <row r="5" spans="1:28" s="217" customFormat="1">
      <c r="A5" s="395"/>
      <c r="B5" s="395"/>
      <c r="C5" s="396"/>
      <c r="D5" s="1132"/>
      <c r="E5" s="1132"/>
      <c r="F5" s="1132"/>
      <c r="G5" s="1132"/>
      <c r="H5" s="1133"/>
      <c r="I5" s="1142"/>
      <c r="J5" s="396"/>
      <c r="K5" s="1132"/>
      <c r="L5" s="1132"/>
      <c r="M5" s="1127"/>
      <c r="N5" s="1134"/>
      <c r="O5" s="1142"/>
      <c r="P5" s="403"/>
      <c r="Q5" s="1150"/>
      <c r="R5" s="1150"/>
      <c r="S5" s="1142"/>
      <c r="T5" s="395"/>
      <c r="U5" s="1131"/>
      <c r="V5" s="395"/>
      <c r="W5" s="1131"/>
      <c r="X5"/>
      <c r="Y5"/>
      <c r="Z5"/>
      <c r="AA5"/>
      <c r="AB5"/>
    </row>
    <row r="6" spans="1:28">
      <c r="A6" s="233"/>
      <c r="B6" s="403"/>
      <c r="C6" s="407"/>
      <c r="D6" s="407"/>
      <c r="E6" s="407"/>
      <c r="F6" s="407"/>
      <c r="G6" s="407"/>
      <c r="H6" s="407"/>
      <c r="I6" s="1137"/>
      <c r="J6" s="407"/>
      <c r="K6" s="407"/>
      <c r="L6" s="407"/>
      <c r="M6" s="407"/>
      <c r="N6" s="407"/>
      <c r="O6" s="1137"/>
      <c r="P6" s="407"/>
      <c r="Q6" s="407"/>
      <c r="R6" s="407"/>
      <c r="S6" s="1137"/>
      <c r="T6" s="407"/>
      <c r="U6" s="407"/>
      <c r="V6" s="407"/>
      <c r="W6" s="1128"/>
      <c r="X6"/>
      <c r="Y6"/>
      <c r="Z6"/>
      <c r="AA6"/>
      <c r="AB6"/>
    </row>
    <row r="7" spans="1:28" s="205" customFormat="1">
      <c r="A7" s="1125"/>
      <c r="B7" s="404"/>
      <c r="C7" s="408"/>
      <c r="D7" s="408"/>
      <c r="E7" s="408"/>
      <c r="F7" s="408"/>
      <c r="G7" s="408"/>
      <c r="H7" s="408"/>
      <c r="I7" s="1138"/>
      <c r="J7" s="408"/>
      <c r="K7" s="408"/>
      <c r="L7" s="408"/>
      <c r="M7" s="408"/>
      <c r="N7" s="408"/>
      <c r="O7" s="1138"/>
      <c r="P7" s="408"/>
      <c r="Q7" s="408"/>
      <c r="R7" s="408"/>
      <c r="S7" s="1138"/>
      <c r="T7" s="408"/>
      <c r="U7" s="408"/>
      <c r="V7" s="408"/>
      <c r="W7" s="1129"/>
      <c r="X7"/>
      <c r="Y7"/>
      <c r="Z7"/>
      <c r="AA7"/>
      <c r="AB7"/>
    </row>
    <row r="8" spans="1:28" s="204" customFormat="1">
      <c r="A8" s="1126"/>
      <c r="B8" s="1135"/>
      <c r="C8" s="520"/>
      <c r="D8" s="520"/>
      <c r="E8" s="520"/>
      <c r="F8" s="520"/>
      <c r="G8" s="520"/>
      <c r="H8" s="520"/>
      <c r="I8" s="1139"/>
      <c r="J8" s="520"/>
      <c r="K8" s="520"/>
      <c r="L8" s="520"/>
      <c r="M8" s="520"/>
      <c r="N8" s="520"/>
      <c r="O8" s="1139"/>
      <c r="P8" s="520"/>
      <c r="Q8" s="520"/>
      <c r="R8" s="520"/>
      <c r="S8" s="1139"/>
      <c r="T8" s="520"/>
      <c r="U8" s="520"/>
      <c r="V8" s="520"/>
      <c r="W8" s="1152"/>
      <c r="X8"/>
      <c r="Y8"/>
      <c r="Z8"/>
      <c r="AA8"/>
      <c r="AB8"/>
    </row>
    <row r="9" spans="1:28">
      <c r="A9" s="1125"/>
      <c r="B9" s="403"/>
      <c r="C9" s="407"/>
      <c r="D9" s="407"/>
      <c r="E9" s="407"/>
      <c r="F9" s="407"/>
      <c r="G9" s="407"/>
      <c r="H9" s="407"/>
      <c r="I9" s="1137"/>
      <c r="J9" s="407"/>
      <c r="K9" s="407"/>
      <c r="L9" s="407"/>
      <c r="M9" s="407"/>
      <c r="N9" s="407"/>
      <c r="O9" s="1137"/>
      <c r="P9" s="407"/>
      <c r="Q9" s="407"/>
      <c r="R9" s="407"/>
      <c r="S9" s="1137"/>
      <c r="T9" s="407"/>
      <c r="U9" s="407"/>
      <c r="V9" s="407"/>
      <c r="W9" s="1128"/>
      <c r="X9"/>
      <c r="Y9"/>
      <c r="Z9"/>
      <c r="AA9"/>
      <c r="AB9"/>
    </row>
    <row r="10" spans="1:28" s="205" customFormat="1">
      <c r="A10" s="1125"/>
      <c r="B10" s="404"/>
      <c r="C10" s="408"/>
      <c r="D10" s="408"/>
      <c r="E10" s="408"/>
      <c r="F10" s="408"/>
      <c r="G10" s="408"/>
      <c r="H10" s="408"/>
      <c r="I10" s="1138"/>
      <c r="J10" s="408"/>
      <c r="K10" s="408"/>
      <c r="L10" s="408"/>
      <c r="M10" s="408"/>
      <c r="N10" s="408"/>
      <c r="O10" s="1138"/>
      <c r="P10" s="408"/>
      <c r="Q10" s="408"/>
      <c r="R10" s="408"/>
      <c r="S10" s="1138"/>
      <c r="T10" s="408"/>
      <c r="U10" s="408"/>
      <c r="V10" s="408"/>
      <c r="W10" s="1129"/>
      <c r="X10"/>
      <c r="Y10"/>
      <c r="Z10"/>
      <c r="AA10"/>
      <c r="AB10"/>
    </row>
    <row r="11" spans="1:28" s="204" customFormat="1">
      <c r="A11" s="1125"/>
      <c r="B11" s="1135"/>
      <c r="C11" s="520"/>
      <c r="D11" s="520"/>
      <c r="E11" s="520"/>
      <c r="F11" s="520"/>
      <c r="G11" s="520"/>
      <c r="H11" s="520"/>
      <c r="I11" s="1139"/>
      <c r="J11" s="520"/>
      <c r="K11" s="520"/>
      <c r="L11" s="520"/>
      <c r="M11" s="520"/>
      <c r="N11" s="520"/>
      <c r="O11" s="1139"/>
      <c r="P11" s="520"/>
      <c r="Q11" s="520"/>
      <c r="R11" s="520"/>
      <c r="S11" s="1139"/>
      <c r="T11" s="520"/>
      <c r="U11" s="520"/>
      <c r="V11" s="520"/>
      <c r="W11" s="1152"/>
      <c r="X11"/>
      <c r="Y11"/>
      <c r="Z11"/>
      <c r="AA11"/>
      <c r="AB11"/>
    </row>
    <row r="12" spans="1:28">
      <c r="A12" s="1125"/>
      <c r="B12" s="403"/>
      <c r="C12" s="407"/>
      <c r="D12" s="407"/>
      <c r="E12" s="407"/>
      <c r="F12" s="407"/>
      <c r="G12" s="407"/>
      <c r="H12" s="407"/>
      <c r="I12" s="1137"/>
      <c r="J12" s="407"/>
      <c r="K12" s="407"/>
      <c r="L12" s="407"/>
      <c r="M12" s="407"/>
      <c r="N12" s="407"/>
      <c r="O12" s="1137"/>
      <c r="P12" s="407"/>
      <c r="Q12" s="407"/>
      <c r="R12" s="407"/>
      <c r="S12" s="1137"/>
      <c r="T12" s="407"/>
      <c r="U12" s="407"/>
      <c r="V12" s="407"/>
      <c r="W12" s="1128"/>
      <c r="X12"/>
      <c r="Y12"/>
      <c r="Z12"/>
      <c r="AA12"/>
      <c r="AB12"/>
    </row>
    <row r="13" spans="1:28" s="205" customFormat="1">
      <c r="A13" s="1125"/>
      <c r="B13" s="404"/>
      <c r="C13" s="408"/>
      <c r="D13" s="408"/>
      <c r="E13" s="408"/>
      <c r="F13" s="408"/>
      <c r="G13" s="408"/>
      <c r="H13" s="408"/>
      <c r="I13" s="1138"/>
      <c r="J13" s="408"/>
      <c r="K13" s="408"/>
      <c r="L13" s="408"/>
      <c r="M13" s="408"/>
      <c r="N13" s="408"/>
      <c r="O13" s="1138"/>
      <c r="P13" s="408"/>
      <c r="Q13" s="408"/>
      <c r="R13" s="408"/>
      <c r="S13" s="1138"/>
      <c r="T13" s="408"/>
      <c r="U13" s="408"/>
      <c r="V13" s="408"/>
      <c r="W13" s="1129"/>
      <c r="X13"/>
      <c r="Y13"/>
      <c r="Z13"/>
      <c r="AA13"/>
      <c r="AB13"/>
    </row>
    <row r="14" spans="1:28" s="204" customFormat="1">
      <c r="A14" s="1125"/>
      <c r="B14" s="1135"/>
      <c r="C14" s="520"/>
      <c r="D14" s="520"/>
      <c r="E14" s="520"/>
      <c r="F14" s="520"/>
      <c r="G14" s="520"/>
      <c r="H14" s="520"/>
      <c r="I14" s="1139"/>
      <c r="J14" s="520"/>
      <c r="K14" s="520"/>
      <c r="L14" s="520"/>
      <c r="M14" s="520"/>
      <c r="N14" s="520"/>
      <c r="O14" s="1139"/>
      <c r="P14" s="520"/>
      <c r="Q14" s="520"/>
      <c r="R14" s="520"/>
      <c r="S14" s="1139"/>
      <c r="T14" s="520"/>
      <c r="U14" s="520"/>
      <c r="V14" s="520"/>
      <c r="W14" s="1152"/>
      <c r="X14"/>
      <c r="Y14"/>
      <c r="Z14"/>
      <c r="AA14"/>
      <c r="AB14"/>
    </row>
    <row r="15" spans="1:28">
      <c r="A15" s="1125"/>
      <c r="B15" s="403"/>
      <c r="C15" s="407"/>
      <c r="D15" s="407"/>
      <c r="E15" s="407"/>
      <c r="F15" s="407"/>
      <c r="G15" s="407"/>
      <c r="H15" s="407"/>
      <c r="I15" s="1137"/>
      <c r="J15" s="407"/>
      <c r="K15" s="407"/>
      <c r="L15" s="407"/>
      <c r="M15" s="407"/>
      <c r="N15" s="407"/>
      <c r="O15" s="1137"/>
      <c r="P15" s="407"/>
      <c r="Q15" s="407"/>
      <c r="R15" s="407"/>
      <c r="S15" s="1137"/>
      <c r="T15" s="407"/>
      <c r="U15" s="407"/>
      <c r="V15" s="407"/>
      <c r="W15" s="1128"/>
      <c r="X15"/>
      <c r="Y15"/>
      <c r="Z15"/>
      <c r="AA15"/>
      <c r="AB15"/>
    </row>
    <row r="16" spans="1:28" s="647" customFormat="1">
      <c r="A16" s="1125"/>
      <c r="B16" s="404"/>
      <c r="C16" s="408"/>
      <c r="D16" s="408"/>
      <c r="E16" s="408"/>
      <c r="F16" s="408"/>
      <c r="G16" s="408"/>
      <c r="H16" s="408"/>
      <c r="I16" s="1138"/>
      <c r="J16" s="408"/>
      <c r="K16" s="408"/>
      <c r="L16" s="408"/>
      <c r="M16" s="408"/>
      <c r="N16" s="408"/>
      <c r="O16" s="1138"/>
      <c r="P16" s="408"/>
      <c r="Q16" s="408"/>
      <c r="R16" s="408"/>
      <c r="S16" s="1138"/>
      <c r="T16" s="408"/>
      <c r="U16" s="408"/>
      <c r="V16" s="408"/>
      <c r="W16" s="1129"/>
      <c r="X16"/>
      <c r="Y16"/>
      <c r="Z16"/>
      <c r="AA16"/>
      <c r="AB16"/>
    </row>
    <row r="17" spans="1:28" s="204" customFormat="1">
      <c r="A17" s="1125"/>
      <c r="B17" s="1135"/>
      <c r="C17" s="520"/>
      <c r="D17" s="520"/>
      <c r="E17" s="520"/>
      <c r="F17" s="520"/>
      <c r="G17" s="520"/>
      <c r="H17" s="520"/>
      <c r="I17" s="1139"/>
      <c r="J17" s="520"/>
      <c r="K17" s="520"/>
      <c r="L17" s="520"/>
      <c r="M17" s="520"/>
      <c r="N17" s="520"/>
      <c r="O17" s="1139"/>
      <c r="P17" s="520"/>
      <c r="Q17" s="520"/>
      <c r="R17" s="520"/>
      <c r="S17" s="1139"/>
      <c r="T17" s="520"/>
      <c r="U17" s="520"/>
      <c r="V17" s="520"/>
      <c r="W17" s="1152"/>
      <c r="X17"/>
      <c r="Y17"/>
      <c r="Z17"/>
      <c r="AA17"/>
      <c r="AB17"/>
    </row>
    <row r="18" spans="1:28">
      <c r="A18" s="1125"/>
      <c r="B18" s="403"/>
      <c r="C18" s="407"/>
      <c r="D18" s="407"/>
      <c r="E18" s="407"/>
      <c r="F18" s="407"/>
      <c r="G18" s="407"/>
      <c r="H18" s="407"/>
      <c r="I18" s="1137"/>
      <c r="J18" s="407"/>
      <c r="K18" s="407"/>
      <c r="L18" s="407"/>
      <c r="M18" s="407"/>
      <c r="N18" s="407"/>
      <c r="O18" s="1137"/>
      <c r="P18" s="407"/>
      <c r="Q18" s="407"/>
      <c r="R18" s="407"/>
      <c r="S18" s="1137"/>
      <c r="T18" s="407"/>
      <c r="U18" s="407"/>
      <c r="V18" s="407"/>
      <c r="W18" s="1128"/>
      <c r="X18"/>
      <c r="Y18"/>
      <c r="Z18"/>
      <c r="AA18"/>
      <c r="AB18"/>
    </row>
    <row r="19" spans="1:28" s="647" customFormat="1">
      <c r="A19" s="1125"/>
      <c r="B19" s="404"/>
      <c r="C19" s="408"/>
      <c r="D19" s="408"/>
      <c r="E19" s="408"/>
      <c r="F19" s="408"/>
      <c r="G19" s="408"/>
      <c r="H19" s="408"/>
      <c r="I19" s="1138"/>
      <c r="J19" s="408"/>
      <c r="K19" s="408"/>
      <c r="L19" s="408"/>
      <c r="M19" s="408"/>
      <c r="N19" s="408"/>
      <c r="O19" s="1138"/>
      <c r="P19" s="408"/>
      <c r="Q19" s="408"/>
      <c r="R19" s="408"/>
      <c r="S19" s="1138"/>
      <c r="T19" s="408"/>
      <c r="U19" s="408"/>
      <c r="V19" s="408"/>
      <c r="W19" s="1129"/>
      <c r="X19"/>
      <c r="Y19"/>
      <c r="Z19"/>
      <c r="AA19"/>
      <c r="AB19"/>
    </row>
    <row r="20" spans="1:28" s="204" customFormat="1">
      <c r="A20" s="1125"/>
      <c r="B20" s="1135"/>
      <c r="C20" s="520"/>
      <c r="D20" s="520"/>
      <c r="E20" s="520"/>
      <c r="F20" s="520"/>
      <c r="G20" s="520"/>
      <c r="H20" s="520"/>
      <c r="I20" s="1139"/>
      <c r="J20" s="520"/>
      <c r="K20" s="520"/>
      <c r="L20" s="520"/>
      <c r="M20" s="520"/>
      <c r="N20" s="520"/>
      <c r="O20" s="1139"/>
      <c r="P20" s="520"/>
      <c r="Q20" s="520"/>
      <c r="R20" s="520"/>
      <c r="S20" s="1139"/>
      <c r="T20" s="520"/>
      <c r="U20" s="520"/>
      <c r="V20" s="520"/>
      <c r="W20" s="1152"/>
      <c r="X20"/>
      <c r="Y20"/>
      <c r="Z20"/>
      <c r="AA20"/>
      <c r="AB20"/>
    </row>
    <row r="21" spans="1:28">
      <c r="A21" s="1125"/>
      <c r="B21" s="403"/>
      <c r="C21" s="407"/>
      <c r="D21" s="407"/>
      <c r="E21" s="407"/>
      <c r="F21" s="407"/>
      <c r="G21" s="407"/>
      <c r="H21" s="407"/>
      <c r="I21" s="1137"/>
      <c r="J21" s="407"/>
      <c r="K21" s="407"/>
      <c r="L21" s="407"/>
      <c r="M21" s="407"/>
      <c r="N21" s="407"/>
      <c r="O21" s="1137"/>
      <c r="P21" s="407"/>
      <c r="Q21" s="407"/>
      <c r="R21" s="407"/>
      <c r="S21" s="1137"/>
      <c r="T21" s="407"/>
      <c r="U21" s="407"/>
      <c r="V21" s="407"/>
      <c r="W21" s="1128"/>
      <c r="X21"/>
      <c r="Y21"/>
      <c r="Z21"/>
      <c r="AA21"/>
      <c r="AB21"/>
    </row>
    <row r="22" spans="1:28" s="205" customFormat="1">
      <c r="A22" s="1125"/>
      <c r="B22" s="404"/>
      <c r="C22" s="408"/>
      <c r="D22" s="408"/>
      <c r="E22" s="408"/>
      <c r="F22" s="408"/>
      <c r="G22" s="408"/>
      <c r="H22" s="408"/>
      <c r="I22" s="1138"/>
      <c r="J22" s="408"/>
      <c r="K22" s="408"/>
      <c r="L22" s="408"/>
      <c r="M22" s="408"/>
      <c r="N22" s="408"/>
      <c r="O22" s="1138"/>
      <c r="P22" s="408"/>
      <c r="Q22" s="408"/>
      <c r="R22" s="408"/>
      <c r="S22" s="1138"/>
      <c r="T22" s="408"/>
      <c r="U22" s="408"/>
      <c r="V22" s="408"/>
      <c r="W22" s="1129"/>
      <c r="X22"/>
      <c r="Y22"/>
      <c r="Z22"/>
      <c r="AA22"/>
      <c r="AB22"/>
    </row>
    <row r="23" spans="1:28" s="204" customFormat="1">
      <c r="A23" s="1125"/>
      <c r="B23" s="1135"/>
      <c r="C23" s="520"/>
      <c r="D23" s="520"/>
      <c r="E23" s="520"/>
      <c r="F23" s="520"/>
      <c r="G23" s="520"/>
      <c r="H23" s="520"/>
      <c r="I23" s="1139"/>
      <c r="J23" s="520"/>
      <c r="K23" s="520"/>
      <c r="L23" s="520"/>
      <c r="M23" s="520"/>
      <c r="N23" s="520"/>
      <c r="O23" s="1139"/>
      <c r="P23" s="520"/>
      <c r="Q23" s="520"/>
      <c r="R23" s="520"/>
      <c r="S23" s="1139"/>
      <c r="T23" s="520"/>
      <c r="U23" s="520"/>
      <c r="V23" s="520"/>
      <c r="W23" s="1152"/>
      <c r="X23"/>
      <c r="Y23"/>
      <c r="Z23"/>
      <c r="AA23"/>
      <c r="AB23"/>
    </row>
    <row r="24" spans="1:28">
      <c r="A24" s="1125"/>
      <c r="B24" s="403"/>
      <c r="C24" s="407"/>
      <c r="D24" s="407"/>
      <c r="E24" s="407"/>
      <c r="F24" s="407"/>
      <c r="G24" s="407"/>
      <c r="H24" s="407"/>
      <c r="I24" s="1137"/>
      <c r="J24" s="407"/>
      <c r="K24" s="407"/>
      <c r="L24" s="407"/>
      <c r="M24" s="407"/>
      <c r="N24" s="407"/>
      <c r="O24" s="1137"/>
      <c r="P24" s="407"/>
      <c r="Q24" s="407"/>
      <c r="R24" s="407"/>
      <c r="S24" s="1137"/>
      <c r="T24" s="407"/>
      <c r="U24" s="407"/>
      <c r="V24" s="407"/>
      <c r="W24" s="1128"/>
      <c r="X24"/>
      <c r="Y24"/>
      <c r="Z24"/>
      <c r="AA24"/>
      <c r="AB24"/>
    </row>
    <row r="25" spans="1:28" s="205" customFormat="1">
      <c r="A25" s="1125"/>
      <c r="B25" s="404"/>
      <c r="C25" s="408"/>
      <c r="D25" s="408"/>
      <c r="E25" s="408"/>
      <c r="F25" s="408"/>
      <c r="G25" s="408"/>
      <c r="H25" s="408"/>
      <c r="I25" s="1138"/>
      <c r="J25" s="408"/>
      <c r="K25" s="408"/>
      <c r="L25" s="408"/>
      <c r="M25" s="408"/>
      <c r="N25" s="408"/>
      <c r="O25" s="1138"/>
      <c r="P25" s="408"/>
      <c r="Q25" s="408"/>
      <c r="R25" s="408"/>
      <c r="S25" s="1138"/>
      <c r="T25" s="408"/>
      <c r="U25" s="408"/>
      <c r="V25" s="408"/>
      <c r="W25" s="1129"/>
      <c r="X25"/>
      <c r="Y25"/>
      <c r="Z25"/>
      <c r="AA25"/>
      <c r="AB25"/>
    </row>
    <row r="26" spans="1:28" s="204" customFormat="1">
      <c r="A26" s="1125"/>
      <c r="B26" s="1135"/>
      <c r="C26" s="520"/>
      <c r="D26" s="520"/>
      <c r="E26" s="520"/>
      <c r="F26" s="520"/>
      <c r="G26" s="520"/>
      <c r="H26" s="520"/>
      <c r="I26" s="1139"/>
      <c r="J26" s="520"/>
      <c r="K26" s="520"/>
      <c r="L26" s="520"/>
      <c r="M26" s="520"/>
      <c r="N26" s="520"/>
      <c r="O26" s="1139"/>
      <c r="P26" s="520"/>
      <c r="Q26" s="520"/>
      <c r="R26" s="520"/>
      <c r="S26" s="1139"/>
      <c r="T26" s="520"/>
      <c r="U26" s="520"/>
      <c r="V26" s="520"/>
      <c r="W26" s="1152"/>
      <c r="X26"/>
      <c r="Y26"/>
      <c r="Z26"/>
      <c r="AA26"/>
      <c r="AB26"/>
    </row>
    <row r="27" spans="1:28">
      <c r="A27" s="1125"/>
      <c r="B27" s="403"/>
      <c r="C27" s="407"/>
      <c r="D27" s="407"/>
      <c r="E27" s="407"/>
      <c r="F27" s="407"/>
      <c r="G27" s="407"/>
      <c r="H27" s="407"/>
      <c r="I27" s="1137"/>
      <c r="J27" s="407"/>
      <c r="K27" s="407"/>
      <c r="L27" s="407"/>
      <c r="M27" s="407"/>
      <c r="N27" s="407"/>
      <c r="O27" s="1137"/>
      <c r="P27" s="407"/>
      <c r="Q27" s="407"/>
      <c r="R27" s="407"/>
      <c r="S27" s="1137"/>
      <c r="T27" s="407"/>
      <c r="U27" s="407"/>
      <c r="V27" s="407"/>
      <c r="W27" s="1128"/>
      <c r="X27"/>
      <c r="Y27"/>
      <c r="Z27"/>
      <c r="AA27"/>
      <c r="AB27"/>
    </row>
    <row r="28" spans="1:28" s="205" customFormat="1">
      <c r="A28" s="1125"/>
      <c r="B28" s="404"/>
      <c r="C28" s="408"/>
      <c r="D28" s="408"/>
      <c r="E28" s="408"/>
      <c r="F28" s="408"/>
      <c r="G28" s="408"/>
      <c r="H28" s="408"/>
      <c r="I28" s="1138"/>
      <c r="J28" s="408"/>
      <c r="K28" s="408"/>
      <c r="L28" s="408"/>
      <c r="M28" s="408"/>
      <c r="N28" s="408"/>
      <c r="O28" s="1138"/>
      <c r="P28" s="408"/>
      <c r="Q28" s="408"/>
      <c r="R28" s="408"/>
      <c r="S28" s="1138"/>
      <c r="T28" s="408"/>
      <c r="U28" s="408"/>
      <c r="V28" s="408"/>
      <c r="W28" s="1129"/>
      <c r="X28"/>
      <c r="Y28"/>
      <c r="Z28"/>
      <c r="AA28"/>
      <c r="AB28"/>
    </row>
    <row r="29" spans="1:28" s="204" customFormat="1">
      <c r="A29" s="1125"/>
      <c r="B29" s="1135"/>
      <c r="C29" s="520"/>
      <c r="D29" s="520"/>
      <c r="E29" s="520"/>
      <c r="F29" s="520"/>
      <c r="G29" s="520"/>
      <c r="H29" s="520"/>
      <c r="I29" s="1139"/>
      <c r="J29" s="520"/>
      <c r="K29" s="520"/>
      <c r="L29" s="520"/>
      <c r="M29" s="520"/>
      <c r="N29" s="520"/>
      <c r="O29" s="1139"/>
      <c r="P29" s="520"/>
      <c r="Q29" s="520"/>
      <c r="R29" s="520"/>
      <c r="S29" s="1139"/>
      <c r="T29" s="520"/>
      <c r="U29" s="520"/>
      <c r="V29" s="520"/>
      <c r="W29" s="1152"/>
      <c r="X29"/>
      <c r="Y29"/>
      <c r="Z29"/>
      <c r="AA29"/>
      <c r="AB29"/>
    </row>
    <row r="30" spans="1:28">
      <c r="A30" s="1125"/>
      <c r="B30" s="403"/>
      <c r="C30" s="407"/>
      <c r="D30" s="407"/>
      <c r="E30" s="407"/>
      <c r="F30" s="407"/>
      <c r="G30" s="407"/>
      <c r="H30" s="407"/>
      <c r="I30" s="1137"/>
      <c r="J30" s="407"/>
      <c r="K30" s="407"/>
      <c r="L30" s="407"/>
      <c r="M30" s="407"/>
      <c r="N30" s="407"/>
      <c r="O30" s="1137"/>
      <c r="P30" s="407"/>
      <c r="Q30" s="407"/>
      <c r="R30" s="407"/>
      <c r="S30" s="1137"/>
      <c r="T30" s="407"/>
      <c r="U30" s="407"/>
      <c r="V30" s="407"/>
      <c r="W30" s="1128"/>
      <c r="X30"/>
      <c r="Y30"/>
      <c r="Z30"/>
      <c r="AA30"/>
      <c r="AB30"/>
    </row>
    <row r="31" spans="1:28" s="205" customFormat="1">
      <c r="A31" s="1125"/>
      <c r="B31" s="404"/>
      <c r="C31" s="408"/>
      <c r="D31" s="408"/>
      <c r="E31" s="408"/>
      <c r="F31" s="408"/>
      <c r="G31" s="408"/>
      <c r="H31" s="408"/>
      <c r="I31" s="1138"/>
      <c r="J31" s="408"/>
      <c r="K31" s="408"/>
      <c r="L31" s="408"/>
      <c r="M31" s="408"/>
      <c r="N31" s="408"/>
      <c r="O31" s="1138"/>
      <c r="P31" s="408"/>
      <c r="Q31" s="408"/>
      <c r="R31" s="408"/>
      <c r="S31" s="1138"/>
      <c r="T31" s="408"/>
      <c r="U31" s="408"/>
      <c r="V31" s="408"/>
      <c r="W31" s="1129"/>
      <c r="X31"/>
      <c r="Y31"/>
      <c r="Z31"/>
      <c r="AA31"/>
      <c r="AB31"/>
    </row>
    <row r="32" spans="1:28" s="204" customFormat="1">
      <c r="A32" s="1125"/>
      <c r="B32" s="1135"/>
      <c r="C32" s="520"/>
      <c r="D32" s="520"/>
      <c r="E32" s="520"/>
      <c r="F32" s="520"/>
      <c r="G32" s="520"/>
      <c r="H32" s="520"/>
      <c r="I32" s="1139"/>
      <c r="J32" s="520"/>
      <c r="K32" s="520"/>
      <c r="L32" s="520"/>
      <c r="M32" s="520"/>
      <c r="N32" s="520"/>
      <c r="O32" s="1139"/>
      <c r="P32" s="520"/>
      <c r="Q32" s="520"/>
      <c r="R32" s="520"/>
      <c r="S32" s="1139"/>
      <c r="T32" s="520"/>
      <c r="U32" s="520"/>
      <c r="V32" s="520"/>
      <c r="W32" s="1152"/>
      <c r="X32"/>
      <c r="Y32"/>
      <c r="Z32"/>
      <c r="AA32"/>
      <c r="AB32"/>
    </row>
    <row r="33" spans="1:28">
      <c r="A33" s="1125"/>
      <c r="B33" s="403"/>
      <c r="C33" s="407"/>
      <c r="D33" s="407"/>
      <c r="E33" s="407"/>
      <c r="F33" s="407"/>
      <c r="G33" s="407"/>
      <c r="H33" s="407"/>
      <c r="I33" s="1137"/>
      <c r="J33" s="407"/>
      <c r="K33" s="407"/>
      <c r="L33" s="407"/>
      <c r="M33" s="407"/>
      <c r="N33" s="407"/>
      <c r="O33" s="1137"/>
      <c r="P33" s="407"/>
      <c r="Q33" s="407"/>
      <c r="R33" s="407"/>
      <c r="S33" s="1137"/>
      <c r="T33" s="407"/>
      <c r="U33" s="407"/>
      <c r="V33" s="407"/>
      <c r="W33" s="1128"/>
      <c r="X33"/>
      <c r="Y33"/>
      <c r="Z33"/>
      <c r="AA33"/>
      <c r="AB33"/>
    </row>
    <row r="34" spans="1:28" s="205" customFormat="1">
      <c r="A34" s="1125"/>
      <c r="B34" s="404"/>
      <c r="C34" s="408"/>
      <c r="D34" s="408"/>
      <c r="E34" s="408"/>
      <c r="F34" s="408"/>
      <c r="G34" s="408"/>
      <c r="H34" s="408"/>
      <c r="I34" s="1138"/>
      <c r="J34" s="408"/>
      <c r="K34" s="408"/>
      <c r="L34" s="408"/>
      <c r="M34" s="408"/>
      <c r="N34" s="408"/>
      <c r="O34" s="1138"/>
      <c r="P34" s="408"/>
      <c r="Q34" s="408"/>
      <c r="R34" s="408"/>
      <c r="S34" s="1138"/>
      <c r="T34" s="408"/>
      <c r="U34" s="408"/>
      <c r="V34" s="408"/>
      <c r="W34" s="1129"/>
      <c r="X34"/>
      <c r="Y34"/>
      <c r="Z34"/>
      <c r="AA34"/>
      <c r="AB34"/>
    </row>
    <row r="35" spans="1:28" s="204" customFormat="1">
      <c r="A35" s="1125"/>
      <c r="B35" s="1135"/>
      <c r="C35" s="520"/>
      <c r="D35" s="520"/>
      <c r="E35" s="520"/>
      <c r="F35" s="520"/>
      <c r="G35" s="520"/>
      <c r="H35" s="520"/>
      <c r="I35" s="1139"/>
      <c r="J35" s="520"/>
      <c r="K35" s="520"/>
      <c r="L35" s="520"/>
      <c r="M35" s="520"/>
      <c r="N35" s="520"/>
      <c r="O35" s="1139"/>
      <c r="P35" s="520"/>
      <c r="Q35" s="520"/>
      <c r="R35" s="520"/>
      <c r="S35" s="1139"/>
      <c r="T35" s="520"/>
      <c r="U35" s="520"/>
      <c r="V35" s="520"/>
      <c r="W35" s="1152"/>
      <c r="X35"/>
      <c r="Y35"/>
      <c r="Z35"/>
      <c r="AA35"/>
      <c r="AB35"/>
    </row>
    <row r="36" spans="1:28">
      <c r="A36" s="1125"/>
      <c r="B36" s="403"/>
      <c r="C36" s="407"/>
      <c r="D36" s="407"/>
      <c r="E36" s="407"/>
      <c r="F36" s="407"/>
      <c r="G36" s="407"/>
      <c r="H36" s="407"/>
      <c r="I36" s="1137"/>
      <c r="J36" s="407"/>
      <c r="K36" s="407"/>
      <c r="L36" s="407"/>
      <c r="M36" s="407"/>
      <c r="N36" s="407"/>
      <c r="O36" s="1137"/>
      <c r="P36" s="407"/>
      <c r="Q36" s="407"/>
      <c r="R36" s="407"/>
      <c r="S36" s="1137"/>
      <c r="T36" s="407"/>
      <c r="U36" s="407"/>
      <c r="V36" s="407"/>
      <c r="W36" s="1128"/>
      <c r="X36"/>
      <c r="Y36"/>
      <c r="Z36"/>
      <c r="AA36"/>
      <c r="AB36"/>
    </row>
    <row r="37" spans="1:28" s="205" customFormat="1">
      <c r="A37" s="1125"/>
      <c r="B37" s="404"/>
      <c r="C37" s="408"/>
      <c r="D37" s="408"/>
      <c r="E37" s="408"/>
      <c r="F37" s="408"/>
      <c r="G37" s="408"/>
      <c r="H37" s="408"/>
      <c r="I37" s="1138"/>
      <c r="J37" s="408"/>
      <c r="K37" s="408"/>
      <c r="L37" s="408"/>
      <c r="M37" s="408"/>
      <c r="N37" s="408"/>
      <c r="O37" s="1138"/>
      <c r="P37" s="408"/>
      <c r="Q37" s="408"/>
      <c r="R37" s="408"/>
      <c r="S37" s="1138"/>
      <c r="T37" s="408"/>
      <c r="U37" s="408"/>
      <c r="V37" s="408"/>
      <c r="W37" s="1129"/>
      <c r="X37"/>
      <c r="Y37"/>
      <c r="Z37"/>
      <c r="AA37"/>
      <c r="AB37"/>
    </row>
    <row r="38" spans="1:28" s="204" customFormat="1">
      <c r="A38" s="1125"/>
      <c r="B38" s="1135"/>
      <c r="C38" s="520"/>
      <c r="D38" s="520"/>
      <c r="E38" s="520"/>
      <c r="F38" s="520"/>
      <c r="G38" s="520"/>
      <c r="H38" s="520"/>
      <c r="I38" s="1139"/>
      <c r="J38" s="520"/>
      <c r="K38" s="520"/>
      <c r="L38" s="520"/>
      <c r="M38" s="520"/>
      <c r="N38" s="520"/>
      <c r="O38" s="1139"/>
      <c r="P38" s="520"/>
      <c r="Q38" s="520"/>
      <c r="R38" s="520"/>
      <c r="S38" s="1139"/>
      <c r="T38" s="520"/>
      <c r="U38" s="520"/>
      <c r="V38" s="520"/>
      <c r="W38" s="1152"/>
      <c r="X38"/>
      <c r="Y38"/>
      <c r="Z38"/>
      <c r="AA38"/>
      <c r="AB38"/>
    </row>
    <row r="39" spans="1:28">
      <c r="A39" s="1125"/>
      <c r="B39" s="403"/>
      <c r="C39" s="1149"/>
      <c r="D39" s="407"/>
      <c r="E39" s="1149"/>
      <c r="F39" s="407"/>
      <c r="G39" s="407"/>
      <c r="H39" s="407"/>
      <c r="I39" s="1137"/>
      <c r="J39" s="407"/>
      <c r="K39" s="407"/>
      <c r="L39" s="407"/>
      <c r="M39" s="407"/>
      <c r="N39" s="407"/>
      <c r="O39" s="1137"/>
      <c r="P39" s="407"/>
      <c r="Q39" s="407"/>
      <c r="R39" s="407"/>
      <c r="S39" s="1137"/>
      <c r="T39" s="407"/>
      <c r="U39" s="407"/>
      <c r="V39" s="407"/>
      <c r="W39" s="1128"/>
      <c r="X39"/>
      <c r="Y39"/>
      <c r="Z39"/>
      <c r="AA39"/>
      <c r="AB39"/>
    </row>
    <row r="40" spans="1:28" s="205" customFormat="1">
      <c r="A40" s="1125"/>
      <c r="B40" s="404"/>
      <c r="C40" s="1147"/>
      <c r="D40" s="408"/>
      <c r="E40" s="1147"/>
      <c r="F40" s="408"/>
      <c r="G40" s="408"/>
      <c r="H40" s="408"/>
      <c r="I40" s="1138"/>
      <c r="J40" s="408"/>
      <c r="K40" s="408"/>
      <c r="L40" s="408"/>
      <c r="M40" s="408"/>
      <c r="N40" s="408"/>
      <c r="O40" s="1138"/>
      <c r="P40" s="408"/>
      <c r="Q40" s="408"/>
      <c r="R40" s="408"/>
      <c r="S40" s="1138"/>
      <c r="T40" s="408"/>
      <c r="U40" s="408"/>
      <c r="V40" s="408"/>
      <c r="W40" s="1129"/>
      <c r="X40"/>
      <c r="Y40"/>
      <c r="Z40"/>
      <c r="AA40"/>
      <c r="AB40"/>
    </row>
    <row r="41" spans="1:28" s="204" customFormat="1">
      <c r="A41" s="1125"/>
      <c r="B41" s="1135"/>
      <c r="C41" s="1148"/>
      <c r="D41" s="520"/>
      <c r="E41" s="1148"/>
      <c r="F41" s="520"/>
      <c r="G41" s="520"/>
      <c r="H41" s="520"/>
      <c r="I41" s="1139"/>
      <c r="J41" s="520"/>
      <c r="K41" s="520"/>
      <c r="L41" s="520"/>
      <c r="M41" s="520"/>
      <c r="N41" s="520"/>
      <c r="O41" s="1139"/>
      <c r="P41" s="520"/>
      <c r="Q41" s="520"/>
      <c r="R41" s="520"/>
      <c r="S41" s="1139"/>
      <c r="T41" s="520"/>
      <c r="U41" s="520"/>
      <c r="V41" s="520"/>
      <c r="W41" s="1152"/>
      <c r="X41"/>
      <c r="Y41"/>
      <c r="Z41"/>
      <c r="AA41"/>
      <c r="AB41"/>
    </row>
    <row r="42" spans="1:28">
      <c r="A42" s="1125"/>
      <c r="B42" s="403"/>
      <c r="C42" s="407"/>
      <c r="D42" s="407"/>
      <c r="E42" s="407"/>
      <c r="F42" s="407"/>
      <c r="G42" s="407"/>
      <c r="H42" s="407"/>
      <c r="I42" s="1137"/>
      <c r="J42" s="407"/>
      <c r="K42" s="407"/>
      <c r="L42" s="407"/>
      <c r="M42" s="407"/>
      <c r="N42" s="407"/>
      <c r="O42" s="1137"/>
      <c r="P42" s="407"/>
      <c r="Q42" s="407"/>
      <c r="R42" s="407"/>
      <c r="S42" s="1137"/>
      <c r="T42" s="407"/>
      <c r="U42" s="407"/>
      <c r="V42" s="407"/>
      <c r="W42" s="1128"/>
      <c r="X42"/>
      <c r="Y42"/>
      <c r="Z42"/>
      <c r="AA42"/>
      <c r="AB42"/>
    </row>
    <row r="43" spans="1:28" s="205" customFormat="1">
      <c r="A43" s="1125"/>
      <c r="B43" s="404"/>
      <c r="C43" s="408"/>
      <c r="D43" s="408"/>
      <c r="E43" s="408"/>
      <c r="F43" s="408"/>
      <c r="G43" s="408"/>
      <c r="H43" s="408"/>
      <c r="I43" s="1138"/>
      <c r="J43" s="408"/>
      <c r="K43" s="408"/>
      <c r="L43" s="408"/>
      <c r="M43" s="408"/>
      <c r="N43" s="408"/>
      <c r="O43" s="1138"/>
      <c r="P43" s="408"/>
      <c r="Q43" s="408"/>
      <c r="R43" s="408"/>
      <c r="S43" s="1138"/>
      <c r="T43" s="408"/>
      <c r="U43" s="408"/>
      <c r="V43" s="408"/>
      <c r="W43" s="1129"/>
      <c r="X43"/>
      <c r="Y43"/>
      <c r="Z43"/>
      <c r="AA43"/>
      <c r="AB43"/>
    </row>
    <row r="44" spans="1:28" s="218" customFormat="1">
      <c r="A44" s="1136"/>
      <c r="B44" s="1135"/>
      <c r="C44" s="520"/>
      <c r="D44" s="520"/>
      <c r="E44" s="520"/>
      <c r="F44" s="520"/>
      <c r="G44" s="520"/>
      <c r="H44" s="520"/>
      <c r="I44" s="1139"/>
      <c r="J44" s="520"/>
      <c r="K44" s="520"/>
      <c r="L44" s="520"/>
      <c r="M44" s="520"/>
      <c r="N44" s="520"/>
      <c r="O44" s="1139"/>
      <c r="P44" s="520"/>
      <c r="Q44" s="520"/>
      <c r="R44" s="520"/>
      <c r="S44" s="1139"/>
      <c r="T44" s="520"/>
      <c r="U44" s="520"/>
      <c r="V44" s="520"/>
      <c r="W44" s="1152"/>
      <c r="X44"/>
      <c r="Y44"/>
      <c r="Z44"/>
      <c r="AA44"/>
      <c r="AB44"/>
    </row>
    <row r="45" spans="1:28">
      <c r="A45" s="233"/>
      <c r="B45" s="403"/>
      <c r="C45" s="407"/>
      <c r="D45" s="407"/>
      <c r="E45" s="407"/>
      <c r="F45" s="407"/>
      <c r="G45" s="407"/>
      <c r="H45" s="407"/>
      <c r="I45" s="1137"/>
      <c r="J45" s="407"/>
      <c r="K45" s="407"/>
      <c r="L45" s="407"/>
      <c r="M45" s="407"/>
      <c r="N45" s="407"/>
      <c r="O45" s="1137"/>
      <c r="P45" s="407"/>
      <c r="Q45" s="407"/>
      <c r="R45" s="407"/>
      <c r="S45" s="1137"/>
      <c r="T45" s="407"/>
      <c r="U45" s="407"/>
      <c r="V45" s="407"/>
      <c r="W45" s="1128"/>
      <c r="X45"/>
      <c r="Y45"/>
      <c r="Z45"/>
      <c r="AA45"/>
      <c r="AB45"/>
    </row>
    <row r="46" spans="1:28" s="205" customFormat="1">
      <c r="A46" s="1125"/>
      <c r="B46" s="404"/>
      <c r="C46" s="408"/>
      <c r="D46" s="408"/>
      <c r="E46" s="408"/>
      <c r="F46" s="408"/>
      <c r="G46" s="408"/>
      <c r="H46" s="408"/>
      <c r="I46" s="1138"/>
      <c r="J46" s="408"/>
      <c r="K46" s="408"/>
      <c r="L46" s="408"/>
      <c r="M46" s="408"/>
      <c r="N46" s="408"/>
      <c r="O46" s="1138"/>
      <c r="P46" s="408"/>
      <c r="Q46" s="408"/>
      <c r="R46" s="408"/>
      <c r="S46" s="1138"/>
      <c r="T46" s="408"/>
      <c r="U46" s="408"/>
      <c r="V46" s="408"/>
      <c r="W46" s="1129"/>
      <c r="X46"/>
      <c r="Y46"/>
      <c r="Z46"/>
      <c r="AA46"/>
      <c r="AB46"/>
    </row>
    <row r="47" spans="1:28" s="204" customFormat="1">
      <c r="A47" s="1126"/>
      <c r="B47" s="1135"/>
      <c r="C47" s="520"/>
      <c r="D47" s="520"/>
      <c r="E47" s="520"/>
      <c r="F47" s="520"/>
      <c r="G47" s="520"/>
      <c r="H47" s="520"/>
      <c r="I47" s="1139"/>
      <c r="J47" s="520"/>
      <c r="K47" s="520"/>
      <c r="L47" s="520"/>
      <c r="M47" s="520"/>
      <c r="N47" s="520"/>
      <c r="O47" s="1139"/>
      <c r="P47" s="520"/>
      <c r="Q47" s="520"/>
      <c r="R47" s="520"/>
      <c r="S47" s="1139"/>
      <c r="T47" s="520"/>
      <c r="U47" s="520"/>
      <c r="V47" s="520"/>
      <c r="W47" s="1152"/>
      <c r="X47"/>
      <c r="Y47"/>
      <c r="Z47"/>
      <c r="AA47"/>
      <c r="AB47"/>
    </row>
    <row r="48" spans="1:28">
      <c r="A48" s="1125"/>
      <c r="B48" s="403"/>
      <c r="C48" s="407"/>
      <c r="D48" s="407"/>
      <c r="E48" s="407"/>
      <c r="F48" s="407"/>
      <c r="G48" s="407"/>
      <c r="H48" s="407"/>
      <c r="I48" s="1137"/>
      <c r="J48" s="407"/>
      <c r="K48" s="407"/>
      <c r="L48" s="407"/>
      <c r="M48" s="407"/>
      <c r="N48" s="407"/>
      <c r="O48" s="1137"/>
      <c r="P48" s="407"/>
      <c r="Q48" s="407"/>
      <c r="R48" s="407"/>
      <c r="S48" s="1137"/>
      <c r="T48" s="407"/>
      <c r="U48" s="407"/>
      <c r="V48" s="407"/>
      <c r="W48" s="1128"/>
      <c r="X48"/>
      <c r="Y48"/>
      <c r="Z48"/>
      <c r="AA48"/>
      <c r="AB48"/>
    </row>
    <row r="49" spans="1:28" s="205" customFormat="1">
      <c r="A49" s="1125"/>
      <c r="B49" s="404"/>
      <c r="C49" s="408"/>
      <c r="D49" s="408"/>
      <c r="E49" s="408"/>
      <c r="F49" s="408"/>
      <c r="G49" s="408"/>
      <c r="H49" s="408"/>
      <c r="I49" s="1138"/>
      <c r="J49" s="408"/>
      <c r="K49" s="408"/>
      <c r="L49" s="408"/>
      <c r="M49" s="408"/>
      <c r="N49" s="408"/>
      <c r="O49" s="1138"/>
      <c r="P49" s="408"/>
      <c r="Q49" s="408"/>
      <c r="R49" s="408"/>
      <c r="S49" s="1138"/>
      <c r="T49" s="408"/>
      <c r="U49" s="408"/>
      <c r="V49" s="408"/>
      <c r="W49" s="1129"/>
      <c r="X49"/>
      <c r="Y49"/>
      <c r="Z49"/>
      <c r="AA49"/>
      <c r="AB49"/>
    </row>
    <row r="50" spans="1:28" s="204" customFormat="1">
      <c r="A50" s="1125"/>
      <c r="B50" s="1135"/>
      <c r="C50" s="520"/>
      <c r="D50" s="520"/>
      <c r="E50" s="520"/>
      <c r="F50" s="520"/>
      <c r="G50" s="520"/>
      <c r="H50" s="520"/>
      <c r="I50" s="1139"/>
      <c r="J50" s="520"/>
      <c r="K50" s="520"/>
      <c r="L50" s="520"/>
      <c r="M50" s="520"/>
      <c r="N50" s="520"/>
      <c r="O50" s="1139"/>
      <c r="P50" s="520"/>
      <c r="Q50" s="520"/>
      <c r="R50" s="520"/>
      <c r="S50" s="1139"/>
      <c r="T50" s="520"/>
      <c r="U50" s="520"/>
      <c r="V50" s="520"/>
      <c r="W50" s="1152"/>
      <c r="X50"/>
      <c r="Y50"/>
      <c r="Z50"/>
      <c r="AA50"/>
      <c r="AB50"/>
    </row>
    <row r="51" spans="1:28">
      <c r="A51" s="1125"/>
      <c r="B51" s="403"/>
      <c r="C51" s="407"/>
      <c r="D51" s="407"/>
      <c r="E51" s="407"/>
      <c r="F51" s="407"/>
      <c r="G51" s="407"/>
      <c r="H51" s="407"/>
      <c r="I51" s="1137"/>
      <c r="J51" s="407"/>
      <c r="K51" s="407"/>
      <c r="L51" s="407"/>
      <c r="M51" s="407"/>
      <c r="N51" s="407"/>
      <c r="O51" s="1137"/>
      <c r="P51" s="407"/>
      <c r="Q51" s="407"/>
      <c r="R51" s="407"/>
      <c r="S51" s="1137"/>
      <c r="T51" s="407"/>
      <c r="U51" s="407"/>
      <c r="V51" s="407"/>
      <c r="W51" s="1128"/>
      <c r="X51"/>
      <c r="Y51"/>
      <c r="Z51"/>
      <c r="AA51"/>
      <c r="AB51"/>
    </row>
    <row r="52" spans="1:28" s="205" customFormat="1">
      <c r="A52" s="1125"/>
      <c r="B52" s="404"/>
      <c r="C52" s="408"/>
      <c r="D52" s="408"/>
      <c r="E52" s="408"/>
      <c r="F52" s="408"/>
      <c r="G52" s="408"/>
      <c r="H52" s="408"/>
      <c r="I52" s="1138"/>
      <c r="J52" s="408"/>
      <c r="K52" s="408"/>
      <c r="L52" s="408"/>
      <c r="M52" s="408"/>
      <c r="N52" s="408"/>
      <c r="O52" s="1138"/>
      <c r="P52" s="408"/>
      <c r="Q52" s="408"/>
      <c r="R52" s="408"/>
      <c r="S52" s="1138"/>
      <c r="T52" s="408"/>
      <c r="U52" s="408"/>
      <c r="V52" s="408"/>
      <c r="W52" s="1129"/>
      <c r="X52"/>
      <c r="Y52"/>
      <c r="Z52"/>
      <c r="AA52"/>
      <c r="AB52"/>
    </row>
    <row r="53" spans="1:28" s="204" customFormat="1">
      <c r="A53" s="1125"/>
      <c r="B53" s="1135"/>
      <c r="C53" s="520"/>
      <c r="D53" s="520"/>
      <c r="E53" s="520"/>
      <c r="F53" s="520"/>
      <c r="G53" s="520"/>
      <c r="H53" s="520"/>
      <c r="I53" s="1139"/>
      <c r="J53" s="520"/>
      <c r="K53" s="520"/>
      <c r="L53" s="520"/>
      <c r="M53" s="520"/>
      <c r="N53" s="520"/>
      <c r="O53" s="1139"/>
      <c r="P53" s="520"/>
      <c r="Q53" s="520"/>
      <c r="R53" s="520"/>
      <c r="S53" s="1139"/>
      <c r="T53" s="520"/>
      <c r="U53" s="520"/>
      <c r="V53" s="520"/>
      <c r="W53" s="1152"/>
      <c r="X53"/>
      <c r="Y53"/>
      <c r="Z53"/>
      <c r="AA53"/>
      <c r="AB53"/>
    </row>
    <row r="54" spans="1:28">
      <c r="A54" s="1125"/>
      <c r="B54" s="403"/>
      <c r="C54" s="1149"/>
      <c r="D54" s="407"/>
      <c r="E54" s="1149"/>
      <c r="F54" s="1149"/>
      <c r="G54" s="1149"/>
      <c r="H54" s="1149"/>
      <c r="I54" s="1137"/>
      <c r="J54" s="407"/>
      <c r="K54" s="1149"/>
      <c r="L54" s="407"/>
      <c r="M54" s="1149"/>
      <c r="N54" s="407"/>
      <c r="O54" s="1137"/>
      <c r="P54" s="407"/>
      <c r="Q54" s="407"/>
      <c r="R54" s="407"/>
      <c r="S54" s="1137"/>
      <c r="T54" s="407"/>
      <c r="U54" s="407"/>
      <c r="V54" s="407"/>
      <c r="W54" s="1128"/>
      <c r="X54"/>
      <c r="Y54"/>
      <c r="Z54"/>
      <c r="AA54"/>
      <c r="AB54"/>
    </row>
    <row r="55" spans="1:28" s="205" customFormat="1">
      <c r="A55" s="1125"/>
      <c r="B55" s="404"/>
      <c r="C55" s="1147"/>
      <c r="D55" s="408"/>
      <c r="E55" s="1147"/>
      <c r="F55" s="1147"/>
      <c r="G55" s="1147"/>
      <c r="H55" s="1147"/>
      <c r="I55" s="1138"/>
      <c r="J55" s="408"/>
      <c r="K55" s="1147"/>
      <c r="L55" s="408"/>
      <c r="M55" s="1147"/>
      <c r="N55" s="408"/>
      <c r="O55" s="1138"/>
      <c r="P55" s="408"/>
      <c r="Q55" s="408"/>
      <c r="R55" s="408"/>
      <c r="S55" s="1138"/>
      <c r="T55" s="408"/>
      <c r="U55" s="408"/>
      <c r="V55" s="408"/>
      <c r="W55" s="1129"/>
      <c r="X55"/>
      <c r="Y55"/>
      <c r="Z55"/>
      <c r="AA55"/>
      <c r="AB55"/>
    </row>
    <row r="56" spans="1:28" s="204" customFormat="1">
      <c r="A56" s="1125"/>
      <c r="B56" s="1135"/>
      <c r="C56" s="1148"/>
      <c r="D56" s="520"/>
      <c r="E56" s="1148"/>
      <c r="F56" s="1148"/>
      <c r="G56" s="1148"/>
      <c r="H56" s="1148"/>
      <c r="I56" s="1139"/>
      <c r="J56" s="520"/>
      <c r="K56" s="1148"/>
      <c r="L56" s="520"/>
      <c r="M56" s="1148"/>
      <c r="N56" s="520"/>
      <c r="O56" s="1139"/>
      <c r="P56" s="520"/>
      <c r="Q56" s="520"/>
      <c r="R56" s="520"/>
      <c r="S56" s="1139"/>
      <c r="T56" s="520"/>
      <c r="U56" s="520"/>
      <c r="V56" s="520"/>
      <c r="W56" s="1152"/>
      <c r="X56"/>
      <c r="Y56"/>
      <c r="Z56"/>
      <c r="AA56"/>
      <c r="AB56"/>
    </row>
    <row r="57" spans="1:28">
      <c r="A57" s="1125"/>
      <c r="B57" s="403"/>
      <c r="C57" s="407"/>
      <c r="D57" s="407"/>
      <c r="E57" s="407"/>
      <c r="F57" s="407"/>
      <c r="G57" s="407"/>
      <c r="H57" s="407"/>
      <c r="I57" s="1137"/>
      <c r="J57" s="407"/>
      <c r="K57" s="407"/>
      <c r="L57" s="407"/>
      <c r="M57" s="407"/>
      <c r="N57" s="407"/>
      <c r="O57" s="1137"/>
      <c r="P57" s="407"/>
      <c r="Q57" s="407"/>
      <c r="R57" s="407"/>
      <c r="S57" s="1137"/>
      <c r="T57" s="407"/>
      <c r="U57" s="407"/>
      <c r="V57" s="407"/>
      <c r="W57" s="1128"/>
      <c r="X57"/>
      <c r="Y57"/>
      <c r="Z57"/>
      <c r="AA57"/>
      <c r="AB57"/>
    </row>
    <row r="58" spans="1:28" s="205" customFormat="1">
      <c r="A58" s="1125"/>
      <c r="B58" s="404"/>
      <c r="C58" s="408"/>
      <c r="D58" s="408"/>
      <c r="E58" s="408"/>
      <c r="F58" s="408"/>
      <c r="G58" s="408"/>
      <c r="H58" s="408"/>
      <c r="I58" s="1138"/>
      <c r="J58" s="408"/>
      <c r="K58" s="408"/>
      <c r="L58" s="408"/>
      <c r="M58" s="408"/>
      <c r="N58" s="408"/>
      <c r="O58" s="1138"/>
      <c r="P58" s="408"/>
      <c r="Q58" s="408"/>
      <c r="R58" s="408"/>
      <c r="S58" s="1138"/>
      <c r="T58" s="408"/>
      <c r="U58" s="408"/>
      <c r="V58" s="408"/>
      <c r="W58" s="1129"/>
      <c r="X58"/>
      <c r="Y58"/>
      <c r="Z58"/>
      <c r="AA58"/>
      <c r="AB58"/>
    </row>
    <row r="59" spans="1:28" s="204" customFormat="1">
      <c r="A59" s="1125"/>
      <c r="B59" s="1135"/>
      <c r="C59" s="520"/>
      <c r="D59" s="520"/>
      <c r="E59" s="520"/>
      <c r="F59" s="520"/>
      <c r="G59" s="520"/>
      <c r="H59" s="520"/>
      <c r="I59" s="1139"/>
      <c r="J59" s="520"/>
      <c r="K59" s="520"/>
      <c r="L59" s="520"/>
      <c r="M59" s="520"/>
      <c r="N59" s="520"/>
      <c r="O59" s="1139"/>
      <c r="P59" s="520"/>
      <c r="Q59" s="520"/>
      <c r="R59" s="520"/>
      <c r="S59" s="1139"/>
      <c r="T59" s="520"/>
      <c r="U59" s="520"/>
      <c r="V59" s="520"/>
      <c r="W59" s="1152"/>
      <c r="X59"/>
      <c r="Y59"/>
      <c r="Z59"/>
      <c r="AA59"/>
      <c r="AB59"/>
    </row>
    <row r="60" spans="1:28">
      <c r="A60" s="1125"/>
      <c r="B60" s="403"/>
      <c r="C60" s="407"/>
      <c r="D60" s="407"/>
      <c r="E60" s="407"/>
      <c r="F60" s="407"/>
      <c r="G60" s="407"/>
      <c r="H60" s="407"/>
      <c r="I60" s="1137"/>
      <c r="J60" s="407"/>
      <c r="K60" s="407"/>
      <c r="L60" s="407"/>
      <c r="M60" s="407"/>
      <c r="N60" s="407"/>
      <c r="O60" s="1137"/>
      <c r="P60" s="407"/>
      <c r="Q60" s="407"/>
      <c r="R60" s="407"/>
      <c r="S60" s="1137"/>
      <c r="T60" s="407"/>
      <c r="U60" s="407"/>
      <c r="V60" s="407"/>
      <c r="W60" s="1128"/>
      <c r="X60"/>
      <c r="Y60"/>
      <c r="Z60"/>
      <c r="AA60"/>
      <c r="AB60"/>
    </row>
    <row r="61" spans="1:28" s="205" customFormat="1">
      <c r="A61" s="1125"/>
      <c r="B61" s="404"/>
      <c r="C61" s="408"/>
      <c r="D61" s="408"/>
      <c r="E61" s="408"/>
      <c r="F61" s="408"/>
      <c r="G61" s="408"/>
      <c r="H61" s="408"/>
      <c r="I61" s="1138"/>
      <c r="J61" s="408"/>
      <c r="K61" s="408"/>
      <c r="L61" s="408"/>
      <c r="M61" s="408"/>
      <c r="N61" s="408"/>
      <c r="O61" s="1138"/>
      <c r="P61" s="408"/>
      <c r="Q61" s="408"/>
      <c r="R61" s="408"/>
      <c r="S61" s="1138"/>
      <c r="T61" s="408"/>
      <c r="U61" s="408"/>
      <c r="V61" s="408"/>
      <c r="W61" s="1129"/>
      <c r="X61"/>
      <c r="Y61"/>
      <c r="Z61"/>
      <c r="AA61"/>
      <c r="AB61"/>
    </row>
    <row r="62" spans="1:28" s="204" customFormat="1">
      <c r="A62" s="1125"/>
      <c r="B62" s="1135"/>
      <c r="C62" s="520"/>
      <c r="D62" s="520"/>
      <c r="E62" s="520"/>
      <c r="F62" s="520"/>
      <c r="G62" s="520"/>
      <c r="H62" s="520"/>
      <c r="I62" s="1139"/>
      <c r="J62" s="520"/>
      <c r="K62" s="520"/>
      <c r="L62" s="520"/>
      <c r="M62" s="520"/>
      <c r="N62" s="520"/>
      <c r="O62" s="1139"/>
      <c r="P62" s="520"/>
      <c r="Q62" s="520"/>
      <c r="R62" s="520"/>
      <c r="S62" s="1139"/>
      <c r="T62" s="520"/>
      <c r="U62" s="520"/>
      <c r="V62" s="520"/>
      <c r="W62" s="1152"/>
      <c r="X62"/>
      <c r="Y62"/>
      <c r="Z62"/>
      <c r="AA62"/>
      <c r="AB62"/>
    </row>
    <row r="63" spans="1:28">
      <c r="A63" s="1125"/>
      <c r="B63" s="403"/>
      <c r="C63" s="407"/>
      <c r="D63" s="407"/>
      <c r="E63" s="407"/>
      <c r="F63" s="407"/>
      <c r="G63" s="407"/>
      <c r="H63" s="407"/>
      <c r="I63" s="1137"/>
      <c r="J63" s="407"/>
      <c r="K63" s="407"/>
      <c r="L63" s="407"/>
      <c r="M63" s="407"/>
      <c r="N63" s="407"/>
      <c r="O63" s="1137"/>
      <c r="P63" s="407"/>
      <c r="Q63" s="407"/>
      <c r="R63" s="407"/>
      <c r="S63" s="1137"/>
      <c r="T63" s="407"/>
      <c r="U63" s="407"/>
      <c r="V63" s="407"/>
      <c r="W63" s="1128"/>
      <c r="X63"/>
      <c r="Y63"/>
      <c r="Z63"/>
      <c r="AA63"/>
      <c r="AB63"/>
    </row>
    <row r="64" spans="1:28" s="205" customFormat="1">
      <c r="A64" s="1125"/>
      <c r="B64" s="404"/>
      <c r="C64" s="408"/>
      <c r="D64" s="408"/>
      <c r="E64" s="408"/>
      <c r="F64" s="408"/>
      <c r="G64" s="408"/>
      <c r="H64" s="408"/>
      <c r="I64" s="1138"/>
      <c r="J64" s="408"/>
      <c r="K64" s="408"/>
      <c r="L64" s="408"/>
      <c r="M64" s="408"/>
      <c r="N64" s="408"/>
      <c r="O64" s="1138"/>
      <c r="P64" s="408"/>
      <c r="Q64" s="408"/>
      <c r="R64" s="408"/>
      <c r="S64" s="1138"/>
      <c r="T64" s="408"/>
      <c r="U64" s="408"/>
      <c r="V64" s="408"/>
      <c r="W64" s="1129"/>
      <c r="X64"/>
      <c r="Y64"/>
      <c r="Z64"/>
      <c r="AA64"/>
      <c r="AB64"/>
    </row>
    <row r="65" spans="1:28" s="204" customFormat="1">
      <c r="A65" s="1125"/>
      <c r="B65" s="1135"/>
      <c r="C65" s="520"/>
      <c r="D65" s="520"/>
      <c r="E65" s="520"/>
      <c r="F65" s="520"/>
      <c r="G65" s="520"/>
      <c r="H65" s="520"/>
      <c r="I65" s="1139"/>
      <c r="J65" s="520"/>
      <c r="K65" s="520"/>
      <c r="L65" s="520"/>
      <c r="M65" s="520"/>
      <c r="N65" s="520"/>
      <c r="O65" s="1139"/>
      <c r="P65" s="520"/>
      <c r="Q65" s="520"/>
      <c r="R65" s="520"/>
      <c r="S65" s="1139"/>
      <c r="T65" s="520"/>
      <c r="U65" s="520"/>
      <c r="V65" s="520"/>
      <c r="W65" s="1152"/>
      <c r="X65"/>
      <c r="Y65"/>
      <c r="Z65"/>
      <c r="AA65"/>
      <c r="AB65"/>
    </row>
    <row r="66" spans="1:28">
      <c r="A66" s="1125"/>
      <c r="B66" s="403"/>
      <c r="C66" s="407"/>
      <c r="D66" s="407"/>
      <c r="E66" s="407"/>
      <c r="F66" s="407"/>
      <c r="G66" s="407"/>
      <c r="H66" s="407"/>
      <c r="I66" s="1137"/>
      <c r="J66" s="407"/>
      <c r="K66" s="407"/>
      <c r="L66" s="407"/>
      <c r="M66" s="407"/>
      <c r="N66" s="407"/>
      <c r="O66" s="1137"/>
      <c r="P66" s="407"/>
      <c r="Q66" s="407"/>
      <c r="R66" s="407"/>
      <c r="S66" s="1137"/>
      <c r="T66" s="407"/>
      <c r="U66" s="407"/>
      <c r="V66" s="407"/>
      <c r="W66" s="1128"/>
      <c r="X66"/>
      <c r="Y66"/>
      <c r="Z66"/>
      <c r="AA66"/>
      <c r="AB66"/>
    </row>
    <row r="67" spans="1:28" s="205" customFormat="1">
      <c r="A67" s="1125"/>
      <c r="B67" s="404"/>
      <c r="C67" s="408"/>
      <c r="D67" s="408"/>
      <c r="E67" s="408"/>
      <c r="F67" s="408"/>
      <c r="G67" s="408"/>
      <c r="H67" s="408"/>
      <c r="I67" s="1138"/>
      <c r="J67" s="408"/>
      <c r="K67" s="408"/>
      <c r="L67" s="408"/>
      <c r="M67" s="408"/>
      <c r="N67" s="408"/>
      <c r="O67" s="1138"/>
      <c r="P67" s="408"/>
      <c r="Q67" s="408"/>
      <c r="R67" s="408"/>
      <c r="S67" s="1138"/>
      <c r="T67" s="408"/>
      <c r="U67" s="408"/>
      <c r="V67" s="408"/>
      <c r="W67" s="1129"/>
      <c r="X67"/>
      <c r="Y67"/>
      <c r="Z67"/>
      <c r="AA67"/>
      <c r="AB67"/>
    </row>
    <row r="68" spans="1:28" s="204" customFormat="1">
      <c r="A68" s="1125"/>
      <c r="B68" s="1135"/>
      <c r="C68" s="520"/>
      <c r="D68" s="520"/>
      <c r="E68" s="520"/>
      <c r="F68" s="520"/>
      <c r="G68" s="520"/>
      <c r="H68" s="520"/>
      <c r="I68" s="1139"/>
      <c r="J68" s="520"/>
      <c r="K68" s="520"/>
      <c r="L68" s="520"/>
      <c r="M68" s="520"/>
      <c r="N68" s="520"/>
      <c r="O68" s="1139"/>
      <c r="P68" s="520"/>
      <c r="Q68" s="520"/>
      <c r="R68" s="520"/>
      <c r="S68" s="1139"/>
      <c r="T68" s="520"/>
      <c r="U68" s="520"/>
      <c r="V68" s="520"/>
      <c r="W68" s="1152"/>
      <c r="X68"/>
      <c r="Y68"/>
      <c r="Z68"/>
      <c r="AA68"/>
      <c r="AB68"/>
    </row>
    <row r="69" spans="1:28">
      <c r="A69" s="1125"/>
      <c r="B69" s="403"/>
      <c r="C69" s="407"/>
      <c r="D69" s="407"/>
      <c r="E69" s="407"/>
      <c r="F69" s="407"/>
      <c r="G69" s="407"/>
      <c r="H69" s="407"/>
      <c r="I69" s="1137"/>
      <c r="J69" s="407"/>
      <c r="K69" s="407"/>
      <c r="L69" s="407"/>
      <c r="M69" s="407"/>
      <c r="N69" s="407"/>
      <c r="O69" s="1137"/>
      <c r="P69" s="407"/>
      <c r="Q69" s="407"/>
      <c r="R69" s="407"/>
      <c r="S69" s="1137"/>
      <c r="T69" s="407"/>
      <c r="U69" s="407"/>
      <c r="V69" s="407"/>
      <c r="W69" s="1128"/>
      <c r="X69"/>
      <c r="Y69"/>
      <c r="Z69"/>
      <c r="AA69"/>
      <c r="AB69"/>
    </row>
    <row r="70" spans="1:28" s="205" customFormat="1">
      <c r="A70" s="1125"/>
      <c r="B70" s="404"/>
      <c r="C70" s="408"/>
      <c r="D70" s="408"/>
      <c r="E70" s="408"/>
      <c r="F70" s="408"/>
      <c r="G70" s="408"/>
      <c r="H70" s="408"/>
      <c r="I70" s="1138"/>
      <c r="J70" s="408"/>
      <c r="K70" s="408"/>
      <c r="L70" s="408"/>
      <c r="M70" s="408"/>
      <c r="N70" s="408"/>
      <c r="O70" s="1138"/>
      <c r="P70" s="408"/>
      <c r="Q70" s="408"/>
      <c r="R70" s="408"/>
      <c r="S70" s="1138"/>
      <c r="T70" s="408"/>
      <c r="U70" s="408"/>
      <c r="V70" s="408"/>
      <c r="W70" s="1129"/>
      <c r="X70"/>
      <c r="Y70"/>
      <c r="Z70"/>
      <c r="AA70"/>
      <c r="AB70"/>
    </row>
    <row r="71" spans="1:28" s="204" customFormat="1">
      <c r="A71" s="1125"/>
      <c r="B71" s="1135"/>
      <c r="C71" s="520"/>
      <c r="D71" s="520"/>
      <c r="E71" s="520"/>
      <c r="F71" s="520"/>
      <c r="G71" s="520"/>
      <c r="H71" s="520"/>
      <c r="I71" s="1139"/>
      <c r="J71" s="520"/>
      <c r="K71" s="520"/>
      <c r="L71" s="520"/>
      <c r="M71" s="520"/>
      <c r="N71" s="520"/>
      <c r="O71" s="1139"/>
      <c r="P71" s="520"/>
      <c r="Q71" s="520"/>
      <c r="R71" s="520"/>
      <c r="S71" s="1139"/>
      <c r="T71" s="520"/>
      <c r="U71" s="520"/>
      <c r="V71" s="520"/>
      <c r="W71" s="1152"/>
      <c r="X71"/>
      <c r="Y71"/>
      <c r="Z71"/>
      <c r="AA71"/>
      <c r="AB71"/>
    </row>
    <row r="72" spans="1:28">
      <c r="A72" s="1125"/>
      <c r="B72" s="403"/>
      <c r="C72" s="407"/>
      <c r="D72" s="407"/>
      <c r="E72" s="407"/>
      <c r="F72" s="407"/>
      <c r="G72" s="407"/>
      <c r="H72" s="407"/>
      <c r="I72" s="1137"/>
      <c r="J72" s="407"/>
      <c r="K72" s="407"/>
      <c r="L72" s="407"/>
      <c r="M72" s="407"/>
      <c r="N72" s="407"/>
      <c r="O72" s="1137"/>
      <c r="P72" s="407"/>
      <c r="Q72" s="407"/>
      <c r="R72" s="407"/>
      <c r="S72" s="1137"/>
      <c r="T72" s="407"/>
      <c r="U72" s="407"/>
      <c r="V72" s="407"/>
      <c r="W72" s="1128"/>
      <c r="X72"/>
      <c r="Y72"/>
      <c r="Z72"/>
      <c r="AA72"/>
      <c r="AB72"/>
    </row>
    <row r="73" spans="1:28" s="205" customFormat="1">
      <c r="A73" s="1125"/>
      <c r="B73" s="404"/>
      <c r="C73" s="408"/>
      <c r="D73" s="408"/>
      <c r="E73" s="408"/>
      <c r="F73" s="408"/>
      <c r="G73" s="408"/>
      <c r="H73" s="408"/>
      <c r="I73" s="1138"/>
      <c r="J73" s="408"/>
      <c r="K73" s="408"/>
      <c r="L73" s="408"/>
      <c r="M73" s="408"/>
      <c r="N73" s="408"/>
      <c r="O73" s="1138"/>
      <c r="P73" s="408"/>
      <c r="Q73" s="408"/>
      <c r="R73" s="408"/>
      <c r="S73" s="1138"/>
      <c r="T73" s="408"/>
      <c r="U73" s="408"/>
      <c r="V73" s="408"/>
      <c r="W73" s="1129"/>
      <c r="X73"/>
      <c r="Y73"/>
      <c r="Z73"/>
      <c r="AA73"/>
      <c r="AB73"/>
    </row>
    <row r="74" spans="1:28" s="204" customFormat="1">
      <c r="A74" s="1125"/>
      <c r="B74" s="1135"/>
      <c r="C74" s="520"/>
      <c r="D74" s="520"/>
      <c r="E74" s="520"/>
      <c r="F74" s="520"/>
      <c r="G74" s="520"/>
      <c r="H74" s="520"/>
      <c r="I74" s="1139"/>
      <c r="J74" s="520"/>
      <c r="K74" s="520"/>
      <c r="L74" s="520"/>
      <c r="M74" s="520"/>
      <c r="N74" s="520"/>
      <c r="O74" s="1139"/>
      <c r="P74" s="520"/>
      <c r="Q74" s="520"/>
      <c r="R74" s="520"/>
      <c r="S74" s="1139"/>
      <c r="T74" s="520"/>
      <c r="U74" s="520"/>
      <c r="V74" s="520"/>
      <c r="W74" s="1152"/>
      <c r="X74"/>
      <c r="Y74"/>
      <c r="Z74"/>
      <c r="AA74"/>
      <c r="AB74"/>
    </row>
    <row r="75" spans="1:28">
      <c r="A75" s="1125"/>
      <c r="B75" s="403"/>
      <c r="C75" s="407"/>
      <c r="D75" s="407"/>
      <c r="E75" s="407"/>
      <c r="F75" s="407"/>
      <c r="G75" s="407"/>
      <c r="H75" s="407"/>
      <c r="I75" s="1137"/>
      <c r="J75" s="407"/>
      <c r="K75" s="407"/>
      <c r="L75" s="407"/>
      <c r="M75" s="407"/>
      <c r="N75" s="407"/>
      <c r="O75" s="1137"/>
      <c r="P75" s="407"/>
      <c r="Q75" s="407"/>
      <c r="R75" s="407"/>
      <c r="S75" s="1137"/>
      <c r="T75" s="407"/>
      <c r="U75" s="407"/>
      <c r="V75" s="407"/>
      <c r="W75" s="1128"/>
      <c r="X75"/>
      <c r="Y75"/>
      <c r="Z75"/>
      <c r="AA75"/>
      <c r="AB75"/>
    </row>
    <row r="76" spans="1:28" s="205" customFormat="1">
      <c r="A76" s="1125"/>
      <c r="B76" s="404"/>
      <c r="C76" s="408"/>
      <c r="D76" s="408"/>
      <c r="E76" s="408"/>
      <c r="F76" s="408"/>
      <c r="G76" s="408"/>
      <c r="H76" s="408"/>
      <c r="I76" s="1138"/>
      <c r="J76" s="408"/>
      <c r="K76" s="408"/>
      <c r="L76" s="408"/>
      <c r="M76" s="408"/>
      <c r="N76" s="408"/>
      <c r="O76" s="1138"/>
      <c r="P76" s="408"/>
      <c r="Q76" s="408"/>
      <c r="R76" s="408"/>
      <c r="S76" s="1138"/>
      <c r="T76" s="408"/>
      <c r="U76" s="408"/>
      <c r="V76" s="408"/>
      <c r="W76" s="1129"/>
      <c r="X76"/>
      <c r="Y76"/>
      <c r="Z76"/>
      <c r="AA76"/>
      <c r="AB76"/>
    </row>
    <row r="77" spans="1:28" s="204" customFormat="1">
      <c r="A77" s="1125"/>
      <c r="B77" s="1135"/>
      <c r="C77" s="520"/>
      <c r="D77" s="520"/>
      <c r="E77" s="520"/>
      <c r="F77" s="520"/>
      <c r="G77" s="520"/>
      <c r="H77" s="520"/>
      <c r="I77" s="1139"/>
      <c r="J77" s="520"/>
      <c r="K77" s="520"/>
      <c r="L77" s="520"/>
      <c r="M77" s="520"/>
      <c r="N77" s="520"/>
      <c r="O77" s="1139"/>
      <c r="P77" s="520"/>
      <c r="Q77" s="520"/>
      <c r="R77" s="520"/>
      <c r="S77" s="1139"/>
      <c r="T77" s="520"/>
      <c r="U77" s="520"/>
      <c r="V77" s="520"/>
      <c r="W77" s="1152"/>
      <c r="X77"/>
      <c r="Y77"/>
      <c r="Z77"/>
      <c r="AA77"/>
      <c r="AB77"/>
    </row>
    <row r="78" spans="1:28">
      <c r="A78" s="1125"/>
      <c r="B78" s="403"/>
      <c r="C78" s="407"/>
      <c r="D78" s="407"/>
      <c r="E78" s="407"/>
      <c r="F78" s="407"/>
      <c r="G78" s="407"/>
      <c r="H78" s="407"/>
      <c r="I78" s="1137"/>
      <c r="J78" s="407"/>
      <c r="K78" s="407"/>
      <c r="L78" s="407"/>
      <c r="M78" s="407"/>
      <c r="N78" s="407"/>
      <c r="O78" s="1137"/>
      <c r="P78" s="407"/>
      <c r="Q78" s="407"/>
      <c r="R78" s="407"/>
      <c r="S78" s="1137"/>
      <c r="T78" s="407"/>
      <c r="U78" s="407"/>
      <c r="V78" s="407"/>
      <c r="W78" s="1128"/>
      <c r="X78"/>
      <c r="Y78"/>
      <c r="Z78"/>
      <c r="AA78"/>
      <c r="AB78"/>
    </row>
    <row r="79" spans="1:28" s="205" customFormat="1">
      <c r="A79" s="1125"/>
      <c r="B79" s="404"/>
      <c r="C79" s="408"/>
      <c r="D79" s="408"/>
      <c r="E79" s="408"/>
      <c r="F79" s="408"/>
      <c r="G79" s="408"/>
      <c r="H79" s="408"/>
      <c r="I79" s="1138"/>
      <c r="J79" s="408"/>
      <c r="K79" s="408"/>
      <c r="L79" s="408"/>
      <c r="M79" s="408"/>
      <c r="N79" s="408"/>
      <c r="O79" s="1138"/>
      <c r="P79" s="408"/>
      <c r="Q79" s="408"/>
      <c r="R79" s="408"/>
      <c r="S79" s="1138"/>
      <c r="T79" s="408"/>
      <c r="U79" s="408"/>
      <c r="V79" s="408"/>
      <c r="W79" s="1129"/>
      <c r="X79"/>
      <c r="Y79"/>
      <c r="Z79"/>
      <c r="AA79"/>
      <c r="AB79"/>
    </row>
    <row r="80" spans="1:28" s="204" customFormat="1">
      <c r="A80" s="1125"/>
      <c r="B80" s="1135"/>
      <c r="C80" s="520"/>
      <c r="D80" s="520"/>
      <c r="E80" s="520"/>
      <c r="F80" s="520"/>
      <c r="G80" s="520"/>
      <c r="H80" s="520"/>
      <c r="I80" s="1139"/>
      <c r="J80" s="520"/>
      <c r="K80" s="520"/>
      <c r="L80" s="520"/>
      <c r="M80" s="520"/>
      <c r="N80" s="520"/>
      <c r="O80" s="1139"/>
      <c r="P80" s="520"/>
      <c r="Q80" s="520"/>
      <c r="R80" s="520"/>
      <c r="S80" s="1139"/>
      <c r="T80" s="520"/>
      <c r="U80" s="520"/>
      <c r="V80" s="520"/>
      <c r="W80" s="1152"/>
      <c r="X80"/>
      <c r="Y80"/>
      <c r="Z80"/>
      <c r="AA80"/>
      <c r="AB80"/>
    </row>
    <row r="81" spans="1:28">
      <c r="A81" s="1125"/>
      <c r="B81" s="403"/>
      <c r="C81" s="407"/>
      <c r="D81" s="407"/>
      <c r="E81" s="407"/>
      <c r="F81" s="407"/>
      <c r="G81" s="407"/>
      <c r="H81" s="407"/>
      <c r="I81" s="1137"/>
      <c r="J81" s="407"/>
      <c r="K81" s="407"/>
      <c r="L81" s="407"/>
      <c r="M81" s="407"/>
      <c r="N81" s="407"/>
      <c r="O81" s="1137"/>
      <c r="P81" s="407"/>
      <c r="Q81" s="407"/>
      <c r="R81" s="407"/>
      <c r="S81" s="1137"/>
      <c r="T81" s="407"/>
      <c r="U81" s="407"/>
      <c r="V81" s="407"/>
      <c r="W81" s="1128"/>
      <c r="X81"/>
      <c r="Y81"/>
      <c r="Z81"/>
      <c r="AA81"/>
      <c r="AB81"/>
    </row>
    <row r="82" spans="1:28" s="205" customFormat="1">
      <c r="A82" s="1125"/>
      <c r="B82" s="404"/>
      <c r="C82" s="408"/>
      <c r="D82" s="408"/>
      <c r="E82" s="408"/>
      <c r="F82" s="408"/>
      <c r="G82" s="408"/>
      <c r="H82" s="408"/>
      <c r="I82" s="1138"/>
      <c r="J82" s="408"/>
      <c r="K82" s="408"/>
      <c r="L82" s="408"/>
      <c r="M82" s="408"/>
      <c r="N82" s="408"/>
      <c r="O82" s="1138"/>
      <c r="P82" s="408"/>
      <c r="Q82" s="408"/>
      <c r="R82" s="408"/>
      <c r="S82" s="1138"/>
      <c r="T82" s="408"/>
      <c r="U82" s="408"/>
      <c r="V82" s="408"/>
      <c r="W82" s="1129"/>
      <c r="X82"/>
      <c r="Y82"/>
      <c r="Z82"/>
      <c r="AA82"/>
      <c r="AB82"/>
    </row>
    <row r="83" spans="1:28" s="214" customFormat="1">
      <c r="A83" s="1136"/>
      <c r="B83" s="1135"/>
      <c r="C83" s="520"/>
      <c r="D83" s="520"/>
      <c r="E83" s="520"/>
      <c r="F83" s="520"/>
      <c r="G83" s="520"/>
      <c r="H83" s="520"/>
      <c r="I83" s="1139"/>
      <c r="J83" s="520"/>
      <c r="K83" s="520"/>
      <c r="L83" s="520"/>
      <c r="M83" s="520"/>
      <c r="N83" s="520"/>
      <c r="O83" s="1139"/>
      <c r="P83" s="520"/>
      <c r="Q83" s="520"/>
      <c r="R83" s="520"/>
      <c r="S83" s="1139"/>
      <c r="T83" s="520"/>
      <c r="U83" s="520"/>
      <c r="V83" s="520"/>
      <c r="W83" s="1152"/>
      <c r="X83"/>
      <c r="Y83"/>
      <c r="Z83"/>
      <c r="AA83"/>
      <c r="AB83"/>
    </row>
    <row r="84" spans="1:28">
      <c r="A84" s="233"/>
      <c r="B84" s="403"/>
      <c r="C84" s="407"/>
      <c r="D84" s="407"/>
      <c r="E84" s="407"/>
      <c r="F84" s="407"/>
      <c r="G84" s="407"/>
      <c r="H84" s="407"/>
      <c r="I84" s="1137"/>
      <c r="J84" s="407"/>
      <c r="K84" s="407"/>
      <c r="L84" s="407"/>
      <c r="M84" s="407"/>
      <c r="N84" s="407"/>
      <c r="O84" s="1137"/>
      <c r="P84" s="407"/>
      <c r="Q84" s="407"/>
      <c r="R84" s="407"/>
      <c r="S84" s="1137"/>
      <c r="T84" s="407"/>
      <c r="U84" s="407"/>
      <c r="V84" s="407"/>
      <c r="W84" s="1128"/>
      <c r="X84"/>
      <c r="Y84"/>
      <c r="Z84"/>
      <c r="AA84"/>
      <c r="AB84"/>
    </row>
    <row r="85" spans="1:28" s="205" customFormat="1">
      <c r="A85" s="1125"/>
      <c r="B85" s="404"/>
      <c r="C85" s="408"/>
      <c r="D85" s="408"/>
      <c r="E85" s="408"/>
      <c r="F85" s="408"/>
      <c r="G85" s="408"/>
      <c r="H85" s="408"/>
      <c r="I85" s="1138"/>
      <c r="J85" s="408"/>
      <c r="K85" s="408"/>
      <c r="L85" s="408"/>
      <c r="M85" s="408"/>
      <c r="N85" s="408"/>
      <c r="O85" s="1138"/>
      <c r="P85" s="408"/>
      <c r="Q85" s="408"/>
      <c r="R85" s="408"/>
      <c r="S85" s="1138"/>
      <c r="T85" s="408"/>
      <c r="U85" s="408"/>
      <c r="V85" s="408"/>
      <c r="W85" s="1129"/>
      <c r="X85"/>
      <c r="Y85"/>
      <c r="Z85"/>
      <c r="AA85"/>
      <c r="AB85"/>
    </row>
    <row r="86" spans="1:28" s="204" customFormat="1">
      <c r="A86" s="1126"/>
      <c r="B86" s="1135"/>
      <c r="C86" s="520"/>
      <c r="D86" s="520"/>
      <c r="E86" s="520"/>
      <c r="F86" s="520"/>
      <c r="G86" s="520"/>
      <c r="H86" s="520"/>
      <c r="I86" s="1139"/>
      <c r="J86" s="520"/>
      <c r="K86" s="520"/>
      <c r="L86" s="520"/>
      <c r="M86" s="520"/>
      <c r="N86" s="520"/>
      <c r="O86" s="1139"/>
      <c r="P86" s="520"/>
      <c r="Q86" s="520"/>
      <c r="R86" s="520"/>
      <c r="S86" s="1139"/>
      <c r="T86" s="520"/>
      <c r="U86" s="520"/>
      <c r="V86" s="520"/>
      <c r="W86" s="1152"/>
      <c r="X86"/>
      <c r="Y86"/>
      <c r="Z86"/>
      <c r="AA86"/>
      <c r="AB86"/>
    </row>
    <row r="87" spans="1:28">
      <c r="A87" s="1125"/>
      <c r="B87" s="403"/>
      <c r="C87" s="407"/>
      <c r="D87" s="407"/>
      <c r="E87" s="407"/>
      <c r="F87" s="407"/>
      <c r="G87" s="407"/>
      <c r="H87" s="407"/>
      <c r="I87" s="1137"/>
      <c r="J87" s="407"/>
      <c r="K87" s="407"/>
      <c r="L87" s="407"/>
      <c r="M87" s="407"/>
      <c r="N87" s="407"/>
      <c r="O87" s="1137"/>
      <c r="P87" s="407"/>
      <c r="Q87" s="407"/>
      <c r="R87" s="407"/>
      <c r="S87" s="1137"/>
      <c r="T87" s="407"/>
      <c r="U87" s="407"/>
      <c r="V87" s="407"/>
      <c r="W87" s="1128"/>
      <c r="X87"/>
      <c r="Y87"/>
      <c r="Z87"/>
      <c r="AA87"/>
      <c r="AB87"/>
    </row>
    <row r="88" spans="1:28" s="205" customFormat="1">
      <c r="A88" s="1125"/>
      <c r="B88" s="404"/>
      <c r="C88" s="408"/>
      <c r="D88" s="408"/>
      <c r="E88" s="408"/>
      <c r="F88" s="408"/>
      <c r="G88" s="408"/>
      <c r="H88" s="408"/>
      <c r="I88" s="1138"/>
      <c r="J88" s="408"/>
      <c r="K88" s="408"/>
      <c r="L88" s="408"/>
      <c r="M88" s="408"/>
      <c r="N88" s="408"/>
      <c r="O88" s="1138"/>
      <c r="P88" s="408"/>
      <c r="Q88" s="408"/>
      <c r="R88" s="408"/>
      <c r="S88" s="1138"/>
      <c r="T88" s="408"/>
      <c r="U88" s="408"/>
      <c r="V88" s="408"/>
      <c r="W88" s="1129"/>
      <c r="X88"/>
      <c r="Y88"/>
      <c r="Z88"/>
      <c r="AA88"/>
      <c r="AB88"/>
    </row>
    <row r="89" spans="1:28" s="204" customFormat="1">
      <c r="A89" s="1125"/>
      <c r="B89" s="1135"/>
      <c r="C89" s="520"/>
      <c r="D89" s="520"/>
      <c r="E89" s="520"/>
      <c r="F89" s="520"/>
      <c r="G89" s="520"/>
      <c r="H89" s="520"/>
      <c r="I89" s="1139"/>
      <c r="J89" s="520"/>
      <c r="K89" s="520"/>
      <c r="L89" s="520"/>
      <c r="M89" s="520"/>
      <c r="N89" s="520"/>
      <c r="O89" s="1139"/>
      <c r="P89" s="520"/>
      <c r="Q89" s="520"/>
      <c r="R89" s="520"/>
      <c r="S89" s="1139"/>
      <c r="T89" s="520"/>
      <c r="U89" s="520"/>
      <c r="V89" s="520"/>
      <c r="W89" s="1152"/>
      <c r="X89"/>
      <c r="Y89"/>
      <c r="Z89"/>
      <c r="AA89"/>
      <c r="AB89"/>
    </row>
    <row r="90" spans="1:28">
      <c r="A90" s="1125"/>
      <c r="B90" s="403"/>
      <c r="C90" s="407"/>
      <c r="D90" s="407"/>
      <c r="E90" s="407"/>
      <c r="F90" s="407"/>
      <c r="G90" s="407"/>
      <c r="H90" s="407"/>
      <c r="I90" s="1137"/>
      <c r="J90" s="407"/>
      <c r="K90" s="407"/>
      <c r="L90" s="407"/>
      <c r="M90" s="407"/>
      <c r="N90" s="407"/>
      <c r="O90" s="1137"/>
      <c r="P90" s="407"/>
      <c r="Q90" s="407"/>
      <c r="R90" s="407"/>
      <c r="S90" s="1137"/>
      <c r="T90" s="407"/>
      <c r="U90" s="407"/>
      <c r="V90" s="407"/>
      <c r="W90" s="1128"/>
      <c r="X90"/>
      <c r="Y90"/>
      <c r="Z90"/>
      <c r="AA90"/>
      <c r="AB90"/>
    </row>
    <row r="91" spans="1:28" s="205" customFormat="1">
      <c r="A91" s="1125"/>
      <c r="B91" s="404"/>
      <c r="C91" s="408"/>
      <c r="D91" s="408"/>
      <c r="E91" s="408"/>
      <c r="F91" s="408"/>
      <c r="G91" s="408"/>
      <c r="H91" s="408"/>
      <c r="I91" s="1138"/>
      <c r="J91" s="408"/>
      <c r="K91" s="408"/>
      <c r="L91" s="408"/>
      <c r="M91" s="408"/>
      <c r="N91" s="408"/>
      <c r="O91" s="1138"/>
      <c r="P91" s="408"/>
      <c r="Q91" s="408"/>
      <c r="R91" s="408"/>
      <c r="S91" s="1138"/>
      <c r="T91" s="408"/>
      <c r="U91" s="408"/>
      <c r="V91" s="408"/>
      <c r="W91" s="1129"/>
      <c r="X91"/>
      <c r="Y91"/>
      <c r="Z91"/>
      <c r="AA91"/>
      <c r="AB91"/>
    </row>
    <row r="92" spans="1:28" s="204" customFormat="1">
      <c r="A92" s="1125"/>
      <c r="B92" s="1135"/>
      <c r="C92" s="520"/>
      <c r="D92" s="520"/>
      <c r="E92" s="520"/>
      <c r="F92" s="520"/>
      <c r="G92" s="520"/>
      <c r="H92" s="520"/>
      <c r="I92" s="1139"/>
      <c r="J92" s="520"/>
      <c r="K92" s="520"/>
      <c r="L92" s="520"/>
      <c r="M92" s="520"/>
      <c r="N92" s="520"/>
      <c r="O92" s="1139"/>
      <c r="P92" s="520"/>
      <c r="Q92" s="520"/>
      <c r="R92" s="520"/>
      <c r="S92" s="1139"/>
      <c r="T92" s="520"/>
      <c r="U92" s="520"/>
      <c r="V92" s="520"/>
      <c r="W92" s="1152"/>
      <c r="X92"/>
      <c r="Y92"/>
      <c r="Z92"/>
      <c r="AA92"/>
      <c r="AB92"/>
    </row>
    <row r="93" spans="1:28">
      <c r="A93" s="1125"/>
      <c r="B93" s="403"/>
      <c r="C93" s="407"/>
      <c r="D93" s="407"/>
      <c r="E93" s="407"/>
      <c r="F93" s="407"/>
      <c r="G93" s="407"/>
      <c r="H93" s="407"/>
      <c r="I93" s="1137"/>
      <c r="J93" s="407"/>
      <c r="K93" s="407"/>
      <c r="L93" s="1149"/>
      <c r="M93" s="1149"/>
      <c r="N93" s="407"/>
      <c r="O93" s="1137"/>
      <c r="P93" s="407"/>
      <c r="Q93" s="407"/>
      <c r="R93" s="407"/>
      <c r="S93" s="1137"/>
      <c r="T93" s="407"/>
      <c r="U93" s="407"/>
      <c r="V93" s="407"/>
      <c r="W93" s="1128"/>
      <c r="X93"/>
      <c r="Y93"/>
      <c r="Z93"/>
      <c r="AA93"/>
      <c r="AB93"/>
    </row>
    <row r="94" spans="1:28" s="205" customFormat="1">
      <c r="A94" s="1125"/>
      <c r="B94" s="404"/>
      <c r="C94" s="408"/>
      <c r="D94" s="408"/>
      <c r="E94" s="408"/>
      <c r="F94" s="408"/>
      <c r="G94" s="408"/>
      <c r="H94" s="408"/>
      <c r="I94" s="1138"/>
      <c r="J94" s="408"/>
      <c r="K94" s="408"/>
      <c r="L94" s="1147"/>
      <c r="M94" s="1147"/>
      <c r="N94" s="408"/>
      <c r="O94" s="1138"/>
      <c r="P94" s="408"/>
      <c r="Q94" s="408"/>
      <c r="R94" s="408"/>
      <c r="S94" s="1138"/>
      <c r="T94" s="408"/>
      <c r="U94" s="408"/>
      <c r="V94" s="408"/>
      <c r="W94" s="1129"/>
      <c r="X94"/>
      <c r="Y94"/>
      <c r="Z94"/>
      <c r="AA94"/>
      <c r="AB94"/>
    </row>
    <row r="95" spans="1:28" s="204" customFormat="1">
      <c r="A95" s="1125"/>
      <c r="B95" s="1135"/>
      <c r="C95" s="520"/>
      <c r="D95" s="520"/>
      <c r="E95" s="520"/>
      <c r="F95" s="520"/>
      <c r="G95" s="520"/>
      <c r="H95" s="520"/>
      <c r="I95" s="1139"/>
      <c r="J95" s="520"/>
      <c r="K95" s="520"/>
      <c r="L95" s="1148"/>
      <c r="M95" s="1148"/>
      <c r="N95" s="520"/>
      <c r="O95" s="1139"/>
      <c r="P95" s="520"/>
      <c r="Q95" s="520"/>
      <c r="R95" s="520"/>
      <c r="S95" s="1139"/>
      <c r="T95" s="520"/>
      <c r="U95" s="520"/>
      <c r="V95" s="520"/>
      <c r="W95" s="1152"/>
      <c r="X95"/>
      <c r="Y95"/>
      <c r="Z95"/>
      <c r="AA95"/>
      <c r="AB95"/>
    </row>
    <row r="96" spans="1:28">
      <c r="A96" s="1125"/>
      <c r="B96" s="403"/>
      <c r="C96" s="407"/>
      <c r="D96" s="407"/>
      <c r="E96" s="407"/>
      <c r="F96" s="407"/>
      <c r="G96" s="407"/>
      <c r="H96" s="407"/>
      <c r="I96" s="1137"/>
      <c r="J96" s="407"/>
      <c r="K96" s="407"/>
      <c r="L96" s="407"/>
      <c r="M96" s="407"/>
      <c r="N96" s="407"/>
      <c r="O96" s="1137"/>
      <c r="P96" s="407"/>
      <c r="Q96" s="407"/>
      <c r="R96" s="407"/>
      <c r="S96" s="1137"/>
      <c r="T96" s="407"/>
      <c r="U96" s="407"/>
      <c r="V96" s="407"/>
      <c r="W96" s="1128"/>
      <c r="X96"/>
      <c r="Y96"/>
      <c r="Z96"/>
      <c r="AA96"/>
      <c r="AB96"/>
    </row>
    <row r="97" spans="1:28" s="205" customFormat="1">
      <c r="A97" s="1125"/>
      <c r="B97" s="404"/>
      <c r="C97" s="408"/>
      <c r="D97" s="408"/>
      <c r="E97" s="408"/>
      <c r="F97" s="408"/>
      <c r="G97" s="408"/>
      <c r="H97" s="408"/>
      <c r="I97" s="1138"/>
      <c r="J97" s="408"/>
      <c r="K97" s="408"/>
      <c r="L97" s="408"/>
      <c r="M97" s="408"/>
      <c r="N97" s="408"/>
      <c r="O97" s="1138"/>
      <c r="P97" s="408"/>
      <c r="Q97" s="408"/>
      <c r="R97" s="408"/>
      <c r="S97" s="1138"/>
      <c r="T97" s="408"/>
      <c r="U97" s="408"/>
      <c r="V97" s="408"/>
      <c r="W97" s="1129"/>
      <c r="X97"/>
      <c r="Y97"/>
      <c r="Z97"/>
      <c r="AA97"/>
      <c r="AB97"/>
    </row>
    <row r="98" spans="1:28" s="204" customFormat="1">
      <c r="A98" s="1125"/>
      <c r="B98" s="1135"/>
      <c r="C98" s="520"/>
      <c r="D98" s="520"/>
      <c r="E98" s="520"/>
      <c r="F98" s="520"/>
      <c r="G98" s="520"/>
      <c r="H98" s="520"/>
      <c r="I98" s="1139"/>
      <c r="J98" s="520"/>
      <c r="K98" s="520"/>
      <c r="L98" s="520"/>
      <c r="M98" s="520"/>
      <c r="N98" s="520"/>
      <c r="O98" s="1139"/>
      <c r="P98" s="520"/>
      <c r="Q98" s="520"/>
      <c r="R98" s="520"/>
      <c r="S98" s="1139"/>
      <c r="T98" s="520"/>
      <c r="U98" s="520"/>
      <c r="V98" s="520"/>
      <c r="W98" s="1152"/>
      <c r="X98"/>
      <c r="Y98"/>
      <c r="Z98"/>
      <c r="AA98"/>
      <c r="AB98"/>
    </row>
    <row r="99" spans="1:28">
      <c r="A99" s="1125"/>
      <c r="B99" s="403"/>
      <c r="C99" s="407"/>
      <c r="D99" s="407"/>
      <c r="E99" s="407"/>
      <c r="F99" s="407"/>
      <c r="G99" s="407"/>
      <c r="H99" s="407"/>
      <c r="I99" s="1137"/>
      <c r="J99" s="407"/>
      <c r="K99" s="407"/>
      <c r="L99" s="407"/>
      <c r="M99" s="407"/>
      <c r="N99" s="407"/>
      <c r="O99" s="1137"/>
      <c r="P99" s="407"/>
      <c r="Q99" s="407"/>
      <c r="R99" s="407"/>
      <c r="S99" s="1137"/>
      <c r="T99" s="407"/>
      <c r="U99" s="407"/>
      <c r="V99" s="407"/>
      <c r="W99" s="1128"/>
      <c r="X99"/>
      <c r="Y99"/>
      <c r="Z99"/>
      <c r="AA99"/>
      <c r="AB99"/>
    </row>
    <row r="100" spans="1:28" s="205" customFormat="1">
      <c r="A100" s="1125"/>
      <c r="B100" s="404"/>
      <c r="C100" s="408"/>
      <c r="D100" s="408"/>
      <c r="E100" s="408"/>
      <c r="F100" s="408"/>
      <c r="G100" s="408"/>
      <c r="H100" s="408"/>
      <c r="I100" s="1138"/>
      <c r="J100" s="408"/>
      <c r="K100" s="408"/>
      <c r="L100" s="408"/>
      <c r="M100" s="408"/>
      <c r="N100" s="408"/>
      <c r="O100" s="1138"/>
      <c r="P100" s="408"/>
      <c r="Q100" s="408"/>
      <c r="R100" s="408"/>
      <c r="S100" s="1138"/>
      <c r="T100" s="408"/>
      <c r="U100" s="408"/>
      <c r="V100" s="408"/>
      <c r="W100" s="1129"/>
      <c r="X100"/>
      <c r="Y100"/>
      <c r="Z100"/>
      <c r="AA100"/>
      <c r="AB100"/>
    </row>
    <row r="101" spans="1:28" s="204" customFormat="1">
      <c r="A101" s="1125"/>
      <c r="B101" s="1135"/>
      <c r="C101" s="520"/>
      <c r="D101" s="520"/>
      <c r="E101" s="520"/>
      <c r="F101" s="520"/>
      <c r="G101" s="520"/>
      <c r="H101" s="520"/>
      <c r="I101" s="1139"/>
      <c r="J101" s="520"/>
      <c r="K101" s="520"/>
      <c r="L101" s="520"/>
      <c r="M101" s="520"/>
      <c r="N101" s="520"/>
      <c r="O101" s="1139"/>
      <c r="P101" s="520"/>
      <c r="Q101" s="520"/>
      <c r="R101" s="520"/>
      <c r="S101" s="1139"/>
      <c r="T101" s="520"/>
      <c r="U101" s="520"/>
      <c r="V101" s="520"/>
      <c r="W101" s="1152"/>
      <c r="X101"/>
      <c r="Y101"/>
      <c r="Z101"/>
      <c r="AA101"/>
      <c r="AB101"/>
    </row>
    <row r="102" spans="1:28">
      <c r="A102" s="1125"/>
      <c r="B102" s="403"/>
      <c r="C102" s="407"/>
      <c r="D102" s="407"/>
      <c r="E102" s="407"/>
      <c r="F102" s="407"/>
      <c r="G102" s="407"/>
      <c r="H102" s="407"/>
      <c r="I102" s="1137"/>
      <c r="J102" s="407"/>
      <c r="K102" s="407"/>
      <c r="L102" s="407"/>
      <c r="M102" s="407"/>
      <c r="N102" s="407"/>
      <c r="O102" s="1137"/>
      <c r="P102" s="407"/>
      <c r="Q102" s="407"/>
      <c r="R102" s="407"/>
      <c r="S102" s="1137"/>
      <c r="T102" s="407"/>
      <c r="U102" s="407"/>
      <c r="V102" s="407"/>
      <c r="W102" s="1128"/>
      <c r="X102"/>
      <c r="Y102"/>
      <c r="Z102"/>
      <c r="AA102"/>
      <c r="AB102"/>
    </row>
    <row r="103" spans="1:28" s="205" customFormat="1">
      <c r="A103" s="1125"/>
      <c r="B103" s="404"/>
      <c r="C103" s="408"/>
      <c r="D103" s="408"/>
      <c r="E103" s="408"/>
      <c r="F103" s="408"/>
      <c r="G103" s="408"/>
      <c r="H103" s="408"/>
      <c r="I103" s="1138"/>
      <c r="J103" s="408"/>
      <c r="K103" s="408"/>
      <c r="L103" s="408"/>
      <c r="M103" s="408"/>
      <c r="N103" s="408"/>
      <c r="O103" s="1138"/>
      <c r="P103" s="408"/>
      <c r="Q103" s="408"/>
      <c r="R103" s="408"/>
      <c r="S103" s="1138"/>
      <c r="T103" s="408"/>
      <c r="U103" s="408"/>
      <c r="V103" s="408"/>
      <c r="W103" s="1129"/>
      <c r="X103"/>
      <c r="Y103"/>
      <c r="Z103"/>
      <c r="AA103"/>
      <c r="AB103"/>
    </row>
    <row r="104" spans="1:28" s="204" customFormat="1">
      <c r="A104" s="1125"/>
      <c r="B104" s="1135"/>
      <c r="C104" s="520"/>
      <c r="D104" s="520"/>
      <c r="E104" s="520"/>
      <c r="F104" s="520"/>
      <c r="G104" s="520"/>
      <c r="H104" s="520"/>
      <c r="I104" s="1139"/>
      <c r="J104" s="520"/>
      <c r="K104" s="520"/>
      <c r="L104" s="520"/>
      <c r="M104" s="520"/>
      <c r="N104" s="520"/>
      <c r="O104" s="1139"/>
      <c r="P104" s="520"/>
      <c r="Q104" s="520"/>
      <c r="R104" s="520"/>
      <c r="S104" s="1139"/>
      <c r="T104" s="520"/>
      <c r="U104" s="520"/>
      <c r="V104" s="520"/>
      <c r="W104" s="1152"/>
      <c r="X104"/>
      <c r="Y104"/>
      <c r="Z104"/>
      <c r="AA104"/>
      <c r="AB104"/>
    </row>
    <row r="105" spans="1:28">
      <c r="A105" s="1125"/>
      <c r="B105" s="403"/>
      <c r="C105" s="407"/>
      <c r="D105" s="407"/>
      <c r="E105" s="407"/>
      <c r="F105" s="407"/>
      <c r="G105" s="407"/>
      <c r="H105" s="407"/>
      <c r="I105" s="1137"/>
      <c r="J105" s="407"/>
      <c r="K105" s="407"/>
      <c r="L105" s="407"/>
      <c r="M105" s="407"/>
      <c r="N105" s="407"/>
      <c r="O105" s="1137"/>
      <c r="P105" s="407"/>
      <c r="Q105" s="407"/>
      <c r="R105" s="407"/>
      <c r="S105" s="1137"/>
      <c r="T105" s="407"/>
      <c r="U105" s="407"/>
      <c r="V105" s="407"/>
      <c r="W105" s="1128"/>
      <c r="X105"/>
      <c r="Y105"/>
      <c r="Z105"/>
      <c r="AA105"/>
      <c r="AB105"/>
    </row>
    <row r="106" spans="1:28" s="205" customFormat="1">
      <c r="A106" s="1125"/>
      <c r="B106" s="404"/>
      <c r="C106" s="408"/>
      <c r="D106" s="408"/>
      <c r="E106" s="408"/>
      <c r="F106" s="408"/>
      <c r="G106" s="408"/>
      <c r="H106" s="408"/>
      <c r="I106" s="1138"/>
      <c r="J106" s="408"/>
      <c r="K106" s="408"/>
      <c r="L106" s="408"/>
      <c r="M106" s="408"/>
      <c r="N106" s="408"/>
      <c r="O106" s="1138"/>
      <c r="P106" s="408"/>
      <c r="Q106" s="408"/>
      <c r="R106" s="408"/>
      <c r="S106" s="1138"/>
      <c r="T106" s="408"/>
      <c r="U106" s="408"/>
      <c r="V106" s="408"/>
      <c r="W106" s="1129"/>
      <c r="X106"/>
      <c r="Y106"/>
      <c r="Z106"/>
      <c r="AA106"/>
      <c r="AB106"/>
    </row>
    <row r="107" spans="1:28" s="204" customFormat="1">
      <c r="A107" s="1125"/>
      <c r="B107" s="1135"/>
      <c r="C107" s="520"/>
      <c r="D107" s="520"/>
      <c r="E107" s="520"/>
      <c r="F107" s="520"/>
      <c r="G107" s="520"/>
      <c r="H107" s="520"/>
      <c r="I107" s="1139"/>
      <c r="J107" s="520"/>
      <c r="K107" s="520"/>
      <c r="L107" s="520"/>
      <c r="M107" s="520"/>
      <c r="N107" s="520"/>
      <c r="O107" s="1139"/>
      <c r="P107" s="520"/>
      <c r="Q107" s="520"/>
      <c r="R107" s="520"/>
      <c r="S107" s="1139"/>
      <c r="T107" s="520"/>
      <c r="U107" s="520"/>
      <c r="V107" s="520"/>
      <c r="W107" s="1152"/>
      <c r="X107"/>
      <c r="Y107"/>
      <c r="Z107"/>
      <c r="AA107"/>
      <c r="AB107"/>
    </row>
    <row r="108" spans="1:28">
      <c r="A108" s="1125"/>
      <c r="B108" s="403"/>
      <c r="C108" s="407"/>
      <c r="D108" s="407"/>
      <c r="E108" s="407"/>
      <c r="F108" s="407"/>
      <c r="G108" s="407"/>
      <c r="H108" s="407"/>
      <c r="I108" s="1137"/>
      <c r="J108" s="407"/>
      <c r="K108" s="407"/>
      <c r="L108" s="407"/>
      <c r="M108" s="407"/>
      <c r="N108" s="407"/>
      <c r="O108" s="1137"/>
      <c r="P108" s="407"/>
      <c r="Q108" s="407"/>
      <c r="R108" s="407"/>
      <c r="S108" s="1137"/>
      <c r="T108" s="407"/>
      <c r="U108" s="407"/>
      <c r="V108" s="407"/>
      <c r="W108" s="1128"/>
      <c r="X108"/>
      <c r="Y108"/>
      <c r="Z108"/>
      <c r="AA108"/>
      <c r="AB108"/>
    </row>
    <row r="109" spans="1:28" s="205" customFormat="1">
      <c r="A109" s="1125"/>
      <c r="B109" s="404"/>
      <c r="C109" s="408"/>
      <c r="D109" s="408"/>
      <c r="E109" s="408"/>
      <c r="F109" s="408"/>
      <c r="G109" s="408"/>
      <c r="H109" s="408"/>
      <c r="I109" s="1138"/>
      <c r="J109" s="408"/>
      <c r="K109" s="408"/>
      <c r="L109" s="408"/>
      <c r="M109" s="408"/>
      <c r="N109" s="408"/>
      <c r="O109" s="1138"/>
      <c r="P109" s="408"/>
      <c r="Q109" s="408"/>
      <c r="R109" s="408"/>
      <c r="S109" s="1138"/>
      <c r="T109" s="408"/>
      <c r="U109" s="408"/>
      <c r="V109" s="408"/>
      <c r="W109" s="1129"/>
      <c r="X109"/>
      <c r="Y109"/>
      <c r="Z109"/>
      <c r="AA109"/>
      <c r="AB109"/>
    </row>
    <row r="110" spans="1:28" s="204" customFormat="1">
      <c r="A110" s="1125"/>
      <c r="B110" s="1135"/>
      <c r="C110" s="520"/>
      <c r="D110" s="520"/>
      <c r="E110" s="520"/>
      <c r="F110" s="520"/>
      <c r="G110" s="520"/>
      <c r="H110" s="520"/>
      <c r="I110" s="1139"/>
      <c r="J110" s="520"/>
      <c r="K110" s="520"/>
      <c r="L110" s="520"/>
      <c r="M110" s="520"/>
      <c r="N110" s="520"/>
      <c r="O110" s="1139"/>
      <c r="P110" s="520"/>
      <c r="Q110" s="520"/>
      <c r="R110" s="520"/>
      <c r="S110" s="1139"/>
      <c r="T110" s="520"/>
      <c r="U110" s="520"/>
      <c r="V110" s="520"/>
      <c r="W110" s="1152"/>
      <c r="X110"/>
      <c r="Y110"/>
      <c r="Z110"/>
      <c r="AA110"/>
      <c r="AB110"/>
    </row>
    <row r="111" spans="1:28">
      <c r="A111" s="1125"/>
      <c r="B111" s="403"/>
      <c r="C111" s="407"/>
      <c r="D111" s="407"/>
      <c r="E111" s="407"/>
      <c r="F111" s="407"/>
      <c r="G111" s="407"/>
      <c r="H111" s="407"/>
      <c r="I111" s="1137"/>
      <c r="J111" s="407"/>
      <c r="K111" s="407"/>
      <c r="L111" s="407"/>
      <c r="M111" s="407"/>
      <c r="N111" s="407"/>
      <c r="O111" s="1137"/>
      <c r="P111" s="407"/>
      <c r="Q111" s="407"/>
      <c r="R111" s="407"/>
      <c r="S111" s="1137"/>
      <c r="T111" s="407"/>
      <c r="U111" s="407"/>
      <c r="V111" s="407"/>
      <c r="W111" s="1128"/>
      <c r="X111"/>
      <c r="Y111"/>
      <c r="Z111"/>
      <c r="AA111"/>
      <c r="AB111"/>
    </row>
    <row r="112" spans="1:28" s="205" customFormat="1">
      <c r="A112" s="1125"/>
      <c r="B112" s="404"/>
      <c r="C112" s="408"/>
      <c r="D112" s="408"/>
      <c r="E112" s="408"/>
      <c r="F112" s="408"/>
      <c r="G112" s="408"/>
      <c r="H112" s="408"/>
      <c r="I112" s="1138"/>
      <c r="J112" s="408"/>
      <c r="K112" s="408"/>
      <c r="L112" s="408"/>
      <c r="M112" s="408"/>
      <c r="N112" s="408"/>
      <c r="O112" s="1138"/>
      <c r="P112" s="408"/>
      <c r="Q112" s="408"/>
      <c r="R112" s="408"/>
      <c r="S112" s="1138"/>
      <c r="T112" s="408"/>
      <c r="U112" s="408"/>
      <c r="V112" s="408"/>
      <c r="W112" s="1129"/>
      <c r="X112"/>
      <c r="Y112"/>
      <c r="Z112"/>
      <c r="AA112"/>
      <c r="AB112"/>
    </row>
    <row r="113" spans="1:28" s="204" customFormat="1">
      <c r="A113" s="1125"/>
      <c r="B113" s="1135"/>
      <c r="C113" s="520"/>
      <c r="D113" s="520"/>
      <c r="E113" s="520"/>
      <c r="F113" s="520"/>
      <c r="G113" s="520"/>
      <c r="H113" s="520"/>
      <c r="I113" s="1139"/>
      <c r="J113" s="520"/>
      <c r="K113" s="520"/>
      <c r="L113" s="520"/>
      <c r="M113" s="520"/>
      <c r="N113" s="520"/>
      <c r="O113" s="1139"/>
      <c r="P113" s="520"/>
      <c r="Q113" s="520"/>
      <c r="R113" s="520"/>
      <c r="S113" s="1139"/>
      <c r="T113" s="520"/>
      <c r="U113" s="520"/>
      <c r="V113" s="520"/>
      <c r="W113" s="1152"/>
      <c r="X113"/>
      <c r="Y113"/>
      <c r="Z113"/>
      <c r="AA113"/>
      <c r="AB113"/>
    </row>
    <row r="114" spans="1:28">
      <c r="A114" s="1125"/>
      <c r="B114" s="403"/>
      <c r="C114" s="407"/>
      <c r="D114" s="407"/>
      <c r="E114" s="407"/>
      <c r="F114" s="407"/>
      <c r="G114" s="407"/>
      <c r="H114" s="407"/>
      <c r="I114" s="1137"/>
      <c r="J114" s="407"/>
      <c r="K114" s="407"/>
      <c r="L114" s="407"/>
      <c r="M114" s="407"/>
      <c r="N114" s="407"/>
      <c r="O114" s="1137"/>
      <c r="P114" s="407"/>
      <c r="Q114" s="407"/>
      <c r="R114" s="407"/>
      <c r="S114" s="1137"/>
      <c r="T114" s="407"/>
      <c r="U114" s="407"/>
      <c r="V114" s="407"/>
      <c r="W114" s="1128"/>
      <c r="X114"/>
      <c r="Y114"/>
      <c r="Z114"/>
      <c r="AA114"/>
      <c r="AB114"/>
    </row>
    <row r="115" spans="1:28" s="205" customFormat="1">
      <c r="A115" s="1125"/>
      <c r="B115" s="404"/>
      <c r="C115" s="408"/>
      <c r="D115" s="408"/>
      <c r="E115" s="408"/>
      <c r="F115" s="408"/>
      <c r="G115" s="408"/>
      <c r="H115" s="408"/>
      <c r="I115" s="1138"/>
      <c r="J115" s="408"/>
      <c r="K115" s="408"/>
      <c r="L115" s="408"/>
      <c r="M115" s="408"/>
      <c r="N115" s="408"/>
      <c r="O115" s="1138"/>
      <c r="P115" s="408"/>
      <c r="Q115" s="408"/>
      <c r="R115" s="408"/>
      <c r="S115" s="1138"/>
      <c r="T115" s="408"/>
      <c r="U115" s="408"/>
      <c r="V115" s="408"/>
      <c r="W115" s="1129"/>
      <c r="X115"/>
      <c r="Y115"/>
      <c r="Z115"/>
      <c r="AA115"/>
      <c r="AB115"/>
    </row>
    <row r="116" spans="1:28" s="204" customFormat="1">
      <c r="A116" s="1125"/>
      <c r="B116" s="1135"/>
      <c r="C116" s="520"/>
      <c r="D116" s="520"/>
      <c r="E116" s="520"/>
      <c r="F116" s="520"/>
      <c r="G116" s="520"/>
      <c r="H116" s="520"/>
      <c r="I116" s="1139"/>
      <c r="J116" s="520"/>
      <c r="K116" s="520"/>
      <c r="L116" s="520"/>
      <c r="M116" s="520"/>
      <c r="N116" s="520"/>
      <c r="O116" s="1139"/>
      <c r="P116" s="520"/>
      <c r="Q116" s="520"/>
      <c r="R116" s="520"/>
      <c r="S116" s="1139"/>
      <c r="T116" s="520"/>
      <c r="U116" s="520"/>
      <c r="V116" s="520"/>
      <c r="W116" s="1152"/>
      <c r="X116"/>
      <c r="Y116"/>
      <c r="Z116"/>
      <c r="AA116"/>
      <c r="AB116"/>
    </row>
    <row r="117" spans="1:28">
      <c r="A117" s="1125"/>
      <c r="B117" s="403"/>
      <c r="C117" s="407"/>
      <c r="D117" s="407"/>
      <c r="E117" s="407"/>
      <c r="F117" s="407"/>
      <c r="G117" s="407"/>
      <c r="H117" s="407"/>
      <c r="I117" s="1137"/>
      <c r="J117" s="407"/>
      <c r="K117" s="407"/>
      <c r="L117" s="407"/>
      <c r="M117" s="407"/>
      <c r="N117" s="407"/>
      <c r="O117" s="1137"/>
      <c r="P117" s="407"/>
      <c r="Q117" s="407"/>
      <c r="R117" s="407"/>
      <c r="S117" s="1137"/>
      <c r="T117" s="407"/>
      <c r="U117" s="407"/>
      <c r="V117" s="407"/>
      <c r="W117" s="1128"/>
      <c r="X117"/>
      <c r="Y117"/>
      <c r="Z117"/>
      <c r="AA117"/>
      <c r="AB117"/>
    </row>
    <row r="118" spans="1:28" s="205" customFormat="1">
      <c r="A118" s="1125"/>
      <c r="B118" s="404"/>
      <c r="C118" s="408"/>
      <c r="D118" s="408"/>
      <c r="E118" s="408"/>
      <c r="F118" s="408"/>
      <c r="G118" s="408"/>
      <c r="H118" s="408"/>
      <c r="I118" s="1138"/>
      <c r="J118" s="408"/>
      <c r="K118" s="408"/>
      <c r="L118" s="408"/>
      <c r="M118" s="408"/>
      <c r="N118" s="408"/>
      <c r="O118" s="1138"/>
      <c r="P118" s="408"/>
      <c r="Q118" s="408"/>
      <c r="R118" s="408"/>
      <c r="S118" s="1138"/>
      <c r="T118" s="408"/>
      <c r="U118" s="408"/>
      <c r="V118" s="408"/>
      <c r="W118" s="1129"/>
      <c r="X118"/>
      <c r="Y118"/>
      <c r="Z118"/>
      <c r="AA118"/>
      <c r="AB118"/>
    </row>
    <row r="119" spans="1:28" s="204" customFormat="1">
      <c r="A119" s="1125"/>
      <c r="B119" s="1135"/>
      <c r="C119" s="520"/>
      <c r="D119" s="520"/>
      <c r="E119" s="520"/>
      <c r="F119" s="520"/>
      <c r="G119" s="520"/>
      <c r="H119" s="520"/>
      <c r="I119" s="1139"/>
      <c r="J119" s="520"/>
      <c r="K119" s="520"/>
      <c r="L119" s="520"/>
      <c r="M119" s="520"/>
      <c r="N119" s="520"/>
      <c r="O119" s="1139"/>
      <c r="P119" s="520"/>
      <c r="Q119" s="520"/>
      <c r="R119" s="520"/>
      <c r="S119" s="1139"/>
      <c r="T119" s="520"/>
      <c r="U119" s="520"/>
      <c r="V119" s="520"/>
      <c r="W119" s="1152"/>
      <c r="X119"/>
      <c r="Y119"/>
      <c r="Z119"/>
      <c r="AA119"/>
      <c r="AB119"/>
    </row>
    <row r="120" spans="1:28">
      <c r="A120" s="1125"/>
      <c r="B120" s="403"/>
      <c r="C120" s="407"/>
      <c r="D120" s="407"/>
      <c r="E120" s="407"/>
      <c r="F120" s="407"/>
      <c r="G120" s="407"/>
      <c r="H120" s="407"/>
      <c r="I120" s="1137"/>
      <c r="J120" s="407"/>
      <c r="K120" s="407"/>
      <c r="L120" s="407"/>
      <c r="M120" s="407"/>
      <c r="N120" s="407"/>
      <c r="O120" s="1137"/>
      <c r="P120" s="407"/>
      <c r="Q120" s="407"/>
      <c r="R120" s="407"/>
      <c r="S120" s="1137"/>
      <c r="T120" s="407"/>
      <c r="U120" s="407"/>
      <c r="V120" s="407"/>
      <c r="W120" s="1128"/>
      <c r="X120"/>
      <c r="Y120"/>
      <c r="Z120"/>
      <c r="AA120"/>
      <c r="AB120"/>
    </row>
    <row r="121" spans="1:28" s="205" customFormat="1">
      <c r="A121" s="1125"/>
      <c r="B121" s="404"/>
      <c r="C121" s="408"/>
      <c r="D121" s="408"/>
      <c r="E121" s="408"/>
      <c r="F121" s="408"/>
      <c r="G121" s="408"/>
      <c r="H121" s="408"/>
      <c r="I121" s="1138"/>
      <c r="J121" s="408"/>
      <c r="K121" s="408"/>
      <c r="L121" s="408"/>
      <c r="M121" s="408"/>
      <c r="N121" s="408"/>
      <c r="O121" s="1138"/>
      <c r="P121" s="408"/>
      <c r="Q121" s="408"/>
      <c r="R121" s="408"/>
      <c r="S121" s="1138"/>
      <c r="T121" s="408"/>
      <c r="U121" s="408"/>
      <c r="V121" s="408"/>
      <c r="W121" s="1129"/>
      <c r="X121"/>
      <c r="Y121"/>
      <c r="Z121"/>
      <c r="AA121"/>
      <c r="AB121"/>
    </row>
    <row r="122" spans="1:28" s="214" customFormat="1">
      <c r="A122" s="1136"/>
      <c r="B122" s="1135"/>
      <c r="C122" s="520"/>
      <c r="D122" s="520"/>
      <c r="E122" s="520"/>
      <c r="F122" s="520"/>
      <c r="G122" s="520"/>
      <c r="H122" s="520"/>
      <c r="I122" s="1139"/>
      <c r="J122" s="520"/>
      <c r="K122" s="520"/>
      <c r="L122" s="520"/>
      <c r="M122" s="520"/>
      <c r="N122" s="520"/>
      <c r="O122" s="1139"/>
      <c r="P122" s="520"/>
      <c r="Q122" s="520"/>
      <c r="R122" s="520"/>
      <c r="S122" s="1139"/>
      <c r="T122" s="520"/>
      <c r="U122" s="520"/>
      <c r="V122" s="520"/>
      <c r="W122" s="1152"/>
      <c r="X122"/>
      <c r="Y122"/>
      <c r="Z122"/>
      <c r="AA122"/>
      <c r="AB122"/>
    </row>
    <row r="123" spans="1:28">
      <c r="A123" s="233"/>
      <c r="B123" s="403"/>
      <c r="C123" s="407"/>
      <c r="D123" s="407"/>
      <c r="E123" s="407"/>
      <c r="F123" s="407"/>
      <c r="G123" s="407"/>
      <c r="H123" s="407"/>
      <c r="I123" s="1137"/>
      <c r="J123" s="407"/>
      <c r="K123" s="407"/>
      <c r="L123" s="407"/>
      <c r="M123" s="407"/>
      <c r="N123" s="407"/>
      <c r="O123" s="1137"/>
      <c r="P123" s="407"/>
      <c r="Q123" s="407"/>
      <c r="R123" s="407"/>
      <c r="S123" s="1137"/>
      <c r="T123" s="407"/>
      <c r="U123" s="407"/>
      <c r="V123" s="407"/>
      <c r="W123" s="1128"/>
      <c r="X123"/>
      <c r="Y123"/>
      <c r="Z123"/>
      <c r="AA123"/>
      <c r="AB123"/>
    </row>
    <row r="124" spans="1:28" s="205" customFormat="1">
      <c r="A124" s="1125"/>
      <c r="B124" s="404"/>
      <c r="C124" s="408"/>
      <c r="D124" s="408"/>
      <c r="E124" s="408"/>
      <c r="F124" s="408"/>
      <c r="G124" s="408"/>
      <c r="H124" s="408"/>
      <c r="I124" s="1138"/>
      <c r="J124" s="408"/>
      <c r="K124" s="408"/>
      <c r="L124" s="408"/>
      <c r="M124" s="408"/>
      <c r="N124" s="408"/>
      <c r="O124" s="1138"/>
      <c r="P124" s="408"/>
      <c r="Q124" s="408"/>
      <c r="R124" s="408"/>
      <c r="S124" s="1138"/>
      <c r="T124" s="408"/>
      <c r="U124" s="408"/>
      <c r="V124" s="408"/>
      <c r="W124" s="1129"/>
      <c r="X124"/>
      <c r="Y124"/>
      <c r="Z124"/>
      <c r="AA124"/>
      <c r="AB124"/>
    </row>
    <row r="125" spans="1:28" s="204" customFormat="1">
      <c r="A125" s="1126"/>
      <c r="B125" s="1135"/>
      <c r="C125" s="520"/>
      <c r="D125" s="520"/>
      <c r="E125" s="520"/>
      <c r="F125" s="520"/>
      <c r="G125" s="520"/>
      <c r="H125" s="520"/>
      <c r="I125" s="1139"/>
      <c r="J125" s="520"/>
      <c r="K125" s="520"/>
      <c r="L125" s="520"/>
      <c r="M125" s="520"/>
      <c r="N125" s="520"/>
      <c r="O125" s="1139"/>
      <c r="P125" s="520"/>
      <c r="Q125" s="520"/>
      <c r="R125" s="520"/>
      <c r="S125" s="1139"/>
      <c r="T125" s="520"/>
      <c r="U125" s="520"/>
      <c r="V125" s="520"/>
      <c r="W125" s="1152"/>
      <c r="X125"/>
      <c r="Y125"/>
      <c r="Z125"/>
      <c r="AA125"/>
      <c r="AB125"/>
    </row>
    <row r="126" spans="1:28">
      <c r="A126" s="1125"/>
      <c r="B126" s="403"/>
      <c r="C126" s="407"/>
      <c r="D126" s="407"/>
      <c r="E126" s="407"/>
      <c r="F126" s="407"/>
      <c r="G126" s="407"/>
      <c r="H126" s="407"/>
      <c r="I126" s="1137"/>
      <c r="J126" s="407"/>
      <c r="K126" s="407"/>
      <c r="L126" s="407"/>
      <c r="M126" s="407"/>
      <c r="N126" s="407"/>
      <c r="O126" s="1137"/>
      <c r="P126" s="407"/>
      <c r="Q126" s="407"/>
      <c r="R126" s="407"/>
      <c r="S126" s="1137"/>
      <c r="T126" s="407"/>
      <c r="U126" s="407"/>
      <c r="V126" s="407"/>
      <c r="W126" s="1128"/>
      <c r="X126"/>
      <c r="Y126"/>
      <c r="Z126"/>
      <c r="AA126"/>
      <c r="AB126"/>
    </row>
    <row r="127" spans="1:28" s="205" customFormat="1">
      <c r="A127" s="1125"/>
      <c r="B127" s="404"/>
      <c r="C127" s="408"/>
      <c r="D127" s="408"/>
      <c r="E127" s="408"/>
      <c r="F127" s="408"/>
      <c r="G127" s="408"/>
      <c r="H127" s="408"/>
      <c r="I127" s="1138"/>
      <c r="J127" s="408"/>
      <c r="K127" s="408"/>
      <c r="L127" s="408"/>
      <c r="M127" s="408"/>
      <c r="N127" s="408"/>
      <c r="O127" s="1138"/>
      <c r="P127" s="408"/>
      <c r="Q127" s="408"/>
      <c r="R127" s="408"/>
      <c r="S127" s="1138"/>
      <c r="T127" s="408"/>
      <c r="U127" s="408"/>
      <c r="V127" s="408"/>
      <c r="W127" s="1129"/>
      <c r="X127"/>
      <c r="Y127"/>
      <c r="Z127"/>
      <c r="AA127"/>
      <c r="AB127"/>
    </row>
    <row r="128" spans="1:28" s="204" customFormat="1">
      <c r="A128" s="1125"/>
      <c r="B128" s="1135"/>
      <c r="C128" s="520"/>
      <c r="D128" s="520"/>
      <c r="E128" s="520"/>
      <c r="F128" s="520"/>
      <c r="G128" s="520"/>
      <c r="H128" s="520"/>
      <c r="I128" s="1139"/>
      <c r="J128" s="520"/>
      <c r="K128" s="520"/>
      <c r="L128" s="520"/>
      <c r="M128" s="520"/>
      <c r="N128" s="520"/>
      <c r="O128" s="1139"/>
      <c r="P128" s="520"/>
      <c r="Q128" s="520"/>
      <c r="R128" s="520"/>
      <c r="S128" s="1139"/>
      <c r="T128" s="520"/>
      <c r="U128" s="520"/>
      <c r="V128" s="520"/>
      <c r="W128" s="1152"/>
      <c r="X128"/>
      <c r="Y128"/>
      <c r="Z128"/>
      <c r="AA128"/>
      <c r="AB128"/>
    </row>
    <row r="129" spans="1:28">
      <c r="A129" s="1125"/>
      <c r="B129" s="403"/>
      <c r="C129" s="407"/>
      <c r="D129" s="407"/>
      <c r="E129" s="407"/>
      <c r="F129" s="407"/>
      <c r="G129" s="407"/>
      <c r="H129" s="407"/>
      <c r="I129" s="1137"/>
      <c r="J129" s="407"/>
      <c r="K129" s="407"/>
      <c r="L129" s="407"/>
      <c r="M129" s="407"/>
      <c r="N129" s="407"/>
      <c r="O129" s="1137"/>
      <c r="P129" s="407"/>
      <c r="Q129" s="407"/>
      <c r="R129" s="407"/>
      <c r="S129" s="1137"/>
      <c r="T129" s="407"/>
      <c r="U129" s="407"/>
      <c r="V129" s="407"/>
      <c r="W129" s="1128"/>
      <c r="X129"/>
      <c r="Y129"/>
      <c r="Z129"/>
      <c r="AA129"/>
      <c r="AB129"/>
    </row>
    <row r="130" spans="1:28" s="205" customFormat="1">
      <c r="A130" s="1125"/>
      <c r="B130" s="404"/>
      <c r="C130" s="408"/>
      <c r="D130" s="408"/>
      <c r="E130" s="408"/>
      <c r="F130" s="408"/>
      <c r="G130" s="408"/>
      <c r="H130" s="408"/>
      <c r="I130" s="1138"/>
      <c r="J130" s="408"/>
      <c r="K130" s="408"/>
      <c r="L130" s="408"/>
      <c r="M130" s="408"/>
      <c r="N130" s="408"/>
      <c r="O130" s="1138"/>
      <c r="P130" s="408"/>
      <c r="Q130" s="408"/>
      <c r="R130" s="408"/>
      <c r="S130" s="1138"/>
      <c r="T130" s="408"/>
      <c r="U130" s="408"/>
      <c r="V130" s="408"/>
      <c r="W130" s="1129"/>
      <c r="X130"/>
      <c r="Y130"/>
      <c r="Z130"/>
      <c r="AA130"/>
      <c r="AB130"/>
    </row>
    <row r="131" spans="1:28" s="204" customFormat="1">
      <c r="A131" s="1125"/>
      <c r="B131" s="1135"/>
      <c r="C131" s="520"/>
      <c r="D131" s="520"/>
      <c r="E131" s="520"/>
      <c r="F131" s="520"/>
      <c r="G131" s="520"/>
      <c r="H131" s="520"/>
      <c r="I131" s="1139"/>
      <c r="J131" s="520"/>
      <c r="K131" s="520"/>
      <c r="L131" s="520"/>
      <c r="M131" s="520"/>
      <c r="N131" s="520"/>
      <c r="O131" s="1139"/>
      <c r="P131" s="520"/>
      <c r="Q131" s="520"/>
      <c r="R131" s="520"/>
      <c r="S131" s="1139"/>
      <c r="T131" s="520"/>
      <c r="U131" s="520"/>
      <c r="V131" s="520"/>
      <c r="W131" s="1152"/>
      <c r="X131"/>
      <c r="Y131"/>
      <c r="Z131"/>
      <c r="AA131"/>
      <c r="AB131"/>
    </row>
    <row r="132" spans="1:28">
      <c r="A132" s="1125"/>
      <c r="B132" s="403"/>
      <c r="C132" s="407"/>
      <c r="D132" s="407"/>
      <c r="E132" s="407"/>
      <c r="F132" s="407"/>
      <c r="G132" s="407"/>
      <c r="H132" s="1149"/>
      <c r="I132" s="1137"/>
      <c r="J132" s="407"/>
      <c r="K132" s="407"/>
      <c r="L132" s="407"/>
      <c r="M132" s="407"/>
      <c r="N132" s="407"/>
      <c r="O132" s="1137"/>
      <c r="P132" s="407"/>
      <c r="Q132" s="407"/>
      <c r="R132" s="407"/>
      <c r="S132" s="1137"/>
      <c r="T132" s="407"/>
      <c r="U132" s="407"/>
      <c r="V132" s="407"/>
      <c r="W132" s="1128"/>
      <c r="X132"/>
      <c r="Y132"/>
      <c r="Z132"/>
      <c r="AA132"/>
      <c r="AB132"/>
    </row>
    <row r="133" spans="1:28" s="205" customFormat="1">
      <c r="A133" s="1125"/>
      <c r="B133" s="404"/>
      <c r="C133" s="408"/>
      <c r="D133" s="408"/>
      <c r="E133" s="408"/>
      <c r="F133" s="408"/>
      <c r="G133" s="408"/>
      <c r="H133" s="1147"/>
      <c r="I133" s="1138"/>
      <c r="J133" s="408"/>
      <c r="K133" s="408"/>
      <c r="L133" s="408"/>
      <c r="M133" s="408"/>
      <c r="N133" s="408"/>
      <c r="O133" s="1138"/>
      <c r="P133" s="408"/>
      <c r="Q133" s="408"/>
      <c r="R133" s="408"/>
      <c r="S133" s="1138"/>
      <c r="T133" s="408"/>
      <c r="U133" s="408"/>
      <c r="V133" s="408"/>
      <c r="W133" s="1129"/>
      <c r="X133"/>
      <c r="Y133"/>
      <c r="Z133"/>
      <c r="AA133"/>
      <c r="AB133"/>
    </row>
    <row r="134" spans="1:28" s="204" customFormat="1">
      <c r="A134" s="1125"/>
      <c r="B134" s="1135"/>
      <c r="C134" s="520"/>
      <c r="D134" s="520"/>
      <c r="E134" s="520"/>
      <c r="F134" s="520"/>
      <c r="G134" s="520"/>
      <c r="H134" s="1148"/>
      <c r="I134" s="1139"/>
      <c r="J134" s="520"/>
      <c r="K134" s="520"/>
      <c r="L134" s="520"/>
      <c r="M134" s="520"/>
      <c r="N134" s="520"/>
      <c r="O134" s="1139"/>
      <c r="P134" s="520"/>
      <c r="Q134" s="520"/>
      <c r="R134" s="520"/>
      <c r="S134" s="1139"/>
      <c r="T134" s="520"/>
      <c r="U134" s="520"/>
      <c r="V134" s="520"/>
      <c r="W134" s="1152"/>
      <c r="X134"/>
      <c r="Y134"/>
      <c r="Z134"/>
      <c r="AA134"/>
      <c r="AB134"/>
    </row>
    <row r="135" spans="1:28">
      <c r="A135" s="1125"/>
      <c r="B135" s="403"/>
      <c r="C135" s="407"/>
      <c r="D135" s="407"/>
      <c r="E135" s="407"/>
      <c r="F135" s="407"/>
      <c r="G135" s="407"/>
      <c r="H135" s="407"/>
      <c r="I135" s="1137"/>
      <c r="J135" s="407"/>
      <c r="K135" s="407"/>
      <c r="L135" s="407"/>
      <c r="M135" s="407"/>
      <c r="N135" s="407"/>
      <c r="O135" s="1137"/>
      <c r="P135" s="407"/>
      <c r="Q135" s="407"/>
      <c r="R135" s="407"/>
      <c r="S135" s="1137"/>
      <c r="T135" s="407"/>
      <c r="U135" s="407"/>
      <c r="V135" s="407"/>
      <c r="W135" s="1128"/>
      <c r="X135"/>
      <c r="Y135"/>
      <c r="Z135"/>
      <c r="AA135"/>
      <c r="AB135"/>
    </row>
    <row r="136" spans="1:28" s="205" customFormat="1">
      <c r="A136" s="1125"/>
      <c r="B136" s="404"/>
      <c r="C136" s="408"/>
      <c r="D136" s="408"/>
      <c r="E136" s="408"/>
      <c r="F136" s="408"/>
      <c r="G136" s="408"/>
      <c r="H136" s="408"/>
      <c r="I136" s="1138"/>
      <c r="J136" s="408"/>
      <c r="K136" s="408"/>
      <c r="L136" s="408"/>
      <c r="M136" s="408"/>
      <c r="N136" s="408"/>
      <c r="O136" s="1138"/>
      <c r="P136" s="408"/>
      <c r="Q136" s="408"/>
      <c r="R136" s="408"/>
      <c r="S136" s="1138"/>
      <c r="T136" s="408"/>
      <c r="U136" s="408"/>
      <c r="V136" s="408"/>
      <c r="W136" s="1129"/>
      <c r="X136"/>
      <c r="Y136"/>
      <c r="Z136"/>
      <c r="AA136"/>
      <c r="AB136"/>
    </row>
    <row r="137" spans="1:28" s="204" customFormat="1">
      <c r="A137" s="1125"/>
      <c r="B137" s="1135"/>
      <c r="C137" s="520"/>
      <c r="D137" s="520"/>
      <c r="E137" s="520"/>
      <c r="F137" s="520"/>
      <c r="G137" s="520"/>
      <c r="H137" s="520"/>
      <c r="I137" s="1139"/>
      <c r="J137" s="520"/>
      <c r="K137" s="520"/>
      <c r="L137" s="520"/>
      <c r="M137" s="520"/>
      <c r="N137" s="520"/>
      <c r="O137" s="1139"/>
      <c r="P137" s="520"/>
      <c r="Q137" s="520"/>
      <c r="R137" s="520"/>
      <c r="S137" s="1139"/>
      <c r="T137" s="520"/>
      <c r="U137" s="520"/>
      <c r="V137" s="520"/>
      <c r="W137" s="1152"/>
      <c r="X137"/>
      <c r="Y137"/>
      <c r="Z137"/>
      <c r="AA137"/>
      <c r="AB137"/>
    </row>
    <row r="138" spans="1:28">
      <c r="A138" s="1125"/>
      <c r="B138" s="403"/>
      <c r="C138" s="407"/>
      <c r="D138" s="407"/>
      <c r="E138" s="407"/>
      <c r="F138" s="407"/>
      <c r="G138" s="407"/>
      <c r="H138" s="407"/>
      <c r="I138" s="1137"/>
      <c r="J138" s="407"/>
      <c r="K138" s="407"/>
      <c r="L138" s="407"/>
      <c r="M138" s="407"/>
      <c r="N138" s="407"/>
      <c r="O138" s="1137"/>
      <c r="P138" s="407"/>
      <c r="Q138" s="407"/>
      <c r="R138" s="407"/>
      <c r="S138" s="1137"/>
      <c r="T138" s="407"/>
      <c r="U138" s="407"/>
      <c r="V138" s="407"/>
      <c r="W138" s="1128"/>
      <c r="X138"/>
      <c r="Y138"/>
      <c r="Z138"/>
      <c r="AA138"/>
      <c r="AB138"/>
    </row>
    <row r="139" spans="1:28" s="205" customFormat="1">
      <c r="A139" s="1125"/>
      <c r="B139" s="404"/>
      <c r="C139" s="408"/>
      <c r="D139" s="408"/>
      <c r="E139" s="408"/>
      <c r="F139" s="408"/>
      <c r="G139" s="408"/>
      <c r="H139" s="408"/>
      <c r="I139" s="1138"/>
      <c r="J139" s="408"/>
      <c r="K139" s="408"/>
      <c r="L139" s="408"/>
      <c r="M139" s="408"/>
      <c r="N139" s="408"/>
      <c r="O139" s="1138"/>
      <c r="P139" s="408"/>
      <c r="Q139" s="408"/>
      <c r="R139" s="408"/>
      <c r="S139" s="1138"/>
      <c r="T139" s="408"/>
      <c r="U139" s="408"/>
      <c r="V139" s="408"/>
      <c r="W139" s="1129"/>
      <c r="X139"/>
      <c r="Y139"/>
      <c r="Z139"/>
      <c r="AA139"/>
      <c r="AB139"/>
    </row>
    <row r="140" spans="1:28" s="204" customFormat="1">
      <c r="A140" s="1125"/>
      <c r="B140" s="1135"/>
      <c r="C140" s="520"/>
      <c r="D140" s="520"/>
      <c r="E140" s="520"/>
      <c r="F140" s="520"/>
      <c r="G140" s="520"/>
      <c r="H140" s="520"/>
      <c r="I140" s="1139"/>
      <c r="J140" s="520"/>
      <c r="K140" s="520"/>
      <c r="L140" s="520"/>
      <c r="M140" s="520"/>
      <c r="N140" s="520"/>
      <c r="O140" s="1139"/>
      <c r="P140" s="520"/>
      <c r="Q140" s="520"/>
      <c r="R140" s="520"/>
      <c r="S140" s="1139"/>
      <c r="T140" s="520"/>
      <c r="U140" s="520"/>
      <c r="V140" s="520"/>
      <c r="W140" s="1152"/>
      <c r="X140"/>
      <c r="Y140"/>
      <c r="Z140"/>
      <c r="AA140"/>
      <c r="AB140"/>
    </row>
    <row r="141" spans="1:28">
      <c r="A141" s="1125"/>
      <c r="B141" s="403"/>
      <c r="C141" s="407"/>
      <c r="D141" s="407"/>
      <c r="E141" s="407"/>
      <c r="F141" s="407"/>
      <c r="G141" s="407"/>
      <c r="H141" s="407"/>
      <c r="I141" s="1137"/>
      <c r="J141" s="407"/>
      <c r="K141" s="407"/>
      <c r="L141" s="407"/>
      <c r="M141" s="407"/>
      <c r="N141" s="407"/>
      <c r="O141" s="1137"/>
      <c r="P141" s="407"/>
      <c r="Q141" s="407"/>
      <c r="R141" s="407"/>
      <c r="S141" s="1137"/>
      <c r="T141" s="407"/>
      <c r="U141" s="407"/>
      <c r="V141" s="407"/>
      <c r="W141" s="1128"/>
      <c r="X141"/>
      <c r="Y141"/>
      <c r="Z141"/>
      <c r="AA141"/>
      <c r="AB141"/>
    </row>
    <row r="142" spans="1:28" s="205" customFormat="1">
      <c r="A142" s="1125"/>
      <c r="B142" s="404"/>
      <c r="C142" s="408"/>
      <c r="D142" s="408"/>
      <c r="E142" s="408"/>
      <c r="F142" s="408"/>
      <c r="G142" s="408"/>
      <c r="H142" s="408"/>
      <c r="I142" s="1138"/>
      <c r="J142" s="408"/>
      <c r="K142" s="408"/>
      <c r="L142" s="408"/>
      <c r="M142" s="408"/>
      <c r="N142" s="408"/>
      <c r="O142" s="1138"/>
      <c r="P142" s="408"/>
      <c r="Q142" s="408"/>
      <c r="R142" s="408"/>
      <c r="S142" s="1138"/>
      <c r="T142" s="408"/>
      <c r="U142" s="408"/>
      <c r="V142" s="408"/>
      <c r="W142" s="1129"/>
      <c r="X142"/>
      <c r="Y142"/>
      <c r="Z142"/>
      <c r="AA142"/>
      <c r="AB142"/>
    </row>
    <row r="143" spans="1:28" s="204" customFormat="1">
      <c r="A143" s="1125"/>
      <c r="B143" s="1135"/>
      <c r="C143" s="520"/>
      <c r="D143" s="520"/>
      <c r="E143" s="520"/>
      <c r="F143" s="520"/>
      <c r="G143" s="520"/>
      <c r="H143" s="520"/>
      <c r="I143" s="1139"/>
      <c r="J143" s="520"/>
      <c r="K143" s="520"/>
      <c r="L143" s="520"/>
      <c r="M143" s="520"/>
      <c r="N143" s="520"/>
      <c r="O143" s="1139"/>
      <c r="P143" s="520"/>
      <c r="Q143" s="520"/>
      <c r="R143" s="520"/>
      <c r="S143" s="1139"/>
      <c r="T143" s="520"/>
      <c r="U143" s="520"/>
      <c r="V143" s="520"/>
      <c r="W143" s="1152"/>
      <c r="X143"/>
      <c r="Y143"/>
      <c r="Z143"/>
      <c r="AA143"/>
      <c r="AB143"/>
    </row>
    <row r="144" spans="1:28">
      <c r="A144" s="1125"/>
      <c r="B144" s="403"/>
      <c r="C144" s="407"/>
      <c r="D144" s="407"/>
      <c r="E144" s="407"/>
      <c r="F144" s="407"/>
      <c r="G144" s="407"/>
      <c r="H144" s="407"/>
      <c r="I144" s="1137"/>
      <c r="J144" s="407"/>
      <c r="K144" s="407"/>
      <c r="L144" s="407"/>
      <c r="M144" s="407"/>
      <c r="N144" s="407"/>
      <c r="O144" s="1137"/>
      <c r="P144" s="407"/>
      <c r="Q144" s="407"/>
      <c r="R144" s="407"/>
      <c r="S144" s="1137"/>
      <c r="T144" s="407"/>
      <c r="U144" s="407"/>
      <c r="V144" s="407"/>
      <c r="W144" s="1128"/>
      <c r="X144"/>
      <c r="Y144"/>
      <c r="Z144"/>
      <c r="AA144"/>
      <c r="AB144"/>
    </row>
    <row r="145" spans="1:28" s="205" customFormat="1">
      <c r="A145" s="1125"/>
      <c r="B145" s="404"/>
      <c r="C145" s="408"/>
      <c r="D145" s="408"/>
      <c r="E145" s="408"/>
      <c r="F145" s="408"/>
      <c r="G145" s="408"/>
      <c r="H145" s="408"/>
      <c r="I145" s="1138"/>
      <c r="J145" s="408"/>
      <c r="K145" s="408"/>
      <c r="L145" s="408"/>
      <c r="M145" s="408"/>
      <c r="N145" s="408"/>
      <c r="O145" s="1138"/>
      <c r="P145" s="408"/>
      <c r="Q145" s="408"/>
      <c r="R145" s="408"/>
      <c r="S145" s="1138"/>
      <c r="T145" s="408"/>
      <c r="U145" s="408"/>
      <c r="V145" s="408"/>
      <c r="W145" s="1129"/>
      <c r="X145"/>
      <c r="Y145"/>
      <c r="Z145"/>
      <c r="AA145"/>
      <c r="AB145"/>
    </row>
    <row r="146" spans="1:28" s="204" customFormat="1">
      <c r="A146" s="1125"/>
      <c r="B146" s="1135"/>
      <c r="C146" s="520"/>
      <c r="D146" s="520"/>
      <c r="E146" s="520"/>
      <c r="F146" s="520"/>
      <c r="G146" s="520"/>
      <c r="H146" s="520"/>
      <c r="I146" s="1139"/>
      <c r="J146" s="520"/>
      <c r="K146" s="520"/>
      <c r="L146" s="520"/>
      <c r="M146" s="520"/>
      <c r="N146" s="520"/>
      <c r="O146" s="1139"/>
      <c r="P146" s="520"/>
      <c r="Q146" s="520"/>
      <c r="R146" s="520"/>
      <c r="S146" s="1139"/>
      <c r="T146" s="520"/>
      <c r="U146" s="520"/>
      <c r="V146" s="520"/>
      <c r="W146" s="1152"/>
      <c r="X146"/>
      <c r="Y146"/>
      <c r="Z146"/>
      <c r="AA146"/>
      <c r="AB146"/>
    </row>
    <row r="147" spans="1:28">
      <c r="A147" s="1125"/>
      <c r="B147" s="403"/>
      <c r="C147" s="407"/>
      <c r="D147" s="407"/>
      <c r="E147" s="407"/>
      <c r="F147" s="407"/>
      <c r="G147" s="407"/>
      <c r="H147" s="407"/>
      <c r="I147" s="1137"/>
      <c r="J147" s="407"/>
      <c r="K147" s="407"/>
      <c r="L147" s="407"/>
      <c r="M147" s="407"/>
      <c r="N147" s="407"/>
      <c r="O147" s="1137"/>
      <c r="P147" s="407"/>
      <c r="Q147" s="407"/>
      <c r="R147" s="407"/>
      <c r="S147" s="1137"/>
      <c r="T147" s="407"/>
      <c r="U147" s="407"/>
      <c r="V147" s="407"/>
      <c r="W147" s="1128"/>
      <c r="X147"/>
      <c r="Y147"/>
      <c r="Z147"/>
      <c r="AA147"/>
      <c r="AB147"/>
    </row>
    <row r="148" spans="1:28" s="205" customFormat="1">
      <c r="A148" s="1125"/>
      <c r="B148" s="404"/>
      <c r="C148" s="408"/>
      <c r="D148" s="408"/>
      <c r="E148" s="408"/>
      <c r="F148" s="408"/>
      <c r="G148" s="408"/>
      <c r="H148" s="408"/>
      <c r="I148" s="1138"/>
      <c r="J148" s="408"/>
      <c r="K148" s="408"/>
      <c r="L148" s="408"/>
      <c r="M148" s="408"/>
      <c r="N148" s="408"/>
      <c r="O148" s="1138"/>
      <c r="P148" s="408"/>
      <c r="Q148" s="408"/>
      <c r="R148" s="408"/>
      <c r="S148" s="1138"/>
      <c r="T148" s="408"/>
      <c r="U148" s="408"/>
      <c r="V148" s="408"/>
      <c r="W148" s="1129"/>
      <c r="X148"/>
      <c r="Y148"/>
      <c r="Z148"/>
      <c r="AA148"/>
      <c r="AB148"/>
    </row>
    <row r="149" spans="1:28" s="204" customFormat="1">
      <c r="A149" s="1125"/>
      <c r="B149" s="1135"/>
      <c r="C149" s="520"/>
      <c r="D149" s="520"/>
      <c r="E149" s="520"/>
      <c r="F149" s="520"/>
      <c r="G149" s="520"/>
      <c r="H149" s="520"/>
      <c r="I149" s="1139"/>
      <c r="J149" s="520"/>
      <c r="K149" s="520"/>
      <c r="L149" s="520"/>
      <c r="M149" s="520"/>
      <c r="N149" s="520"/>
      <c r="O149" s="1139"/>
      <c r="P149" s="520"/>
      <c r="Q149" s="520"/>
      <c r="R149" s="520"/>
      <c r="S149" s="1139"/>
      <c r="T149" s="520"/>
      <c r="U149" s="520"/>
      <c r="V149" s="520"/>
      <c r="W149" s="1152"/>
      <c r="X149"/>
      <c r="Y149"/>
      <c r="Z149"/>
      <c r="AA149"/>
      <c r="AB149"/>
    </row>
    <row r="150" spans="1:28">
      <c r="A150" s="1125"/>
      <c r="B150" s="403"/>
      <c r="C150" s="407"/>
      <c r="D150" s="407"/>
      <c r="E150" s="407"/>
      <c r="F150" s="407"/>
      <c r="G150" s="407"/>
      <c r="H150" s="407"/>
      <c r="I150" s="1137"/>
      <c r="J150" s="407"/>
      <c r="K150" s="407"/>
      <c r="L150" s="407"/>
      <c r="M150" s="407"/>
      <c r="N150" s="407"/>
      <c r="O150" s="1137"/>
      <c r="P150" s="407"/>
      <c r="Q150" s="407"/>
      <c r="R150" s="407"/>
      <c r="S150" s="1137"/>
      <c r="T150" s="407"/>
      <c r="U150" s="407"/>
      <c r="V150" s="407"/>
      <c r="W150" s="1128"/>
      <c r="X150"/>
      <c r="Y150"/>
      <c r="Z150"/>
      <c r="AA150"/>
      <c r="AB150"/>
    </row>
    <row r="151" spans="1:28" s="205" customFormat="1">
      <c r="A151" s="1125"/>
      <c r="B151" s="404"/>
      <c r="C151" s="408"/>
      <c r="D151" s="408"/>
      <c r="E151" s="408"/>
      <c r="F151" s="408"/>
      <c r="G151" s="408"/>
      <c r="H151" s="408"/>
      <c r="I151" s="1138"/>
      <c r="J151" s="408"/>
      <c r="K151" s="408"/>
      <c r="L151" s="408"/>
      <c r="M151" s="408"/>
      <c r="N151" s="408"/>
      <c r="O151" s="1138"/>
      <c r="P151" s="408"/>
      <c r="Q151" s="408"/>
      <c r="R151" s="408"/>
      <c r="S151" s="1138"/>
      <c r="T151" s="408"/>
      <c r="U151" s="408"/>
      <c r="V151" s="408"/>
      <c r="W151" s="1129"/>
      <c r="X151"/>
      <c r="Y151"/>
      <c r="Z151"/>
      <c r="AA151"/>
      <c r="AB151"/>
    </row>
    <row r="152" spans="1:28" s="204" customFormat="1">
      <c r="A152" s="1125"/>
      <c r="B152" s="1135"/>
      <c r="C152" s="520"/>
      <c r="D152" s="520"/>
      <c r="E152" s="520"/>
      <c r="F152" s="520"/>
      <c r="G152" s="520"/>
      <c r="H152" s="520"/>
      <c r="I152" s="1139"/>
      <c r="J152" s="520"/>
      <c r="K152" s="520"/>
      <c r="L152" s="520"/>
      <c r="M152" s="520"/>
      <c r="N152" s="520"/>
      <c r="O152" s="1139"/>
      <c r="P152" s="520"/>
      <c r="Q152" s="520"/>
      <c r="R152" s="520"/>
      <c r="S152" s="1139"/>
      <c r="T152" s="520"/>
      <c r="U152" s="520"/>
      <c r="V152" s="520"/>
      <c r="W152" s="1152"/>
      <c r="X152"/>
      <c r="Y152"/>
      <c r="Z152"/>
      <c r="AA152"/>
      <c r="AB152"/>
    </row>
    <row r="153" spans="1:28">
      <c r="A153" s="1125"/>
      <c r="B153" s="403"/>
      <c r="C153" s="407"/>
      <c r="D153" s="407"/>
      <c r="E153" s="407"/>
      <c r="F153" s="407"/>
      <c r="G153" s="407"/>
      <c r="H153" s="407"/>
      <c r="I153" s="1137"/>
      <c r="J153" s="407"/>
      <c r="K153" s="407"/>
      <c r="L153" s="407"/>
      <c r="M153" s="407"/>
      <c r="N153" s="407"/>
      <c r="O153" s="1137"/>
      <c r="P153" s="407"/>
      <c r="Q153" s="407"/>
      <c r="R153" s="407"/>
      <c r="S153" s="1137"/>
      <c r="T153" s="407"/>
      <c r="U153" s="407"/>
      <c r="V153" s="407"/>
      <c r="W153" s="1128"/>
      <c r="X153"/>
      <c r="Y153"/>
      <c r="Z153"/>
      <c r="AA153"/>
      <c r="AB153"/>
    </row>
    <row r="154" spans="1:28" s="205" customFormat="1">
      <c r="A154" s="1125"/>
      <c r="B154" s="404"/>
      <c r="C154" s="408"/>
      <c r="D154" s="408"/>
      <c r="E154" s="408"/>
      <c r="F154" s="408"/>
      <c r="G154" s="408"/>
      <c r="H154" s="408"/>
      <c r="I154" s="1138"/>
      <c r="J154" s="408"/>
      <c r="K154" s="408"/>
      <c r="L154" s="408"/>
      <c r="M154" s="408"/>
      <c r="N154" s="408"/>
      <c r="O154" s="1138"/>
      <c r="P154" s="408"/>
      <c r="Q154" s="408"/>
      <c r="R154" s="408"/>
      <c r="S154" s="1138"/>
      <c r="T154" s="408"/>
      <c r="U154" s="408"/>
      <c r="V154" s="408"/>
      <c r="W154" s="1129"/>
      <c r="X154"/>
      <c r="Y154"/>
      <c r="Z154"/>
      <c r="AA154"/>
      <c r="AB154"/>
    </row>
    <row r="155" spans="1:28" s="204" customFormat="1">
      <c r="A155" s="1125"/>
      <c r="B155" s="1135"/>
      <c r="C155" s="520"/>
      <c r="D155" s="520"/>
      <c r="E155" s="520"/>
      <c r="F155" s="520"/>
      <c r="G155" s="520"/>
      <c r="H155" s="520"/>
      <c r="I155" s="1139"/>
      <c r="J155" s="520"/>
      <c r="K155" s="520"/>
      <c r="L155" s="520"/>
      <c r="M155" s="520"/>
      <c r="N155" s="520"/>
      <c r="O155" s="1139"/>
      <c r="P155" s="520"/>
      <c r="Q155" s="520"/>
      <c r="R155" s="520"/>
      <c r="S155" s="1139"/>
      <c r="T155" s="520"/>
      <c r="U155" s="520"/>
      <c r="V155" s="520"/>
      <c r="W155" s="1152"/>
      <c r="X155"/>
      <c r="Y155"/>
      <c r="Z155"/>
      <c r="AA155"/>
      <c r="AB155"/>
    </row>
    <row r="156" spans="1:28">
      <c r="A156" s="1125"/>
      <c r="B156" s="403"/>
      <c r="C156" s="1149"/>
      <c r="D156" s="407"/>
      <c r="E156" s="407"/>
      <c r="F156" s="407"/>
      <c r="G156" s="407"/>
      <c r="H156" s="407"/>
      <c r="I156" s="1137"/>
      <c r="J156" s="407"/>
      <c r="K156" s="407"/>
      <c r="L156" s="407"/>
      <c r="M156" s="407"/>
      <c r="N156" s="407"/>
      <c r="O156" s="1137"/>
      <c r="P156" s="407"/>
      <c r="Q156" s="407"/>
      <c r="R156" s="407"/>
      <c r="S156" s="1137"/>
      <c r="T156" s="407"/>
      <c r="U156" s="407"/>
      <c r="V156" s="407"/>
      <c r="W156" s="1128"/>
      <c r="X156"/>
      <c r="Y156"/>
      <c r="Z156"/>
      <c r="AA156"/>
      <c r="AB156"/>
    </row>
    <row r="157" spans="1:28" s="205" customFormat="1">
      <c r="A157" s="1125"/>
      <c r="B157" s="404"/>
      <c r="C157" s="1147"/>
      <c r="D157" s="408"/>
      <c r="E157" s="408"/>
      <c r="F157" s="408"/>
      <c r="G157" s="408"/>
      <c r="H157" s="408"/>
      <c r="I157" s="1138"/>
      <c r="J157" s="408"/>
      <c r="K157" s="408"/>
      <c r="L157" s="408"/>
      <c r="M157" s="408"/>
      <c r="N157" s="408"/>
      <c r="O157" s="1138"/>
      <c r="P157" s="408"/>
      <c r="Q157" s="408"/>
      <c r="R157" s="408"/>
      <c r="S157" s="1138"/>
      <c r="T157" s="408"/>
      <c r="U157" s="408"/>
      <c r="V157" s="408"/>
      <c r="W157" s="1129"/>
      <c r="X157"/>
      <c r="Y157"/>
      <c r="Z157"/>
      <c r="AA157"/>
      <c r="AB157"/>
    </row>
    <row r="158" spans="1:28" s="204" customFormat="1">
      <c r="A158" s="1125"/>
      <c r="B158" s="1135"/>
      <c r="C158" s="1148"/>
      <c r="D158" s="520"/>
      <c r="E158" s="520"/>
      <c r="F158" s="520"/>
      <c r="G158" s="520"/>
      <c r="H158" s="520"/>
      <c r="I158" s="1139"/>
      <c r="J158" s="520"/>
      <c r="K158" s="520"/>
      <c r="L158" s="520"/>
      <c r="M158" s="520"/>
      <c r="N158" s="520"/>
      <c r="O158" s="1139"/>
      <c r="P158" s="520"/>
      <c r="Q158" s="520"/>
      <c r="R158" s="520"/>
      <c r="S158" s="1139"/>
      <c r="T158" s="520"/>
      <c r="U158" s="520"/>
      <c r="V158" s="520"/>
      <c r="W158" s="1152"/>
      <c r="X158"/>
      <c r="Y158"/>
      <c r="Z158"/>
      <c r="AA158"/>
      <c r="AB158"/>
    </row>
    <row r="159" spans="1:28">
      <c r="A159" s="1125"/>
      <c r="B159" s="403"/>
      <c r="C159" s="407"/>
      <c r="D159" s="407"/>
      <c r="E159" s="407"/>
      <c r="F159" s="407"/>
      <c r="G159" s="407"/>
      <c r="H159" s="407"/>
      <c r="I159" s="1137"/>
      <c r="J159" s="407"/>
      <c r="K159" s="407"/>
      <c r="L159" s="407"/>
      <c r="M159" s="407"/>
      <c r="N159" s="407"/>
      <c r="O159" s="1137"/>
      <c r="P159" s="407"/>
      <c r="Q159" s="407"/>
      <c r="R159" s="407"/>
      <c r="S159" s="1137"/>
      <c r="T159" s="407"/>
      <c r="U159" s="407"/>
      <c r="V159" s="407"/>
      <c r="W159" s="1128"/>
      <c r="X159"/>
      <c r="Y159"/>
      <c r="Z159"/>
      <c r="AA159"/>
      <c r="AB159"/>
    </row>
    <row r="160" spans="1:28" s="205" customFormat="1">
      <c r="A160" s="1125"/>
      <c r="B160" s="404"/>
      <c r="C160" s="408"/>
      <c r="D160" s="408"/>
      <c r="E160" s="408"/>
      <c r="F160" s="408"/>
      <c r="G160" s="408"/>
      <c r="H160" s="408"/>
      <c r="I160" s="1138"/>
      <c r="J160" s="408"/>
      <c r="K160" s="408"/>
      <c r="L160" s="408"/>
      <c r="M160" s="408"/>
      <c r="N160" s="408"/>
      <c r="O160" s="1138"/>
      <c r="P160" s="408"/>
      <c r="Q160" s="408"/>
      <c r="R160" s="408"/>
      <c r="S160" s="1138"/>
      <c r="T160" s="408"/>
      <c r="U160" s="408"/>
      <c r="V160" s="408"/>
      <c r="W160" s="1129"/>
      <c r="X160"/>
      <c r="Y160"/>
      <c r="Z160"/>
      <c r="AA160"/>
      <c r="AB160"/>
    </row>
    <row r="161" spans="1:28" s="214" customFormat="1">
      <c r="A161" s="1136"/>
      <c r="B161" s="1135"/>
      <c r="C161" s="520"/>
      <c r="D161" s="520"/>
      <c r="E161" s="520"/>
      <c r="F161" s="520"/>
      <c r="G161" s="520"/>
      <c r="H161" s="520"/>
      <c r="I161" s="1139"/>
      <c r="J161" s="520"/>
      <c r="K161" s="520"/>
      <c r="L161" s="520"/>
      <c r="M161" s="520"/>
      <c r="N161" s="520"/>
      <c r="O161" s="1139"/>
      <c r="P161" s="520"/>
      <c r="Q161" s="520"/>
      <c r="R161" s="520"/>
      <c r="S161" s="1139"/>
      <c r="T161" s="520"/>
      <c r="U161" s="520"/>
      <c r="V161" s="520"/>
      <c r="W161" s="1152"/>
      <c r="X161"/>
      <c r="Y161"/>
      <c r="Z161"/>
      <c r="AA161"/>
      <c r="AB161"/>
    </row>
    <row r="162" spans="1:28">
      <c r="A162" s="233"/>
      <c r="B162" s="403"/>
      <c r="C162" s="407"/>
      <c r="D162" s="407"/>
      <c r="E162" s="407"/>
      <c r="F162" s="407"/>
      <c r="G162" s="407"/>
      <c r="H162" s="407"/>
      <c r="I162" s="1137"/>
      <c r="J162" s="407"/>
      <c r="K162" s="407"/>
      <c r="L162" s="407"/>
      <c r="M162" s="407"/>
      <c r="N162" s="407"/>
      <c r="O162" s="1137"/>
      <c r="P162" s="407"/>
      <c r="Q162" s="407"/>
      <c r="R162" s="407"/>
      <c r="S162" s="1137"/>
      <c r="T162" s="407"/>
      <c r="U162" s="407"/>
      <c r="V162" s="407"/>
      <c r="W162" s="1128"/>
      <c r="X162"/>
      <c r="Y162"/>
      <c r="Z162"/>
      <c r="AA162"/>
      <c r="AB162"/>
    </row>
    <row r="163" spans="1:28" s="205" customFormat="1">
      <c r="A163" s="1125"/>
      <c r="B163" s="404"/>
      <c r="C163" s="408"/>
      <c r="D163" s="408"/>
      <c r="E163" s="408"/>
      <c r="F163" s="408"/>
      <c r="G163" s="408"/>
      <c r="H163" s="408"/>
      <c r="I163" s="1138"/>
      <c r="J163" s="408"/>
      <c r="K163" s="408"/>
      <c r="L163" s="408"/>
      <c r="M163" s="408"/>
      <c r="N163" s="408"/>
      <c r="O163" s="1138"/>
      <c r="P163" s="408"/>
      <c r="Q163" s="408"/>
      <c r="R163" s="408"/>
      <c r="S163" s="1138"/>
      <c r="T163" s="408"/>
      <c r="U163" s="408"/>
      <c r="V163" s="408"/>
      <c r="W163" s="1129"/>
      <c r="X163"/>
      <c r="Y163"/>
      <c r="Z163"/>
      <c r="AA163"/>
      <c r="AB163"/>
    </row>
    <row r="164" spans="1:28" s="204" customFormat="1">
      <c r="A164" s="1126"/>
      <c r="B164" s="1135"/>
      <c r="C164" s="520"/>
      <c r="D164" s="520"/>
      <c r="E164" s="520"/>
      <c r="F164" s="520"/>
      <c r="G164" s="520"/>
      <c r="H164" s="520"/>
      <c r="I164" s="1139"/>
      <c r="J164" s="520"/>
      <c r="K164" s="520"/>
      <c r="L164" s="520"/>
      <c r="M164" s="520"/>
      <c r="N164" s="520"/>
      <c r="O164" s="1139"/>
      <c r="P164" s="520"/>
      <c r="Q164" s="520"/>
      <c r="R164" s="520"/>
      <c r="S164" s="1139"/>
      <c r="T164" s="520"/>
      <c r="U164" s="520"/>
      <c r="V164" s="520"/>
      <c r="W164" s="1152"/>
      <c r="X164"/>
      <c r="Y164"/>
      <c r="Z164"/>
      <c r="AA164"/>
      <c r="AB164"/>
    </row>
    <row r="165" spans="1:28">
      <c r="A165" s="1125"/>
      <c r="B165" s="403"/>
      <c r="C165" s="407"/>
      <c r="D165" s="407"/>
      <c r="E165" s="407"/>
      <c r="F165" s="407"/>
      <c r="G165" s="407"/>
      <c r="H165" s="407"/>
      <c r="I165" s="1137"/>
      <c r="J165" s="407"/>
      <c r="K165" s="407"/>
      <c r="L165" s="407"/>
      <c r="M165" s="407"/>
      <c r="N165" s="407"/>
      <c r="O165" s="1137"/>
      <c r="P165" s="407"/>
      <c r="Q165" s="407"/>
      <c r="R165" s="407"/>
      <c r="S165" s="1137"/>
      <c r="T165" s="407"/>
      <c r="U165" s="407"/>
      <c r="V165" s="407"/>
      <c r="W165" s="1128"/>
      <c r="X165"/>
      <c r="Y165"/>
      <c r="Z165"/>
      <c r="AA165"/>
      <c r="AB165"/>
    </row>
    <row r="166" spans="1:28" s="205" customFormat="1">
      <c r="A166" s="1125"/>
      <c r="B166" s="404"/>
      <c r="C166" s="408"/>
      <c r="D166" s="408"/>
      <c r="E166" s="408"/>
      <c r="F166" s="408"/>
      <c r="G166" s="408"/>
      <c r="H166" s="408"/>
      <c r="I166" s="1138"/>
      <c r="J166" s="408"/>
      <c r="K166" s="408"/>
      <c r="L166" s="408"/>
      <c r="M166" s="408"/>
      <c r="N166" s="408"/>
      <c r="O166" s="1138"/>
      <c r="P166" s="408"/>
      <c r="Q166" s="408"/>
      <c r="R166" s="408"/>
      <c r="S166" s="1138"/>
      <c r="T166" s="408"/>
      <c r="U166" s="408"/>
      <c r="V166" s="408"/>
      <c r="W166" s="1129"/>
      <c r="X166"/>
      <c r="Y166"/>
      <c r="Z166"/>
      <c r="AA166"/>
      <c r="AB166"/>
    </row>
    <row r="167" spans="1:28" s="204" customFormat="1">
      <c r="A167" s="1125"/>
      <c r="B167" s="1135"/>
      <c r="C167" s="520"/>
      <c r="D167" s="520"/>
      <c r="E167" s="520"/>
      <c r="F167" s="520"/>
      <c r="G167" s="520"/>
      <c r="H167" s="520"/>
      <c r="I167" s="1139"/>
      <c r="J167" s="520"/>
      <c r="K167" s="520"/>
      <c r="L167" s="520"/>
      <c r="M167" s="520"/>
      <c r="N167" s="520"/>
      <c r="O167" s="1139"/>
      <c r="P167" s="520"/>
      <c r="Q167" s="520"/>
      <c r="R167" s="520"/>
      <c r="S167" s="1139"/>
      <c r="T167" s="520"/>
      <c r="U167" s="520"/>
      <c r="V167" s="520"/>
      <c r="W167" s="1152"/>
      <c r="X167"/>
      <c r="Y167"/>
      <c r="Z167"/>
      <c r="AA167"/>
      <c r="AB167"/>
    </row>
    <row r="168" spans="1:28">
      <c r="A168" s="1125"/>
      <c r="B168" s="403"/>
      <c r="C168" s="407"/>
      <c r="D168" s="407"/>
      <c r="E168" s="407"/>
      <c r="F168" s="407"/>
      <c r="G168" s="407"/>
      <c r="H168" s="407"/>
      <c r="I168" s="1137"/>
      <c r="J168" s="407"/>
      <c r="K168" s="407"/>
      <c r="L168" s="407"/>
      <c r="M168" s="407"/>
      <c r="N168" s="407"/>
      <c r="O168" s="1137"/>
      <c r="P168" s="407"/>
      <c r="Q168" s="407"/>
      <c r="R168" s="407"/>
      <c r="S168" s="1137"/>
      <c r="T168" s="407"/>
      <c r="U168" s="407"/>
      <c r="V168" s="407"/>
      <c r="W168" s="1128"/>
      <c r="X168"/>
      <c r="Y168"/>
      <c r="Z168"/>
      <c r="AA168"/>
      <c r="AB168"/>
    </row>
    <row r="169" spans="1:28" s="205" customFormat="1">
      <c r="A169" s="1125"/>
      <c r="B169" s="404"/>
      <c r="C169" s="408"/>
      <c r="D169" s="408"/>
      <c r="E169" s="408"/>
      <c r="F169" s="408"/>
      <c r="G169" s="408"/>
      <c r="H169" s="408"/>
      <c r="I169" s="1138"/>
      <c r="J169" s="408"/>
      <c r="K169" s="408"/>
      <c r="L169" s="408"/>
      <c r="M169" s="408"/>
      <c r="N169" s="408"/>
      <c r="O169" s="1138"/>
      <c r="P169" s="408"/>
      <c r="Q169" s="408"/>
      <c r="R169" s="408"/>
      <c r="S169" s="1138"/>
      <c r="T169" s="408"/>
      <c r="U169" s="408"/>
      <c r="V169" s="408"/>
      <c r="W169" s="1129"/>
      <c r="X169"/>
      <c r="Y169"/>
      <c r="Z169"/>
      <c r="AA169"/>
      <c r="AB169"/>
    </row>
    <row r="170" spans="1:28" s="204" customFormat="1">
      <c r="A170" s="1125"/>
      <c r="B170" s="1135"/>
      <c r="C170" s="520"/>
      <c r="D170" s="520"/>
      <c r="E170" s="520"/>
      <c r="F170" s="520"/>
      <c r="G170" s="520"/>
      <c r="H170" s="520"/>
      <c r="I170" s="1139"/>
      <c r="J170" s="520"/>
      <c r="K170" s="520"/>
      <c r="L170" s="520"/>
      <c r="M170" s="520"/>
      <c r="N170" s="520"/>
      <c r="O170" s="1139"/>
      <c r="P170" s="520"/>
      <c r="Q170" s="520"/>
      <c r="R170" s="520"/>
      <c r="S170" s="1139"/>
      <c r="T170" s="520"/>
      <c r="U170" s="520"/>
      <c r="V170" s="520"/>
      <c r="W170" s="1152"/>
      <c r="X170"/>
      <c r="Y170"/>
      <c r="Z170"/>
      <c r="AA170"/>
      <c r="AB170"/>
    </row>
    <row r="171" spans="1:28">
      <c r="A171" s="1125"/>
      <c r="B171" s="403"/>
      <c r="C171" s="407"/>
      <c r="D171" s="407"/>
      <c r="E171" s="407"/>
      <c r="F171" s="407"/>
      <c r="G171" s="407"/>
      <c r="H171" s="407"/>
      <c r="I171" s="1137"/>
      <c r="J171" s="407"/>
      <c r="K171" s="407"/>
      <c r="L171" s="407"/>
      <c r="M171" s="407"/>
      <c r="N171" s="407"/>
      <c r="O171" s="1137"/>
      <c r="P171" s="407"/>
      <c r="Q171" s="407"/>
      <c r="R171" s="407"/>
      <c r="S171" s="1137"/>
      <c r="T171" s="407"/>
      <c r="U171" s="407"/>
      <c r="V171" s="407"/>
      <c r="W171" s="1128"/>
      <c r="X171"/>
      <c r="Y171"/>
      <c r="Z171"/>
      <c r="AA171"/>
      <c r="AB171"/>
    </row>
    <row r="172" spans="1:28" s="205" customFormat="1">
      <c r="A172" s="1125"/>
      <c r="B172" s="404"/>
      <c r="C172" s="408"/>
      <c r="D172" s="408"/>
      <c r="E172" s="408"/>
      <c r="F172" s="408"/>
      <c r="G172" s="408"/>
      <c r="H172" s="408"/>
      <c r="I172" s="1138"/>
      <c r="J172" s="408"/>
      <c r="K172" s="408"/>
      <c r="L172" s="408"/>
      <c r="M172" s="408"/>
      <c r="N172" s="408"/>
      <c r="O172" s="1138"/>
      <c r="P172" s="408"/>
      <c r="Q172" s="408"/>
      <c r="R172" s="408"/>
      <c r="S172" s="1138"/>
      <c r="T172" s="408"/>
      <c r="U172" s="408"/>
      <c r="V172" s="408"/>
      <c r="W172" s="1129"/>
      <c r="X172"/>
      <c r="Y172"/>
      <c r="Z172"/>
      <c r="AA172"/>
      <c r="AB172"/>
    </row>
    <row r="173" spans="1:28" s="204" customFormat="1">
      <c r="A173" s="1125"/>
      <c r="B173" s="1135"/>
      <c r="C173" s="520"/>
      <c r="D173" s="520"/>
      <c r="E173" s="520"/>
      <c r="F173" s="520"/>
      <c r="G173" s="520"/>
      <c r="H173" s="520"/>
      <c r="I173" s="1139"/>
      <c r="J173" s="520"/>
      <c r="K173" s="520"/>
      <c r="L173" s="520"/>
      <c r="M173" s="520"/>
      <c r="N173" s="520"/>
      <c r="O173" s="1139"/>
      <c r="P173" s="520"/>
      <c r="Q173" s="520"/>
      <c r="R173" s="520"/>
      <c r="S173" s="1139"/>
      <c r="T173" s="520"/>
      <c r="U173" s="520"/>
      <c r="V173" s="520"/>
      <c r="W173" s="1152"/>
      <c r="X173"/>
      <c r="Y173"/>
      <c r="Z173"/>
      <c r="AA173"/>
      <c r="AB173"/>
    </row>
    <row r="174" spans="1:28">
      <c r="A174" s="1125"/>
      <c r="B174" s="403"/>
      <c r="C174" s="407"/>
      <c r="D174" s="407"/>
      <c r="E174" s="407"/>
      <c r="F174" s="407"/>
      <c r="G174" s="407"/>
      <c r="H174" s="407"/>
      <c r="I174" s="1137"/>
      <c r="J174" s="407"/>
      <c r="K174" s="407"/>
      <c r="L174" s="407"/>
      <c r="M174" s="407"/>
      <c r="N174" s="407"/>
      <c r="O174" s="1137"/>
      <c r="P174" s="407"/>
      <c r="Q174" s="407"/>
      <c r="R174" s="407"/>
      <c r="S174" s="1137"/>
      <c r="T174" s="407"/>
      <c r="U174" s="407"/>
      <c r="V174" s="407"/>
      <c r="W174" s="1128"/>
      <c r="X174"/>
      <c r="Y174"/>
      <c r="Z174"/>
      <c r="AA174"/>
      <c r="AB174"/>
    </row>
    <row r="175" spans="1:28" s="205" customFormat="1">
      <c r="A175" s="1125"/>
      <c r="B175" s="404"/>
      <c r="C175" s="408"/>
      <c r="D175" s="408"/>
      <c r="E175" s="408"/>
      <c r="F175" s="408"/>
      <c r="G175" s="408"/>
      <c r="H175" s="408"/>
      <c r="I175" s="1138"/>
      <c r="J175" s="408"/>
      <c r="K175" s="408"/>
      <c r="L175" s="408"/>
      <c r="M175" s="408"/>
      <c r="N175" s="408"/>
      <c r="O175" s="1138"/>
      <c r="P175" s="408"/>
      <c r="Q175" s="408"/>
      <c r="R175" s="408"/>
      <c r="S175" s="1138"/>
      <c r="T175" s="408"/>
      <c r="U175" s="408"/>
      <c r="V175" s="408"/>
      <c r="W175" s="1129"/>
      <c r="X175"/>
      <c r="Y175"/>
      <c r="Z175"/>
      <c r="AA175"/>
      <c r="AB175"/>
    </row>
    <row r="176" spans="1:28" s="204" customFormat="1">
      <c r="A176" s="1125"/>
      <c r="B176" s="1135"/>
      <c r="C176" s="520"/>
      <c r="D176" s="520"/>
      <c r="E176" s="520"/>
      <c r="F176" s="520"/>
      <c r="G176" s="520"/>
      <c r="H176" s="520"/>
      <c r="I176" s="1139"/>
      <c r="J176" s="520"/>
      <c r="K176" s="520"/>
      <c r="L176" s="520"/>
      <c r="M176" s="520"/>
      <c r="N176" s="520"/>
      <c r="O176" s="1139"/>
      <c r="P176" s="520"/>
      <c r="Q176" s="520"/>
      <c r="R176" s="520"/>
      <c r="S176" s="1139"/>
      <c r="T176" s="520"/>
      <c r="U176" s="520"/>
      <c r="V176" s="520"/>
      <c r="W176" s="1152"/>
      <c r="X176"/>
      <c r="Y176"/>
      <c r="Z176"/>
      <c r="AA176"/>
      <c r="AB176"/>
    </row>
    <row r="177" spans="1:28">
      <c r="A177" s="1125"/>
      <c r="B177" s="403"/>
      <c r="C177" s="407"/>
      <c r="D177" s="407"/>
      <c r="E177" s="407"/>
      <c r="F177" s="407"/>
      <c r="G177" s="407"/>
      <c r="H177" s="407"/>
      <c r="I177" s="1137"/>
      <c r="J177" s="407"/>
      <c r="K177" s="407"/>
      <c r="L177" s="407"/>
      <c r="M177" s="407"/>
      <c r="N177" s="407"/>
      <c r="O177" s="1137"/>
      <c r="P177" s="407"/>
      <c r="Q177" s="407"/>
      <c r="R177" s="407"/>
      <c r="S177" s="1137"/>
      <c r="T177" s="407"/>
      <c r="U177" s="407"/>
      <c r="V177" s="407"/>
      <c r="W177" s="1128"/>
      <c r="X177"/>
      <c r="Y177"/>
      <c r="Z177"/>
      <c r="AA177"/>
      <c r="AB177"/>
    </row>
    <row r="178" spans="1:28" s="205" customFormat="1">
      <c r="A178" s="1125"/>
      <c r="B178" s="404"/>
      <c r="C178" s="408"/>
      <c r="D178" s="408"/>
      <c r="E178" s="408"/>
      <c r="F178" s="408"/>
      <c r="G178" s="408"/>
      <c r="H178" s="408"/>
      <c r="I178" s="1138"/>
      <c r="J178" s="408"/>
      <c r="K178" s="408"/>
      <c r="L178" s="408"/>
      <c r="M178" s="408"/>
      <c r="N178" s="408"/>
      <c r="O178" s="1138"/>
      <c r="P178" s="408"/>
      <c r="Q178" s="408"/>
      <c r="R178" s="408"/>
      <c r="S178" s="1138"/>
      <c r="T178" s="408"/>
      <c r="U178" s="408"/>
      <c r="V178" s="408"/>
      <c r="W178" s="1129"/>
      <c r="X178"/>
      <c r="Y178"/>
      <c r="Z178"/>
      <c r="AA178"/>
      <c r="AB178"/>
    </row>
    <row r="179" spans="1:28" s="204" customFormat="1">
      <c r="A179" s="1125"/>
      <c r="B179" s="1135"/>
      <c r="C179" s="520"/>
      <c r="D179" s="520"/>
      <c r="E179" s="520"/>
      <c r="F179" s="520"/>
      <c r="G179" s="520"/>
      <c r="H179" s="520"/>
      <c r="I179" s="1139"/>
      <c r="J179" s="520"/>
      <c r="K179" s="520"/>
      <c r="L179" s="520"/>
      <c r="M179" s="520"/>
      <c r="N179" s="520"/>
      <c r="O179" s="1139"/>
      <c r="P179" s="520"/>
      <c r="Q179" s="520"/>
      <c r="R179" s="520"/>
      <c r="S179" s="1139"/>
      <c r="T179" s="520"/>
      <c r="U179" s="520"/>
      <c r="V179" s="520"/>
      <c r="W179" s="1152"/>
      <c r="X179"/>
      <c r="Y179"/>
      <c r="Z179"/>
      <c r="AA179"/>
      <c r="AB179"/>
    </row>
    <row r="180" spans="1:28">
      <c r="A180" s="1125"/>
      <c r="B180" s="403"/>
      <c r="C180" s="407"/>
      <c r="D180" s="407"/>
      <c r="E180" s="407"/>
      <c r="F180" s="407"/>
      <c r="G180" s="407"/>
      <c r="H180" s="407"/>
      <c r="I180" s="1137"/>
      <c r="J180" s="407"/>
      <c r="K180" s="407"/>
      <c r="L180" s="407"/>
      <c r="M180" s="407"/>
      <c r="N180" s="407"/>
      <c r="O180" s="1137"/>
      <c r="P180" s="407"/>
      <c r="Q180" s="407"/>
      <c r="R180" s="407"/>
      <c r="S180" s="1137"/>
      <c r="T180" s="407"/>
      <c r="U180" s="407"/>
      <c r="V180" s="407"/>
      <c r="W180" s="1128"/>
      <c r="X180"/>
      <c r="Y180"/>
      <c r="Z180"/>
      <c r="AA180"/>
      <c r="AB180"/>
    </row>
    <row r="181" spans="1:28" s="205" customFormat="1">
      <c r="A181" s="1125"/>
      <c r="B181" s="404"/>
      <c r="C181" s="408"/>
      <c r="D181" s="408"/>
      <c r="E181" s="408"/>
      <c r="F181" s="408"/>
      <c r="G181" s="408"/>
      <c r="H181" s="408"/>
      <c r="I181" s="1138"/>
      <c r="J181" s="408"/>
      <c r="K181" s="408"/>
      <c r="L181" s="408"/>
      <c r="M181" s="408"/>
      <c r="N181" s="408"/>
      <c r="O181" s="1138"/>
      <c r="P181" s="408"/>
      <c r="Q181" s="408"/>
      <c r="R181" s="408"/>
      <c r="S181" s="1138"/>
      <c r="T181" s="408"/>
      <c r="U181" s="408"/>
      <c r="V181" s="408"/>
      <c r="W181" s="1129"/>
      <c r="X181"/>
      <c r="Y181"/>
      <c r="Z181"/>
      <c r="AA181"/>
      <c r="AB181"/>
    </row>
    <row r="182" spans="1:28" s="204" customFormat="1">
      <c r="A182" s="1125"/>
      <c r="B182" s="1135"/>
      <c r="C182" s="520"/>
      <c r="D182" s="520"/>
      <c r="E182" s="520"/>
      <c r="F182" s="520"/>
      <c r="G182" s="520"/>
      <c r="H182" s="520"/>
      <c r="I182" s="1139"/>
      <c r="J182" s="520"/>
      <c r="K182" s="520"/>
      <c r="L182" s="520"/>
      <c r="M182" s="520"/>
      <c r="N182" s="520"/>
      <c r="O182" s="1139"/>
      <c r="P182" s="520"/>
      <c r="Q182" s="520"/>
      <c r="R182" s="520"/>
      <c r="S182" s="1139"/>
      <c r="T182" s="520"/>
      <c r="U182" s="520"/>
      <c r="V182" s="520"/>
      <c r="W182" s="1152"/>
      <c r="X182"/>
      <c r="Y182"/>
      <c r="Z182"/>
      <c r="AA182"/>
      <c r="AB182"/>
    </row>
    <row r="183" spans="1:28">
      <c r="A183" s="1125"/>
      <c r="B183" s="403"/>
      <c r="C183" s="407"/>
      <c r="D183" s="407"/>
      <c r="E183" s="407"/>
      <c r="F183" s="407"/>
      <c r="G183" s="407"/>
      <c r="H183" s="407"/>
      <c r="I183" s="1137"/>
      <c r="J183" s="407"/>
      <c r="K183" s="407"/>
      <c r="L183" s="407"/>
      <c r="M183" s="407"/>
      <c r="N183" s="407"/>
      <c r="O183" s="1137"/>
      <c r="P183" s="407"/>
      <c r="Q183" s="407"/>
      <c r="R183" s="407"/>
      <c r="S183" s="1137"/>
      <c r="T183" s="407"/>
      <c r="U183" s="407"/>
      <c r="V183" s="407"/>
      <c r="W183" s="1128"/>
      <c r="X183"/>
      <c r="Y183"/>
      <c r="Z183"/>
      <c r="AA183"/>
      <c r="AB183"/>
    </row>
    <row r="184" spans="1:28" s="205" customFormat="1">
      <c r="A184" s="1125"/>
      <c r="B184" s="404"/>
      <c r="C184" s="408"/>
      <c r="D184" s="408"/>
      <c r="E184" s="408"/>
      <c r="F184" s="408"/>
      <c r="G184" s="408"/>
      <c r="H184" s="408"/>
      <c r="I184" s="1138"/>
      <c r="J184" s="408"/>
      <c r="K184" s="408"/>
      <c r="L184" s="408"/>
      <c r="M184" s="408"/>
      <c r="N184" s="408"/>
      <c r="O184" s="1138"/>
      <c r="P184" s="408"/>
      <c r="Q184" s="408"/>
      <c r="R184" s="408"/>
      <c r="S184" s="1138"/>
      <c r="T184" s="408"/>
      <c r="U184" s="408"/>
      <c r="V184" s="408"/>
      <c r="W184" s="1129"/>
      <c r="X184"/>
      <c r="Y184"/>
      <c r="Z184"/>
      <c r="AA184"/>
      <c r="AB184"/>
    </row>
    <row r="185" spans="1:28" s="204" customFormat="1">
      <c r="A185" s="1125"/>
      <c r="B185" s="1135"/>
      <c r="C185" s="520"/>
      <c r="D185" s="520"/>
      <c r="E185" s="520"/>
      <c r="F185" s="520"/>
      <c r="G185" s="520"/>
      <c r="H185" s="520"/>
      <c r="I185" s="1139"/>
      <c r="J185" s="520"/>
      <c r="K185" s="520"/>
      <c r="L185" s="520"/>
      <c r="M185" s="520"/>
      <c r="N185" s="520"/>
      <c r="O185" s="1139"/>
      <c r="P185" s="520"/>
      <c r="Q185" s="520"/>
      <c r="R185" s="520"/>
      <c r="S185" s="1139"/>
      <c r="T185" s="520"/>
      <c r="U185" s="520"/>
      <c r="V185" s="520"/>
      <c r="W185" s="1152"/>
      <c r="X185"/>
      <c r="Y185"/>
      <c r="Z185"/>
      <c r="AA185"/>
      <c r="AB185"/>
    </row>
    <row r="186" spans="1:28">
      <c r="A186" s="1125"/>
      <c r="B186" s="403"/>
      <c r="C186" s="407"/>
      <c r="D186" s="407"/>
      <c r="E186" s="407"/>
      <c r="F186" s="407"/>
      <c r="G186" s="407"/>
      <c r="H186" s="407"/>
      <c r="I186" s="1137"/>
      <c r="J186" s="407"/>
      <c r="K186" s="407"/>
      <c r="L186" s="407"/>
      <c r="M186" s="407"/>
      <c r="N186" s="407"/>
      <c r="O186" s="1137"/>
      <c r="P186" s="407"/>
      <c r="Q186" s="407"/>
      <c r="R186" s="407"/>
      <c r="S186" s="1137"/>
      <c r="T186" s="407"/>
      <c r="U186" s="407"/>
      <c r="V186" s="407"/>
      <c r="W186" s="1128"/>
      <c r="X186"/>
      <c r="Y186"/>
      <c r="Z186"/>
      <c r="AA186"/>
      <c r="AB186"/>
    </row>
    <row r="187" spans="1:28" s="205" customFormat="1">
      <c r="A187" s="1125"/>
      <c r="B187" s="404"/>
      <c r="C187" s="408"/>
      <c r="D187" s="408"/>
      <c r="E187" s="408"/>
      <c r="F187" s="408"/>
      <c r="G187" s="408"/>
      <c r="H187" s="408"/>
      <c r="I187" s="1138"/>
      <c r="J187" s="408"/>
      <c r="K187" s="408"/>
      <c r="L187" s="408"/>
      <c r="M187" s="408"/>
      <c r="N187" s="408"/>
      <c r="O187" s="1138"/>
      <c r="P187" s="408"/>
      <c r="Q187" s="408"/>
      <c r="R187" s="408"/>
      <c r="S187" s="1138"/>
      <c r="T187" s="408"/>
      <c r="U187" s="408"/>
      <c r="V187" s="408"/>
      <c r="W187" s="1129"/>
      <c r="X187"/>
      <c r="Y187"/>
      <c r="Z187"/>
      <c r="AA187"/>
      <c r="AB187"/>
    </row>
    <row r="188" spans="1:28" s="204" customFormat="1">
      <c r="A188" s="1125"/>
      <c r="B188" s="1135"/>
      <c r="C188" s="520"/>
      <c r="D188" s="520"/>
      <c r="E188" s="520"/>
      <c r="F188" s="520"/>
      <c r="G188" s="520"/>
      <c r="H188" s="520"/>
      <c r="I188" s="1139"/>
      <c r="J188" s="520"/>
      <c r="K188" s="520"/>
      <c r="L188" s="520"/>
      <c r="M188" s="520"/>
      <c r="N188" s="520"/>
      <c r="O188" s="1139"/>
      <c r="P188" s="520"/>
      <c r="Q188" s="520"/>
      <c r="R188" s="520"/>
      <c r="S188" s="1139"/>
      <c r="T188" s="520"/>
      <c r="U188" s="520"/>
      <c r="V188" s="520"/>
      <c r="W188" s="1152"/>
      <c r="X188"/>
      <c r="Y188"/>
      <c r="Z188"/>
      <c r="AA188"/>
      <c r="AB188"/>
    </row>
    <row r="189" spans="1:28">
      <c r="A189" s="1125"/>
      <c r="B189" s="403"/>
      <c r="C189" s="407"/>
      <c r="D189" s="407"/>
      <c r="E189" s="407"/>
      <c r="F189" s="407"/>
      <c r="G189" s="407"/>
      <c r="H189" s="407"/>
      <c r="I189" s="1137"/>
      <c r="J189" s="407"/>
      <c r="K189" s="407"/>
      <c r="L189" s="407"/>
      <c r="M189" s="407"/>
      <c r="N189" s="407"/>
      <c r="O189" s="1137"/>
      <c r="P189" s="407"/>
      <c r="Q189" s="407"/>
      <c r="R189" s="407"/>
      <c r="S189" s="1137"/>
      <c r="T189" s="407"/>
      <c r="U189" s="407"/>
      <c r="V189" s="407"/>
      <c r="W189" s="1128"/>
      <c r="X189"/>
      <c r="Y189"/>
      <c r="Z189"/>
      <c r="AA189"/>
      <c r="AB189"/>
    </row>
    <row r="190" spans="1:28" s="205" customFormat="1">
      <c r="A190" s="1125"/>
      <c r="B190" s="404"/>
      <c r="C190" s="408"/>
      <c r="D190" s="408"/>
      <c r="E190" s="408"/>
      <c r="F190" s="408"/>
      <c r="G190" s="408"/>
      <c r="H190" s="408"/>
      <c r="I190" s="1138"/>
      <c r="J190" s="408"/>
      <c r="K190" s="408"/>
      <c r="L190" s="408"/>
      <c r="M190" s="408"/>
      <c r="N190" s="408"/>
      <c r="O190" s="1138"/>
      <c r="P190" s="408"/>
      <c r="Q190" s="408"/>
      <c r="R190" s="408"/>
      <c r="S190" s="1138"/>
      <c r="T190" s="408"/>
      <c r="U190" s="408"/>
      <c r="V190" s="408"/>
      <c r="W190" s="1129"/>
      <c r="X190"/>
      <c r="Y190"/>
      <c r="Z190"/>
      <c r="AA190"/>
      <c r="AB190"/>
    </row>
    <row r="191" spans="1:28" s="204" customFormat="1">
      <c r="A191" s="1125"/>
      <c r="B191" s="1135"/>
      <c r="C191" s="520"/>
      <c r="D191" s="520"/>
      <c r="E191" s="520"/>
      <c r="F191" s="520"/>
      <c r="G191" s="520"/>
      <c r="H191" s="520"/>
      <c r="I191" s="1139"/>
      <c r="J191" s="520"/>
      <c r="K191" s="520"/>
      <c r="L191" s="520"/>
      <c r="M191" s="520"/>
      <c r="N191" s="520"/>
      <c r="O191" s="1139"/>
      <c r="P191" s="520"/>
      <c r="Q191" s="520"/>
      <c r="R191" s="520"/>
      <c r="S191" s="1139"/>
      <c r="T191" s="520"/>
      <c r="U191" s="520"/>
      <c r="V191" s="520"/>
      <c r="W191" s="1152"/>
      <c r="X191"/>
      <c r="Y191"/>
      <c r="Z191"/>
      <c r="AA191"/>
      <c r="AB191"/>
    </row>
    <row r="192" spans="1:28">
      <c r="A192" s="1125"/>
      <c r="B192" s="403"/>
      <c r="C192" s="407"/>
      <c r="D192" s="407"/>
      <c r="E192" s="407"/>
      <c r="F192" s="407"/>
      <c r="G192" s="407"/>
      <c r="H192" s="407"/>
      <c r="I192" s="1137"/>
      <c r="J192" s="407"/>
      <c r="K192" s="407"/>
      <c r="L192" s="407"/>
      <c r="M192" s="407"/>
      <c r="N192" s="407"/>
      <c r="O192" s="1137"/>
      <c r="P192" s="407"/>
      <c r="Q192" s="407"/>
      <c r="R192" s="407"/>
      <c r="S192" s="1137"/>
      <c r="T192" s="407"/>
      <c r="U192" s="407"/>
      <c r="V192" s="407"/>
      <c r="W192" s="1128"/>
      <c r="X192"/>
      <c r="Y192"/>
      <c r="Z192"/>
      <c r="AA192"/>
      <c r="AB192"/>
    </row>
    <row r="193" spans="1:28" s="205" customFormat="1">
      <c r="A193" s="1125"/>
      <c r="B193" s="404"/>
      <c r="C193" s="408"/>
      <c r="D193" s="408"/>
      <c r="E193" s="408"/>
      <c r="F193" s="408"/>
      <c r="G193" s="408"/>
      <c r="H193" s="408"/>
      <c r="I193" s="1138"/>
      <c r="J193" s="408"/>
      <c r="K193" s="408"/>
      <c r="L193" s="408"/>
      <c r="M193" s="408"/>
      <c r="N193" s="408"/>
      <c r="O193" s="1138"/>
      <c r="P193" s="408"/>
      <c r="Q193" s="408"/>
      <c r="R193" s="408"/>
      <c r="S193" s="1138"/>
      <c r="T193" s="408"/>
      <c r="U193" s="408"/>
      <c r="V193" s="408"/>
      <c r="W193" s="1129"/>
      <c r="X193"/>
      <c r="Y193"/>
      <c r="Z193"/>
      <c r="AA193"/>
      <c r="AB193"/>
    </row>
    <row r="194" spans="1:28" s="204" customFormat="1">
      <c r="A194" s="1125"/>
      <c r="B194" s="1135"/>
      <c r="C194" s="520"/>
      <c r="D194" s="520"/>
      <c r="E194" s="520"/>
      <c r="F194" s="520"/>
      <c r="G194" s="520"/>
      <c r="H194" s="520"/>
      <c r="I194" s="1139"/>
      <c r="J194" s="520"/>
      <c r="K194" s="520"/>
      <c r="L194" s="520"/>
      <c r="M194" s="520"/>
      <c r="N194" s="520"/>
      <c r="O194" s="1139"/>
      <c r="P194" s="520"/>
      <c r="Q194" s="520"/>
      <c r="R194" s="520"/>
      <c r="S194" s="1139"/>
      <c r="T194" s="520"/>
      <c r="U194" s="520"/>
      <c r="V194" s="520"/>
      <c r="W194" s="1152"/>
      <c r="X194"/>
      <c r="Y194"/>
      <c r="Z194"/>
      <c r="AA194"/>
      <c r="AB194"/>
    </row>
    <row r="195" spans="1:28">
      <c r="A195" s="1125"/>
      <c r="B195" s="403"/>
      <c r="C195" s="407"/>
      <c r="D195" s="407"/>
      <c r="E195" s="407"/>
      <c r="F195" s="407"/>
      <c r="G195" s="407"/>
      <c r="H195" s="407"/>
      <c r="I195" s="1137"/>
      <c r="J195" s="407"/>
      <c r="K195" s="407"/>
      <c r="L195" s="407"/>
      <c r="M195" s="407"/>
      <c r="N195" s="407"/>
      <c r="O195" s="1137"/>
      <c r="P195" s="407"/>
      <c r="Q195" s="407"/>
      <c r="R195" s="407"/>
      <c r="S195" s="1137"/>
      <c r="T195" s="407"/>
      <c r="U195" s="407"/>
      <c r="V195" s="407"/>
      <c r="W195" s="1128"/>
      <c r="X195"/>
      <c r="Y195"/>
      <c r="Z195"/>
      <c r="AA195"/>
      <c r="AB195"/>
    </row>
    <row r="196" spans="1:28" s="205" customFormat="1">
      <c r="A196" s="1125"/>
      <c r="B196" s="404"/>
      <c r="C196" s="408"/>
      <c r="D196" s="408"/>
      <c r="E196" s="408"/>
      <c r="F196" s="408"/>
      <c r="G196" s="408"/>
      <c r="H196" s="408"/>
      <c r="I196" s="1138"/>
      <c r="J196" s="408"/>
      <c r="K196" s="408"/>
      <c r="L196" s="408"/>
      <c r="M196" s="408"/>
      <c r="N196" s="408"/>
      <c r="O196" s="1138"/>
      <c r="P196" s="408"/>
      <c r="Q196" s="408"/>
      <c r="R196" s="408"/>
      <c r="S196" s="1138"/>
      <c r="T196" s="408"/>
      <c r="U196" s="408"/>
      <c r="V196" s="408"/>
      <c r="W196" s="1129"/>
      <c r="X196"/>
      <c r="Y196"/>
      <c r="Z196"/>
      <c r="AA196"/>
      <c r="AB196"/>
    </row>
    <row r="197" spans="1:28" s="204" customFormat="1">
      <c r="A197" s="1125"/>
      <c r="B197" s="1135"/>
      <c r="C197" s="520"/>
      <c r="D197" s="520"/>
      <c r="E197" s="520"/>
      <c r="F197" s="520"/>
      <c r="G197" s="520"/>
      <c r="H197" s="520"/>
      <c r="I197" s="1139"/>
      <c r="J197" s="520"/>
      <c r="K197" s="520"/>
      <c r="L197" s="520"/>
      <c r="M197" s="520"/>
      <c r="N197" s="520"/>
      <c r="O197" s="1139"/>
      <c r="P197" s="520"/>
      <c r="Q197" s="520"/>
      <c r="R197" s="520"/>
      <c r="S197" s="1139"/>
      <c r="T197" s="520"/>
      <c r="U197" s="520"/>
      <c r="V197" s="520"/>
      <c r="W197" s="1152"/>
      <c r="X197"/>
      <c r="Y197"/>
      <c r="Z197"/>
      <c r="AA197"/>
      <c r="AB197"/>
    </row>
    <row r="198" spans="1:28">
      <c r="A198" s="1125"/>
      <c r="B198" s="403"/>
      <c r="C198" s="407"/>
      <c r="D198" s="407"/>
      <c r="E198" s="407"/>
      <c r="F198" s="407"/>
      <c r="G198" s="407"/>
      <c r="H198" s="407"/>
      <c r="I198" s="1137"/>
      <c r="J198" s="407"/>
      <c r="K198" s="407"/>
      <c r="L198" s="407"/>
      <c r="M198" s="407"/>
      <c r="N198" s="407"/>
      <c r="O198" s="1137"/>
      <c r="P198" s="407"/>
      <c r="Q198" s="407"/>
      <c r="R198" s="407"/>
      <c r="S198" s="1137"/>
      <c r="T198" s="407"/>
      <c r="U198" s="407"/>
      <c r="V198" s="407"/>
      <c r="W198" s="1128"/>
      <c r="X198"/>
      <c r="Y198"/>
      <c r="Z198"/>
      <c r="AA198"/>
      <c r="AB198"/>
    </row>
    <row r="199" spans="1:28" s="205" customFormat="1">
      <c r="A199" s="1125"/>
      <c r="B199" s="404"/>
      <c r="C199" s="408"/>
      <c r="D199" s="408"/>
      <c r="E199" s="408"/>
      <c r="F199" s="408"/>
      <c r="G199" s="408"/>
      <c r="H199" s="408"/>
      <c r="I199" s="1138"/>
      <c r="J199" s="408"/>
      <c r="K199" s="408"/>
      <c r="L199" s="408"/>
      <c r="M199" s="408"/>
      <c r="N199" s="408"/>
      <c r="O199" s="1138"/>
      <c r="P199" s="408"/>
      <c r="Q199" s="408"/>
      <c r="R199" s="408"/>
      <c r="S199" s="1138"/>
      <c r="T199" s="408"/>
      <c r="U199" s="408"/>
      <c r="V199" s="408"/>
      <c r="W199" s="1129"/>
      <c r="X199"/>
      <c r="Y199"/>
      <c r="Z199"/>
      <c r="AA199"/>
      <c r="AB199"/>
    </row>
    <row r="200" spans="1:28" s="214" customFormat="1">
      <c r="A200" s="1136"/>
      <c r="B200" s="1135"/>
      <c r="C200" s="520"/>
      <c r="D200" s="520"/>
      <c r="E200" s="520"/>
      <c r="F200" s="520"/>
      <c r="G200" s="520"/>
      <c r="H200" s="520"/>
      <c r="I200" s="1139"/>
      <c r="J200" s="520"/>
      <c r="K200" s="520"/>
      <c r="L200" s="520"/>
      <c r="M200" s="520"/>
      <c r="N200" s="520"/>
      <c r="O200" s="1139"/>
      <c r="P200" s="520"/>
      <c r="Q200" s="520"/>
      <c r="R200" s="520"/>
      <c r="S200" s="1139"/>
      <c r="T200" s="520"/>
      <c r="U200" s="520"/>
      <c r="V200" s="520"/>
      <c r="W200" s="1152"/>
      <c r="X200"/>
      <c r="Y200"/>
      <c r="Z200"/>
      <c r="AA200"/>
      <c r="AB200"/>
    </row>
    <row r="201" spans="1:28">
      <c r="A201" s="233"/>
      <c r="B201" s="403"/>
      <c r="C201" s="407"/>
      <c r="D201" s="407"/>
      <c r="E201" s="407"/>
      <c r="F201" s="407"/>
      <c r="G201" s="407"/>
      <c r="H201" s="407"/>
      <c r="I201" s="1137"/>
      <c r="J201" s="407"/>
      <c r="K201" s="407"/>
      <c r="L201" s="407"/>
      <c r="M201" s="407"/>
      <c r="N201" s="407"/>
      <c r="O201" s="1137"/>
      <c r="P201" s="407"/>
      <c r="Q201" s="407"/>
      <c r="R201" s="407"/>
      <c r="S201" s="1137"/>
      <c r="T201" s="407"/>
      <c r="U201" s="407"/>
      <c r="V201" s="407"/>
      <c r="W201" s="1128"/>
      <c r="X201"/>
      <c r="Y201"/>
      <c r="Z201"/>
      <c r="AA201"/>
      <c r="AB201"/>
    </row>
    <row r="202" spans="1:28" s="205" customFormat="1">
      <c r="A202" s="1125"/>
      <c r="B202" s="404"/>
      <c r="C202" s="408"/>
      <c r="D202" s="408"/>
      <c r="E202" s="408"/>
      <c r="F202" s="408"/>
      <c r="G202" s="408"/>
      <c r="H202" s="408"/>
      <c r="I202" s="1138"/>
      <c r="J202" s="408"/>
      <c r="K202" s="408"/>
      <c r="L202" s="408"/>
      <c r="M202" s="408"/>
      <c r="N202" s="408"/>
      <c r="O202" s="1138"/>
      <c r="P202" s="408"/>
      <c r="Q202" s="408"/>
      <c r="R202" s="408"/>
      <c r="S202" s="1138"/>
      <c r="T202" s="408"/>
      <c r="U202" s="408"/>
      <c r="V202" s="408"/>
      <c r="W202" s="1129"/>
      <c r="X202"/>
      <c r="Y202"/>
      <c r="Z202"/>
      <c r="AA202"/>
      <c r="AB202"/>
    </row>
    <row r="203" spans="1:28" s="204" customFormat="1">
      <c r="A203" s="1126"/>
      <c r="B203" s="1135"/>
      <c r="C203" s="520"/>
      <c r="D203" s="520"/>
      <c r="E203" s="520"/>
      <c r="F203" s="520"/>
      <c r="G203" s="520"/>
      <c r="H203" s="520"/>
      <c r="I203" s="1139"/>
      <c r="J203" s="520"/>
      <c r="K203" s="520"/>
      <c r="L203" s="520"/>
      <c r="M203" s="520"/>
      <c r="N203" s="520"/>
      <c r="O203" s="1139"/>
      <c r="P203" s="520"/>
      <c r="Q203" s="520"/>
      <c r="R203" s="520"/>
      <c r="S203" s="1139"/>
      <c r="T203" s="520"/>
      <c r="U203" s="520"/>
      <c r="V203" s="520"/>
      <c r="W203" s="1152"/>
      <c r="X203"/>
      <c r="Y203"/>
      <c r="Z203"/>
      <c r="AA203"/>
      <c r="AB203"/>
    </row>
    <row r="204" spans="1:28">
      <c r="A204" s="1125"/>
      <c r="B204" s="403"/>
      <c r="C204" s="407"/>
      <c r="D204" s="407"/>
      <c r="E204" s="407"/>
      <c r="F204" s="1149"/>
      <c r="G204" s="407"/>
      <c r="H204" s="407"/>
      <c r="I204" s="1137"/>
      <c r="J204" s="407"/>
      <c r="K204" s="407"/>
      <c r="L204" s="407"/>
      <c r="M204" s="407"/>
      <c r="N204" s="407"/>
      <c r="O204" s="1137"/>
      <c r="P204" s="407"/>
      <c r="Q204" s="407"/>
      <c r="R204" s="407"/>
      <c r="S204" s="1137"/>
      <c r="T204" s="407"/>
      <c r="U204" s="407"/>
      <c r="V204" s="407"/>
      <c r="W204" s="1128"/>
      <c r="X204"/>
      <c r="Y204"/>
      <c r="Z204"/>
      <c r="AA204"/>
      <c r="AB204"/>
    </row>
    <row r="205" spans="1:28" s="205" customFormat="1">
      <c r="A205" s="1125"/>
      <c r="B205" s="404"/>
      <c r="C205" s="408"/>
      <c r="D205" s="408"/>
      <c r="E205" s="408"/>
      <c r="F205" s="1147"/>
      <c r="G205" s="408"/>
      <c r="H205" s="408"/>
      <c r="I205" s="1138"/>
      <c r="J205" s="408"/>
      <c r="K205" s="408"/>
      <c r="L205" s="408"/>
      <c r="M205" s="408"/>
      <c r="N205" s="408"/>
      <c r="O205" s="1138"/>
      <c r="P205" s="408"/>
      <c r="Q205" s="408"/>
      <c r="R205" s="408"/>
      <c r="S205" s="1138"/>
      <c r="T205" s="408"/>
      <c r="U205" s="408"/>
      <c r="V205" s="408"/>
      <c r="W205" s="1129"/>
      <c r="X205"/>
      <c r="Y205"/>
      <c r="Z205"/>
      <c r="AA205"/>
      <c r="AB205"/>
    </row>
    <row r="206" spans="1:28" s="204" customFormat="1">
      <c r="A206" s="1125"/>
      <c r="B206" s="1135"/>
      <c r="C206" s="520"/>
      <c r="D206" s="520"/>
      <c r="E206" s="520"/>
      <c r="F206" s="1148"/>
      <c r="G206" s="520"/>
      <c r="H206" s="520"/>
      <c r="I206" s="1139"/>
      <c r="J206" s="520"/>
      <c r="K206" s="520"/>
      <c r="L206" s="520"/>
      <c r="M206" s="520"/>
      <c r="N206" s="520"/>
      <c r="O206" s="1139"/>
      <c r="P206" s="520"/>
      <c r="Q206" s="520"/>
      <c r="R206" s="520"/>
      <c r="S206" s="1139"/>
      <c r="T206" s="520"/>
      <c r="U206" s="520"/>
      <c r="V206" s="520"/>
      <c r="W206" s="1152"/>
      <c r="X206"/>
      <c r="Y206"/>
      <c r="Z206"/>
      <c r="AA206"/>
      <c r="AB206"/>
    </row>
    <row r="207" spans="1:28">
      <c r="A207" s="1125"/>
      <c r="B207" s="403"/>
      <c r="C207" s="407"/>
      <c r="D207" s="407"/>
      <c r="E207" s="407"/>
      <c r="F207" s="407"/>
      <c r="G207" s="407"/>
      <c r="H207" s="407"/>
      <c r="I207" s="1137"/>
      <c r="J207" s="407"/>
      <c r="K207" s="407"/>
      <c r="L207" s="407"/>
      <c r="M207" s="407"/>
      <c r="N207" s="407"/>
      <c r="O207" s="1137"/>
      <c r="P207" s="407"/>
      <c r="Q207" s="407"/>
      <c r="R207" s="407"/>
      <c r="S207" s="1137"/>
      <c r="T207" s="407"/>
      <c r="U207" s="407"/>
      <c r="V207" s="407"/>
      <c r="W207" s="1128"/>
      <c r="X207"/>
      <c r="Y207"/>
      <c r="Z207"/>
      <c r="AA207"/>
      <c r="AB207"/>
    </row>
    <row r="208" spans="1:28" s="205" customFormat="1">
      <c r="A208" s="1125"/>
      <c r="B208" s="404"/>
      <c r="C208" s="408"/>
      <c r="D208" s="408"/>
      <c r="E208" s="408"/>
      <c r="F208" s="408"/>
      <c r="G208" s="408"/>
      <c r="H208" s="408"/>
      <c r="I208" s="1138"/>
      <c r="J208" s="408"/>
      <c r="K208" s="408"/>
      <c r="L208" s="408"/>
      <c r="M208" s="408"/>
      <c r="N208" s="408"/>
      <c r="O208" s="1138"/>
      <c r="P208" s="408"/>
      <c r="Q208" s="408"/>
      <c r="R208" s="408"/>
      <c r="S208" s="1138"/>
      <c r="T208" s="408"/>
      <c r="U208" s="408"/>
      <c r="V208" s="408"/>
      <c r="W208" s="1129"/>
      <c r="X208"/>
      <c r="Y208"/>
      <c r="Z208"/>
      <c r="AA208"/>
      <c r="AB208"/>
    </row>
    <row r="209" spans="1:28" s="204" customFormat="1">
      <c r="A209" s="1125"/>
      <c r="B209" s="1135"/>
      <c r="C209" s="520"/>
      <c r="D209" s="520"/>
      <c r="E209" s="520"/>
      <c r="F209" s="520"/>
      <c r="G209" s="520"/>
      <c r="H209" s="520"/>
      <c r="I209" s="1139"/>
      <c r="J209" s="520"/>
      <c r="K209" s="520"/>
      <c r="L209" s="520"/>
      <c r="M209" s="520"/>
      <c r="N209" s="520"/>
      <c r="O209" s="1139"/>
      <c r="P209" s="520"/>
      <c r="Q209" s="520"/>
      <c r="R209" s="520"/>
      <c r="S209" s="1139"/>
      <c r="T209" s="520"/>
      <c r="U209" s="520"/>
      <c r="V209" s="520"/>
      <c r="W209" s="1152"/>
      <c r="X209"/>
      <c r="Y209"/>
      <c r="Z209"/>
      <c r="AA209"/>
      <c r="AB209"/>
    </row>
    <row r="210" spans="1:28">
      <c r="A210" s="1125"/>
      <c r="B210" s="403"/>
      <c r="C210" s="407"/>
      <c r="D210" s="407"/>
      <c r="E210" s="407"/>
      <c r="F210" s="407"/>
      <c r="G210" s="407"/>
      <c r="H210" s="407"/>
      <c r="I210" s="1137"/>
      <c r="J210" s="407"/>
      <c r="K210" s="407"/>
      <c r="L210" s="1149"/>
      <c r="M210" s="1149"/>
      <c r="N210" s="407"/>
      <c r="O210" s="1137"/>
      <c r="P210" s="1149"/>
      <c r="Q210" s="407"/>
      <c r="R210" s="407"/>
      <c r="S210" s="1137"/>
      <c r="T210" s="407"/>
      <c r="U210" s="407"/>
      <c r="V210" s="407"/>
      <c r="W210" s="1128"/>
      <c r="X210"/>
      <c r="Y210"/>
      <c r="Z210"/>
      <c r="AA210"/>
      <c r="AB210"/>
    </row>
    <row r="211" spans="1:28" s="205" customFormat="1">
      <c r="A211" s="1125"/>
      <c r="B211" s="404"/>
      <c r="C211" s="408"/>
      <c r="D211" s="408"/>
      <c r="E211" s="408"/>
      <c r="F211" s="408"/>
      <c r="G211" s="408"/>
      <c r="H211" s="408"/>
      <c r="I211" s="1138"/>
      <c r="J211" s="408"/>
      <c r="K211" s="408"/>
      <c r="L211" s="1147"/>
      <c r="M211" s="1147"/>
      <c r="N211" s="408"/>
      <c r="O211" s="1138"/>
      <c r="P211" s="1147"/>
      <c r="Q211" s="408"/>
      <c r="R211" s="408"/>
      <c r="S211" s="1138"/>
      <c r="T211" s="408"/>
      <c r="U211" s="408"/>
      <c r="V211" s="408"/>
      <c r="W211" s="1129"/>
      <c r="X211"/>
      <c r="Y211"/>
      <c r="Z211"/>
      <c r="AA211"/>
      <c r="AB211"/>
    </row>
    <row r="212" spans="1:28" s="204" customFormat="1">
      <c r="A212" s="1125"/>
      <c r="B212" s="1135"/>
      <c r="C212" s="520"/>
      <c r="D212" s="520"/>
      <c r="E212" s="520"/>
      <c r="F212" s="520"/>
      <c r="G212" s="520"/>
      <c r="H212" s="520"/>
      <c r="I212" s="1139"/>
      <c r="J212" s="520"/>
      <c r="K212" s="520"/>
      <c r="L212" s="1148"/>
      <c r="M212" s="1148"/>
      <c r="N212" s="520"/>
      <c r="O212" s="1139"/>
      <c r="P212" s="1148"/>
      <c r="Q212" s="520"/>
      <c r="R212" s="520"/>
      <c r="S212" s="1139"/>
      <c r="T212" s="520"/>
      <c r="U212" s="520"/>
      <c r="V212" s="520"/>
      <c r="W212" s="1152"/>
      <c r="X212"/>
      <c r="Y212"/>
      <c r="Z212"/>
      <c r="AA212"/>
      <c r="AB212"/>
    </row>
    <row r="213" spans="1:28">
      <c r="A213" s="1125"/>
      <c r="B213" s="403"/>
      <c r="C213" s="407"/>
      <c r="D213" s="407"/>
      <c r="E213" s="407"/>
      <c r="F213" s="407"/>
      <c r="G213" s="407"/>
      <c r="H213" s="407"/>
      <c r="I213" s="1137"/>
      <c r="J213" s="407"/>
      <c r="K213" s="407"/>
      <c r="L213" s="407"/>
      <c r="M213" s="407"/>
      <c r="N213" s="407"/>
      <c r="O213" s="1137"/>
      <c r="P213" s="407"/>
      <c r="Q213" s="407"/>
      <c r="R213" s="407"/>
      <c r="S213" s="1137"/>
      <c r="T213" s="407"/>
      <c r="U213" s="407"/>
      <c r="V213" s="407"/>
      <c r="W213" s="1128"/>
      <c r="X213"/>
      <c r="Y213"/>
      <c r="Z213"/>
      <c r="AA213"/>
      <c r="AB213"/>
    </row>
    <row r="214" spans="1:28" s="205" customFormat="1">
      <c r="A214" s="1125"/>
      <c r="B214" s="404"/>
      <c r="C214" s="408"/>
      <c r="D214" s="408"/>
      <c r="E214" s="408"/>
      <c r="F214" s="408"/>
      <c r="G214" s="408"/>
      <c r="H214" s="408"/>
      <c r="I214" s="1138"/>
      <c r="J214" s="408"/>
      <c r="K214" s="408"/>
      <c r="L214" s="408"/>
      <c r="M214" s="408"/>
      <c r="N214" s="408"/>
      <c r="O214" s="1138"/>
      <c r="P214" s="408"/>
      <c r="Q214" s="408"/>
      <c r="R214" s="408"/>
      <c r="S214" s="1138"/>
      <c r="T214" s="408"/>
      <c r="U214" s="408"/>
      <c r="V214" s="408"/>
      <c r="W214" s="1129"/>
      <c r="X214"/>
      <c r="Y214"/>
      <c r="Z214"/>
      <c r="AA214"/>
      <c r="AB214"/>
    </row>
    <row r="215" spans="1:28" s="204" customFormat="1">
      <c r="A215" s="1125"/>
      <c r="B215" s="1135"/>
      <c r="C215" s="520"/>
      <c r="D215" s="520"/>
      <c r="E215" s="520"/>
      <c r="F215" s="520"/>
      <c r="G215" s="520"/>
      <c r="H215" s="520"/>
      <c r="I215" s="1139"/>
      <c r="J215" s="520"/>
      <c r="K215" s="520"/>
      <c r="L215" s="520"/>
      <c r="M215" s="520"/>
      <c r="N215" s="520"/>
      <c r="O215" s="1139"/>
      <c r="P215" s="520"/>
      <c r="Q215" s="520"/>
      <c r="R215" s="520"/>
      <c r="S215" s="1139"/>
      <c r="T215" s="520"/>
      <c r="U215" s="520"/>
      <c r="V215" s="520"/>
      <c r="W215" s="1152"/>
      <c r="X215"/>
      <c r="Y215"/>
      <c r="Z215"/>
      <c r="AA215"/>
      <c r="AB215"/>
    </row>
    <row r="216" spans="1:28">
      <c r="A216" s="1125"/>
      <c r="B216" s="403"/>
      <c r="C216" s="407"/>
      <c r="D216" s="407"/>
      <c r="E216" s="407"/>
      <c r="F216" s="407"/>
      <c r="G216" s="407"/>
      <c r="H216" s="407"/>
      <c r="I216" s="1137"/>
      <c r="J216" s="407"/>
      <c r="K216" s="407"/>
      <c r="L216" s="407"/>
      <c r="M216" s="407"/>
      <c r="N216" s="407"/>
      <c r="O216" s="1137"/>
      <c r="P216" s="407"/>
      <c r="Q216" s="407"/>
      <c r="R216" s="407"/>
      <c r="S216" s="1137"/>
      <c r="T216" s="407"/>
      <c r="U216" s="407"/>
      <c r="V216" s="407"/>
      <c r="W216" s="1128"/>
      <c r="X216"/>
      <c r="Y216"/>
      <c r="Z216"/>
      <c r="AA216"/>
      <c r="AB216"/>
    </row>
    <row r="217" spans="1:28" s="205" customFormat="1">
      <c r="A217" s="1125"/>
      <c r="B217" s="404"/>
      <c r="C217" s="408"/>
      <c r="D217" s="408"/>
      <c r="E217" s="408"/>
      <c r="F217" s="408"/>
      <c r="G217" s="408"/>
      <c r="H217" s="408"/>
      <c r="I217" s="1138"/>
      <c r="J217" s="408"/>
      <c r="K217" s="408"/>
      <c r="L217" s="408"/>
      <c r="M217" s="408"/>
      <c r="N217" s="408"/>
      <c r="O217" s="1138"/>
      <c r="P217" s="408"/>
      <c r="Q217" s="408"/>
      <c r="R217" s="408"/>
      <c r="S217" s="1138"/>
      <c r="T217" s="408"/>
      <c r="U217" s="408"/>
      <c r="V217" s="408"/>
      <c r="W217" s="1129"/>
      <c r="X217"/>
      <c r="Y217"/>
      <c r="Z217"/>
      <c r="AA217"/>
      <c r="AB217"/>
    </row>
    <row r="218" spans="1:28" s="204" customFormat="1">
      <c r="A218" s="1125"/>
      <c r="B218" s="1135"/>
      <c r="C218" s="520"/>
      <c r="D218" s="520"/>
      <c r="E218" s="520"/>
      <c r="F218" s="520"/>
      <c r="G218" s="520"/>
      <c r="H218" s="520"/>
      <c r="I218" s="1139"/>
      <c r="J218" s="520"/>
      <c r="K218" s="520"/>
      <c r="L218" s="520"/>
      <c r="M218" s="520"/>
      <c r="N218" s="520"/>
      <c r="O218" s="1139"/>
      <c r="P218" s="520"/>
      <c r="Q218" s="520"/>
      <c r="R218" s="520"/>
      <c r="S218" s="1139"/>
      <c r="T218" s="520"/>
      <c r="U218" s="520"/>
      <c r="V218" s="520"/>
      <c r="W218" s="1152"/>
      <c r="X218"/>
      <c r="Y218"/>
      <c r="Z218"/>
      <c r="AA218"/>
      <c r="AB218"/>
    </row>
    <row r="219" spans="1:28">
      <c r="A219" s="1125"/>
      <c r="B219" s="403"/>
      <c r="C219" s="407"/>
      <c r="D219" s="407"/>
      <c r="E219" s="407"/>
      <c r="F219" s="407"/>
      <c r="G219" s="407"/>
      <c r="H219" s="407"/>
      <c r="I219" s="1137"/>
      <c r="J219" s="407"/>
      <c r="K219" s="407"/>
      <c r="L219" s="407"/>
      <c r="M219" s="407"/>
      <c r="N219" s="407"/>
      <c r="O219" s="1137"/>
      <c r="P219" s="407"/>
      <c r="Q219" s="407"/>
      <c r="R219" s="407"/>
      <c r="S219" s="1137"/>
      <c r="T219" s="407"/>
      <c r="U219" s="407"/>
      <c r="V219" s="407"/>
      <c r="W219" s="1128"/>
      <c r="X219"/>
      <c r="Y219"/>
      <c r="Z219"/>
      <c r="AA219"/>
      <c r="AB219"/>
    </row>
    <row r="220" spans="1:28" s="205" customFormat="1">
      <c r="A220" s="1125"/>
      <c r="B220" s="404"/>
      <c r="C220" s="408"/>
      <c r="D220" s="408"/>
      <c r="E220" s="408"/>
      <c r="F220" s="408"/>
      <c r="G220" s="408"/>
      <c r="H220" s="408"/>
      <c r="I220" s="1138"/>
      <c r="J220" s="408"/>
      <c r="K220" s="408"/>
      <c r="L220" s="408"/>
      <c r="M220" s="408"/>
      <c r="N220" s="408"/>
      <c r="O220" s="1138"/>
      <c r="P220" s="408"/>
      <c r="Q220" s="408"/>
      <c r="R220" s="408"/>
      <c r="S220" s="1138"/>
      <c r="T220" s="408"/>
      <c r="U220" s="408"/>
      <c r="V220" s="408"/>
      <c r="W220" s="1129"/>
      <c r="X220"/>
      <c r="Y220"/>
      <c r="Z220"/>
      <c r="AA220"/>
      <c r="AB220"/>
    </row>
    <row r="221" spans="1:28" s="204" customFormat="1">
      <c r="A221" s="1125"/>
      <c r="B221" s="1135"/>
      <c r="C221" s="520"/>
      <c r="D221" s="520"/>
      <c r="E221" s="520"/>
      <c r="F221" s="520"/>
      <c r="G221" s="520"/>
      <c r="H221" s="520"/>
      <c r="I221" s="1139"/>
      <c r="J221" s="520"/>
      <c r="K221" s="520"/>
      <c r="L221" s="520"/>
      <c r="M221" s="520"/>
      <c r="N221" s="520"/>
      <c r="O221" s="1139"/>
      <c r="P221" s="520"/>
      <c r="Q221" s="520"/>
      <c r="R221" s="520"/>
      <c r="S221" s="1139"/>
      <c r="T221" s="520"/>
      <c r="U221" s="520"/>
      <c r="V221" s="520"/>
      <c r="W221" s="1152"/>
      <c r="X221"/>
      <c r="Y221"/>
      <c r="Z221"/>
      <c r="AA221"/>
      <c r="AB221"/>
    </row>
    <row r="222" spans="1:28">
      <c r="A222" s="1125"/>
      <c r="B222" s="403"/>
      <c r="C222" s="407"/>
      <c r="D222" s="407"/>
      <c r="E222" s="407"/>
      <c r="F222" s="407"/>
      <c r="G222" s="407"/>
      <c r="H222" s="407"/>
      <c r="I222" s="1137"/>
      <c r="J222" s="407"/>
      <c r="K222" s="407"/>
      <c r="L222" s="407"/>
      <c r="M222" s="407"/>
      <c r="N222" s="407"/>
      <c r="O222" s="1137"/>
      <c r="P222" s="407"/>
      <c r="Q222" s="407"/>
      <c r="R222" s="407"/>
      <c r="S222" s="1137"/>
      <c r="T222" s="407"/>
      <c r="U222" s="407"/>
      <c r="V222" s="407"/>
      <c r="W222" s="1128"/>
      <c r="X222"/>
      <c r="Y222"/>
      <c r="Z222"/>
      <c r="AA222"/>
      <c r="AB222"/>
    </row>
    <row r="223" spans="1:28" s="205" customFormat="1">
      <c r="A223" s="1125"/>
      <c r="B223" s="404"/>
      <c r="C223" s="408"/>
      <c r="D223" s="408"/>
      <c r="E223" s="408"/>
      <c r="F223" s="408"/>
      <c r="G223" s="408"/>
      <c r="H223" s="408"/>
      <c r="I223" s="1138"/>
      <c r="J223" s="408"/>
      <c r="K223" s="408"/>
      <c r="L223" s="408"/>
      <c r="M223" s="408"/>
      <c r="N223" s="408"/>
      <c r="O223" s="1138"/>
      <c r="P223" s="408"/>
      <c r="Q223" s="408"/>
      <c r="R223" s="408"/>
      <c r="S223" s="1138"/>
      <c r="T223" s="408"/>
      <c r="U223" s="408"/>
      <c r="V223" s="408"/>
      <c r="W223" s="1129"/>
      <c r="X223"/>
      <c r="Y223"/>
      <c r="Z223"/>
      <c r="AA223"/>
      <c r="AB223"/>
    </row>
    <row r="224" spans="1:28" s="204" customFormat="1">
      <c r="A224" s="1125"/>
      <c r="B224" s="1135"/>
      <c r="C224" s="520"/>
      <c r="D224" s="520"/>
      <c r="E224" s="520"/>
      <c r="F224" s="520"/>
      <c r="G224" s="520"/>
      <c r="H224" s="520"/>
      <c r="I224" s="1139"/>
      <c r="J224" s="520"/>
      <c r="K224" s="520"/>
      <c r="L224" s="520"/>
      <c r="M224" s="520"/>
      <c r="N224" s="520"/>
      <c r="O224" s="1139"/>
      <c r="P224" s="520"/>
      <c r="Q224" s="520"/>
      <c r="R224" s="520"/>
      <c r="S224" s="1139"/>
      <c r="T224" s="520"/>
      <c r="U224" s="520"/>
      <c r="V224" s="520"/>
      <c r="W224" s="1152"/>
      <c r="X224"/>
      <c r="Y224"/>
      <c r="Z224"/>
      <c r="AA224"/>
      <c r="AB224"/>
    </row>
    <row r="225" spans="1:28">
      <c r="A225" s="1125"/>
      <c r="B225" s="403"/>
      <c r="C225" s="407"/>
      <c r="D225" s="407"/>
      <c r="E225" s="407"/>
      <c r="F225" s="407"/>
      <c r="G225" s="407"/>
      <c r="H225" s="407"/>
      <c r="I225" s="1137"/>
      <c r="J225" s="407"/>
      <c r="K225" s="407"/>
      <c r="L225" s="407"/>
      <c r="M225" s="407"/>
      <c r="N225" s="407"/>
      <c r="O225" s="1137"/>
      <c r="P225" s="407"/>
      <c r="Q225" s="407"/>
      <c r="R225" s="407"/>
      <c r="S225" s="1137"/>
      <c r="T225" s="407"/>
      <c r="U225" s="407"/>
      <c r="V225" s="407"/>
      <c r="W225" s="1128"/>
      <c r="X225"/>
      <c r="Y225"/>
      <c r="Z225"/>
      <c r="AA225"/>
      <c r="AB225"/>
    </row>
    <row r="226" spans="1:28" s="205" customFormat="1">
      <c r="A226" s="1125"/>
      <c r="B226" s="404"/>
      <c r="C226" s="408"/>
      <c r="D226" s="408"/>
      <c r="E226" s="408"/>
      <c r="F226" s="408"/>
      <c r="G226" s="408"/>
      <c r="H226" s="408"/>
      <c r="I226" s="1138"/>
      <c r="J226" s="408"/>
      <c r="K226" s="408"/>
      <c r="L226" s="408"/>
      <c r="M226" s="408"/>
      <c r="N226" s="408"/>
      <c r="O226" s="1138"/>
      <c r="P226" s="408"/>
      <c r="Q226" s="408"/>
      <c r="R226" s="408"/>
      <c r="S226" s="1138"/>
      <c r="T226" s="408"/>
      <c r="U226" s="408"/>
      <c r="V226" s="408"/>
      <c r="W226" s="1129"/>
      <c r="X226"/>
      <c r="Y226"/>
      <c r="Z226"/>
      <c r="AA226"/>
      <c r="AB226"/>
    </row>
    <row r="227" spans="1:28" s="204" customFormat="1">
      <c r="A227" s="1125"/>
      <c r="B227" s="1135"/>
      <c r="C227" s="520"/>
      <c r="D227" s="520"/>
      <c r="E227" s="520"/>
      <c r="F227" s="520"/>
      <c r="G227" s="520"/>
      <c r="H227" s="520"/>
      <c r="I227" s="1139"/>
      <c r="J227" s="520"/>
      <c r="K227" s="520"/>
      <c r="L227" s="520"/>
      <c r="M227" s="520"/>
      <c r="N227" s="520"/>
      <c r="O227" s="1139"/>
      <c r="P227" s="520"/>
      <c r="Q227" s="520"/>
      <c r="R227" s="520"/>
      <c r="S227" s="1139"/>
      <c r="T227" s="520"/>
      <c r="U227" s="520"/>
      <c r="V227" s="520"/>
      <c r="W227" s="1152"/>
      <c r="X227"/>
      <c r="Y227"/>
      <c r="Z227"/>
      <c r="AA227"/>
      <c r="AB227"/>
    </row>
    <row r="228" spans="1:28">
      <c r="A228" s="1125"/>
      <c r="B228" s="403"/>
      <c r="C228" s="407"/>
      <c r="D228" s="407"/>
      <c r="E228" s="407"/>
      <c r="F228" s="407"/>
      <c r="G228" s="407"/>
      <c r="H228" s="407"/>
      <c r="I228" s="1137"/>
      <c r="J228" s="407"/>
      <c r="K228" s="407"/>
      <c r="L228" s="407"/>
      <c r="M228" s="407"/>
      <c r="N228" s="407"/>
      <c r="O228" s="1137"/>
      <c r="P228" s="407"/>
      <c r="Q228" s="407"/>
      <c r="R228" s="407"/>
      <c r="S228" s="1137"/>
      <c r="T228" s="407"/>
      <c r="U228" s="407"/>
      <c r="V228" s="407"/>
      <c r="W228" s="1128"/>
      <c r="X228"/>
      <c r="Y228"/>
      <c r="Z228"/>
      <c r="AA228"/>
      <c r="AB228"/>
    </row>
    <row r="229" spans="1:28" s="205" customFormat="1">
      <c r="A229" s="1125"/>
      <c r="B229" s="404"/>
      <c r="C229" s="408"/>
      <c r="D229" s="408"/>
      <c r="E229" s="408"/>
      <c r="F229" s="408"/>
      <c r="G229" s="408"/>
      <c r="H229" s="408"/>
      <c r="I229" s="1138"/>
      <c r="J229" s="408"/>
      <c r="K229" s="408"/>
      <c r="L229" s="408"/>
      <c r="M229" s="408"/>
      <c r="N229" s="408"/>
      <c r="O229" s="1138"/>
      <c r="P229" s="408"/>
      <c r="Q229" s="408"/>
      <c r="R229" s="408"/>
      <c r="S229" s="1138"/>
      <c r="T229" s="408"/>
      <c r="U229" s="408"/>
      <c r="V229" s="408"/>
      <c r="W229" s="1129"/>
      <c r="X229"/>
      <c r="Y229"/>
      <c r="Z229"/>
      <c r="AA229"/>
      <c r="AB229"/>
    </row>
    <row r="230" spans="1:28" s="204" customFormat="1">
      <c r="A230" s="1125"/>
      <c r="B230" s="1135"/>
      <c r="C230" s="520"/>
      <c r="D230" s="520"/>
      <c r="E230" s="520"/>
      <c r="F230" s="520"/>
      <c r="G230" s="520"/>
      <c r="H230" s="520"/>
      <c r="I230" s="1139"/>
      <c r="J230" s="520"/>
      <c r="K230" s="520"/>
      <c r="L230" s="520"/>
      <c r="M230" s="520"/>
      <c r="N230" s="520"/>
      <c r="O230" s="1139"/>
      <c r="P230" s="520"/>
      <c r="Q230" s="520"/>
      <c r="R230" s="520"/>
      <c r="S230" s="1139"/>
      <c r="T230" s="520"/>
      <c r="U230" s="520"/>
      <c r="V230" s="520"/>
      <c r="W230" s="1152"/>
      <c r="X230"/>
      <c r="Y230"/>
      <c r="Z230"/>
      <c r="AA230"/>
      <c r="AB230"/>
    </row>
    <row r="231" spans="1:28">
      <c r="A231" s="1125"/>
      <c r="B231" s="403"/>
      <c r="C231" s="407"/>
      <c r="D231" s="407"/>
      <c r="E231" s="407"/>
      <c r="F231" s="407"/>
      <c r="G231" s="407"/>
      <c r="H231" s="407"/>
      <c r="I231" s="1137"/>
      <c r="J231" s="407"/>
      <c r="K231" s="407"/>
      <c r="L231" s="407"/>
      <c r="M231" s="407"/>
      <c r="N231" s="407"/>
      <c r="O231" s="1137"/>
      <c r="P231" s="407"/>
      <c r="Q231" s="407"/>
      <c r="R231" s="407"/>
      <c r="S231" s="1137"/>
      <c r="T231" s="407"/>
      <c r="U231" s="407"/>
      <c r="V231" s="407"/>
      <c r="W231" s="1128"/>
      <c r="X231"/>
      <c r="Y231"/>
      <c r="Z231"/>
      <c r="AA231"/>
      <c r="AB231"/>
    </row>
    <row r="232" spans="1:28" s="205" customFormat="1">
      <c r="A232" s="1125"/>
      <c r="B232" s="404"/>
      <c r="C232" s="408"/>
      <c r="D232" s="408"/>
      <c r="E232" s="408"/>
      <c r="F232" s="408"/>
      <c r="G232" s="408"/>
      <c r="H232" s="408"/>
      <c r="I232" s="1138"/>
      <c r="J232" s="408"/>
      <c r="K232" s="408"/>
      <c r="L232" s="408"/>
      <c r="M232" s="408"/>
      <c r="N232" s="408"/>
      <c r="O232" s="1138"/>
      <c r="P232" s="408"/>
      <c r="Q232" s="408"/>
      <c r="R232" s="408"/>
      <c r="S232" s="1138"/>
      <c r="T232" s="408"/>
      <c r="U232" s="408"/>
      <c r="V232" s="408"/>
      <c r="W232" s="1129"/>
      <c r="X232"/>
      <c r="Y232"/>
      <c r="Z232"/>
      <c r="AA232"/>
      <c r="AB232"/>
    </row>
    <row r="233" spans="1:28" s="204" customFormat="1">
      <c r="A233" s="1125"/>
      <c r="B233" s="1135"/>
      <c r="C233" s="520"/>
      <c r="D233" s="520"/>
      <c r="E233" s="520"/>
      <c r="F233" s="520"/>
      <c r="G233" s="520"/>
      <c r="H233" s="520"/>
      <c r="I233" s="1139"/>
      <c r="J233" s="520"/>
      <c r="K233" s="520"/>
      <c r="L233" s="520"/>
      <c r="M233" s="520"/>
      <c r="N233" s="520"/>
      <c r="O233" s="1139"/>
      <c r="P233" s="520"/>
      <c r="Q233" s="520"/>
      <c r="R233" s="520"/>
      <c r="S233" s="1139"/>
      <c r="T233" s="520"/>
      <c r="U233" s="520"/>
      <c r="V233" s="520"/>
      <c r="W233" s="1152"/>
      <c r="X233"/>
      <c r="Y233"/>
      <c r="Z233"/>
      <c r="AA233"/>
      <c r="AB233"/>
    </row>
    <row r="234" spans="1:28">
      <c r="A234" s="1125"/>
      <c r="B234" s="403"/>
      <c r="C234" s="407"/>
      <c r="D234" s="407"/>
      <c r="E234" s="407"/>
      <c r="F234" s="407"/>
      <c r="G234" s="407"/>
      <c r="H234" s="407"/>
      <c r="I234" s="1137"/>
      <c r="J234" s="407"/>
      <c r="K234" s="407"/>
      <c r="L234" s="407"/>
      <c r="M234" s="407"/>
      <c r="N234" s="407"/>
      <c r="O234" s="1137"/>
      <c r="P234" s="407"/>
      <c r="Q234" s="407"/>
      <c r="R234" s="407"/>
      <c r="S234" s="1137"/>
      <c r="T234" s="407"/>
      <c r="U234" s="407"/>
      <c r="V234" s="407"/>
      <c r="W234" s="1128"/>
      <c r="X234"/>
      <c r="Y234"/>
      <c r="Z234"/>
      <c r="AA234"/>
      <c r="AB234"/>
    </row>
    <row r="235" spans="1:28" s="205" customFormat="1">
      <c r="A235" s="1125"/>
      <c r="B235" s="404"/>
      <c r="C235" s="408"/>
      <c r="D235" s="408"/>
      <c r="E235" s="408"/>
      <c r="F235" s="408"/>
      <c r="G235" s="408"/>
      <c r="H235" s="408"/>
      <c r="I235" s="1138"/>
      <c r="J235" s="408"/>
      <c r="K235" s="408"/>
      <c r="L235" s="408"/>
      <c r="M235" s="408"/>
      <c r="N235" s="408"/>
      <c r="O235" s="1138"/>
      <c r="P235" s="408"/>
      <c r="Q235" s="408"/>
      <c r="R235" s="408"/>
      <c r="S235" s="1138"/>
      <c r="T235" s="408"/>
      <c r="U235" s="408"/>
      <c r="V235" s="408"/>
      <c r="W235" s="1129"/>
      <c r="X235"/>
      <c r="Y235"/>
      <c r="Z235"/>
      <c r="AA235"/>
      <c r="AB235"/>
    </row>
    <row r="236" spans="1:28" s="204" customFormat="1">
      <c r="A236" s="1125"/>
      <c r="B236" s="1135"/>
      <c r="C236" s="520"/>
      <c r="D236" s="520"/>
      <c r="E236" s="520"/>
      <c r="F236" s="520"/>
      <c r="G236" s="520"/>
      <c r="H236" s="520"/>
      <c r="I236" s="1139"/>
      <c r="J236" s="520"/>
      <c r="K236" s="520"/>
      <c r="L236" s="520"/>
      <c r="M236" s="520"/>
      <c r="N236" s="520"/>
      <c r="O236" s="1139"/>
      <c r="P236" s="520"/>
      <c r="Q236" s="520"/>
      <c r="R236" s="520"/>
      <c r="S236" s="1139"/>
      <c r="T236" s="520"/>
      <c r="U236" s="520"/>
      <c r="V236" s="520"/>
      <c r="W236" s="1152"/>
      <c r="X236"/>
      <c r="Y236"/>
      <c r="Z236"/>
      <c r="AA236"/>
      <c r="AB236"/>
    </row>
    <row r="237" spans="1:28">
      <c r="A237" s="1125"/>
      <c r="B237" s="403"/>
      <c r="C237" s="407"/>
      <c r="D237" s="407"/>
      <c r="E237" s="407"/>
      <c r="F237" s="407"/>
      <c r="G237" s="407"/>
      <c r="H237" s="407"/>
      <c r="I237" s="1137"/>
      <c r="J237" s="407"/>
      <c r="K237" s="407"/>
      <c r="L237" s="407"/>
      <c r="M237" s="407"/>
      <c r="N237" s="407"/>
      <c r="O237" s="1137"/>
      <c r="P237" s="407"/>
      <c r="Q237" s="407"/>
      <c r="R237" s="407"/>
      <c r="S237" s="1137"/>
      <c r="T237" s="407"/>
      <c r="U237" s="407"/>
      <c r="V237" s="407"/>
      <c r="W237" s="1128"/>
      <c r="X237"/>
      <c r="Y237"/>
      <c r="Z237"/>
      <c r="AA237"/>
      <c r="AB237"/>
    </row>
    <row r="238" spans="1:28" s="205" customFormat="1">
      <c r="A238" s="1125"/>
      <c r="B238" s="404"/>
      <c r="C238" s="408"/>
      <c r="D238" s="408"/>
      <c r="E238" s="408"/>
      <c r="F238" s="408"/>
      <c r="G238" s="408"/>
      <c r="H238" s="408"/>
      <c r="I238" s="1138"/>
      <c r="J238" s="408"/>
      <c r="K238" s="408"/>
      <c r="L238" s="408"/>
      <c r="M238" s="408"/>
      <c r="N238" s="408"/>
      <c r="O238" s="1138"/>
      <c r="P238" s="408"/>
      <c r="Q238" s="408"/>
      <c r="R238" s="408"/>
      <c r="S238" s="1138"/>
      <c r="T238" s="408"/>
      <c r="U238" s="408"/>
      <c r="V238" s="408"/>
      <c r="W238" s="1129"/>
      <c r="X238"/>
      <c r="Y238"/>
      <c r="Z238"/>
      <c r="AA238"/>
      <c r="AB238"/>
    </row>
    <row r="239" spans="1:28" s="214" customFormat="1">
      <c r="A239" s="1136"/>
      <c r="B239" s="1135"/>
      <c r="C239" s="520"/>
      <c r="D239" s="520"/>
      <c r="E239" s="520"/>
      <c r="F239" s="520"/>
      <c r="G239" s="520"/>
      <c r="H239" s="520"/>
      <c r="I239" s="1139"/>
      <c r="J239" s="520"/>
      <c r="K239" s="520"/>
      <c r="L239" s="520"/>
      <c r="M239" s="520"/>
      <c r="N239" s="520"/>
      <c r="O239" s="1139"/>
      <c r="P239" s="520"/>
      <c r="Q239" s="520"/>
      <c r="R239" s="520"/>
      <c r="S239" s="1139"/>
      <c r="T239" s="520"/>
      <c r="U239" s="520"/>
      <c r="V239" s="520"/>
      <c r="W239" s="1152"/>
      <c r="X239"/>
      <c r="Y239"/>
      <c r="Z239"/>
      <c r="AA239"/>
      <c r="AB239"/>
    </row>
    <row r="240" spans="1:28">
      <c r="A240" s="233"/>
      <c r="B240" s="403"/>
      <c r="C240" s="407"/>
      <c r="D240" s="407"/>
      <c r="E240" s="407"/>
      <c r="F240" s="407"/>
      <c r="G240" s="407"/>
      <c r="H240" s="407"/>
      <c r="I240" s="1137"/>
      <c r="J240" s="407"/>
      <c r="K240" s="407"/>
      <c r="L240" s="407"/>
      <c r="M240" s="407"/>
      <c r="N240" s="407"/>
      <c r="O240" s="1137"/>
      <c r="P240" s="407"/>
      <c r="Q240" s="407"/>
      <c r="R240" s="407"/>
      <c r="S240" s="1137"/>
      <c r="T240" s="407"/>
      <c r="U240" s="407"/>
      <c r="V240" s="407"/>
      <c r="W240" s="1128"/>
      <c r="X240"/>
      <c r="Y240"/>
      <c r="Z240"/>
      <c r="AA240"/>
      <c r="AB240"/>
    </row>
    <row r="241" spans="1:28" s="205" customFormat="1">
      <c r="A241" s="1125"/>
      <c r="B241" s="404"/>
      <c r="C241" s="408"/>
      <c r="D241" s="408"/>
      <c r="E241" s="408"/>
      <c r="F241" s="408"/>
      <c r="G241" s="408"/>
      <c r="H241" s="408"/>
      <c r="I241" s="1138"/>
      <c r="J241" s="408"/>
      <c r="K241" s="408"/>
      <c r="L241" s="408"/>
      <c r="M241" s="408"/>
      <c r="N241" s="408"/>
      <c r="O241" s="1138"/>
      <c r="P241" s="408"/>
      <c r="Q241" s="408"/>
      <c r="R241" s="408"/>
      <c r="S241" s="1138"/>
      <c r="T241" s="408"/>
      <c r="U241" s="408"/>
      <c r="V241" s="408"/>
      <c r="W241" s="1129"/>
      <c r="X241"/>
      <c r="Y241"/>
      <c r="Z241"/>
      <c r="AA241"/>
      <c r="AB241"/>
    </row>
    <row r="242" spans="1:28" s="204" customFormat="1">
      <c r="A242" s="1126"/>
      <c r="B242" s="1135"/>
      <c r="C242" s="520"/>
      <c r="D242" s="520"/>
      <c r="E242" s="520"/>
      <c r="F242" s="520"/>
      <c r="G242" s="520"/>
      <c r="H242" s="520"/>
      <c r="I242" s="1139"/>
      <c r="J242" s="520"/>
      <c r="K242" s="520"/>
      <c r="L242" s="520"/>
      <c r="M242" s="520"/>
      <c r="N242" s="520"/>
      <c r="O242" s="1139"/>
      <c r="P242" s="520"/>
      <c r="Q242" s="520"/>
      <c r="R242" s="520"/>
      <c r="S242" s="1139"/>
      <c r="T242" s="520"/>
      <c r="U242" s="520"/>
      <c r="V242" s="520"/>
      <c r="W242" s="1152"/>
      <c r="X242"/>
      <c r="Y242"/>
      <c r="Z242"/>
      <c r="AA242"/>
      <c r="AB242"/>
    </row>
    <row r="243" spans="1:28">
      <c r="A243" s="1125"/>
      <c r="B243" s="403"/>
      <c r="C243" s="407"/>
      <c r="D243" s="407"/>
      <c r="E243" s="407"/>
      <c r="F243" s="407"/>
      <c r="G243" s="407"/>
      <c r="H243" s="407"/>
      <c r="I243" s="1137"/>
      <c r="J243" s="407"/>
      <c r="K243" s="407"/>
      <c r="L243" s="407"/>
      <c r="M243" s="407"/>
      <c r="N243" s="407"/>
      <c r="O243" s="1137"/>
      <c r="P243" s="407"/>
      <c r="Q243" s="407"/>
      <c r="R243" s="407"/>
      <c r="S243" s="1137"/>
      <c r="T243" s="407"/>
      <c r="U243" s="407"/>
      <c r="V243" s="407"/>
      <c r="W243" s="1128"/>
      <c r="X243"/>
      <c r="Y243"/>
      <c r="Z243"/>
      <c r="AA243"/>
      <c r="AB243"/>
    </row>
    <row r="244" spans="1:28" s="205" customFormat="1">
      <c r="A244" s="1125"/>
      <c r="B244" s="404"/>
      <c r="C244" s="408"/>
      <c r="D244" s="408"/>
      <c r="E244" s="408"/>
      <c r="F244" s="408"/>
      <c r="G244" s="408"/>
      <c r="H244" s="408"/>
      <c r="I244" s="1138"/>
      <c r="J244" s="408"/>
      <c r="K244" s="408"/>
      <c r="L244" s="408"/>
      <c r="M244" s="408"/>
      <c r="N244" s="408"/>
      <c r="O244" s="1138"/>
      <c r="P244" s="408"/>
      <c r="Q244" s="408"/>
      <c r="R244" s="408"/>
      <c r="S244" s="1138"/>
      <c r="T244" s="408"/>
      <c r="U244" s="408"/>
      <c r="V244" s="408"/>
      <c r="W244" s="1129"/>
      <c r="X244"/>
      <c r="Y244"/>
      <c r="Z244"/>
      <c r="AA244"/>
      <c r="AB244"/>
    </row>
    <row r="245" spans="1:28" s="204" customFormat="1">
      <c r="A245" s="1125"/>
      <c r="B245" s="1135"/>
      <c r="C245" s="520"/>
      <c r="D245" s="520"/>
      <c r="E245" s="520"/>
      <c r="F245" s="520"/>
      <c r="G245" s="520"/>
      <c r="H245" s="520"/>
      <c r="I245" s="1139"/>
      <c r="J245" s="520"/>
      <c r="K245" s="520"/>
      <c r="L245" s="520"/>
      <c r="M245" s="520"/>
      <c r="N245" s="520"/>
      <c r="O245" s="1139"/>
      <c r="P245" s="520"/>
      <c r="Q245" s="520"/>
      <c r="R245" s="520"/>
      <c r="S245" s="1139"/>
      <c r="T245" s="520"/>
      <c r="U245" s="520"/>
      <c r="V245" s="520"/>
      <c r="W245" s="1152"/>
      <c r="X245"/>
      <c r="Y245"/>
      <c r="Z245"/>
      <c r="AA245"/>
      <c r="AB245"/>
    </row>
    <row r="246" spans="1:28">
      <c r="A246" s="1125"/>
      <c r="B246" s="403"/>
      <c r="C246" s="407"/>
      <c r="D246" s="407"/>
      <c r="E246" s="407"/>
      <c r="F246" s="407"/>
      <c r="G246" s="407"/>
      <c r="H246" s="407"/>
      <c r="I246" s="1137"/>
      <c r="J246" s="407"/>
      <c r="K246" s="407"/>
      <c r="L246" s="407"/>
      <c r="M246" s="407"/>
      <c r="N246" s="407"/>
      <c r="O246" s="1137"/>
      <c r="P246" s="407"/>
      <c r="Q246" s="407"/>
      <c r="R246" s="407"/>
      <c r="S246" s="1137"/>
      <c r="T246" s="407"/>
      <c r="U246" s="407"/>
      <c r="V246" s="407"/>
      <c r="W246" s="1128"/>
      <c r="X246"/>
      <c r="Y246"/>
      <c r="Z246"/>
      <c r="AA246"/>
      <c r="AB246"/>
    </row>
    <row r="247" spans="1:28" s="205" customFormat="1">
      <c r="A247" s="1125"/>
      <c r="B247" s="404"/>
      <c r="C247" s="408"/>
      <c r="D247" s="408"/>
      <c r="E247" s="408"/>
      <c r="F247" s="408"/>
      <c r="G247" s="408"/>
      <c r="H247" s="408"/>
      <c r="I247" s="1138"/>
      <c r="J247" s="408"/>
      <c r="K247" s="408"/>
      <c r="L247" s="408"/>
      <c r="M247" s="408"/>
      <c r="N247" s="408"/>
      <c r="O247" s="1138"/>
      <c r="P247" s="408"/>
      <c r="Q247" s="408"/>
      <c r="R247" s="408"/>
      <c r="S247" s="1138"/>
      <c r="T247" s="408"/>
      <c r="U247" s="408"/>
      <c r="V247" s="408"/>
      <c r="W247" s="1129"/>
      <c r="X247"/>
      <c r="Y247"/>
      <c r="Z247"/>
      <c r="AA247"/>
      <c r="AB247"/>
    </row>
    <row r="248" spans="1:28" s="204" customFormat="1">
      <c r="A248" s="1125"/>
      <c r="B248" s="1135"/>
      <c r="C248" s="520"/>
      <c r="D248" s="520"/>
      <c r="E248" s="520"/>
      <c r="F248" s="520"/>
      <c r="G248" s="520"/>
      <c r="H248" s="520"/>
      <c r="I248" s="1139"/>
      <c r="J248" s="520"/>
      <c r="K248" s="520"/>
      <c r="L248" s="520"/>
      <c r="M248" s="520"/>
      <c r="N248" s="520"/>
      <c r="O248" s="1139"/>
      <c r="P248" s="520"/>
      <c r="Q248" s="520"/>
      <c r="R248" s="520"/>
      <c r="S248" s="1139"/>
      <c r="T248" s="520"/>
      <c r="U248" s="520"/>
      <c r="V248" s="520"/>
      <c r="W248" s="1152"/>
      <c r="X248"/>
      <c r="Y248"/>
      <c r="Z248"/>
      <c r="AA248"/>
      <c r="AB248"/>
    </row>
    <row r="249" spans="1:28">
      <c r="A249" s="1125"/>
      <c r="B249" s="403"/>
      <c r="C249" s="407"/>
      <c r="D249" s="407"/>
      <c r="E249" s="407"/>
      <c r="F249" s="407"/>
      <c r="G249" s="407"/>
      <c r="H249" s="407"/>
      <c r="I249" s="1137"/>
      <c r="J249" s="407"/>
      <c r="K249" s="407"/>
      <c r="L249" s="407"/>
      <c r="M249" s="407"/>
      <c r="N249" s="407"/>
      <c r="O249" s="1137"/>
      <c r="P249" s="407"/>
      <c r="Q249" s="407"/>
      <c r="R249" s="407"/>
      <c r="S249" s="1137"/>
      <c r="T249" s="407"/>
      <c r="U249" s="407"/>
      <c r="V249" s="407"/>
      <c r="W249" s="1128"/>
      <c r="X249"/>
      <c r="Y249"/>
      <c r="Z249"/>
      <c r="AA249"/>
      <c r="AB249"/>
    </row>
    <row r="250" spans="1:28" s="205" customFormat="1">
      <c r="A250" s="1125"/>
      <c r="B250" s="404"/>
      <c r="C250" s="408"/>
      <c r="D250" s="408"/>
      <c r="E250" s="408"/>
      <c r="F250" s="408"/>
      <c r="G250" s="408"/>
      <c r="H250" s="408"/>
      <c r="I250" s="1138"/>
      <c r="J250" s="408"/>
      <c r="K250" s="408"/>
      <c r="L250" s="408"/>
      <c r="M250" s="408"/>
      <c r="N250" s="408"/>
      <c r="O250" s="1138"/>
      <c r="P250" s="408"/>
      <c r="Q250" s="408"/>
      <c r="R250" s="408"/>
      <c r="S250" s="1138"/>
      <c r="T250" s="408"/>
      <c r="U250" s="408"/>
      <c r="V250" s="408"/>
      <c r="W250" s="1129"/>
      <c r="X250"/>
      <c r="Y250"/>
      <c r="Z250"/>
      <c r="AA250"/>
      <c r="AB250"/>
    </row>
    <row r="251" spans="1:28" s="204" customFormat="1">
      <c r="A251" s="1125"/>
      <c r="B251" s="1135"/>
      <c r="C251" s="520"/>
      <c r="D251" s="520"/>
      <c r="E251" s="520"/>
      <c r="F251" s="520"/>
      <c r="G251" s="520"/>
      <c r="H251" s="520"/>
      <c r="I251" s="1139"/>
      <c r="J251" s="520"/>
      <c r="K251" s="520"/>
      <c r="L251" s="520"/>
      <c r="M251" s="520"/>
      <c r="N251" s="520"/>
      <c r="O251" s="1139"/>
      <c r="P251" s="520"/>
      <c r="Q251" s="520"/>
      <c r="R251" s="520"/>
      <c r="S251" s="1139"/>
      <c r="T251" s="520"/>
      <c r="U251" s="520"/>
      <c r="V251" s="520"/>
      <c r="W251" s="1152"/>
      <c r="X251"/>
      <c r="Y251"/>
      <c r="Z251"/>
      <c r="AA251"/>
      <c r="AB251"/>
    </row>
    <row r="252" spans="1:28">
      <c r="A252" s="1125"/>
      <c r="B252" s="403"/>
      <c r="C252" s="407"/>
      <c r="D252" s="407"/>
      <c r="E252" s="407"/>
      <c r="F252" s="407"/>
      <c r="G252" s="407"/>
      <c r="H252" s="407"/>
      <c r="I252" s="1137"/>
      <c r="J252" s="407"/>
      <c r="K252" s="407"/>
      <c r="L252" s="407"/>
      <c r="M252" s="407"/>
      <c r="N252" s="407"/>
      <c r="O252" s="1137"/>
      <c r="P252" s="407"/>
      <c r="Q252" s="407"/>
      <c r="R252" s="407"/>
      <c r="S252" s="1137"/>
      <c r="T252" s="407"/>
      <c r="U252" s="407"/>
      <c r="V252" s="407"/>
      <c r="W252" s="1128"/>
      <c r="X252"/>
      <c r="Y252"/>
      <c r="Z252"/>
      <c r="AA252"/>
      <c r="AB252"/>
    </row>
    <row r="253" spans="1:28" s="205" customFormat="1">
      <c r="A253" s="1125"/>
      <c r="B253" s="404"/>
      <c r="C253" s="408"/>
      <c r="D253" s="408"/>
      <c r="E253" s="408"/>
      <c r="F253" s="408"/>
      <c r="G253" s="408"/>
      <c r="H253" s="408"/>
      <c r="I253" s="1138"/>
      <c r="J253" s="408"/>
      <c r="K253" s="408"/>
      <c r="L253" s="408"/>
      <c r="M253" s="408"/>
      <c r="N253" s="408"/>
      <c r="O253" s="1138"/>
      <c r="P253" s="408"/>
      <c r="Q253" s="408"/>
      <c r="R253" s="408"/>
      <c r="S253" s="1138"/>
      <c r="T253" s="408"/>
      <c r="U253" s="408"/>
      <c r="V253" s="408"/>
      <c r="W253" s="1129"/>
      <c r="X253"/>
      <c r="Y253"/>
      <c r="Z253"/>
      <c r="AA253"/>
      <c r="AB253"/>
    </row>
    <row r="254" spans="1:28" s="204" customFormat="1">
      <c r="A254" s="1125"/>
      <c r="B254" s="1135"/>
      <c r="C254" s="520"/>
      <c r="D254" s="520"/>
      <c r="E254" s="520"/>
      <c r="F254" s="520"/>
      <c r="G254" s="520"/>
      <c r="H254" s="520"/>
      <c r="I254" s="1139"/>
      <c r="J254" s="520"/>
      <c r="K254" s="520"/>
      <c r="L254" s="520"/>
      <c r="M254" s="520"/>
      <c r="N254" s="520"/>
      <c r="O254" s="1139"/>
      <c r="P254" s="520"/>
      <c r="Q254" s="520"/>
      <c r="R254" s="520"/>
      <c r="S254" s="1139"/>
      <c r="T254" s="520"/>
      <c r="U254" s="520"/>
      <c r="V254" s="520"/>
      <c r="W254" s="1152"/>
      <c r="X254"/>
      <c r="Y254"/>
      <c r="Z254"/>
      <c r="AA254"/>
      <c r="AB254"/>
    </row>
    <row r="255" spans="1:28">
      <c r="A255" s="1125"/>
      <c r="B255" s="403"/>
      <c r="C255" s="407"/>
      <c r="D255" s="407"/>
      <c r="E255" s="407"/>
      <c r="F255" s="407"/>
      <c r="G255" s="407"/>
      <c r="H255" s="407"/>
      <c r="I255" s="1137"/>
      <c r="J255" s="407"/>
      <c r="K255" s="407"/>
      <c r="L255" s="407"/>
      <c r="M255" s="407"/>
      <c r="N255" s="407"/>
      <c r="O255" s="1137"/>
      <c r="P255" s="407"/>
      <c r="Q255" s="407"/>
      <c r="R255" s="407"/>
      <c r="S255" s="1137"/>
      <c r="T255" s="407"/>
      <c r="U255" s="407"/>
      <c r="V255" s="407"/>
      <c r="W255" s="1128"/>
      <c r="X255"/>
      <c r="Y255"/>
      <c r="Z255"/>
      <c r="AA255"/>
      <c r="AB255"/>
    </row>
    <row r="256" spans="1:28" s="205" customFormat="1">
      <c r="A256" s="1125"/>
      <c r="B256" s="404"/>
      <c r="C256" s="408"/>
      <c r="D256" s="408"/>
      <c r="E256" s="408"/>
      <c r="F256" s="408"/>
      <c r="G256" s="408"/>
      <c r="H256" s="408"/>
      <c r="I256" s="1138"/>
      <c r="J256" s="408"/>
      <c r="K256" s="408"/>
      <c r="L256" s="408"/>
      <c r="M256" s="408"/>
      <c r="N256" s="408"/>
      <c r="O256" s="1138"/>
      <c r="P256" s="408"/>
      <c r="Q256" s="408"/>
      <c r="R256" s="408"/>
      <c r="S256" s="1138"/>
      <c r="T256" s="408"/>
      <c r="U256" s="408"/>
      <c r="V256" s="408"/>
      <c r="W256" s="1129"/>
      <c r="X256"/>
      <c r="Y256"/>
      <c r="Z256"/>
      <c r="AA256"/>
      <c r="AB256"/>
    </row>
    <row r="257" spans="1:28" s="204" customFormat="1">
      <c r="A257" s="1125"/>
      <c r="B257" s="1135"/>
      <c r="C257" s="520"/>
      <c r="D257" s="520"/>
      <c r="E257" s="520"/>
      <c r="F257" s="520"/>
      <c r="G257" s="520"/>
      <c r="H257" s="520"/>
      <c r="I257" s="1139"/>
      <c r="J257" s="520"/>
      <c r="K257" s="520"/>
      <c r="L257" s="520"/>
      <c r="M257" s="520"/>
      <c r="N257" s="520"/>
      <c r="O257" s="1139"/>
      <c r="P257" s="520"/>
      <c r="Q257" s="520"/>
      <c r="R257" s="520"/>
      <c r="S257" s="1139"/>
      <c r="T257" s="520"/>
      <c r="U257" s="520"/>
      <c r="V257" s="520"/>
      <c r="W257" s="1152"/>
      <c r="X257"/>
      <c r="Y257"/>
      <c r="Z257"/>
      <c r="AA257"/>
      <c r="AB257"/>
    </row>
    <row r="258" spans="1:28">
      <c r="A258" s="1125"/>
      <c r="B258" s="403"/>
      <c r="C258" s="407"/>
      <c r="D258" s="407"/>
      <c r="E258" s="407"/>
      <c r="F258" s="407"/>
      <c r="G258" s="407"/>
      <c r="H258" s="407"/>
      <c r="I258" s="1137"/>
      <c r="J258" s="407"/>
      <c r="K258" s="407"/>
      <c r="L258" s="407"/>
      <c r="M258" s="407"/>
      <c r="N258" s="407"/>
      <c r="O258" s="1137"/>
      <c r="P258" s="407"/>
      <c r="Q258" s="407"/>
      <c r="R258" s="407"/>
      <c r="S258" s="1137"/>
      <c r="T258" s="407"/>
      <c r="U258" s="407"/>
      <c r="V258" s="407"/>
      <c r="W258" s="1128"/>
      <c r="X258"/>
      <c r="Y258"/>
      <c r="Z258"/>
      <c r="AA258"/>
      <c r="AB258"/>
    </row>
    <row r="259" spans="1:28" s="205" customFormat="1">
      <c r="A259" s="1125"/>
      <c r="B259" s="404"/>
      <c r="C259" s="408"/>
      <c r="D259" s="408"/>
      <c r="E259" s="408"/>
      <c r="F259" s="408"/>
      <c r="G259" s="408"/>
      <c r="H259" s="408"/>
      <c r="I259" s="1138"/>
      <c r="J259" s="408"/>
      <c r="K259" s="408"/>
      <c r="L259" s="408"/>
      <c r="M259" s="408"/>
      <c r="N259" s="408"/>
      <c r="O259" s="1138"/>
      <c r="P259" s="408"/>
      <c r="Q259" s="408"/>
      <c r="R259" s="408"/>
      <c r="S259" s="1138"/>
      <c r="T259" s="408"/>
      <c r="U259" s="408"/>
      <c r="V259" s="408"/>
      <c r="W259" s="1129"/>
      <c r="X259"/>
      <c r="Y259"/>
      <c r="Z259"/>
      <c r="AA259"/>
      <c r="AB259"/>
    </row>
    <row r="260" spans="1:28" s="204" customFormat="1">
      <c r="A260" s="1125"/>
      <c r="B260" s="1135"/>
      <c r="C260" s="520"/>
      <c r="D260" s="520"/>
      <c r="E260" s="520"/>
      <c r="F260" s="520"/>
      <c r="G260" s="520"/>
      <c r="H260" s="520"/>
      <c r="I260" s="1139"/>
      <c r="J260" s="520"/>
      <c r="K260" s="520"/>
      <c r="L260" s="520"/>
      <c r="M260" s="520"/>
      <c r="N260" s="520"/>
      <c r="O260" s="1139"/>
      <c r="P260" s="520"/>
      <c r="Q260" s="520"/>
      <c r="R260" s="520"/>
      <c r="S260" s="1139"/>
      <c r="T260" s="520"/>
      <c r="U260" s="520"/>
      <c r="V260" s="520"/>
      <c r="W260" s="1152"/>
      <c r="X260"/>
      <c r="Y260"/>
      <c r="Z260"/>
      <c r="AA260"/>
      <c r="AB260"/>
    </row>
    <row r="261" spans="1:28">
      <c r="A261" s="1125"/>
      <c r="B261" s="403"/>
      <c r="C261" s="407"/>
      <c r="D261" s="407"/>
      <c r="E261" s="407"/>
      <c r="F261" s="407"/>
      <c r="G261" s="407"/>
      <c r="H261" s="407"/>
      <c r="I261" s="1137"/>
      <c r="J261" s="407"/>
      <c r="K261" s="407"/>
      <c r="L261" s="407"/>
      <c r="M261" s="407"/>
      <c r="N261" s="407"/>
      <c r="O261" s="1137"/>
      <c r="P261" s="407"/>
      <c r="Q261" s="407"/>
      <c r="R261" s="407"/>
      <c r="S261" s="1137"/>
      <c r="T261" s="407"/>
      <c r="U261" s="407"/>
      <c r="V261" s="407"/>
      <c r="W261" s="1128"/>
      <c r="X261"/>
      <c r="Y261"/>
      <c r="Z261"/>
      <c r="AA261"/>
      <c r="AB261"/>
    </row>
    <row r="262" spans="1:28" s="205" customFormat="1">
      <c r="A262" s="1125"/>
      <c r="B262" s="404"/>
      <c r="C262" s="408"/>
      <c r="D262" s="408"/>
      <c r="E262" s="408"/>
      <c r="F262" s="408"/>
      <c r="G262" s="408"/>
      <c r="H262" s="408"/>
      <c r="I262" s="1138"/>
      <c r="J262" s="408"/>
      <c r="K262" s="408"/>
      <c r="L262" s="408"/>
      <c r="M262" s="408"/>
      <c r="N262" s="408"/>
      <c r="O262" s="1138"/>
      <c r="P262" s="408"/>
      <c r="Q262" s="408"/>
      <c r="R262" s="408"/>
      <c r="S262" s="1138"/>
      <c r="T262" s="408"/>
      <c r="U262" s="408"/>
      <c r="V262" s="408"/>
      <c r="W262" s="1129"/>
      <c r="X262"/>
      <c r="Y262"/>
      <c r="Z262"/>
      <c r="AA262"/>
      <c r="AB262"/>
    </row>
    <row r="263" spans="1:28" s="204" customFormat="1">
      <c r="A263" s="1125"/>
      <c r="B263" s="1135"/>
      <c r="C263" s="520"/>
      <c r="D263" s="520"/>
      <c r="E263" s="520"/>
      <c r="F263" s="520"/>
      <c r="G263" s="520"/>
      <c r="H263" s="520"/>
      <c r="I263" s="1139"/>
      <c r="J263" s="520"/>
      <c r="K263" s="520"/>
      <c r="L263" s="520"/>
      <c r="M263" s="520"/>
      <c r="N263" s="520"/>
      <c r="O263" s="1139"/>
      <c r="P263" s="520"/>
      <c r="Q263" s="520"/>
      <c r="R263" s="520"/>
      <c r="S263" s="1139"/>
      <c r="T263" s="520"/>
      <c r="U263" s="520"/>
      <c r="V263" s="520"/>
      <c r="W263" s="1152"/>
      <c r="X263"/>
      <c r="Y263"/>
      <c r="Z263"/>
      <c r="AA263"/>
      <c r="AB263"/>
    </row>
    <row r="264" spans="1:28">
      <c r="A264" s="1125"/>
      <c r="B264" s="403"/>
      <c r="C264" s="407"/>
      <c r="D264" s="407"/>
      <c r="E264" s="407"/>
      <c r="F264" s="407"/>
      <c r="G264" s="407"/>
      <c r="H264" s="407"/>
      <c r="I264" s="1137"/>
      <c r="J264" s="407"/>
      <c r="K264" s="407"/>
      <c r="L264" s="407"/>
      <c r="M264" s="407"/>
      <c r="N264" s="407"/>
      <c r="O264" s="1137"/>
      <c r="P264" s="407"/>
      <c r="Q264" s="407"/>
      <c r="R264" s="407"/>
      <c r="S264" s="1137"/>
      <c r="T264" s="407"/>
      <c r="U264" s="407"/>
      <c r="V264" s="407"/>
      <c r="W264" s="1128"/>
      <c r="X264"/>
      <c r="Y264"/>
      <c r="Z264"/>
      <c r="AA264"/>
      <c r="AB264"/>
    </row>
    <row r="265" spans="1:28" s="205" customFormat="1">
      <c r="A265" s="1125"/>
      <c r="B265" s="404"/>
      <c r="C265" s="408"/>
      <c r="D265" s="408"/>
      <c r="E265" s="408"/>
      <c r="F265" s="408"/>
      <c r="G265" s="408"/>
      <c r="H265" s="408"/>
      <c r="I265" s="1138"/>
      <c r="J265" s="408"/>
      <c r="K265" s="408"/>
      <c r="L265" s="408"/>
      <c r="M265" s="408"/>
      <c r="N265" s="408"/>
      <c r="O265" s="1138"/>
      <c r="P265" s="408"/>
      <c r="Q265" s="408"/>
      <c r="R265" s="408"/>
      <c r="S265" s="1138"/>
      <c r="T265" s="408"/>
      <c r="U265" s="408"/>
      <c r="V265" s="408"/>
      <c r="W265" s="1129"/>
      <c r="X265"/>
      <c r="Y265"/>
      <c r="Z265"/>
      <c r="AA265"/>
      <c r="AB265"/>
    </row>
    <row r="266" spans="1:28" s="204" customFormat="1">
      <c r="A266" s="1125"/>
      <c r="B266" s="1135"/>
      <c r="C266" s="520"/>
      <c r="D266" s="520"/>
      <c r="E266" s="520"/>
      <c r="F266" s="520"/>
      <c r="G266" s="520"/>
      <c r="H266" s="520"/>
      <c r="I266" s="1139"/>
      <c r="J266" s="520"/>
      <c r="K266" s="520"/>
      <c r="L266" s="520"/>
      <c r="M266" s="520"/>
      <c r="N266" s="520"/>
      <c r="O266" s="1139"/>
      <c r="P266" s="520"/>
      <c r="Q266" s="520"/>
      <c r="R266" s="520"/>
      <c r="S266" s="1139"/>
      <c r="T266" s="520"/>
      <c r="U266" s="520"/>
      <c r="V266" s="520"/>
      <c r="W266" s="1152"/>
      <c r="X266"/>
      <c r="Y266"/>
      <c r="Z266"/>
      <c r="AA266"/>
      <c r="AB266"/>
    </row>
    <row r="267" spans="1:28">
      <c r="A267" s="1125"/>
      <c r="B267" s="403"/>
      <c r="C267" s="407"/>
      <c r="D267" s="407"/>
      <c r="E267" s="407"/>
      <c r="F267" s="407"/>
      <c r="G267" s="407"/>
      <c r="H267" s="407"/>
      <c r="I267" s="1137"/>
      <c r="J267" s="407"/>
      <c r="K267" s="407"/>
      <c r="L267" s="407"/>
      <c r="M267" s="407"/>
      <c r="N267" s="407"/>
      <c r="O267" s="1137"/>
      <c r="P267" s="407"/>
      <c r="Q267" s="407"/>
      <c r="R267" s="407"/>
      <c r="S267" s="1137"/>
      <c r="T267" s="407"/>
      <c r="U267" s="407"/>
      <c r="V267" s="407"/>
      <c r="W267" s="1128"/>
      <c r="X267"/>
      <c r="Y267"/>
      <c r="Z267"/>
      <c r="AA267"/>
      <c r="AB267"/>
    </row>
    <row r="268" spans="1:28" s="205" customFormat="1">
      <c r="A268" s="1125"/>
      <c r="B268" s="404"/>
      <c r="C268" s="408"/>
      <c r="D268" s="408"/>
      <c r="E268" s="408"/>
      <c r="F268" s="408"/>
      <c r="G268" s="408"/>
      <c r="H268" s="408"/>
      <c r="I268" s="1138"/>
      <c r="J268" s="408"/>
      <c r="K268" s="408"/>
      <c r="L268" s="408"/>
      <c r="M268" s="408"/>
      <c r="N268" s="408"/>
      <c r="O268" s="1138"/>
      <c r="P268" s="408"/>
      <c r="Q268" s="408"/>
      <c r="R268" s="408"/>
      <c r="S268" s="1138"/>
      <c r="T268" s="408"/>
      <c r="U268" s="408"/>
      <c r="V268" s="408"/>
      <c r="W268" s="1129"/>
      <c r="X268"/>
      <c r="Y268"/>
      <c r="Z268"/>
      <c r="AA268"/>
      <c r="AB268"/>
    </row>
    <row r="269" spans="1:28" s="204" customFormat="1">
      <c r="A269" s="1125"/>
      <c r="B269" s="1135"/>
      <c r="C269" s="520"/>
      <c r="D269" s="520"/>
      <c r="E269" s="520"/>
      <c r="F269" s="520"/>
      <c r="G269" s="520"/>
      <c r="H269" s="520"/>
      <c r="I269" s="1139"/>
      <c r="J269" s="520"/>
      <c r="K269" s="520"/>
      <c r="L269" s="520"/>
      <c r="M269" s="520"/>
      <c r="N269" s="520"/>
      <c r="O269" s="1139"/>
      <c r="P269" s="520"/>
      <c r="Q269" s="520"/>
      <c r="R269" s="520"/>
      <c r="S269" s="1139"/>
      <c r="T269" s="520"/>
      <c r="U269" s="520"/>
      <c r="V269" s="520"/>
      <c r="W269" s="1152"/>
      <c r="X269"/>
      <c r="Y269"/>
      <c r="Z269"/>
      <c r="AA269"/>
      <c r="AB269"/>
    </row>
    <row r="270" spans="1:28">
      <c r="A270" s="1125"/>
      <c r="B270" s="403"/>
      <c r="C270" s="407"/>
      <c r="D270" s="407"/>
      <c r="E270" s="407"/>
      <c r="F270" s="407"/>
      <c r="G270" s="407"/>
      <c r="H270" s="407"/>
      <c r="I270" s="1137"/>
      <c r="J270" s="407"/>
      <c r="K270" s="407"/>
      <c r="L270" s="407"/>
      <c r="M270" s="407"/>
      <c r="N270" s="407"/>
      <c r="O270" s="1137"/>
      <c r="P270" s="407"/>
      <c r="Q270" s="407"/>
      <c r="R270" s="407"/>
      <c r="S270" s="1137"/>
      <c r="T270" s="407"/>
      <c r="U270" s="407"/>
      <c r="V270" s="407"/>
      <c r="W270" s="1128"/>
      <c r="X270"/>
      <c r="Y270"/>
      <c r="Z270"/>
      <c r="AA270"/>
      <c r="AB270"/>
    </row>
    <row r="271" spans="1:28" s="205" customFormat="1">
      <c r="A271" s="1125"/>
      <c r="B271" s="404"/>
      <c r="C271" s="408"/>
      <c r="D271" s="408"/>
      <c r="E271" s="408"/>
      <c r="F271" s="408"/>
      <c r="G271" s="408"/>
      <c r="H271" s="408"/>
      <c r="I271" s="1138"/>
      <c r="J271" s="408"/>
      <c r="K271" s="408"/>
      <c r="L271" s="408"/>
      <c r="M271" s="408"/>
      <c r="N271" s="408"/>
      <c r="O271" s="1138"/>
      <c r="P271" s="408"/>
      <c r="Q271" s="408"/>
      <c r="R271" s="408"/>
      <c r="S271" s="1138"/>
      <c r="T271" s="408"/>
      <c r="U271" s="408"/>
      <c r="V271" s="408"/>
      <c r="W271" s="1129"/>
      <c r="X271"/>
      <c r="Y271"/>
      <c r="Z271"/>
      <c r="AA271"/>
      <c r="AB271"/>
    </row>
    <row r="272" spans="1:28" s="204" customFormat="1">
      <c r="A272" s="1125"/>
      <c r="B272" s="1135"/>
      <c r="C272" s="520"/>
      <c r="D272" s="520"/>
      <c r="E272" s="520"/>
      <c r="F272" s="520"/>
      <c r="G272" s="520"/>
      <c r="H272" s="520"/>
      <c r="I272" s="1139"/>
      <c r="J272" s="520"/>
      <c r="K272" s="520"/>
      <c r="L272" s="520"/>
      <c r="M272" s="520"/>
      <c r="N272" s="520"/>
      <c r="O272" s="1139"/>
      <c r="P272" s="520"/>
      <c r="Q272" s="520"/>
      <c r="R272" s="520"/>
      <c r="S272" s="1139"/>
      <c r="T272" s="520"/>
      <c r="U272" s="520"/>
      <c r="V272" s="520"/>
      <c r="W272" s="1152"/>
      <c r="X272"/>
      <c r="Y272"/>
      <c r="Z272"/>
      <c r="AA272"/>
      <c r="AB272"/>
    </row>
    <row r="273" spans="1:28">
      <c r="A273" s="1125"/>
      <c r="B273" s="403"/>
      <c r="C273" s="407"/>
      <c r="D273" s="407"/>
      <c r="E273" s="407"/>
      <c r="F273" s="407"/>
      <c r="G273" s="407"/>
      <c r="H273" s="407"/>
      <c r="I273" s="1137"/>
      <c r="J273" s="407"/>
      <c r="K273" s="407"/>
      <c r="L273" s="407"/>
      <c r="M273" s="407"/>
      <c r="N273" s="407"/>
      <c r="O273" s="1137"/>
      <c r="P273" s="407"/>
      <c r="Q273" s="407"/>
      <c r="R273" s="407"/>
      <c r="S273" s="1137"/>
      <c r="T273" s="407"/>
      <c r="U273" s="407"/>
      <c r="V273" s="407"/>
      <c r="W273" s="1128"/>
      <c r="X273"/>
      <c r="Y273"/>
      <c r="Z273"/>
      <c r="AA273"/>
      <c r="AB273"/>
    </row>
    <row r="274" spans="1:28" s="205" customFormat="1">
      <c r="A274" s="1125"/>
      <c r="B274" s="404"/>
      <c r="C274" s="408"/>
      <c r="D274" s="408"/>
      <c r="E274" s="408"/>
      <c r="F274" s="408"/>
      <c r="G274" s="408"/>
      <c r="H274" s="408"/>
      <c r="I274" s="1138"/>
      <c r="J274" s="408"/>
      <c r="K274" s="408"/>
      <c r="L274" s="408"/>
      <c r="M274" s="408"/>
      <c r="N274" s="408"/>
      <c r="O274" s="1138"/>
      <c r="P274" s="408"/>
      <c r="Q274" s="408"/>
      <c r="R274" s="408"/>
      <c r="S274" s="1138"/>
      <c r="T274" s="408"/>
      <c r="U274" s="408"/>
      <c r="V274" s="408"/>
      <c r="W274" s="1129"/>
      <c r="X274"/>
      <c r="Y274"/>
      <c r="Z274"/>
      <c r="AA274"/>
      <c r="AB274"/>
    </row>
    <row r="275" spans="1:28" s="204" customFormat="1">
      <c r="A275" s="1125"/>
      <c r="B275" s="1135"/>
      <c r="C275" s="520"/>
      <c r="D275" s="520"/>
      <c r="E275" s="520"/>
      <c r="F275" s="520"/>
      <c r="G275" s="520"/>
      <c r="H275" s="520"/>
      <c r="I275" s="1139"/>
      <c r="J275" s="520"/>
      <c r="K275" s="520"/>
      <c r="L275" s="520"/>
      <c r="M275" s="520"/>
      <c r="N275" s="520"/>
      <c r="O275" s="1139"/>
      <c r="P275" s="520"/>
      <c r="Q275" s="520"/>
      <c r="R275" s="520"/>
      <c r="S275" s="1139"/>
      <c r="T275" s="520"/>
      <c r="U275" s="520"/>
      <c r="V275" s="520"/>
      <c r="W275" s="1152"/>
      <c r="X275"/>
      <c r="Y275"/>
      <c r="Z275"/>
      <c r="AA275"/>
      <c r="AB275"/>
    </row>
    <row r="276" spans="1:28">
      <c r="A276" s="1125"/>
      <c r="B276" s="403"/>
      <c r="C276" s="407"/>
      <c r="D276" s="407"/>
      <c r="E276" s="407"/>
      <c r="F276" s="407"/>
      <c r="G276" s="407"/>
      <c r="H276" s="407"/>
      <c r="I276" s="1137"/>
      <c r="J276" s="407"/>
      <c r="K276" s="407"/>
      <c r="L276" s="407"/>
      <c r="M276" s="407"/>
      <c r="N276" s="407"/>
      <c r="O276" s="1137"/>
      <c r="P276" s="407"/>
      <c r="Q276" s="407"/>
      <c r="R276" s="407"/>
      <c r="S276" s="1137"/>
      <c r="T276" s="407"/>
      <c r="U276" s="407"/>
      <c r="V276" s="407"/>
      <c r="W276" s="1128"/>
      <c r="X276"/>
      <c r="Y276"/>
      <c r="Z276"/>
      <c r="AA276"/>
      <c r="AB276"/>
    </row>
    <row r="277" spans="1:28" s="205" customFormat="1">
      <c r="A277" s="1125"/>
      <c r="B277" s="404"/>
      <c r="C277" s="408"/>
      <c r="D277" s="408"/>
      <c r="E277" s="408"/>
      <c r="F277" s="408"/>
      <c r="G277" s="408"/>
      <c r="H277" s="408"/>
      <c r="I277" s="1138"/>
      <c r="J277" s="408"/>
      <c r="K277" s="408"/>
      <c r="L277" s="408"/>
      <c r="M277" s="408"/>
      <c r="N277" s="408"/>
      <c r="O277" s="1138"/>
      <c r="P277" s="408"/>
      <c r="Q277" s="408"/>
      <c r="R277" s="408"/>
      <c r="S277" s="1138"/>
      <c r="T277" s="408"/>
      <c r="U277" s="408"/>
      <c r="V277" s="408"/>
      <c r="W277" s="1129"/>
      <c r="X277"/>
      <c r="Y277"/>
      <c r="Z277"/>
      <c r="AA277"/>
      <c r="AB277"/>
    </row>
    <row r="278" spans="1:28" s="214" customFormat="1">
      <c r="A278" s="1136"/>
      <c r="B278" s="1135"/>
      <c r="C278" s="520"/>
      <c r="D278" s="520"/>
      <c r="E278" s="520"/>
      <c r="F278" s="520"/>
      <c r="G278" s="520"/>
      <c r="H278" s="520"/>
      <c r="I278" s="1139"/>
      <c r="J278" s="520"/>
      <c r="K278" s="520"/>
      <c r="L278" s="520"/>
      <c r="M278" s="520"/>
      <c r="N278" s="520"/>
      <c r="O278" s="1139"/>
      <c r="P278" s="520"/>
      <c r="Q278" s="520"/>
      <c r="R278" s="520"/>
      <c r="S278" s="1139"/>
      <c r="T278" s="520"/>
      <c r="U278" s="520"/>
      <c r="V278" s="520"/>
      <c r="W278" s="1152"/>
      <c r="X278"/>
      <c r="Y278"/>
      <c r="Z278"/>
      <c r="AA278"/>
      <c r="AB278"/>
    </row>
    <row r="279" spans="1:28">
      <c r="A279" s="233"/>
      <c r="B279" s="403"/>
      <c r="C279" s="407"/>
      <c r="D279" s="407"/>
      <c r="E279" s="407"/>
      <c r="F279" s="407"/>
      <c r="G279" s="407"/>
      <c r="H279" s="407"/>
      <c r="I279" s="1137"/>
      <c r="J279" s="407"/>
      <c r="K279" s="407"/>
      <c r="L279" s="407"/>
      <c r="M279" s="407"/>
      <c r="N279" s="407"/>
      <c r="O279" s="1137"/>
      <c r="P279" s="407"/>
      <c r="Q279" s="407"/>
      <c r="R279" s="407"/>
      <c r="S279" s="1137"/>
      <c r="T279" s="407"/>
      <c r="U279" s="407"/>
      <c r="V279" s="407"/>
      <c r="W279" s="1128"/>
      <c r="X279"/>
      <c r="Y279"/>
      <c r="Z279"/>
      <c r="AA279"/>
      <c r="AB279"/>
    </row>
    <row r="280" spans="1:28" s="205" customFormat="1">
      <c r="A280" s="1125"/>
      <c r="B280" s="404"/>
      <c r="C280" s="408"/>
      <c r="D280" s="408"/>
      <c r="E280" s="408"/>
      <c r="F280" s="408"/>
      <c r="G280" s="408"/>
      <c r="H280" s="408"/>
      <c r="I280" s="1138"/>
      <c r="J280" s="408"/>
      <c r="K280" s="408"/>
      <c r="L280" s="408"/>
      <c r="M280" s="408"/>
      <c r="N280" s="408"/>
      <c r="O280" s="1138"/>
      <c r="P280" s="408"/>
      <c r="Q280" s="408"/>
      <c r="R280" s="408"/>
      <c r="S280" s="1138"/>
      <c r="T280" s="408"/>
      <c r="U280" s="408"/>
      <c r="V280" s="408"/>
      <c r="W280" s="1129"/>
      <c r="X280"/>
      <c r="Y280"/>
      <c r="Z280"/>
      <c r="AA280"/>
      <c r="AB280"/>
    </row>
    <row r="281" spans="1:28" s="204" customFormat="1">
      <c r="A281" s="1126"/>
      <c r="B281" s="1135"/>
      <c r="C281" s="520"/>
      <c r="D281" s="520"/>
      <c r="E281" s="520"/>
      <c r="F281" s="520"/>
      <c r="G281" s="520"/>
      <c r="H281" s="520"/>
      <c r="I281" s="1139"/>
      <c r="J281" s="520"/>
      <c r="K281" s="520"/>
      <c r="L281" s="520"/>
      <c r="M281" s="520"/>
      <c r="N281" s="520"/>
      <c r="O281" s="1139"/>
      <c r="P281" s="520"/>
      <c r="Q281" s="520"/>
      <c r="R281" s="520"/>
      <c r="S281" s="1139"/>
      <c r="T281" s="520"/>
      <c r="U281" s="520"/>
      <c r="V281" s="520"/>
      <c r="W281" s="1152"/>
      <c r="X281"/>
      <c r="Y281"/>
      <c r="Z281"/>
      <c r="AA281"/>
      <c r="AB281"/>
    </row>
    <row r="282" spans="1:28">
      <c r="A282" s="1125"/>
      <c r="B282" s="403"/>
      <c r="C282" s="407"/>
      <c r="D282" s="407"/>
      <c r="E282" s="407"/>
      <c r="F282" s="407"/>
      <c r="G282" s="407"/>
      <c r="H282" s="407"/>
      <c r="I282" s="1137"/>
      <c r="J282" s="407"/>
      <c r="K282" s="407"/>
      <c r="L282" s="407"/>
      <c r="M282" s="407"/>
      <c r="N282" s="407"/>
      <c r="O282" s="1137"/>
      <c r="P282" s="407"/>
      <c r="Q282" s="407"/>
      <c r="R282" s="407"/>
      <c r="S282" s="1137"/>
      <c r="T282" s="407"/>
      <c r="U282" s="407"/>
      <c r="V282" s="407"/>
      <c r="W282" s="1128"/>
      <c r="X282"/>
      <c r="Y282"/>
      <c r="Z282"/>
      <c r="AA282"/>
      <c r="AB282"/>
    </row>
    <row r="283" spans="1:28" s="205" customFormat="1">
      <c r="A283" s="1125"/>
      <c r="B283" s="404"/>
      <c r="C283" s="408"/>
      <c r="D283" s="408"/>
      <c r="E283" s="408"/>
      <c r="F283" s="408"/>
      <c r="G283" s="408"/>
      <c r="H283" s="408"/>
      <c r="I283" s="1138"/>
      <c r="J283" s="408"/>
      <c r="K283" s="408"/>
      <c r="L283" s="408"/>
      <c r="M283" s="408"/>
      <c r="N283" s="408"/>
      <c r="O283" s="1138"/>
      <c r="P283" s="408"/>
      <c r="Q283" s="408"/>
      <c r="R283" s="408"/>
      <c r="S283" s="1138"/>
      <c r="T283" s="408"/>
      <c r="U283" s="408"/>
      <c r="V283" s="408"/>
      <c r="W283" s="1129"/>
      <c r="X283"/>
      <c r="Y283"/>
      <c r="Z283"/>
      <c r="AA283"/>
      <c r="AB283"/>
    </row>
    <row r="284" spans="1:28" s="204" customFormat="1">
      <c r="A284" s="1125"/>
      <c r="B284" s="1135"/>
      <c r="C284" s="520"/>
      <c r="D284" s="520"/>
      <c r="E284" s="520"/>
      <c r="F284" s="520"/>
      <c r="G284" s="520"/>
      <c r="H284" s="520"/>
      <c r="I284" s="1139"/>
      <c r="J284" s="520"/>
      <c r="K284" s="520"/>
      <c r="L284" s="520"/>
      <c r="M284" s="520"/>
      <c r="N284" s="520"/>
      <c r="O284" s="1139"/>
      <c r="P284" s="520"/>
      <c r="Q284" s="520"/>
      <c r="R284" s="520"/>
      <c r="S284" s="1139"/>
      <c r="T284" s="520"/>
      <c r="U284" s="520"/>
      <c r="V284" s="520"/>
      <c r="W284" s="1152"/>
      <c r="X284"/>
      <c r="Y284"/>
      <c r="Z284"/>
      <c r="AA284"/>
      <c r="AB284"/>
    </row>
    <row r="285" spans="1:28">
      <c r="A285" s="1125"/>
      <c r="B285" s="403"/>
      <c r="C285" s="407"/>
      <c r="D285" s="407"/>
      <c r="E285" s="407"/>
      <c r="F285" s="407"/>
      <c r="G285" s="407"/>
      <c r="H285" s="407"/>
      <c r="I285" s="1137"/>
      <c r="J285" s="407"/>
      <c r="K285" s="407"/>
      <c r="L285" s="407"/>
      <c r="M285" s="407"/>
      <c r="N285" s="407"/>
      <c r="O285" s="1137"/>
      <c r="P285" s="407"/>
      <c r="Q285" s="407"/>
      <c r="R285" s="407"/>
      <c r="S285" s="1137"/>
      <c r="T285" s="407"/>
      <c r="U285" s="407"/>
      <c r="V285" s="407"/>
      <c r="W285" s="1128"/>
      <c r="X285"/>
      <c r="Y285"/>
      <c r="Z285"/>
      <c r="AA285"/>
      <c r="AB285"/>
    </row>
    <row r="286" spans="1:28" s="205" customFormat="1">
      <c r="A286" s="1125"/>
      <c r="B286" s="404"/>
      <c r="C286" s="408"/>
      <c r="D286" s="408"/>
      <c r="E286" s="408"/>
      <c r="F286" s="408"/>
      <c r="G286" s="408"/>
      <c r="H286" s="408"/>
      <c r="I286" s="1138"/>
      <c r="J286" s="408"/>
      <c r="K286" s="408"/>
      <c r="L286" s="408"/>
      <c r="M286" s="408"/>
      <c r="N286" s="408"/>
      <c r="O286" s="1138"/>
      <c r="P286" s="408"/>
      <c r="Q286" s="408"/>
      <c r="R286" s="408"/>
      <c r="S286" s="1138"/>
      <c r="T286" s="408"/>
      <c r="U286" s="408"/>
      <c r="V286" s="408"/>
      <c r="W286" s="1129"/>
      <c r="X286"/>
      <c r="Y286"/>
      <c r="Z286"/>
      <c r="AA286"/>
      <c r="AB286"/>
    </row>
    <row r="287" spans="1:28" s="204" customFormat="1">
      <c r="A287" s="1125"/>
      <c r="B287" s="1135"/>
      <c r="C287" s="520"/>
      <c r="D287" s="520"/>
      <c r="E287" s="520"/>
      <c r="F287" s="520"/>
      <c r="G287" s="520"/>
      <c r="H287" s="520"/>
      <c r="I287" s="1139"/>
      <c r="J287" s="520"/>
      <c r="K287" s="520"/>
      <c r="L287" s="520"/>
      <c r="M287" s="520"/>
      <c r="N287" s="520"/>
      <c r="O287" s="1139"/>
      <c r="P287" s="520"/>
      <c r="Q287" s="520"/>
      <c r="R287" s="520"/>
      <c r="S287" s="1139"/>
      <c r="T287" s="520"/>
      <c r="U287" s="520"/>
      <c r="V287" s="520"/>
      <c r="W287" s="1152"/>
      <c r="X287"/>
      <c r="Y287"/>
      <c r="Z287"/>
      <c r="AA287"/>
      <c r="AB287"/>
    </row>
    <row r="288" spans="1:28">
      <c r="A288" s="1125"/>
      <c r="B288" s="403"/>
      <c r="C288" s="407"/>
      <c r="D288" s="407"/>
      <c r="E288" s="407"/>
      <c r="F288" s="407"/>
      <c r="G288" s="407"/>
      <c r="H288" s="407"/>
      <c r="I288" s="1137"/>
      <c r="J288" s="407"/>
      <c r="K288" s="407"/>
      <c r="L288" s="407"/>
      <c r="M288" s="407"/>
      <c r="N288" s="407"/>
      <c r="O288" s="1137"/>
      <c r="P288" s="407"/>
      <c r="Q288" s="407"/>
      <c r="R288" s="407"/>
      <c r="S288" s="1137"/>
      <c r="T288" s="407"/>
      <c r="U288" s="407"/>
      <c r="V288" s="407"/>
      <c r="W288" s="1128"/>
      <c r="X288"/>
      <c r="Y288"/>
      <c r="Z288"/>
      <c r="AA288"/>
      <c r="AB288"/>
    </row>
    <row r="289" spans="1:28" s="205" customFormat="1">
      <c r="A289" s="1125"/>
      <c r="B289" s="404"/>
      <c r="C289" s="408"/>
      <c r="D289" s="408"/>
      <c r="E289" s="408"/>
      <c r="F289" s="408"/>
      <c r="G289" s="408"/>
      <c r="H289" s="408"/>
      <c r="I289" s="1138"/>
      <c r="J289" s="408"/>
      <c r="K289" s="408"/>
      <c r="L289" s="408"/>
      <c r="M289" s="408"/>
      <c r="N289" s="408"/>
      <c r="O289" s="1138"/>
      <c r="P289" s="408"/>
      <c r="Q289" s="408"/>
      <c r="R289" s="408"/>
      <c r="S289" s="1138"/>
      <c r="T289" s="408"/>
      <c r="U289" s="408"/>
      <c r="V289" s="408"/>
      <c r="W289" s="1129"/>
      <c r="X289"/>
      <c r="Y289"/>
      <c r="Z289"/>
      <c r="AA289"/>
      <c r="AB289"/>
    </row>
    <row r="290" spans="1:28" s="204" customFormat="1">
      <c r="A290" s="1125"/>
      <c r="B290" s="1135"/>
      <c r="C290" s="520"/>
      <c r="D290" s="520"/>
      <c r="E290" s="520"/>
      <c r="F290" s="520"/>
      <c r="G290" s="520"/>
      <c r="H290" s="520"/>
      <c r="I290" s="1139"/>
      <c r="J290" s="520"/>
      <c r="K290" s="520"/>
      <c r="L290" s="520"/>
      <c r="M290" s="520"/>
      <c r="N290" s="520"/>
      <c r="O290" s="1139"/>
      <c r="P290" s="520"/>
      <c r="Q290" s="520"/>
      <c r="R290" s="520"/>
      <c r="S290" s="1139"/>
      <c r="T290" s="520"/>
      <c r="U290" s="520"/>
      <c r="V290" s="520"/>
      <c r="W290" s="1152"/>
      <c r="X290"/>
      <c r="Y290"/>
      <c r="Z290"/>
      <c r="AA290"/>
      <c r="AB290"/>
    </row>
    <row r="291" spans="1:28">
      <c r="A291" s="1125"/>
      <c r="B291" s="403"/>
      <c r="C291" s="407"/>
      <c r="D291" s="407"/>
      <c r="E291" s="407"/>
      <c r="F291" s="407"/>
      <c r="G291" s="407"/>
      <c r="H291" s="407"/>
      <c r="I291" s="1137"/>
      <c r="J291" s="407"/>
      <c r="K291" s="407"/>
      <c r="L291" s="407"/>
      <c r="M291" s="407"/>
      <c r="N291" s="407"/>
      <c r="O291" s="1137"/>
      <c r="P291" s="407"/>
      <c r="Q291" s="407"/>
      <c r="R291" s="407"/>
      <c r="S291" s="1137"/>
      <c r="T291" s="407"/>
      <c r="U291" s="407"/>
      <c r="V291" s="407"/>
      <c r="W291" s="1128"/>
      <c r="X291"/>
      <c r="Y291"/>
      <c r="Z291"/>
      <c r="AA291"/>
      <c r="AB291"/>
    </row>
    <row r="292" spans="1:28" s="205" customFormat="1">
      <c r="A292" s="1125"/>
      <c r="B292" s="404"/>
      <c r="C292" s="408"/>
      <c r="D292" s="408"/>
      <c r="E292" s="408"/>
      <c r="F292" s="408"/>
      <c r="G292" s="408"/>
      <c r="H292" s="408"/>
      <c r="I292" s="1138"/>
      <c r="J292" s="408"/>
      <c r="K292" s="408"/>
      <c r="L292" s="408"/>
      <c r="M292" s="408"/>
      <c r="N292" s="408"/>
      <c r="O292" s="1138"/>
      <c r="P292" s="408"/>
      <c r="Q292" s="408"/>
      <c r="R292" s="408"/>
      <c r="S292" s="1138"/>
      <c r="T292" s="408"/>
      <c r="U292" s="408"/>
      <c r="V292" s="408"/>
      <c r="W292" s="1129"/>
      <c r="X292"/>
      <c r="Y292"/>
      <c r="Z292"/>
      <c r="AA292"/>
      <c r="AB292"/>
    </row>
    <row r="293" spans="1:28" s="204" customFormat="1">
      <c r="A293" s="1125"/>
      <c r="B293" s="1135"/>
      <c r="C293" s="520"/>
      <c r="D293" s="520"/>
      <c r="E293" s="520"/>
      <c r="F293" s="520"/>
      <c r="G293" s="520"/>
      <c r="H293" s="520"/>
      <c r="I293" s="1139"/>
      <c r="J293" s="520"/>
      <c r="K293" s="520"/>
      <c r="L293" s="520"/>
      <c r="M293" s="520"/>
      <c r="N293" s="520"/>
      <c r="O293" s="1139"/>
      <c r="P293" s="520"/>
      <c r="Q293" s="520"/>
      <c r="R293" s="520"/>
      <c r="S293" s="1139"/>
      <c r="T293" s="520"/>
      <c r="U293" s="520"/>
      <c r="V293" s="520"/>
      <c r="W293" s="1152"/>
      <c r="X293"/>
      <c r="Y293"/>
      <c r="Z293"/>
      <c r="AA293"/>
      <c r="AB293"/>
    </row>
    <row r="294" spans="1:28">
      <c r="A294" s="1125"/>
      <c r="B294" s="403"/>
      <c r="C294" s="407"/>
      <c r="D294" s="407"/>
      <c r="E294" s="407"/>
      <c r="F294" s="407"/>
      <c r="G294" s="407"/>
      <c r="H294" s="407"/>
      <c r="I294" s="1137"/>
      <c r="J294" s="407"/>
      <c r="K294" s="407"/>
      <c r="L294" s="407"/>
      <c r="M294" s="407"/>
      <c r="N294" s="407"/>
      <c r="O294" s="1137"/>
      <c r="P294" s="407"/>
      <c r="Q294" s="407"/>
      <c r="R294" s="407"/>
      <c r="S294" s="1137"/>
      <c r="T294" s="407"/>
      <c r="U294" s="407"/>
      <c r="V294" s="407"/>
      <c r="W294" s="1128"/>
      <c r="X294"/>
      <c r="Y294"/>
      <c r="Z294"/>
      <c r="AA294"/>
      <c r="AB294"/>
    </row>
    <row r="295" spans="1:28" s="205" customFormat="1">
      <c r="A295" s="1125"/>
      <c r="B295" s="404"/>
      <c r="C295" s="408"/>
      <c r="D295" s="408"/>
      <c r="E295" s="408"/>
      <c r="F295" s="408"/>
      <c r="G295" s="408"/>
      <c r="H295" s="408"/>
      <c r="I295" s="1138"/>
      <c r="J295" s="408"/>
      <c r="K295" s="408"/>
      <c r="L295" s="408"/>
      <c r="M295" s="408"/>
      <c r="N295" s="408"/>
      <c r="O295" s="1138"/>
      <c r="P295" s="408"/>
      <c r="Q295" s="408"/>
      <c r="R295" s="408"/>
      <c r="S295" s="1138"/>
      <c r="T295" s="408"/>
      <c r="U295" s="408"/>
      <c r="V295" s="408"/>
      <c r="W295" s="1129"/>
      <c r="X295"/>
      <c r="Y295"/>
      <c r="Z295"/>
      <c r="AA295"/>
      <c r="AB295"/>
    </row>
    <row r="296" spans="1:28" s="204" customFormat="1">
      <c r="A296" s="1125"/>
      <c r="B296" s="1135"/>
      <c r="C296" s="520"/>
      <c r="D296" s="520"/>
      <c r="E296" s="520"/>
      <c r="F296" s="520"/>
      <c r="G296" s="520"/>
      <c r="H296" s="520"/>
      <c r="I296" s="1139"/>
      <c r="J296" s="520"/>
      <c r="K296" s="520"/>
      <c r="L296" s="520"/>
      <c r="M296" s="520"/>
      <c r="N296" s="520"/>
      <c r="O296" s="1139"/>
      <c r="P296" s="520"/>
      <c r="Q296" s="520"/>
      <c r="R296" s="520"/>
      <c r="S296" s="1139"/>
      <c r="T296" s="520"/>
      <c r="U296" s="520"/>
      <c r="V296" s="520"/>
      <c r="W296" s="1152"/>
      <c r="X296"/>
      <c r="Y296"/>
      <c r="Z296"/>
      <c r="AA296"/>
      <c r="AB296"/>
    </row>
    <row r="297" spans="1:28">
      <c r="A297" s="1125"/>
      <c r="B297" s="403"/>
      <c r="C297" s="407"/>
      <c r="D297" s="407"/>
      <c r="E297" s="407"/>
      <c r="F297" s="407"/>
      <c r="G297" s="407"/>
      <c r="H297" s="407"/>
      <c r="I297" s="1137"/>
      <c r="J297" s="407"/>
      <c r="K297" s="407"/>
      <c r="L297" s="407"/>
      <c r="M297" s="407"/>
      <c r="N297" s="407"/>
      <c r="O297" s="1137"/>
      <c r="P297" s="407"/>
      <c r="Q297" s="407"/>
      <c r="R297" s="407"/>
      <c r="S297" s="1137"/>
      <c r="T297" s="407"/>
      <c r="U297" s="407"/>
      <c r="V297" s="407"/>
      <c r="W297" s="1128"/>
      <c r="X297"/>
      <c r="Y297"/>
      <c r="Z297"/>
      <c r="AA297"/>
      <c r="AB297"/>
    </row>
    <row r="298" spans="1:28" s="205" customFormat="1">
      <c r="A298" s="1125"/>
      <c r="B298" s="404"/>
      <c r="C298" s="408"/>
      <c r="D298" s="408"/>
      <c r="E298" s="408"/>
      <c r="F298" s="408"/>
      <c r="G298" s="408"/>
      <c r="H298" s="408"/>
      <c r="I298" s="1138"/>
      <c r="J298" s="408"/>
      <c r="K298" s="408"/>
      <c r="L298" s="408"/>
      <c r="M298" s="408"/>
      <c r="N298" s="408"/>
      <c r="O298" s="1138"/>
      <c r="P298" s="408"/>
      <c r="Q298" s="408"/>
      <c r="R298" s="408"/>
      <c r="S298" s="1138"/>
      <c r="T298" s="408"/>
      <c r="U298" s="408"/>
      <c r="V298" s="408"/>
      <c r="W298" s="1129"/>
      <c r="X298"/>
      <c r="Y298"/>
      <c r="Z298"/>
      <c r="AA298"/>
      <c r="AB298"/>
    </row>
    <row r="299" spans="1:28" s="204" customFormat="1">
      <c r="A299" s="1125"/>
      <c r="B299" s="1135"/>
      <c r="C299" s="520"/>
      <c r="D299" s="520"/>
      <c r="E299" s="520"/>
      <c r="F299" s="520"/>
      <c r="G299" s="520"/>
      <c r="H299" s="520"/>
      <c r="I299" s="1139"/>
      <c r="J299" s="520"/>
      <c r="K299" s="520"/>
      <c r="L299" s="520"/>
      <c r="M299" s="520"/>
      <c r="N299" s="520"/>
      <c r="O299" s="1139"/>
      <c r="P299" s="520"/>
      <c r="Q299" s="520"/>
      <c r="R299" s="520"/>
      <c r="S299" s="1139"/>
      <c r="T299" s="520"/>
      <c r="U299" s="520"/>
      <c r="V299" s="520"/>
      <c r="W299" s="1152"/>
      <c r="X299"/>
      <c r="Y299"/>
      <c r="Z299"/>
      <c r="AA299"/>
      <c r="AB299"/>
    </row>
    <row r="300" spans="1:28">
      <c r="A300" s="1125"/>
      <c r="B300" s="403"/>
      <c r="C300" s="407"/>
      <c r="D300" s="407"/>
      <c r="E300" s="407"/>
      <c r="F300" s="407"/>
      <c r="G300" s="407"/>
      <c r="H300" s="407"/>
      <c r="I300" s="1137"/>
      <c r="J300" s="407"/>
      <c r="K300" s="407"/>
      <c r="L300" s="407"/>
      <c r="M300" s="407"/>
      <c r="N300" s="407"/>
      <c r="O300" s="1137"/>
      <c r="P300" s="407"/>
      <c r="Q300" s="407"/>
      <c r="R300" s="407"/>
      <c r="S300" s="1137"/>
      <c r="T300" s="1149"/>
      <c r="U300" s="407"/>
      <c r="V300" s="407"/>
      <c r="W300" s="1128"/>
      <c r="X300"/>
      <c r="Y300"/>
      <c r="Z300"/>
      <c r="AA300"/>
      <c r="AB300"/>
    </row>
    <row r="301" spans="1:28" s="205" customFormat="1">
      <c r="A301" s="1125"/>
      <c r="B301" s="404"/>
      <c r="C301" s="408"/>
      <c r="D301" s="408"/>
      <c r="E301" s="408"/>
      <c r="F301" s="408"/>
      <c r="G301" s="408"/>
      <c r="H301" s="408"/>
      <c r="I301" s="1138"/>
      <c r="J301" s="408"/>
      <c r="K301" s="408"/>
      <c r="L301" s="408"/>
      <c r="M301" s="408"/>
      <c r="N301" s="408"/>
      <c r="O301" s="1138"/>
      <c r="P301" s="408"/>
      <c r="Q301" s="408"/>
      <c r="R301" s="408"/>
      <c r="S301" s="1138"/>
      <c r="T301" s="1147"/>
      <c r="U301" s="408"/>
      <c r="V301" s="408"/>
      <c r="W301" s="1129"/>
      <c r="X301"/>
      <c r="Y301"/>
      <c r="Z301"/>
      <c r="AA301"/>
      <c r="AB301"/>
    </row>
    <row r="302" spans="1:28" s="204" customFormat="1">
      <c r="A302" s="1125"/>
      <c r="B302" s="1135"/>
      <c r="C302" s="520"/>
      <c r="D302" s="520"/>
      <c r="E302" s="520"/>
      <c r="F302" s="520"/>
      <c r="G302" s="520"/>
      <c r="H302" s="520"/>
      <c r="I302" s="1139"/>
      <c r="J302" s="520"/>
      <c r="K302" s="520"/>
      <c r="L302" s="520"/>
      <c r="M302" s="520"/>
      <c r="N302" s="520"/>
      <c r="O302" s="1139"/>
      <c r="P302" s="520"/>
      <c r="Q302" s="520"/>
      <c r="R302" s="520"/>
      <c r="S302" s="1139"/>
      <c r="T302" s="1148"/>
      <c r="U302" s="520"/>
      <c r="V302" s="520"/>
      <c r="W302" s="1152"/>
      <c r="X302"/>
      <c r="Y302"/>
      <c r="Z302"/>
      <c r="AA302"/>
      <c r="AB302"/>
    </row>
    <row r="303" spans="1:28">
      <c r="A303" s="1125"/>
      <c r="B303" s="403"/>
      <c r="C303" s="407"/>
      <c r="D303" s="407"/>
      <c r="E303" s="407"/>
      <c r="F303" s="407"/>
      <c r="G303" s="407"/>
      <c r="H303" s="407"/>
      <c r="I303" s="1137"/>
      <c r="J303" s="407"/>
      <c r="K303" s="407"/>
      <c r="L303" s="407"/>
      <c r="M303" s="407"/>
      <c r="N303" s="407"/>
      <c r="O303" s="1137"/>
      <c r="P303" s="407"/>
      <c r="Q303" s="407"/>
      <c r="R303" s="407"/>
      <c r="S303" s="1137"/>
      <c r="T303" s="407"/>
      <c r="U303" s="407"/>
      <c r="V303" s="407"/>
      <c r="W303" s="1128"/>
      <c r="X303"/>
      <c r="Y303"/>
      <c r="Z303"/>
      <c r="AA303"/>
      <c r="AB303"/>
    </row>
    <row r="304" spans="1:28" s="205" customFormat="1">
      <c r="A304" s="1125"/>
      <c r="B304" s="404"/>
      <c r="C304" s="408"/>
      <c r="D304" s="408"/>
      <c r="E304" s="408"/>
      <c r="F304" s="408"/>
      <c r="G304" s="408"/>
      <c r="H304" s="408"/>
      <c r="I304" s="1138"/>
      <c r="J304" s="408"/>
      <c r="K304" s="408"/>
      <c r="L304" s="408"/>
      <c r="M304" s="408"/>
      <c r="N304" s="408"/>
      <c r="O304" s="1138"/>
      <c r="P304" s="408"/>
      <c r="Q304" s="408"/>
      <c r="R304" s="408"/>
      <c r="S304" s="1138"/>
      <c r="T304" s="408"/>
      <c r="U304" s="408"/>
      <c r="V304" s="408"/>
      <c r="W304" s="1129"/>
      <c r="X304"/>
      <c r="Y304"/>
      <c r="Z304"/>
      <c r="AA304"/>
      <c r="AB304"/>
    </row>
    <row r="305" spans="1:28" s="204" customFormat="1">
      <c r="A305" s="1125"/>
      <c r="B305" s="1135"/>
      <c r="C305" s="520"/>
      <c r="D305" s="520"/>
      <c r="E305" s="520"/>
      <c r="F305" s="520"/>
      <c r="G305" s="520"/>
      <c r="H305" s="520"/>
      <c r="I305" s="1139"/>
      <c r="J305" s="520"/>
      <c r="K305" s="520"/>
      <c r="L305" s="520"/>
      <c r="M305" s="520"/>
      <c r="N305" s="520"/>
      <c r="O305" s="1139"/>
      <c r="P305" s="520"/>
      <c r="Q305" s="520"/>
      <c r="R305" s="520"/>
      <c r="S305" s="1139"/>
      <c r="T305" s="520"/>
      <c r="U305" s="520"/>
      <c r="V305" s="520"/>
      <c r="W305" s="1152"/>
      <c r="X305"/>
      <c r="Y305"/>
      <c r="Z305"/>
      <c r="AA305"/>
      <c r="AB305"/>
    </row>
    <row r="306" spans="1:28">
      <c r="A306" s="1125"/>
      <c r="B306" s="403"/>
      <c r="C306" s="407"/>
      <c r="D306" s="407"/>
      <c r="E306" s="407"/>
      <c r="F306" s="407"/>
      <c r="G306" s="407"/>
      <c r="H306" s="407"/>
      <c r="I306" s="1137"/>
      <c r="J306" s="407"/>
      <c r="K306" s="407"/>
      <c r="L306" s="407"/>
      <c r="M306" s="407"/>
      <c r="N306" s="407"/>
      <c r="O306" s="1137"/>
      <c r="P306" s="407"/>
      <c r="Q306" s="407"/>
      <c r="R306" s="407"/>
      <c r="S306" s="1137"/>
      <c r="T306" s="407"/>
      <c r="U306" s="407"/>
      <c r="V306" s="407"/>
      <c r="W306" s="1128"/>
      <c r="X306"/>
      <c r="Y306"/>
      <c r="Z306"/>
      <c r="AA306"/>
      <c r="AB306"/>
    </row>
    <row r="307" spans="1:28" s="205" customFormat="1">
      <c r="A307" s="1125"/>
      <c r="B307" s="404"/>
      <c r="C307" s="408"/>
      <c r="D307" s="408"/>
      <c r="E307" s="408"/>
      <c r="F307" s="408"/>
      <c r="G307" s="408"/>
      <c r="H307" s="408"/>
      <c r="I307" s="1138"/>
      <c r="J307" s="408"/>
      <c r="K307" s="408"/>
      <c r="L307" s="408"/>
      <c r="M307" s="408"/>
      <c r="N307" s="408"/>
      <c r="O307" s="1138"/>
      <c r="P307" s="408"/>
      <c r="Q307" s="408"/>
      <c r="R307" s="408"/>
      <c r="S307" s="1138"/>
      <c r="T307" s="408"/>
      <c r="U307" s="408"/>
      <c r="V307" s="408"/>
      <c r="W307" s="1129"/>
      <c r="X307"/>
      <c r="Y307"/>
      <c r="Z307"/>
      <c r="AA307"/>
      <c r="AB307"/>
    </row>
    <row r="308" spans="1:28" s="204" customFormat="1">
      <c r="A308" s="1125"/>
      <c r="B308" s="1135"/>
      <c r="C308" s="520"/>
      <c r="D308" s="520"/>
      <c r="E308" s="520"/>
      <c r="F308" s="520"/>
      <c r="G308" s="520"/>
      <c r="H308" s="520"/>
      <c r="I308" s="1139"/>
      <c r="J308" s="520"/>
      <c r="K308" s="520"/>
      <c r="L308" s="520"/>
      <c r="M308" s="520"/>
      <c r="N308" s="520"/>
      <c r="O308" s="1139"/>
      <c r="P308" s="520"/>
      <c r="Q308" s="520"/>
      <c r="R308" s="520"/>
      <c r="S308" s="1139"/>
      <c r="T308" s="520"/>
      <c r="U308" s="520"/>
      <c r="V308" s="520"/>
      <c r="W308" s="1152"/>
      <c r="X308"/>
      <c r="Y308"/>
      <c r="Z308"/>
      <c r="AA308"/>
      <c r="AB308"/>
    </row>
    <row r="309" spans="1:28">
      <c r="A309" s="1125"/>
      <c r="B309" s="403"/>
      <c r="C309" s="407"/>
      <c r="D309" s="407"/>
      <c r="E309" s="407"/>
      <c r="F309" s="407"/>
      <c r="G309" s="407"/>
      <c r="H309" s="407"/>
      <c r="I309" s="1137"/>
      <c r="J309" s="407"/>
      <c r="K309" s="407"/>
      <c r="L309" s="407"/>
      <c r="M309" s="407"/>
      <c r="N309" s="407"/>
      <c r="O309" s="1137"/>
      <c r="P309" s="407"/>
      <c r="Q309" s="407"/>
      <c r="R309" s="407"/>
      <c r="S309" s="1137"/>
      <c r="T309" s="407"/>
      <c r="U309" s="407"/>
      <c r="V309" s="407"/>
      <c r="W309" s="1128"/>
      <c r="X309"/>
      <c r="Y309"/>
      <c r="Z309"/>
      <c r="AA309"/>
      <c r="AB309"/>
    </row>
    <row r="310" spans="1:28" s="205" customFormat="1">
      <c r="A310" s="1125"/>
      <c r="B310" s="404"/>
      <c r="C310" s="408"/>
      <c r="D310" s="408"/>
      <c r="E310" s="408"/>
      <c r="F310" s="408"/>
      <c r="G310" s="408"/>
      <c r="H310" s="408"/>
      <c r="I310" s="1138"/>
      <c r="J310" s="408"/>
      <c r="K310" s="408"/>
      <c r="L310" s="408"/>
      <c r="M310" s="408"/>
      <c r="N310" s="408"/>
      <c r="O310" s="1138"/>
      <c r="P310" s="408"/>
      <c r="Q310" s="408"/>
      <c r="R310" s="408"/>
      <c r="S310" s="1138"/>
      <c r="T310" s="408"/>
      <c r="U310" s="408"/>
      <c r="V310" s="408"/>
      <c r="W310" s="1129"/>
      <c r="X310"/>
      <c r="Y310"/>
      <c r="Z310"/>
      <c r="AA310"/>
      <c r="AB310"/>
    </row>
    <row r="311" spans="1:28" s="204" customFormat="1">
      <c r="A311" s="1125"/>
      <c r="B311" s="1135"/>
      <c r="C311" s="520"/>
      <c r="D311" s="520"/>
      <c r="E311" s="520"/>
      <c r="F311" s="520"/>
      <c r="G311" s="520"/>
      <c r="H311" s="520"/>
      <c r="I311" s="1139"/>
      <c r="J311" s="520"/>
      <c r="K311" s="520"/>
      <c r="L311" s="520"/>
      <c r="M311" s="520"/>
      <c r="N311" s="520"/>
      <c r="O311" s="1139"/>
      <c r="P311" s="520"/>
      <c r="Q311" s="520"/>
      <c r="R311" s="520"/>
      <c r="S311" s="1139"/>
      <c r="T311" s="520"/>
      <c r="U311" s="520"/>
      <c r="V311" s="520"/>
      <c r="W311" s="1152"/>
      <c r="X311"/>
      <c r="Y311"/>
      <c r="Z311"/>
      <c r="AA311"/>
      <c r="AB311"/>
    </row>
    <row r="312" spans="1:28">
      <c r="A312" s="1125"/>
      <c r="B312" s="403"/>
      <c r="C312" s="407"/>
      <c r="D312" s="407"/>
      <c r="E312" s="407"/>
      <c r="F312" s="407"/>
      <c r="G312" s="407"/>
      <c r="H312" s="407"/>
      <c r="I312" s="1137"/>
      <c r="J312" s="407"/>
      <c r="K312" s="407"/>
      <c r="L312" s="407"/>
      <c r="M312" s="407"/>
      <c r="N312" s="407"/>
      <c r="O312" s="1137"/>
      <c r="P312" s="407"/>
      <c r="Q312" s="407"/>
      <c r="R312" s="407"/>
      <c r="S312" s="1137"/>
      <c r="T312" s="407"/>
      <c r="U312" s="407"/>
      <c r="V312" s="407"/>
      <c r="W312" s="1128"/>
      <c r="X312"/>
      <c r="Y312"/>
      <c r="Z312"/>
      <c r="AA312"/>
      <c r="AB312"/>
    </row>
    <row r="313" spans="1:28" s="205" customFormat="1">
      <c r="A313" s="1125"/>
      <c r="B313" s="404"/>
      <c r="C313" s="408"/>
      <c r="D313" s="408"/>
      <c r="E313" s="408"/>
      <c r="F313" s="408"/>
      <c r="G313" s="408"/>
      <c r="H313" s="408"/>
      <c r="I313" s="1138"/>
      <c r="J313" s="408"/>
      <c r="K313" s="408"/>
      <c r="L313" s="408"/>
      <c r="M313" s="408"/>
      <c r="N313" s="408"/>
      <c r="O313" s="1138"/>
      <c r="P313" s="408"/>
      <c r="Q313" s="408"/>
      <c r="R313" s="408"/>
      <c r="S313" s="1138"/>
      <c r="T313" s="408"/>
      <c r="U313" s="408"/>
      <c r="V313" s="408"/>
      <c r="W313" s="1129"/>
      <c r="X313"/>
      <c r="Y313"/>
      <c r="Z313"/>
      <c r="AA313"/>
      <c r="AB313"/>
    </row>
    <row r="314" spans="1:28" s="204" customFormat="1">
      <c r="A314" s="1125"/>
      <c r="B314" s="1135"/>
      <c r="C314" s="520"/>
      <c r="D314" s="520"/>
      <c r="E314" s="520"/>
      <c r="F314" s="520"/>
      <c r="G314" s="520"/>
      <c r="H314" s="520"/>
      <c r="I314" s="1139"/>
      <c r="J314" s="520"/>
      <c r="K314" s="520"/>
      <c r="L314" s="520"/>
      <c r="M314" s="520"/>
      <c r="N314" s="520"/>
      <c r="O314" s="1139"/>
      <c r="P314" s="520"/>
      <c r="Q314" s="520"/>
      <c r="R314" s="520"/>
      <c r="S314" s="1139"/>
      <c r="T314" s="520"/>
      <c r="U314" s="520"/>
      <c r="V314" s="520"/>
      <c r="W314" s="1152"/>
      <c r="X314"/>
      <c r="Y314"/>
      <c r="Z314"/>
      <c r="AA314"/>
      <c r="AB314"/>
    </row>
    <row r="315" spans="1:28">
      <c r="A315" s="1125"/>
      <c r="B315" s="403"/>
      <c r="C315" s="407"/>
      <c r="D315" s="407"/>
      <c r="E315" s="407"/>
      <c r="F315" s="407"/>
      <c r="G315" s="407"/>
      <c r="H315" s="407"/>
      <c r="I315" s="1137"/>
      <c r="J315" s="407"/>
      <c r="K315" s="407"/>
      <c r="L315" s="407"/>
      <c r="M315" s="407"/>
      <c r="N315" s="407"/>
      <c r="O315" s="1137"/>
      <c r="P315" s="407"/>
      <c r="Q315" s="407"/>
      <c r="R315" s="407"/>
      <c r="S315" s="1137"/>
      <c r="T315" s="407"/>
      <c r="U315" s="407"/>
      <c r="V315" s="407"/>
      <c r="W315" s="1128"/>
      <c r="X315"/>
      <c r="Y315"/>
      <c r="Z315"/>
      <c r="AA315"/>
      <c r="AB315"/>
    </row>
    <row r="316" spans="1:28" s="205" customFormat="1">
      <c r="A316" s="1125"/>
      <c r="B316" s="404"/>
      <c r="C316" s="408"/>
      <c r="D316" s="408"/>
      <c r="E316" s="408"/>
      <c r="F316" s="408"/>
      <c r="G316" s="408"/>
      <c r="H316" s="408"/>
      <c r="I316" s="1138"/>
      <c r="J316" s="408"/>
      <c r="K316" s="408"/>
      <c r="L316" s="408"/>
      <c r="M316" s="408"/>
      <c r="N316" s="408"/>
      <c r="O316" s="1138"/>
      <c r="P316" s="408"/>
      <c r="Q316" s="408"/>
      <c r="R316" s="408"/>
      <c r="S316" s="1138"/>
      <c r="T316" s="408"/>
      <c r="U316" s="408"/>
      <c r="V316" s="408"/>
      <c r="W316" s="1129"/>
      <c r="X316"/>
      <c r="Y316"/>
      <c r="Z316"/>
      <c r="AA316"/>
      <c r="AB316"/>
    </row>
    <row r="317" spans="1:28" s="214" customFormat="1">
      <c r="A317" s="1136"/>
      <c r="B317" s="1135"/>
      <c r="C317" s="520"/>
      <c r="D317" s="520"/>
      <c r="E317" s="520"/>
      <c r="F317" s="520"/>
      <c r="G317" s="520"/>
      <c r="H317" s="520"/>
      <c r="I317" s="1139"/>
      <c r="J317" s="520"/>
      <c r="K317" s="520"/>
      <c r="L317" s="520"/>
      <c r="M317" s="520"/>
      <c r="N317" s="520"/>
      <c r="O317" s="1139"/>
      <c r="P317" s="520"/>
      <c r="Q317" s="520"/>
      <c r="R317" s="520"/>
      <c r="S317" s="1139"/>
      <c r="T317" s="520"/>
      <c r="U317" s="520"/>
      <c r="V317" s="520"/>
      <c r="W317" s="1152"/>
      <c r="X317"/>
      <c r="Y317"/>
      <c r="Z317"/>
      <c r="AA317"/>
      <c r="AB317"/>
    </row>
    <row r="318" spans="1:28">
      <c r="A318" s="233"/>
      <c r="B318" s="403"/>
      <c r="C318" s="407"/>
      <c r="D318" s="407"/>
      <c r="E318" s="407"/>
      <c r="F318" s="407"/>
      <c r="G318" s="407"/>
      <c r="H318" s="407"/>
      <c r="I318" s="1137"/>
      <c r="J318" s="407"/>
      <c r="K318" s="407"/>
      <c r="L318" s="407"/>
      <c r="M318" s="407"/>
      <c r="N318" s="407"/>
      <c r="O318" s="1137"/>
      <c r="P318" s="407"/>
      <c r="Q318" s="407"/>
      <c r="R318" s="407"/>
      <c r="S318" s="1137"/>
      <c r="T318" s="407"/>
      <c r="U318" s="407"/>
      <c r="V318" s="407"/>
      <c r="W318" s="1128"/>
      <c r="X318"/>
      <c r="Y318"/>
      <c r="Z318"/>
      <c r="AA318"/>
      <c r="AB318"/>
    </row>
    <row r="319" spans="1:28" s="205" customFormat="1">
      <c r="A319" s="1125"/>
      <c r="B319" s="404"/>
      <c r="C319" s="408"/>
      <c r="D319" s="408"/>
      <c r="E319" s="408"/>
      <c r="F319" s="408"/>
      <c r="G319" s="408"/>
      <c r="H319" s="408"/>
      <c r="I319" s="1138"/>
      <c r="J319" s="408"/>
      <c r="K319" s="408"/>
      <c r="L319" s="408"/>
      <c r="M319" s="408"/>
      <c r="N319" s="408"/>
      <c r="O319" s="1138"/>
      <c r="P319" s="408"/>
      <c r="Q319" s="408"/>
      <c r="R319" s="408"/>
      <c r="S319" s="1138"/>
      <c r="T319" s="408"/>
      <c r="U319" s="408"/>
      <c r="V319" s="408"/>
      <c r="W319" s="1129"/>
      <c r="X319"/>
      <c r="Y319"/>
      <c r="Z319"/>
      <c r="AA319"/>
      <c r="AB319"/>
    </row>
    <row r="320" spans="1:28" s="204" customFormat="1">
      <c r="A320" s="1126"/>
      <c r="B320" s="1135"/>
      <c r="C320" s="520"/>
      <c r="D320" s="520"/>
      <c r="E320" s="520"/>
      <c r="F320" s="520"/>
      <c r="G320" s="520"/>
      <c r="H320" s="520"/>
      <c r="I320" s="1139"/>
      <c r="J320" s="520"/>
      <c r="K320" s="520"/>
      <c r="L320" s="520"/>
      <c r="M320" s="520"/>
      <c r="N320" s="520"/>
      <c r="O320" s="1139"/>
      <c r="P320" s="520"/>
      <c r="Q320" s="520"/>
      <c r="R320" s="520"/>
      <c r="S320" s="1139"/>
      <c r="T320" s="520"/>
      <c r="U320" s="520"/>
      <c r="V320" s="520"/>
      <c r="W320" s="1152"/>
      <c r="X320"/>
      <c r="Y320"/>
      <c r="Z320"/>
      <c r="AA320"/>
      <c r="AB320"/>
    </row>
    <row r="321" spans="1:28">
      <c r="A321" s="1125"/>
      <c r="B321" s="403"/>
      <c r="C321" s="407"/>
      <c r="D321" s="407"/>
      <c r="E321" s="407"/>
      <c r="F321" s="407"/>
      <c r="G321" s="407"/>
      <c r="H321" s="407"/>
      <c r="I321" s="1137"/>
      <c r="J321" s="407"/>
      <c r="K321" s="407"/>
      <c r="L321" s="407"/>
      <c r="M321" s="407"/>
      <c r="N321" s="407"/>
      <c r="O321" s="1137"/>
      <c r="P321" s="407"/>
      <c r="Q321" s="407"/>
      <c r="R321" s="407"/>
      <c r="S321" s="1137"/>
      <c r="T321" s="407"/>
      <c r="U321" s="407"/>
      <c r="V321" s="407"/>
      <c r="W321" s="1128"/>
      <c r="X321"/>
      <c r="Y321"/>
      <c r="Z321"/>
      <c r="AA321"/>
      <c r="AB321"/>
    </row>
    <row r="322" spans="1:28" s="205" customFormat="1">
      <c r="A322" s="1125"/>
      <c r="B322" s="404"/>
      <c r="C322" s="408"/>
      <c r="D322" s="408"/>
      <c r="E322" s="408"/>
      <c r="F322" s="408"/>
      <c r="G322" s="408"/>
      <c r="H322" s="408"/>
      <c r="I322" s="1138"/>
      <c r="J322" s="408"/>
      <c r="K322" s="408"/>
      <c r="L322" s="408"/>
      <c r="M322" s="408"/>
      <c r="N322" s="408"/>
      <c r="O322" s="1138"/>
      <c r="P322" s="408"/>
      <c r="Q322" s="408"/>
      <c r="R322" s="408"/>
      <c r="S322" s="1138"/>
      <c r="T322" s="408"/>
      <c r="U322" s="408"/>
      <c r="V322" s="408"/>
      <c r="W322" s="1129"/>
      <c r="X322"/>
      <c r="Y322"/>
      <c r="Z322"/>
      <c r="AA322"/>
      <c r="AB322"/>
    </row>
    <row r="323" spans="1:28" s="204" customFormat="1">
      <c r="A323" s="1125"/>
      <c r="B323" s="1135"/>
      <c r="C323" s="520"/>
      <c r="D323" s="520"/>
      <c r="E323" s="520"/>
      <c r="F323" s="520"/>
      <c r="G323" s="520"/>
      <c r="H323" s="520"/>
      <c r="I323" s="1139"/>
      <c r="J323" s="520"/>
      <c r="K323" s="520"/>
      <c r="L323" s="520"/>
      <c r="M323" s="520"/>
      <c r="N323" s="520"/>
      <c r="O323" s="1139"/>
      <c r="P323" s="520"/>
      <c r="Q323" s="520"/>
      <c r="R323" s="520"/>
      <c r="S323" s="1139"/>
      <c r="T323" s="520"/>
      <c r="U323" s="520"/>
      <c r="V323" s="520"/>
      <c r="W323" s="1152"/>
      <c r="X323"/>
      <c r="Y323"/>
      <c r="Z323"/>
      <c r="AA323"/>
      <c r="AB323"/>
    </row>
    <row r="324" spans="1:28">
      <c r="A324" s="1125"/>
      <c r="B324" s="403"/>
      <c r="C324" s="407"/>
      <c r="D324" s="407"/>
      <c r="E324" s="407"/>
      <c r="F324" s="407"/>
      <c r="G324" s="407"/>
      <c r="H324" s="407"/>
      <c r="I324" s="1137"/>
      <c r="J324" s="407"/>
      <c r="K324" s="407"/>
      <c r="L324" s="407"/>
      <c r="M324" s="407"/>
      <c r="N324" s="407"/>
      <c r="O324" s="1137"/>
      <c r="P324" s="407"/>
      <c r="Q324" s="407"/>
      <c r="R324" s="407"/>
      <c r="S324" s="1137"/>
      <c r="T324" s="407"/>
      <c r="U324" s="407"/>
      <c r="V324" s="407"/>
      <c r="W324" s="1128"/>
      <c r="X324"/>
      <c r="Y324"/>
      <c r="Z324"/>
      <c r="AA324"/>
      <c r="AB324"/>
    </row>
    <row r="325" spans="1:28" s="205" customFormat="1">
      <c r="A325" s="1125"/>
      <c r="B325" s="404"/>
      <c r="C325" s="408"/>
      <c r="D325" s="408"/>
      <c r="E325" s="408"/>
      <c r="F325" s="408"/>
      <c r="G325" s="408"/>
      <c r="H325" s="408"/>
      <c r="I325" s="1138"/>
      <c r="J325" s="408"/>
      <c r="K325" s="408"/>
      <c r="L325" s="408"/>
      <c r="M325" s="408"/>
      <c r="N325" s="408"/>
      <c r="O325" s="1138"/>
      <c r="P325" s="408"/>
      <c r="Q325" s="408"/>
      <c r="R325" s="408"/>
      <c r="S325" s="1138"/>
      <c r="T325" s="408"/>
      <c r="U325" s="408"/>
      <c r="V325" s="408"/>
      <c r="W325" s="1129"/>
      <c r="X325"/>
      <c r="Y325"/>
      <c r="Z325"/>
      <c r="AA325"/>
      <c r="AB325"/>
    </row>
    <row r="326" spans="1:28" s="204" customFormat="1">
      <c r="A326" s="1125"/>
      <c r="B326" s="1135"/>
      <c r="C326" s="520"/>
      <c r="D326" s="520"/>
      <c r="E326" s="520"/>
      <c r="F326" s="520"/>
      <c r="G326" s="520"/>
      <c r="H326" s="520"/>
      <c r="I326" s="1139"/>
      <c r="J326" s="520"/>
      <c r="K326" s="520"/>
      <c r="L326" s="520"/>
      <c r="M326" s="520"/>
      <c r="N326" s="520"/>
      <c r="O326" s="1139"/>
      <c r="P326" s="520"/>
      <c r="Q326" s="520"/>
      <c r="R326" s="520"/>
      <c r="S326" s="1139"/>
      <c r="T326" s="520"/>
      <c r="U326" s="520"/>
      <c r="V326" s="520"/>
      <c r="W326" s="1152"/>
      <c r="X326"/>
      <c r="Y326"/>
      <c r="Z326"/>
      <c r="AA326"/>
      <c r="AB326"/>
    </row>
    <row r="327" spans="1:28">
      <c r="A327" s="1125"/>
      <c r="B327" s="403"/>
      <c r="C327" s="407"/>
      <c r="D327" s="407"/>
      <c r="E327" s="407"/>
      <c r="F327" s="407"/>
      <c r="G327" s="407"/>
      <c r="H327" s="407"/>
      <c r="I327" s="1137"/>
      <c r="J327" s="407"/>
      <c r="K327" s="407"/>
      <c r="L327" s="407"/>
      <c r="M327" s="407"/>
      <c r="N327" s="407"/>
      <c r="O327" s="1137"/>
      <c r="P327" s="407"/>
      <c r="Q327" s="407"/>
      <c r="R327" s="407"/>
      <c r="S327" s="1137"/>
      <c r="T327" s="407"/>
      <c r="U327" s="407"/>
      <c r="V327" s="407"/>
      <c r="W327" s="1128"/>
      <c r="X327"/>
      <c r="Y327"/>
      <c r="Z327"/>
      <c r="AA327"/>
      <c r="AB327"/>
    </row>
    <row r="328" spans="1:28" s="205" customFormat="1">
      <c r="A328" s="1125"/>
      <c r="B328" s="404"/>
      <c r="C328" s="408"/>
      <c r="D328" s="408"/>
      <c r="E328" s="408"/>
      <c r="F328" s="408"/>
      <c r="G328" s="408"/>
      <c r="H328" s="408"/>
      <c r="I328" s="1138"/>
      <c r="J328" s="408"/>
      <c r="K328" s="408"/>
      <c r="L328" s="408"/>
      <c r="M328" s="408"/>
      <c r="N328" s="408"/>
      <c r="O328" s="1138"/>
      <c r="P328" s="408"/>
      <c r="Q328" s="408"/>
      <c r="R328" s="408"/>
      <c r="S328" s="1138"/>
      <c r="T328" s="408"/>
      <c r="U328" s="408"/>
      <c r="V328" s="408"/>
      <c r="W328" s="1129"/>
      <c r="X328"/>
      <c r="Y328"/>
      <c r="Z328"/>
      <c r="AA328"/>
      <c r="AB328"/>
    </row>
    <row r="329" spans="1:28" s="204" customFormat="1">
      <c r="A329" s="1125"/>
      <c r="B329" s="1135"/>
      <c r="C329" s="520"/>
      <c r="D329" s="520"/>
      <c r="E329" s="520"/>
      <c r="F329" s="520"/>
      <c r="G329" s="520"/>
      <c r="H329" s="520"/>
      <c r="I329" s="1139"/>
      <c r="J329" s="520"/>
      <c r="K329" s="520"/>
      <c r="L329" s="520"/>
      <c r="M329" s="520"/>
      <c r="N329" s="520"/>
      <c r="O329" s="1139"/>
      <c r="P329" s="520"/>
      <c r="Q329" s="520"/>
      <c r="R329" s="520"/>
      <c r="S329" s="1139"/>
      <c r="T329" s="520"/>
      <c r="U329" s="520"/>
      <c r="V329" s="520"/>
      <c r="W329" s="1152"/>
      <c r="X329"/>
      <c r="Y329"/>
      <c r="Z329"/>
      <c r="AA329"/>
      <c r="AB329"/>
    </row>
    <row r="330" spans="1:28">
      <c r="A330" s="1125"/>
      <c r="B330" s="403"/>
      <c r="C330" s="407"/>
      <c r="D330" s="407"/>
      <c r="E330" s="407"/>
      <c r="F330" s="407"/>
      <c r="G330" s="407"/>
      <c r="H330" s="407"/>
      <c r="I330" s="1137"/>
      <c r="J330" s="407"/>
      <c r="K330" s="407"/>
      <c r="L330" s="407"/>
      <c r="M330" s="407"/>
      <c r="N330" s="407"/>
      <c r="O330" s="1137"/>
      <c r="P330" s="407"/>
      <c r="Q330" s="407"/>
      <c r="R330" s="407"/>
      <c r="S330" s="1137"/>
      <c r="T330" s="407"/>
      <c r="U330" s="407"/>
      <c r="V330" s="407"/>
      <c r="W330" s="1128"/>
      <c r="X330"/>
      <c r="Y330"/>
      <c r="Z330"/>
      <c r="AA330"/>
      <c r="AB330"/>
    </row>
    <row r="331" spans="1:28" s="205" customFormat="1">
      <c r="A331" s="1125"/>
      <c r="B331" s="404"/>
      <c r="C331" s="408"/>
      <c r="D331" s="408"/>
      <c r="E331" s="408"/>
      <c r="F331" s="408"/>
      <c r="G331" s="408"/>
      <c r="H331" s="408"/>
      <c r="I331" s="1138"/>
      <c r="J331" s="408"/>
      <c r="K331" s="408"/>
      <c r="L331" s="408"/>
      <c r="M331" s="408"/>
      <c r="N331" s="408"/>
      <c r="O331" s="1138"/>
      <c r="P331" s="408"/>
      <c r="Q331" s="408"/>
      <c r="R331" s="408"/>
      <c r="S331" s="1138"/>
      <c r="T331" s="408"/>
      <c r="U331" s="408"/>
      <c r="V331" s="408"/>
      <c r="W331" s="1129"/>
      <c r="X331"/>
      <c r="Y331"/>
      <c r="Z331"/>
      <c r="AA331"/>
      <c r="AB331"/>
    </row>
    <row r="332" spans="1:28" s="204" customFormat="1">
      <c r="A332" s="1125"/>
      <c r="B332" s="1135"/>
      <c r="C332" s="520"/>
      <c r="D332" s="520"/>
      <c r="E332" s="520"/>
      <c r="F332" s="520"/>
      <c r="G332" s="520"/>
      <c r="H332" s="520"/>
      <c r="I332" s="1139"/>
      <c r="J332" s="520"/>
      <c r="K332" s="520"/>
      <c r="L332" s="520"/>
      <c r="M332" s="520"/>
      <c r="N332" s="520"/>
      <c r="O332" s="1139"/>
      <c r="P332" s="520"/>
      <c r="Q332" s="520"/>
      <c r="R332" s="520"/>
      <c r="S332" s="1139"/>
      <c r="T332" s="520"/>
      <c r="U332" s="520"/>
      <c r="V332" s="520"/>
      <c r="W332" s="1152"/>
      <c r="X332"/>
      <c r="Y332"/>
      <c r="Z332"/>
      <c r="AA332"/>
      <c r="AB332"/>
    </row>
    <row r="333" spans="1:28">
      <c r="A333" s="1125"/>
      <c r="B333" s="403"/>
      <c r="C333" s="407"/>
      <c r="D333" s="407"/>
      <c r="E333" s="407"/>
      <c r="F333" s="407"/>
      <c r="G333" s="407"/>
      <c r="H333" s="407"/>
      <c r="I333" s="1137"/>
      <c r="J333" s="407"/>
      <c r="K333" s="407"/>
      <c r="L333" s="407"/>
      <c r="M333" s="407"/>
      <c r="N333" s="407"/>
      <c r="O333" s="1137"/>
      <c r="P333" s="407"/>
      <c r="Q333" s="407"/>
      <c r="R333" s="407"/>
      <c r="S333" s="1137"/>
      <c r="T333" s="407"/>
      <c r="U333" s="407"/>
      <c r="V333" s="407"/>
      <c r="W333" s="1128"/>
      <c r="X333"/>
      <c r="Y333"/>
      <c r="Z333"/>
      <c r="AA333"/>
      <c r="AB333"/>
    </row>
    <row r="334" spans="1:28" s="205" customFormat="1">
      <c r="A334" s="1125"/>
      <c r="B334" s="404"/>
      <c r="C334" s="408"/>
      <c r="D334" s="408"/>
      <c r="E334" s="408"/>
      <c r="F334" s="408"/>
      <c r="G334" s="408"/>
      <c r="H334" s="408"/>
      <c r="I334" s="1138"/>
      <c r="J334" s="408"/>
      <c r="K334" s="408"/>
      <c r="L334" s="408"/>
      <c r="M334" s="408"/>
      <c r="N334" s="408"/>
      <c r="O334" s="1138"/>
      <c r="P334" s="408"/>
      <c r="Q334" s="408"/>
      <c r="R334" s="408"/>
      <c r="S334" s="1138"/>
      <c r="T334" s="408"/>
      <c r="U334" s="408"/>
      <c r="V334" s="408"/>
      <c r="W334" s="1129"/>
      <c r="X334"/>
      <c r="Y334"/>
      <c r="Z334"/>
      <c r="AA334"/>
      <c r="AB334"/>
    </row>
    <row r="335" spans="1:28" s="204" customFormat="1">
      <c r="A335" s="1125"/>
      <c r="B335" s="1135"/>
      <c r="C335" s="520"/>
      <c r="D335" s="520"/>
      <c r="E335" s="520"/>
      <c r="F335" s="520"/>
      <c r="G335" s="520"/>
      <c r="H335" s="520"/>
      <c r="I335" s="1139"/>
      <c r="J335" s="520"/>
      <c r="K335" s="520"/>
      <c r="L335" s="520"/>
      <c r="M335" s="520"/>
      <c r="N335" s="520"/>
      <c r="O335" s="1139"/>
      <c r="P335" s="520"/>
      <c r="Q335" s="520"/>
      <c r="R335" s="520"/>
      <c r="S335" s="1139"/>
      <c r="T335" s="520"/>
      <c r="U335" s="520"/>
      <c r="V335" s="520"/>
      <c r="W335" s="1152"/>
      <c r="X335"/>
      <c r="Y335"/>
      <c r="Z335"/>
      <c r="AA335"/>
      <c r="AB335"/>
    </row>
    <row r="336" spans="1:28">
      <c r="A336" s="1125"/>
      <c r="B336" s="403"/>
      <c r="C336" s="407"/>
      <c r="D336" s="407"/>
      <c r="E336" s="407"/>
      <c r="F336" s="407"/>
      <c r="G336" s="407"/>
      <c r="H336" s="407"/>
      <c r="I336" s="1137"/>
      <c r="J336" s="407"/>
      <c r="K336" s="407"/>
      <c r="L336" s="407"/>
      <c r="M336" s="407"/>
      <c r="N336" s="407"/>
      <c r="O336" s="1137"/>
      <c r="P336" s="407"/>
      <c r="Q336" s="407"/>
      <c r="R336" s="407"/>
      <c r="S336" s="1137"/>
      <c r="T336" s="407"/>
      <c r="U336" s="407"/>
      <c r="V336" s="407"/>
      <c r="W336" s="1128"/>
      <c r="X336"/>
      <c r="Y336"/>
      <c r="Z336"/>
      <c r="AA336"/>
      <c r="AB336"/>
    </row>
    <row r="337" spans="1:28" s="205" customFormat="1">
      <c r="A337" s="1125"/>
      <c r="B337" s="404"/>
      <c r="C337" s="408"/>
      <c r="D337" s="408"/>
      <c r="E337" s="408"/>
      <c r="F337" s="408"/>
      <c r="G337" s="408"/>
      <c r="H337" s="408"/>
      <c r="I337" s="1138"/>
      <c r="J337" s="408"/>
      <c r="K337" s="408"/>
      <c r="L337" s="408"/>
      <c r="M337" s="408"/>
      <c r="N337" s="408"/>
      <c r="O337" s="1138"/>
      <c r="P337" s="408"/>
      <c r="Q337" s="408"/>
      <c r="R337" s="408"/>
      <c r="S337" s="1138"/>
      <c r="T337" s="408"/>
      <c r="U337" s="408"/>
      <c r="V337" s="408"/>
      <c r="W337" s="1129"/>
      <c r="X337"/>
      <c r="Y337"/>
      <c r="Z337"/>
      <c r="AA337"/>
      <c r="AB337"/>
    </row>
    <row r="338" spans="1:28" s="204" customFormat="1">
      <c r="A338" s="1125"/>
      <c r="B338" s="1135"/>
      <c r="C338" s="520"/>
      <c r="D338" s="520"/>
      <c r="E338" s="520"/>
      <c r="F338" s="520"/>
      <c r="G338" s="520"/>
      <c r="H338" s="520"/>
      <c r="I338" s="1139"/>
      <c r="J338" s="520"/>
      <c r="K338" s="520"/>
      <c r="L338" s="520"/>
      <c r="M338" s="520"/>
      <c r="N338" s="520"/>
      <c r="O338" s="1139"/>
      <c r="P338" s="520"/>
      <c r="Q338" s="520"/>
      <c r="R338" s="520"/>
      <c r="S338" s="1139"/>
      <c r="T338" s="520"/>
      <c r="U338" s="520"/>
      <c r="V338" s="520"/>
      <c r="W338" s="1152"/>
      <c r="X338"/>
      <c r="Y338"/>
      <c r="Z338"/>
      <c r="AA338"/>
      <c r="AB338"/>
    </row>
    <row r="339" spans="1:28">
      <c r="A339" s="1125"/>
      <c r="B339" s="403"/>
      <c r="C339" s="407"/>
      <c r="D339" s="407"/>
      <c r="E339" s="407"/>
      <c r="F339" s="407"/>
      <c r="G339" s="407"/>
      <c r="H339" s="407"/>
      <c r="I339" s="1137"/>
      <c r="J339" s="407"/>
      <c r="K339" s="407"/>
      <c r="L339" s="407"/>
      <c r="M339" s="407"/>
      <c r="N339" s="407"/>
      <c r="O339" s="1137"/>
      <c r="P339" s="407"/>
      <c r="Q339" s="407"/>
      <c r="R339" s="407"/>
      <c r="S339" s="1137"/>
      <c r="T339" s="407"/>
      <c r="U339" s="407"/>
      <c r="V339" s="407"/>
      <c r="W339" s="1128"/>
      <c r="X339"/>
      <c r="Y339"/>
      <c r="Z339"/>
      <c r="AA339"/>
      <c r="AB339"/>
    </row>
    <row r="340" spans="1:28" s="205" customFormat="1">
      <c r="A340" s="1125"/>
      <c r="B340" s="404"/>
      <c r="C340" s="408"/>
      <c r="D340" s="408"/>
      <c r="E340" s="408"/>
      <c r="F340" s="408"/>
      <c r="G340" s="408"/>
      <c r="H340" s="408"/>
      <c r="I340" s="1138"/>
      <c r="J340" s="408"/>
      <c r="K340" s="408"/>
      <c r="L340" s="408"/>
      <c r="M340" s="408"/>
      <c r="N340" s="408"/>
      <c r="O340" s="1138"/>
      <c r="P340" s="408"/>
      <c r="Q340" s="408"/>
      <c r="R340" s="408"/>
      <c r="S340" s="1138"/>
      <c r="T340" s="408"/>
      <c r="U340" s="408"/>
      <c r="V340" s="408"/>
      <c r="W340" s="1129"/>
      <c r="X340"/>
      <c r="Y340"/>
      <c r="Z340"/>
      <c r="AA340"/>
      <c r="AB340"/>
    </row>
    <row r="341" spans="1:28" s="204" customFormat="1">
      <c r="A341" s="1125"/>
      <c r="B341" s="1135"/>
      <c r="C341" s="520"/>
      <c r="D341" s="520"/>
      <c r="E341" s="520"/>
      <c r="F341" s="520"/>
      <c r="G341" s="520"/>
      <c r="H341" s="520"/>
      <c r="I341" s="1139"/>
      <c r="J341" s="520"/>
      <c r="K341" s="520"/>
      <c r="L341" s="520"/>
      <c r="M341" s="520"/>
      <c r="N341" s="520"/>
      <c r="O341" s="1139"/>
      <c r="P341" s="520"/>
      <c r="Q341" s="520"/>
      <c r="R341" s="520"/>
      <c r="S341" s="1139"/>
      <c r="T341" s="520"/>
      <c r="U341" s="520"/>
      <c r="V341" s="520"/>
      <c r="W341" s="1152"/>
      <c r="X341"/>
      <c r="Y341"/>
      <c r="Z341"/>
      <c r="AA341"/>
      <c r="AB341"/>
    </row>
    <row r="342" spans="1:28">
      <c r="A342" s="1125"/>
      <c r="B342" s="403"/>
      <c r="C342" s="407"/>
      <c r="D342" s="407"/>
      <c r="E342" s="407"/>
      <c r="F342" s="407"/>
      <c r="G342" s="407"/>
      <c r="H342" s="407"/>
      <c r="I342" s="1137"/>
      <c r="J342" s="407"/>
      <c r="K342" s="407"/>
      <c r="L342" s="407"/>
      <c r="M342" s="407"/>
      <c r="N342" s="407"/>
      <c r="O342" s="1137"/>
      <c r="P342" s="407"/>
      <c r="Q342" s="407"/>
      <c r="R342" s="407"/>
      <c r="S342" s="1137"/>
      <c r="T342" s="407"/>
      <c r="U342" s="407"/>
      <c r="V342" s="407"/>
      <c r="W342" s="1128"/>
      <c r="X342"/>
      <c r="Y342"/>
      <c r="Z342"/>
      <c r="AA342"/>
      <c r="AB342"/>
    </row>
    <row r="343" spans="1:28" s="205" customFormat="1">
      <c r="A343" s="1125"/>
      <c r="B343" s="404"/>
      <c r="C343" s="408"/>
      <c r="D343" s="408"/>
      <c r="E343" s="408"/>
      <c r="F343" s="408"/>
      <c r="G343" s="408"/>
      <c r="H343" s="408"/>
      <c r="I343" s="1138"/>
      <c r="J343" s="408"/>
      <c r="K343" s="408"/>
      <c r="L343" s="408"/>
      <c r="M343" s="408"/>
      <c r="N343" s="408"/>
      <c r="O343" s="1138"/>
      <c r="P343" s="408"/>
      <c r="Q343" s="408"/>
      <c r="R343" s="408"/>
      <c r="S343" s="1138"/>
      <c r="T343" s="408"/>
      <c r="U343" s="408"/>
      <c r="V343" s="408"/>
      <c r="W343" s="1129"/>
      <c r="X343"/>
      <c r="Y343"/>
      <c r="Z343"/>
      <c r="AA343"/>
      <c r="AB343"/>
    </row>
    <row r="344" spans="1:28" s="204" customFormat="1">
      <c r="A344" s="1125"/>
      <c r="B344" s="1135"/>
      <c r="C344" s="520"/>
      <c r="D344" s="520"/>
      <c r="E344" s="520"/>
      <c r="F344" s="520"/>
      <c r="G344" s="520"/>
      <c r="H344" s="520"/>
      <c r="I344" s="1139"/>
      <c r="J344" s="520"/>
      <c r="K344" s="520"/>
      <c r="L344" s="520"/>
      <c r="M344" s="520"/>
      <c r="N344" s="520"/>
      <c r="O344" s="1139"/>
      <c r="P344" s="520"/>
      <c r="Q344" s="520"/>
      <c r="R344" s="520"/>
      <c r="S344" s="1139"/>
      <c r="T344" s="520"/>
      <c r="U344" s="520"/>
      <c r="V344" s="520"/>
      <c r="W344" s="1152"/>
      <c r="X344"/>
      <c r="Y344"/>
      <c r="Z344"/>
      <c r="AA344"/>
      <c r="AB344"/>
    </row>
    <row r="345" spans="1:28">
      <c r="A345" s="1125"/>
      <c r="B345" s="403"/>
      <c r="C345" s="407"/>
      <c r="D345" s="407"/>
      <c r="E345" s="407"/>
      <c r="F345" s="407"/>
      <c r="G345" s="407"/>
      <c r="H345" s="407"/>
      <c r="I345" s="1137"/>
      <c r="J345" s="407"/>
      <c r="K345" s="407"/>
      <c r="L345" s="407"/>
      <c r="M345" s="407"/>
      <c r="N345" s="407"/>
      <c r="O345" s="1137"/>
      <c r="P345" s="407"/>
      <c r="Q345" s="407"/>
      <c r="R345" s="407"/>
      <c r="S345" s="1137"/>
      <c r="T345" s="407"/>
      <c r="U345" s="407"/>
      <c r="V345" s="407"/>
      <c r="W345" s="1128"/>
      <c r="X345"/>
      <c r="Y345"/>
      <c r="Z345"/>
      <c r="AA345"/>
      <c r="AB345"/>
    </row>
    <row r="346" spans="1:28" s="205" customFormat="1">
      <c r="A346" s="1125"/>
      <c r="B346" s="404"/>
      <c r="C346" s="408"/>
      <c r="D346" s="408"/>
      <c r="E346" s="408"/>
      <c r="F346" s="408"/>
      <c r="G346" s="408"/>
      <c r="H346" s="408"/>
      <c r="I346" s="1138"/>
      <c r="J346" s="408"/>
      <c r="K346" s="408"/>
      <c r="L346" s="408"/>
      <c r="M346" s="408"/>
      <c r="N346" s="408"/>
      <c r="O346" s="1138"/>
      <c r="P346" s="408"/>
      <c r="Q346" s="408"/>
      <c r="R346" s="408"/>
      <c r="S346" s="1138"/>
      <c r="T346" s="408"/>
      <c r="U346" s="408"/>
      <c r="V346" s="408"/>
      <c r="W346" s="1129"/>
      <c r="X346"/>
      <c r="Y346"/>
      <c r="Z346"/>
      <c r="AA346"/>
      <c r="AB346"/>
    </row>
    <row r="347" spans="1:28" s="204" customFormat="1">
      <c r="A347" s="1125"/>
      <c r="B347" s="1135"/>
      <c r="C347" s="520"/>
      <c r="D347" s="520"/>
      <c r="E347" s="520"/>
      <c r="F347" s="520"/>
      <c r="G347" s="520"/>
      <c r="H347" s="520"/>
      <c r="I347" s="1139"/>
      <c r="J347" s="520"/>
      <c r="K347" s="520"/>
      <c r="L347" s="520"/>
      <c r="M347" s="520"/>
      <c r="N347" s="520"/>
      <c r="O347" s="1139"/>
      <c r="P347" s="520"/>
      <c r="Q347" s="520"/>
      <c r="R347" s="520"/>
      <c r="S347" s="1139"/>
      <c r="T347" s="520"/>
      <c r="U347" s="520"/>
      <c r="V347" s="520"/>
      <c r="W347" s="1152"/>
      <c r="X347"/>
      <c r="Y347"/>
      <c r="Z347"/>
      <c r="AA347"/>
      <c r="AB347"/>
    </row>
    <row r="348" spans="1:28">
      <c r="A348" s="1125"/>
      <c r="B348" s="403"/>
      <c r="C348" s="407"/>
      <c r="D348" s="407"/>
      <c r="E348" s="407"/>
      <c r="F348" s="407"/>
      <c r="G348" s="407"/>
      <c r="H348" s="407"/>
      <c r="I348" s="1137"/>
      <c r="J348" s="407"/>
      <c r="K348" s="407"/>
      <c r="L348" s="407"/>
      <c r="M348" s="407"/>
      <c r="N348" s="407"/>
      <c r="O348" s="1137"/>
      <c r="P348" s="407"/>
      <c r="Q348" s="407"/>
      <c r="R348" s="407"/>
      <c r="S348" s="1137"/>
      <c r="T348" s="407"/>
      <c r="U348" s="407"/>
      <c r="V348" s="407"/>
      <c r="W348" s="1128"/>
      <c r="X348"/>
      <c r="Y348"/>
      <c r="Z348"/>
      <c r="AA348"/>
      <c r="AB348"/>
    </row>
    <row r="349" spans="1:28" s="205" customFormat="1">
      <c r="A349" s="1125"/>
      <c r="B349" s="404"/>
      <c r="C349" s="408"/>
      <c r="D349" s="408"/>
      <c r="E349" s="408"/>
      <c r="F349" s="408"/>
      <c r="G349" s="408"/>
      <c r="H349" s="408"/>
      <c r="I349" s="1138"/>
      <c r="J349" s="408"/>
      <c r="K349" s="408"/>
      <c r="L349" s="408"/>
      <c r="M349" s="408"/>
      <c r="N349" s="408"/>
      <c r="O349" s="1138"/>
      <c r="P349" s="408"/>
      <c r="Q349" s="408"/>
      <c r="R349" s="408"/>
      <c r="S349" s="1138"/>
      <c r="T349" s="408"/>
      <c r="U349" s="408"/>
      <c r="V349" s="408"/>
      <c r="W349" s="1129"/>
      <c r="X349"/>
      <c r="Y349"/>
      <c r="Z349"/>
      <c r="AA349"/>
      <c r="AB349"/>
    </row>
    <row r="350" spans="1:28" s="204" customFormat="1">
      <c r="A350" s="1125"/>
      <c r="B350" s="1135"/>
      <c r="C350" s="520"/>
      <c r="D350" s="520"/>
      <c r="E350" s="520"/>
      <c r="F350" s="520"/>
      <c r="G350" s="520"/>
      <c r="H350" s="520"/>
      <c r="I350" s="1139"/>
      <c r="J350" s="520"/>
      <c r="K350" s="520"/>
      <c r="L350" s="520"/>
      <c r="M350" s="520"/>
      <c r="N350" s="520"/>
      <c r="O350" s="1139"/>
      <c r="P350" s="520"/>
      <c r="Q350" s="520"/>
      <c r="R350" s="520"/>
      <c r="S350" s="1139"/>
      <c r="T350" s="520"/>
      <c r="U350" s="520"/>
      <c r="V350" s="520"/>
      <c r="W350" s="1152"/>
      <c r="X350"/>
      <c r="Y350"/>
      <c r="Z350"/>
      <c r="AA350"/>
      <c r="AB350"/>
    </row>
    <row r="351" spans="1:28">
      <c r="A351" s="1125"/>
      <c r="B351" s="403"/>
      <c r="C351" s="407"/>
      <c r="D351" s="407"/>
      <c r="E351" s="407"/>
      <c r="F351" s="407"/>
      <c r="G351" s="407"/>
      <c r="H351" s="407"/>
      <c r="I351" s="1137"/>
      <c r="J351" s="407"/>
      <c r="K351" s="407"/>
      <c r="L351" s="407"/>
      <c r="M351" s="407"/>
      <c r="N351" s="407"/>
      <c r="O351" s="1137"/>
      <c r="P351" s="407"/>
      <c r="Q351" s="407"/>
      <c r="R351" s="407"/>
      <c r="S351" s="1137"/>
      <c r="T351" s="407"/>
      <c r="U351" s="407"/>
      <c r="V351" s="407"/>
      <c r="W351" s="1128"/>
      <c r="X351"/>
      <c r="Y351"/>
      <c r="Z351"/>
      <c r="AA351"/>
      <c r="AB351"/>
    </row>
    <row r="352" spans="1:28" s="205" customFormat="1">
      <c r="A352" s="1125"/>
      <c r="B352" s="404"/>
      <c r="C352" s="408"/>
      <c r="D352" s="408"/>
      <c r="E352" s="408"/>
      <c r="F352" s="408"/>
      <c r="G352" s="408"/>
      <c r="H352" s="408"/>
      <c r="I352" s="1138"/>
      <c r="J352" s="408"/>
      <c r="K352" s="408"/>
      <c r="L352" s="408"/>
      <c r="M352" s="408"/>
      <c r="N352" s="408"/>
      <c r="O352" s="1138"/>
      <c r="P352" s="408"/>
      <c r="Q352" s="408"/>
      <c r="R352" s="408"/>
      <c r="S352" s="1138"/>
      <c r="T352" s="408"/>
      <c r="U352" s="408"/>
      <c r="V352" s="408"/>
      <c r="W352" s="1129"/>
      <c r="X352"/>
      <c r="Y352"/>
      <c r="Z352"/>
      <c r="AA352"/>
      <c r="AB352"/>
    </row>
    <row r="353" spans="1:28" s="204" customFormat="1">
      <c r="A353" s="1125"/>
      <c r="B353" s="1135"/>
      <c r="C353" s="520"/>
      <c r="D353" s="520"/>
      <c r="E353" s="520"/>
      <c r="F353" s="520"/>
      <c r="G353" s="520"/>
      <c r="H353" s="520"/>
      <c r="I353" s="1139"/>
      <c r="J353" s="520"/>
      <c r="K353" s="520"/>
      <c r="L353" s="520"/>
      <c r="M353" s="520"/>
      <c r="N353" s="520"/>
      <c r="O353" s="1139"/>
      <c r="P353" s="520"/>
      <c r="Q353" s="520"/>
      <c r="R353" s="520"/>
      <c r="S353" s="1139"/>
      <c r="T353" s="520"/>
      <c r="U353" s="520"/>
      <c r="V353" s="520"/>
      <c r="W353" s="1152"/>
      <c r="X353"/>
      <c r="Y353"/>
      <c r="Z353"/>
      <c r="AA353"/>
      <c r="AB353"/>
    </row>
    <row r="354" spans="1:28">
      <c r="A354" s="1125"/>
      <c r="B354" s="403"/>
      <c r="C354" s="407"/>
      <c r="D354" s="407"/>
      <c r="E354" s="407"/>
      <c r="F354" s="407"/>
      <c r="G354" s="407"/>
      <c r="H354" s="407"/>
      <c r="I354" s="1137"/>
      <c r="J354" s="407"/>
      <c r="K354" s="407"/>
      <c r="L354" s="407"/>
      <c r="M354" s="407"/>
      <c r="N354" s="407"/>
      <c r="O354" s="1137"/>
      <c r="P354" s="407"/>
      <c r="Q354" s="407"/>
      <c r="R354" s="407"/>
      <c r="S354" s="1137"/>
      <c r="T354" s="407"/>
      <c r="U354" s="407"/>
      <c r="V354" s="407"/>
      <c r="W354" s="1128"/>
      <c r="X354"/>
      <c r="Y354"/>
      <c r="Z354"/>
      <c r="AA354"/>
      <c r="AB354"/>
    </row>
    <row r="355" spans="1:28" s="205" customFormat="1">
      <c r="A355" s="1125"/>
      <c r="B355" s="404"/>
      <c r="C355" s="408"/>
      <c r="D355" s="408"/>
      <c r="E355" s="408"/>
      <c r="F355" s="408"/>
      <c r="G355" s="408"/>
      <c r="H355" s="408"/>
      <c r="I355" s="1138"/>
      <c r="J355" s="408"/>
      <c r="K355" s="408"/>
      <c r="L355" s="408"/>
      <c r="M355" s="408"/>
      <c r="N355" s="408"/>
      <c r="O355" s="1138"/>
      <c r="P355" s="408"/>
      <c r="Q355" s="408"/>
      <c r="R355" s="408"/>
      <c r="S355" s="1138"/>
      <c r="T355" s="408"/>
      <c r="U355" s="408"/>
      <c r="V355" s="408"/>
      <c r="W355" s="1129"/>
      <c r="X355"/>
      <c r="Y355"/>
      <c r="Z355"/>
      <c r="AA355"/>
      <c r="AB355"/>
    </row>
    <row r="356" spans="1:28" s="214" customFormat="1">
      <c r="A356" s="1136"/>
      <c r="B356" s="1135"/>
      <c r="C356" s="520"/>
      <c r="D356" s="520"/>
      <c r="E356" s="520"/>
      <c r="F356" s="520"/>
      <c r="G356" s="520"/>
      <c r="H356" s="520"/>
      <c r="I356" s="1139"/>
      <c r="J356" s="520"/>
      <c r="K356" s="520"/>
      <c r="L356" s="520"/>
      <c r="M356" s="520"/>
      <c r="N356" s="520"/>
      <c r="O356" s="1139"/>
      <c r="P356" s="520"/>
      <c r="Q356" s="520"/>
      <c r="R356" s="520"/>
      <c r="S356" s="1139"/>
      <c r="T356" s="520"/>
      <c r="U356" s="520"/>
      <c r="V356" s="520"/>
      <c r="W356" s="1152"/>
      <c r="X356"/>
      <c r="Y356"/>
      <c r="Z356"/>
      <c r="AA356"/>
      <c r="AB356"/>
    </row>
    <row r="357" spans="1:28">
      <c r="A357" s="233"/>
      <c r="B357" s="403"/>
      <c r="C357" s="407"/>
      <c r="D357" s="407"/>
      <c r="E357" s="407"/>
      <c r="F357" s="407"/>
      <c r="G357" s="407"/>
      <c r="H357" s="407"/>
      <c r="I357" s="1137"/>
      <c r="J357" s="407"/>
      <c r="K357" s="407"/>
      <c r="L357" s="407"/>
      <c r="M357" s="407"/>
      <c r="N357" s="407"/>
      <c r="O357" s="1137"/>
      <c r="P357" s="407"/>
      <c r="Q357" s="407"/>
      <c r="R357" s="407"/>
      <c r="S357" s="1137"/>
      <c r="T357" s="407"/>
      <c r="U357" s="407"/>
      <c r="V357" s="407"/>
      <c r="W357" s="1128"/>
      <c r="X357"/>
      <c r="Y357"/>
      <c r="Z357"/>
      <c r="AA357"/>
      <c r="AB357"/>
    </row>
    <row r="358" spans="1:28" s="205" customFormat="1">
      <c r="A358" s="1125"/>
      <c r="B358" s="404"/>
      <c r="C358" s="408"/>
      <c r="D358" s="408"/>
      <c r="E358" s="408"/>
      <c r="F358" s="408"/>
      <c r="G358" s="408"/>
      <c r="H358" s="408"/>
      <c r="I358" s="1138"/>
      <c r="J358" s="408"/>
      <c r="K358" s="408"/>
      <c r="L358" s="408"/>
      <c r="M358" s="408"/>
      <c r="N358" s="408"/>
      <c r="O358" s="1138"/>
      <c r="P358" s="408"/>
      <c r="Q358" s="408"/>
      <c r="R358" s="408"/>
      <c r="S358" s="1138"/>
      <c r="T358" s="408"/>
      <c r="U358" s="408"/>
      <c r="V358" s="408"/>
      <c r="W358" s="1129"/>
      <c r="X358"/>
      <c r="Y358"/>
      <c r="Z358"/>
      <c r="AA358"/>
      <c r="AB358"/>
    </row>
    <row r="359" spans="1:28" s="204" customFormat="1">
      <c r="A359" s="1126"/>
      <c r="B359" s="1135"/>
      <c r="C359" s="520"/>
      <c r="D359" s="520"/>
      <c r="E359" s="520"/>
      <c r="F359" s="520"/>
      <c r="G359" s="520"/>
      <c r="H359" s="520"/>
      <c r="I359" s="1139"/>
      <c r="J359" s="520"/>
      <c r="K359" s="520"/>
      <c r="L359" s="520"/>
      <c r="M359" s="520"/>
      <c r="N359" s="520"/>
      <c r="O359" s="1139"/>
      <c r="P359" s="520"/>
      <c r="Q359" s="520"/>
      <c r="R359" s="520"/>
      <c r="S359" s="1139"/>
      <c r="T359" s="520"/>
      <c r="U359" s="520"/>
      <c r="V359" s="520"/>
      <c r="W359" s="1152"/>
      <c r="X359"/>
      <c r="Y359"/>
      <c r="Z359"/>
      <c r="AA359"/>
      <c r="AB359"/>
    </row>
    <row r="360" spans="1:28">
      <c r="A360" s="1125"/>
      <c r="B360" s="403"/>
      <c r="C360" s="407"/>
      <c r="D360" s="407"/>
      <c r="E360" s="407"/>
      <c r="F360" s="407"/>
      <c r="G360" s="407"/>
      <c r="H360" s="407"/>
      <c r="I360" s="1137"/>
      <c r="J360" s="407"/>
      <c r="K360" s="407"/>
      <c r="L360" s="407"/>
      <c r="M360" s="407"/>
      <c r="N360" s="407"/>
      <c r="O360" s="1137"/>
      <c r="P360" s="407"/>
      <c r="Q360" s="407"/>
      <c r="R360" s="407"/>
      <c r="S360" s="1137"/>
      <c r="T360" s="407"/>
      <c r="U360" s="407"/>
      <c r="V360" s="407"/>
      <c r="W360" s="1128"/>
      <c r="X360"/>
      <c r="Y360"/>
      <c r="Z360"/>
      <c r="AA360"/>
      <c r="AB360"/>
    </row>
    <row r="361" spans="1:28" s="205" customFormat="1">
      <c r="A361" s="1125"/>
      <c r="B361" s="404"/>
      <c r="C361" s="408"/>
      <c r="D361" s="408"/>
      <c r="E361" s="408"/>
      <c r="F361" s="408"/>
      <c r="G361" s="408"/>
      <c r="H361" s="408"/>
      <c r="I361" s="1138"/>
      <c r="J361" s="408"/>
      <c r="K361" s="408"/>
      <c r="L361" s="408"/>
      <c r="M361" s="408"/>
      <c r="N361" s="408"/>
      <c r="O361" s="1138"/>
      <c r="P361" s="408"/>
      <c r="Q361" s="408"/>
      <c r="R361" s="408"/>
      <c r="S361" s="1138"/>
      <c r="T361" s="408"/>
      <c r="U361" s="408"/>
      <c r="V361" s="408"/>
      <c r="W361" s="1129"/>
      <c r="X361"/>
      <c r="Y361"/>
      <c r="Z361"/>
      <c r="AA361"/>
      <c r="AB361"/>
    </row>
    <row r="362" spans="1:28" s="204" customFormat="1">
      <c r="A362" s="1125"/>
      <c r="B362" s="1135"/>
      <c r="C362" s="520"/>
      <c r="D362" s="520"/>
      <c r="E362" s="520"/>
      <c r="F362" s="520"/>
      <c r="G362" s="520"/>
      <c r="H362" s="520"/>
      <c r="I362" s="1139"/>
      <c r="J362" s="520"/>
      <c r="K362" s="520"/>
      <c r="L362" s="520"/>
      <c r="M362" s="520"/>
      <c r="N362" s="520"/>
      <c r="O362" s="1139"/>
      <c r="P362" s="520"/>
      <c r="Q362" s="520"/>
      <c r="R362" s="520"/>
      <c r="S362" s="1139"/>
      <c r="T362" s="520"/>
      <c r="U362" s="520"/>
      <c r="V362" s="520"/>
      <c r="W362" s="1152"/>
      <c r="X362"/>
      <c r="Y362"/>
      <c r="Z362"/>
      <c r="AA362"/>
      <c r="AB362"/>
    </row>
    <row r="363" spans="1:28">
      <c r="A363" s="1125"/>
      <c r="B363" s="403"/>
      <c r="C363" s="407"/>
      <c r="D363" s="407"/>
      <c r="E363" s="407"/>
      <c r="F363" s="407"/>
      <c r="G363" s="407"/>
      <c r="H363" s="407"/>
      <c r="I363" s="1137"/>
      <c r="J363" s="407"/>
      <c r="K363" s="407"/>
      <c r="L363" s="407"/>
      <c r="M363" s="407"/>
      <c r="N363" s="407"/>
      <c r="O363" s="1137"/>
      <c r="P363" s="407"/>
      <c r="Q363" s="407"/>
      <c r="R363" s="407"/>
      <c r="S363" s="1137"/>
      <c r="T363" s="407"/>
      <c r="U363" s="407"/>
      <c r="V363" s="407"/>
      <c r="W363" s="1128"/>
      <c r="X363"/>
      <c r="Y363"/>
      <c r="Z363"/>
      <c r="AA363"/>
      <c r="AB363"/>
    </row>
    <row r="364" spans="1:28" s="205" customFormat="1">
      <c r="A364" s="1125"/>
      <c r="B364" s="404"/>
      <c r="C364" s="408"/>
      <c r="D364" s="408"/>
      <c r="E364" s="408"/>
      <c r="F364" s="408"/>
      <c r="G364" s="408"/>
      <c r="H364" s="408"/>
      <c r="I364" s="1138"/>
      <c r="J364" s="408"/>
      <c r="K364" s="408"/>
      <c r="L364" s="408"/>
      <c r="M364" s="408"/>
      <c r="N364" s="408"/>
      <c r="O364" s="1138"/>
      <c r="P364" s="408"/>
      <c r="Q364" s="408"/>
      <c r="R364" s="408"/>
      <c r="S364" s="1138"/>
      <c r="T364" s="408"/>
      <c r="U364" s="408"/>
      <c r="V364" s="408"/>
      <c r="W364" s="1129"/>
      <c r="X364"/>
      <c r="Y364"/>
      <c r="Z364"/>
      <c r="AA364"/>
      <c r="AB364"/>
    </row>
    <row r="365" spans="1:28" s="204" customFormat="1">
      <c r="A365" s="1125"/>
      <c r="B365" s="1135"/>
      <c r="C365" s="520"/>
      <c r="D365" s="520"/>
      <c r="E365" s="520"/>
      <c r="F365" s="520"/>
      <c r="G365" s="520"/>
      <c r="H365" s="520"/>
      <c r="I365" s="1139"/>
      <c r="J365" s="520"/>
      <c r="K365" s="520"/>
      <c r="L365" s="520"/>
      <c r="M365" s="520"/>
      <c r="N365" s="520"/>
      <c r="O365" s="1139"/>
      <c r="P365" s="520"/>
      <c r="Q365" s="520"/>
      <c r="R365" s="520"/>
      <c r="S365" s="1139"/>
      <c r="T365" s="520"/>
      <c r="U365" s="520"/>
      <c r="V365" s="520"/>
      <c r="W365" s="1152"/>
      <c r="X365"/>
      <c r="Y365"/>
      <c r="Z365"/>
      <c r="AA365"/>
      <c r="AB365"/>
    </row>
    <row r="366" spans="1:28">
      <c r="A366" s="1125"/>
      <c r="B366" s="403"/>
      <c r="C366" s="407"/>
      <c r="D366" s="407"/>
      <c r="E366" s="407"/>
      <c r="F366" s="407"/>
      <c r="G366" s="407"/>
      <c r="H366" s="407"/>
      <c r="I366" s="1137"/>
      <c r="J366" s="407"/>
      <c r="K366" s="407"/>
      <c r="L366" s="407"/>
      <c r="M366" s="407"/>
      <c r="N366" s="407"/>
      <c r="O366" s="1137"/>
      <c r="P366" s="407"/>
      <c r="Q366" s="407"/>
      <c r="R366" s="407"/>
      <c r="S366" s="1137"/>
      <c r="T366" s="407"/>
      <c r="U366" s="407"/>
      <c r="V366" s="407"/>
      <c r="W366" s="1128"/>
      <c r="X366"/>
      <c r="Y366"/>
      <c r="Z366"/>
      <c r="AA366"/>
      <c r="AB366"/>
    </row>
    <row r="367" spans="1:28" s="205" customFormat="1">
      <c r="A367" s="1125"/>
      <c r="B367" s="404"/>
      <c r="C367" s="408"/>
      <c r="D367" s="408"/>
      <c r="E367" s="408"/>
      <c r="F367" s="408"/>
      <c r="G367" s="408"/>
      <c r="H367" s="408"/>
      <c r="I367" s="1138"/>
      <c r="J367" s="408"/>
      <c r="K367" s="408"/>
      <c r="L367" s="408"/>
      <c r="M367" s="408"/>
      <c r="N367" s="408"/>
      <c r="O367" s="1138"/>
      <c r="P367" s="408"/>
      <c r="Q367" s="408"/>
      <c r="R367" s="408"/>
      <c r="S367" s="1138"/>
      <c r="T367" s="408"/>
      <c r="U367" s="408"/>
      <c r="V367" s="408"/>
      <c r="W367" s="1129"/>
      <c r="X367"/>
      <c r="Y367"/>
      <c r="Z367"/>
      <c r="AA367"/>
      <c r="AB367"/>
    </row>
    <row r="368" spans="1:28" s="204" customFormat="1">
      <c r="A368" s="1125"/>
      <c r="B368" s="1135"/>
      <c r="C368" s="520"/>
      <c r="D368" s="520"/>
      <c r="E368" s="520"/>
      <c r="F368" s="520"/>
      <c r="G368" s="520"/>
      <c r="H368" s="520"/>
      <c r="I368" s="1139"/>
      <c r="J368" s="520"/>
      <c r="K368" s="520"/>
      <c r="L368" s="520"/>
      <c r="M368" s="520"/>
      <c r="N368" s="520"/>
      <c r="O368" s="1139"/>
      <c r="P368" s="520"/>
      <c r="Q368" s="520"/>
      <c r="R368" s="520"/>
      <c r="S368" s="1139"/>
      <c r="T368" s="520"/>
      <c r="U368" s="520"/>
      <c r="V368" s="520"/>
      <c r="W368" s="1152"/>
      <c r="X368"/>
      <c r="Y368"/>
      <c r="Z368"/>
      <c r="AA368"/>
      <c r="AB368"/>
    </row>
    <row r="369" spans="1:28">
      <c r="A369" s="1125"/>
      <c r="B369" s="403"/>
      <c r="C369" s="407"/>
      <c r="D369" s="407"/>
      <c r="E369" s="407"/>
      <c r="F369" s="407"/>
      <c r="G369" s="407"/>
      <c r="H369" s="407"/>
      <c r="I369" s="1137"/>
      <c r="J369" s="407"/>
      <c r="K369" s="407"/>
      <c r="L369" s="407"/>
      <c r="M369" s="407"/>
      <c r="N369" s="407"/>
      <c r="O369" s="1137"/>
      <c r="P369" s="407"/>
      <c r="Q369" s="407"/>
      <c r="R369" s="407"/>
      <c r="S369" s="1137"/>
      <c r="T369" s="407"/>
      <c r="U369" s="407"/>
      <c r="V369" s="407"/>
      <c r="W369" s="1128"/>
      <c r="X369"/>
      <c r="Y369"/>
      <c r="Z369"/>
      <c r="AA369"/>
      <c r="AB369"/>
    </row>
    <row r="370" spans="1:28" s="205" customFormat="1">
      <c r="A370" s="1125"/>
      <c r="B370" s="404"/>
      <c r="C370" s="408"/>
      <c r="D370" s="408"/>
      <c r="E370" s="408"/>
      <c r="F370" s="408"/>
      <c r="G370" s="408"/>
      <c r="H370" s="408"/>
      <c r="I370" s="1138"/>
      <c r="J370" s="408"/>
      <c r="K370" s="408"/>
      <c r="L370" s="408"/>
      <c r="M370" s="408"/>
      <c r="N370" s="408"/>
      <c r="O370" s="1138"/>
      <c r="P370" s="408"/>
      <c r="Q370" s="408"/>
      <c r="R370" s="408"/>
      <c r="S370" s="1138"/>
      <c r="T370" s="408"/>
      <c r="U370" s="408"/>
      <c r="V370" s="408"/>
      <c r="W370" s="1129"/>
      <c r="X370"/>
      <c r="Y370"/>
      <c r="Z370"/>
      <c r="AA370"/>
      <c r="AB370"/>
    </row>
    <row r="371" spans="1:28" s="204" customFormat="1">
      <c r="A371" s="1125"/>
      <c r="B371" s="1135"/>
      <c r="C371" s="520"/>
      <c r="D371" s="520"/>
      <c r="E371" s="520"/>
      <c r="F371" s="520"/>
      <c r="G371" s="520"/>
      <c r="H371" s="520"/>
      <c r="I371" s="1139"/>
      <c r="J371" s="520"/>
      <c r="K371" s="520"/>
      <c r="L371" s="520"/>
      <c r="M371" s="520"/>
      <c r="N371" s="520"/>
      <c r="O371" s="1139"/>
      <c r="P371" s="520"/>
      <c r="Q371" s="520"/>
      <c r="R371" s="520"/>
      <c r="S371" s="1139"/>
      <c r="T371" s="520"/>
      <c r="U371" s="520"/>
      <c r="V371" s="520"/>
      <c r="W371" s="1152"/>
      <c r="X371"/>
      <c r="Y371"/>
      <c r="Z371"/>
      <c r="AA371"/>
      <c r="AB371"/>
    </row>
    <row r="372" spans="1:28">
      <c r="A372" s="1125"/>
      <c r="B372" s="403"/>
      <c r="C372" s="407"/>
      <c r="D372" s="407"/>
      <c r="E372" s="407"/>
      <c r="F372" s="407"/>
      <c r="G372" s="407"/>
      <c r="H372" s="407"/>
      <c r="I372" s="1137"/>
      <c r="J372" s="407"/>
      <c r="K372" s="407"/>
      <c r="L372" s="407"/>
      <c r="M372" s="407"/>
      <c r="N372" s="407"/>
      <c r="O372" s="1137"/>
      <c r="P372" s="407"/>
      <c r="Q372" s="407"/>
      <c r="R372" s="407"/>
      <c r="S372" s="1137"/>
      <c r="T372" s="407"/>
      <c r="U372" s="407"/>
      <c r="V372" s="407"/>
      <c r="W372" s="1128"/>
      <c r="X372"/>
      <c r="Y372"/>
      <c r="Z372"/>
      <c r="AA372"/>
      <c r="AB372"/>
    </row>
    <row r="373" spans="1:28" s="205" customFormat="1">
      <c r="A373" s="1125"/>
      <c r="B373" s="404"/>
      <c r="C373" s="408"/>
      <c r="D373" s="408"/>
      <c r="E373" s="408"/>
      <c r="F373" s="408"/>
      <c r="G373" s="408"/>
      <c r="H373" s="408"/>
      <c r="I373" s="1138"/>
      <c r="J373" s="408"/>
      <c r="K373" s="408"/>
      <c r="L373" s="408"/>
      <c r="M373" s="408"/>
      <c r="N373" s="408"/>
      <c r="O373" s="1138"/>
      <c r="P373" s="408"/>
      <c r="Q373" s="408"/>
      <c r="R373" s="408"/>
      <c r="S373" s="1138"/>
      <c r="T373" s="408"/>
      <c r="U373" s="408"/>
      <c r="V373" s="408"/>
      <c r="W373" s="1129"/>
      <c r="X373"/>
      <c r="Y373"/>
      <c r="Z373"/>
      <c r="AA373"/>
      <c r="AB373"/>
    </row>
    <row r="374" spans="1:28" s="204" customFormat="1">
      <c r="A374" s="1125"/>
      <c r="B374" s="1135"/>
      <c r="C374" s="520"/>
      <c r="D374" s="520"/>
      <c r="E374" s="520"/>
      <c r="F374" s="520"/>
      <c r="G374" s="520"/>
      <c r="H374" s="520"/>
      <c r="I374" s="1139"/>
      <c r="J374" s="520"/>
      <c r="K374" s="520"/>
      <c r="L374" s="520"/>
      <c r="M374" s="520"/>
      <c r="N374" s="520"/>
      <c r="O374" s="1139"/>
      <c r="P374" s="520"/>
      <c r="Q374" s="520"/>
      <c r="R374" s="520"/>
      <c r="S374" s="1139"/>
      <c r="T374" s="520"/>
      <c r="U374" s="520"/>
      <c r="V374" s="520"/>
      <c r="W374" s="1152"/>
      <c r="X374"/>
      <c r="Y374"/>
      <c r="Z374"/>
      <c r="AA374"/>
      <c r="AB374"/>
    </row>
    <row r="375" spans="1:28">
      <c r="A375" s="1125"/>
      <c r="B375" s="403"/>
      <c r="C375" s="407"/>
      <c r="D375" s="407"/>
      <c r="E375" s="407"/>
      <c r="F375" s="407"/>
      <c r="G375" s="407"/>
      <c r="H375" s="407"/>
      <c r="I375" s="1137"/>
      <c r="J375" s="407"/>
      <c r="K375" s="407"/>
      <c r="L375" s="407"/>
      <c r="M375" s="407"/>
      <c r="N375" s="407"/>
      <c r="O375" s="1137"/>
      <c r="P375" s="407"/>
      <c r="Q375" s="407"/>
      <c r="R375" s="407"/>
      <c r="S375" s="1137"/>
      <c r="T375" s="407"/>
      <c r="U375" s="407"/>
      <c r="V375" s="407"/>
      <c r="W375" s="1128"/>
      <c r="X375"/>
      <c r="Y375"/>
      <c r="Z375"/>
      <c r="AA375"/>
      <c r="AB375"/>
    </row>
    <row r="376" spans="1:28" s="205" customFormat="1">
      <c r="A376" s="1125"/>
      <c r="B376" s="404"/>
      <c r="C376" s="408"/>
      <c r="D376" s="408"/>
      <c r="E376" s="408"/>
      <c r="F376" s="408"/>
      <c r="G376" s="408"/>
      <c r="H376" s="408"/>
      <c r="I376" s="1138"/>
      <c r="J376" s="408"/>
      <c r="K376" s="408"/>
      <c r="L376" s="408"/>
      <c r="M376" s="408"/>
      <c r="N376" s="408"/>
      <c r="O376" s="1138"/>
      <c r="P376" s="408"/>
      <c r="Q376" s="408"/>
      <c r="R376" s="408"/>
      <c r="S376" s="1138"/>
      <c r="T376" s="408"/>
      <c r="U376" s="408"/>
      <c r="V376" s="408"/>
      <c r="W376" s="1129"/>
      <c r="X376"/>
      <c r="Y376"/>
      <c r="Z376"/>
      <c r="AA376"/>
      <c r="AB376"/>
    </row>
    <row r="377" spans="1:28" s="204" customFormat="1">
      <c r="A377" s="1125"/>
      <c r="B377" s="1135"/>
      <c r="C377" s="520"/>
      <c r="D377" s="520"/>
      <c r="E377" s="520"/>
      <c r="F377" s="520"/>
      <c r="G377" s="520"/>
      <c r="H377" s="520"/>
      <c r="I377" s="1139"/>
      <c r="J377" s="520"/>
      <c r="K377" s="520"/>
      <c r="L377" s="520"/>
      <c r="M377" s="520"/>
      <c r="N377" s="520"/>
      <c r="O377" s="1139"/>
      <c r="P377" s="520"/>
      <c r="Q377" s="520"/>
      <c r="R377" s="520"/>
      <c r="S377" s="1139"/>
      <c r="T377" s="520"/>
      <c r="U377" s="520"/>
      <c r="V377" s="520"/>
      <c r="W377" s="1152"/>
      <c r="X377"/>
      <c r="Y377"/>
      <c r="Z377"/>
      <c r="AA377"/>
      <c r="AB377"/>
    </row>
    <row r="378" spans="1:28">
      <c r="A378" s="1125"/>
      <c r="B378" s="403"/>
      <c r="C378" s="407"/>
      <c r="D378" s="407"/>
      <c r="E378" s="407"/>
      <c r="F378" s="407"/>
      <c r="G378" s="407"/>
      <c r="H378" s="407"/>
      <c r="I378" s="1137"/>
      <c r="J378" s="407"/>
      <c r="K378" s="407"/>
      <c r="L378" s="407"/>
      <c r="M378" s="407"/>
      <c r="N378" s="407"/>
      <c r="O378" s="1137"/>
      <c r="P378" s="407"/>
      <c r="Q378" s="407"/>
      <c r="R378" s="407"/>
      <c r="S378" s="1137"/>
      <c r="T378" s="407"/>
      <c r="U378" s="407"/>
      <c r="V378" s="407"/>
      <c r="W378" s="1128"/>
      <c r="X378"/>
      <c r="Y378"/>
      <c r="Z378"/>
      <c r="AA378"/>
      <c r="AB378"/>
    </row>
    <row r="379" spans="1:28" s="205" customFormat="1">
      <c r="A379" s="1125"/>
      <c r="B379" s="404"/>
      <c r="C379" s="408"/>
      <c r="D379" s="408"/>
      <c r="E379" s="408"/>
      <c r="F379" s="408"/>
      <c r="G379" s="408"/>
      <c r="H379" s="408"/>
      <c r="I379" s="1138"/>
      <c r="J379" s="408"/>
      <c r="K379" s="408"/>
      <c r="L379" s="408"/>
      <c r="M379" s="408"/>
      <c r="N379" s="408"/>
      <c r="O379" s="1138"/>
      <c r="P379" s="408"/>
      <c r="Q379" s="408"/>
      <c r="R379" s="408"/>
      <c r="S379" s="1138"/>
      <c r="T379" s="408"/>
      <c r="U379" s="408"/>
      <c r="V379" s="408"/>
      <c r="W379" s="1129"/>
      <c r="X379"/>
      <c r="Y379"/>
      <c r="Z379"/>
      <c r="AA379"/>
      <c r="AB379"/>
    </row>
    <row r="380" spans="1:28" s="204" customFormat="1">
      <c r="A380" s="1125"/>
      <c r="B380" s="1135"/>
      <c r="C380" s="520"/>
      <c r="D380" s="520"/>
      <c r="E380" s="520"/>
      <c r="F380" s="520"/>
      <c r="G380" s="520"/>
      <c r="H380" s="520"/>
      <c r="I380" s="1139"/>
      <c r="J380" s="520"/>
      <c r="K380" s="520"/>
      <c r="L380" s="520"/>
      <c r="M380" s="520"/>
      <c r="N380" s="520"/>
      <c r="O380" s="1139"/>
      <c r="P380" s="520"/>
      <c r="Q380" s="520"/>
      <c r="R380" s="520"/>
      <c r="S380" s="1139"/>
      <c r="T380" s="520"/>
      <c r="U380" s="520"/>
      <c r="V380" s="520"/>
      <c r="W380" s="1152"/>
      <c r="X380"/>
      <c r="Y380"/>
      <c r="Z380"/>
      <c r="AA380"/>
      <c r="AB380"/>
    </row>
    <row r="381" spans="1:28">
      <c r="A381" s="1125"/>
      <c r="B381" s="403"/>
      <c r="C381" s="407"/>
      <c r="D381" s="407"/>
      <c r="E381" s="407"/>
      <c r="F381" s="407"/>
      <c r="G381" s="407"/>
      <c r="H381" s="407"/>
      <c r="I381" s="1137"/>
      <c r="J381" s="407"/>
      <c r="K381" s="407"/>
      <c r="L381" s="407"/>
      <c r="M381" s="407"/>
      <c r="N381" s="407"/>
      <c r="O381" s="1137"/>
      <c r="P381" s="407"/>
      <c r="Q381" s="407"/>
      <c r="R381" s="407"/>
      <c r="S381" s="1137"/>
      <c r="T381" s="407"/>
      <c r="U381" s="407"/>
      <c r="V381" s="407"/>
      <c r="W381" s="1128"/>
      <c r="X381"/>
      <c r="Y381"/>
      <c r="Z381"/>
      <c r="AA381"/>
      <c r="AB381"/>
    </row>
    <row r="382" spans="1:28" s="205" customFormat="1">
      <c r="A382" s="1125"/>
      <c r="B382" s="404"/>
      <c r="C382" s="408"/>
      <c r="D382" s="408"/>
      <c r="E382" s="408"/>
      <c r="F382" s="408"/>
      <c r="G382" s="408"/>
      <c r="H382" s="408"/>
      <c r="I382" s="1138"/>
      <c r="J382" s="408"/>
      <c r="K382" s="408"/>
      <c r="L382" s="408"/>
      <c r="M382" s="408"/>
      <c r="N382" s="408"/>
      <c r="O382" s="1138"/>
      <c r="P382" s="408"/>
      <c r="Q382" s="408"/>
      <c r="R382" s="408"/>
      <c r="S382" s="1138"/>
      <c r="T382" s="408"/>
      <c r="U382" s="408"/>
      <c r="V382" s="408"/>
      <c r="W382" s="1129"/>
      <c r="X382"/>
      <c r="Y382"/>
      <c r="Z382"/>
      <c r="AA382"/>
      <c r="AB382"/>
    </row>
    <row r="383" spans="1:28" s="204" customFormat="1">
      <c r="A383" s="1125"/>
      <c r="B383" s="1135"/>
      <c r="C383" s="520"/>
      <c r="D383" s="520"/>
      <c r="E383" s="520"/>
      <c r="F383" s="520"/>
      <c r="G383" s="520"/>
      <c r="H383" s="520"/>
      <c r="I383" s="1139"/>
      <c r="J383" s="520"/>
      <c r="K383" s="520"/>
      <c r="L383" s="520"/>
      <c r="M383" s="520"/>
      <c r="N383" s="520"/>
      <c r="O383" s="1139"/>
      <c r="P383" s="520"/>
      <c r="Q383" s="520"/>
      <c r="R383" s="520"/>
      <c r="S383" s="1139"/>
      <c r="T383" s="520"/>
      <c r="U383" s="520"/>
      <c r="V383" s="520"/>
      <c r="W383" s="1152"/>
      <c r="X383"/>
      <c r="Y383"/>
      <c r="Z383"/>
      <c r="AA383"/>
      <c r="AB383"/>
    </row>
    <row r="384" spans="1:28">
      <c r="A384" s="1125"/>
      <c r="B384" s="403"/>
      <c r="C384" s="407"/>
      <c r="D384" s="407"/>
      <c r="E384" s="407"/>
      <c r="F384" s="407"/>
      <c r="G384" s="407"/>
      <c r="H384" s="407"/>
      <c r="I384" s="1137"/>
      <c r="J384" s="407"/>
      <c r="K384" s="407"/>
      <c r="L384" s="407"/>
      <c r="M384" s="407"/>
      <c r="N384" s="407"/>
      <c r="O384" s="1137"/>
      <c r="P384" s="407"/>
      <c r="Q384" s="407"/>
      <c r="R384" s="407"/>
      <c r="S384" s="1137"/>
      <c r="T384" s="407"/>
      <c r="U384" s="407"/>
      <c r="V384" s="407"/>
      <c r="W384" s="1128"/>
      <c r="X384"/>
      <c r="Y384"/>
      <c r="Z384"/>
      <c r="AA384"/>
      <c r="AB384"/>
    </row>
    <row r="385" spans="1:28" s="205" customFormat="1">
      <c r="A385" s="1125"/>
      <c r="B385" s="404"/>
      <c r="C385" s="408"/>
      <c r="D385" s="408"/>
      <c r="E385" s="408"/>
      <c r="F385" s="408"/>
      <c r="G385" s="408"/>
      <c r="H385" s="408"/>
      <c r="I385" s="1138"/>
      <c r="J385" s="408"/>
      <c r="K385" s="408"/>
      <c r="L385" s="408"/>
      <c r="M385" s="408"/>
      <c r="N385" s="408"/>
      <c r="O385" s="1138"/>
      <c r="P385" s="408"/>
      <c r="Q385" s="408"/>
      <c r="R385" s="408"/>
      <c r="S385" s="1138"/>
      <c r="T385" s="408"/>
      <c r="U385" s="408"/>
      <c r="V385" s="408"/>
      <c r="W385" s="1129"/>
      <c r="X385"/>
      <c r="Y385"/>
      <c r="Z385"/>
      <c r="AA385"/>
      <c r="AB385"/>
    </row>
    <row r="386" spans="1:28" s="204" customFormat="1">
      <c r="A386" s="1125"/>
      <c r="B386" s="1135"/>
      <c r="C386" s="520"/>
      <c r="D386" s="520"/>
      <c r="E386" s="520"/>
      <c r="F386" s="520"/>
      <c r="G386" s="520"/>
      <c r="H386" s="520"/>
      <c r="I386" s="1139"/>
      <c r="J386" s="520"/>
      <c r="K386" s="520"/>
      <c r="L386" s="520"/>
      <c r="M386" s="520"/>
      <c r="N386" s="520"/>
      <c r="O386" s="1139"/>
      <c r="P386" s="520"/>
      <c r="Q386" s="520"/>
      <c r="R386" s="520"/>
      <c r="S386" s="1139"/>
      <c r="T386" s="520"/>
      <c r="U386" s="520"/>
      <c r="V386" s="520"/>
      <c r="W386" s="1152"/>
      <c r="X386"/>
      <c r="Y386"/>
      <c r="Z386"/>
      <c r="AA386"/>
      <c r="AB386"/>
    </row>
    <row r="387" spans="1:28">
      <c r="A387" s="1125"/>
      <c r="B387" s="403"/>
      <c r="C387" s="407"/>
      <c r="D387" s="407"/>
      <c r="E387" s="407"/>
      <c r="F387" s="407"/>
      <c r="G387" s="407"/>
      <c r="H387" s="407"/>
      <c r="I387" s="1137"/>
      <c r="J387" s="407"/>
      <c r="K387" s="407"/>
      <c r="L387" s="407"/>
      <c r="M387" s="407"/>
      <c r="N387" s="407"/>
      <c r="O387" s="1137"/>
      <c r="P387" s="407"/>
      <c r="Q387" s="407"/>
      <c r="R387" s="407"/>
      <c r="S387" s="1137"/>
      <c r="T387" s="407"/>
      <c r="U387" s="407"/>
      <c r="V387" s="407"/>
      <c r="W387" s="1128"/>
      <c r="X387"/>
      <c r="Y387"/>
      <c r="Z387"/>
      <c r="AA387"/>
      <c r="AB387"/>
    </row>
    <row r="388" spans="1:28" s="205" customFormat="1">
      <c r="A388" s="1125"/>
      <c r="B388" s="404"/>
      <c r="C388" s="408"/>
      <c r="D388" s="408"/>
      <c r="E388" s="408"/>
      <c r="F388" s="408"/>
      <c r="G388" s="408"/>
      <c r="H388" s="408"/>
      <c r="I388" s="1138"/>
      <c r="J388" s="408"/>
      <c r="K388" s="408"/>
      <c r="L388" s="408"/>
      <c r="M388" s="408"/>
      <c r="N388" s="408"/>
      <c r="O388" s="1138"/>
      <c r="P388" s="408"/>
      <c r="Q388" s="408"/>
      <c r="R388" s="408"/>
      <c r="S388" s="1138"/>
      <c r="T388" s="408"/>
      <c r="U388" s="408"/>
      <c r="V388" s="408"/>
      <c r="W388" s="1129"/>
      <c r="X388"/>
      <c r="Y388"/>
      <c r="Z388"/>
      <c r="AA388"/>
      <c r="AB388"/>
    </row>
    <row r="389" spans="1:28" s="204" customFormat="1">
      <c r="A389" s="1125"/>
      <c r="B389" s="1135"/>
      <c r="C389" s="520"/>
      <c r="D389" s="520"/>
      <c r="E389" s="520"/>
      <c r="F389" s="520"/>
      <c r="G389" s="520"/>
      <c r="H389" s="520"/>
      <c r="I389" s="1139"/>
      <c r="J389" s="520"/>
      <c r="K389" s="520"/>
      <c r="L389" s="520"/>
      <c r="M389" s="520"/>
      <c r="N389" s="520"/>
      <c r="O389" s="1139"/>
      <c r="P389" s="520"/>
      <c r="Q389" s="520"/>
      <c r="R389" s="520"/>
      <c r="S389" s="1139"/>
      <c r="T389" s="520"/>
      <c r="U389" s="520"/>
      <c r="V389" s="520"/>
      <c r="W389" s="1152"/>
      <c r="X389"/>
      <c r="Y389"/>
      <c r="Z389"/>
      <c r="AA389"/>
      <c r="AB389"/>
    </row>
    <row r="390" spans="1:28">
      <c r="A390" s="1125"/>
      <c r="B390" s="403"/>
      <c r="C390" s="407"/>
      <c r="D390" s="407"/>
      <c r="E390" s="407"/>
      <c r="F390" s="407"/>
      <c r="G390" s="407"/>
      <c r="H390" s="407"/>
      <c r="I390" s="1137"/>
      <c r="J390" s="407"/>
      <c r="K390" s="407"/>
      <c r="L390" s="407"/>
      <c r="M390" s="407"/>
      <c r="N390" s="407"/>
      <c r="O390" s="1137"/>
      <c r="P390" s="407"/>
      <c r="Q390" s="407"/>
      <c r="R390" s="407"/>
      <c r="S390" s="1137"/>
      <c r="T390" s="407"/>
      <c r="U390" s="407"/>
      <c r="V390" s="407"/>
      <c r="W390" s="1128"/>
      <c r="X390"/>
      <c r="Y390"/>
      <c r="Z390"/>
      <c r="AA390"/>
      <c r="AB390"/>
    </row>
    <row r="391" spans="1:28" s="205" customFormat="1">
      <c r="A391" s="1125"/>
      <c r="B391" s="404"/>
      <c r="C391" s="408"/>
      <c r="D391" s="408"/>
      <c r="E391" s="408"/>
      <c r="F391" s="408"/>
      <c r="G391" s="408"/>
      <c r="H391" s="408"/>
      <c r="I391" s="1138"/>
      <c r="J391" s="408"/>
      <c r="K391" s="408"/>
      <c r="L391" s="408"/>
      <c r="M391" s="408"/>
      <c r="N391" s="408"/>
      <c r="O391" s="1138"/>
      <c r="P391" s="408"/>
      <c r="Q391" s="408"/>
      <c r="R391" s="408"/>
      <c r="S391" s="1138"/>
      <c r="T391" s="408"/>
      <c r="U391" s="408"/>
      <c r="V391" s="408"/>
      <c r="W391" s="1129"/>
      <c r="X391"/>
      <c r="Y391"/>
      <c r="Z391"/>
      <c r="AA391"/>
      <c r="AB391"/>
    </row>
    <row r="392" spans="1:28" s="204" customFormat="1">
      <c r="A392" s="1125"/>
      <c r="B392" s="1135"/>
      <c r="C392" s="520"/>
      <c r="D392" s="520"/>
      <c r="E392" s="520"/>
      <c r="F392" s="520"/>
      <c r="G392" s="520"/>
      <c r="H392" s="520"/>
      <c r="I392" s="1139"/>
      <c r="J392" s="520"/>
      <c r="K392" s="520"/>
      <c r="L392" s="520"/>
      <c r="M392" s="520"/>
      <c r="N392" s="520"/>
      <c r="O392" s="1139"/>
      <c r="P392" s="520"/>
      <c r="Q392" s="520"/>
      <c r="R392" s="520"/>
      <c r="S392" s="1139"/>
      <c r="T392" s="520"/>
      <c r="U392" s="520"/>
      <c r="V392" s="520"/>
      <c r="W392" s="1152"/>
      <c r="X392"/>
      <c r="Y392"/>
      <c r="Z392"/>
      <c r="AA392"/>
      <c r="AB392"/>
    </row>
    <row r="393" spans="1:28">
      <c r="A393" s="1125"/>
      <c r="B393" s="403"/>
      <c r="C393" s="407"/>
      <c r="D393" s="407"/>
      <c r="E393" s="407"/>
      <c r="F393" s="407"/>
      <c r="G393" s="407"/>
      <c r="H393" s="407"/>
      <c r="I393" s="1137"/>
      <c r="J393" s="407"/>
      <c r="K393" s="407"/>
      <c r="L393" s="407"/>
      <c r="M393" s="407"/>
      <c r="N393" s="407"/>
      <c r="O393" s="1137"/>
      <c r="P393" s="407"/>
      <c r="Q393" s="407"/>
      <c r="R393" s="407"/>
      <c r="S393" s="1137"/>
      <c r="T393" s="407"/>
      <c r="U393" s="407"/>
      <c r="V393" s="407"/>
      <c r="W393" s="1128"/>
      <c r="X393"/>
      <c r="Y393"/>
      <c r="Z393"/>
      <c r="AA393"/>
      <c r="AB393"/>
    </row>
    <row r="394" spans="1:28" s="205" customFormat="1">
      <c r="A394" s="1125"/>
      <c r="B394" s="404"/>
      <c r="C394" s="408"/>
      <c r="D394" s="408"/>
      <c r="E394" s="408"/>
      <c r="F394" s="408"/>
      <c r="G394" s="408"/>
      <c r="H394" s="408"/>
      <c r="I394" s="1138"/>
      <c r="J394" s="408"/>
      <c r="K394" s="408"/>
      <c r="L394" s="408"/>
      <c r="M394" s="408"/>
      <c r="N394" s="408"/>
      <c r="O394" s="1138"/>
      <c r="P394" s="408"/>
      <c r="Q394" s="408"/>
      <c r="R394" s="408"/>
      <c r="S394" s="1138"/>
      <c r="T394" s="408"/>
      <c r="U394" s="408"/>
      <c r="V394" s="408"/>
      <c r="W394" s="1129"/>
      <c r="X394"/>
      <c r="Y394"/>
      <c r="Z394"/>
      <c r="AA394"/>
      <c r="AB394"/>
    </row>
    <row r="395" spans="1:28" s="214" customFormat="1">
      <c r="A395" s="1136"/>
      <c r="B395" s="1135"/>
      <c r="C395" s="520"/>
      <c r="D395" s="520"/>
      <c r="E395" s="520"/>
      <c r="F395" s="520"/>
      <c r="G395" s="520"/>
      <c r="H395" s="520"/>
      <c r="I395" s="1139"/>
      <c r="J395" s="520"/>
      <c r="K395" s="520"/>
      <c r="L395" s="520"/>
      <c r="M395" s="520"/>
      <c r="N395" s="520"/>
      <c r="O395" s="1139"/>
      <c r="P395" s="520"/>
      <c r="Q395" s="520"/>
      <c r="R395" s="520"/>
      <c r="S395" s="1139"/>
      <c r="T395" s="520"/>
      <c r="U395" s="520"/>
      <c r="V395" s="520"/>
      <c r="W395" s="1152"/>
      <c r="X395"/>
      <c r="Y395"/>
      <c r="Z395"/>
      <c r="AA395"/>
      <c r="AB395"/>
    </row>
    <row r="396" spans="1:28">
      <c r="A396" s="233"/>
      <c r="B396" s="403"/>
      <c r="C396" s="407"/>
      <c r="D396" s="407"/>
      <c r="E396" s="407"/>
      <c r="F396" s="407"/>
      <c r="G396" s="407"/>
      <c r="H396" s="407"/>
      <c r="I396" s="1137"/>
      <c r="J396" s="407"/>
      <c r="K396" s="407"/>
      <c r="L396" s="407"/>
      <c r="M396" s="407"/>
      <c r="N396" s="407"/>
      <c r="O396" s="1137"/>
      <c r="P396" s="407"/>
      <c r="Q396" s="407"/>
      <c r="R396" s="407"/>
      <c r="S396" s="1137"/>
      <c r="T396" s="407"/>
      <c r="U396" s="407"/>
      <c r="V396" s="407"/>
      <c r="W396" s="1128"/>
      <c r="X396"/>
      <c r="Y396"/>
      <c r="Z396"/>
      <c r="AA396"/>
      <c r="AB396"/>
    </row>
    <row r="397" spans="1:28" s="205" customFormat="1">
      <c r="A397" s="1125"/>
      <c r="B397" s="404"/>
      <c r="C397" s="408"/>
      <c r="D397" s="408"/>
      <c r="E397" s="408"/>
      <c r="F397" s="408"/>
      <c r="G397" s="408"/>
      <c r="H397" s="408"/>
      <c r="I397" s="1138"/>
      <c r="J397" s="408"/>
      <c r="K397" s="408"/>
      <c r="L397" s="408"/>
      <c r="M397" s="408"/>
      <c r="N397" s="408"/>
      <c r="O397" s="1138"/>
      <c r="P397" s="408"/>
      <c r="Q397" s="408"/>
      <c r="R397" s="408"/>
      <c r="S397" s="1138"/>
      <c r="T397" s="408"/>
      <c r="U397" s="408"/>
      <c r="V397" s="408"/>
      <c r="W397" s="1129"/>
      <c r="X397"/>
      <c r="Y397"/>
      <c r="Z397"/>
      <c r="AA397"/>
      <c r="AB397"/>
    </row>
    <row r="398" spans="1:28" s="204" customFormat="1">
      <c r="A398" s="1126"/>
      <c r="B398" s="1135"/>
      <c r="C398" s="520"/>
      <c r="D398" s="520"/>
      <c r="E398" s="520"/>
      <c r="F398" s="520"/>
      <c r="G398" s="520"/>
      <c r="H398" s="520"/>
      <c r="I398" s="1139"/>
      <c r="J398" s="520"/>
      <c r="K398" s="520"/>
      <c r="L398" s="520"/>
      <c r="M398" s="520"/>
      <c r="N398" s="520"/>
      <c r="O398" s="1139"/>
      <c r="P398" s="520"/>
      <c r="Q398" s="520"/>
      <c r="R398" s="520"/>
      <c r="S398" s="1139"/>
      <c r="T398" s="520"/>
      <c r="U398" s="520"/>
      <c r="V398" s="520"/>
      <c r="W398" s="1152"/>
      <c r="X398"/>
      <c r="Y398"/>
      <c r="Z398"/>
      <c r="AA398"/>
      <c r="AB398"/>
    </row>
    <row r="399" spans="1:28">
      <c r="A399" s="1125"/>
      <c r="B399" s="403"/>
      <c r="C399" s="407"/>
      <c r="D399" s="407"/>
      <c r="E399" s="407"/>
      <c r="F399" s="407"/>
      <c r="G399" s="407"/>
      <c r="H399" s="407"/>
      <c r="I399" s="1137"/>
      <c r="J399" s="407"/>
      <c r="K399" s="407"/>
      <c r="L399" s="407"/>
      <c r="M399" s="407"/>
      <c r="N399" s="407"/>
      <c r="O399" s="1137"/>
      <c r="P399" s="407"/>
      <c r="Q399" s="407"/>
      <c r="R399" s="407"/>
      <c r="S399" s="1137"/>
      <c r="T399" s="407"/>
      <c r="U399" s="407"/>
      <c r="V399" s="407"/>
      <c r="W399" s="1128"/>
      <c r="X399"/>
      <c r="Y399"/>
      <c r="Z399"/>
      <c r="AA399"/>
      <c r="AB399"/>
    </row>
    <row r="400" spans="1:28" s="205" customFormat="1">
      <c r="A400" s="1125"/>
      <c r="B400" s="404"/>
      <c r="C400" s="408"/>
      <c r="D400" s="408"/>
      <c r="E400" s="408"/>
      <c r="F400" s="408"/>
      <c r="G400" s="408"/>
      <c r="H400" s="408"/>
      <c r="I400" s="1138"/>
      <c r="J400" s="408"/>
      <c r="K400" s="408"/>
      <c r="L400" s="408"/>
      <c r="M400" s="408"/>
      <c r="N400" s="408"/>
      <c r="O400" s="1138"/>
      <c r="P400" s="408"/>
      <c r="Q400" s="408"/>
      <c r="R400" s="408"/>
      <c r="S400" s="1138"/>
      <c r="T400" s="408"/>
      <c r="U400" s="408"/>
      <c r="V400" s="408"/>
      <c r="W400" s="1129"/>
      <c r="X400"/>
      <c r="Y400"/>
      <c r="Z400"/>
      <c r="AA400"/>
      <c r="AB400"/>
    </row>
    <row r="401" spans="1:28" s="204" customFormat="1">
      <c r="A401" s="1125"/>
      <c r="B401" s="1135"/>
      <c r="C401" s="520"/>
      <c r="D401" s="520"/>
      <c r="E401" s="520"/>
      <c r="F401" s="520"/>
      <c r="G401" s="520"/>
      <c r="H401" s="520"/>
      <c r="I401" s="1139"/>
      <c r="J401" s="520"/>
      <c r="K401" s="520"/>
      <c r="L401" s="520"/>
      <c r="M401" s="520"/>
      <c r="N401" s="520"/>
      <c r="O401" s="1139"/>
      <c r="P401" s="520"/>
      <c r="Q401" s="520"/>
      <c r="R401" s="520"/>
      <c r="S401" s="1139"/>
      <c r="T401" s="520"/>
      <c r="U401" s="520"/>
      <c r="V401" s="520"/>
      <c r="W401" s="1152"/>
      <c r="X401"/>
      <c r="Y401"/>
      <c r="Z401"/>
      <c r="AA401"/>
      <c r="AB401"/>
    </row>
    <row r="402" spans="1:28">
      <c r="A402" s="1125"/>
      <c r="B402" s="403"/>
      <c r="C402" s="407"/>
      <c r="D402" s="407"/>
      <c r="E402" s="407"/>
      <c r="F402" s="407"/>
      <c r="G402" s="407"/>
      <c r="H402" s="407"/>
      <c r="I402" s="1137"/>
      <c r="J402" s="407"/>
      <c r="K402" s="407"/>
      <c r="L402" s="407"/>
      <c r="M402" s="407"/>
      <c r="N402" s="407"/>
      <c r="O402" s="1137"/>
      <c r="P402" s="407"/>
      <c r="Q402" s="407"/>
      <c r="R402" s="407"/>
      <c r="S402" s="1137"/>
      <c r="T402" s="407"/>
      <c r="U402" s="407"/>
      <c r="V402" s="407"/>
      <c r="W402" s="1128"/>
      <c r="X402"/>
      <c r="Y402"/>
      <c r="Z402"/>
      <c r="AA402"/>
      <c r="AB402"/>
    </row>
    <row r="403" spans="1:28" s="205" customFormat="1">
      <c r="A403" s="1125"/>
      <c r="B403" s="404"/>
      <c r="C403" s="408"/>
      <c r="D403" s="408"/>
      <c r="E403" s="408"/>
      <c r="F403" s="408"/>
      <c r="G403" s="408"/>
      <c r="H403" s="408"/>
      <c r="I403" s="1138"/>
      <c r="J403" s="408"/>
      <c r="K403" s="408"/>
      <c r="L403" s="408"/>
      <c r="M403" s="408"/>
      <c r="N403" s="408"/>
      <c r="O403" s="1138"/>
      <c r="P403" s="408"/>
      <c r="Q403" s="408"/>
      <c r="R403" s="408"/>
      <c r="S403" s="1138"/>
      <c r="T403" s="408"/>
      <c r="U403" s="408"/>
      <c r="V403" s="408"/>
      <c r="W403" s="1129"/>
      <c r="X403"/>
      <c r="Y403"/>
      <c r="Z403"/>
      <c r="AA403"/>
      <c r="AB403"/>
    </row>
    <row r="404" spans="1:28" s="204" customFormat="1">
      <c r="A404" s="1125"/>
      <c r="B404" s="1135"/>
      <c r="C404" s="520"/>
      <c r="D404" s="520"/>
      <c r="E404" s="520"/>
      <c r="F404" s="520"/>
      <c r="G404" s="520"/>
      <c r="H404" s="520"/>
      <c r="I404" s="1139"/>
      <c r="J404" s="520"/>
      <c r="K404" s="520"/>
      <c r="L404" s="520"/>
      <c r="M404" s="520"/>
      <c r="N404" s="520"/>
      <c r="O404" s="1139"/>
      <c r="P404" s="520"/>
      <c r="Q404" s="520"/>
      <c r="R404" s="520"/>
      <c r="S404" s="1139"/>
      <c r="T404" s="520"/>
      <c r="U404" s="520"/>
      <c r="V404" s="520"/>
      <c r="W404" s="1152"/>
      <c r="X404"/>
      <c r="Y404"/>
      <c r="Z404"/>
      <c r="AA404"/>
      <c r="AB404"/>
    </row>
    <row r="405" spans="1:28">
      <c r="A405" s="1125"/>
      <c r="B405" s="403"/>
      <c r="C405" s="407"/>
      <c r="D405" s="407"/>
      <c r="E405" s="407"/>
      <c r="F405" s="407"/>
      <c r="G405" s="407"/>
      <c r="H405" s="407"/>
      <c r="I405" s="1137"/>
      <c r="J405" s="407"/>
      <c r="K405" s="407"/>
      <c r="L405" s="407"/>
      <c r="M405" s="407"/>
      <c r="N405" s="407"/>
      <c r="O405" s="1137"/>
      <c r="P405" s="407"/>
      <c r="Q405" s="407"/>
      <c r="R405" s="407"/>
      <c r="S405" s="1137"/>
      <c r="T405" s="407"/>
      <c r="U405" s="407"/>
      <c r="V405" s="407"/>
      <c r="W405" s="1128"/>
      <c r="X405"/>
      <c r="Y405"/>
      <c r="Z405"/>
      <c r="AA405"/>
      <c r="AB405"/>
    </row>
    <row r="406" spans="1:28" s="205" customFormat="1">
      <c r="A406" s="1125"/>
      <c r="B406" s="404"/>
      <c r="C406" s="408"/>
      <c r="D406" s="408"/>
      <c r="E406" s="408"/>
      <c r="F406" s="408"/>
      <c r="G406" s="408"/>
      <c r="H406" s="408"/>
      <c r="I406" s="1138"/>
      <c r="J406" s="408"/>
      <c r="K406" s="408"/>
      <c r="L406" s="408"/>
      <c r="M406" s="408"/>
      <c r="N406" s="408"/>
      <c r="O406" s="1138"/>
      <c r="P406" s="408"/>
      <c r="Q406" s="408"/>
      <c r="R406" s="408"/>
      <c r="S406" s="1138"/>
      <c r="T406" s="408"/>
      <c r="U406" s="408"/>
      <c r="V406" s="408"/>
      <c r="W406" s="1129"/>
      <c r="X406"/>
      <c r="Y406"/>
      <c r="Z406"/>
      <c r="AA406"/>
      <c r="AB406"/>
    </row>
    <row r="407" spans="1:28" s="204" customFormat="1">
      <c r="A407" s="1125"/>
      <c r="B407" s="1135"/>
      <c r="C407" s="520"/>
      <c r="D407" s="520"/>
      <c r="E407" s="520"/>
      <c r="F407" s="520"/>
      <c r="G407" s="520"/>
      <c r="H407" s="520"/>
      <c r="I407" s="1139"/>
      <c r="J407" s="520"/>
      <c r="K407" s="520"/>
      <c r="L407" s="520"/>
      <c r="M407" s="520"/>
      <c r="N407" s="520"/>
      <c r="O407" s="1139"/>
      <c r="P407" s="520"/>
      <c r="Q407" s="520"/>
      <c r="R407" s="520"/>
      <c r="S407" s="1139"/>
      <c r="T407" s="520"/>
      <c r="U407" s="520"/>
      <c r="V407" s="520"/>
      <c r="W407" s="1152"/>
      <c r="X407"/>
      <c r="Y407"/>
      <c r="Z407"/>
      <c r="AA407"/>
      <c r="AB407"/>
    </row>
    <row r="408" spans="1:28">
      <c r="A408" s="1125"/>
      <c r="B408" s="403"/>
      <c r="C408" s="407"/>
      <c r="D408" s="407"/>
      <c r="E408" s="407"/>
      <c r="F408" s="407"/>
      <c r="G408" s="407"/>
      <c r="H408" s="407"/>
      <c r="I408" s="1137"/>
      <c r="J408" s="407"/>
      <c r="K408" s="407"/>
      <c r="L408" s="407"/>
      <c r="M408" s="407"/>
      <c r="N408" s="407"/>
      <c r="O408" s="1137"/>
      <c r="P408" s="407"/>
      <c r="Q408" s="407"/>
      <c r="R408" s="407"/>
      <c r="S408" s="1137"/>
      <c r="T408" s="407"/>
      <c r="U408" s="407"/>
      <c r="V408" s="407"/>
      <c r="W408" s="1128"/>
      <c r="X408"/>
      <c r="Y408"/>
      <c r="Z408"/>
      <c r="AA408"/>
      <c r="AB408"/>
    </row>
    <row r="409" spans="1:28" s="205" customFormat="1">
      <c r="A409" s="1125"/>
      <c r="B409" s="404"/>
      <c r="C409" s="408"/>
      <c r="D409" s="408"/>
      <c r="E409" s="408"/>
      <c r="F409" s="408"/>
      <c r="G409" s="408"/>
      <c r="H409" s="408"/>
      <c r="I409" s="1138"/>
      <c r="J409" s="408"/>
      <c r="K409" s="408"/>
      <c r="L409" s="408"/>
      <c r="M409" s="408"/>
      <c r="N409" s="408"/>
      <c r="O409" s="1138"/>
      <c r="P409" s="408"/>
      <c r="Q409" s="408"/>
      <c r="R409" s="408"/>
      <c r="S409" s="1138"/>
      <c r="T409" s="408"/>
      <c r="U409" s="408"/>
      <c r="V409" s="408"/>
      <c r="W409" s="1129"/>
      <c r="X409"/>
      <c r="Y409"/>
      <c r="Z409"/>
      <c r="AA409"/>
      <c r="AB409"/>
    </row>
    <row r="410" spans="1:28" s="204" customFormat="1">
      <c r="A410" s="1125"/>
      <c r="B410" s="1135"/>
      <c r="C410" s="520"/>
      <c r="D410" s="520"/>
      <c r="E410" s="520"/>
      <c r="F410" s="520"/>
      <c r="G410" s="520"/>
      <c r="H410" s="520"/>
      <c r="I410" s="1139"/>
      <c r="J410" s="520"/>
      <c r="K410" s="520"/>
      <c r="L410" s="520"/>
      <c r="M410" s="520"/>
      <c r="N410" s="520"/>
      <c r="O410" s="1139"/>
      <c r="P410" s="520"/>
      <c r="Q410" s="520"/>
      <c r="R410" s="520"/>
      <c r="S410" s="1139"/>
      <c r="T410" s="520"/>
      <c r="U410" s="520"/>
      <c r="V410" s="520"/>
      <c r="W410" s="1152"/>
      <c r="X410"/>
      <c r="Y410"/>
      <c r="Z410"/>
      <c r="AA410"/>
      <c r="AB410"/>
    </row>
    <row r="411" spans="1:28">
      <c r="A411" s="1125"/>
      <c r="B411" s="403"/>
      <c r="C411" s="407"/>
      <c r="D411" s="407"/>
      <c r="E411" s="407"/>
      <c r="F411" s="407"/>
      <c r="G411" s="407"/>
      <c r="H411" s="407"/>
      <c r="I411" s="1137"/>
      <c r="J411" s="407"/>
      <c r="K411" s="407"/>
      <c r="L411" s="407"/>
      <c r="M411" s="407"/>
      <c r="N411" s="407"/>
      <c r="O411" s="1137"/>
      <c r="P411" s="407"/>
      <c r="Q411" s="407"/>
      <c r="R411" s="407"/>
      <c r="S411" s="1137"/>
      <c r="T411" s="407"/>
      <c r="U411" s="407"/>
      <c r="V411" s="407"/>
      <c r="W411" s="1128"/>
      <c r="X411"/>
      <c r="Y411"/>
      <c r="Z411"/>
      <c r="AA411"/>
      <c r="AB411"/>
    </row>
    <row r="412" spans="1:28" s="205" customFormat="1">
      <c r="A412" s="1125"/>
      <c r="B412" s="404"/>
      <c r="C412" s="408"/>
      <c r="D412" s="408"/>
      <c r="E412" s="408"/>
      <c r="F412" s="408"/>
      <c r="G412" s="408"/>
      <c r="H412" s="408"/>
      <c r="I412" s="1138"/>
      <c r="J412" s="408"/>
      <c r="K412" s="408"/>
      <c r="L412" s="408"/>
      <c r="M412" s="408"/>
      <c r="N412" s="408"/>
      <c r="O412" s="1138"/>
      <c r="P412" s="408"/>
      <c r="Q412" s="408"/>
      <c r="R412" s="408"/>
      <c r="S412" s="1138"/>
      <c r="T412" s="408"/>
      <c r="U412" s="408"/>
      <c r="V412" s="408"/>
      <c r="W412" s="1129"/>
      <c r="X412"/>
      <c r="Y412"/>
      <c r="Z412"/>
      <c r="AA412"/>
      <c r="AB412"/>
    </row>
    <row r="413" spans="1:28" s="204" customFormat="1">
      <c r="A413" s="1125"/>
      <c r="B413" s="1135"/>
      <c r="C413" s="520"/>
      <c r="D413" s="520"/>
      <c r="E413" s="520"/>
      <c r="F413" s="520"/>
      <c r="G413" s="520"/>
      <c r="H413" s="520"/>
      <c r="I413" s="1139"/>
      <c r="J413" s="520"/>
      <c r="K413" s="520"/>
      <c r="L413" s="520"/>
      <c r="M413" s="520"/>
      <c r="N413" s="520"/>
      <c r="O413" s="1139"/>
      <c r="P413" s="520"/>
      <c r="Q413" s="520"/>
      <c r="R413" s="520"/>
      <c r="S413" s="1139"/>
      <c r="T413" s="520"/>
      <c r="U413" s="520"/>
      <c r="V413" s="520"/>
      <c r="W413" s="1152"/>
      <c r="X413"/>
      <c r="Y413"/>
      <c r="Z413"/>
      <c r="AA413"/>
      <c r="AB413"/>
    </row>
    <row r="414" spans="1:28">
      <c r="A414" s="1125"/>
      <c r="B414" s="403"/>
      <c r="C414" s="407"/>
      <c r="D414" s="407"/>
      <c r="E414" s="407"/>
      <c r="F414" s="407"/>
      <c r="G414" s="407"/>
      <c r="H414" s="407"/>
      <c r="I414" s="1137"/>
      <c r="J414" s="407"/>
      <c r="K414" s="407"/>
      <c r="L414" s="407"/>
      <c r="M414" s="407"/>
      <c r="N414" s="407"/>
      <c r="O414" s="1137"/>
      <c r="P414" s="407"/>
      <c r="Q414" s="407"/>
      <c r="R414" s="407"/>
      <c r="S414" s="1137"/>
      <c r="T414" s="407"/>
      <c r="U414" s="407"/>
      <c r="V414" s="407"/>
      <c r="W414" s="1128"/>
      <c r="X414"/>
      <c r="Y414"/>
      <c r="Z414"/>
      <c r="AA414"/>
      <c r="AB414"/>
    </row>
    <row r="415" spans="1:28" s="205" customFormat="1">
      <c r="A415" s="1125"/>
      <c r="B415" s="404"/>
      <c r="C415" s="408"/>
      <c r="D415" s="408"/>
      <c r="E415" s="408"/>
      <c r="F415" s="408"/>
      <c r="G415" s="408"/>
      <c r="H415" s="408"/>
      <c r="I415" s="1138"/>
      <c r="J415" s="408"/>
      <c r="K415" s="408"/>
      <c r="L415" s="408"/>
      <c r="M415" s="408"/>
      <c r="N415" s="408"/>
      <c r="O415" s="1138"/>
      <c r="P415" s="408"/>
      <c r="Q415" s="408"/>
      <c r="R415" s="408"/>
      <c r="S415" s="1138"/>
      <c r="T415" s="408"/>
      <c r="U415" s="408"/>
      <c r="V415" s="408"/>
      <c r="W415" s="1129"/>
      <c r="X415"/>
      <c r="Y415"/>
      <c r="Z415"/>
      <c r="AA415"/>
      <c r="AB415"/>
    </row>
    <row r="416" spans="1:28" s="204" customFormat="1">
      <c r="A416" s="1125"/>
      <c r="B416" s="1135"/>
      <c r="C416" s="520"/>
      <c r="D416" s="520"/>
      <c r="E416" s="520"/>
      <c r="F416" s="520"/>
      <c r="G416" s="520"/>
      <c r="H416" s="520"/>
      <c r="I416" s="1139"/>
      <c r="J416" s="520"/>
      <c r="K416" s="520"/>
      <c r="L416" s="520"/>
      <c r="M416" s="520"/>
      <c r="N416" s="520"/>
      <c r="O416" s="1139"/>
      <c r="P416" s="520"/>
      <c r="Q416" s="520"/>
      <c r="R416" s="520"/>
      <c r="S416" s="1139"/>
      <c r="T416" s="520"/>
      <c r="U416" s="520"/>
      <c r="V416" s="520"/>
      <c r="W416" s="1152"/>
      <c r="X416"/>
      <c r="Y416"/>
      <c r="Z416"/>
      <c r="AA416"/>
      <c r="AB416"/>
    </row>
    <row r="417" spans="1:28">
      <c r="A417" s="1125"/>
      <c r="B417" s="403"/>
      <c r="C417" s="407"/>
      <c r="D417" s="407"/>
      <c r="E417" s="407"/>
      <c r="F417" s="407"/>
      <c r="G417" s="407"/>
      <c r="H417" s="407"/>
      <c r="I417" s="1137"/>
      <c r="J417" s="407"/>
      <c r="K417" s="407"/>
      <c r="L417" s="407"/>
      <c r="M417" s="407"/>
      <c r="N417" s="407"/>
      <c r="O417" s="1137"/>
      <c r="P417" s="407"/>
      <c r="Q417" s="407"/>
      <c r="R417" s="407"/>
      <c r="S417" s="1137"/>
      <c r="T417" s="407"/>
      <c r="U417" s="407"/>
      <c r="V417" s="407"/>
      <c r="W417" s="1128"/>
      <c r="X417"/>
      <c r="Y417"/>
      <c r="Z417"/>
      <c r="AA417"/>
      <c r="AB417"/>
    </row>
    <row r="418" spans="1:28" s="205" customFormat="1">
      <c r="A418" s="1125"/>
      <c r="B418" s="404"/>
      <c r="C418" s="408"/>
      <c r="D418" s="408"/>
      <c r="E418" s="408"/>
      <c r="F418" s="408"/>
      <c r="G418" s="408"/>
      <c r="H418" s="408"/>
      <c r="I418" s="1138"/>
      <c r="J418" s="408"/>
      <c r="K418" s="408"/>
      <c r="L418" s="408"/>
      <c r="M418" s="408"/>
      <c r="N418" s="408"/>
      <c r="O418" s="1138"/>
      <c r="P418" s="408"/>
      <c r="Q418" s="408"/>
      <c r="R418" s="408"/>
      <c r="S418" s="1138"/>
      <c r="T418" s="408"/>
      <c r="U418" s="408"/>
      <c r="V418" s="408"/>
      <c r="W418" s="1129"/>
      <c r="X418"/>
      <c r="Y418"/>
      <c r="Z418"/>
      <c r="AA418"/>
      <c r="AB418"/>
    </row>
    <row r="419" spans="1:28" s="204" customFormat="1">
      <c r="A419" s="1125"/>
      <c r="B419" s="1135"/>
      <c r="C419" s="520"/>
      <c r="D419" s="520"/>
      <c r="E419" s="520"/>
      <c r="F419" s="520"/>
      <c r="G419" s="520"/>
      <c r="H419" s="520"/>
      <c r="I419" s="1139"/>
      <c r="J419" s="520"/>
      <c r="K419" s="520"/>
      <c r="L419" s="520"/>
      <c r="M419" s="520"/>
      <c r="N419" s="520"/>
      <c r="O419" s="1139"/>
      <c r="P419" s="520"/>
      <c r="Q419" s="520"/>
      <c r="R419" s="520"/>
      <c r="S419" s="1139"/>
      <c r="T419" s="520"/>
      <c r="U419" s="520"/>
      <c r="V419" s="520"/>
      <c r="W419" s="1152"/>
      <c r="X419"/>
      <c r="Y419"/>
      <c r="Z419"/>
      <c r="AA419"/>
      <c r="AB419"/>
    </row>
    <row r="420" spans="1:28">
      <c r="A420" s="1125"/>
      <c r="B420" s="403"/>
      <c r="C420" s="407"/>
      <c r="D420" s="407"/>
      <c r="E420" s="407"/>
      <c r="F420" s="407"/>
      <c r="G420" s="407"/>
      <c r="H420" s="407"/>
      <c r="I420" s="1137"/>
      <c r="J420" s="407"/>
      <c r="K420" s="407"/>
      <c r="L420" s="407"/>
      <c r="M420" s="407"/>
      <c r="N420" s="407"/>
      <c r="O420" s="1137"/>
      <c r="P420" s="407"/>
      <c r="Q420" s="407"/>
      <c r="R420" s="407"/>
      <c r="S420" s="1137"/>
      <c r="T420" s="407"/>
      <c r="U420" s="407"/>
      <c r="V420" s="407"/>
      <c r="W420" s="1128"/>
      <c r="X420"/>
      <c r="Y420"/>
      <c r="Z420"/>
      <c r="AA420"/>
      <c r="AB420"/>
    </row>
    <row r="421" spans="1:28" s="205" customFormat="1">
      <c r="A421" s="1125"/>
      <c r="B421" s="404"/>
      <c r="C421" s="408"/>
      <c r="D421" s="408"/>
      <c r="E421" s="408"/>
      <c r="F421" s="408"/>
      <c r="G421" s="408"/>
      <c r="H421" s="408"/>
      <c r="I421" s="1138"/>
      <c r="J421" s="408"/>
      <c r="K421" s="408"/>
      <c r="L421" s="408"/>
      <c r="M421" s="408"/>
      <c r="N421" s="408"/>
      <c r="O421" s="1138"/>
      <c r="P421" s="408"/>
      <c r="Q421" s="408"/>
      <c r="R421" s="408"/>
      <c r="S421" s="1138"/>
      <c r="T421" s="408"/>
      <c r="U421" s="408"/>
      <c r="V421" s="408"/>
      <c r="W421" s="1129"/>
      <c r="X421"/>
      <c r="Y421"/>
      <c r="Z421"/>
      <c r="AA421"/>
      <c r="AB421"/>
    </row>
    <row r="422" spans="1:28" s="204" customFormat="1">
      <c r="A422" s="1125"/>
      <c r="B422" s="1135"/>
      <c r="C422" s="520"/>
      <c r="D422" s="520"/>
      <c r="E422" s="520"/>
      <c r="F422" s="520"/>
      <c r="G422" s="520"/>
      <c r="H422" s="520"/>
      <c r="I422" s="1139"/>
      <c r="J422" s="520"/>
      <c r="K422" s="520"/>
      <c r="L422" s="520"/>
      <c r="M422" s="520"/>
      <c r="N422" s="520"/>
      <c r="O422" s="1139"/>
      <c r="P422" s="520"/>
      <c r="Q422" s="520"/>
      <c r="R422" s="520"/>
      <c r="S422" s="1139"/>
      <c r="T422" s="520"/>
      <c r="U422" s="520"/>
      <c r="V422" s="520"/>
      <c r="W422" s="1152"/>
      <c r="X422"/>
      <c r="Y422"/>
      <c r="Z422"/>
      <c r="AA422"/>
      <c r="AB422"/>
    </row>
    <row r="423" spans="1:28">
      <c r="A423" s="1125"/>
      <c r="B423" s="403"/>
      <c r="C423" s="407"/>
      <c r="D423" s="407"/>
      <c r="E423" s="407"/>
      <c r="F423" s="407"/>
      <c r="G423" s="407"/>
      <c r="H423" s="407"/>
      <c r="I423" s="1137"/>
      <c r="J423" s="407"/>
      <c r="K423" s="407"/>
      <c r="L423" s="407"/>
      <c r="M423" s="407"/>
      <c r="N423" s="407"/>
      <c r="O423" s="1137"/>
      <c r="P423" s="407"/>
      <c r="Q423" s="407"/>
      <c r="R423" s="407"/>
      <c r="S423" s="1137"/>
      <c r="T423" s="407"/>
      <c r="U423" s="407"/>
      <c r="V423" s="407"/>
      <c r="W423" s="1128"/>
      <c r="X423"/>
      <c r="Y423"/>
      <c r="Z423"/>
      <c r="AA423"/>
      <c r="AB423"/>
    </row>
    <row r="424" spans="1:28" s="205" customFormat="1">
      <c r="A424" s="1125"/>
      <c r="B424" s="404"/>
      <c r="C424" s="408"/>
      <c r="D424" s="408"/>
      <c r="E424" s="408"/>
      <c r="F424" s="408"/>
      <c r="G424" s="408"/>
      <c r="H424" s="408"/>
      <c r="I424" s="1138"/>
      <c r="J424" s="408"/>
      <c r="K424" s="408"/>
      <c r="L424" s="408"/>
      <c r="M424" s="408"/>
      <c r="N424" s="408"/>
      <c r="O424" s="1138"/>
      <c r="P424" s="408"/>
      <c r="Q424" s="408"/>
      <c r="R424" s="408"/>
      <c r="S424" s="1138"/>
      <c r="T424" s="408"/>
      <c r="U424" s="408"/>
      <c r="V424" s="408"/>
      <c r="W424" s="1129"/>
      <c r="X424"/>
      <c r="Y424"/>
      <c r="Z424"/>
      <c r="AA424"/>
      <c r="AB424"/>
    </row>
    <row r="425" spans="1:28" s="204" customFormat="1">
      <c r="A425" s="1125"/>
      <c r="B425" s="1135"/>
      <c r="C425" s="520"/>
      <c r="D425" s="520"/>
      <c r="E425" s="520"/>
      <c r="F425" s="520"/>
      <c r="G425" s="520"/>
      <c r="H425" s="520"/>
      <c r="I425" s="1139"/>
      <c r="J425" s="520"/>
      <c r="K425" s="520"/>
      <c r="L425" s="520"/>
      <c r="M425" s="520"/>
      <c r="N425" s="520"/>
      <c r="O425" s="1139"/>
      <c r="P425" s="520"/>
      <c r="Q425" s="520"/>
      <c r="R425" s="520"/>
      <c r="S425" s="1139"/>
      <c r="T425" s="520"/>
      <c r="U425" s="520"/>
      <c r="V425" s="520"/>
      <c r="W425" s="1152"/>
      <c r="X425"/>
      <c r="Y425"/>
      <c r="Z425"/>
      <c r="AA425"/>
      <c r="AB425"/>
    </row>
    <row r="426" spans="1:28">
      <c r="A426" s="1125"/>
      <c r="B426" s="403"/>
      <c r="C426" s="407"/>
      <c r="D426" s="407"/>
      <c r="E426" s="407"/>
      <c r="F426" s="407"/>
      <c r="G426" s="407"/>
      <c r="H426" s="407"/>
      <c r="I426" s="1137"/>
      <c r="J426" s="407"/>
      <c r="K426" s="407"/>
      <c r="L426" s="407"/>
      <c r="M426" s="407"/>
      <c r="N426" s="407"/>
      <c r="O426" s="1137"/>
      <c r="P426" s="407"/>
      <c r="Q426" s="407"/>
      <c r="R426" s="407"/>
      <c r="S426" s="1137"/>
      <c r="T426" s="407"/>
      <c r="U426" s="407"/>
      <c r="V426" s="407"/>
      <c r="W426" s="1128"/>
      <c r="X426"/>
      <c r="Y426"/>
      <c r="Z426"/>
      <c r="AA426"/>
      <c r="AB426"/>
    </row>
    <row r="427" spans="1:28" s="205" customFormat="1">
      <c r="A427" s="1125"/>
      <c r="B427" s="404"/>
      <c r="C427" s="408"/>
      <c r="D427" s="408"/>
      <c r="E427" s="408"/>
      <c r="F427" s="408"/>
      <c r="G427" s="408"/>
      <c r="H427" s="408"/>
      <c r="I427" s="1138"/>
      <c r="J427" s="408"/>
      <c r="K427" s="408"/>
      <c r="L427" s="408"/>
      <c r="M427" s="408"/>
      <c r="N427" s="408"/>
      <c r="O427" s="1138"/>
      <c r="P427" s="408"/>
      <c r="Q427" s="408"/>
      <c r="R427" s="408"/>
      <c r="S427" s="1138"/>
      <c r="T427" s="408"/>
      <c r="U427" s="408"/>
      <c r="V427" s="408"/>
      <c r="W427" s="1129"/>
      <c r="X427"/>
      <c r="Y427"/>
      <c r="Z427"/>
      <c r="AA427"/>
      <c r="AB427"/>
    </row>
    <row r="428" spans="1:28" s="204" customFormat="1">
      <c r="A428" s="1125"/>
      <c r="B428" s="1135"/>
      <c r="C428" s="520"/>
      <c r="D428" s="520"/>
      <c r="E428" s="520"/>
      <c r="F428" s="520"/>
      <c r="G428" s="520"/>
      <c r="H428" s="520"/>
      <c r="I428" s="1139"/>
      <c r="J428" s="520"/>
      <c r="K428" s="520"/>
      <c r="L428" s="520"/>
      <c r="M428" s="520"/>
      <c r="N428" s="520"/>
      <c r="O428" s="1139"/>
      <c r="P428" s="520"/>
      <c r="Q428" s="520"/>
      <c r="R428" s="520"/>
      <c r="S428" s="1139"/>
      <c r="T428" s="520"/>
      <c r="U428" s="520"/>
      <c r="V428" s="520"/>
      <c r="W428" s="1152"/>
      <c r="X428"/>
      <c r="Y428"/>
      <c r="Z428"/>
      <c r="AA428"/>
      <c r="AB428"/>
    </row>
    <row r="429" spans="1:28">
      <c r="A429" s="1125"/>
      <c r="B429" s="403"/>
      <c r="C429" s="1149"/>
      <c r="D429" s="407"/>
      <c r="E429" s="407"/>
      <c r="F429" s="407"/>
      <c r="G429" s="407"/>
      <c r="H429" s="407"/>
      <c r="I429" s="1137"/>
      <c r="J429" s="407"/>
      <c r="K429" s="407"/>
      <c r="L429" s="407"/>
      <c r="M429" s="407"/>
      <c r="N429" s="407"/>
      <c r="O429" s="1137"/>
      <c r="P429" s="407"/>
      <c r="Q429" s="407"/>
      <c r="R429" s="407"/>
      <c r="S429" s="1137"/>
      <c r="T429" s="407"/>
      <c r="U429" s="407"/>
      <c r="V429" s="407"/>
      <c r="W429" s="1128"/>
      <c r="X429"/>
      <c r="Y429"/>
      <c r="Z429"/>
      <c r="AA429"/>
      <c r="AB429"/>
    </row>
    <row r="430" spans="1:28" s="205" customFormat="1">
      <c r="A430" s="1125"/>
      <c r="B430" s="404"/>
      <c r="C430" s="1147"/>
      <c r="D430" s="408"/>
      <c r="E430" s="408"/>
      <c r="F430" s="408"/>
      <c r="G430" s="408"/>
      <c r="H430" s="408"/>
      <c r="I430" s="1138"/>
      <c r="J430" s="408"/>
      <c r="K430" s="408"/>
      <c r="L430" s="408"/>
      <c r="M430" s="408"/>
      <c r="N430" s="408"/>
      <c r="O430" s="1138"/>
      <c r="P430" s="408"/>
      <c r="Q430" s="408"/>
      <c r="R430" s="408"/>
      <c r="S430" s="1138"/>
      <c r="T430" s="408"/>
      <c r="U430" s="408"/>
      <c r="V430" s="408"/>
      <c r="W430" s="1129"/>
      <c r="X430"/>
      <c r="Y430"/>
      <c r="Z430"/>
      <c r="AA430"/>
      <c r="AB430"/>
    </row>
    <row r="431" spans="1:28" s="204" customFormat="1">
      <c r="A431" s="1125"/>
      <c r="B431" s="1135"/>
      <c r="C431" s="1148"/>
      <c r="D431" s="520"/>
      <c r="E431" s="520"/>
      <c r="F431" s="520"/>
      <c r="G431" s="520"/>
      <c r="H431" s="520"/>
      <c r="I431" s="1139"/>
      <c r="J431" s="520"/>
      <c r="K431" s="520"/>
      <c r="L431" s="520"/>
      <c r="M431" s="520"/>
      <c r="N431" s="520"/>
      <c r="O431" s="1139"/>
      <c r="P431" s="520"/>
      <c r="Q431" s="520"/>
      <c r="R431" s="520"/>
      <c r="S431" s="1139"/>
      <c r="T431" s="520"/>
      <c r="U431" s="520"/>
      <c r="V431" s="520"/>
      <c r="W431" s="1152"/>
      <c r="X431"/>
      <c r="Y431"/>
      <c r="Z431"/>
      <c r="AA431"/>
      <c r="AB431"/>
    </row>
    <row r="432" spans="1:28">
      <c r="A432" s="1125"/>
      <c r="B432" s="403"/>
      <c r="C432" s="407"/>
      <c r="D432" s="407"/>
      <c r="E432" s="407"/>
      <c r="F432" s="407"/>
      <c r="G432" s="407"/>
      <c r="H432" s="407"/>
      <c r="I432" s="1137"/>
      <c r="J432" s="407"/>
      <c r="K432" s="407"/>
      <c r="L432" s="407"/>
      <c r="M432" s="407"/>
      <c r="N432" s="407"/>
      <c r="O432" s="1137"/>
      <c r="P432" s="407"/>
      <c r="Q432" s="407"/>
      <c r="R432" s="407"/>
      <c r="S432" s="1137"/>
      <c r="T432" s="407"/>
      <c r="U432" s="407"/>
      <c r="V432" s="407"/>
      <c r="W432" s="1128"/>
      <c r="X432"/>
      <c r="Y432"/>
      <c r="Z432"/>
      <c r="AA432"/>
      <c r="AB432"/>
    </row>
    <row r="433" spans="1:28" s="205" customFormat="1">
      <c r="A433" s="1125"/>
      <c r="B433" s="404"/>
      <c r="C433" s="408"/>
      <c r="D433" s="408"/>
      <c r="E433" s="408"/>
      <c r="F433" s="408"/>
      <c r="G433" s="408"/>
      <c r="H433" s="408"/>
      <c r="I433" s="1138"/>
      <c r="J433" s="408"/>
      <c r="K433" s="408"/>
      <c r="L433" s="408"/>
      <c r="M433" s="408"/>
      <c r="N433" s="408"/>
      <c r="O433" s="1138"/>
      <c r="P433" s="408"/>
      <c r="Q433" s="408"/>
      <c r="R433" s="408"/>
      <c r="S433" s="1138"/>
      <c r="T433" s="408"/>
      <c r="U433" s="408"/>
      <c r="V433" s="408"/>
      <c r="W433" s="1129"/>
      <c r="X433"/>
      <c r="Y433"/>
      <c r="Z433"/>
      <c r="AA433"/>
      <c r="AB433"/>
    </row>
    <row r="434" spans="1:28" s="214" customFormat="1">
      <c r="A434" s="1136"/>
      <c r="B434" s="1135"/>
      <c r="C434" s="520"/>
      <c r="D434" s="520"/>
      <c r="E434" s="520"/>
      <c r="F434" s="520"/>
      <c r="G434" s="520"/>
      <c r="H434" s="520"/>
      <c r="I434" s="1139"/>
      <c r="J434" s="520"/>
      <c r="K434" s="520"/>
      <c r="L434" s="520"/>
      <c r="M434" s="520"/>
      <c r="N434" s="520"/>
      <c r="O434" s="1139"/>
      <c r="P434" s="520"/>
      <c r="Q434" s="520"/>
      <c r="R434" s="520"/>
      <c r="S434" s="1139"/>
      <c r="T434" s="520"/>
      <c r="U434" s="520"/>
      <c r="V434" s="520"/>
      <c r="W434" s="1152"/>
      <c r="X434"/>
      <c r="Y434"/>
      <c r="Z434"/>
      <c r="AA434"/>
      <c r="AB434"/>
    </row>
    <row r="435" spans="1:28">
      <c r="A435" s="233"/>
      <c r="B435" s="403"/>
      <c r="C435" s="407"/>
      <c r="D435" s="407"/>
      <c r="E435" s="407"/>
      <c r="F435" s="407"/>
      <c r="G435" s="407"/>
      <c r="H435" s="407"/>
      <c r="I435" s="1137"/>
      <c r="J435" s="407"/>
      <c r="K435" s="407"/>
      <c r="L435" s="407"/>
      <c r="M435" s="407"/>
      <c r="N435" s="407"/>
      <c r="O435" s="1137"/>
      <c r="P435" s="407"/>
      <c r="Q435" s="407"/>
      <c r="R435" s="407"/>
      <c r="S435" s="1137"/>
      <c r="T435" s="407"/>
      <c r="U435" s="407"/>
      <c r="V435" s="407"/>
      <c r="W435" s="1128"/>
      <c r="X435"/>
      <c r="Y435"/>
      <c r="Z435"/>
      <c r="AA435"/>
      <c r="AB435"/>
    </row>
    <row r="436" spans="1:28" s="205" customFormat="1">
      <c r="A436" s="1125"/>
      <c r="B436" s="404"/>
      <c r="C436" s="408"/>
      <c r="D436" s="408"/>
      <c r="E436" s="408"/>
      <c r="F436" s="408"/>
      <c r="G436" s="408"/>
      <c r="H436" s="408"/>
      <c r="I436" s="1138"/>
      <c r="J436" s="408"/>
      <c r="K436" s="408"/>
      <c r="L436" s="408"/>
      <c r="M436" s="408"/>
      <c r="N436" s="408"/>
      <c r="O436" s="1138"/>
      <c r="P436" s="408"/>
      <c r="Q436" s="408"/>
      <c r="R436" s="408"/>
      <c r="S436" s="1138"/>
      <c r="T436" s="408"/>
      <c r="U436" s="408"/>
      <c r="V436" s="408"/>
      <c r="W436" s="1129"/>
      <c r="X436"/>
      <c r="Y436"/>
      <c r="Z436"/>
      <c r="AA436"/>
      <c r="AB436"/>
    </row>
    <row r="437" spans="1:28" s="204" customFormat="1">
      <c r="A437" s="1126"/>
      <c r="B437" s="1135"/>
      <c r="C437" s="520"/>
      <c r="D437" s="520"/>
      <c r="E437" s="520"/>
      <c r="F437" s="520"/>
      <c r="G437" s="520"/>
      <c r="H437" s="520"/>
      <c r="I437" s="1139"/>
      <c r="J437" s="520"/>
      <c r="K437" s="520"/>
      <c r="L437" s="520"/>
      <c r="M437" s="520"/>
      <c r="N437" s="520"/>
      <c r="O437" s="1139"/>
      <c r="P437" s="520"/>
      <c r="Q437" s="520"/>
      <c r="R437" s="520"/>
      <c r="S437" s="1139"/>
      <c r="T437" s="520"/>
      <c r="U437" s="520"/>
      <c r="V437" s="520"/>
      <c r="W437" s="1152"/>
      <c r="X437"/>
      <c r="Y437"/>
      <c r="Z437"/>
      <c r="AA437"/>
      <c r="AB437"/>
    </row>
    <row r="438" spans="1:28">
      <c r="A438" s="1125"/>
      <c r="B438" s="403"/>
      <c r="C438" s="407"/>
      <c r="D438" s="407"/>
      <c r="E438" s="407"/>
      <c r="F438" s="407"/>
      <c r="G438" s="407"/>
      <c r="H438" s="407"/>
      <c r="I438" s="1137"/>
      <c r="J438" s="407"/>
      <c r="K438" s="407"/>
      <c r="L438" s="407"/>
      <c r="M438" s="407"/>
      <c r="N438" s="407"/>
      <c r="O438" s="1137"/>
      <c r="P438" s="407"/>
      <c r="Q438" s="407"/>
      <c r="R438" s="407"/>
      <c r="S438" s="1137"/>
      <c r="T438" s="407"/>
      <c r="U438" s="407"/>
      <c r="V438" s="407"/>
      <c r="W438" s="1128"/>
      <c r="X438"/>
      <c r="Y438"/>
      <c r="Z438"/>
      <c r="AA438"/>
      <c r="AB438"/>
    </row>
    <row r="439" spans="1:28" s="205" customFormat="1">
      <c r="A439" s="1125"/>
      <c r="B439" s="404"/>
      <c r="C439" s="408"/>
      <c r="D439" s="408"/>
      <c r="E439" s="408"/>
      <c r="F439" s="408"/>
      <c r="G439" s="408"/>
      <c r="H439" s="408"/>
      <c r="I439" s="1138"/>
      <c r="J439" s="408"/>
      <c r="K439" s="408"/>
      <c r="L439" s="408"/>
      <c r="M439" s="408"/>
      <c r="N439" s="408"/>
      <c r="O439" s="1138"/>
      <c r="P439" s="408"/>
      <c r="Q439" s="408"/>
      <c r="R439" s="408"/>
      <c r="S439" s="1138"/>
      <c r="T439" s="408"/>
      <c r="U439" s="408"/>
      <c r="V439" s="408"/>
      <c r="W439" s="1129"/>
      <c r="X439"/>
      <c r="Y439"/>
      <c r="Z439"/>
      <c r="AA439"/>
      <c r="AB439"/>
    </row>
    <row r="440" spans="1:28" s="204" customFormat="1">
      <c r="A440" s="1125"/>
      <c r="B440" s="1135"/>
      <c r="C440" s="520"/>
      <c r="D440" s="520"/>
      <c r="E440" s="520"/>
      <c r="F440" s="520"/>
      <c r="G440" s="520"/>
      <c r="H440" s="520"/>
      <c r="I440" s="1139"/>
      <c r="J440" s="520"/>
      <c r="K440" s="520"/>
      <c r="L440" s="520"/>
      <c r="M440" s="520"/>
      <c r="N440" s="520"/>
      <c r="O440" s="1139"/>
      <c r="P440" s="520"/>
      <c r="Q440" s="520"/>
      <c r="R440" s="520"/>
      <c r="S440" s="1139"/>
      <c r="T440" s="520"/>
      <c r="U440" s="520"/>
      <c r="V440" s="520"/>
      <c r="W440" s="1152"/>
      <c r="X440"/>
      <c r="Y440"/>
      <c r="Z440"/>
      <c r="AA440"/>
      <c r="AB440"/>
    </row>
    <row r="441" spans="1:28">
      <c r="A441" s="1125"/>
      <c r="B441" s="403"/>
      <c r="C441" s="407"/>
      <c r="D441" s="407"/>
      <c r="E441" s="407"/>
      <c r="F441" s="407"/>
      <c r="G441" s="407"/>
      <c r="H441" s="407"/>
      <c r="I441" s="1137"/>
      <c r="J441" s="407"/>
      <c r="K441" s="407"/>
      <c r="L441" s="407"/>
      <c r="M441" s="407"/>
      <c r="N441" s="407"/>
      <c r="O441" s="1137"/>
      <c r="P441" s="407"/>
      <c r="Q441" s="407"/>
      <c r="R441" s="407"/>
      <c r="S441" s="1137"/>
      <c r="T441" s="407"/>
      <c r="U441" s="407"/>
      <c r="V441" s="407"/>
      <c r="W441" s="1128"/>
      <c r="X441"/>
      <c r="Y441"/>
      <c r="Z441"/>
      <c r="AA441"/>
      <c r="AB441"/>
    </row>
    <row r="442" spans="1:28" s="205" customFormat="1">
      <c r="A442" s="1125"/>
      <c r="B442" s="404"/>
      <c r="C442" s="408"/>
      <c r="D442" s="408"/>
      <c r="E442" s="408"/>
      <c r="F442" s="408"/>
      <c r="G442" s="408"/>
      <c r="H442" s="408"/>
      <c r="I442" s="1138"/>
      <c r="J442" s="408"/>
      <c r="K442" s="408"/>
      <c r="L442" s="408"/>
      <c r="M442" s="408"/>
      <c r="N442" s="408"/>
      <c r="O442" s="1138"/>
      <c r="P442" s="408"/>
      <c r="Q442" s="408"/>
      <c r="R442" s="408"/>
      <c r="S442" s="1138"/>
      <c r="T442" s="408"/>
      <c r="U442" s="408"/>
      <c r="V442" s="408"/>
      <c r="W442" s="1129"/>
      <c r="X442"/>
      <c r="Y442"/>
      <c r="Z442"/>
      <c r="AA442"/>
      <c r="AB442"/>
    </row>
    <row r="443" spans="1:28" s="204" customFormat="1">
      <c r="A443" s="1125"/>
      <c r="B443" s="1135"/>
      <c r="C443" s="520"/>
      <c r="D443" s="520"/>
      <c r="E443" s="520"/>
      <c r="F443" s="520"/>
      <c r="G443" s="520"/>
      <c r="H443" s="520"/>
      <c r="I443" s="1139"/>
      <c r="J443" s="520"/>
      <c r="K443" s="520"/>
      <c r="L443" s="520"/>
      <c r="M443" s="520"/>
      <c r="N443" s="520"/>
      <c r="O443" s="1139"/>
      <c r="P443" s="520"/>
      <c r="Q443" s="520"/>
      <c r="R443" s="520"/>
      <c r="S443" s="1139"/>
      <c r="T443" s="520"/>
      <c r="U443" s="520"/>
      <c r="V443" s="520"/>
      <c r="W443" s="1152"/>
      <c r="X443"/>
      <c r="Y443"/>
      <c r="Z443"/>
      <c r="AA443"/>
      <c r="AB443"/>
    </row>
    <row r="444" spans="1:28">
      <c r="A444" s="1125"/>
      <c r="B444" s="403"/>
      <c r="C444" s="1149"/>
      <c r="D444" s="1149"/>
      <c r="E444" s="1149"/>
      <c r="F444" s="1149"/>
      <c r="G444" s="1149"/>
      <c r="H444" s="1149"/>
      <c r="I444" s="1137"/>
      <c r="J444" s="407"/>
      <c r="K444" s="1149"/>
      <c r="L444" s="1149"/>
      <c r="M444" s="1149"/>
      <c r="N444" s="407"/>
      <c r="O444" s="1137"/>
      <c r="P444" s="407"/>
      <c r="Q444" s="407"/>
      <c r="R444" s="407"/>
      <c r="S444" s="1137"/>
      <c r="T444" s="407"/>
      <c r="U444" s="407"/>
      <c r="V444" s="407"/>
      <c r="W444" s="1128"/>
      <c r="X444"/>
      <c r="Y444"/>
      <c r="Z444"/>
      <c r="AA444"/>
      <c r="AB444"/>
    </row>
    <row r="445" spans="1:28" s="205" customFormat="1">
      <c r="A445" s="1125"/>
      <c r="B445" s="404"/>
      <c r="C445" s="1147"/>
      <c r="D445" s="1147"/>
      <c r="E445" s="1147"/>
      <c r="F445" s="1147"/>
      <c r="G445" s="1147"/>
      <c r="H445" s="1147"/>
      <c r="I445" s="1138"/>
      <c r="J445" s="408"/>
      <c r="K445" s="1147"/>
      <c r="L445" s="1147"/>
      <c r="M445" s="1147"/>
      <c r="N445" s="408"/>
      <c r="O445" s="1138"/>
      <c r="P445" s="408"/>
      <c r="Q445" s="408"/>
      <c r="R445" s="408"/>
      <c r="S445" s="1138"/>
      <c r="T445" s="408"/>
      <c r="U445" s="408"/>
      <c r="V445" s="408"/>
      <c r="W445" s="1129"/>
      <c r="X445"/>
      <c r="Y445"/>
      <c r="Z445"/>
      <c r="AA445"/>
      <c r="AB445"/>
    </row>
    <row r="446" spans="1:28" s="204" customFormat="1">
      <c r="A446" s="1125"/>
      <c r="B446" s="1135"/>
      <c r="C446" s="1148"/>
      <c r="D446" s="1148"/>
      <c r="E446" s="1148"/>
      <c r="F446" s="1148"/>
      <c r="G446" s="1148"/>
      <c r="H446" s="1148"/>
      <c r="I446" s="1139"/>
      <c r="J446" s="520"/>
      <c r="K446" s="1148"/>
      <c r="L446" s="1148"/>
      <c r="M446" s="1148"/>
      <c r="N446" s="520"/>
      <c r="O446" s="1139"/>
      <c r="P446" s="520"/>
      <c r="Q446" s="520"/>
      <c r="R446" s="520"/>
      <c r="S446" s="1139"/>
      <c r="T446" s="520"/>
      <c r="U446" s="520"/>
      <c r="V446" s="520"/>
      <c r="W446" s="1152"/>
      <c r="X446"/>
      <c r="Y446"/>
      <c r="Z446"/>
      <c r="AA446"/>
      <c r="AB446"/>
    </row>
    <row r="447" spans="1:28">
      <c r="A447" s="1125"/>
      <c r="B447" s="403"/>
      <c r="C447" s="407"/>
      <c r="D447" s="407"/>
      <c r="E447" s="407"/>
      <c r="F447" s="407"/>
      <c r="G447" s="407"/>
      <c r="H447" s="407"/>
      <c r="I447" s="1137"/>
      <c r="J447" s="407"/>
      <c r="K447" s="407"/>
      <c r="L447" s="407"/>
      <c r="M447" s="407"/>
      <c r="N447" s="407"/>
      <c r="O447" s="1137"/>
      <c r="P447" s="407"/>
      <c r="Q447" s="407"/>
      <c r="R447" s="407"/>
      <c r="S447" s="1137"/>
      <c r="T447" s="407"/>
      <c r="U447" s="407"/>
      <c r="V447" s="407"/>
      <c r="W447" s="1128"/>
      <c r="X447"/>
      <c r="Y447"/>
      <c r="Z447"/>
      <c r="AA447"/>
      <c r="AB447"/>
    </row>
    <row r="448" spans="1:28" s="205" customFormat="1">
      <c r="A448" s="1125"/>
      <c r="B448" s="404"/>
      <c r="C448" s="408"/>
      <c r="D448" s="408"/>
      <c r="E448" s="408"/>
      <c r="F448" s="408"/>
      <c r="G448" s="408"/>
      <c r="H448" s="408"/>
      <c r="I448" s="1138"/>
      <c r="J448" s="408"/>
      <c r="K448" s="408"/>
      <c r="L448" s="408"/>
      <c r="M448" s="408"/>
      <c r="N448" s="408"/>
      <c r="O448" s="1138"/>
      <c r="P448" s="408"/>
      <c r="Q448" s="408"/>
      <c r="R448" s="408"/>
      <c r="S448" s="1138"/>
      <c r="T448" s="408"/>
      <c r="U448" s="408"/>
      <c r="V448" s="408"/>
      <c r="W448" s="1129"/>
      <c r="X448"/>
      <c r="Y448"/>
      <c r="Z448"/>
      <c r="AA448"/>
      <c r="AB448"/>
    </row>
    <row r="449" spans="1:28" s="204" customFormat="1">
      <c r="A449" s="1125"/>
      <c r="B449" s="1135"/>
      <c r="C449" s="520"/>
      <c r="D449" s="520"/>
      <c r="E449" s="520"/>
      <c r="F449" s="520"/>
      <c r="G449" s="520"/>
      <c r="H449" s="520"/>
      <c r="I449" s="1139"/>
      <c r="J449" s="520"/>
      <c r="K449" s="520"/>
      <c r="L449" s="520"/>
      <c r="M449" s="520"/>
      <c r="N449" s="520"/>
      <c r="O449" s="1139"/>
      <c r="P449" s="520"/>
      <c r="Q449" s="520"/>
      <c r="R449" s="520"/>
      <c r="S449" s="1139"/>
      <c r="T449" s="520"/>
      <c r="U449" s="520"/>
      <c r="V449" s="520"/>
      <c r="W449" s="1152"/>
      <c r="X449"/>
      <c r="Y449"/>
      <c r="Z449"/>
      <c r="AA449"/>
      <c r="AB449"/>
    </row>
    <row r="450" spans="1:28">
      <c r="A450" s="1125"/>
      <c r="B450" s="403"/>
      <c r="C450" s="407"/>
      <c r="D450" s="407"/>
      <c r="E450" s="407"/>
      <c r="F450" s="407"/>
      <c r="G450" s="407"/>
      <c r="H450" s="407"/>
      <c r="I450" s="1137"/>
      <c r="J450" s="407"/>
      <c r="K450" s="407"/>
      <c r="L450" s="407"/>
      <c r="M450" s="407"/>
      <c r="N450" s="407"/>
      <c r="O450" s="1137"/>
      <c r="P450" s="407"/>
      <c r="Q450" s="407"/>
      <c r="R450" s="407"/>
      <c r="S450" s="1137"/>
      <c r="T450" s="407"/>
      <c r="U450" s="407"/>
      <c r="V450" s="407"/>
      <c r="W450" s="1128"/>
      <c r="X450"/>
      <c r="Y450"/>
      <c r="Z450"/>
      <c r="AA450"/>
      <c r="AB450"/>
    </row>
    <row r="451" spans="1:28" s="205" customFormat="1">
      <c r="A451" s="1125"/>
      <c r="B451" s="404"/>
      <c r="C451" s="408"/>
      <c r="D451" s="408"/>
      <c r="E451" s="408"/>
      <c r="F451" s="408"/>
      <c r="G451" s="408"/>
      <c r="H451" s="408"/>
      <c r="I451" s="1138"/>
      <c r="J451" s="408"/>
      <c r="K451" s="408"/>
      <c r="L451" s="408"/>
      <c r="M451" s="408"/>
      <c r="N451" s="408"/>
      <c r="O451" s="1138"/>
      <c r="P451" s="408"/>
      <c r="Q451" s="408"/>
      <c r="R451" s="408"/>
      <c r="S451" s="1138"/>
      <c r="T451" s="408"/>
      <c r="U451" s="408"/>
      <c r="V451" s="408"/>
      <c r="W451" s="1129"/>
      <c r="X451"/>
      <c r="Y451"/>
      <c r="Z451"/>
      <c r="AA451"/>
      <c r="AB451"/>
    </row>
    <row r="452" spans="1:28" s="204" customFormat="1">
      <c r="A452" s="1125"/>
      <c r="B452" s="1135"/>
      <c r="C452" s="520"/>
      <c r="D452" s="520"/>
      <c r="E452" s="520"/>
      <c r="F452" s="520"/>
      <c r="G452" s="520"/>
      <c r="H452" s="520"/>
      <c r="I452" s="1139"/>
      <c r="J452" s="520"/>
      <c r="K452" s="520"/>
      <c r="L452" s="520"/>
      <c r="M452" s="520"/>
      <c r="N452" s="520"/>
      <c r="O452" s="1139"/>
      <c r="P452" s="520"/>
      <c r="Q452" s="520"/>
      <c r="R452" s="520"/>
      <c r="S452" s="1139"/>
      <c r="T452" s="520"/>
      <c r="U452" s="520"/>
      <c r="V452" s="520"/>
      <c r="W452" s="1152"/>
      <c r="X452"/>
      <c r="Y452"/>
      <c r="Z452"/>
      <c r="AA452"/>
      <c r="AB452"/>
    </row>
    <row r="453" spans="1:28">
      <c r="A453" s="1125"/>
      <c r="B453" s="403"/>
      <c r="C453" s="407"/>
      <c r="D453" s="407"/>
      <c r="E453" s="407"/>
      <c r="F453" s="407"/>
      <c r="G453" s="407"/>
      <c r="H453" s="407"/>
      <c r="I453" s="1137"/>
      <c r="J453" s="407"/>
      <c r="K453" s="407"/>
      <c r="L453" s="407"/>
      <c r="M453" s="407"/>
      <c r="N453" s="407"/>
      <c r="O453" s="1137"/>
      <c r="P453" s="407"/>
      <c r="Q453" s="407"/>
      <c r="R453" s="407"/>
      <c r="S453" s="1137"/>
      <c r="T453" s="407"/>
      <c r="U453" s="407"/>
      <c r="V453" s="407"/>
      <c r="W453" s="1128"/>
      <c r="X453"/>
      <c r="Y453"/>
      <c r="Z453"/>
      <c r="AA453"/>
      <c r="AB453"/>
    </row>
    <row r="454" spans="1:28" s="205" customFormat="1">
      <c r="A454" s="1125"/>
      <c r="B454" s="404"/>
      <c r="C454" s="408"/>
      <c r="D454" s="408"/>
      <c r="E454" s="408"/>
      <c r="F454" s="408"/>
      <c r="G454" s="408"/>
      <c r="H454" s="408"/>
      <c r="I454" s="1138"/>
      <c r="J454" s="408"/>
      <c r="K454" s="408"/>
      <c r="L454" s="408"/>
      <c r="M454" s="408"/>
      <c r="N454" s="408"/>
      <c r="O454" s="1138"/>
      <c r="P454" s="408"/>
      <c r="Q454" s="408"/>
      <c r="R454" s="408"/>
      <c r="S454" s="1138"/>
      <c r="T454" s="408"/>
      <c r="U454" s="408"/>
      <c r="V454" s="408"/>
      <c r="W454" s="1129"/>
      <c r="X454"/>
      <c r="Y454"/>
      <c r="Z454"/>
      <c r="AA454"/>
      <c r="AB454"/>
    </row>
    <row r="455" spans="1:28" s="204" customFormat="1">
      <c r="A455" s="1125"/>
      <c r="B455" s="1135"/>
      <c r="C455" s="520"/>
      <c r="D455" s="520"/>
      <c r="E455" s="520"/>
      <c r="F455" s="520"/>
      <c r="G455" s="520"/>
      <c r="H455" s="520"/>
      <c r="I455" s="1139"/>
      <c r="J455" s="520"/>
      <c r="K455" s="520"/>
      <c r="L455" s="520"/>
      <c r="M455" s="520"/>
      <c r="N455" s="520"/>
      <c r="O455" s="1139"/>
      <c r="P455" s="520"/>
      <c r="Q455" s="520"/>
      <c r="R455" s="520"/>
      <c r="S455" s="1139"/>
      <c r="T455" s="520"/>
      <c r="U455" s="520"/>
      <c r="V455" s="520"/>
      <c r="W455" s="1152"/>
      <c r="X455"/>
      <c r="Y455"/>
      <c r="Z455"/>
      <c r="AA455"/>
      <c r="AB455"/>
    </row>
    <row r="456" spans="1:28">
      <c r="A456" s="1125"/>
      <c r="B456" s="403"/>
      <c r="C456" s="407"/>
      <c r="D456" s="407"/>
      <c r="E456" s="407"/>
      <c r="F456" s="407"/>
      <c r="G456" s="407"/>
      <c r="H456" s="407"/>
      <c r="I456" s="1137"/>
      <c r="J456" s="407"/>
      <c r="K456" s="407"/>
      <c r="L456" s="407"/>
      <c r="M456" s="407"/>
      <c r="N456" s="407"/>
      <c r="O456" s="1137"/>
      <c r="P456" s="407"/>
      <c r="Q456" s="407"/>
      <c r="R456" s="407"/>
      <c r="S456" s="1137"/>
      <c r="T456" s="407"/>
      <c r="U456" s="407"/>
      <c r="V456" s="407"/>
      <c r="W456" s="1128"/>
      <c r="X456"/>
      <c r="Y456"/>
      <c r="Z456"/>
      <c r="AA456"/>
      <c r="AB456"/>
    </row>
    <row r="457" spans="1:28" s="205" customFormat="1">
      <c r="A457" s="1125"/>
      <c r="B457" s="404"/>
      <c r="C457" s="408"/>
      <c r="D457" s="408"/>
      <c r="E457" s="408"/>
      <c r="F457" s="408"/>
      <c r="G457" s="408"/>
      <c r="H457" s="408"/>
      <c r="I457" s="1138"/>
      <c r="J457" s="408"/>
      <c r="K457" s="408"/>
      <c r="L457" s="408"/>
      <c r="M457" s="408"/>
      <c r="N457" s="408"/>
      <c r="O457" s="1138"/>
      <c r="P457" s="408"/>
      <c r="Q457" s="408"/>
      <c r="R457" s="408"/>
      <c r="S457" s="1138"/>
      <c r="T457" s="408"/>
      <c r="U457" s="408"/>
      <c r="V457" s="408"/>
      <c r="W457" s="1129"/>
      <c r="X457"/>
      <c r="Y457"/>
      <c r="Z457"/>
      <c r="AA457"/>
      <c r="AB457"/>
    </row>
    <row r="458" spans="1:28" s="204" customFormat="1">
      <c r="A458" s="1125"/>
      <c r="B458" s="1135"/>
      <c r="C458" s="520"/>
      <c r="D458" s="520"/>
      <c r="E458" s="520"/>
      <c r="F458" s="520"/>
      <c r="G458" s="520"/>
      <c r="H458" s="520"/>
      <c r="I458" s="1139"/>
      <c r="J458" s="520"/>
      <c r="K458" s="520"/>
      <c r="L458" s="520"/>
      <c r="M458" s="520"/>
      <c r="N458" s="520"/>
      <c r="O458" s="1139"/>
      <c r="P458" s="520"/>
      <c r="Q458" s="520"/>
      <c r="R458" s="520"/>
      <c r="S458" s="1139"/>
      <c r="T458" s="520"/>
      <c r="U458" s="520"/>
      <c r="V458" s="520"/>
      <c r="W458" s="1152"/>
      <c r="X458"/>
      <c r="Y458"/>
      <c r="Z458"/>
      <c r="AA458"/>
      <c r="AB458"/>
    </row>
    <row r="459" spans="1:28">
      <c r="A459" s="1125"/>
      <c r="B459" s="403"/>
      <c r="C459" s="407"/>
      <c r="D459" s="407"/>
      <c r="E459" s="407"/>
      <c r="F459" s="407"/>
      <c r="G459" s="407"/>
      <c r="H459" s="407"/>
      <c r="I459" s="1137"/>
      <c r="J459" s="407"/>
      <c r="K459" s="407"/>
      <c r="L459" s="407"/>
      <c r="M459" s="407"/>
      <c r="N459" s="407"/>
      <c r="O459" s="1137"/>
      <c r="P459" s="407"/>
      <c r="Q459" s="407"/>
      <c r="R459" s="407"/>
      <c r="S459" s="1137"/>
      <c r="T459" s="407"/>
      <c r="U459" s="407"/>
      <c r="V459" s="407"/>
      <c r="W459" s="1128"/>
      <c r="X459"/>
      <c r="Y459"/>
      <c r="Z459"/>
      <c r="AA459"/>
      <c r="AB459"/>
    </row>
    <row r="460" spans="1:28" s="205" customFormat="1">
      <c r="A460" s="1125"/>
      <c r="B460" s="404"/>
      <c r="C460" s="408"/>
      <c r="D460" s="408"/>
      <c r="E460" s="408"/>
      <c r="F460" s="408"/>
      <c r="G460" s="408"/>
      <c r="H460" s="408"/>
      <c r="I460" s="1138"/>
      <c r="J460" s="408"/>
      <c r="K460" s="408"/>
      <c r="L460" s="408"/>
      <c r="M460" s="408"/>
      <c r="N460" s="408"/>
      <c r="O460" s="1138"/>
      <c r="P460" s="408"/>
      <c r="Q460" s="408"/>
      <c r="R460" s="408"/>
      <c r="S460" s="1138"/>
      <c r="T460" s="408"/>
      <c r="U460" s="408"/>
      <c r="V460" s="408"/>
      <c r="W460" s="1129"/>
      <c r="X460"/>
      <c r="Y460"/>
      <c r="Z460"/>
      <c r="AA460"/>
      <c r="AB460"/>
    </row>
    <row r="461" spans="1:28" s="204" customFormat="1">
      <c r="A461" s="1125"/>
      <c r="B461" s="1135"/>
      <c r="C461" s="520"/>
      <c r="D461" s="520"/>
      <c r="E461" s="520"/>
      <c r="F461" s="520"/>
      <c r="G461" s="520"/>
      <c r="H461" s="520"/>
      <c r="I461" s="1139"/>
      <c r="J461" s="520"/>
      <c r="K461" s="520"/>
      <c r="L461" s="520"/>
      <c r="M461" s="520"/>
      <c r="N461" s="520"/>
      <c r="O461" s="1139"/>
      <c r="P461" s="520"/>
      <c r="Q461" s="520"/>
      <c r="R461" s="520"/>
      <c r="S461" s="1139"/>
      <c r="T461" s="520"/>
      <c r="U461" s="520"/>
      <c r="V461" s="520"/>
      <c r="W461" s="1152"/>
      <c r="X461"/>
      <c r="Y461"/>
      <c r="Z461"/>
      <c r="AA461"/>
      <c r="AB461"/>
    </row>
    <row r="462" spans="1:28">
      <c r="A462" s="1125"/>
      <c r="B462" s="403"/>
      <c r="C462" s="407"/>
      <c r="D462" s="407"/>
      <c r="E462" s="407"/>
      <c r="F462" s="407"/>
      <c r="G462" s="407"/>
      <c r="H462" s="407"/>
      <c r="I462" s="1137"/>
      <c r="J462" s="407"/>
      <c r="K462" s="407"/>
      <c r="L462" s="407"/>
      <c r="M462" s="407"/>
      <c r="N462" s="407"/>
      <c r="O462" s="1137"/>
      <c r="P462" s="407"/>
      <c r="Q462" s="407"/>
      <c r="R462" s="407"/>
      <c r="S462" s="1137"/>
      <c r="T462" s="407"/>
      <c r="U462" s="407"/>
      <c r="V462" s="407"/>
      <c r="W462" s="1128"/>
      <c r="X462"/>
      <c r="Y462"/>
      <c r="Z462"/>
      <c r="AA462"/>
      <c r="AB462"/>
    </row>
    <row r="463" spans="1:28" s="205" customFormat="1">
      <c r="A463" s="1125"/>
      <c r="B463" s="404"/>
      <c r="C463" s="408"/>
      <c r="D463" s="408"/>
      <c r="E463" s="408"/>
      <c r="F463" s="408"/>
      <c r="G463" s="408"/>
      <c r="H463" s="408"/>
      <c r="I463" s="1138"/>
      <c r="J463" s="408"/>
      <c r="K463" s="408"/>
      <c r="L463" s="408"/>
      <c r="M463" s="408"/>
      <c r="N463" s="408"/>
      <c r="O463" s="1138"/>
      <c r="P463" s="408"/>
      <c r="Q463" s="408"/>
      <c r="R463" s="408"/>
      <c r="S463" s="1138"/>
      <c r="T463" s="408"/>
      <c r="U463" s="408"/>
      <c r="V463" s="408"/>
      <c r="W463" s="1129"/>
      <c r="X463"/>
      <c r="Y463"/>
      <c r="Z463"/>
      <c r="AA463"/>
      <c r="AB463"/>
    </row>
    <row r="464" spans="1:28" s="204" customFormat="1">
      <c r="A464" s="1125"/>
      <c r="B464" s="1135"/>
      <c r="C464" s="520"/>
      <c r="D464" s="520"/>
      <c r="E464" s="520"/>
      <c r="F464" s="520"/>
      <c r="G464" s="520"/>
      <c r="H464" s="520"/>
      <c r="I464" s="1139"/>
      <c r="J464" s="520"/>
      <c r="K464" s="520"/>
      <c r="L464" s="520"/>
      <c r="M464" s="520"/>
      <c r="N464" s="520"/>
      <c r="O464" s="1139"/>
      <c r="P464" s="520"/>
      <c r="Q464" s="520"/>
      <c r="R464" s="520"/>
      <c r="S464" s="1139"/>
      <c r="T464" s="520"/>
      <c r="U464" s="520"/>
      <c r="V464" s="520"/>
      <c r="W464" s="1152"/>
      <c r="X464"/>
      <c r="Y464"/>
      <c r="Z464"/>
      <c r="AA464"/>
      <c r="AB464"/>
    </row>
    <row r="465" spans="1:28">
      <c r="A465" s="1125"/>
      <c r="B465" s="403"/>
      <c r="C465" s="407"/>
      <c r="D465" s="407"/>
      <c r="E465" s="407"/>
      <c r="F465" s="407"/>
      <c r="G465" s="407"/>
      <c r="H465" s="407"/>
      <c r="I465" s="1137"/>
      <c r="J465" s="407"/>
      <c r="K465" s="407"/>
      <c r="L465" s="407"/>
      <c r="M465" s="407"/>
      <c r="N465" s="407"/>
      <c r="O465" s="1137"/>
      <c r="P465" s="407"/>
      <c r="Q465" s="407"/>
      <c r="R465" s="407"/>
      <c r="S465" s="1137"/>
      <c r="T465" s="407"/>
      <c r="U465" s="407"/>
      <c r="V465" s="407"/>
      <c r="W465" s="1128"/>
      <c r="X465"/>
      <c r="Y465"/>
      <c r="Z465"/>
      <c r="AA465"/>
      <c r="AB465"/>
    </row>
    <row r="466" spans="1:28" s="205" customFormat="1">
      <c r="A466" s="1125"/>
      <c r="B466" s="404"/>
      <c r="C466" s="408"/>
      <c r="D466" s="408"/>
      <c r="E466" s="408"/>
      <c r="F466" s="408"/>
      <c r="G466" s="408"/>
      <c r="H466" s="408"/>
      <c r="I466" s="1138"/>
      <c r="J466" s="408"/>
      <c r="K466" s="408"/>
      <c r="L466" s="408"/>
      <c r="M466" s="408"/>
      <c r="N466" s="408"/>
      <c r="O466" s="1138"/>
      <c r="P466" s="408"/>
      <c r="Q466" s="408"/>
      <c r="R466" s="408"/>
      <c r="S466" s="1138"/>
      <c r="T466" s="408"/>
      <c r="U466" s="408"/>
      <c r="V466" s="408"/>
      <c r="W466" s="1129"/>
      <c r="X466"/>
      <c r="Y466"/>
      <c r="Z466"/>
      <c r="AA466"/>
      <c r="AB466"/>
    </row>
    <row r="467" spans="1:28" s="204" customFormat="1">
      <c r="A467" s="1125"/>
      <c r="B467" s="1135"/>
      <c r="C467" s="520"/>
      <c r="D467" s="520"/>
      <c r="E467" s="520"/>
      <c r="F467" s="520"/>
      <c r="G467" s="520"/>
      <c r="H467" s="520"/>
      <c r="I467" s="1139"/>
      <c r="J467" s="520"/>
      <c r="K467" s="520"/>
      <c r="L467" s="520"/>
      <c r="M467" s="520"/>
      <c r="N467" s="520"/>
      <c r="O467" s="1139"/>
      <c r="P467" s="520"/>
      <c r="Q467" s="520"/>
      <c r="R467" s="520"/>
      <c r="S467" s="1139"/>
      <c r="T467" s="520"/>
      <c r="U467" s="520"/>
      <c r="V467" s="520"/>
      <c r="W467" s="1152"/>
      <c r="X467"/>
      <c r="Y467"/>
      <c r="Z467"/>
      <c r="AA467"/>
      <c r="AB467"/>
    </row>
    <row r="468" spans="1:28">
      <c r="A468" s="1125"/>
      <c r="B468" s="403"/>
      <c r="C468" s="407"/>
      <c r="D468" s="407"/>
      <c r="E468" s="407"/>
      <c r="F468" s="407"/>
      <c r="G468" s="407"/>
      <c r="H468" s="407"/>
      <c r="I468" s="1137"/>
      <c r="J468" s="407"/>
      <c r="K468" s="407"/>
      <c r="L468" s="407"/>
      <c r="M468" s="407"/>
      <c r="N468" s="407"/>
      <c r="O468" s="1137"/>
      <c r="P468" s="407"/>
      <c r="Q468" s="407"/>
      <c r="R468" s="407"/>
      <c r="S468" s="1137"/>
      <c r="T468" s="1149"/>
      <c r="U468" s="407"/>
      <c r="V468" s="407"/>
      <c r="W468" s="1128"/>
      <c r="X468"/>
      <c r="Y468"/>
      <c r="Z468"/>
      <c r="AA468"/>
      <c r="AB468"/>
    </row>
    <row r="469" spans="1:28" s="205" customFormat="1">
      <c r="A469" s="1125"/>
      <c r="B469" s="404"/>
      <c r="C469" s="408"/>
      <c r="D469" s="408"/>
      <c r="E469" s="408"/>
      <c r="F469" s="408"/>
      <c r="G469" s="408"/>
      <c r="H469" s="408"/>
      <c r="I469" s="1138"/>
      <c r="J469" s="408"/>
      <c r="K469" s="408"/>
      <c r="L469" s="408"/>
      <c r="M469" s="408"/>
      <c r="N469" s="408"/>
      <c r="O469" s="1138"/>
      <c r="P469" s="408"/>
      <c r="Q469" s="408"/>
      <c r="R469" s="408"/>
      <c r="S469" s="1138"/>
      <c r="T469" s="1147"/>
      <c r="U469" s="408"/>
      <c r="V469" s="408"/>
      <c r="W469" s="1129"/>
      <c r="X469"/>
      <c r="Y469"/>
      <c r="Z469"/>
      <c r="AA469"/>
      <c r="AB469"/>
    </row>
    <row r="470" spans="1:28" s="204" customFormat="1">
      <c r="A470" s="1125"/>
      <c r="B470" s="1135"/>
      <c r="C470" s="520"/>
      <c r="D470" s="520"/>
      <c r="E470" s="520"/>
      <c r="F470" s="520"/>
      <c r="G470" s="520"/>
      <c r="H470" s="520"/>
      <c r="I470" s="1139"/>
      <c r="J470" s="520"/>
      <c r="K470" s="520"/>
      <c r="L470" s="520"/>
      <c r="M470" s="520"/>
      <c r="N470" s="520"/>
      <c r="O470" s="1139"/>
      <c r="P470" s="520"/>
      <c r="Q470" s="520"/>
      <c r="R470" s="520"/>
      <c r="S470" s="1139"/>
      <c r="T470" s="1148"/>
      <c r="U470" s="520"/>
      <c r="V470" s="520"/>
      <c r="W470" s="1152"/>
      <c r="X470"/>
      <c r="Y470"/>
      <c r="Z470"/>
      <c r="AA470"/>
      <c r="AB470"/>
    </row>
    <row r="471" spans="1:28">
      <c r="A471" s="1125"/>
      <c r="B471" s="403"/>
      <c r="C471" s="407"/>
      <c r="D471" s="407"/>
      <c r="E471" s="407"/>
      <c r="F471" s="407"/>
      <c r="G471" s="407"/>
      <c r="H471" s="407"/>
      <c r="I471" s="1137"/>
      <c r="J471" s="407"/>
      <c r="K471" s="407"/>
      <c r="L471" s="407"/>
      <c r="M471" s="407"/>
      <c r="N471" s="407"/>
      <c r="O471" s="1137"/>
      <c r="P471" s="407"/>
      <c r="Q471" s="407"/>
      <c r="R471" s="407"/>
      <c r="S471" s="1137"/>
      <c r="T471" s="407"/>
      <c r="U471" s="407"/>
      <c r="V471" s="407"/>
      <c r="W471" s="1128"/>
      <c r="X471"/>
      <c r="Y471"/>
      <c r="Z471"/>
      <c r="AA471"/>
      <c r="AB471"/>
    </row>
    <row r="472" spans="1:28" s="205" customFormat="1">
      <c r="A472" s="1125"/>
      <c r="B472" s="404"/>
      <c r="C472" s="408"/>
      <c r="D472" s="408"/>
      <c r="E472" s="408"/>
      <c r="F472" s="408"/>
      <c r="G472" s="408"/>
      <c r="H472" s="408"/>
      <c r="I472" s="1138"/>
      <c r="J472" s="408"/>
      <c r="K472" s="408"/>
      <c r="L472" s="408"/>
      <c r="M472" s="408"/>
      <c r="N472" s="408"/>
      <c r="O472" s="1138"/>
      <c r="P472" s="408"/>
      <c r="Q472" s="408"/>
      <c r="R472" s="408"/>
      <c r="S472" s="1138"/>
      <c r="T472" s="408"/>
      <c r="U472" s="408"/>
      <c r="V472" s="408"/>
      <c r="W472" s="1129"/>
      <c r="X472"/>
      <c r="Y472"/>
      <c r="Z472"/>
      <c r="AA472"/>
      <c r="AB472"/>
    </row>
    <row r="473" spans="1:28" s="214" customFormat="1">
      <c r="A473" s="1136"/>
      <c r="B473" s="1135"/>
      <c r="C473" s="520"/>
      <c r="D473" s="520"/>
      <c r="E473" s="520"/>
      <c r="F473" s="520"/>
      <c r="G473" s="520"/>
      <c r="H473" s="520"/>
      <c r="I473" s="1139"/>
      <c r="J473" s="520"/>
      <c r="K473" s="520"/>
      <c r="L473" s="520"/>
      <c r="M473" s="520"/>
      <c r="N473" s="520"/>
      <c r="O473" s="1139"/>
      <c r="P473" s="520"/>
      <c r="Q473" s="520"/>
      <c r="R473" s="520"/>
      <c r="S473" s="1139"/>
      <c r="T473" s="520"/>
      <c r="U473" s="520"/>
      <c r="V473" s="520"/>
      <c r="W473" s="1152"/>
      <c r="X473"/>
      <c r="Y473"/>
      <c r="Z473"/>
      <c r="AA473"/>
      <c r="AB473"/>
    </row>
    <row r="474" spans="1:28">
      <c r="A474" s="233"/>
      <c r="B474" s="403"/>
      <c r="C474" s="407"/>
      <c r="D474" s="407"/>
      <c r="E474" s="407"/>
      <c r="F474" s="407"/>
      <c r="G474" s="407"/>
      <c r="H474" s="407"/>
      <c r="I474" s="1137"/>
      <c r="J474" s="407"/>
      <c r="K474" s="407"/>
      <c r="L474" s="407"/>
      <c r="M474" s="407"/>
      <c r="N474" s="407"/>
      <c r="O474" s="1137"/>
      <c r="P474" s="407"/>
      <c r="Q474" s="407"/>
      <c r="R474" s="407"/>
      <c r="S474" s="1137"/>
      <c r="T474" s="407"/>
      <c r="U474" s="407"/>
      <c r="V474" s="407"/>
      <c r="W474" s="1128"/>
      <c r="X474"/>
      <c r="Y474"/>
      <c r="Z474"/>
      <c r="AA474"/>
      <c r="AB474"/>
    </row>
    <row r="475" spans="1:28" s="205" customFormat="1">
      <c r="A475" s="1125"/>
      <c r="B475" s="404"/>
      <c r="C475" s="408"/>
      <c r="D475" s="408"/>
      <c r="E475" s="408"/>
      <c r="F475" s="408"/>
      <c r="G475" s="408"/>
      <c r="H475" s="408"/>
      <c r="I475" s="1138"/>
      <c r="J475" s="408"/>
      <c r="K475" s="408"/>
      <c r="L475" s="408"/>
      <c r="M475" s="408"/>
      <c r="N475" s="408"/>
      <c r="O475" s="1138"/>
      <c r="P475" s="408"/>
      <c r="Q475" s="408"/>
      <c r="R475" s="408"/>
      <c r="S475" s="1138"/>
      <c r="T475" s="408"/>
      <c r="U475" s="408"/>
      <c r="V475" s="408"/>
      <c r="W475" s="1129"/>
      <c r="X475"/>
      <c r="Y475"/>
      <c r="Z475"/>
      <c r="AA475"/>
      <c r="AB475"/>
    </row>
    <row r="476" spans="1:28" s="204" customFormat="1">
      <c r="A476" s="1126"/>
      <c r="B476" s="1135"/>
      <c r="C476" s="520"/>
      <c r="D476" s="520"/>
      <c r="E476" s="520"/>
      <c r="F476" s="520"/>
      <c r="G476" s="520"/>
      <c r="H476" s="520"/>
      <c r="I476" s="1139"/>
      <c r="J476" s="520"/>
      <c r="K476" s="520"/>
      <c r="L476" s="520"/>
      <c r="M476" s="520"/>
      <c r="N476" s="520"/>
      <c r="O476" s="1139"/>
      <c r="P476" s="520"/>
      <c r="Q476" s="520"/>
      <c r="R476" s="520"/>
      <c r="S476" s="1139"/>
      <c r="T476" s="520"/>
      <c r="U476" s="520"/>
      <c r="V476" s="520"/>
      <c r="W476" s="1152"/>
      <c r="X476"/>
      <c r="Y476"/>
      <c r="Z476"/>
      <c r="AA476"/>
      <c r="AB476"/>
    </row>
    <row r="477" spans="1:28">
      <c r="A477" s="1125"/>
      <c r="B477" s="403"/>
      <c r="C477" s="407"/>
      <c r="D477" s="407"/>
      <c r="E477" s="407"/>
      <c r="F477" s="407"/>
      <c r="G477" s="407"/>
      <c r="H477" s="407"/>
      <c r="I477" s="1137"/>
      <c r="J477" s="407"/>
      <c r="K477" s="407"/>
      <c r="L477" s="407"/>
      <c r="M477" s="407"/>
      <c r="N477" s="407"/>
      <c r="O477" s="1137"/>
      <c r="P477" s="407"/>
      <c r="Q477" s="407"/>
      <c r="R477" s="407"/>
      <c r="S477" s="1137"/>
      <c r="T477" s="407"/>
      <c r="U477" s="407"/>
      <c r="V477" s="407"/>
      <c r="W477" s="1128"/>
      <c r="X477"/>
      <c r="Y477"/>
      <c r="Z477"/>
      <c r="AA477"/>
      <c r="AB477"/>
    </row>
    <row r="478" spans="1:28" s="205" customFormat="1">
      <c r="A478" s="1125"/>
      <c r="B478" s="404"/>
      <c r="C478" s="408"/>
      <c r="D478" s="408"/>
      <c r="E478" s="408"/>
      <c r="F478" s="408"/>
      <c r="G478" s="408"/>
      <c r="H478" s="408"/>
      <c r="I478" s="1138"/>
      <c r="J478" s="408"/>
      <c r="K478" s="408"/>
      <c r="L478" s="408"/>
      <c r="M478" s="408"/>
      <c r="N478" s="408"/>
      <c r="O478" s="1138"/>
      <c r="P478" s="408"/>
      <c r="Q478" s="408"/>
      <c r="R478" s="408"/>
      <c r="S478" s="1138"/>
      <c r="T478" s="408"/>
      <c r="U478" s="408"/>
      <c r="V478" s="408"/>
      <c r="W478" s="1129"/>
      <c r="X478"/>
      <c r="Y478"/>
      <c r="Z478"/>
      <c r="AA478"/>
      <c r="AB478"/>
    </row>
    <row r="479" spans="1:28" s="204" customFormat="1">
      <c r="A479" s="1125"/>
      <c r="B479" s="1135"/>
      <c r="C479" s="520"/>
      <c r="D479" s="520"/>
      <c r="E479" s="520"/>
      <c r="F479" s="520"/>
      <c r="G479" s="520"/>
      <c r="H479" s="520"/>
      <c r="I479" s="1139"/>
      <c r="J479" s="520"/>
      <c r="K479" s="520"/>
      <c r="L479" s="520"/>
      <c r="M479" s="520"/>
      <c r="N479" s="520"/>
      <c r="O479" s="1139"/>
      <c r="P479" s="520"/>
      <c r="Q479" s="520"/>
      <c r="R479" s="520"/>
      <c r="S479" s="1139"/>
      <c r="T479" s="520"/>
      <c r="U479" s="520"/>
      <c r="V479" s="520"/>
      <c r="W479" s="1152"/>
      <c r="X479"/>
      <c r="Y479"/>
      <c r="Z479"/>
      <c r="AA479"/>
      <c r="AB479"/>
    </row>
    <row r="480" spans="1:28">
      <c r="A480" s="1125"/>
      <c r="B480" s="403"/>
      <c r="C480" s="407"/>
      <c r="D480" s="407"/>
      <c r="E480" s="407"/>
      <c r="F480" s="407"/>
      <c r="G480" s="407"/>
      <c r="H480" s="407"/>
      <c r="I480" s="1137"/>
      <c r="J480" s="407"/>
      <c r="K480" s="407"/>
      <c r="L480" s="407"/>
      <c r="M480" s="407"/>
      <c r="N480" s="407"/>
      <c r="O480" s="1137"/>
      <c r="P480" s="407"/>
      <c r="Q480" s="407"/>
      <c r="R480" s="407"/>
      <c r="S480" s="1137"/>
      <c r="T480" s="407"/>
      <c r="U480" s="407"/>
      <c r="V480" s="407"/>
      <c r="W480" s="1128"/>
      <c r="X480"/>
      <c r="Y480"/>
      <c r="Z480"/>
      <c r="AA480"/>
      <c r="AB480"/>
    </row>
    <row r="481" spans="1:28" s="205" customFormat="1">
      <c r="A481" s="1125"/>
      <c r="B481" s="404"/>
      <c r="C481" s="408"/>
      <c r="D481" s="408"/>
      <c r="E481" s="408"/>
      <c r="F481" s="408"/>
      <c r="G481" s="408"/>
      <c r="H481" s="408"/>
      <c r="I481" s="1138"/>
      <c r="J481" s="408"/>
      <c r="K481" s="408"/>
      <c r="L481" s="408"/>
      <c r="M481" s="408"/>
      <c r="N481" s="408"/>
      <c r="O481" s="1138"/>
      <c r="P481" s="408"/>
      <c r="Q481" s="408"/>
      <c r="R481" s="408"/>
      <c r="S481" s="1138"/>
      <c r="T481" s="408"/>
      <c r="U481" s="408"/>
      <c r="V481" s="408"/>
      <c r="W481" s="1129"/>
      <c r="X481"/>
      <c r="Y481"/>
      <c r="Z481"/>
      <c r="AA481"/>
      <c r="AB481"/>
    </row>
    <row r="482" spans="1:28" s="204" customFormat="1">
      <c r="A482" s="1125"/>
      <c r="B482" s="1135"/>
      <c r="C482" s="520"/>
      <c r="D482" s="520"/>
      <c r="E482" s="520"/>
      <c r="F482" s="520"/>
      <c r="G482" s="520"/>
      <c r="H482" s="520"/>
      <c r="I482" s="1139"/>
      <c r="J482" s="520"/>
      <c r="K482" s="520"/>
      <c r="L482" s="520"/>
      <c r="M482" s="520"/>
      <c r="N482" s="520"/>
      <c r="O482" s="1139"/>
      <c r="P482" s="520"/>
      <c r="Q482" s="520"/>
      <c r="R482" s="520"/>
      <c r="S482" s="1139"/>
      <c r="T482" s="520"/>
      <c r="U482" s="520"/>
      <c r="V482" s="520"/>
      <c r="W482" s="1152"/>
      <c r="X482"/>
      <c r="Y482"/>
      <c r="Z482"/>
      <c r="AA482"/>
      <c r="AB482"/>
    </row>
    <row r="483" spans="1:28">
      <c r="A483" s="1125"/>
      <c r="B483" s="403"/>
      <c r="C483" s="407"/>
      <c r="D483" s="407"/>
      <c r="E483" s="407"/>
      <c r="F483" s="407"/>
      <c r="G483" s="407"/>
      <c r="H483" s="407"/>
      <c r="I483" s="1137"/>
      <c r="J483" s="407"/>
      <c r="K483" s="407"/>
      <c r="L483" s="407"/>
      <c r="M483" s="407"/>
      <c r="N483" s="407"/>
      <c r="O483" s="1137"/>
      <c r="P483" s="407"/>
      <c r="Q483" s="407"/>
      <c r="R483" s="407"/>
      <c r="S483" s="1137"/>
      <c r="T483" s="407"/>
      <c r="U483" s="407"/>
      <c r="V483" s="407"/>
      <c r="W483" s="1128"/>
      <c r="X483"/>
      <c r="Y483"/>
      <c r="Z483"/>
      <c r="AA483"/>
      <c r="AB483"/>
    </row>
    <row r="484" spans="1:28" s="205" customFormat="1">
      <c r="A484" s="1125"/>
      <c r="B484" s="404"/>
      <c r="C484" s="408"/>
      <c r="D484" s="408"/>
      <c r="E484" s="408"/>
      <c r="F484" s="408"/>
      <c r="G484" s="408"/>
      <c r="H484" s="408"/>
      <c r="I484" s="1138"/>
      <c r="J484" s="408"/>
      <c r="K484" s="408"/>
      <c r="L484" s="408"/>
      <c r="M484" s="408"/>
      <c r="N484" s="408"/>
      <c r="O484" s="1138"/>
      <c r="P484" s="408"/>
      <c r="Q484" s="408"/>
      <c r="R484" s="408"/>
      <c r="S484" s="1138"/>
      <c r="T484" s="408"/>
      <c r="U484" s="408"/>
      <c r="V484" s="408"/>
      <c r="W484" s="1129"/>
      <c r="X484"/>
      <c r="Y484"/>
      <c r="Z484"/>
      <c r="AA484"/>
      <c r="AB484"/>
    </row>
    <row r="485" spans="1:28" s="204" customFormat="1">
      <c r="A485" s="1125"/>
      <c r="B485" s="1135"/>
      <c r="C485" s="520"/>
      <c r="D485" s="520"/>
      <c r="E485" s="520"/>
      <c r="F485" s="520"/>
      <c r="G485" s="520"/>
      <c r="H485" s="520"/>
      <c r="I485" s="1139"/>
      <c r="J485" s="520"/>
      <c r="K485" s="520"/>
      <c r="L485" s="520"/>
      <c r="M485" s="520"/>
      <c r="N485" s="520"/>
      <c r="O485" s="1139"/>
      <c r="P485" s="520"/>
      <c r="Q485" s="520"/>
      <c r="R485" s="520"/>
      <c r="S485" s="1139"/>
      <c r="T485" s="520"/>
      <c r="U485" s="520"/>
      <c r="V485" s="520"/>
      <c r="W485" s="1152"/>
      <c r="X485"/>
      <c r="Y485"/>
      <c r="Z485"/>
      <c r="AA485"/>
      <c r="AB485"/>
    </row>
    <row r="486" spans="1:28">
      <c r="A486" s="1125"/>
      <c r="B486" s="403"/>
      <c r="C486" s="407"/>
      <c r="D486" s="407"/>
      <c r="E486" s="407"/>
      <c r="F486" s="407"/>
      <c r="G486" s="407"/>
      <c r="H486" s="407"/>
      <c r="I486" s="1137"/>
      <c r="J486" s="407"/>
      <c r="K486" s="407"/>
      <c r="L486" s="407"/>
      <c r="M486" s="407"/>
      <c r="N486" s="407"/>
      <c r="O486" s="1137"/>
      <c r="P486" s="407"/>
      <c r="Q486" s="407"/>
      <c r="R486" s="407"/>
      <c r="S486" s="1137"/>
      <c r="T486" s="407"/>
      <c r="U486" s="407"/>
      <c r="V486" s="407"/>
      <c r="W486" s="1128"/>
      <c r="X486"/>
      <c r="Y486"/>
      <c r="Z486"/>
      <c r="AA486"/>
      <c r="AB486"/>
    </row>
    <row r="487" spans="1:28" s="205" customFormat="1">
      <c r="A487" s="1125"/>
      <c r="B487" s="404"/>
      <c r="C487" s="408"/>
      <c r="D487" s="408"/>
      <c r="E487" s="408"/>
      <c r="F487" s="408"/>
      <c r="G487" s="408"/>
      <c r="H487" s="408"/>
      <c r="I487" s="1138"/>
      <c r="J487" s="408"/>
      <c r="K487" s="408"/>
      <c r="L487" s="408"/>
      <c r="M487" s="408"/>
      <c r="N487" s="408"/>
      <c r="O487" s="1138"/>
      <c r="P487" s="408"/>
      <c r="Q487" s="408"/>
      <c r="R487" s="408"/>
      <c r="S487" s="1138"/>
      <c r="T487" s="408"/>
      <c r="U487" s="408"/>
      <c r="V487" s="408"/>
      <c r="W487" s="1129"/>
      <c r="X487"/>
      <c r="Y487"/>
      <c r="Z487"/>
      <c r="AA487"/>
      <c r="AB487"/>
    </row>
    <row r="488" spans="1:28" s="204" customFormat="1">
      <c r="A488" s="1125"/>
      <c r="B488" s="1135"/>
      <c r="C488" s="520"/>
      <c r="D488" s="520"/>
      <c r="E488" s="520"/>
      <c r="F488" s="520"/>
      <c r="G488" s="520"/>
      <c r="H488" s="520"/>
      <c r="I488" s="1139"/>
      <c r="J488" s="520"/>
      <c r="K488" s="520"/>
      <c r="L488" s="520"/>
      <c r="M488" s="520"/>
      <c r="N488" s="520"/>
      <c r="O488" s="1139"/>
      <c r="P488" s="520"/>
      <c r="Q488" s="520"/>
      <c r="R488" s="520"/>
      <c r="S488" s="1139"/>
      <c r="T488" s="520"/>
      <c r="U488" s="520"/>
      <c r="V488" s="520"/>
      <c r="W488" s="1152"/>
      <c r="X488"/>
      <c r="Y488"/>
      <c r="Z488"/>
      <c r="AA488"/>
      <c r="AB488"/>
    </row>
    <row r="489" spans="1:28">
      <c r="A489" s="1125"/>
      <c r="B489" s="403"/>
      <c r="C489" s="407"/>
      <c r="D489" s="407"/>
      <c r="E489" s="407"/>
      <c r="F489" s="407"/>
      <c r="G489" s="407"/>
      <c r="H489" s="407"/>
      <c r="I489" s="1137"/>
      <c r="J489" s="407"/>
      <c r="K489" s="407"/>
      <c r="L489" s="407"/>
      <c r="M489" s="407"/>
      <c r="N489" s="407"/>
      <c r="O489" s="1137"/>
      <c r="P489" s="407"/>
      <c r="Q489" s="407"/>
      <c r="R489" s="407"/>
      <c r="S489" s="1137"/>
      <c r="T489" s="407"/>
      <c r="U489" s="407"/>
      <c r="V489" s="407"/>
      <c r="W489" s="1128"/>
      <c r="X489"/>
      <c r="Y489"/>
      <c r="Z489"/>
      <c r="AA489"/>
      <c r="AB489"/>
    </row>
    <row r="490" spans="1:28" s="205" customFormat="1">
      <c r="A490" s="1125"/>
      <c r="B490" s="404"/>
      <c r="C490" s="408"/>
      <c r="D490" s="408"/>
      <c r="E490" s="408"/>
      <c r="F490" s="408"/>
      <c r="G490" s="408"/>
      <c r="H490" s="408"/>
      <c r="I490" s="1138"/>
      <c r="J490" s="408"/>
      <c r="K490" s="408"/>
      <c r="L490" s="408"/>
      <c r="M490" s="408"/>
      <c r="N490" s="408"/>
      <c r="O490" s="1138"/>
      <c r="P490" s="408"/>
      <c r="Q490" s="408"/>
      <c r="R490" s="408"/>
      <c r="S490" s="1138"/>
      <c r="T490" s="408"/>
      <c r="U490" s="408"/>
      <c r="V490" s="408"/>
      <c r="W490" s="1129"/>
      <c r="X490"/>
      <c r="Y490"/>
      <c r="Z490"/>
      <c r="AA490"/>
      <c r="AB490"/>
    </row>
    <row r="491" spans="1:28" s="204" customFormat="1">
      <c r="A491" s="1125"/>
      <c r="B491" s="1135"/>
      <c r="C491" s="520"/>
      <c r="D491" s="520"/>
      <c r="E491" s="520"/>
      <c r="F491" s="520"/>
      <c r="G491" s="520"/>
      <c r="H491" s="520"/>
      <c r="I491" s="1139"/>
      <c r="J491" s="520"/>
      <c r="K491" s="520"/>
      <c r="L491" s="520"/>
      <c r="M491" s="520"/>
      <c r="N491" s="520"/>
      <c r="O491" s="1139"/>
      <c r="P491" s="520"/>
      <c r="Q491" s="520"/>
      <c r="R491" s="520"/>
      <c r="S491" s="1139"/>
      <c r="T491" s="520"/>
      <c r="U491" s="520"/>
      <c r="V491" s="520"/>
      <c r="W491" s="1152"/>
      <c r="X491"/>
      <c r="Y491"/>
      <c r="Z491"/>
      <c r="AA491"/>
      <c r="AB491"/>
    </row>
    <row r="492" spans="1:28">
      <c r="A492" s="1125"/>
      <c r="B492" s="403"/>
      <c r="C492" s="407"/>
      <c r="D492" s="407"/>
      <c r="E492" s="407"/>
      <c r="F492" s="407"/>
      <c r="G492" s="407"/>
      <c r="H492" s="407"/>
      <c r="I492" s="1137"/>
      <c r="J492" s="407"/>
      <c r="K492" s="407"/>
      <c r="L492" s="407"/>
      <c r="M492" s="407"/>
      <c r="N492" s="407"/>
      <c r="O492" s="1137"/>
      <c r="P492" s="407"/>
      <c r="Q492" s="407"/>
      <c r="R492" s="407"/>
      <c r="S492" s="1137"/>
      <c r="T492" s="407"/>
      <c r="U492" s="407"/>
      <c r="V492" s="407"/>
      <c r="W492" s="1128"/>
      <c r="X492"/>
      <c r="Y492"/>
      <c r="Z492"/>
      <c r="AA492"/>
      <c r="AB492"/>
    </row>
    <row r="493" spans="1:28" s="205" customFormat="1">
      <c r="A493" s="1125"/>
      <c r="B493" s="404"/>
      <c r="C493" s="408"/>
      <c r="D493" s="408"/>
      <c r="E493" s="408"/>
      <c r="F493" s="408"/>
      <c r="G493" s="408"/>
      <c r="H493" s="408"/>
      <c r="I493" s="1138"/>
      <c r="J493" s="408"/>
      <c r="K493" s="408"/>
      <c r="L493" s="408"/>
      <c r="M493" s="408"/>
      <c r="N493" s="408"/>
      <c r="O493" s="1138"/>
      <c r="P493" s="408"/>
      <c r="Q493" s="408"/>
      <c r="R493" s="408"/>
      <c r="S493" s="1138"/>
      <c r="T493" s="408"/>
      <c r="U493" s="408"/>
      <c r="V493" s="408"/>
      <c r="W493" s="1129"/>
      <c r="X493"/>
      <c r="Y493"/>
      <c r="Z493"/>
      <c r="AA493"/>
      <c r="AB493"/>
    </row>
    <row r="494" spans="1:28" s="204" customFormat="1">
      <c r="A494" s="1125"/>
      <c r="B494" s="1135"/>
      <c r="C494" s="520"/>
      <c r="D494" s="520"/>
      <c r="E494" s="520"/>
      <c r="F494" s="520"/>
      <c r="G494" s="520"/>
      <c r="H494" s="520"/>
      <c r="I494" s="1139"/>
      <c r="J494" s="520"/>
      <c r="K494" s="520"/>
      <c r="L494" s="520"/>
      <c r="M494" s="520"/>
      <c r="N494" s="520"/>
      <c r="O494" s="1139"/>
      <c r="P494" s="520"/>
      <c r="Q494" s="520"/>
      <c r="R494" s="520"/>
      <c r="S494" s="1139"/>
      <c r="T494" s="520"/>
      <c r="U494" s="520"/>
      <c r="V494" s="520"/>
      <c r="W494" s="1152"/>
      <c r="X494"/>
      <c r="Y494"/>
      <c r="Z494"/>
      <c r="AA494"/>
      <c r="AB494"/>
    </row>
    <row r="495" spans="1:28">
      <c r="A495" s="1125"/>
      <c r="B495" s="403"/>
      <c r="C495" s="407"/>
      <c r="D495" s="407"/>
      <c r="E495" s="407"/>
      <c r="F495" s="407"/>
      <c r="G495" s="407"/>
      <c r="H495" s="407"/>
      <c r="I495" s="1137"/>
      <c r="J495" s="407"/>
      <c r="K495" s="407"/>
      <c r="L495" s="407"/>
      <c r="M495" s="407"/>
      <c r="N495" s="407"/>
      <c r="O495" s="1137"/>
      <c r="P495" s="407"/>
      <c r="Q495" s="407"/>
      <c r="R495" s="407"/>
      <c r="S495" s="1137"/>
      <c r="T495" s="407"/>
      <c r="U495" s="407"/>
      <c r="V495" s="407"/>
      <c r="W495" s="1128"/>
      <c r="X495"/>
      <c r="Y495"/>
      <c r="Z495"/>
      <c r="AA495"/>
      <c r="AB495"/>
    </row>
    <row r="496" spans="1:28" s="205" customFormat="1">
      <c r="A496" s="1125"/>
      <c r="B496" s="404"/>
      <c r="C496" s="408"/>
      <c r="D496" s="408"/>
      <c r="E496" s="408"/>
      <c r="F496" s="408"/>
      <c r="G496" s="408"/>
      <c r="H496" s="408"/>
      <c r="I496" s="1138"/>
      <c r="J496" s="408"/>
      <c r="K496" s="408"/>
      <c r="L496" s="408"/>
      <c r="M496" s="408"/>
      <c r="N496" s="408"/>
      <c r="O496" s="1138"/>
      <c r="P496" s="408"/>
      <c r="Q496" s="408"/>
      <c r="R496" s="408"/>
      <c r="S496" s="1138"/>
      <c r="T496" s="408"/>
      <c r="U496" s="408"/>
      <c r="V496" s="408"/>
      <c r="W496" s="1129"/>
      <c r="X496"/>
      <c r="Y496"/>
      <c r="Z496"/>
      <c r="AA496"/>
      <c r="AB496"/>
    </row>
    <row r="497" spans="1:28" s="204" customFormat="1">
      <c r="A497" s="1125"/>
      <c r="B497" s="1135"/>
      <c r="C497" s="520"/>
      <c r="D497" s="520"/>
      <c r="E497" s="520"/>
      <c r="F497" s="520"/>
      <c r="G497" s="520"/>
      <c r="H497" s="520"/>
      <c r="I497" s="1139"/>
      <c r="J497" s="520"/>
      <c r="K497" s="520"/>
      <c r="L497" s="520"/>
      <c r="M497" s="520"/>
      <c r="N497" s="520"/>
      <c r="O497" s="1139"/>
      <c r="P497" s="520"/>
      <c r="Q497" s="520"/>
      <c r="R497" s="520"/>
      <c r="S497" s="1139"/>
      <c r="T497" s="520"/>
      <c r="U497" s="520"/>
      <c r="V497" s="520"/>
      <c r="W497" s="1152"/>
      <c r="X497"/>
      <c r="Y497"/>
      <c r="Z497"/>
      <c r="AA497"/>
      <c r="AB497"/>
    </row>
    <row r="498" spans="1:28">
      <c r="A498" s="1125"/>
      <c r="B498" s="403"/>
      <c r="C498" s="407"/>
      <c r="D498" s="407"/>
      <c r="E498" s="407"/>
      <c r="F498" s="407"/>
      <c r="G498" s="407"/>
      <c r="H498" s="407"/>
      <c r="I498" s="1137"/>
      <c r="J498" s="407"/>
      <c r="K498" s="407"/>
      <c r="L498" s="407"/>
      <c r="M498" s="407"/>
      <c r="N498" s="407"/>
      <c r="O498" s="1137"/>
      <c r="P498" s="407"/>
      <c r="Q498" s="407"/>
      <c r="R498" s="407"/>
      <c r="S498" s="1137"/>
      <c r="T498" s="407"/>
      <c r="U498" s="407"/>
      <c r="V498" s="407"/>
      <c r="W498" s="1128"/>
      <c r="X498"/>
      <c r="Y498"/>
      <c r="Z498"/>
      <c r="AA498"/>
      <c r="AB498"/>
    </row>
    <row r="499" spans="1:28" s="205" customFormat="1">
      <c r="A499" s="1125"/>
      <c r="B499" s="404"/>
      <c r="C499" s="408"/>
      <c r="D499" s="408"/>
      <c r="E499" s="408"/>
      <c r="F499" s="408"/>
      <c r="G499" s="408"/>
      <c r="H499" s="408"/>
      <c r="I499" s="1138"/>
      <c r="J499" s="408"/>
      <c r="K499" s="408"/>
      <c r="L499" s="408"/>
      <c r="M499" s="408"/>
      <c r="N499" s="408"/>
      <c r="O499" s="1138"/>
      <c r="P499" s="408"/>
      <c r="Q499" s="408"/>
      <c r="R499" s="408"/>
      <c r="S499" s="1138"/>
      <c r="T499" s="408"/>
      <c r="U499" s="408"/>
      <c r="V499" s="408"/>
      <c r="W499" s="1129"/>
      <c r="X499"/>
      <c r="Y499"/>
      <c r="Z499"/>
      <c r="AA499"/>
      <c r="AB499"/>
    </row>
    <row r="500" spans="1:28" s="204" customFormat="1">
      <c r="A500" s="1125"/>
      <c r="B500" s="1135"/>
      <c r="C500" s="520"/>
      <c r="D500" s="520"/>
      <c r="E500" s="520"/>
      <c r="F500" s="520"/>
      <c r="G500" s="520"/>
      <c r="H500" s="520"/>
      <c r="I500" s="1139"/>
      <c r="J500" s="520"/>
      <c r="K500" s="520"/>
      <c r="L500" s="520"/>
      <c r="M500" s="520"/>
      <c r="N500" s="520"/>
      <c r="O500" s="1139"/>
      <c r="P500" s="520"/>
      <c r="Q500" s="520"/>
      <c r="R500" s="520"/>
      <c r="S500" s="1139"/>
      <c r="T500" s="520"/>
      <c r="U500" s="520"/>
      <c r="V500" s="520"/>
      <c r="W500" s="1152"/>
      <c r="X500"/>
      <c r="Y500"/>
      <c r="Z500"/>
      <c r="AA500"/>
      <c r="AB500"/>
    </row>
    <row r="501" spans="1:28">
      <c r="A501" s="1125"/>
      <c r="B501" s="403"/>
      <c r="C501" s="407"/>
      <c r="D501" s="407"/>
      <c r="E501" s="407"/>
      <c r="F501" s="407"/>
      <c r="G501" s="407"/>
      <c r="H501" s="407"/>
      <c r="I501" s="1137"/>
      <c r="J501" s="407"/>
      <c r="K501" s="407"/>
      <c r="L501" s="407"/>
      <c r="M501" s="407"/>
      <c r="N501" s="407"/>
      <c r="O501" s="1137"/>
      <c r="P501" s="407"/>
      <c r="Q501" s="407"/>
      <c r="R501" s="407"/>
      <c r="S501" s="1137"/>
      <c r="T501" s="407"/>
      <c r="U501" s="407"/>
      <c r="V501" s="407"/>
      <c r="W501" s="1128"/>
      <c r="X501"/>
      <c r="Y501"/>
      <c r="Z501"/>
      <c r="AA501"/>
      <c r="AB501"/>
    </row>
    <row r="502" spans="1:28" s="205" customFormat="1">
      <c r="A502" s="1125"/>
      <c r="B502" s="404"/>
      <c r="C502" s="408"/>
      <c r="D502" s="408"/>
      <c r="E502" s="408"/>
      <c r="F502" s="408"/>
      <c r="G502" s="408"/>
      <c r="H502" s="408"/>
      <c r="I502" s="1138"/>
      <c r="J502" s="408"/>
      <c r="K502" s="408"/>
      <c r="L502" s="408"/>
      <c r="M502" s="408"/>
      <c r="N502" s="408"/>
      <c r="O502" s="1138"/>
      <c r="P502" s="408"/>
      <c r="Q502" s="408"/>
      <c r="R502" s="408"/>
      <c r="S502" s="1138"/>
      <c r="T502" s="408"/>
      <c r="U502" s="408"/>
      <c r="V502" s="408"/>
      <c r="W502" s="1129"/>
      <c r="X502"/>
      <c r="Y502"/>
      <c r="Z502"/>
      <c r="AA502"/>
      <c r="AB502"/>
    </row>
    <row r="503" spans="1:28" s="204" customFormat="1">
      <c r="A503" s="1125"/>
      <c r="B503" s="1135"/>
      <c r="C503" s="520"/>
      <c r="D503" s="520"/>
      <c r="E503" s="520"/>
      <c r="F503" s="520"/>
      <c r="G503" s="520"/>
      <c r="H503" s="520"/>
      <c r="I503" s="1139"/>
      <c r="J503" s="520"/>
      <c r="K503" s="520"/>
      <c r="L503" s="520"/>
      <c r="M503" s="520"/>
      <c r="N503" s="520"/>
      <c r="O503" s="1139"/>
      <c r="P503" s="520"/>
      <c r="Q503" s="520"/>
      <c r="R503" s="520"/>
      <c r="S503" s="1139"/>
      <c r="T503" s="520"/>
      <c r="U503" s="520"/>
      <c r="V503" s="520"/>
      <c r="W503" s="1152"/>
      <c r="X503"/>
      <c r="Y503"/>
      <c r="Z503"/>
      <c r="AA503"/>
      <c r="AB503"/>
    </row>
    <row r="504" spans="1:28">
      <c r="A504" s="1125"/>
      <c r="B504" s="403"/>
      <c r="C504" s="407"/>
      <c r="D504" s="407"/>
      <c r="E504" s="407"/>
      <c r="F504" s="407"/>
      <c r="G504" s="407"/>
      <c r="H504" s="407"/>
      <c r="I504" s="1137"/>
      <c r="J504" s="407"/>
      <c r="K504" s="407"/>
      <c r="L504" s="407"/>
      <c r="M504" s="407"/>
      <c r="N504" s="407"/>
      <c r="O504" s="1137"/>
      <c r="P504" s="407"/>
      <c r="Q504" s="407"/>
      <c r="R504" s="407"/>
      <c r="S504" s="1137"/>
      <c r="T504" s="407"/>
      <c r="U504" s="407"/>
      <c r="V504" s="407"/>
      <c r="W504" s="1128"/>
      <c r="X504"/>
      <c r="Y504"/>
      <c r="Z504"/>
      <c r="AA504"/>
      <c r="AB504"/>
    </row>
    <row r="505" spans="1:28" s="205" customFormat="1">
      <c r="A505" s="1125"/>
      <c r="B505" s="404"/>
      <c r="C505" s="408"/>
      <c r="D505" s="408"/>
      <c r="E505" s="408"/>
      <c r="F505" s="408"/>
      <c r="G505" s="408"/>
      <c r="H505" s="408"/>
      <c r="I505" s="1138"/>
      <c r="J505" s="408"/>
      <c r="K505" s="408"/>
      <c r="L505" s="408"/>
      <c r="M505" s="408"/>
      <c r="N505" s="408"/>
      <c r="O505" s="1138"/>
      <c r="P505" s="408"/>
      <c r="Q505" s="408"/>
      <c r="R505" s="408"/>
      <c r="S505" s="1138"/>
      <c r="T505" s="408"/>
      <c r="U505" s="408"/>
      <c r="V505" s="408"/>
      <c r="W505" s="1129"/>
      <c r="X505"/>
      <c r="Y505"/>
      <c r="Z505"/>
      <c r="AA505"/>
      <c r="AB505"/>
    </row>
    <row r="506" spans="1:28" s="204" customFormat="1">
      <c r="A506" s="1125"/>
      <c r="B506" s="1135"/>
      <c r="C506" s="520"/>
      <c r="D506" s="520"/>
      <c r="E506" s="520"/>
      <c r="F506" s="520"/>
      <c r="G506" s="520"/>
      <c r="H506" s="520"/>
      <c r="I506" s="1139"/>
      <c r="J506" s="520"/>
      <c r="K506" s="520"/>
      <c r="L506" s="520"/>
      <c r="M506" s="520"/>
      <c r="N506" s="520"/>
      <c r="O506" s="1139"/>
      <c r="P506" s="520"/>
      <c r="Q506" s="520"/>
      <c r="R506" s="520"/>
      <c r="S506" s="1139"/>
      <c r="T506" s="520"/>
      <c r="U506" s="520"/>
      <c r="V506" s="520"/>
      <c r="W506" s="1152"/>
      <c r="X506"/>
      <c r="Y506"/>
      <c r="Z506"/>
      <c r="AA506"/>
      <c r="AB506"/>
    </row>
    <row r="507" spans="1:28">
      <c r="A507" s="1125"/>
      <c r="B507" s="403"/>
      <c r="C507" s="407"/>
      <c r="D507" s="407"/>
      <c r="E507" s="407"/>
      <c r="F507" s="407"/>
      <c r="G507" s="407"/>
      <c r="H507" s="407"/>
      <c r="I507" s="1137"/>
      <c r="J507" s="407"/>
      <c r="K507" s="407"/>
      <c r="L507" s="407"/>
      <c r="M507" s="407"/>
      <c r="N507" s="407"/>
      <c r="O507" s="1137"/>
      <c r="P507" s="407"/>
      <c r="Q507" s="407"/>
      <c r="R507" s="407"/>
      <c r="S507" s="1137"/>
      <c r="T507" s="407"/>
      <c r="U507" s="407"/>
      <c r="V507" s="407"/>
      <c r="W507" s="1128"/>
      <c r="X507"/>
      <c r="Y507"/>
      <c r="Z507"/>
      <c r="AA507"/>
      <c r="AB507"/>
    </row>
    <row r="508" spans="1:28" s="205" customFormat="1">
      <c r="A508" s="1125"/>
      <c r="B508" s="404"/>
      <c r="C508" s="408"/>
      <c r="D508" s="408"/>
      <c r="E508" s="408"/>
      <c r="F508" s="408"/>
      <c r="G508" s="408"/>
      <c r="H508" s="408"/>
      <c r="I508" s="1138"/>
      <c r="J508" s="408"/>
      <c r="K508" s="408"/>
      <c r="L508" s="408"/>
      <c r="M508" s="408"/>
      <c r="N508" s="408"/>
      <c r="O508" s="1138"/>
      <c r="P508" s="408"/>
      <c r="Q508" s="408"/>
      <c r="R508" s="408"/>
      <c r="S508" s="1138"/>
      <c r="T508" s="408"/>
      <c r="U508" s="408"/>
      <c r="V508" s="408"/>
      <c r="W508" s="1129"/>
      <c r="X508"/>
      <c r="Y508"/>
      <c r="Z508"/>
      <c r="AA508"/>
      <c r="AB508"/>
    </row>
    <row r="509" spans="1:28" s="204" customFormat="1">
      <c r="A509" s="1125"/>
      <c r="B509" s="1135"/>
      <c r="C509" s="520"/>
      <c r="D509" s="520"/>
      <c r="E509" s="520"/>
      <c r="F509" s="520"/>
      <c r="G509" s="520"/>
      <c r="H509" s="520"/>
      <c r="I509" s="1139"/>
      <c r="J509" s="520"/>
      <c r="K509" s="520"/>
      <c r="L509" s="520"/>
      <c r="M509" s="520"/>
      <c r="N509" s="520"/>
      <c r="O509" s="1139"/>
      <c r="P509" s="520"/>
      <c r="Q509" s="520"/>
      <c r="R509" s="520"/>
      <c r="S509" s="1139"/>
      <c r="T509" s="520"/>
      <c r="U509" s="520"/>
      <c r="V509" s="520"/>
      <c r="W509" s="1152"/>
      <c r="X509"/>
      <c r="Y509"/>
      <c r="Z509"/>
      <c r="AA509"/>
      <c r="AB509"/>
    </row>
    <row r="510" spans="1:28">
      <c r="A510" s="1125"/>
      <c r="B510" s="403"/>
      <c r="C510" s="407"/>
      <c r="D510" s="407"/>
      <c r="E510" s="407"/>
      <c r="F510" s="407"/>
      <c r="G510" s="407"/>
      <c r="H510" s="407"/>
      <c r="I510" s="1137"/>
      <c r="J510" s="407"/>
      <c r="K510" s="407"/>
      <c r="L510" s="407"/>
      <c r="M510" s="407"/>
      <c r="N510" s="407"/>
      <c r="O510" s="1137"/>
      <c r="P510" s="407"/>
      <c r="Q510" s="407"/>
      <c r="R510" s="407"/>
      <c r="S510" s="1137"/>
      <c r="T510" s="407"/>
      <c r="U510" s="407"/>
      <c r="V510" s="407"/>
      <c r="W510" s="1128"/>
      <c r="X510"/>
      <c r="Y510"/>
      <c r="Z510"/>
      <c r="AA510"/>
      <c r="AB510"/>
    </row>
    <row r="511" spans="1:28" s="205" customFormat="1">
      <c r="A511" s="1125"/>
      <c r="B511" s="404"/>
      <c r="C511" s="408"/>
      <c r="D511" s="408"/>
      <c r="E511" s="408"/>
      <c r="F511" s="408"/>
      <c r="G511" s="408"/>
      <c r="H511" s="408"/>
      <c r="I511" s="1138"/>
      <c r="J511" s="408"/>
      <c r="K511" s="408"/>
      <c r="L511" s="408"/>
      <c r="M511" s="408"/>
      <c r="N511" s="408"/>
      <c r="O511" s="1138"/>
      <c r="P511" s="408"/>
      <c r="Q511" s="408"/>
      <c r="R511" s="408"/>
      <c r="S511" s="1138"/>
      <c r="T511" s="408"/>
      <c r="U511" s="408"/>
      <c r="V511" s="408"/>
      <c r="W511" s="1129"/>
      <c r="X511"/>
      <c r="Y511"/>
      <c r="Z511"/>
      <c r="AA511"/>
      <c r="AB511"/>
    </row>
    <row r="512" spans="1:28" s="214" customFormat="1">
      <c r="A512" s="1136"/>
      <c r="B512" s="1135"/>
      <c r="C512" s="520"/>
      <c r="D512" s="520"/>
      <c r="E512" s="520"/>
      <c r="F512" s="520"/>
      <c r="G512" s="520"/>
      <c r="H512" s="520"/>
      <c r="I512" s="1139"/>
      <c r="J512" s="520"/>
      <c r="K512" s="520"/>
      <c r="L512" s="520"/>
      <c r="M512" s="520"/>
      <c r="N512" s="520"/>
      <c r="O512" s="1139"/>
      <c r="P512" s="520"/>
      <c r="Q512" s="520"/>
      <c r="R512" s="520"/>
      <c r="S512" s="1139"/>
      <c r="T512" s="520"/>
      <c r="U512" s="520"/>
      <c r="V512" s="520"/>
      <c r="W512" s="1152"/>
      <c r="X512"/>
      <c r="Y512"/>
      <c r="Z512"/>
      <c r="AA512"/>
      <c r="AB512"/>
    </row>
    <row r="513" spans="1:28">
      <c r="A513" s="233"/>
      <c r="B513" s="403"/>
      <c r="C513" s="407"/>
      <c r="D513" s="407"/>
      <c r="E513" s="407"/>
      <c r="F513" s="407"/>
      <c r="G513" s="407"/>
      <c r="H513" s="407"/>
      <c r="I513" s="1137"/>
      <c r="J513" s="407"/>
      <c r="K513" s="407"/>
      <c r="L513" s="407"/>
      <c r="M513" s="407"/>
      <c r="N513" s="407"/>
      <c r="O513" s="1137"/>
      <c r="P513" s="407"/>
      <c r="Q513" s="407"/>
      <c r="R513" s="407"/>
      <c r="S513" s="1137"/>
      <c r="T513" s="407"/>
      <c r="U513" s="407"/>
      <c r="V513" s="407"/>
      <c r="W513" s="1128"/>
      <c r="X513"/>
      <c r="Y513"/>
      <c r="Z513"/>
      <c r="AA513"/>
      <c r="AB513"/>
    </row>
    <row r="514" spans="1:28" s="205" customFormat="1">
      <c r="A514" s="1125"/>
      <c r="B514" s="404"/>
      <c r="C514" s="408"/>
      <c r="D514" s="408"/>
      <c r="E514" s="408"/>
      <c r="F514" s="408"/>
      <c r="G514" s="408"/>
      <c r="H514" s="408"/>
      <c r="I514" s="1138"/>
      <c r="J514" s="408"/>
      <c r="K514" s="408"/>
      <c r="L514" s="408"/>
      <c r="M514" s="408"/>
      <c r="N514" s="408"/>
      <c r="O514" s="1138"/>
      <c r="P514" s="408"/>
      <c r="Q514" s="408"/>
      <c r="R514" s="408"/>
      <c r="S514" s="1138"/>
      <c r="T514" s="408"/>
      <c r="U514" s="408"/>
      <c r="V514" s="408"/>
      <c r="W514" s="1129"/>
      <c r="X514"/>
      <c r="Y514"/>
      <c r="Z514"/>
      <c r="AA514"/>
      <c r="AB514"/>
    </row>
    <row r="515" spans="1:28" s="204" customFormat="1">
      <c r="A515" s="1126"/>
      <c r="B515" s="1135"/>
      <c r="C515" s="520"/>
      <c r="D515" s="520"/>
      <c r="E515" s="520"/>
      <c r="F515" s="520"/>
      <c r="G515" s="520"/>
      <c r="H515" s="520"/>
      <c r="I515" s="1139"/>
      <c r="J515" s="520"/>
      <c r="K515" s="520"/>
      <c r="L515" s="520"/>
      <c r="M515" s="520"/>
      <c r="N515" s="520"/>
      <c r="O515" s="1139"/>
      <c r="P515" s="520"/>
      <c r="Q515" s="520"/>
      <c r="R515" s="520"/>
      <c r="S515" s="1139"/>
      <c r="T515" s="520"/>
      <c r="U515" s="520"/>
      <c r="V515" s="520"/>
      <c r="W515" s="1152"/>
      <c r="X515"/>
      <c r="Y515"/>
      <c r="Z515"/>
      <c r="AA515"/>
      <c r="AB515"/>
    </row>
    <row r="516" spans="1:28">
      <c r="A516" s="1125"/>
      <c r="B516" s="403"/>
      <c r="C516" s="407"/>
      <c r="D516" s="407"/>
      <c r="E516" s="407"/>
      <c r="F516" s="1149"/>
      <c r="G516" s="407"/>
      <c r="H516" s="407"/>
      <c r="I516" s="1137"/>
      <c r="J516" s="407"/>
      <c r="K516" s="407"/>
      <c r="L516" s="407"/>
      <c r="M516" s="407"/>
      <c r="N516" s="407"/>
      <c r="O516" s="1137"/>
      <c r="P516" s="407"/>
      <c r="Q516" s="407"/>
      <c r="R516" s="407"/>
      <c r="S516" s="1137"/>
      <c r="T516" s="407"/>
      <c r="U516" s="407"/>
      <c r="V516" s="407"/>
      <c r="W516" s="1128"/>
      <c r="X516"/>
      <c r="Y516"/>
      <c r="Z516"/>
      <c r="AA516"/>
      <c r="AB516"/>
    </row>
    <row r="517" spans="1:28" s="205" customFormat="1">
      <c r="A517" s="1125"/>
      <c r="B517" s="404"/>
      <c r="C517" s="408"/>
      <c r="D517" s="408"/>
      <c r="E517" s="408"/>
      <c r="F517" s="1147"/>
      <c r="G517" s="408"/>
      <c r="H517" s="408"/>
      <c r="I517" s="1138"/>
      <c r="J517" s="408"/>
      <c r="K517" s="408"/>
      <c r="L517" s="408"/>
      <c r="M517" s="408"/>
      <c r="N517" s="408"/>
      <c r="O517" s="1138"/>
      <c r="P517" s="408"/>
      <c r="Q517" s="408"/>
      <c r="R517" s="408"/>
      <c r="S517" s="1138"/>
      <c r="T517" s="408"/>
      <c r="U517" s="408"/>
      <c r="V517" s="408"/>
      <c r="W517" s="1129"/>
      <c r="X517"/>
      <c r="Y517"/>
      <c r="Z517"/>
      <c r="AA517"/>
      <c r="AB517"/>
    </row>
    <row r="518" spans="1:28" s="204" customFormat="1">
      <c r="A518" s="1125"/>
      <c r="B518" s="1135"/>
      <c r="C518" s="520"/>
      <c r="D518" s="520"/>
      <c r="E518" s="520"/>
      <c r="F518" s="1148"/>
      <c r="G518" s="520"/>
      <c r="H518" s="520"/>
      <c r="I518" s="1139"/>
      <c r="J518" s="520"/>
      <c r="K518" s="520"/>
      <c r="L518" s="520"/>
      <c r="M518" s="520"/>
      <c r="N518" s="520"/>
      <c r="O518" s="1139"/>
      <c r="P518" s="520"/>
      <c r="Q518" s="520"/>
      <c r="R518" s="520"/>
      <c r="S518" s="1139"/>
      <c r="T518" s="520"/>
      <c r="U518" s="520"/>
      <c r="V518" s="520"/>
      <c r="W518" s="1152"/>
      <c r="X518"/>
      <c r="Y518"/>
      <c r="Z518"/>
      <c r="AA518"/>
      <c r="AB518"/>
    </row>
    <row r="519" spans="1:28">
      <c r="A519" s="1125"/>
      <c r="B519" s="403"/>
      <c r="C519" s="407"/>
      <c r="D519" s="407"/>
      <c r="E519" s="407"/>
      <c r="F519" s="407"/>
      <c r="G519" s="407"/>
      <c r="H519" s="407"/>
      <c r="I519" s="1137"/>
      <c r="J519" s="407"/>
      <c r="K519" s="407"/>
      <c r="L519" s="407"/>
      <c r="M519" s="407"/>
      <c r="N519" s="407"/>
      <c r="O519" s="1137"/>
      <c r="P519" s="407"/>
      <c r="Q519" s="407"/>
      <c r="R519" s="407"/>
      <c r="S519" s="1137"/>
      <c r="T519" s="407"/>
      <c r="U519" s="407"/>
      <c r="V519" s="407"/>
      <c r="W519" s="1128"/>
      <c r="X519"/>
      <c r="Y519"/>
      <c r="Z519"/>
      <c r="AA519"/>
      <c r="AB519"/>
    </row>
    <row r="520" spans="1:28" s="205" customFormat="1">
      <c r="A520" s="1125"/>
      <c r="B520" s="404"/>
      <c r="C520" s="408"/>
      <c r="D520" s="408"/>
      <c r="E520" s="408"/>
      <c r="F520" s="408"/>
      <c r="G520" s="408"/>
      <c r="H520" s="408"/>
      <c r="I520" s="1138"/>
      <c r="J520" s="408"/>
      <c r="K520" s="408"/>
      <c r="L520" s="408"/>
      <c r="M520" s="408"/>
      <c r="N520" s="408"/>
      <c r="O520" s="1138"/>
      <c r="P520" s="408"/>
      <c r="Q520" s="408"/>
      <c r="R520" s="408"/>
      <c r="S520" s="1138"/>
      <c r="T520" s="408"/>
      <c r="U520" s="408"/>
      <c r="V520" s="408"/>
      <c r="W520" s="1129"/>
      <c r="X520"/>
      <c r="Y520"/>
      <c r="Z520"/>
      <c r="AA520"/>
      <c r="AB520"/>
    </row>
    <row r="521" spans="1:28" s="204" customFormat="1">
      <c r="A521" s="1125"/>
      <c r="B521" s="1135"/>
      <c r="C521" s="520"/>
      <c r="D521" s="520"/>
      <c r="E521" s="520"/>
      <c r="F521" s="520"/>
      <c r="G521" s="520"/>
      <c r="H521" s="520"/>
      <c r="I521" s="1139"/>
      <c r="J521" s="520"/>
      <c r="K521" s="520"/>
      <c r="L521" s="520"/>
      <c r="M521" s="520"/>
      <c r="N521" s="520"/>
      <c r="O521" s="1139"/>
      <c r="P521" s="520"/>
      <c r="Q521" s="520"/>
      <c r="R521" s="520"/>
      <c r="S521" s="1139"/>
      <c r="T521" s="520"/>
      <c r="U521" s="520"/>
      <c r="V521" s="520"/>
      <c r="W521" s="1152"/>
      <c r="X521"/>
      <c r="Y521"/>
      <c r="Z521"/>
      <c r="AA521"/>
      <c r="AB521"/>
    </row>
    <row r="522" spans="1:28">
      <c r="A522" s="1125"/>
      <c r="B522" s="403"/>
      <c r="C522" s="407"/>
      <c r="D522" s="407"/>
      <c r="E522" s="407"/>
      <c r="F522" s="407"/>
      <c r="G522" s="407"/>
      <c r="H522" s="407"/>
      <c r="I522" s="1137"/>
      <c r="J522" s="407"/>
      <c r="K522" s="407"/>
      <c r="L522" s="407"/>
      <c r="M522" s="407"/>
      <c r="N522" s="407"/>
      <c r="O522" s="1137"/>
      <c r="P522" s="407"/>
      <c r="Q522" s="407"/>
      <c r="R522" s="407"/>
      <c r="S522" s="1137"/>
      <c r="T522" s="407"/>
      <c r="U522" s="407"/>
      <c r="V522" s="407"/>
      <c r="W522" s="1128"/>
      <c r="X522"/>
      <c r="Y522"/>
      <c r="Z522"/>
      <c r="AA522"/>
      <c r="AB522"/>
    </row>
    <row r="523" spans="1:28" s="205" customFormat="1">
      <c r="A523" s="1125"/>
      <c r="B523" s="404"/>
      <c r="C523" s="408"/>
      <c r="D523" s="408"/>
      <c r="E523" s="408"/>
      <c r="F523" s="408"/>
      <c r="G523" s="408"/>
      <c r="H523" s="408"/>
      <c r="I523" s="1138"/>
      <c r="J523" s="408"/>
      <c r="K523" s="408"/>
      <c r="L523" s="408"/>
      <c r="M523" s="408"/>
      <c r="N523" s="408"/>
      <c r="O523" s="1138"/>
      <c r="P523" s="408"/>
      <c r="Q523" s="408"/>
      <c r="R523" s="408"/>
      <c r="S523" s="1138"/>
      <c r="T523" s="408"/>
      <c r="U523" s="408"/>
      <c r="V523" s="408"/>
      <c r="W523" s="1129"/>
      <c r="X523"/>
      <c r="Y523"/>
      <c r="Z523"/>
      <c r="AA523"/>
      <c r="AB523"/>
    </row>
    <row r="524" spans="1:28" s="204" customFormat="1">
      <c r="A524" s="1125"/>
      <c r="B524" s="1135"/>
      <c r="C524" s="520"/>
      <c r="D524" s="520"/>
      <c r="E524" s="520"/>
      <c r="F524" s="520"/>
      <c r="G524" s="520"/>
      <c r="H524" s="520"/>
      <c r="I524" s="1139"/>
      <c r="J524" s="520"/>
      <c r="K524" s="520"/>
      <c r="L524" s="520"/>
      <c r="M524" s="520"/>
      <c r="N524" s="520"/>
      <c r="O524" s="1139"/>
      <c r="P524" s="520"/>
      <c r="Q524" s="520"/>
      <c r="R524" s="520"/>
      <c r="S524" s="1139"/>
      <c r="T524" s="520"/>
      <c r="U524" s="520"/>
      <c r="V524" s="520"/>
      <c r="W524" s="1152"/>
      <c r="X524"/>
      <c r="Y524"/>
      <c r="Z524"/>
      <c r="AA524"/>
      <c r="AB524"/>
    </row>
    <row r="525" spans="1:28">
      <c r="A525" s="1125"/>
      <c r="B525" s="403"/>
      <c r="C525" s="407"/>
      <c r="D525" s="407"/>
      <c r="E525" s="407"/>
      <c r="F525" s="407"/>
      <c r="G525" s="407"/>
      <c r="H525" s="407"/>
      <c r="I525" s="1137"/>
      <c r="J525" s="407"/>
      <c r="K525" s="407"/>
      <c r="L525" s="407"/>
      <c r="M525" s="407"/>
      <c r="N525" s="407"/>
      <c r="O525" s="1137"/>
      <c r="P525" s="407"/>
      <c r="Q525" s="407"/>
      <c r="R525" s="407"/>
      <c r="S525" s="1137"/>
      <c r="T525" s="407"/>
      <c r="U525" s="407"/>
      <c r="V525" s="407"/>
      <c r="W525" s="1128"/>
      <c r="X525"/>
      <c r="Y525"/>
      <c r="Z525"/>
      <c r="AA525"/>
      <c r="AB525"/>
    </row>
    <row r="526" spans="1:28" s="205" customFormat="1">
      <c r="A526" s="1125"/>
      <c r="B526" s="404"/>
      <c r="C526" s="408"/>
      <c r="D526" s="408"/>
      <c r="E526" s="408"/>
      <c r="F526" s="408"/>
      <c r="G526" s="408"/>
      <c r="H526" s="408"/>
      <c r="I526" s="1138"/>
      <c r="J526" s="408"/>
      <c r="K526" s="408"/>
      <c r="L526" s="408"/>
      <c r="M526" s="408"/>
      <c r="N526" s="408"/>
      <c r="O526" s="1138"/>
      <c r="P526" s="408"/>
      <c r="Q526" s="408"/>
      <c r="R526" s="408"/>
      <c r="S526" s="1138"/>
      <c r="T526" s="408"/>
      <c r="U526" s="408"/>
      <c r="V526" s="408"/>
      <c r="W526" s="1129"/>
      <c r="X526"/>
      <c r="Y526"/>
      <c r="Z526"/>
      <c r="AA526"/>
      <c r="AB526"/>
    </row>
    <row r="527" spans="1:28" s="204" customFormat="1">
      <c r="A527" s="1125"/>
      <c r="B527" s="1135"/>
      <c r="C527" s="520"/>
      <c r="D527" s="520"/>
      <c r="E527" s="520"/>
      <c r="F527" s="520"/>
      <c r="G527" s="520"/>
      <c r="H527" s="520"/>
      <c r="I527" s="1139"/>
      <c r="J527" s="520"/>
      <c r="K527" s="520"/>
      <c r="L527" s="520"/>
      <c r="M527" s="520"/>
      <c r="N527" s="520"/>
      <c r="O527" s="1139"/>
      <c r="P527" s="520"/>
      <c r="Q527" s="520"/>
      <c r="R527" s="520"/>
      <c r="S527" s="1139"/>
      <c r="T527" s="520"/>
      <c r="U527" s="520"/>
      <c r="V527" s="520"/>
      <c r="W527" s="1152"/>
      <c r="X527"/>
      <c r="Y527"/>
      <c r="Z527"/>
      <c r="AA527"/>
      <c r="AB527"/>
    </row>
    <row r="528" spans="1:28">
      <c r="A528" s="1125"/>
      <c r="B528" s="403"/>
      <c r="C528" s="407"/>
      <c r="D528" s="407"/>
      <c r="E528" s="407"/>
      <c r="F528" s="407"/>
      <c r="G528" s="407"/>
      <c r="H528" s="407"/>
      <c r="I528" s="1137"/>
      <c r="J528" s="407"/>
      <c r="K528" s="407"/>
      <c r="L528" s="407"/>
      <c r="M528" s="407"/>
      <c r="N528" s="407"/>
      <c r="O528" s="1137"/>
      <c r="P528" s="407"/>
      <c r="Q528" s="407"/>
      <c r="R528" s="407"/>
      <c r="S528" s="1137"/>
      <c r="T528" s="407"/>
      <c r="U528" s="407"/>
      <c r="V528" s="407"/>
      <c r="W528" s="1128"/>
      <c r="X528"/>
      <c r="Y528"/>
      <c r="Z528"/>
      <c r="AA528"/>
      <c r="AB528"/>
    </row>
    <row r="529" spans="1:28" s="205" customFormat="1">
      <c r="A529" s="1125"/>
      <c r="B529" s="404"/>
      <c r="C529" s="408"/>
      <c r="D529" s="408"/>
      <c r="E529" s="408"/>
      <c r="F529" s="408"/>
      <c r="G529" s="408"/>
      <c r="H529" s="408"/>
      <c r="I529" s="1138"/>
      <c r="J529" s="408"/>
      <c r="K529" s="408"/>
      <c r="L529" s="408"/>
      <c r="M529" s="408"/>
      <c r="N529" s="408"/>
      <c r="O529" s="1138"/>
      <c r="P529" s="408"/>
      <c r="Q529" s="408"/>
      <c r="R529" s="408"/>
      <c r="S529" s="1138"/>
      <c r="T529" s="408"/>
      <c r="U529" s="408"/>
      <c r="V529" s="408"/>
      <c r="W529" s="1129"/>
      <c r="X529"/>
      <c r="Y529"/>
      <c r="Z529"/>
      <c r="AA529"/>
      <c r="AB529"/>
    </row>
    <row r="530" spans="1:28" s="204" customFormat="1">
      <c r="A530" s="1125"/>
      <c r="B530" s="1135"/>
      <c r="C530" s="520"/>
      <c r="D530" s="520"/>
      <c r="E530" s="520"/>
      <c r="F530" s="520"/>
      <c r="G530" s="520"/>
      <c r="H530" s="520"/>
      <c r="I530" s="1139"/>
      <c r="J530" s="520"/>
      <c r="K530" s="520"/>
      <c r="L530" s="520"/>
      <c r="M530" s="520"/>
      <c r="N530" s="520"/>
      <c r="O530" s="1139"/>
      <c r="P530" s="520"/>
      <c r="Q530" s="520"/>
      <c r="R530" s="520"/>
      <c r="S530" s="1139"/>
      <c r="T530" s="520"/>
      <c r="U530" s="520"/>
      <c r="V530" s="520"/>
      <c r="W530" s="1152"/>
      <c r="X530"/>
      <c r="Y530"/>
      <c r="Z530"/>
      <c r="AA530"/>
      <c r="AB530"/>
    </row>
    <row r="531" spans="1:28">
      <c r="A531" s="1125"/>
      <c r="B531" s="403"/>
      <c r="C531" s="407"/>
      <c r="D531" s="407"/>
      <c r="E531" s="407"/>
      <c r="F531" s="407"/>
      <c r="G531" s="407"/>
      <c r="H531" s="407"/>
      <c r="I531" s="1137"/>
      <c r="J531" s="407"/>
      <c r="K531" s="407"/>
      <c r="L531" s="407"/>
      <c r="M531" s="407"/>
      <c r="N531" s="407"/>
      <c r="O531" s="1137"/>
      <c r="P531" s="407"/>
      <c r="Q531" s="407"/>
      <c r="R531" s="407"/>
      <c r="S531" s="1137"/>
      <c r="T531" s="407"/>
      <c r="U531" s="407"/>
      <c r="V531" s="407"/>
      <c r="W531" s="1128"/>
      <c r="X531"/>
      <c r="Y531"/>
      <c r="Z531"/>
      <c r="AA531"/>
      <c r="AB531"/>
    </row>
    <row r="532" spans="1:28" s="205" customFormat="1">
      <c r="A532" s="1125"/>
      <c r="B532" s="404"/>
      <c r="C532" s="408"/>
      <c r="D532" s="408"/>
      <c r="E532" s="408"/>
      <c r="F532" s="408"/>
      <c r="G532" s="408"/>
      <c r="H532" s="408"/>
      <c r="I532" s="1138"/>
      <c r="J532" s="408"/>
      <c r="K532" s="408"/>
      <c r="L532" s="408"/>
      <c r="M532" s="408"/>
      <c r="N532" s="408"/>
      <c r="O532" s="1138"/>
      <c r="P532" s="408"/>
      <c r="Q532" s="408"/>
      <c r="R532" s="408"/>
      <c r="S532" s="1138"/>
      <c r="T532" s="408"/>
      <c r="U532" s="408"/>
      <c r="V532" s="408"/>
      <c r="W532" s="1129"/>
      <c r="X532"/>
      <c r="Y532"/>
      <c r="Z532"/>
      <c r="AA532"/>
      <c r="AB532"/>
    </row>
    <row r="533" spans="1:28" s="204" customFormat="1">
      <c r="A533" s="1125"/>
      <c r="B533" s="1135"/>
      <c r="C533" s="520"/>
      <c r="D533" s="520"/>
      <c r="E533" s="520"/>
      <c r="F533" s="520"/>
      <c r="G533" s="520"/>
      <c r="H533" s="520"/>
      <c r="I533" s="1139"/>
      <c r="J533" s="520"/>
      <c r="K533" s="520"/>
      <c r="L533" s="520"/>
      <c r="M533" s="520"/>
      <c r="N533" s="520"/>
      <c r="O533" s="1139"/>
      <c r="P533" s="520"/>
      <c r="Q533" s="520"/>
      <c r="R533" s="520"/>
      <c r="S533" s="1139"/>
      <c r="T533" s="520"/>
      <c r="U533" s="520"/>
      <c r="V533" s="520"/>
      <c r="W533" s="1152"/>
      <c r="X533"/>
      <c r="Y533"/>
      <c r="Z533"/>
      <c r="AA533"/>
      <c r="AB533"/>
    </row>
    <row r="534" spans="1:28">
      <c r="A534" s="1125"/>
      <c r="B534" s="403"/>
      <c r="C534" s="407"/>
      <c r="D534" s="407"/>
      <c r="E534" s="407"/>
      <c r="F534" s="407"/>
      <c r="G534" s="407"/>
      <c r="H534" s="407"/>
      <c r="I534" s="1137"/>
      <c r="J534" s="407"/>
      <c r="K534" s="407"/>
      <c r="L534" s="407"/>
      <c r="M534" s="407"/>
      <c r="N534" s="407"/>
      <c r="O534" s="1137"/>
      <c r="P534" s="407"/>
      <c r="Q534" s="407"/>
      <c r="R534" s="407"/>
      <c r="S534" s="1137"/>
      <c r="T534" s="407"/>
      <c r="U534" s="407"/>
      <c r="V534" s="407"/>
      <c r="W534" s="1128"/>
      <c r="X534"/>
      <c r="Y534"/>
      <c r="Z534"/>
      <c r="AA534"/>
      <c r="AB534"/>
    </row>
    <row r="535" spans="1:28" s="205" customFormat="1">
      <c r="A535" s="1125"/>
      <c r="B535" s="404"/>
      <c r="C535" s="408"/>
      <c r="D535" s="408"/>
      <c r="E535" s="408"/>
      <c r="F535" s="408"/>
      <c r="G535" s="408"/>
      <c r="H535" s="408"/>
      <c r="I535" s="1138"/>
      <c r="J535" s="408"/>
      <c r="K535" s="408"/>
      <c r="L535" s="408"/>
      <c r="M535" s="408"/>
      <c r="N535" s="408"/>
      <c r="O535" s="1138"/>
      <c r="P535" s="408"/>
      <c r="Q535" s="408"/>
      <c r="R535" s="408"/>
      <c r="S535" s="1138"/>
      <c r="T535" s="408"/>
      <c r="U535" s="408"/>
      <c r="V535" s="408"/>
      <c r="W535" s="1129"/>
      <c r="X535"/>
      <c r="Y535"/>
      <c r="Z535"/>
      <c r="AA535"/>
      <c r="AB535"/>
    </row>
    <row r="536" spans="1:28" s="204" customFormat="1">
      <c r="A536" s="1125"/>
      <c r="B536" s="1135"/>
      <c r="C536" s="520"/>
      <c r="D536" s="520"/>
      <c r="E536" s="520"/>
      <c r="F536" s="520"/>
      <c r="G536" s="520"/>
      <c r="H536" s="520"/>
      <c r="I536" s="1139"/>
      <c r="J536" s="520"/>
      <c r="K536" s="520"/>
      <c r="L536" s="520"/>
      <c r="M536" s="520"/>
      <c r="N536" s="520"/>
      <c r="O536" s="1139"/>
      <c r="P536" s="520"/>
      <c r="Q536" s="520"/>
      <c r="R536" s="520"/>
      <c r="S536" s="1139"/>
      <c r="T536" s="520"/>
      <c r="U536" s="520"/>
      <c r="V536" s="520"/>
      <c r="W536" s="1152"/>
      <c r="X536"/>
      <c r="Y536"/>
      <c r="Z536"/>
      <c r="AA536"/>
      <c r="AB536"/>
    </row>
    <row r="537" spans="1:28">
      <c r="A537" s="1125"/>
      <c r="B537" s="403"/>
      <c r="C537" s="407"/>
      <c r="D537" s="407"/>
      <c r="E537" s="407"/>
      <c r="F537" s="407"/>
      <c r="G537" s="407"/>
      <c r="H537" s="407"/>
      <c r="I537" s="1137"/>
      <c r="J537" s="407"/>
      <c r="K537" s="407"/>
      <c r="L537" s="407"/>
      <c r="M537" s="407"/>
      <c r="N537" s="407"/>
      <c r="O537" s="1137"/>
      <c r="P537" s="407"/>
      <c r="Q537" s="407"/>
      <c r="R537" s="407"/>
      <c r="S537" s="1137"/>
      <c r="T537" s="407"/>
      <c r="U537" s="407"/>
      <c r="V537" s="407"/>
      <c r="W537" s="1128"/>
      <c r="X537"/>
      <c r="Y537"/>
      <c r="Z537"/>
      <c r="AA537"/>
      <c r="AB537"/>
    </row>
    <row r="538" spans="1:28" s="205" customFormat="1">
      <c r="A538" s="1125"/>
      <c r="B538" s="404"/>
      <c r="C538" s="408"/>
      <c r="D538" s="408"/>
      <c r="E538" s="408"/>
      <c r="F538" s="408"/>
      <c r="G538" s="408"/>
      <c r="H538" s="408"/>
      <c r="I538" s="1138"/>
      <c r="J538" s="408"/>
      <c r="K538" s="408"/>
      <c r="L538" s="408"/>
      <c r="M538" s="408"/>
      <c r="N538" s="408"/>
      <c r="O538" s="1138"/>
      <c r="P538" s="408"/>
      <c r="Q538" s="408"/>
      <c r="R538" s="408"/>
      <c r="S538" s="1138"/>
      <c r="T538" s="408"/>
      <c r="U538" s="408"/>
      <c r="V538" s="408"/>
      <c r="W538" s="1129"/>
      <c r="X538"/>
      <c r="Y538"/>
      <c r="Z538"/>
      <c r="AA538"/>
      <c r="AB538"/>
    </row>
    <row r="539" spans="1:28" s="204" customFormat="1">
      <c r="A539" s="1125"/>
      <c r="B539" s="1135"/>
      <c r="C539" s="520"/>
      <c r="D539" s="520"/>
      <c r="E539" s="520"/>
      <c r="F539" s="520"/>
      <c r="G539" s="520"/>
      <c r="H539" s="520"/>
      <c r="I539" s="1139"/>
      <c r="J539" s="520"/>
      <c r="K539" s="520"/>
      <c r="L539" s="520"/>
      <c r="M539" s="520"/>
      <c r="N539" s="520"/>
      <c r="O539" s="1139"/>
      <c r="P539" s="520"/>
      <c r="Q539" s="520"/>
      <c r="R539" s="520"/>
      <c r="S539" s="1139"/>
      <c r="T539" s="520"/>
      <c r="U539" s="520"/>
      <c r="V539" s="520"/>
      <c r="W539" s="1152"/>
      <c r="X539"/>
      <c r="Y539"/>
      <c r="Z539"/>
      <c r="AA539"/>
      <c r="AB539"/>
    </row>
    <row r="540" spans="1:28">
      <c r="A540" s="1125"/>
      <c r="B540" s="403"/>
      <c r="C540" s="407"/>
      <c r="D540" s="407"/>
      <c r="E540" s="407"/>
      <c r="F540" s="407"/>
      <c r="G540" s="407"/>
      <c r="H540" s="407"/>
      <c r="I540" s="1137"/>
      <c r="J540" s="407"/>
      <c r="K540" s="407"/>
      <c r="L540" s="407"/>
      <c r="M540" s="407"/>
      <c r="N540" s="407"/>
      <c r="O540" s="1137"/>
      <c r="P540" s="407"/>
      <c r="Q540" s="407"/>
      <c r="R540" s="407"/>
      <c r="S540" s="1137"/>
      <c r="T540" s="407"/>
      <c r="U540" s="407"/>
      <c r="V540" s="407"/>
      <c r="W540" s="1128"/>
      <c r="X540"/>
      <c r="Y540"/>
      <c r="Z540"/>
      <c r="AA540"/>
      <c r="AB540"/>
    </row>
    <row r="541" spans="1:28" s="205" customFormat="1">
      <c r="A541" s="1125"/>
      <c r="B541" s="404"/>
      <c r="C541" s="408"/>
      <c r="D541" s="408"/>
      <c r="E541" s="408"/>
      <c r="F541" s="408"/>
      <c r="G541" s="408"/>
      <c r="H541" s="408"/>
      <c r="I541" s="1138"/>
      <c r="J541" s="408"/>
      <c r="K541" s="408"/>
      <c r="L541" s="408"/>
      <c r="M541" s="408"/>
      <c r="N541" s="408"/>
      <c r="O541" s="1138"/>
      <c r="P541" s="408"/>
      <c r="Q541" s="408"/>
      <c r="R541" s="408"/>
      <c r="S541" s="1138"/>
      <c r="T541" s="408"/>
      <c r="U541" s="408"/>
      <c r="V541" s="408"/>
      <c r="W541" s="1129"/>
      <c r="X541"/>
      <c r="Y541"/>
      <c r="Z541"/>
      <c r="AA541"/>
      <c r="AB541"/>
    </row>
    <row r="542" spans="1:28" s="204" customFormat="1">
      <c r="A542" s="1125"/>
      <c r="B542" s="1135"/>
      <c r="C542" s="520"/>
      <c r="D542" s="520"/>
      <c r="E542" s="520"/>
      <c r="F542" s="520"/>
      <c r="G542" s="520"/>
      <c r="H542" s="520"/>
      <c r="I542" s="1139"/>
      <c r="J542" s="520"/>
      <c r="K542" s="520"/>
      <c r="L542" s="520"/>
      <c r="M542" s="520"/>
      <c r="N542" s="520"/>
      <c r="O542" s="1139"/>
      <c r="P542" s="520"/>
      <c r="Q542" s="520"/>
      <c r="R542" s="520"/>
      <c r="S542" s="1139"/>
      <c r="T542" s="520"/>
      <c r="U542" s="520"/>
      <c r="V542" s="520"/>
      <c r="W542" s="1152"/>
      <c r="X542"/>
      <c r="Y542"/>
      <c r="Z542"/>
      <c r="AA542"/>
      <c r="AB542"/>
    </row>
    <row r="543" spans="1:28">
      <c r="A543" s="1125"/>
      <c r="B543" s="403"/>
      <c r="C543" s="407"/>
      <c r="D543" s="407"/>
      <c r="E543" s="407"/>
      <c r="F543" s="407"/>
      <c r="G543" s="407"/>
      <c r="H543" s="407"/>
      <c r="I543" s="1137"/>
      <c r="J543" s="407"/>
      <c r="K543" s="407"/>
      <c r="L543" s="407"/>
      <c r="M543" s="407"/>
      <c r="N543" s="407"/>
      <c r="O543" s="1137"/>
      <c r="P543" s="407"/>
      <c r="Q543" s="407"/>
      <c r="R543" s="407"/>
      <c r="S543" s="1137"/>
      <c r="T543" s="407"/>
      <c r="U543" s="407"/>
      <c r="V543" s="407"/>
      <c r="W543" s="1128"/>
      <c r="X543"/>
      <c r="Y543"/>
      <c r="Z543"/>
      <c r="AA543"/>
      <c r="AB543"/>
    </row>
    <row r="544" spans="1:28" s="205" customFormat="1">
      <c r="A544" s="1125"/>
      <c r="B544" s="404"/>
      <c r="C544" s="408"/>
      <c r="D544" s="408"/>
      <c r="E544" s="408"/>
      <c r="F544" s="408"/>
      <c r="G544" s="408"/>
      <c r="H544" s="408"/>
      <c r="I544" s="1138"/>
      <c r="J544" s="408"/>
      <c r="K544" s="408"/>
      <c r="L544" s="408"/>
      <c r="M544" s="408"/>
      <c r="N544" s="408"/>
      <c r="O544" s="1138"/>
      <c r="P544" s="408"/>
      <c r="Q544" s="408"/>
      <c r="R544" s="408"/>
      <c r="S544" s="1138"/>
      <c r="T544" s="408"/>
      <c r="U544" s="408"/>
      <c r="V544" s="408"/>
      <c r="W544" s="1129"/>
      <c r="X544"/>
      <c r="Y544"/>
      <c r="Z544"/>
      <c r="AA544"/>
      <c r="AB544"/>
    </row>
    <row r="545" spans="1:28" s="204" customFormat="1">
      <c r="A545" s="1125"/>
      <c r="B545" s="1135"/>
      <c r="C545" s="520"/>
      <c r="D545" s="520"/>
      <c r="E545" s="520"/>
      <c r="F545" s="520"/>
      <c r="G545" s="520"/>
      <c r="H545" s="520"/>
      <c r="I545" s="1139"/>
      <c r="J545" s="520"/>
      <c r="K545" s="520"/>
      <c r="L545" s="520"/>
      <c r="M545" s="520"/>
      <c r="N545" s="520"/>
      <c r="O545" s="1139"/>
      <c r="P545" s="520"/>
      <c r="Q545" s="520"/>
      <c r="R545" s="520"/>
      <c r="S545" s="1139"/>
      <c r="T545" s="520"/>
      <c r="U545" s="520"/>
      <c r="V545" s="520"/>
      <c r="W545" s="1152"/>
      <c r="X545"/>
      <c r="Y545"/>
      <c r="Z545"/>
      <c r="AA545"/>
      <c r="AB545"/>
    </row>
    <row r="546" spans="1:28">
      <c r="A546" s="1125"/>
      <c r="B546" s="403"/>
      <c r="C546" s="407"/>
      <c r="D546" s="407"/>
      <c r="E546" s="407"/>
      <c r="F546" s="407"/>
      <c r="G546" s="407"/>
      <c r="H546" s="407"/>
      <c r="I546" s="1137"/>
      <c r="J546" s="407"/>
      <c r="K546" s="407"/>
      <c r="L546" s="407"/>
      <c r="M546" s="407"/>
      <c r="N546" s="407"/>
      <c r="O546" s="1137"/>
      <c r="P546" s="407"/>
      <c r="Q546" s="407"/>
      <c r="R546" s="407"/>
      <c r="S546" s="1137"/>
      <c r="T546" s="407"/>
      <c r="U546" s="407"/>
      <c r="V546" s="407"/>
      <c r="W546" s="1128"/>
      <c r="X546"/>
      <c r="Y546"/>
      <c r="Z546"/>
      <c r="AA546"/>
      <c r="AB546"/>
    </row>
    <row r="547" spans="1:28" s="205" customFormat="1">
      <c r="A547" s="1125"/>
      <c r="B547" s="404"/>
      <c r="C547" s="408"/>
      <c r="D547" s="408"/>
      <c r="E547" s="408"/>
      <c r="F547" s="408"/>
      <c r="G547" s="408"/>
      <c r="H547" s="408"/>
      <c r="I547" s="1138"/>
      <c r="J547" s="408"/>
      <c r="K547" s="408"/>
      <c r="L547" s="408"/>
      <c r="M547" s="408"/>
      <c r="N547" s="408"/>
      <c r="O547" s="1138"/>
      <c r="P547" s="408"/>
      <c r="Q547" s="408"/>
      <c r="R547" s="408"/>
      <c r="S547" s="1138"/>
      <c r="T547" s="408"/>
      <c r="U547" s="408"/>
      <c r="V547" s="408"/>
      <c r="W547" s="1129"/>
      <c r="X547"/>
      <c r="Y547"/>
      <c r="Z547"/>
      <c r="AA547"/>
      <c r="AB547"/>
    </row>
    <row r="548" spans="1:28" s="204" customFormat="1">
      <c r="A548" s="1125"/>
      <c r="B548" s="1135"/>
      <c r="C548" s="520"/>
      <c r="D548" s="520"/>
      <c r="E548" s="520"/>
      <c r="F548" s="520"/>
      <c r="G548" s="520"/>
      <c r="H548" s="520"/>
      <c r="I548" s="1139"/>
      <c r="J548" s="520"/>
      <c r="K548" s="520"/>
      <c r="L548" s="520"/>
      <c r="M548" s="520"/>
      <c r="N548" s="520"/>
      <c r="O548" s="1139"/>
      <c r="P548" s="520"/>
      <c r="Q548" s="520"/>
      <c r="R548" s="520"/>
      <c r="S548" s="1139"/>
      <c r="T548" s="520"/>
      <c r="U548" s="520"/>
      <c r="V548" s="520"/>
      <c r="W548" s="1152"/>
      <c r="X548"/>
      <c r="Y548"/>
      <c r="Z548"/>
      <c r="AA548"/>
      <c r="AB548"/>
    </row>
    <row r="549" spans="1:28">
      <c r="A549" s="1125"/>
      <c r="B549" s="403"/>
      <c r="C549" s="407"/>
      <c r="D549" s="407"/>
      <c r="E549" s="407"/>
      <c r="F549" s="407"/>
      <c r="G549" s="407"/>
      <c r="H549" s="407"/>
      <c r="I549" s="1137"/>
      <c r="J549" s="407"/>
      <c r="K549" s="407"/>
      <c r="L549" s="407"/>
      <c r="M549" s="407"/>
      <c r="N549" s="407"/>
      <c r="O549" s="1137"/>
      <c r="P549" s="407"/>
      <c r="Q549" s="407"/>
      <c r="R549" s="407"/>
      <c r="S549" s="1137"/>
      <c r="T549" s="407"/>
      <c r="U549" s="407"/>
      <c r="V549" s="407"/>
      <c r="W549" s="1128"/>
      <c r="X549"/>
      <c r="Y549"/>
      <c r="Z549"/>
      <c r="AA549"/>
      <c r="AB549"/>
    </row>
    <row r="550" spans="1:28" s="205" customFormat="1">
      <c r="A550" s="1125"/>
      <c r="B550" s="404"/>
      <c r="C550" s="408"/>
      <c r="D550" s="408"/>
      <c r="E550" s="408"/>
      <c r="F550" s="408"/>
      <c r="G550" s="408"/>
      <c r="H550" s="408"/>
      <c r="I550" s="1138"/>
      <c r="J550" s="408"/>
      <c r="K550" s="408"/>
      <c r="L550" s="408"/>
      <c r="M550" s="408"/>
      <c r="N550" s="408"/>
      <c r="O550" s="1138"/>
      <c r="P550" s="408"/>
      <c r="Q550" s="408"/>
      <c r="R550" s="408"/>
      <c r="S550" s="1138"/>
      <c r="T550" s="408"/>
      <c r="U550" s="408"/>
      <c r="V550" s="408"/>
      <c r="W550" s="1129"/>
      <c r="X550"/>
      <c r="Y550"/>
      <c r="Z550"/>
      <c r="AA550"/>
      <c r="AB550"/>
    </row>
    <row r="551" spans="1:28" s="214" customFormat="1">
      <c r="A551" s="1136"/>
      <c r="B551" s="1135"/>
      <c r="C551" s="520"/>
      <c r="D551" s="520"/>
      <c r="E551" s="520"/>
      <c r="F551" s="520"/>
      <c r="G551" s="520"/>
      <c r="H551" s="520"/>
      <c r="I551" s="1139"/>
      <c r="J551" s="520"/>
      <c r="K551" s="520"/>
      <c r="L551" s="520"/>
      <c r="M551" s="520"/>
      <c r="N551" s="520"/>
      <c r="O551" s="1139"/>
      <c r="P551" s="520"/>
      <c r="Q551" s="520"/>
      <c r="R551" s="520"/>
      <c r="S551" s="1139"/>
      <c r="T551" s="520"/>
      <c r="U551" s="520"/>
      <c r="V551" s="520"/>
      <c r="W551" s="1152"/>
      <c r="X551"/>
      <c r="Y551"/>
      <c r="Z551"/>
      <c r="AA551"/>
      <c r="AB551"/>
    </row>
    <row r="552" spans="1:28">
      <c r="A552" s="233"/>
      <c r="B552" s="403"/>
      <c r="C552" s="407"/>
      <c r="D552" s="407"/>
      <c r="E552" s="407"/>
      <c r="F552" s="407"/>
      <c r="G552" s="407"/>
      <c r="H552" s="407"/>
      <c r="I552" s="1137"/>
      <c r="J552" s="407"/>
      <c r="K552" s="407"/>
      <c r="L552" s="407"/>
      <c r="M552" s="407"/>
      <c r="N552" s="407"/>
      <c r="O552" s="1137"/>
      <c r="P552" s="407"/>
      <c r="Q552" s="407"/>
      <c r="R552" s="407"/>
      <c r="S552" s="1137"/>
      <c r="T552" s="407"/>
      <c r="U552" s="407"/>
      <c r="V552" s="407"/>
      <c r="W552" s="1128"/>
      <c r="X552"/>
      <c r="Y552"/>
      <c r="Z552"/>
      <c r="AA552"/>
      <c r="AB552"/>
    </row>
    <row r="553" spans="1:28" s="205" customFormat="1">
      <c r="A553" s="1125"/>
      <c r="B553" s="404"/>
      <c r="C553" s="408"/>
      <c r="D553" s="408"/>
      <c r="E553" s="408"/>
      <c r="F553" s="408"/>
      <c r="G553" s="408"/>
      <c r="H553" s="408"/>
      <c r="I553" s="1138"/>
      <c r="J553" s="408"/>
      <c r="K553" s="408"/>
      <c r="L553" s="408"/>
      <c r="M553" s="408"/>
      <c r="N553" s="408"/>
      <c r="O553" s="1138"/>
      <c r="P553" s="408"/>
      <c r="Q553" s="408"/>
      <c r="R553" s="408"/>
      <c r="S553" s="1138"/>
      <c r="T553" s="408"/>
      <c r="U553" s="408"/>
      <c r="V553" s="408"/>
      <c r="W553" s="1129"/>
      <c r="X553"/>
      <c r="Y553"/>
      <c r="Z553"/>
      <c r="AA553"/>
      <c r="AB553"/>
    </row>
    <row r="554" spans="1:28" s="204" customFormat="1">
      <c r="A554" s="1126"/>
      <c r="B554" s="1135"/>
      <c r="C554" s="520"/>
      <c r="D554" s="520"/>
      <c r="E554" s="520"/>
      <c r="F554" s="520"/>
      <c r="G554" s="520"/>
      <c r="H554" s="520"/>
      <c r="I554" s="1139"/>
      <c r="J554" s="520"/>
      <c r="K554" s="520"/>
      <c r="L554" s="520"/>
      <c r="M554" s="520"/>
      <c r="N554" s="520"/>
      <c r="O554" s="1139"/>
      <c r="P554" s="520"/>
      <c r="Q554" s="520"/>
      <c r="R554" s="520"/>
      <c r="S554" s="1139"/>
      <c r="T554" s="520"/>
      <c r="U554" s="520"/>
      <c r="V554" s="520"/>
      <c r="W554" s="1152"/>
      <c r="X554"/>
      <c r="Y554"/>
      <c r="Z554"/>
      <c r="AA554"/>
      <c r="AB554"/>
    </row>
    <row r="555" spans="1:28">
      <c r="A555" s="1125"/>
      <c r="B555" s="403"/>
      <c r="C555" s="407"/>
      <c r="D555" s="407"/>
      <c r="E555" s="407"/>
      <c r="F555" s="407"/>
      <c r="G555" s="407"/>
      <c r="H555" s="407"/>
      <c r="I555" s="1137"/>
      <c r="J555" s="407"/>
      <c r="K555" s="407"/>
      <c r="L555" s="407"/>
      <c r="M555" s="407"/>
      <c r="N555" s="407"/>
      <c r="O555" s="1137"/>
      <c r="P555" s="407"/>
      <c r="Q555" s="407"/>
      <c r="R555" s="407"/>
      <c r="S555" s="1137"/>
      <c r="T555" s="407"/>
      <c r="U555" s="407"/>
      <c r="V555" s="407"/>
      <c r="W555" s="1128"/>
      <c r="X555"/>
      <c r="Y555"/>
      <c r="Z555"/>
      <c r="AA555"/>
      <c r="AB555"/>
    </row>
    <row r="556" spans="1:28" s="205" customFormat="1">
      <c r="A556" s="1125"/>
      <c r="B556" s="404"/>
      <c r="C556" s="408"/>
      <c r="D556" s="408"/>
      <c r="E556" s="408"/>
      <c r="F556" s="408"/>
      <c r="G556" s="408"/>
      <c r="H556" s="408"/>
      <c r="I556" s="1138"/>
      <c r="J556" s="408"/>
      <c r="K556" s="408"/>
      <c r="L556" s="408"/>
      <c r="M556" s="408"/>
      <c r="N556" s="408"/>
      <c r="O556" s="1138"/>
      <c r="P556" s="408"/>
      <c r="Q556" s="408"/>
      <c r="R556" s="408"/>
      <c r="S556" s="1138"/>
      <c r="T556" s="408"/>
      <c r="U556" s="408"/>
      <c r="V556" s="408"/>
      <c r="W556" s="1129"/>
      <c r="X556"/>
      <c r="Y556"/>
      <c r="Z556"/>
      <c r="AA556"/>
      <c r="AB556"/>
    </row>
    <row r="557" spans="1:28" s="204" customFormat="1">
      <c r="A557" s="1125"/>
      <c r="B557" s="1135"/>
      <c r="C557" s="520"/>
      <c r="D557" s="520"/>
      <c r="E557" s="520"/>
      <c r="F557" s="520"/>
      <c r="G557" s="520"/>
      <c r="H557" s="520"/>
      <c r="I557" s="1139"/>
      <c r="J557" s="520"/>
      <c r="K557" s="520"/>
      <c r="L557" s="520"/>
      <c r="M557" s="520"/>
      <c r="N557" s="520"/>
      <c r="O557" s="1139"/>
      <c r="P557" s="520"/>
      <c r="Q557" s="520"/>
      <c r="R557" s="520"/>
      <c r="S557" s="1139"/>
      <c r="T557" s="520"/>
      <c r="U557" s="520"/>
      <c r="V557" s="520"/>
      <c r="W557" s="1152"/>
      <c r="X557"/>
      <c r="Y557"/>
      <c r="Z557"/>
      <c r="AA557"/>
      <c r="AB557"/>
    </row>
    <row r="558" spans="1:28">
      <c r="A558" s="1125"/>
      <c r="B558" s="403"/>
      <c r="C558" s="407"/>
      <c r="D558" s="407"/>
      <c r="E558" s="407"/>
      <c r="F558" s="407"/>
      <c r="G558" s="407"/>
      <c r="H558" s="407"/>
      <c r="I558" s="1137"/>
      <c r="J558" s="407"/>
      <c r="K558" s="407"/>
      <c r="L558" s="407"/>
      <c r="M558" s="407"/>
      <c r="N558" s="407"/>
      <c r="O558" s="1137"/>
      <c r="P558" s="407"/>
      <c r="Q558" s="407"/>
      <c r="R558" s="407"/>
      <c r="S558" s="1137"/>
      <c r="T558" s="407"/>
      <c r="U558" s="407"/>
      <c r="V558" s="407"/>
      <c r="W558" s="1128"/>
      <c r="X558"/>
      <c r="Y558"/>
      <c r="Z558"/>
      <c r="AA558"/>
      <c r="AB558"/>
    </row>
    <row r="559" spans="1:28" s="205" customFormat="1">
      <c r="A559" s="1125"/>
      <c r="B559" s="404"/>
      <c r="C559" s="408"/>
      <c r="D559" s="408"/>
      <c r="E559" s="408"/>
      <c r="F559" s="408"/>
      <c r="G559" s="408"/>
      <c r="H559" s="408"/>
      <c r="I559" s="1138"/>
      <c r="J559" s="408"/>
      <c r="K559" s="408"/>
      <c r="L559" s="408"/>
      <c r="M559" s="408"/>
      <c r="N559" s="408"/>
      <c r="O559" s="1138"/>
      <c r="P559" s="408"/>
      <c r="Q559" s="408"/>
      <c r="R559" s="408"/>
      <c r="S559" s="1138"/>
      <c r="T559" s="408"/>
      <c r="U559" s="408"/>
      <c r="V559" s="408"/>
      <c r="W559" s="1129"/>
      <c r="X559"/>
      <c r="Y559"/>
      <c r="Z559"/>
      <c r="AA559"/>
      <c r="AB559"/>
    </row>
    <row r="560" spans="1:28" s="204" customFormat="1">
      <c r="A560" s="1125"/>
      <c r="B560" s="1135"/>
      <c r="C560" s="520"/>
      <c r="D560" s="520"/>
      <c r="E560" s="520"/>
      <c r="F560" s="520"/>
      <c r="G560" s="520"/>
      <c r="H560" s="520"/>
      <c r="I560" s="1139"/>
      <c r="J560" s="520"/>
      <c r="K560" s="520"/>
      <c r="L560" s="520"/>
      <c r="M560" s="520"/>
      <c r="N560" s="520"/>
      <c r="O560" s="1139"/>
      <c r="P560" s="520"/>
      <c r="Q560" s="520"/>
      <c r="R560" s="520"/>
      <c r="S560" s="1139"/>
      <c r="T560" s="520"/>
      <c r="U560" s="520"/>
      <c r="V560" s="520"/>
      <c r="W560" s="1152"/>
      <c r="X560"/>
      <c r="Y560"/>
      <c r="Z560"/>
      <c r="AA560"/>
      <c r="AB560"/>
    </row>
    <row r="561" spans="1:28">
      <c r="A561" s="1125"/>
      <c r="B561" s="403"/>
      <c r="C561" s="407"/>
      <c r="D561" s="407"/>
      <c r="E561" s="407"/>
      <c r="F561" s="407"/>
      <c r="G561" s="407"/>
      <c r="H561" s="407"/>
      <c r="I561" s="1137"/>
      <c r="J561" s="407"/>
      <c r="K561" s="407"/>
      <c r="L561" s="407"/>
      <c r="M561" s="1149"/>
      <c r="N561" s="1149"/>
      <c r="O561" s="1137"/>
      <c r="P561" s="407"/>
      <c r="Q561" s="407"/>
      <c r="R561" s="407"/>
      <c r="S561" s="1137"/>
      <c r="T561" s="407"/>
      <c r="U561" s="407"/>
      <c r="V561" s="407"/>
      <c r="W561" s="1128"/>
      <c r="X561"/>
      <c r="Y561"/>
      <c r="Z561"/>
      <c r="AA561"/>
      <c r="AB561"/>
    </row>
    <row r="562" spans="1:28" s="205" customFormat="1">
      <c r="A562" s="1125"/>
      <c r="B562" s="404"/>
      <c r="C562" s="408"/>
      <c r="D562" s="408"/>
      <c r="E562" s="408"/>
      <c r="F562" s="408"/>
      <c r="G562" s="408"/>
      <c r="H562" s="408"/>
      <c r="I562" s="1138"/>
      <c r="J562" s="408"/>
      <c r="K562" s="408"/>
      <c r="L562" s="408"/>
      <c r="M562" s="1147"/>
      <c r="N562" s="1147"/>
      <c r="O562" s="1138"/>
      <c r="P562" s="408"/>
      <c r="Q562" s="408"/>
      <c r="R562" s="408"/>
      <c r="S562" s="1138"/>
      <c r="T562" s="408"/>
      <c r="U562" s="408"/>
      <c r="V562" s="408"/>
      <c r="W562" s="1129"/>
      <c r="X562"/>
      <c r="Y562"/>
      <c r="Z562"/>
      <c r="AA562"/>
      <c r="AB562"/>
    </row>
    <row r="563" spans="1:28" s="204" customFormat="1">
      <c r="A563" s="1125"/>
      <c r="B563" s="1135"/>
      <c r="C563" s="520"/>
      <c r="D563" s="520"/>
      <c r="E563" s="520"/>
      <c r="F563" s="520"/>
      <c r="G563" s="520"/>
      <c r="H563" s="520"/>
      <c r="I563" s="1139"/>
      <c r="J563" s="520"/>
      <c r="K563" s="520"/>
      <c r="L563" s="520"/>
      <c r="M563" s="1148"/>
      <c r="N563" s="1148"/>
      <c r="O563" s="1139"/>
      <c r="P563" s="520"/>
      <c r="Q563" s="520"/>
      <c r="R563" s="520"/>
      <c r="S563" s="1139"/>
      <c r="T563" s="520"/>
      <c r="U563" s="520"/>
      <c r="V563" s="520"/>
      <c r="W563" s="1152"/>
      <c r="X563"/>
      <c r="Y563"/>
      <c r="Z563"/>
      <c r="AA563"/>
      <c r="AB563"/>
    </row>
    <row r="564" spans="1:28">
      <c r="A564" s="1125"/>
      <c r="B564" s="403"/>
      <c r="C564" s="407"/>
      <c r="D564" s="407"/>
      <c r="E564" s="407"/>
      <c r="F564" s="407"/>
      <c r="G564" s="407"/>
      <c r="H564" s="407"/>
      <c r="I564" s="1137"/>
      <c r="J564" s="407"/>
      <c r="K564" s="407"/>
      <c r="L564" s="407"/>
      <c r="M564" s="407"/>
      <c r="N564" s="407"/>
      <c r="O564" s="1137"/>
      <c r="P564" s="407"/>
      <c r="Q564" s="407"/>
      <c r="R564" s="407"/>
      <c r="S564" s="1137"/>
      <c r="T564" s="407"/>
      <c r="U564" s="407"/>
      <c r="V564" s="407"/>
      <c r="W564" s="1128"/>
      <c r="X564"/>
      <c r="Y564"/>
      <c r="Z564"/>
      <c r="AA564"/>
      <c r="AB564"/>
    </row>
    <row r="565" spans="1:28" s="205" customFormat="1">
      <c r="A565" s="1125"/>
      <c r="B565" s="404"/>
      <c r="C565" s="408"/>
      <c r="D565" s="408"/>
      <c r="E565" s="408"/>
      <c r="F565" s="408"/>
      <c r="G565" s="408"/>
      <c r="H565" s="408"/>
      <c r="I565" s="1138"/>
      <c r="J565" s="408"/>
      <c r="K565" s="408"/>
      <c r="L565" s="408"/>
      <c r="M565" s="408"/>
      <c r="N565" s="408"/>
      <c r="O565" s="1138"/>
      <c r="P565" s="408"/>
      <c r="Q565" s="408"/>
      <c r="R565" s="408"/>
      <c r="S565" s="1138"/>
      <c r="T565" s="408"/>
      <c r="U565" s="408"/>
      <c r="V565" s="408"/>
      <c r="W565" s="1129"/>
      <c r="X565"/>
      <c r="Y565"/>
      <c r="Z565"/>
      <c r="AA565"/>
      <c r="AB565"/>
    </row>
    <row r="566" spans="1:28" s="204" customFormat="1">
      <c r="A566" s="1125"/>
      <c r="B566" s="1135"/>
      <c r="C566" s="520"/>
      <c r="D566" s="520"/>
      <c r="E566" s="520"/>
      <c r="F566" s="520"/>
      <c r="G566" s="520"/>
      <c r="H566" s="520"/>
      <c r="I566" s="1139"/>
      <c r="J566" s="520"/>
      <c r="K566" s="520"/>
      <c r="L566" s="520"/>
      <c r="M566" s="520"/>
      <c r="N566" s="520"/>
      <c r="O566" s="1139"/>
      <c r="P566" s="520"/>
      <c r="Q566" s="520"/>
      <c r="R566" s="520"/>
      <c r="S566" s="1139"/>
      <c r="T566" s="520"/>
      <c r="U566" s="520"/>
      <c r="V566" s="520"/>
      <c r="W566" s="1152"/>
      <c r="X566"/>
      <c r="Y566"/>
      <c r="Z566"/>
      <c r="AA566"/>
      <c r="AB566"/>
    </row>
    <row r="567" spans="1:28">
      <c r="A567" s="1125"/>
      <c r="B567" s="403"/>
      <c r="C567" s="407"/>
      <c r="D567" s="407"/>
      <c r="E567" s="407"/>
      <c r="F567" s="407"/>
      <c r="G567" s="407"/>
      <c r="H567" s="407"/>
      <c r="I567" s="1137"/>
      <c r="J567" s="407"/>
      <c r="K567" s="407"/>
      <c r="L567" s="407"/>
      <c r="M567" s="407"/>
      <c r="N567" s="407"/>
      <c r="O567" s="1137"/>
      <c r="P567" s="407"/>
      <c r="Q567" s="407"/>
      <c r="R567" s="407"/>
      <c r="S567" s="1137"/>
      <c r="T567" s="407"/>
      <c r="U567" s="407"/>
      <c r="V567" s="407"/>
      <c r="W567" s="1128"/>
      <c r="X567"/>
      <c r="Y567"/>
      <c r="Z567"/>
      <c r="AA567"/>
      <c r="AB567"/>
    </row>
    <row r="568" spans="1:28" s="205" customFormat="1">
      <c r="A568" s="1125"/>
      <c r="B568" s="404"/>
      <c r="C568" s="408"/>
      <c r="D568" s="408"/>
      <c r="E568" s="408"/>
      <c r="F568" s="408"/>
      <c r="G568" s="408"/>
      <c r="H568" s="408"/>
      <c r="I568" s="1138"/>
      <c r="J568" s="408"/>
      <c r="K568" s="408"/>
      <c r="L568" s="408"/>
      <c r="M568" s="408"/>
      <c r="N568" s="408"/>
      <c r="O568" s="1138"/>
      <c r="P568" s="408"/>
      <c r="Q568" s="408"/>
      <c r="R568" s="408"/>
      <c r="S568" s="1138"/>
      <c r="T568" s="408"/>
      <c r="U568" s="408"/>
      <c r="V568" s="408"/>
      <c r="W568" s="1129"/>
      <c r="X568"/>
      <c r="Y568"/>
      <c r="Z568"/>
      <c r="AA568"/>
      <c r="AB568"/>
    </row>
    <row r="569" spans="1:28" s="204" customFormat="1">
      <c r="A569" s="1125"/>
      <c r="B569" s="1135"/>
      <c r="C569" s="520"/>
      <c r="D569" s="520"/>
      <c r="E569" s="520"/>
      <c r="F569" s="520"/>
      <c r="G569" s="520"/>
      <c r="H569" s="520"/>
      <c r="I569" s="1139"/>
      <c r="J569" s="520"/>
      <c r="K569" s="520"/>
      <c r="L569" s="520"/>
      <c r="M569" s="520"/>
      <c r="N569" s="520"/>
      <c r="O569" s="1139"/>
      <c r="P569" s="520"/>
      <c r="Q569" s="520"/>
      <c r="R569" s="520"/>
      <c r="S569" s="1139"/>
      <c r="T569" s="520"/>
      <c r="U569" s="520"/>
      <c r="V569" s="520"/>
      <c r="W569" s="1152"/>
      <c r="X569"/>
      <c r="Y569"/>
      <c r="Z569"/>
      <c r="AA569"/>
      <c r="AB569"/>
    </row>
    <row r="570" spans="1:28">
      <c r="A570" s="1125"/>
      <c r="B570" s="403"/>
      <c r="C570" s="407"/>
      <c r="D570" s="407"/>
      <c r="E570" s="407"/>
      <c r="F570" s="407"/>
      <c r="G570" s="407"/>
      <c r="H570" s="407"/>
      <c r="I570" s="1137"/>
      <c r="J570" s="407"/>
      <c r="K570" s="407"/>
      <c r="L570" s="407"/>
      <c r="M570" s="407"/>
      <c r="N570" s="407"/>
      <c r="O570" s="1137"/>
      <c r="P570" s="407"/>
      <c r="Q570" s="407"/>
      <c r="R570" s="407"/>
      <c r="S570" s="1137"/>
      <c r="T570" s="407"/>
      <c r="U570" s="407"/>
      <c r="V570" s="407"/>
      <c r="W570" s="1128"/>
      <c r="X570"/>
      <c r="Y570"/>
      <c r="Z570"/>
      <c r="AA570"/>
      <c r="AB570"/>
    </row>
    <row r="571" spans="1:28" s="205" customFormat="1">
      <c r="A571" s="1125"/>
      <c r="B571" s="404"/>
      <c r="C571" s="408"/>
      <c r="D571" s="408"/>
      <c r="E571" s="408"/>
      <c r="F571" s="408"/>
      <c r="G571" s="408"/>
      <c r="H571" s="408"/>
      <c r="I571" s="1138"/>
      <c r="J571" s="408"/>
      <c r="K571" s="408"/>
      <c r="L571" s="408"/>
      <c r="M571" s="408"/>
      <c r="N571" s="408"/>
      <c r="O571" s="1138"/>
      <c r="P571" s="408"/>
      <c r="Q571" s="408"/>
      <c r="R571" s="408"/>
      <c r="S571" s="1138"/>
      <c r="T571" s="408"/>
      <c r="U571" s="408"/>
      <c r="V571" s="408"/>
      <c r="W571" s="1129"/>
      <c r="X571"/>
      <c r="Y571"/>
      <c r="Z571"/>
      <c r="AA571"/>
      <c r="AB571"/>
    </row>
    <row r="572" spans="1:28" s="204" customFormat="1">
      <c r="A572" s="1125"/>
      <c r="B572" s="1135"/>
      <c r="C572" s="520"/>
      <c r="D572" s="520"/>
      <c r="E572" s="520"/>
      <c r="F572" s="520"/>
      <c r="G572" s="520"/>
      <c r="H572" s="520"/>
      <c r="I572" s="1139"/>
      <c r="J572" s="520"/>
      <c r="K572" s="520"/>
      <c r="L572" s="520"/>
      <c r="M572" s="520"/>
      <c r="N572" s="520"/>
      <c r="O572" s="1139"/>
      <c r="P572" s="520"/>
      <c r="Q572" s="520"/>
      <c r="R572" s="520"/>
      <c r="S572" s="1139"/>
      <c r="T572" s="520"/>
      <c r="U572" s="520"/>
      <c r="V572" s="520"/>
      <c r="W572" s="1152"/>
      <c r="X572"/>
      <c r="Y572"/>
      <c r="Z572"/>
      <c r="AA572"/>
      <c r="AB572"/>
    </row>
    <row r="573" spans="1:28">
      <c r="A573" s="1125"/>
      <c r="B573" s="403"/>
      <c r="C573" s="407"/>
      <c r="D573" s="407"/>
      <c r="E573" s="407"/>
      <c r="F573" s="407"/>
      <c r="G573" s="407"/>
      <c r="H573" s="407"/>
      <c r="I573" s="1137"/>
      <c r="J573" s="407"/>
      <c r="K573" s="407"/>
      <c r="L573" s="407"/>
      <c r="M573" s="407"/>
      <c r="N573" s="407"/>
      <c r="O573" s="1137"/>
      <c r="P573" s="407"/>
      <c r="Q573" s="407"/>
      <c r="R573" s="407"/>
      <c r="S573" s="1137"/>
      <c r="T573" s="407"/>
      <c r="U573" s="407"/>
      <c r="V573" s="407"/>
      <c r="W573" s="1128"/>
      <c r="X573"/>
      <c r="Y573"/>
      <c r="Z573"/>
      <c r="AA573"/>
      <c r="AB573"/>
    </row>
    <row r="574" spans="1:28" s="205" customFormat="1">
      <c r="A574" s="1125"/>
      <c r="B574" s="404"/>
      <c r="C574" s="408"/>
      <c r="D574" s="408"/>
      <c r="E574" s="408"/>
      <c r="F574" s="408"/>
      <c r="G574" s="408"/>
      <c r="H574" s="408"/>
      <c r="I574" s="1138"/>
      <c r="J574" s="408"/>
      <c r="K574" s="408"/>
      <c r="L574" s="408"/>
      <c r="M574" s="408"/>
      <c r="N574" s="408"/>
      <c r="O574" s="1138"/>
      <c r="P574" s="408"/>
      <c r="Q574" s="408"/>
      <c r="R574" s="408"/>
      <c r="S574" s="1138"/>
      <c r="T574" s="408"/>
      <c r="U574" s="408"/>
      <c r="V574" s="408"/>
      <c r="W574" s="1129"/>
      <c r="X574"/>
      <c r="Y574"/>
      <c r="Z574"/>
      <c r="AA574"/>
      <c r="AB574"/>
    </row>
    <row r="575" spans="1:28" s="204" customFormat="1">
      <c r="A575" s="1125"/>
      <c r="B575" s="1135"/>
      <c r="C575" s="520"/>
      <c r="D575" s="520"/>
      <c r="E575" s="520"/>
      <c r="F575" s="520"/>
      <c r="G575" s="520"/>
      <c r="H575" s="520"/>
      <c r="I575" s="1139"/>
      <c r="J575" s="520"/>
      <c r="K575" s="520"/>
      <c r="L575" s="520"/>
      <c r="M575" s="520"/>
      <c r="N575" s="520"/>
      <c r="O575" s="1139"/>
      <c r="P575" s="520"/>
      <c r="Q575" s="520"/>
      <c r="R575" s="520"/>
      <c r="S575" s="1139"/>
      <c r="T575" s="520"/>
      <c r="U575" s="520"/>
      <c r="V575" s="520"/>
      <c r="W575" s="1152"/>
      <c r="X575"/>
      <c r="Y575"/>
      <c r="Z575"/>
      <c r="AA575"/>
      <c r="AB575"/>
    </row>
    <row r="576" spans="1:28">
      <c r="A576" s="1125"/>
      <c r="B576" s="403"/>
      <c r="C576" s="407"/>
      <c r="D576" s="407"/>
      <c r="E576" s="407"/>
      <c r="F576" s="407"/>
      <c r="G576" s="407"/>
      <c r="H576" s="407"/>
      <c r="I576" s="1137"/>
      <c r="J576" s="407"/>
      <c r="K576" s="407"/>
      <c r="L576" s="407"/>
      <c r="M576" s="407"/>
      <c r="N576" s="407"/>
      <c r="O576" s="1137"/>
      <c r="P576" s="407"/>
      <c r="Q576" s="407"/>
      <c r="R576" s="407"/>
      <c r="S576" s="1137"/>
      <c r="T576" s="407"/>
      <c r="U576" s="407"/>
      <c r="V576" s="407"/>
      <c r="W576" s="1128"/>
      <c r="X576"/>
      <c r="Y576"/>
      <c r="Z576"/>
      <c r="AA576"/>
      <c r="AB576"/>
    </row>
    <row r="577" spans="1:28" s="205" customFormat="1">
      <c r="A577" s="1125"/>
      <c r="B577" s="404"/>
      <c r="C577" s="408"/>
      <c r="D577" s="408"/>
      <c r="E577" s="408"/>
      <c r="F577" s="408"/>
      <c r="G577" s="408"/>
      <c r="H577" s="408"/>
      <c r="I577" s="1138"/>
      <c r="J577" s="408"/>
      <c r="K577" s="408"/>
      <c r="L577" s="408"/>
      <c r="M577" s="408"/>
      <c r="N577" s="408"/>
      <c r="O577" s="1138"/>
      <c r="P577" s="408"/>
      <c r="Q577" s="408"/>
      <c r="R577" s="408"/>
      <c r="S577" s="1138"/>
      <c r="T577" s="408"/>
      <c r="U577" s="408"/>
      <c r="V577" s="408"/>
      <c r="W577" s="1129"/>
      <c r="X577"/>
      <c r="Y577"/>
      <c r="Z577"/>
      <c r="AA577"/>
      <c r="AB577"/>
    </row>
    <row r="578" spans="1:28" s="204" customFormat="1">
      <c r="A578" s="1125"/>
      <c r="B578" s="1135"/>
      <c r="C578" s="520"/>
      <c r="D578" s="520"/>
      <c r="E578" s="520"/>
      <c r="F578" s="520"/>
      <c r="G578" s="520"/>
      <c r="H578" s="520"/>
      <c r="I578" s="1139"/>
      <c r="J578" s="520"/>
      <c r="K578" s="520"/>
      <c r="L578" s="520"/>
      <c r="M578" s="520"/>
      <c r="N578" s="520"/>
      <c r="O578" s="1139"/>
      <c r="P578" s="520"/>
      <c r="Q578" s="520"/>
      <c r="R578" s="520"/>
      <c r="S578" s="1139"/>
      <c r="T578" s="520"/>
      <c r="U578" s="520"/>
      <c r="V578" s="520"/>
      <c r="W578" s="1152"/>
      <c r="X578"/>
      <c r="Y578"/>
      <c r="Z578"/>
      <c r="AA578"/>
      <c r="AB578"/>
    </row>
    <row r="579" spans="1:28">
      <c r="A579" s="1125"/>
      <c r="B579" s="403"/>
      <c r="C579" s="407"/>
      <c r="D579" s="407"/>
      <c r="E579" s="407"/>
      <c r="F579" s="407"/>
      <c r="G579" s="407"/>
      <c r="H579" s="407"/>
      <c r="I579" s="1137"/>
      <c r="J579" s="407"/>
      <c r="K579" s="407"/>
      <c r="L579" s="407"/>
      <c r="M579" s="407"/>
      <c r="N579" s="407"/>
      <c r="O579" s="1137"/>
      <c r="P579" s="407"/>
      <c r="Q579" s="407"/>
      <c r="R579" s="407"/>
      <c r="S579" s="1137"/>
      <c r="T579" s="407"/>
      <c r="U579" s="407"/>
      <c r="V579" s="407"/>
      <c r="W579" s="1128"/>
      <c r="X579"/>
      <c r="Y579"/>
      <c r="Z579"/>
      <c r="AA579"/>
      <c r="AB579"/>
    </row>
    <row r="580" spans="1:28" s="205" customFormat="1">
      <c r="A580" s="1125"/>
      <c r="B580" s="404"/>
      <c r="C580" s="408"/>
      <c r="D580" s="408"/>
      <c r="E580" s="408"/>
      <c r="F580" s="408"/>
      <c r="G580" s="408"/>
      <c r="H580" s="408"/>
      <c r="I580" s="1138"/>
      <c r="J580" s="408"/>
      <c r="K580" s="408"/>
      <c r="L580" s="408"/>
      <c r="M580" s="408"/>
      <c r="N580" s="408"/>
      <c r="O580" s="1138"/>
      <c r="P580" s="408"/>
      <c r="Q580" s="408"/>
      <c r="R580" s="408"/>
      <c r="S580" s="1138"/>
      <c r="T580" s="408"/>
      <c r="U580" s="408"/>
      <c r="V580" s="408"/>
      <c r="W580" s="1129"/>
      <c r="X580"/>
      <c r="Y580"/>
      <c r="Z580"/>
      <c r="AA580"/>
      <c r="AB580"/>
    </row>
    <row r="581" spans="1:28" s="204" customFormat="1">
      <c r="A581" s="1125"/>
      <c r="B581" s="1135"/>
      <c r="C581" s="520"/>
      <c r="D581" s="520"/>
      <c r="E581" s="520"/>
      <c r="F581" s="520"/>
      <c r="G581" s="520"/>
      <c r="H581" s="520"/>
      <c r="I581" s="1139"/>
      <c r="J581" s="520"/>
      <c r="K581" s="520"/>
      <c r="L581" s="520"/>
      <c r="M581" s="520"/>
      <c r="N581" s="520"/>
      <c r="O581" s="1139"/>
      <c r="P581" s="520"/>
      <c r="Q581" s="520"/>
      <c r="R581" s="520"/>
      <c r="S581" s="1139"/>
      <c r="T581" s="520"/>
      <c r="U581" s="520"/>
      <c r="V581" s="520"/>
      <c r="W581" s="1152"/>
      <c r="X581"/>
      <c r="Y581"/>
      <c r="Z581"/>
      <c r="AA581"/>
      <c r="AB581"/>
    </row>
    <row r="582" spans="1:28">
      <c r="A582" s="1125"/>
      <c r="B582" s="403"/>
      <c r="C582" s="407"/>
      <c r="D582" s="407"/>
      <c r="E582" s="407"/>
      <c r="F582" s="407"/>
      <c r="G582" s="407"/>
      <c r="H582" s="407"/>
      <c r="I582" s="1137"/>
      <c r="J582" s="407"/>
      <c r="K582" s="407"/>
      <c r="L582" s="407"/>
      <c r="M582" s="407"/>
      <c r="N582" s="407"/>
      <c r="O582" s="1137"/>
      <c r="P582" s="407"/>
      <c r="Q582" s="407"/>
      <c r="R582" s="407"/>
      <c r="S582" s="1137"/>
      <c r="T582" s="407"/>
      <c r="U582" s="407"/>
      <c r="V582" s="407"/>
      <c r="W582" s="1128"/>
      <c r="X582"/>
      <c r="Y582"/>
      <c r="Z582"/>
      <c r="AA582"/>
      <c r="AB582"/>
    </row>
    <row r="583" spans="1:28" s="205" customFormat="1">
      <c r="A583" s="1125"/>
      <c r="B583" s="404"/>
      <c r="C583" s="408"/>
      <c r="D583" s="408"/>
      <c r="E583" s="408"/>
      <c r="F583" s="408"/>
      <c r="G583" s="408"/>
      <c r="H583" s="408"/>
      <c r="I583" s="1138"/>
      <c r="J583" s="408"/>
      <c r="K583" s="408"/>
      <c r="L583" s="408"/>
      <c r="M583" s="408"/>
      <c r="N583" s="408"/>
      <c r="O583" s="1138"/>
      <c r="P583" s="408"/>
      <c r="Q583" s="408"/>
      <c r="R583" s="408"/>
      <c r="S583" s="1138"/>
      <c r="T583" s="408"/>
      <c r="U583" s="408"/>
      <c r="V583" s="408"/>
      <c r="W583" s="1129"/>
      <c r="X583"/>
      <c r="Y583"/>
      <c r="Z583"/>
      <c r="AA583"/>
      <c r="AB583"/>
    </row>
    <row r="584" spans="1:28" s="204" customFormat="1">
      <c r="A584" s="1125"/>
      <c r="B584" s="1135"/>
      <c r="C584" s="1148"/>
      <c r="D584" s="1148"/>
      <c r="E584" s="520"/>
      <c r="F584" s="520"/>
      <c r="G584" s="520"/>
      <c r="H584" s="520"/>
      <c r="I584" s="1139"/>
      <c r="J584" s="520"/>
      <c r="K584" s="520"/>
      <c r="L584" s="520"/>
      <c r="M584" s="520"/>
      <c r="N584" s="520"/>
      <c r="O584" s="1139"/>
      <c r="P584" s="520"/>
      <c r="Q584" s="520"/>
      <c r="R584" s="520"/>
      <c r="S584" s="1139"/>
      <c r="T584" s="520"/>
      <c r="U584" s="520"/>
      <c r="V584" s="520"/>
      <c r="W584" s="1152"/>
      <c r="X584"/>
      <c r="Y584"/>
      <c r="Z584"/>
      <c r="AA584"/>
      <c r="AB584"/>
    </row>
    <row r="585" spans="1:28">
      <c r="A585" s="1125"/>
      <c r="B585" s="403"/>
      <c r="C585" s="407"/>
      <c r="D585" s="407"/>
      <c r="E585" s="407"/>
      <c r="F585" s="407"/>
      <c r="G585" s="407"/>
      <c r="H585" s="407"/>
      <c r="I585" s="1137"/>
      <c r="J585" s="407"/>
      <c r="K585" s="407"/>
      <c r="L585" s="407"/>
      <c r="M585" s="407"/>
      <c r="N585" s="407"/>
      <c r="O585" s="1137"/>
      <c r="P585" s="407"/>
      <c r="Q585" s="407"/>
      <c r="R585" s="407"/>
      <c r="S585" s="1137"/>
      <c r="T585" s="407"/>
      <c r="U585" s="407"/>
      <c r="V585" s="407"/>
      <c r="W585" s="1128"/>
      <c r="X585"/>
      <c r="Y585"/>
      <c r="Z585"/>
      <c r="AA585"/>
      <c r="AB585"/>
    </row>
    <row r="586" spans="1:28" s="205" customFormat="1">
      <c r="A586" s="1125"/>
      <c r="B586" s="404"/>
      <c r="C586" s="408"/>
      <c r="D586" s="408"/>
      <c r="E586" s="408"/>
      <c r="F586" s="408"/>
      <c r="G586" s="408"/>
      <c r="H586" s="408"/>
      <c r="I586" s="1138"/>
      <c r="J586" s="408"/>
      <c r="K586" s="408"/>
      <c r="L586" s="408"/>
      <c r="M586" s="408"/>
      <c r="N586" s="408"/>
      <c r="O586" s="1138"/>
      <c r="P586" s="408"/>
      <c r="Q586" s="408"/>
      <c r="R586" s="408"/>
      <c r="S586" s="1138"/>
      <c r="T586" s="408"/>
      <c r="U586" s="408"/>
      <c r="V586" s="408"/>
      <c r="W586" s="1129"/>
      <c r="X586"/>
      <c r="Y586"/>
      <c r="Z586"/>
      <c r="AA586"/>
      <c r="AB586"/>
    </row>
    <row r="587" spans="1:28" s="204" customFormat="1">
      <c r="A587" s="1125"/>
      <c r="B587" s="1135"/>
      <c r="C587" s="520"/>
      <c r="D587" s="520"/>
      <c r="E587" s="520"/>
      <c r="F587" s="520"/>
      <c r="G587" s="520"/>
      <c r="H587" s="520"/>
      <c r="I587" s="1139"/>
      <c r="J587" s="520"/>
      <c r="K587" s="520"/>
      <c r="L587" s="520"/>
      <c r="M587" s="520"/>
      <c r="N587" s="520"/>
      <c r="O587" s="1139"/>
      <c r="P587" s="520"/>
      <c r="Q587" s="520"/>
      <c r="R587" s="520"/>
      <c r="S587" s="1139"/>
      <c r="T587" s="520"/>
      <c r="U587" s="520"/>
      <c r="V587" s="520"/>
      <c r="W587" s="1152"/>
      <c r="X587"/>
      <c r="Y587"/>
      <c r="Z587"/>
      <c r="AA587"/>
      <c r="AB587"/>
    </row>
    <row r="588" spans="1:28">
      <c r="A588" s="1125"/>
      <c r="B588" s="403"/>
      <c r="C588" s="407"/>
      <c r="D588" s="407"/>
      <c r="E588" s="407"/>
      <c r="F588" s="407"/>
      <c r="G588" s="407"/>
      <c r="H588" s="407"/>
      <c r="I588" s="1137"/>
      <c r="J588" s="407"/>
      <c r="K588" s="407"/>
      <c r="L588" s="407"/>
      <c r="M588" s="407"/>
      <c r="N588" s="407"/>
      <c r="O588" s="1137"/>
      <c r="P588" s="407"/>
      <c r="Q588" s="407"/>
      <c r="R588" s="407"/>
      <c r="S588" s="1137"/>
      <c r="T588" s="407"/>
      <c r="U588" s="407"/>
      <c r="V588" s="407"/>
      <c r="W588" s="1128"/>
      <c r="X588"/>
      <c r="Y588"/>
      <c r="Z588"/>
      <c r="AA588"/>
      <c r="AB588"/>
    </row>
    <row r="589" spans="1:28" s="205" customFormat="1">
      <c r="A589" s="1125"/>
      <c r="B589" s="404"/>
      <c r="C589" s="408"/>
      <c r="D589" s="408"/>
      <c r="E589" s="408"/>
      <c r="F589" s="408"/>
      <c r="G589" s="408"/>
      <c r="H589" s="408"/>
      <c r="I589" s="1138"/>
      <c r="J589" s="408"/>
      <c r="K589" s="408"/>
      <c r="L589" s="408"/>
      <c r="M589" s="408"/>
      <c r="N589" s="408"/>
      <c r="O589" s="1138"/>
      <c r="P589" s="408"/>
      <c r="Q589" s="408"/>
      <c r="R589" s="408"/>
      <c r="S589" s="1138"/>
      <c r="T589" s="408"/>
      <c r="U589" s="408"/>
      <c r="V589" s="408"/>
      <c r="W589" s="1129"/>
      <c r="X589"/>
      <c r="Y589"/>
      <c r="Z589"/>
      <c r="AA589"/>
      <c r="AB589"/>
    </row>
    <row r="590" spans="1:28" s="214" customFormat="1">
      <c r="A590" s="1136"/>
      <c r="B590" s="1135"/>
      <c r="C590" s="520"/>
      <c r="D590" s="520"/>
      <c r="E590" s="520"/>
      <c r="F590" s="520"/>
      <c r="G590" s="520"/>
      <c r="H590" s="520"/>
      <c r="I590" s="1139"/>
      <c r="J590" s="520"/>
      <c r="K590" s="520"/>
      <c r="L590" s="520"/>
      <c r="M590" s="520"/>
      <c r="N590" s="520"/>
      <c r="O590" s="1139"/>
      <c r="P590" s="520"/>
      <c r="Q590" s="520"/>
      <c r="R590" s="520"/>
      <c r="S590" s="1139"/>
      <c r="T590" s="520"/>
      <c r="U590" s="520"/>
      <c r="V590" s="520"/>
      <c r="W590" s="1152"/>
      <c r="X590"/>
      <c r="Y590"/>
      <c r="Z590"/>
      <c r="AA590"/>
      <c r="AB590"/>
    </row>
    <row r="591" spans="1:28">
      <c r="A591" s="233"/>
      <c r="B591" s="403"/>
      <c r="C591" s="407"/>
      <c r="D591" s="407"/>
      <c r="E591" s="407"/>
      <c r="F591" s="407"/>
      <c r="G591" s="407"/>
      <c r="H591" s="407"/>
      <c r="I591" s="1137"/>
      <c r="J591" s="407"/>
      <c r="K591" s="407"/>
      <c r="L591" s="407"/>
      <c r="M591" s="407"/>
      <c r="N591" s="407"/>
      <c r="O591" s="1137"/>
      <c r="P591" s="407"/>
      <c r="Q591" s="407"/>
      <c r="R591" s="407"/>
      <c r="S591" s="1137"/>
      <c r="T591" s="407"/>
      <c r="U591" s="407"/>
      <c r="V591" s="407"/>
      <c r="W591" s="1128"/>
      <c r="X591"/>
      <c r="Y591"/>
      <c r="Z591"/>
      <c r="AA591"/>
      <c r="AB591"/>
    </row>
    <row r="592" spans="1:28" s="205" customFormat="1">
      <c r="A592" s="1125"/>
      <c r="B592" s="404"/>
      <c r="C592" s="408"/>
      <c r="D592" s="408"/>
      <c r="E592" s="408"/>
      <c r="F592" s="408"/>
      <c r="G592" s="408"/>
      <c r="H592" s="408"/>
      <c r="I592" s="1138"/>
      <c r="J592" s="408"/>
      <c r="K592" s="408"/>
      <c r="L592" s="408"/>
      <c r="M592" s="408"/>
      <c r="N592" s="408"/>
      <c r="O592" s="1138"/>
      <c r="P592" s="408"/>
      <c r="Q592" s="408"/>
      <c r="R592" s="408"/>
      <c r="S592" s="1138"/>
      <c r="T592" s="408"/>
      <c r="U592" s="408"/>
      <c r="V592" s="408"/>
      <c r="W592" s="1129"/>
      <c r="X592"/>
      <c r="Y592"/>
      <c r="Z592"/>
      <c r="AA592"/>
      <c r="AB592"/>
    </row>
    <row r="593" spans="1:28" s="204" customFormat="1">
      <c r="A593" s="1126"/>
      <c r="B593" s="1135"/>
      <c r="C593" s="520"/>
      <c r="D593" s="520"/>
      <c r="E593" s="520"/>
      <c r="F593" s="520"/>
      <c r="G593" s="520"/>
      <c r="H593" s="520"/>
      <c r="I593" s="1139"/>
      <c r="J593" s="520"/>
      <c r="K593" s="520"/>
      <c r="L593" s="520"/>
      <c r="M593" s="520"/>
      <c r="N593" s="520"/>
      <c r="O593" s="1139"/>
      <c r="P593" s="520"/>
      <c r="Q593" s="520"/>
      <c r="R593" s="520"/>
      <c r="S593" s="1139"/>
      <c r="T593" s="520"/>
      <c r="U593" s="520"/>
      <c r="V593" s="520"/>
      <c r="W593" s="1152"/>
      <c r="X593"/>
      <c r="Y593"/>
      <c r="Z593"/>
      <c r="AA593"/>
      <c r="AB593"/>
    </row>
    <row r="594" spans="1:28">
      <c r="A594" s="1125"/>
      <c r="B594" s="403"/>
      <c r="C594" s="407"/>
      <c r="D594" s="407"/>
      <c r="E594" s="407"/>
      <c r="F594" s="407"/>
      <c r="G594" s="407"/>
      <c r="H594" s="1149"/>
      <c r="I594" s="1137"/>
      <c r="J594" s="407"/>
      <c r="K594" s="407"/>
      <c r="L594" s="407"/>
      <c r="M594" s="1149"/>
      <c r="N594" s="407"/>
      <c r="O594" s="1137"/>
      <c r="P594" s="407"/>
      <c r="Q594" s="407"/>
      <c r="R594" s="407"/>
      <c r="S594" s="1137"/>
      <c r="T594" s="407"/>
      <c r="U594" s="407"/>
      <c r="V594" s="407"/>
      <c r="W594" s="1128"/>
      <c r="X594"/>
      <c r="Y594"/>
      <c r="Z594"/>
      <c r="AA594"/>
      <c r="AB594"/>
    </row>
    <row r="595" spans="1:28" s="205" customFormat="1">
      <c r="A595" s="1125"/>
      <c r="B595" s="404"/>
      <c r="C595" s="408"/>
      <c r="D595" s="408"/>
      <c r="E595" s="408"/>
      <c r="F595" s="408"/>
      <c r="G595" s="408"/>
      <c r="H595" s="1147"/>
      <c r="I595" s="1138"/>
      <c r="J595" s="408"/>
      <c r="K595" s="408"/>
      <c r="L595" s="408"/>
      <c r="M595" s="1147"/>
      <c r="N595" s="408"/>
      <c r="O595" s="1138"/>
      <c r="P595" s="408"/>
      <c r="Q595" s="408"/>
      <c r="R595" s="408"/>
      <c r="S595" s="1138"/>
      <c r="T595" s="408"/>
      <c r="U595" s="408"/>
      <c r="V595" s="408"/>
      <c r="W595" s="1129"/>
      <c r="X595"/>
      <c r="Y595"/>
      <c r="Z595"/>
      <c r="AA595"/>
      <c r="AB595"/>
    </row>
    <row r="596" spans="1:28" s="204" customFormat="1">
      <c r="A596" s="1125"/>
      <c r="B596" s="1135"/>
      <c r="C596" s="520"/>
      <c r="D596" s="520"/>
      <c r="E596" s="520"/>
      <c r="F596" s="520"/>
      <c r="G596" s="520"/>
      <c r="H596" s="1148"/>
      <c r="I596" s="1139"/>
      <c r="J596" s="520"/>
      <c r="K596" s="520"/>
      <c r="L596" s="520"/>
      <c r="M596" s="1148"/>
      <c r="N596" s="520"/>
      <c r="O596" s="1139"/>
      <c r="P596" s="520"/>
      <c r="Q596" s="520"/>
      <c r="R596" s="520"/>
      <c r="S596" s="1139"/>
      <c r="T596" s="520"/>
      <c r="U596" s="520"/>
      <c r="V596" s="520"/>
      <c r="W596" s="1152"/>
      <c r="X596"/>
      <c r="Y596"/>
      <c r="Z596"/>
      <c r="AA596"/>
      <c r="AB596"/>
    </row>
    <row r="597" spans="1:28">
      <c r="A597" s="1125"/>
      <c r="B597" s="403"/>
      <c r="C597" s="407"/>
      <c r="D597" s="407"/>
      <c r="E597" s="407"/>
      <c r="F597" s="407"/>
      <c r="G597" s="407"/>
      <c r="H597" s="407"/>
      <c r="I597" s="1137"/>
      <c r="J597" s="407"/>
      <c r="K597" s="407"/>
      <c r="L597" s="407"/>
      <c r="M597" s="407"/>
      <c r="N597" s="407"/>
      <c r="O597" s="1137"/>
      <c r="P597" s="407"/>
      <c r="Q597" s="407"/>
      <c r="R597" s="407"/>
      <c r="S597" s="1137"/>
      <c r="T597" s="407"/>
      <c r="U597" s="407"/>
      <c r="V597" s="407"/>
      <c r="W597" s="1128"/>
      <c r="X597"/>
      <c r="Y597"/>
      <c r="Z597"/>
      <c r="AA597"/>
      <c r="AB597"/>
    </row>
    <row r="598" spans="1:28" s="205" customFormat="1">
      <c r="A598" s="1125"/>
      <c r="B598" s="404"/>
      <c r="C598" s="408"/>
      <c r="D598" s="408"/>
      <c r="E598" s="408"/>
      <c r="F598" s="408"/>
      <c r="G598" s="408"/>
      <c r="H598" s="408"/>
      <c r="I598" s="1138"/>
      <c r="J598" s="408"/>
      <c r="K598" s="408"/>
      <c r="L598" s="408"/>
      <c r="M598" s="408"/>
      <c r="N598" s="408"/>
      <c r="O598" s="1138"/>
      <c r="P598" s="408"/>
      <c r="Q598" s="408"/>
      <c r="R598" s="408"/>
      <c r="S598" s="1138"/>
      <c r="T598" s="408"/>
      <c r="U598" s="408"/>
      <c r="V598" s="408"/>
      <c r="W598" s="1129"/>
      <c r="X598"/>
      <c r="Y598"/>
      <c r="Z598"/>
      <c r="AA598"/>
      <c r="AB598"/>
    </row>
    <row r="599" spans="1:28" s="204" customFormat="1">
      <c r="A599" s="1125"/>
      <c r="B599" s="1135"/>
      <c r="C599" s="520"/>
      <c r="D599" s="520"/>
      <c r="E599" s="520"/>
      <c r="F599" s="520"/>
      <c r="G599" s="520"/>
      <c r="H599" s="520"/>
      <c r="I599" s="1139"/>
      <c r="J599" s="520"/>
      <c r="K599" s="520"/>
      <c r="L599" s="520"/>
      <c r="M599" s="520"/>
      <c r="N599" s="520"/>
      <c r="O599" s="1139"/>
      <c r="P599" s="520"/>
      <c r="Q599" s="520"/>
      <c r="R599" s="520"/>
      <c r="S599" s="1139"/>
      <c r="T599" s="520"/>
      <c r="U599" s="520"/>
      <c r="V599" s="520"/>
      <c r="W599" s="1152"/>
      <c r="X599"/>
      <c r="Y599"/>
      <c r="Z599"/>
      <c r="AA599"/>
      <c r="AB599"/>
    </row>
    <row r="600" spans="1:28">
      <c r="A600" s="1125"/>
      <c r="B600" s="403"/>
      <c r="C600" s="407"/>
      <c r="D600" s="407"/>
      <c r="E600" s="407"/>
      <c r="F600" s="407"/>
      <c r="G600" s="407"/>
      <c r="H600" s="407"/>
      <c r="I600" s="1137"/>
      <c r="J600" s="407"/>
      <c r="K600" s="407"/>
      <c r="L600" s="407"/>
      <c r="M600" s="407"/>
      <c r="N600" s="407"/>
      <c r="O600" s="1137"/>
      <c r="P600" s="407"/>
      <c r="Q600" s="407"/>
      <c r="R600" s="407"/>
      <c r="S600" s="1137"/>
      <c r="T600" s="407"/>
      <c r="U600" s="407"/>
      <c r="V600" s="407"/>
      <c r="W600" s="1128"/>
      <c r="X600"/>
      <c r="Y600"/>
      <c r="Z600"/>
      <c r="AA600"/>
      <c r="AB600"/>
    </row>
    <row r="601" spans="1:28" s="205" customFormat="1">
      <c r="A601" s="1125"/>
      <c r="B601" s="404"/>
      <c r="C601" s="408"/>
      <c r="D601" s="408"/>
      <c r="E601" s="408"/>
      <c r="F601" s="408"/>
      <c r="G601" s="408"/>
      <c r="H601" s="408"/>
      <c r="I601" s="1138"/>
      <c r="J601" s="408"/>
      <c r="K601" s="408"/>
      <c r="L601" s="408"/>
      <c r="M601" s="408"/>
      <c r="N601" s="408"/>
      <c r="O601" s="1138"/>
      <c r="P601" s="408"/>
      <c r="Q601" s="408"/>
      <c r="R601" s="408"/>
      <c r="S601" s="1138"/>
      <c r="T601" s="408"/>
      <c r="U601" s="408"/>
      <c r="V601" s="408"/>
      <c r="W601" s="1129"/>
      <c r="X601"/>
      <c r="Y601"/>
      <c r="Z601"/>
      <c r="AA601"/>
      <c r="AB601"/>
    </row>
    <row r="602" spans="1:28" s="204" customFormat="1">
      <c r="A602" s="1125"/>
      <c r="B602" s="1135"/>
      <c r="C602" s="520"/>
      <c r="D602" s="520"/>
      <c r="E602" s="520"/>
      <c r="F602" s="520"/>
      <c r="G602" s="520"/>
      <c r="H602" s="520"/>
      <c r="I602" s="1139"/>
      <c r="J602" s="520"/>
      <c r="K602" s="520"/>
      <c r="L602" s="520"/>
      <c r="M602" s="520"/>
      <c r="N602" s="520"/>
      <c r="O602" s="1139"/>
      <c r="P602" s="520"/>
      <c r="Q602" s="520"/>
      <c r="R602" s="520"/>
      <c r="S602" s="1139"/>
      <c r="T602" s="520"/>
      <c r="U602" s="520"/>
      <c r="V602" s="520"/>
      <c r="W602" s="1152"/>
      <c r="X602"/>
      <c r="Y602"/>
      <c r="Z602"/>
      <c r="AA602"/>
      <c r="AB602"/>
    </row>
    <row r="603" spans="1:28">
      <c r="A603" s="1125"/>
      <c r="B603" s="403"/>
      <c r="C603" s="407"/>
      <c r="D603" s="407"/>
      <c r="E603" s="407"/>
      <c r="F603" s="407"/>
      <c r="G603" s="407"/>
      <c r="H603" s="407"/>
      <c r="I603" s="1137"/>
      <c r="J603" s="407"/>
      <c r="K603" s="407"/>
      <c r="L603" s="407"/>
      <c r="M603" s="407"/>
      <c r="N603" s="407"/>
      <c r="O603" s="1137"/>
      <c r="P603" s="407"/>
      <c r="Q603" s="407"/>
      <c r="R603" s="407"/>
      <c r="S603" s="1137"/>
      <c r="T603" s="407"/>
      <c r="U603" s="407"/>
      <c r="V603" s="407"/>
      <c r="W603" s="1128"/>
      <c r="X603"/>
      <c r="Y603"/>
      <c r="Z603"/>
      <c r="AA603"/>
      <c r="AB603"/>
    </row>
    <row r="604" spans="1:28" s="205" customFormat="1">
      <c r="A604" s="1125"/>
      <c r="B604" s="404"/>
      <c r="C604" s="408"/>
      <c r="D604" s="408"/>
      <c r="E604" s="408"/>
      <c r="F604" s="408"/>
      <c r="G604" s="408"/>
      <c r="H604" s="408"/>
      <c r="I604" s="1138"/>
      <c r="J604" s="408"/>
      <c r="K604" s="408"/>
      <c r="L604" s="408"/>
      <c r="M604" s="408"/>
      <c r="N604" s="408"/>
      <c r="O604" s="1138"/>
      <c r="P604" s="408"/>
      <c r="Q604" s="408"/>
      <c r="R604" s="408"/>
      <c r="S604" s="1138"/>
      <c r="T604" s="408"/>
      <c r="U604" s="408"/>
      <c r="V604" s="408"/>
      <c r="W604" s="1129"/>
      <c r="X604"/>
      <c r="Y604"/>
      <c r="Z604"/>
      <c r="AA604"/>
      <c r="AB604"/>
    </row>
    <row r="605" spans="1:28" s="204" customFormat="1">
      <c r="A605" s="1125"/>
      <c r="B605" s="1135"/>
      <c r="C605" s="520"/>
      <c r="D605" s="520"/>
      <c r="E605" s="520"/>
      <c r="F605" s="520"/>
      <c r="G605" s="520"/>
      <c r="H605" s="520"/>
      <c r="I605" s="1139"/>
      <c r="J605" s="520"/>
      <c r="K605" s="520"/>
      <c r="L605" s="520"/>
      <c r="M605" s="520"/>
      <c r="N605" s="520"/>
      <c r="O605" s="1139"/>
      <c r="P605" s="520"/>
      <c r="Q605" s="520"/>
      <c r="R605" s="520"/>
      <c r="S605" s="1139"/>
      <c r="T605" s="520"/>
      <c r="U605" s="520"/>
      <c r="V605" s="520"/>
      <c r="W605" s="1152"/>
      <c r="X605"/>
      <c r="Y605"/>
      <c r="Z605"/>
      <c r="AA605"/>
      <c r="AB605"/>
    </row>
    <row r="606" spans="1:28">
      <c r="A606" s="1125"/>
      <c r="B606" s="403"/>
      <c r="C606" s="407"/>
      <c r="D606" s="407"/>
      <c r="E606" s="407"/>
      <c r="F606" s="407"/>
      <c r="G606" s="407"/>
      <c r="H606" s="407"/>
      <c r="I606" s="1137"/>
      <c r="J606" s="407"/>
      <c r="K606" s="407"/>
      <c r="L606" s="407"/>
      <c r="M606" s="407"/>
      <c r="N606" s="407"/>
      <c r="O606" s="1137"/>
      <c r="P606" s="407"/>
      <c r="Q606" s="407"/>
      <c r="R606" s="407"/>
      <c r="S606" s="1137"/>
      <c r="T606" s="407"/>
      <c r="U606" s="407"/>
      <c r="V606" s="407"/>
      <c r="W606" s="1128"/>
      <c r="X606"/>
      <c r="Y606"/>
      <c r="Z606"/>
      <c r="AA606"/>
      <c r="AB606"/>
    </row>
    <row r="607" spans="1:28" s="205" customFormat="1">
      <c r="A607" s="1125"/>
      <c r="B607" s="404"/>
      <c r="C607" s="408"/>
      <c r="D607" s="408"/>
      <c r="E607" s="408"/>
      <c r="F607" s="408"/>
      <c r="G607" s="408"/>
      <c r="H607" s="408"/>
      <c r="I607" s="1138"/>
      <c r="J607" s="408"/>
      <c r="K607" s="408"/>
      <c r="L607" s="408"/>
      <c r="M607" s="408"/>
      <c r="N607" s="408"/>
      <c r="O607" s="1138"/>
      <c r="P607" s="408"/>
      <c r="Q607" s="408"/>
      <c r="R607" s="408"/>
      <c r="S607" s="1138"/>
      <c r="T607" s="408"/>
      <c r="U607" s="408"/>
      <c r="V607" s="408"/>
      <c r="W607" s="1129"/>
      <c r="X607"/>
      <c r="Y607"/>
      <c r="Z607"/>
      <c r="AA607"/>
      <c r="AB607"/>
    </row>
    <row r="608" spans="1:28" s="204" customFormat="1">
      <c r="A608" s="1125"/>
      <c r="B608" s="1135"/>
      <c r="C608" s="520"/>
      <c r="D608" s="520"/>
      <c r="E608" s="520"/>
      <c r="F608" s="520"/>
      <c r="G608" s="520"/>
      <c r="H608" s="520"/>
      <c r="I608" s="1139"/>
      <c r="J608" s="520"/>
      <c r="K608" s="520"/>
      <c r="L608" s="520"/>
      <c r="M608" s="520"/>
      <c r="N608" s="520"/>
      <c r="O608" s="1139"/>
      <c r="P608" s="520"/>
      <c r="Q608" s="520"/>
      <c r="R608" s="520"/>
      <c r="S608" s="1139"/>
      <c r="T608" s="520"/>
      <c r="U608" s="520"/>
      <c r="V608" s="520"/>
      <c r="W608" s="1152"/>
      <c r="X608"/>
      <c r="Y608"/>
      <c r="Z608"/>
      <c r="AA608"/>
      <c r="AB608"/>
    </row>
    <row r="609" spans="1:28">
      <c r="A609" s="1125"/>
      <c r="B609" s="403"/>
      <c r="C609" s="407"/>
      <c r="D609" s="407"/>
      <c r="E609" s="407"/>
      <c r="F609" s="407"/>
      <c r="G609" s="407"/>
      <c r="H609" s="407"/>
      <c r="I609" s="1137"/>
      <c r="J609" s="407"/>
      <c r="K609" s="407"/>
      <c r="L609" s="407"/>
      <c r="M609" s="407"/>
      <c r="N609" s="407"/>
      <c r="O609" s="1137"/>
      <c r="P609" s="407"/>
      <c r="Q609" s="407"/>
      <c r="R609" s="407"/>
      <c r="S609" s="1137"/>
      <c r="T609" s="407"/>
      <c r="U609" s="407"/>
      <c r="V609" s="407"/>
      <c r="W609" s="1128"/>
      <c r="X609"/>
      <c r="Y609"/>
      <c r="Z609"/>
      <c r="AA609"/>
      <c r="AB609"/>
    </row>
    <row r="610" spans="1:28" s="205" customFormat="1">
      <c r="A610" s="1125"/>
      <c r="B610" s="404"/>
      <c r="C610" s="408"/>
      <c r="D610" s="408"/>
      <c r="E610" s="408"/>
      <c r="F610" s="408"/>
      <c r="G610" s="408"/>
      <c r="H610" s="408"/>
      <c r="I610" s="1138"/>
      <c r="J610" s="408"/>
      <c r="K610" s="408"/>
      <c r="L610" s="408"/>
      <c r="M610" s="408"/>
      <c r="N610" s="408"/>
      <c r="O610" s="1138"/>
      <c r="P610" s="408"/>
      <c r="Q610" s="408"/>
      <c r="R610" s="408"/>
      <c r="S610" s="1138"/>
      <c r="T610" s="408"/>
      <c r="U610" s="408"/>
      <c r="V610" s="408"/>
      <c r="W610" s="1129"/>
      <c r="X610"/>
      <c r="Y610"/>
      <c r="Z610"/>
      <c r="AA610"/>
      <c r="AB610"/>
    </row>
    <row r="611" spans="1:28" s="204" customFormat="1">
      <c r="A611" s="1125"/>
      <c r="B611" s="1135"/>
      <c r="C611" s="520"/>
      <c r="D611" s="520"/>
      <c r="E611" s="520"/>
      <c r="F611" s="520"/>
      <c r="G611" s="520"/>
      <c r="H611" s="520"/>
      <c r="I611" s="1139"/>
      <c r="J611" s="520"/>
      <c r="K611" s="520"/>
      <c r="L611" s="520"/>
      <c r="M611" s="520"/>
      <c r="N611" s="520"/>
      <c r="O611" s="1139"/>
      <c r="P611" s="520"/>
      <c r="Q611" s="520"/>
      <c r="R611" s="520"/>
      <c r="S611" s="1139"/>
      <c r="T611" s="520"/>
      <c r="U611" s="520"/>
      <c r="V611" s="520"/>
      <c r="W611" s="1152"/>
      <c r="X611"/>
      <c r="Y611"/>
      <c r="Z611"/>
      <c r="AA611"/>
      <c r="AB611"/>
    </row>
    <row r="612" spans="1:28">
      <c r="A612" s="1125"/>
      <c r="B612" s="403"/>
      <c r="C612" s="407"/>
      <c r="D612" s="407"/>
      <c r="E612" s="407"/>
      <c r="F612" s="407"/>
      <c r="G612" s="407"/>
      <c r="H612" s="407"/>
      <c r="I612" s="1137"/>
      <c r="J612" s="407"/>
      <c r="K612" s="407"/>
      <c r="L612" s="407"/>
      <c r="M612" s="407"/>
      <c r="N612" s="407"/>
      <c r="O612" s="1137"/>
      <c r="P612" s="407"/>
      <c r="Q612" s="407"/>
      <c r="R612" s="407"/>
      <c r="S612" s="1137"/>
      <c r="T612" s="407"/>
      <c r="U612" s="407"/>
      <c r="V612" s="407"/>
      <c r="W612" s="1128"/>
      <c r="X612"/>
      <c r="Y612"/>
      <c r="Z612"/>
      <c r="AA612"/>
      <c r="AB612"/>
    </row>
    <row r="613" spans="1:28" s="205" customFormat="1">
      <c r="A613" s="1125"/>
      <c r="B613" s="404"/>
      <c r="C613" s="408"/>
      <c r="D613" s="408"/>
      <c r="E613" s="408"/>
      <c r="F613" s="408"/>
      <c r="G613" s="408"/>
      <c r="H613" s="408"/>
      <c r="I613" s="1138"/>
      <c r="J613" s="408"/>
      <c r="K613" s="408"/>
      <c r="L613" s="408"/>
      <c r="M613" s="408"/>
      <c r="N613" s="408"/>
      <c r="O613" s="1138"/>
      <c r="P613" s="408"/>
      <c r="Q613" s="408"/>
      <c r="R613" s="408"/>
      <c r="S613" s="1138"/>
      <c r="T613" s="408"/>
      <c r="U613" s="408"/>
      <c r="V613" s="408"/>
      <c r="W613" s="1129"/>
      <c r="X613"/>
      <c r="Y613"/>
      <c r="Z613"/>
      <c r="AA613"/>
      <c r="AB613"/>
    </row>
    <row r="614" spans="1:28" s="204" customFormat="1">
      <c r="A614" s="1125"/>
      <c r="B614" s="1135"/>
      <c r="C614" s="520"/>
      <c r="D614" s="520"/>
      <c r="E614" s="520"/>
      <c r="F614" s="520"/>
      <c r="G614" s="520"/>
      <c r="H614" s="520"/>
      <c r="I614" s="1139"/>
      <c r="J614" s="520"/>
      <c r="K614" s="520"/>
      <c r="L614" s="520"/>
      <c r="M614" s="520"/>
      <c r="N614" s="520"/>
      <c r="O614" s="1139"/>
      <c r="P614" s="520"/>
      <c r="Q614" s="520"/>
      <c r="R614" s="520"/>
      <c r="S614" s="1139"/>
      <c r="T614" s="520"/>
      <c r="U614" s="520"/>
      <c r="V614" s="520"/>
      <c r="W614" s="1152"/>
      <c r="X614"/>
      <c r="Y614"/>
      <c r="Z614"/>
      <c r="AA614"/>
      <c r="AB614"/>
    </row>
    <row r="615" spans="1:28">
      <c r="A615" s="1125"/>
      <c r="B615" s="403"/>
      <c r="C615" s="407"/>
      <c r="D615" s="407"/>
      <c r="E615" s="407"/>
      <c r="F615" s="407"/>
      <c r="G615" s="407"/>
      <c r="H615" s="407"/>
      <c r="I615" s="1137"/>
      <c r="J615" s="407"/>
      <c r="K615" s="407"/>
      <c r="L615" s="407"/>
      <c r="M615" s="407"/>
      <c r="N615" s="407"/>
      <c r="O615" s="1137"/>
      <c r="P615" s="407"/>
      <c r="Q615" s="407"/>
      <c r="R615" s="407"/>
      <c r="S615" s="1137"/>
      <c r="T615" s="407"/>
      <c r="U615" s="407"/>
      <c r="V615" s="407"/>
      <c r="W615" s="1128"/>
      <c r="X615"/>
      <c r="Y615"/>
      <c r="Z615"/>
      <c r="AA615"/>
      <c r="AB615"/>
    </row>
    <row r="616" spans="1:28" s="205" customFormat="1">
      <c r="A616" s="1125"/>
      <c r="B616" s="404"/>
      <c r="C616" s="408"/>
      <c r="D616" s="408"/>
      <c r="E616" s="408"/>
      <c r="F616" s="408"/>
      <c r="G616" s="408"/>
      <c r="H616" s="408"/>
      <c r="I616" s="1138"/>
      <c r="J616" s="408"/>
      <c r="K616" s="408"/>
      <c r="L616" s="408"/>
      <c r="M616" s="408"/>
      <c r="N616" s="408"/>
      <c r="O616" s="1138"/>
      <c r="P616" s="408"/>
      <c r="Q616" s="408"/>
      <c r="R616" s="408"/>
      <c r="S616" s="1138"/>
      <c r="T616" s="408"/>
      <c r="U616" s="408"/>
      <c r="V616" s="408"/>
      <c r="W616" s="1129"/>
      <c r="X616"/>
      <c r="Y616"/>
      <c r="Z616"/>
      <c r="AA616"/>
      <c r="AB616"/>
    </row>
    <row r="617" spans="1:28" s="204" customFormat="1">
      <c r="A617" s="1125"/>
      <c r="B617" s="1135"/>
      <c r="C617" s="520"/>
      <c r="D617" s="520"/>
      <c r="E617" s="520"/>
      <c r="F617" s="520"/>
      <c r="G617" s="520"/>
      <c r="H617" s="520"/>
      <c r="I617" s="1139"/>
      <c r="J617" s="520"/>
      <c r="K617" s="520"/>
      <c r="L617" s="520"/>
      <c r="M617" s="520"/>
      <c r="N617" s="520"/>
      <c r="O617" s="1139"/>
      <c r="P617" s="520"/>
      <c r="Q617" s="520"/>
      <c r="R617" s="520"/>
      <c r="S617" s="1139"/>
      <c r="T617" s="520"/>
      <c r="U617" s="520"/>
      <c r="V617" s="520"/>
      <c r="W617" s="1152"/>
      <c r="X617"/>
      <c r="Y617"/>
      <c r="Z617"/>
      <c r="AA617"/>
      <c r="AB617"/>
    </row>
    <row r="618" spans="1:28">
      <c r="A618" s="1125"/>
      <c r="B618" s="403"/>
      <c r="C618" s="407"/>
      <c r="D618" s="407"/>
      <c r="E618" s="407"/>
      <c r="F618" s="407"/>
      <c r="G618" s="407"/>
      <c r="H618" s="407"/>
      <c r="I618" s="1137"/>
      <c r="J618" s="407"/>
      <c r="K618" s="407"/>
      <c r="L618" s="407"/>
      <c r="M618" s="407"/>
      <c r="N618" s="407"/>
      <c r="O618" s="1137"/>
      <c r="P618" s="407"/>
      <c r="Q618" s="407"/>
      <c r="R618" s="407"/>
      <c r="S618" s="1137"/>
      <c r="T618" s="407"/>
      <c r="U618" s="407"/>
      <c r="V618" s="407"/>
      <c r="W618" s="1128"/>
      <c r="X618"/>
      <c r="Y618"/>
      <c r="Z618"/>
      <c r="AA618"/>
      <c r="AB618"/>
    </row>
    <row r="619" spans="1:28" s="205" customFormat="1">
      <c r="A619" s="1125"/>
      <c r="B619" s="404"/>
      <c r="C619" s="408"/>
      <c r="D619" s="408"/>
      <c r="E619" s="408"/>
      <c r="F619" s="408"/>
      <c r="G619" s="408"/>
      <c r="H619" s="408"/>
      <c r="I619" s="1138"/>
      <c r="J619" s="408"/>
      <c r="K619" s="408"/>
      <c r="L619" s="408"/>
      <c r="M619" s="408"/>
      <c r="N619" s="408"/>
      <c r="O619" s="1138"/>
      <c r="P619" s="408"/>
      <c r="Q619" s="408"/>
      <c r="R619" s="408"/>
      <c r="S619" s="1138"/>
      <c r="T619" s="408"/>
      <c r="U619" s="408"/>
      <c r="V619" s="408"/>
      <c r="W619" s="1129"/>
      <c r="X619"/>
      <c r="Y619"/>
      <c r="Z619"/>
      <c r="AA619"/>
      <c r="AB619"/>
    </row>
    <row r="620" spans="1:28" s="204" customFormat="1">
      <c r="A620" s="1125"/>
      <c r="B620" s="1135"/>
      <c r="C620" s="520"/>
      <c r="D620" s="520"/>
      <c r="E620" s="520"/>
      <c r="F620" s="520"/>
      <c r="G620" s="520"/>
      <c r="H620" s="520"/>
      <c r="I620" s="1139"/>
      <c r="J620" s="520"/>
      <c r="K620" s="520"/>
      <c r="L620" s="520"/>
      <c r="M620" s="520"/>
      <c r="N620" s="520"/>
      <c r="O620" s="1139"/>
      <c r="P620" s="520"/>
      <c r="Q620" s="520"/>
      <c r="R620" s="520"/>
      <c r="S620" s="1139"/>
      <c r="T620" s="520"/>
      <c r="U620" s="520"/>
      <c r="V620" s="520"/>
      <c r="W620" s="1152"/>
      <c r="X620"/>
      <c r="Y620"/>
      <c r="Z620"/>
      <c r="AA620"/>
      <c r="AB620"/>
    </row>
    <row r="621" spans="1:28">
      <c r="A621" s="1125"/>
      <c r="B621" s="403"/>
      <c r="C621" s="407"/>
      <c r="D621" s="407"/>
      <c r="E621" s="407"/>
      <c r="F621" s="407"/>
      <c r="G621" s="407"/>
      <c r="H621" s="407"/>
      <c r="I621" s="1137"/>
      <c r="J621" s="407"/>
      <c r="K621" s="407"/>
      <c r="L621" s="407"/>
      <c r="M621" s="407"/>
      <c r="N621" s="407"/>
      <c r="O621" s="1137"/>
      <c r="P621" s="407"/>
      <c r="Q621" s="407"/>
      <c r="R621" s="407"/>
      <c r="S621" s="1137"/>
      <c r="T621" s="407"/>
      <c r="U621" s="407"/>
      <c r="V621" s="407"/>
      <c r="W621" s="1128"/>
      <c r="X621"/>
      <c r="Y621"/>
      <c r="Z621"/>
      <c r="AA621"/>
      <c r="AB621"/>
    </row>
    <row r="622" spans="1:28" s="205" customFormat="1">
      <c r="A622" s="1125"/>
      <c r="B622" s="404"/>
      <c r="C622" s="408"/>
      <c r="D622" s="408"/>
      <c r="E622" s="408"/>
      <c r="F622" s="408"/>
      <c r="G622" s="408"/>
      <c r="H622" s="408"/>
      <c r="I622" s="1138"/>
      <c r="J622" s="408"/>
      <c r="K622" s="408"/>
      <c r="L622" s="408"/>
      <c r="M622" s="408"/>
      <c r="N622" s="408"/>
      <c r="O622" s="1138"/>
      <c r="P622" s="408"/>
      <c r="Q622" s="408"/>
      <c r="R622" s="408"/>
      <c r="S622" s="1138"/>
      <c r="T622" s="408"/>
      <c r="U622" s="408"/>
      <c r="V622" s="408"/>
      <c r="W622" s="1129"/>
      <c r="X622"/>
      <c r="Y622"/>
      <c r="Z622"/>
      <c r="AA622"/>
      <c r="AB622"/>
    </row>
    <row r="623" spans="1:28" s="204" customFormat="1">
      <c r="A623" s="1125"/>
      <c r="B623" s="1135"/>
      <c r="C623" s="520"/>
      <c r="D623" s="520"/>
      <c r="E623" s="520"/>
      <c r="F623" s="520"/>
      <c r="G623" s="520"/>
      <c r="H623" s="520"/>
      <c r="I623" s="1139"/>
      <c r="J623" s="520"/>
      <c r="K623" s="520"/>
      <c r="L623" s="520"/>
      <c r="M623" s="520"/>
      <c r="N623" s="520"/>
      <c r="O623" s="1139"/>
      <c r="P623" s="520"/>
      <c r="Q623" s="520"/>
      <c r="R623" s="520"/>
      <c r="S623" s="1139"/>
      <c r="T623" s="520"/>
      <c r="U623" s="520"/>
      <c r="V623" s="520"/>
      <c r="W623" s="1152"/>
      <c r="X623"/>
      <c r="Y623"/>
      <c r="Z623"/>
      <c r="AA623"/>
      <c r="AB623"/>
    </row>
    <row r="624" spans="1:28">
      <c r="A624" s="1125"/>
      <c r="B624" s="403"/>
      <c r="C624" s="407"/>
      <c r="D624" s="407"/>
      <c r="E624" s="407"/>
      <c r="F624" s="407"/>
      <c r="G624" s="407"/>
      <c r="H624" s="407"/>
      <c r="I624" s="1137"/>
      <c r="J624" s="407"/>
      <c r="K624" s="407"/>
      <c r="L624" s="407"/>
      <c r="M624" s="407"/>
      <c r="N624" s="407"/>
      <c r="O624" s="1137"/>
      <c r="P624" s="407"/>
      <c r="Q624" s="407"/>
      <c r="R624" s="407"/>
      <c r="S624" s="1137"/>
      <c r="T624" s="407"/>
      <c r="U624" s="407"/>
      <c r="V624" s="407"/>
      <c r="W624" s="1128"/>
      <c r="X624"/>
      <c r="Y624"/>
      <c r="Z624"/>
      <c r="AA624"/>
      <c r="AB624"/>
    </row>
    <row r="625" spans="1:28" s="205" customFormat="1">
      <c r="A625" s="1125"/>
      <c r="B625" s="404"/>
      <c r="C625" s="408"/>
      <c r="D625" s="408"/>
      <c r="E625" s="408"/>
      <c r="F625" s="408"/>
      <c r="G625" s="408"/>
      <c r="H625" s="408"/>
      <c r="I625" s="1138"/>
      <c r="J625" s="408"/>
      <c r="K625" s="408"/>
      <c r="L625" s="408"/>
      <c r="M625" s="408"/>
      <c r="N625" s="408"/>
      <c r="O625" s="1138"/>
      <c r="P625" s="408"/>
      <c r="Q625" s="408"/>
      <c r="R625" s="408"/>
      <c r="S625" s="1138"/>
      <c r="T625" s="408"/>
      <c r="U625" s="408"/>
      <c r="V625" s="408"/>
      <c r="W625" s="1129"/>
      <c r="X625"/>
      <c r="Y625"/>
      <c r="Z625"/>
      <c r="AA625"/>
      <c r="AB625"/>
    </row>
    <row r="626" spans="1:28" s="204" customFormat="1">
      <c r="A626" s="1125"/>
      <c r="B626" s="1135"/>
      <c r="C626" s="520"/>
      <c r="D626" s="520"/>
      <c r="E626" s="520"/>
      <c r="F626" s="520"/>
      <c r="G626" s="520"/>
      <c r="H626" s="520"/>
      <c r="I626" s="1139"/>
      <c r="J626" s="520"/>
      <c r="K626" s="520"/>
      <c r="L626" s="520"/>
      <c r="M626" s="520"/>
      <c r="N626" s="520"/>
      <c r="O626" s="1139"/>
      <c r="P626" s="520"/>
      <c r="Q626" s="520"/>
      <c r="R626" s="520"/>
      <c r="S626" s="1139"/>
      <c r="T626" s="520"/>
      <c r="U626" s="520"/>
      <c r="V626" s="520"/>
      <c r="W626" s="1152"/>
      <c r="X626"/>
      <c r="Y626"/>
      <c r="Z626"/>
      <c r="AA626"/>
      <c r="AB626"/>
    </row>
    <row r="627" spans="1:28">
      <c r="A627" s="1125"/>
      <c r="B627" s="403"/>
      <c r="C627" s="407"/>
      <c r="D627" s="407"/>
      <c r="E627" s="407"/>
      <c r="F627" s="407"/>
      <c r="G627" s="407"/>
      <c r="H627" s="407"/>
      <c r="I627" s="1137"/>
      <c r="J627" s="407"/>
      <c r="K627" s="407"/>
      <c r="L627" s="407"/>
      <c r="M627" s="407"/>
      <c r="N627" s="407"/>
      <c r="O627" s="1137"/>
      <c r="P627" s="407"/>
      <c r="Q627" s="407"/>
      <c r="R627" s="407"/>
      <c r="S627" s="1137"/>
      <c r="T627" s="407"/>
      <c r="U627" s="407"/>
      <c r="V627" s="407"/>
      <c r="W627" s="1128"/>
      <c r="X627"/>
      <c r="Y627"/>
      <c r="Z627"/>
      <c r="AA627"/>
      <c r="AB627"/>
    </row>
    <row r="628" spans="1:28" s="205" customFormat="1">
      <c r="A628" s="1125"/>
      <c r="B628" s="404"/>
      <c r="C628" s="408"/>
      <c r="D628" s="408"/>
      <c r="E628" s="408"/>
      <c r="F628" s="408"/>
      <c r="G628" s="408"/>
      <c r="H628" s="408"/>
      <c r="I628" s="1138"/>
      <c r="J628" s="408"/>
      <c r="K628" s="408"/>
      <c r="L628" s="408"/>
      <c r="M628" s="408"/>
      <c r="N628" s="408"/>
      <c r="O628" s="1138"/>
      <c r="P628" s="408"/>
      <c r="Q628" s="408"/>
      <c r="R628" s="408"/>
      <c r="S628" s="1138"/>
      <c r="T628" s="408"/>
      <c r="U628" s="408"/>
      <c r="V628" s="408"/>
      <c r="W628" s="1129"/>
      <c r="X628"/>
      <c r="Y628"/>
      <c r="Z628"/>
      <c r="AA628"/>
      <c r="AB628"/>
    </row>
    <row r="629" spans="1:28" s="214" customFormat="1">
      <c r="A629" s="1136"/>
      <c r="B629" s="1135"/>
      <c r="C629" s="520"/>
      <c r="D629" s="520"/>
      <c r="E629" s="520"/>
      <c r="F629" s="520"/>
      <c r="G629" s="520"/>
      <c r="H629" s="520"/>
      <c r="I629" s="1139"/>
      <c r="J629" s="520"/>
      <c r="K629" s="520"/>
      <c r="L629" s="520"/>
      <c r="M629" s="520"/>
      <c r="N629" s="520"/>
      <c r="O629" s="1139"/>
      <c r="P629" s="520"/>
      <c r="Q629" s="520"/>
      <c r="R629" s="520"/>
      <c r="S629" s="1139"/>
      <c r="T629" s="520"/>
      <c r="U629" s="520"/>
      <c r="V629" s="520"/>
      <c r="W629" s="1152"/>
      <c r="X629"/>
      <c r="Y629"/>
      <c r="Z629"/>
      <c r="AA629"/>
      <c r="AB629"/>
    </row>
    <row r="630" spans="1:28">
      <c r="A630" s="233"/>
      <c r="B630" s="403"/>
      <c r="C630" s="407"/>
      <c r="D630" s="407"/>
      <c r="E630" s="407"/>
      <c r="F630" s="407"/>
      <c r="G630" s="407"/>
      <c r="H630" s="407"/>
      <c r="I630" s="1137"/>
      <c r="J630" s="407"/>
      <c r="K630" s="407"/>
      <c r="L630" s="407"/>
      <c r="M630" s="407"/>
      <c r="N630" s="407"/>
      <c r="O630" s="1137"/>
      <c r="P630" s="407"/>
      <c r="Q630" s="407"/>
      <c r="R630" s="407"/>
      <c r="S630" s="1137"/>
      <c r="T630" s="407"/>
      <c r="U630" s="407"/>
      <c r="V630" s="407"/>
      <c r="W630" s="1128"/>
      <c r="X630"/>
      <c r="Y630"/>
      <c r="Z630"/>
      <c r="AA630"/>
      <c r="AB630"/>
    </row>
    <row r="631" spans="1:28">
      <c r="A631" s="1125"/>
      <c r="B631" s="404"/>
      <c r="C631" s="408"/>
      <c r="D631" s="408"/>
      <c r="E631" s="408"/>
      <c r="F631" s="408"/>
      <c r="G631" s="408"/>
      <c r="H631" s="408"/>
      <c r="I631" s="1138"/>
      <c r="J631" s="408"/>
      <c r="K631" s="408"/>
      <c r="L631" s="408"/>
      <c r="M631" s="408"/>
      <c r="N631" s="408"/>
      <c r="O631" s="1138"/>
      <c r="P631" s="408"/>
      <c r="Q631" s="408"/>
      <c r="R631" s="408"/>
      <c r="S631" s="1138"/>
      <c r="T631" s="408"/>
      <c r="U631" s="408"/>
      <c r="V631" s="408"/>
      <c r="W631" s="1129"/>
      <c r="X631"/>
      <c r="Y631"/>
      <c r="Z631"/>
      <c r="AA631"/>
      <c r="AB631"/>
    </row>
    <row r="632" spans="1:28">
      <c r="A632" s="1126"/>
      <c r="B632" s="1135"/>
      <c r="C632" s="520"/>
      <c r="D632" s="520"/>
      <c r="E632" s="520"/>
      <c r="F632" s="520"/>
      <c r="G632" s="520"/>
      <c r="H632" s="520"/>
      <c r="I632" s="1139"/>
      <c r="J632" s="520"/>
      <c r="K632" s="520"/>
      <c r="L632" s="520"/>
      <c r="M632" s="520"/>
      <c r="N632" s="520"/>
      <c r="O632" s="1139"/>
      <c r="P632" s="520"/>
      <c r="Q632" s="520"/>
      <c r="R632" s="520"/>
      <c r="S632" s="1139"/>
      <c r="T632" s="520"/>
      <c r="U632" s="520"/>
      <c r="V632" s="520"/>
      <c r="W632" s="1152"/>
      <c r="X632"/>
      <c r="Y632"/>
      <c r="Z632"/>
      <c r="AA632"/>
      <c r="AB632"/>
    </row>
    <row r="633" spans="1:28">
      <c r="A633" s="1125"/>
      <c r="B633" s="403"/>
      <c r="C633" s="407"/>
      <c r="D633" s="407"/>
      <c r="E633" s="407"/>
      <c r="F633" s="407"/>
      <c r="G633" s="407"/>
      <c r="H633" s="407"/>
      <c r="I633" s="1137"/>
      <c r="J633" s="407"/>
      <c r="K633" s="407"/>
      <c r="L633" s="407"/>
      <c r="M633" s="407"/>
      <c r="N633" s="407"/>
      <c r="O633" s="1137"/>
      <c r="P633" s="407"/>
      <c r="Q633" s="407"/>
      <c r="R633" s="407"/>
      <c r="S633" s="1137"/>
      <c r="T633" s="407"/>
      <c r="U633" s="407"/>
      <c r="V633" s="407"/>
      <c r="W633" s="1128"/>
      <c r="X633"/>
      <c r="Y633"/>
      <c r="Z633"/>
      <c r="AA633"/>
      <c r="AB633"/>
    </row>
    <row r="634" spans="1:28">
      <c r="A634" s="1125"/>
      <c r="B634" s="404"/>
      <c r="C634" s="408"/>
      <c r="D634" s="408"/>
      <c r="E634" s="408"/>
      <c r="F634" s="408"/>
      <c r="G634" s="408"/>
      <c r="H634" s="408"/>
      <c r="I634" s="1138"/>
      <c r="J634" s="408"/>
      <c r="K634" s="408"/>
      <c r="L634" s="408"/>
      <c r="M634" s="408"/>
      <c r="N634" s="408"/>
      <c r="O634" s="1138"/>
      <c r="P634" s="408"/>
      <c r="Q634" s="408"/>
      <c r="R634" s="408"/>
      <c r="S634" s="1138"/>
      <c r="T634" s="408"/>
      <c r="U634" s="408"/>
      <c r="V634" s="408"/>
      <c r="W634" s="1129"/>
      <c r="X634"/>
      <c r="Y634"/>
      <c r="Z634"/>
      <c r="AA634"/>
      <c r="AB634"/>
    </row>
    <row r="635" spans="1:28">
      <c r="A635" s="1125"/>
      <c r="B635" s="1135"/>
      <c r="C635" s="520"/>
      <c r="D635" s="520"/>
      <c r="E635" s="520"/>
      <c r="F635" s="520"/>
      <c r="G635" s="520"/>
      <c r="H635" s="520"/>
      <c r="I635" s="1139"/>
      <c r="J635" s="520"/>
      <c r="K635" s="520"/>
      <c r="L635" s="520"/>
      <c r="M635" s="520"/>
      <c r="N635" s="520"/>
      <c r="O635" s="1139"/>
      <c r="P635" s="520"/>
      <c r="Q635" s="520"/>
      <c r="R635" s="520"/>
      <c r="S635" s="1139"/>
      <c r="T635" s="520"/>
      <c r="U635" s="520"/>
      <c r="V635" s="520"/>
      <c r="W635" s="1152"/>
      <c r="X635"/>
      <c r="Y635"/>
      <c r="Z635"/>
      <c r="AA635"/>
      <c r="AB635"/>
    </row>
    <row r="636" spans="1:28">
      <c r="A636" s="1125"/>
      <c r="B636" s="403"/>
      <c r="C636" s="407"/>
      <c r="D636" s="407"/>
      <c r="E636" s="407"/>
      <c r="F636" s="407"/>
      <c r="G636" s="407"/>
      <c r="H636" s="407"/>
      <c r="I636" s="1137"/>
      <c r="J636" s="407"/>
      <c r="K636" s="407"/>
      <c r="L636" s="407"/>
      <c r="M636" s="407"/>
      <c r="N636" s="407"/>
      <c r="O636" s="1137"/>
      <c r="P636" s="407"/>
      <c r="Q636" s="407"/>
      <c r="R636" s="407"/>
      <c r="S636" s="1137"/>
      <c r="T636" s="407"/>
      <c r="U636" s="407"/>
      <c r="V636" s="407"/>
      <c r="W636" s="1128"/>
      <c r="X636"/>
      <c r="Y636"/>
      <c r="Z636"/>
      <c r="AA636"/>
      <c r="AB636"/>
    </row>
    <row r="637" spans="1:28">
      <c r="A637" s="1125"/>
      <c r="B637" s="404"/>
      <c r="C637" s="408"/>
      <c r="D637" s="408"/>
      <c r="E637" s="408"/>
      <c r="F637" s="408"/>
      <c r="G637" s="408"/>
      <c r="H637" s="408"/>
      <c r="I637" s="1138"/>
      <c r="J637" s="408"/>
      <c r="K637" s="408"/>
      <c r="L637" s="408"/>
      <c r="M637" s="408"/>
      <c r="N637" s="408"/>
      <c r="O637" s="1138"/>
      <c r="P637" s="408"/>
      <c r="Q637" s="408"/>
      <c r="R637" s="408"/>
      <c r="S637" s="1138"/>
      <c r="T637" s="408"/>
      <c r="U637" s="408"/>
      <c r="V637" s="408"/>
      <c r="W637" s="1129"/>
      <c r="X637"/>
      <c r="Y637"/>
      <c r="Z637"/>
      <c r="AA637"/>
      <c r="AB637"/>
    </row>
    <row r="638" spans="1:28">
      <c r="A638" s="1125"/>
      <c r="B638" s="1135"/>
      <c r="C638" s="520"/>
      <c r="D638" s="520"/>
      <c r="E638" s="520"/>
      <c r="F638" s="520"/>
      <c r="G638" s="520"/>
      <c r="H638" s="520"/>
      <c r="I638" s="1139"/>
      <c r="J638" s="520"/>
      <c r="K638" s="520"/>
      <c r="L638" s="520"/>
      <c r="M638" s="520"/>
      <c r="N638" s="520"/>
      <c r="O638" s="1139"/>
      <c r="P638" s="520"/>
      <c r="Q638" s="520"/>
      <c r="R638" s="520"/>
      <c r="S638" s="1139"/>
      <c r="T638" s="520"/>
      <c r="U638" s="520"/>
      <c r="V638" s="520"/>
      <c r="W638" s="1152"/>
      <c r="X638"/>
      <c r="Y638"/>
      <c r="Z638"/>
      <c r="AA638"/>
      <c r="AB638"/>
    </row>
    <row r="639" spans="1:28">
      <c r="A639" s="1125"/>
      <c r="B639" s="403"/>
      <c r="C639" s="407"/>
      <c r="D639" s="407"/>
      <c r="E639" s="407"/>
      <c r="F639" s="407"/>
      <c r="G639" s="407"/>
      <c r="H639" s="407"/>
      <c r="I639" s="1137"/>
      <c r="J639" s="407"/>
      <c r="K639" s="407"/>
      <c r="L639" s="407"/>
      <c r="M639" s="407"/>
      <c r="N639" s="407"/>
      <c r="O639" s="1137"/>
      <c r="P639" s="407"/>
      <c r="Q639" s="407"/>
      <c r="R639" s="407"/>
      <c r="S639" s="1137"/>
      <c r="T639" s="407"/>
      <c r="U639" s="407"/>
      <c r="V639" s="407"/>
      <c r="W639" s="1128"/>
      <c r="X639"/>
      <c r="Y639"/>
      <c r="Z639"/>
      <c r="AA639"/>
      <c r="AB639"/>
    </row>
    <row r="640" spans="1:28">
      <c r="A640" s="1125"/>
      <c r="B640" s="404"/>
      <c r="C640" s="408"/>
      <c r="D640" s="408"/>
      <c r="E640" s="408"/>
      <c r="F640" s="408"/>
      <c r="G640" s="408"/>
      <c r="H640" s="408"/>
      <c r="I640" s="1138"/>
      <c r="J640" s="408"/>
      <c r="K640" s="408"/>
      <c r="L640" s="408"/>
      <c r="M640" s="408"/>
      <c r="N640" s="408"/>
      <c r="O640" s="1138"/>
      <c r="P640" s="408"/>
      <c r="Q640" s="408"/>
      <c r="R640" s="408"/>
      <c r="S640" s="1138"/>
      <c r="T640" s="408"/>
      <c r="U640" s="408"/>
      <c r="V640" s="408"/>
      <c r="W640" s="1129"/>
      <c r="X640"/>
      <c r="Y640"/>
      <c r="Z640"/>
      <c r="AA640"/>
      <c r="AB640"/>
    </row>
    <row r="641" spans="1:28">
      <c r="A641" s="1125"/>
      <c r="B641" s="1135"/>
      <c r="C641" s="520"/>
      <c r="D641" s="520"/>
      <c r="E641" s="520"/>
      <c r="F641" s="520"/>
      <c r="G641" s="520"/>
      <c r="H641" s="520"/>
      <c r="I641" s="1139"/>
      <c r="J641" s="520"/>
      <c r="K641" s="520"/>
      <c r="L641" s="520"/>
      <c r="M641" s="520"/>
      <c r="N641" s="520"/>
      <c r="O641" s="1139"/>
      <c r="P641" s="520"/>
      <c r="Q641" s="520"/>
      <c r="R641" s="520"/>
      <c r="S641" s="1139"/>
      <c r="T641" s="520"/>
      <c r="U641" s="520"/>
      <c r="V641" s="520"/>
      <c r="W641" s="1152"/>
      <c r="X641"/>
      <c r="Y641"/>
      <c r="Z641"/>
      <c r="AA641"/>
      <c r="AB641"/>
    </row>
    <row r="642" spans="1:28">
      <c r="A642" s="1125"/>
      <c r="B642" s="403"/>
      <c r="C642" s="407"/>
      <c r="D642" s="407"/>
      <c r="E642" s="407"/>
      <c r="F642" s="407"/>
      <c r="G642" s="407"/>
      <c r="H642" s="407"/>
      <c r="I642" s="1137"/>
      <c r="J642" s="407"/>
      <c r="K642" s="407"/>
      <c r="L642" s="407"/>
      <c r="M642" s="407"/>
      <c r="N642" s="407"/>
      <c r="O642" s="1137"/>
      <c r="P642" s="407"/>
      <c r="Q642" s="407"/>
      <c r="R642" s="407"/>
      <c r="S642" s="1137"/>
      <c r="T642" s="407"/>
      <c r="U642" s="407"/>
      <c r="V642" s="407"/>
      <c r="W642" s="1128"/>
      <c r="X642"/>
      <c r="Y642"/>
      <c r="Z642"/>
      <c r="AA642"/>
      <c r="AB642"/>
    </row>
    <row r="643" spans="1:28">
      <c r="A643" s="1125"/>
      <c r="B643" s="404"/>
      <c r="C643" s="408"/>
      <c r="D643" s="408"/>
      <c r="E643" s="408"/>
      <c r="F643" s="408"/>
      <c r="G643" s="408"/>
      <c r="H643" s="408"/>
      <c r="I643" s="1138"/>
      <c r="J643" s="408"/>
      <c r="K643" s="408"/>
      <c r="L643" s="408"/>
      <c r="M643" s="408"/>
      <c r="N643" s="408"/>
      <c r="O643" s="1138"/>
      <c r="P643" s="408"/>
      <c r="Q643" s="408"/>
      <c r="R643" s="408"/>
      <c r="S643" s="1138"/>
      <c r="T643" s="408"/>
      <c r="U643" s="408"/>
      <c r="V643" s="408"/>
      <c r="W643" s="1129"/>
      <c r="X643"/>
      <c r="Y643"/>
      <c r="Z643"/>
      <c r="AA643"/>
      <c r="AB643"/>
    </row>
    <row r="644" spans="1:28">
      <c r="A644" s="1125"/>
      <c r="B644" s="1135"/>
      <c r="C644" s="520"/>
      <c r="D644" s="520"/>
      <c r="E644" s="520"/>
      <c r="F644" s="520"/>
      <c r="G644" s="520"/>
      <c r="H644" s="520"/>
      <c r="I644" s="1139"/>
      <c r="J644" s="520"/>
      <c r="K644" s="520"/>
      <c r="L644" s="520"/>
      <c r="M644" s="520"/>
      <c r="N644" s="520"/>
      <c r="O644" s="1139"/>
      <c r="P644" s="520"/>
      <c r="Q644" s="520"/>
      <c r="R644" s="520"/>
      <c r="S644" s="1139"/>
      <c r="T644" s="520"/>
      <c r="U644" s="520"/>
      <c r="V644" s="520"/>
      <c r="W644" s="1152"/>
      <c r="X644"/>
      <c r="Y644"/>
      <c r="Z644"/>
      <c r="AA644"/>
      <c r="AB644"/>
    </row>
    <row r="645" spans="1:28">
      <c r="A645" s="1125"/>
      <c r="B645" s="403"/>
      <c r="C645" s="407"/>
      <c r="D645" s="407"/>
      <c r="E645" s="407"/>
      <c r="F645" s="407"/>
      <c r="G645" s="407"/>
      <c r="H645" s="407"/>
      <c r="I645" s="1137"/>
      <c r="J645" s="407"/>
      <c r="K645" s="407"/>
      <c r="L645" s="407"/>
      <c r="M645" s="407"/>
      <c r="N645" s="407"/>
      <c r="O645" s="1137"/>
      <c r="P645" s="407"/>
      <c r="Q645" s="407"/>
      <c r="R645" s="407"/>
      <c r="S645" s="1137"/>
      <c r="T645" s="407"/>
      <c r="U645" s="407"/>
      <c r="V645" s="407"/>
      <c r="W645" s="1128"/>
      <c r="X645"/>
      <c r="Y645"/>
      <c r="Z645"/>
      <c r="AA645"/>
      <c r="AB645"/>
    </row>
    <row r="646" spans="1:28">
      <c r="A646" s="1125"/>
      <c r="B646" s="404"/>
      <c r="C646" s="408"/>
      <c r="D646" s="408"/>
      <c r="E646" s="408"/>
      <c r="F646" s="408"/>
      <c r="G646" s="408"/>
      <c r="H646" s="408"/>
      <c r="I646" s="1138"/>
      <c r="J646" s="408"/>
      <c r="K646" s="408"/>
      <c r="L646" s="408"/>
      <c r="M646" s="408"/>
      <c r="N646" s="408"/>
      <c r="O646" s="1138"/>
      <c r="P646" s="408"/>
      <c r="Q646" s="408"/>
      <c r="R646" s="408"/>
      <c r="S646" s="1138"/>
      <c r="T646" s="408"/>
      <c r="U646" s="408"/>
      <c r="V646" s="408"/>
      <c r="W646" s="1129"/>
      <c r="X646"/>
      <c r="Y646"/>
      <c r="Z646"/>
      <c r="AA646"/>
      <c r="AB646"/>
    </row>
    <row r="647" spans="1:28">
      <c r="A647" s="1125"/>
      <c r="B647" s="1135"/>
      <c r="C647" s="520"/>
      <c r="D647" s="520"/>
      <c r="E647" s="520"/>
      <c r="F647" s="520"/>
      <c r="G647" s="520"/>
      <c r="H647" s="520"/>
      <c r="I647" s="1139"/>
      <c r="J647" s="520"/>
      <c r="K647" s="520"/>
      <c r="L647" s="520"/>
      <c r="M647" s="520"/>
      <c r="N647" s="520"/>
      <c r="O647" s="1139"/>
      <c r="P647" s="520"/>
      <c r="Q647" s="520"/>
      <c r="R647" s="520"/>
      <c r="S647" s="1139"/>
      <c r="T647" s="520"/>
      <c r="U647" s="520"/>
      <c r="V647" s="520"/>
      <c r="W647" s="1152"/>
      <c r="X647"/>
      <c r="Y647"/>
      <c r="Z647"/>
      <c r="AA647"/>
      <c r="AB647"/>
    </row>
    <row r="648" spans="1:28">
      <c r="A648" s="1125"/>
      <c r="B648" s="403"/>
      <c r="C648" s="407"/>
      <c r="D648" s="407"/>
      <c r="E648" s="407"/>
      <c r="F648" s="407"/>
      <c r="G648" s="407"/>
      <c r="H648" s="407"/>
      <c r="I648" s="1137"/>
      <c r="J648" s="407"/>
      <c r="K648" s="407"/>
      <c r="L648" s="407"/>
      <c r="M648" s="407"/>
      <c r="N648" s="407"/>
      <c r="O648" s="1137"/>
      <c r="P648" s="407"/>
      <c r="Q648" s="407"/>
      <c r="R648" s="407"/>
      <c r="S648" s="1137"/>
      <c r="T648" s="407"/>
      <c r="U648" s="407"/>
      <c r="V648" s="407"/>
      <c r="W648" s="1128"/>
      <c r="X648"/>
      <c r="Y648"/>
      <c r="Z648"/>
      <c r="AA648"/>
      <c r="AB648"/>
    </row>
    <row r="649" spans="1:28">
      <c r="A649" s="1125"/>
      <c r="B649" s="404"/>
      <c r="C649" s="408"/>
      <c r="D649" s="408"/>
      <c r="E649" s="408"/>
      <c r="F649" s="408"/>
      <c r="G649" s="408"/>
      <c r="H649" s="408"/>
      <c r="I649" s="1138"/>
      <c r="J649" s="408"/>
      <c r="K649" s="408"/>
      <c r="L649" s="408"/>
      <c r="M649" s="408"/>
      <c r="N649" s="408"/>
      <c r="O649" s="1138"/>
      <c r="P649" s="408"/>
      <c r="Q649" s="408"/>
      <c r="R649" s="408"/>
      <c r="S649" s="1138"/>
      <c r="T649" s="408"/>
      <c r="U649" s="408"/>
      <c r="V649" s="408"/>
      <c r="W649" s="1129"/>
      <c r="X649"/>
      <c r="Y649"/>
      <c r="Z649"/>
      <c r="AA649"/>
      <c r="AB649"/>
    </row>
    <row r="650" spans="1:28">
      <c r="A650" s="1125"/>
      <c r="B650" s="1135"/>
      <c r="C650" s="520"/>
      <c r="D650" s="520"/>
      <c r="E650" s="520"/>
      <c r="F650" s="520"/>
      <c r="G650" s="520"/>
      <c r="H650" s="520"/>
      <c r="I650" s="1139"/>
      <c r="J650" s="520"/>
      <c r="K650" s="520"/>
      <c r="L650" s="520"/>
      <c r="M650" s="520"/>
      <c r="N650" s="520"/>
      <c r="O650" s="1139"/>
      <c r="P650" s="520"/>
      <c r="Q650" s="520"/>
      <c r="R650" s="520"/>
      <c r="S650" s="1139"/>
      <c r="T650" s="520"/>
      <c r="U650" s="520"/>
      <c r="V650" s="520"/>
      <c r="W650" s="1152"/>
      <c r="X650"/>
      <c r="Y650"/>
      <c r="Z650"/>
      <c r="AA650"/>
      <c r="AB650"/>
    </row>
    <row r="651" spans="1:28">
      <c r="A651" s="1125"/>
      <c r="B651" s="403"/>
      <c r="C651" s="407"/>
      <c r="D651" s="407"/>
      <c r="E651" s="407"/>
      <c r="F651" s="407"/>
      <c r="G651" s="407"/>
      <c r="H651" s="407"/>
      <c r="I651" s="1137"/>
      <c r="J651" s="407"/>
      <c r="K651" s="407"/>
      <c r="L651" s="407"/>
      <c r="M651" s="407"/>
      <c r="N651" s="407"/>
      <c r="O651" s="1137"/>
      <c r="P651" s="407"/>
      <c r="Q651" s="407"/>
      <c r="R651" s="407"/>
      <c r="S651" s="1137"/>
      <c r="T651" s="407"/>
      <c r="U651" s="407"/>
      <c r="V651" s="407"/>
      <c r="W651" s="1128"/>
      <c r="X651"/>
      <c r="Y651"/>
      <c r="Z651"/>
      <c r="AA651"/>
      <c r="AB651"/>
    </row>
    <row r="652" spans="1:28">
      <c r="A652" s="1125"/>
      <c r="B652" s="404"/>
      <c r="C652" s="408"/>
      <c r="D652" s="408"/>
      <c r="E652" s="408"/>
      <c r="F652" s="408"/>
      <c r="G652" s="408"/>
      <c r="H652" s="408"/>
      <c r="I652" s="1138"/>
      <c r="J652" s="408"/>
      <c r="K652" s="408"/>
      <c r="L652" s="408"/>
      <c r="M652" s="408"/>
      <c r="N652" s="408"/>
      <c r="O652" s="1138"/>
      <c r="P652" s="408"/>
      <c r="Q652" s="408"/>
      <c r="R652" s="408"/>
      <c r="S652" s="1138"/>
      <c r="T652" s="408"/>
      <c r="U652" s="408"/>
      <c r="V652" s="408"/>
      <c r="W652" s="1129"/>
      <c r="X652"/>
      <c r="Y652"/>
      <c r="Z652"/>
      <c r="AA652"/>
      <c r="AB652"/>
    </row>
    <row r="653" spans="1:28">
      <c r="A653" s="1125"/>
      <c r="B653" s="1135"/>
      <c r="C653" s="520"/>
      <c r="D653" s="520"/>
      <c r="E653" s="520"/>
      <c r="F653" s="520"/>
      <c r="G653" s="520"/>
      <c r="H653" s="520"/>
      <c r="I653" s="1139"/>
      <c r="J653" s="520"/>
      <c r="K653" s="520"/>
      <c r="L653" s="520"/>
      <c r="M653" s="520"/>
      <c r="N653" s="520"/>
      <c r="O653" s="1139"/>
      <c r="P653" s="520"/>
      <c r="Q653" s="520"/>
      <c r="R653" s="520"/>
      <c r="S653" s="1139"/>
      <c r="T653" s="520"/>
      <c r="U653" s="520"/>
      <c r="V653" s="520"/>
      <c r="W653" s="1152"/>
      <c r="X653"/>
      <c r="Y653"/>
      <c r="Z653"/>
      <c r="AA653"/>
      <c r="AB653"/>
    </row>
    <row r="654" spans="1:28">
      <c r="A654" s="1125"/>
      <c r="B654" s="403"/>
      <c r="C654" s="407"/>
      <c r="D654" s="407"/>
      <c r="E654" s="407"/>
      <c r="F654" s="407"/>
      <c r="G654" s="407"/>
      <c r="H654" s="407"/>
      <c r="I654" s="1137"/>
      <c r="J654" s="407"/>
      <c r="K654" s="407"/>
      <c r="L654" s="407"/>
      <c r="M654" s="407"/>
      <c r="N654" s="407"/>
      <c r="O654" s="1137"/>
      <c r="P654" s="407"/>
      <c r="Q654" s="407"/>
      <c r="R654" s="407"/>
      <c r="S654" s="1137"/>
      <c r="T654" s="407"/>
      <c r="U654" s="407"/>
      <c r="V654" s="407"/>
      <c r="W654" s="1128"/>
      <c r="X654"/>
      <c r="Y654"/>
      <c r="Z654"/>
      <c r="AA654"/>
      <c r="AB654"/>
    </row>
    <row r="655" spans="1:28">
      <c r="A655" s="1125"/>
      <c r="B655" s="404"/>
      <c r="C655" s="408"/>
      <c r="D655" s="408"/>
      <c r="E655" s="408"/>
      <c r="F655" s="408"/>
      <c r="G655" s="408"/>
      <c r="H655" s="408"/>
      <c r="I655" s="1138"/>
      <c r="J655" s="408"/>
      <c r="K655" s="408"/>
      <c r="L655" s="408"/>
      <c r="M655" s="408"/>
      <c r="N655" s="408"/>
      <c r="O655" s="1138"/>
      <c r="P655" s="408"/>
      <c r="Q655" s="408"/>
      <c r="R655" s="408"/>
      <c r="S655" s="1138"/>
      <c r="T655" s="408"/>
      <c r="U655" s="408"/>
      <c r="V655" s="408"/>
      <c r="W655" s="1129"/>
      <c r="X655"/>
      <c r="Y655"/>
      <c r="Z655"/>
      <c r="AA655"/>
      <c r="AB655"/>
    </row>
    <row r="656" spans="1:28">
      <c r="A656" s="1125"/>
      <c r="B656" s="1135"/>
      <c r="C656" s="520"/>
      <c r="D656" s="520"/>
      <c r="E656" s="520"/>
      <c r="F656" s="520"/>
      <c r="G656" s="520"/>
      <c r="H656" s="520"/>
      <c r="I656" s="1139"/>
      <c r="J656" s="520"/>
      <c r="K656" s="520"/>
      <c r="L656" s="520"/>
      <c r="M656" s="520"/>
      <c r="N656" s="520"/>
      <c r="O656" s="1139"/>
      <c r="P656" s="520"/>
      <c r="Q656" s="520"/>
      <c r="R656" s="520"/>
      <c r="S656" s="1139"/>
      <c r="T656" s="520"/>
      <c r="U656" s="520"/>
      <c r="V656" s="520"/>
      <c r="W656" s="1152"/>
      <c r="X656"/>
      <c r="Y656"/>
      <c r="Z656"/>
      <c r="AA656"/>
      <c r="AB656"/>
    </row>
    <row r="657" spans="1:28">
      <c r="A657" s="1125"/>
      <c r="B657" s="403"/>
      <c r="C657" s="407"/>
      <c r="D657" s="407"/>
      <c r="E657" s="407"/>
      <c r="F657" s="407"/>
      <c r="G657" s="407"/>
      <c r="H657" s="407"/>
      <c r="I657" s="1137"/>
      <c r="J657" s="407"/>
      <c r="K657" s="407"/>
      <c r="L657" s="407"/>
      <c r="M657" s="407"/>
      <c r="N657" s="407"/>
      <c r="O657" s="1137"/>
      <c r="P657" s="407"/>
      <c r="Q657" s="407"/>
      <c r="R657" s="407"/>
      <c r="S657" s="1137"/>
      <c r="T657" s="407"/>
      <c r="U657" s="407"/>
      <c r="V657" s="407"/>
      <c r="W657" s="1128"/>
      <c r="X657"/>
      <c r="Y657"/>
      <c r="Z657"/>
      <c r="AA657"/>
      <c r="AB657"/>
    </row>
    <row r="658" spans="1:28">
      <c r="A658" s="1125"/>
      <c r="B658" s="404"/>
      <c r="C658" s="408"/>
      <c r="D658" s="408"/>
      <c r="E658" s="408"/>
      <c r="F658" s="408"/>
      <c r="G658" s="408"/>
      <c r="H658" s="408"/>
      <c r="I658" s="1138"/>
      <c r="J658" s="408"/>
      <c r="K658" s="408"/>
      <c r="L658" s="408"/>
      <c r="M658" s="408"/>
      <c r="N658" s="408"/>
      <c r="O658" s="1138"/>
      <c r="P658" s="408"/>
      <c r="Q658" s="408"/>
      <c r="R658" s="408"/>
      <c r="S658" s="1138"/>
      <c r="T658" s="408"/>
      <c r="U658" s="408"/>
      <c r="V658" s="408"/>
      <c r="W658" s="1129"/>
      <c r="X658"/>
      <c r="Y658"/>
      <c r="Z658"/>
      <c r="AA658"/>
      <c r="AB658"/>
    </row>
    <row r="659" spans="1:28">
      <c r="A659" s="1125"/>
      <c r="B659" s="1135"/>
      <c r="C659" s="520"/>
      <c r="D659" s="520"/>
      <c r="E659" s="520"/>
      <c r="F659" s="520"/>
      <c r="G659" s="520"/>
      <c r="H659" s="520"/>
      <c r="I659" s="1139"/>
      <c r="J659" s="520"/>
      <c r="K659" s="520"/>
      <c r="L659" s="520"/>
      <c r="M659" s="520"/>
      <c r="N659" s="520"/>
      <c r="O659" s="1139"/>
      <c r="P659" s="520"/>
      <c r="Q659" s="520"/>
      <c r="R659" s="520"/>
      <c r="S659" s="1139"/>
      <c r="T659" s="520"/>
      <c r="U659" s="520"/>
      <c r="V659" s="520"/>
      <c r="W659" s="1152"/>
      <c r="X659"/>
      <c r="Y659"/>
      <c r="Z659"/>
      <c r="AA659"/>
      <c r="AB659"/>
    </row>
    <row r="660" spans="1:28">
      <c r="A660" s="1125"/>
      <c r="B660" s="403"/>
      <c r="C660" s="407"/>
      <c r="D660" s="407"/>
      <c r="E660" s="407"/>
      <c r="F660" s="407"/>
      <c r="G660" s="407"/>
      <c r="H660" s="407"/>
      <c r="I660" s="1137"/>
      <c r="J660" s="407"/>
      <c r="K660" s="407"/>
      <c r="L660" s="407"/>
      <c r="M660" s="407"/>
      <c r="N660" s="407"/>
      <c r="O660" s="1137"/>
      <c r="P660" s="407"/>
      <c r="Q660" s="407"/>
      <c r="R660" s="407"/>
      <c r="S660" s="1137"/>
      <c r="T660" s="407"/>
      <c r="U660" s="407"/>
      <c r="V660" s="407"/>
      <c r="W660" s="1128"/>
      <c r="X660"/>
      <c r="Y660"/>
      <c r="Z660"/>
      <c r="AA660"/>
      <c r="AB660"/>
    </row>
    <row r="661" spans="1:28">
      <c r="A661" s="1125"/>
      <c r="B661" s="404"/>
      <c r="C661" s="408"/>
      <c r="D661" s="408"/>
      <c r="E661" s="408"/>
      <c r="F661" s="408"/>
      <c r="G661" s="408"/>
      <c r="H661" s="408"/>
      <c r="I661" s="1138"/>
      <c r="J661" s="408"/>
      <c r="K661" s="408"/>
      <c r="L661" s="408"/>
      <c r="M661" s="408"/>
      <c r="N661" s="408"/>
      <c r="O661" s="1138"/>
      <c r="P661" s="408"/>
      <c r="Q661" s="408"/>
      <c r="R661" s="408"/>
      <c r="S661" s="1138"/>
      <c r="T661" s="408"/>
      <c r="U661" s="408"/>
      <c r="V661" s="408"/>
      <c r="W661" s="1129"/>
      <c r="X661"/>
      <c r="Y661"/>
      <c r="Z661"/>
      <c r="AA661"/>
      <c r="AB661"/>
    </row>
    <row r="662" spans="1:28">
      <c r="A662" s="1125"/>
      <c r="B662" s="1135"/>
      <c r="C662" s="520"/>
      <c r="D662" s="520"/>
      <c r="E662" s="520"/>
      <c r="F662" s="520"/>
      <c r="G662" s="520"/>
      <c r="H662" s="520"/>
      <c r="I662" s="1139"/>
      <c r="J662" s="520"/>
      <c r="K662" s="520"/>
      <c r="L662" s="520"/>
      <c r="M662" s="520"/>
      <c r="N662" s="520"/>
      <c r="O662" s="1139"/>
      <c r="P662" s="520"/>
      <c r="Q662" s="520"/>
      <c r="R662" s="520"/>
      <c r="S662" s="1139"/>
      <c r="T662" s="520"/>
      <c r="U662" s="520"/>
      <c r="V662" s="520"/>
      <c r="W662" s="1152"/>
      <c r="X662"/>
      <c r="Y662"/>
      <c r="Z662"/>
      <c r="AA662"/>
      <c r="AB662"/>
    </row>
    <row r="663" spans="1:28">
      <c r="A663" s="1125"/>
      <c r="B663" s="403"/>
      <c r="C663" s="407"/>
      <c r="D663" s="407"/>
      <c r="E663" s="407"/>
      <c r="F663" s="407"/>
      <c r="G663" s="407"/>
      <c r="H663" s="407"/>
      <c r="I663" s="1137"/>
      <c r="J663" s="407"/>
      <c r="K663" s="407"/>
      <c r="L663" s="407"/>
      <c r="M663" s="407"/>
      <c r="N663" s="407"/>
      <c r="O663" s="1137"/>
      <c r="P663" s="407"/>
      <c r="Q663" s="407"/>
      <c r="R663" s="407"/>
      <c r="S663" s="1137"/>
      <c r="T663" s="407"/>
      <c r="U663" s="407"/>
      <c r="V663" s="407"/>
      <c r="W663" s="1128"/>
      <c r="X663"/>
      <c r="Y663"/>
      <c r="Z663"/>
      <c r="AA663"/>
      <c r="AB663"/>
    </row>
    <row r="664" spans="1:28">
      <c r="A664" s="1125"/>
      <c r="B664" s="404"/>
      <c r="C664" s="408"/>
      <c r="D664" s="408"/>
      <c r="E664" s="408"/>
      <c r="F664" s="408"/>
      <c r="G664" s="408"/>
      <c r="H664" s="408"/>
      <c r="I664" s="1138"/>
      <c r="J664" s="408"/>
      <c r="K664" s="408"/>
      <c r="L664" s="408"/>
      <c r="M664" s="408"/>
      <c r="N664" s="408"/>
      <c r="O664" s="1138"/>
      <c r="P664" s="408"/>
      <c r="Q664" s="408"/>
      <c r="R664" s="408"/>
      <c r="S664" s="1138"/>
      <c r="T664" s="408"/>
      <c r="U664" s="408"/>
      <c r="V664" s="408"/>
      <c r="W664" s="1129"/>
      <c r="X664"/>
      <c r="Y664"/>
      <c r="Z664"/>
      <c r="AA664"/>
      <c r="AB664"/>
    </row>
    <row r="665" spans="1:28">
      <c r="A665" s="1125"/>
      <c r="B665" s="1135"/>
      <c r="C665" s="520"/>
      <c r="D665" s="520"/>
      <c r="E665" s="520"/>
      <c r="F665" s="520"/>
      <c r="G665" s="520"/>
      <c r="H665" s="520"/>
      <c r="I665" s="1139"/>
      <c r="J665" s="520"/>
      <c r="K665" s="520"/>
      <c r="L665" s="520"/>
      <c r="M665" s="520"/>
      <c r="N665" s="520"/>
      <c r="O665" s="1139"/>
      <c r="P665" s="520"/>
      <c r="Q665" s="520"/>
      <c r="R665" s="520"/>
      <c r="S665" s="1139"/>
      <c r="T665" s="520"/>
      <c r="U665" s="520"/>
      <c r="V665" s="520"/>
      <c r="W665" s="1152"/>
      <c r="X665"/>
      <c r="Y665"/>
      <c r="Z665"/>
      <c r="AA665"/>
      <c r="AB665"/>
    </row>
    <row r="666" spans="1:28">
      <c r="A666" s="1125"/>
      <c r="B666" s="403"/>
      <c r="C666" s="407"/>
      <c r="D666" s="407"/>
      <c r="E666" s="407"/>
      <c r="F666" s="407"/>
      <c r="G666" s="407"/>
      <c r="H666" s="407"/>
      <c r="I666" s="1137"/>
      <c r="J666" s="407"/>
      <c r="K666" s="407"/>
      <c r="L666" s="407"/>
      <c r="M666" s="407"/>
      <c r="N666" s="407"/>
      <c r="O666" s="1137"/>
      <c r="P666" s="407"/>
      <c r="Q666" s="407"/>
      <c r="R666" s="407"/>
      <c r="S666" s="1137"/>
      <c r="T666" s="407"/>
      <c r="U666" s="407"/>
      <c r="V666" s="407"/>
      <c r="W666" s="1128"/>
      <c r="X666"/>
      <c r="Y666"/>
      <c r="Z666"/>
      <c r="AA666"/>
      <c r="AB666"/>
    </row>
    <row r="667" spans="1:28">
      <c r="A667" s="1125"/>
      <c r="B667" s="404"/>
      <c r="C667" s="408"/>
      <c r="D667" s="408"/>
      <c r="E667" s="408"/>
      <c r="F667" s="408"/>
      <c r="G667" s="408"/>
      <c r="H667" s="408"/>
      <c r="I667" s="1138"/>
      <c r="J667" s="408"/>
      <c r="K667" s="408"/>
      <c r="L667" s="408"/>
      <c r="M667" s="408"/>
      <c r="N667" s="408"/>
      <c r="O667" s="1138"/>
      <c r="P667" s="408"/>
      <c r="Q667" s="408"/>
      <c r="R667" s="408"/>
      <c r="S667" s="1138"/>
      <c r="T667" s="408"/>
      <c r="U667" s="408"/>
      <c r="V667" s="408"/>
      <c r="W667" s="1129"/>
      <c r="X667"/>
      <c r="Y667"/>
      <c r="Z667"/>
      <c r="AA667"/>
      <c r="AB667"/>
    </row>
    <row r="668" spans="1:28">
      <c r="A668" s="1136"/>
      <c r="B668" s="1135"/>
      <c r="C668" s="520"/>
      <c r="D668" s="520"/>
      <c r="E668" s="520"/>
      <c r="F668" s="520"/>
      <c r="G668" s="520"/>
      <c r="H668" s="520"/>
      <c r="I668" s="1139"/>
      <c r="J668" s="520"/>
      <c r="K668" s="520"/>
      <c r="L668" s="520"/>
      <c r="M668" s="520"/>
      <c r="N668" s="520"/>
      <c r="O668" s="1139"/>
      <c r="P668" s="520"/>
      <c r="Q668" s="520"/>
      <c r="R668" s="520"/>
      <c r="S668" s="1139"/>
      <c r="T668" s="520"/>
      <c r="U668" s="520"/>
      <c r="V668" s="520"/>
      <c r="W668" s="1152"/>
      <c r="X668"/>
      <c r="Y668"/>
      <c r="Z668"/>
      <c r="AA668"/>
      <c r="AB668"/>
    </row>
    <row r="669" spans="1:28">
      <c r="A669" s="1146"/>
      <c r="B669" s="1146"/>
      <c r="C669" s="1146"/>
      <c r="D669" s="1146"/>
      <c r="E669" s="1146"/>
      <c r="F669" s="1146"/>
      <c r="G669" s="1146"/>
      <c r="H669" s="1146"/>
      <c r="I669" s="1146"/>
      <c r="J669" s="1146"/>
      <c r="K669" s="1146"/>
      <c r="L669" s="1146"/>
      <c r="M669" s="1146"/>
      <c r="N669" s="1146"/>
      <c r="O669" s="1146"/>
      <c r="P669" s="1146"/>
      <c r="Q669" s="1146"/>
      <c r="R669" s="1146"/>
      <c r="S669" s="1146"/>
      <c r="T669" s="1146"/>
      <c r="U669" s="1146"/>
      <c r="V669" s="1146"/>
      <c r="W669" s="1146"/>
      <c r="X669" s="1146"/>
      <c r="Y669" s="1146"/>
      <c r="Z669" s="1146"/>
      <c r="AA669" s="1146"/>
      <c r="AB669" s="1146"/>
    </row>
    <row r="670" spans="1:28">
      <c r="A670" s="1146"/>
      <c r="B670" s="1146"/>
      <c r="C670" s="1146"/>
      <c r="D670" s="1146"/>
      <c r="E670" s="1146"/>
      <c r="F670" s="1146"/>
      <c r="G670" s="1146"/>
      <c r="H670" s="1146"/>
      <c r="I670" s="1146"/>
      <c r="J670" s="1146"/>
      <c r="K670" s="1146"/>
      <c r="L670" s="1146"/>
      <c r="M670" s="1146"/>
      <c r="N670" s="1146"/>
      <c r="O670" s="1146"/>
      <c r="P670" s="1146"/>
      <c r="Q670" s="1146"/>
      <c r="R670" s="1146"/>
      <c r="S670" s="1146"/>
      <c r="T670" s="1146"/>
      <c r="U670" s="1146"/>
      <c r="V670" s="1146"/>
      <c r="W670" s="1146"/>
      <c r="X670" s="1146"/>
      <c r="Y670" s="1146"/>
      <c r="Z670" s="1146"/>
      <c r="AA670" s="1146"/>
      <c r="AB670" s="1146"/>
    </row>
    <row r="671" spans="1:28">
      <c r="A671" s="1146"/>
      <c r="B671" s="1146"/>
      <c r="C671" s="1146"/>
      <c r="D671" s="1146"/>
      <c r="E671" s="1146"/>
      <c r="F671" s="1146"/>
      <c r="G671" s="1146"/>
      <c r="H671" s="1146"/>
      <c r="I671" s="1146"/>
      <c r="J671" s="1146"/>
      <c r="K671" s="1146"/>
      <c r="L671" s="1146"/>
      <c r="M671" s="1146"/>
      <c r="N671" s="1146"/>
      <c r="O671" s="1146"/>
      <c r="P671" s="1146"/>
      <c r="Q671" s="1146"/>
      <c r="R671" s="1146"/>
      <c r="S671" s="1146"/>
      <c r="T671" s="1146"/>
      <c r="U671" s="1146"/>
      <c r="V671" s="1146"/>
      <c r="W671" s="1146"/>
      <c r="X671" s="1146"/>
      <c r="Y671" s="1146"/>
      <c r="Z671" s="1146"/>
      <c r="AA671" s="1146"/>
      <c r="AB671" s="1146"/>
    </row>
    <row r="672" spans="1:28">
      <c r="A672" s="1146"/>
      <c r="B672" s="1146"/>
      <c r="C672" s="1146"/>
      <c r="D672" s="1146"/>
      <c r="E672" s="1146"/>
      <c r="F672" s="1146"/>
      <c r="G672" s="1146"/>
      <c r="H672" s="1146"/>
      <c r="I672" s="1146"/>
      <c r="J672" s="1146"/>
      <c r="K672" s="1146"/>
      <c r="L672" s="1146"/>
      <c r="M672" s="1146"/>
      <c r="N672" s="1146"/>
      <c r="O672" s="1146"/>
      <c r="P672" s="1146"/>
      <c r="Q672" s="1146"/>
      <c r="R672" s="1146"/>
      <c r="S672" s="1146"/>
      <c r="T672" s="1146"/>
      <c r="U672" s="1146"/>
      <c r="V672" s="1146"/>
      <c r="W672" s="1146"/>
      <c r="X672" s="1146"/>
      <c r="Y672" s="1146"/>
      <c r="Z672" s="1146"/>
      <c r="AA672" s="1146"/>
      <c r="AB672" s="1146"/>
    </row>
    <row r="673" spans="1:28">
      <c r="A673" s="1146"/>
      <c r="B673" s="1146"/>
      <c r="C673" s="1146"/>
      <c r="D673" s="1146"/>
      <c r="E673" s="1146"/>
      <c r="F673" s="1146"/>
      <c r="G673" s="1146"/>
      <c r="H673" s="1146"/>
      <c r="I673" s="1146"/>
      <c r="J673" s="1146"/>
      <c r="K673" s="1146"/>
      <c r="L673" s="1146"/>
      <c r="M673" s="1146"/>
      <c r="N673" s="1146"/>
      <c r="O673" s="1146"/>
      <c r="P673" s="1146"/>
      <c r="Q673" s="1146"/>
      <c r="R673" s="1146"/>
      <c r="S673" s="1146"/>
      <c r="T673" s="1146"/>
      <c r="U673" s="1146"/>
      <c r="V673" s="1146"/>
      <c r="W673" s="1146"/>
      <c r="X673" s="1146"/>
      <c r="Y673" s="1146"/>
      <c r="Z673" s="1146"/>
      <c r="AA673" s="1146"/>
      <c r="AB673" s="1146"/>
    </row>
    <row r="674" spans="1:28">
      <c r="A674" s="1146"/>
      <c r="B674" s="1146"/>
      <c r="C674" s="1146"/>
      <c r="D674" s="1146"/>
      <c r="E674" s="1146"/>
      <c r="F674" s="1146"/>
      <c r="G674" s="1146"/>
      <c r="H674" s="1146"/>
      <c r="I674" s="1146"/>
      <c r="J674" s="1146"/>
      <c r="K674" s="1146"/>
      <c r="L674" s="1146"/>
      <c r="M674" s="1146"/>
      <c r="N674" s="1146"/>
      <c r="O674" s="1146"/>
      <c r="P674" s="1146"/>
      <c r="Q674" s="1146"/>
      <c r="R674" s="1146"/>
      <c r="S674" s="1146"/>
      <c r="T674" s="1146"/>
      <c r="U674" s="1146"/>
      <c r="V674" s="1146"/>
      <c r="W674" s="1146"/>
      <c r="X674" s="1146"/>
      <c r="Y674" s="1146"/>
      <c r="Z674" s="1146"/>
      <c r="AA674" s="1146"/>
      <c r="AB674" s="1146"/>
    </row>
    <row r="675" spans="1:28">
      <c r="A675" s="1146"/>
      <c r="B675" s="1146"/>
      <c r="C675" s="1146"/>
      <c r="D675" s="1146"/>
      <c r="E675" s="1146"/>
      <c r="F675" s="1146"/>
      <c r="G675" s="1146"/>
      <c r="H675" s="1146"/>
      <c r="I675" s="1146"/>
      <c r="J675" s="1146"/>
      <c r="K675" s="1146"/>
      <c r="L675" s="1146"/>
      <c r="M675" s="1146"/>
      <c r="N675" s="1146"/>
      <c r="O675" s="1146"/>
      <c r="P675" s="1146"/>
      <c r="Q675" s="1146"/>
      <c r="R675" s="1146"/>
      <c r="S675" s="1146"/>
      <c r="T675" s="1146"/>
      <c r="U675" s="1146"/>
      <c r="V675" s="1146"/>
      <c r="W675" s="1146"/>
      <c r="X675" s="1146"/>
      <c r="Y675" s="1146"/>
      <c r="Z675" s="1146"/>
      <c r="AA675" s="1146"/>
      <c r="AB675" s="1146"/>
    </row>
    <row r="676" spans="1:28">
      <c r="A676" s="1146"/>
      <c r="B676" s="1146"/>
      <c r="C676" s="1146"/>
      <c r="D676" s="1146"/>
      <c r="E676" s="1146"/>
      <c r="F676" s="1146"/>
      <c r="G676" s="1146"/>
      <c r="H676" s="1146"/>
      <c r="I676" s="1146"/>
      <c r="J676" s="1146"/>
      <c r="K676" s="1146"/>
      <c r="L676" s="1146"/>
      <c r="M676" s="1146"/>
      <c r="N676" s="1146"/>
      <c r="O676" s="1146"/>
      <c r="P676" s="1146"/>
      <c r="Q676" s="1146"/>
      <c r="R676" s="1146"/>
      <c r="S676" s="1146"/>
      <c r="T676" s="1146"/>
      <c r="U676" s="1146"/>
      <c r="V676" s="1146"/>
      <c r="W676" s="1146"/>
      <c r="X676" s="1146"/>
      <c r="Y676" s="1146"/>
      <c r="Z676" s="1146"/>
      <c r="AA676" s="1146"/>
      <c r="AB676" s="1146"/>
    </row>
    <row r="677" spans="1:28">
      <c r="A677" s="1146"/>
      <c r="B677" s="1146"/>
      <c r="C677" s="1146"/>
      <c r="D677" s="1146"/>
      <c r="E677" s="1146"/>
      <c r="F677" s="1146"/>
      <c r="G677" s="1146"/>
      <c r="H677" s="1146"/>
      <c r="I677" s="1146"/>
      <c r="J677" s="1146"/>
      <c r="K677" s="1146"/>
      <c r="L677" s="1146"/>
      <c r="M677" s="1146"/>
      <c r="N677" s="1146"/>
      <c r="O677" s="1146"/>
      <c r="P677" s="1146"/>
      <c r="Q677" s="1146"/>
      <c r="R677" s="1146"/>
      <c r="S677" s="1146"/>
      <c r="T677" s="1146"/>
      <c r="U677" s="1146"/>
      <c r="V677" s="1146"/>
      <c r="W677" s="1146"/>
      <c r="X677" s="1146"/>
      <c r="Y677" s="1146"/>
      <c r="Z677" s="1146"/>
      <c r="AA677" s="1146"/>
      <c r="AB677" s="1146"/>
    </row>
    <row r="678" spans="1:28">
      <c r="A678" s="1146"/>
      <c r="B678" s="1146"/>
      <c r="C678" s="1146"/>
      <c r="D678" s="1146"/>
      <c r="E678" s="1146"/>
      <c r="F678" s="1146"/>
      <c r="G678" s="1146"/>
      <c r="H678" s="1146"/>
      <c r="I678" s="1146"/>
      <c r="J678" s="1146"/>
      <c r="K678" s="1146"/>
      <c r="L678" s="1146"/>
      <c r="M678" s="1146"/>
      <c r="N678" s="1146"/>
      <c r="O678" s="1146"/>
      <c r="P678" s="1146"/>
      <c r="Q678" s="1146"/>
      <c r="R678" s="1146"/>
      <c r="S678" s="1146"/>
      <c r="T678" s="1146"/>
      <c r="U678" s="1146"/>
      <c r="V678" s="1146"/>
      <c r="W678" s="1146"/>
      <c r="X678" s="1146"/>
      <c r="Y678" s="1146"/>
      <c r="Z678" s="1146"/>
      <c r="AA678" s="1146"/>
      <c r="AB678" s="1146"/>
    </row>
    <row r="679" spans="1:28">
      <c r="A679" s="1146"/>
      <c r="B679" s="1146"/>
      <c r="C679" s="1146"/>
      <c r="D679" s="1146"/>
      <c r="E679" s="1146"/>
      <c r="F679" s="1146"/>
      <c r="G679" s="1146"/>
      <c r="H679" s="1146"/>
      <c r="I679" s="1146"/>
      <c r="J679" s="1146"/>
      <c r="K679" s="1146"/>
      <c r="L679" s="1146"/>
      <c r="M679" s="1146"/>
      <c r="N679" s="1146"/>
      <c r="O679" s="1146"/>
      <c r="P679" s="1146"/>
      <c r="Q679" s="1146"/>
      <c r="R679" s="1146"/>
      <c r="S679" s="1146"/>
      <c r="T679" s="1146"/>
      <c r="U679" s="1146"/>
      <c r="V679" s="1146"/>
      <c r="W679" s="1146"/>
      <c r="X679" s="1146"/>
      <c r="Y679" s="1146"/>
      <c r="Z679" s="1146"/>
      <c r="AA679" s="1146"/>
      <c r="AB679" s="1146"/>
    </row>
    <row r="680" spans="1:28">
      <c r="A680" s="1146"/>
      <c r="B680" s="1146"/>
      <c r="C680" s="1146"/>
      <c r="D680" s="1146"/>
      <c r="E680" s="1146"/>
      <c r="F680" s="1146"/>
      <c r="G680" s="1146"/>
      <c r="H680" s="1146"/>
      <c r="I680" s="1146"/>
      <c r="J680" s="1146"/>
      <c r="K680" s="1146"/>
      <c r="L680" s="1146"/>
      <c r="M680" s="1146"/>
      <c r="N680" s="1146"/>
      <c r="O680" s="1146"/>
      <c r="P680" s="1146"/>
      <c r="Q680" s="1146"/>
      <c r="R680" s="1146"/>
      <c r="S680" s="1146"/>
      <c r="T680" s="1146"/>
      <c r="U680" s="1146"/>
      <c r="V680" s="1146"/>
      <c r="W680" s="1146"/>
      <c r="X680" s="1146"/>
      <c r="Y680" s="1146"/>
      <c r="Z680" s="1146"/>
      <c r="AA680" s="1146"/>
      <c r="AB680" s="1146"/>
    </row>
    <row r="681" spans="1:28">
      <c r="A681" s="1146"/>
      <c r="B681" s="1146"/>
      <c r="C681" s="1146"/>
      <c r="D681" s="1146"/>
      <c r="E681" s="1146"/>
      <c r="F681" s="1146"/>
      <c r="G681" s="1146"/>
      <c r="H681" s="1146"/>
      <c r="I681" s="1146"/>
      <c r="J681" s="1146"/>
      <c r="K681" s="1146"/>
      <c r="L681" s="1146"/>
      <c r="M681" s="1146"/>
      <c r="N681" s="1146"/>
      <c r="O681" s="1146"/>
      <c r="P681" s="1146"/>
      <c r="Q681" s="1146"/>
      <c r="R681" s="1146"/>
      <c r="S681" s="1146"/>
      <c r="T681" s="1146"/>
      <c r="U681" s="1146"/>
      <c r="V681" s="1146"/>
      <c r="W681" s="1146"/>
      <c r="X681" s="1146"/>
      <c r="Y681" s="1146"/>
      <c r="Z681" s="1146"/>
      <c r="AA681" s="1146"/>
      <c r="AB681" s="1146"/>
    </row>
    <row r="682" spans="1:28">
      <c r="A682" s="1146"/>
      <c r="B682" s="1146"/>
      <c r="C682" s="1146"/>
      <c r="D682" s="1146"/>
      <c r="E682" s="1146"/>
      <c r="F682" s="1146"/>
      <c r="G682" s="1146"/>
      <c r="H682" s="1146"/>
      <c r="I682" s="1146"/>
      <c r="J682" s="1146"/>
      <c r="K682" s="1146"/>
      <c r="L682" s="1146"/>
      <c r="M682" s="1146"/>
      <c r="N682" s="1146"/>
      <c r="O682" s="1146"/>
      <c r="P682" s="1146"/>
      <c r="Q682" s="1146"/>
      <c r="R682" s="1146"/>
      <c r="S682" s="1146"/>
      <c r="T682" s="1146"/>
      <c r="U682" s="1146"/>
      <c r="V682" s="1146"/>
      <c r="W682" s="1146"/>
      <c r="X682" s="1146"/>
      <c r="Y682" s="1146"/>
      <c r="Z682" s="1146"/>
      <c r="AA682" s="1146"/>
      <c r="AB682" s="1146"/>
    </row>
    <row r="683" spans="1:28">
      <c r="A683" s="1146"/>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row>
    <row r="684" spans="1:28">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row>
    <row r="685" spans="1:28">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row>
    <row r="686" spans="1:28">
      <c r="A686" s="1146"/>
      <c r="B686" s="1146"/>
      <c r="C686" s="1146"/>
      <c r="D686" s="1146"/>
      <c r="E686" s="1146"/>
      <c r="F686" s="1146"/>
      <c r="G686" s="1146"/>
      <c r="H686" s="1146"/>
      <c r="I686" s="1146"/>
      <c r="J686" s="1146"/>
      <c r="K686" s="1146"/>
      <c r="L686" s="1146"/>
      <c r="M686" s="1146"/>
      <c r="N686" s="1146"/>
      <c r="O686" s="1146"/>
      <c r="P686" s="1146"/>
      <c r="Q686" s="1146"/>
      <c r="R686" s="1146"/>
      <c r="S686" s="1146"/>
      <c r="T686" s="1146"/>
      <c r="U686" s="1146"/>
      <c r="V686" s="1146"/>
      <c r="W686" s="1146"/>
      <c r="X686" s="1146"/>
      <c r="Y686" s="1146"/>
      <c r="Z686" s="1146"/>
      <c r="AA686" s="1146"/>
      <c r="AB686" s="1146"/>
    </row>
    <row r="687" spans="1:28">
      <c r="A687" s="1146"/>
      <c r="B687" s="1146"/>
      <c r="C687" s="1146"/>
      <c r="D687" s="1146"/>
      <c r="E687" s="1146"/>
      <c r="F687" s="1146"/>
      <c r="G687" s="1146"/>
      <c r="H687" s="1146"/>
      <c r="I687" s="1146"/>
      <c r="J687" s="1146"/>
      <c r="K687" s="1146"/>
      <c r="L687" s="1146"/>
      <c r="M687" s="1146"/>
      <c r="N687" s="1146"/>
      <c r="O687" s="1146"/>
      <c r="P687" s="1146"/>
      <c r="Q687" s="1146"/>
      <c r="R687" s="1146"/>
      <c r="S687" s="1146"/>
      <c r="T687" s="1146"/>
      <c r="U687" s="1146"/>
      <c r="V687" s="1146"/>
      <c r="W687" s="1146"/>
      <c r="X687" s="1146"/>
      <c r="Y687" s="1146"/>
      <c r="Z687" s="1146"/>
      <c r="AA687" s="1146"/>
      <c r="AB687" s="1146"/>
    </row>
    <row r="688" spans="1:28">
      <c r="A688" s="1146"/>
      <c r="B688" s="1146"/>
      <c r="C688" s="1146"/>
      <c r="D688" s="1146"/>
      <c r="E688" s="1146"/>
      <c r="F688" s="1146"/>
      <c r="G688" s="1146"/>
      <c r="H688" s="1146"/>
      <c r="I688" s="1146"/>
      <c r="J688" s="1146"/>
      <c r="K688" s="1146"/>
      <c r="L688" s="1146"/>
      <c r="M688" s="1146"/>
      <c r="N688" s="1146"/>
      <c r="O688" s="1146"/>
      <c r="P688" s="1146"/>
      <c r="Q688" s="1146"/>
      <c r="R688" s="1146"/>
      <c r="S688" s="1146"/>
      <c r="T688" s="1146"/>
      <c r="U688" s="1146"/>
      <c r="V688" s="1146"/>
      <c r="W688" s="1146"/>
      <c r="X688" s="1146"/>
      <c r="Y688" s="1146"/>
      <c r="Z688" s="1146"/>
      <c r="AA688" s="1146"/>
      <c r="AB688" s="1146"/>
    </row>
    <row r="689" spans="1:28">
      <c r="A689" s="1146"/>
      <c r="B689" s="1146"/>
      <c r="C689" s="1146"/>
      <c r="D689" s="1146"/>
      <c r="E689" s="1146"/>
      <c r="F689" s="1146"/>
      <c r="G689" s="1146"/>
      <c r="H689" s="1146"/>
      <c r="I689" s="1146"/>
      <c r="J689" s="1146"/>
      <c r="K689" s="1146"/>
      <c r="L689" s="1146"/>
      <c r="M689" s="1146"/>
      <c r="N689" s="1146"/>
      <c r="O689" s="1146"/>
      <c r="P689" s="1146"/>
      <c r="Q689" s="1146"/>
      <c r="R689" s="1146"/>
      <c r="S689" s="1146"/>
      <c r="T689" s="1146"/>
      <c r="U689" s="1146"/>
      <c r="V689" s="1146"/>
      <c r="W689" s="1146"/>
      <c r="X689" s="1146"/>
      <c r="Y689" s="1146"/>
      <c r="Z689" s="1146"/>
      <c r="AA689" s="1146"/>
      <c r="AB689" s="1146"/>
    </row>
    <row r="690" spans="1:28">
      <c r="A690" s="1146"/>
      <c r="B690" s="1146"/>
      <c r="C690" s="1146"/>
      <c r="D690" s="1146"/>
      <c r="E690" s="1146"/>
      <c r="F690" s="1146"/>
      <c r="G690" s="1146"/>
      <c r="H690" s="1146"/>
      <c r="I690" s="1146"/>
      <c r="J690" s="1146"/>
      <c r="K690" s="1146"/>
      <c r="L690" s="1146"/>
      <c r="M690" s="1146"/>
      <c r="N690" s="1146"/>
      <c r="O690" s="1146"/>
      <c r="P690" s="1146"/>
      <c r="Q690" s="1146"/>
      <c r="R690" s="1146"/>
      <c r="S690" s="1146"/>
      <c r="T690" s="1146"/>
      <c r="U690" s="1146"/>
      <c r="V690" s="1146"/>
      <c r="W690" s="1146"/>
      <c r="X690" s="1146"/>
      <c r="Y690" s="1146"/>
      <c r="Z690" s="1146"/>
      <c r="AA690" s="1146"/>
      <c r="AB690" s="1146"/>
    </row>
    <row r="691" spans="1:28">
      <c r="A691" s="1146"/>
      <c r="B691" s="1146"/>
      <c r="C691" s="1146"/>
      <c r="D691" s="1146"/>
      <c r="E691" s="1146"/>
      <c r="F691" s="1146"/>
      <c r="G691" s="1146"/>
      <c r="H691" s="1146"/>
      <c r="I691" s="1146"/>
      <c r="J691" s="1146"/>
      <c r="K691" s="1146"/>
      <c r="L691" s="1146"/>
      <c r="M691" s="1146"/>
      <c r="N691" s="1146"/>
      <c r="O691" s="1146"/>
      <c r="P691" s="1146"/>
      <c r="Q691" s="1146"/>
      <c r="R691" s="1146"/>
      <c r="S691" s="1146"/>
      <c r="T691" s="1146"/>
      <c r="U691" s="1146"/>
      <c r="V691" s="1146"/>
      <c r="W691" s="1146"/>
      <c r="X691" s="1146"/>
      <c r="Y691" s="1146"/>
      <c r="Z691" s="1146"/>
      <c r="AA691" s="1146"/>
      <c r="AB691" s="1146"/>
    </row>
    <row r="692" spans="1:28">
      <c r="A692" s="1146"/>
      <c r="B692" s="1146"/>
      <c r="C692" s="1146"/>
      <c r="D692" s="1146"/>
      <c r="E692" s="1146"/>
      <c r="F692" s="1146"/>
      <c r="G692" s="1146"/>
      <c r="H692" s="1146"/>
      <c r="I692" s="1146"/>
      <c r="J692" s="1146"/>
      <c r="K692" s="1146"/>
      <c r="L692" s="1146"/>
      <c r="M692" s="1146"/>
      <c r="N692" s="1146"/>
      <c r="O692" s="1146"/>
      <c r="P692" s="1146"/>
      <c r="Q692" s="1146"/>
      <c r="R692" s="1146"/>
      <c r="S692" s="1146"/>
      <c r="T692" s="1146"/>
      <c r="U692" s="1146"/>
      <c r="V692" s="1146"/>
      <c r="W692" s="1146"/>
      <c r="X692" s="1146"/>
      <c r="Y692" s="1146"/>
      <c r="Z692" s="1146"/>
      <c r="AA692" s="1146"/>
      <c r="AB692" s="1146"/>
    </row>
    <row r="693" spans="1:28">
      <c r="A693" s="1146"/>
      <c r="B693" s="1146"/>
      <c r="C693" s="1146"/>
      <c r="D693" s="1146"/>
      <c r="E693" s="1146"/>
      <c r="F693" s="1146"/>
      <c r="G693" s="1146"/>
      <c r="H693" s="1146"/>
      <c r="I693" s="1146"/>
      <c r="J693" s="1146"/>
      <c r="K693" s="1146"/>
      <c r="L693" s="1146"/>
      <c r="M693" s="1146"/>
      <c r="N693" s="1146"/>
      <c r="O693" s="1146"/>
      <c r="P693" s="1146"/>
      <c r="Q693" s="1146"/>
      <c r="R693" s="1146"/>
      <c r="S693" s="1146"/>
      <c r="T693" s="1146"/>
      <c r="U693" s="1146"/>
      <c r="V693" s="1146"/>
      <c r="W693" s="1146"/>
      <c r="X693" s="1146"/>
      <c r="Y693" s="1146"/>
      <c r="Z693" s="1146"/>
      <c r="AA693" s="1146"/>
      <c r="AB693" s="1146"/>
    </row>
    <row r="694" spans="1:28">
      <c r="A694" s="1146"/>
      <c r="B694" s="1146"/>
      <c r="C694" s="1146"/>
      <c r="D694" s="1146"/>
      <c r="E694" s="1146"/>
      <c r="F694" s="1146"/>
      <c r="G694" s="1146"/>
      <c r="H694" s="1146"/>
      <c r="I694" s="1146"/>
      <c r="J694" s="1146"/>
      <c r="K694" s="1146"/>
      <c r="L694" s="1146"/>
      <c r="M694" s="1146"/>
      <c r="N694" s="1146"/>
      <c r="O694" s="1146"/>
      <c r="P694" s="1146"/>
      <c r="Q694" s="1146"/>
      <c r="R694" s="1146"/>
      <c r="S694" s="1146"/>
      <c r="T694" s="1146"/>
      <c r="U694" s="1146"/>
      <c r="V694" s="1146"/>
      <c r="W694" s="1146"/>
      <c r="X694" s="1146"/>
      <c r="Y694" s="1146"/>
      <c r="Z694" s="1146"/>
      <c r="AA694" s="1146"/>
      <c r="AB694" s="1146"/>
    </row>
    <row r="695" spans="1:28">
      <c r="A695" s="1146"/>
      <c r="B695" s="1146"/>
      <c r="C695" s="1146"/>
      <c r="D695" s="1146"/>
      <c r="E695" s="1146"/>
      <c r="F695" s="1146"/>
      <c r="G695" s="1146"/>
      <c r="H695" s="1146"/>
      <c r="I695" s="1146"/>
      <c r="J695" s="1146"/>
      <c r="K695" s="1146"/>
      <c r="L695" s="1146"/>
      <c r="M695" s="1146"/>
      <c r="N695" s="1146"/>
      <c r="O695" s="1146"/>
      <c r="P695" s="1146"/>
      <c r="Q695" s="1146"/>
      <c r="R695" s="1146"/>
      <c r="S695" s="1146"/>
      <c r="T695" s="1146"/>
      <c r="U695" s="1146"/>
      <c r="V695" s="1146"/>
      <c r="W695" s="1146"/>
      <c r="X695" s="1146"/>
      <c r="Y695" s="1146"/>
      <c r="Z695" s="1146"/>
      <c r="AA695" s="1146"/>
      <c r="AB695" s="1146"/>
    </row>
    <row r="696" spans="1:28">
      <c r="A696" s="1146"/>
      <c r="B696" s="1146"/>
      <c r="C696" s="1146"/>
      <c r="D696" s="1146"/>
      <c r="E696" s="1146"/>
      <c r="F696" s="1146"/>
      <c r="G696" s="1146"/>
      <c r="H696" s="1146"/>
      <c r="I696" s="1146"/>
      <c r="J696" s="1146"/>
      <c r="K696" s="1146"/>
      <c r="L696" s="1146"/>
      <c r="M696" s="1146"/>
      <c r="N696" s="1146"/>
      <c r="O696" s="1146"/>
      <c r="P696" s="1146"/>
      <c r="Q696" s="1146"/>
      <c r="R696" s="1146"/>
      <c r="S696" s="1146"/>
      <c r="T696" s="1146"/>
      <c r="U696" s="1146"/>
      <c r="V696" s="1146"/>
      <c r="W696" s="1146"/>
      <c r="X696" s="1146"/>
      <c r="Y696" s="1146"/>
      <c r="Z696" s="1146"/>
      <c r="AA696" s="1146"/>
      <c r="AB696" s="1146"/>
    </row>
    <row r="697" spans="1:28">
      <c r="A697" s="1146"/>
      <c r="B697" s="1146"/>
      <c r="C697" s="1146"/>
      <c r="D697" s="1146"/>
      <c r="E697" s="1146"/>
      <c r="F697" s="1146"/>
      <c r="G697" s="1146"/>
      <c r="H697" s="1146"/>
      <c r="I697" s="1146"/>
      <c r="J697" s="1146"/>
      <c r="K697" s="1146"/>
      <c r="L697" s="1146"/>
      <c r="M697" s="1146"/>
      <c r="N697" s="1146"/>
      <c r="O697" s="1146"/>
      <c r="P697" s="1146"/>
      <c r="Q697" s="1146"/>
      <c r="R697" s="1146"/>
      <c r="S697" s="1146"/>
      <c r="T697" s="1146"/>
      <c r="U697" s="1146"/>
      <c r="V697" s="1146"/>
      <c r="W697" s="1146"/>
      <c r="X697" s="1146"/>
      <c r="Y697" s="1146"/>
      <c r="Z697" s="1146"/>
      <c r="AA697" s="1146"/>
      <c r="AB697" s="1146"/>
    </row>
    <row r="698" spans="1:28">
      <c r="A698" s="1146"/>
      <c r="B698" s="1146"/>
      <c r="C698" s="1146"/>
      <c r="D698" s="1146"/>
      <c r="E698" s="1146"/>
      <c r="F698" s="1146"/>
      <c r="G698" s="1146"/>
      <c r="H698" s="1146"/>
      <c r="I698" s="1146"/>
      <c r="J698" s="1146"/>
      <c r="K698" s="1146"/>
      <c r="L698" s="1146"/>
      <c r="M698" s="1146"/>
      <c r="N698" s="1146"/>
      <c r="O698" s="1146"/>
      <c r="P698" s="1146"/>
      <c r="Q698" s="1146"/>
      <c r="R698" s="1146"/>
      <c r="S698" s="1146"/>
      <c r="T698" s="1146"/>
      <c r="U698" s="1146"/>
      <c r="V698" s="1146"/>
      <c r="W698" s="1146"/>
      <c r="X698" s="1146"/>
      <c r="Y698" s="1146"/>
      <c r="Z698" s="1146"/>
      <c r="AA698" s="1146"/>
      <c r="AB698" s="1146"/>
    </row>
    <row r="699" spans="1:28">
      <c r="A699" s="1146"/>
      <c r="B699" s="1146"/>
      <c r="C699" s="1146"/>
      <c r="D699" s="1146"/>
      <c r="E699" s="1146"/>
      <c r="F699" s="1146"/>
      <c r="G699" s="1146"/>
      <c r="H699" s="1146"/>
      <c r="I699" s="1146"/>
      <c r="J699" s="1146"/>
      <c r="K699" s="1146"/>
      <c r="L699" s="1146"/>
      <c r="M699" s="1146"/>
      <c r="N699" s="1146"/>
      <c r="O699" s="1146"/>
      <c r="P699" s="1146"/>
      <c r="Q699" s="1146"/>
      <c r="R699" s="1146"/>
      <c r="S699" s="1146"/>
      <c r="T699" s="1146"/>
      <c r="U699" s="1146"/>
      <c r="V699" s="1146"/>
      <c r="W699" s="1146"/>
      <c r="X699" s="1146"/>
      <c r="Y699" s="1146"/>
      <c r="Z699" s="1146"/>
      <c r="AA699" s="1146"/>
      <c r="AB699" s="1146"/>
    </row>
    <row r="700" spans="1:28">
      <c r="A700" s="1146"/>
      <c r="B700" s="1146"/>
      <c r="C700" s="1146"/>
      <c r="D700" s="1146"/>
      <c r="E700" s="1146"/>
      <c r="F700" s="1146"/>
      <c r="G700" s="1146"/>
      <c r="H700" s="1146"/>
      <c r="I700" s="1146"/>
      <c r="J700" s="1146"/>
      <c r="K700" s="1146"/>
      <c r="L700" s="1146"/>
      <c r="M700" s="1146"/>
      <c r="N700" s="1146"/>
      <c r="O700" s="1146"/>
      <c r="P700" s="1146"/>
      <c r="Q700" s="1146"/>
      <c r="R700" s="1146"/>
      <c r="S700" s="1146"/>
      <c r="T700" s="1146"/>
      <c r="U700" s="1146"/>
      <c r="V700" s="1146"/>
      <c r="W700" s="1146"/>
      <c r="X700" s="1146"/>
      <c r="Y700" s="1146"/>
      <c r="Z700" s="1146"/>
      <c r="AA700" s="1146"/>
      <c r="AB700" s="1146"/>
    </row>
    <row r="701" spans="1:28">
      <c r="A701" s="1146"/>
      <c r="B701" s="1146"/>
      <c r="C701" s="1146"/>
      <c r="D701" s="1146"/>
      <c r="E701" s="1146"/>
      <c r="F701" s="1146"/>
      <c r="G701" s="1146"/>
      <c r="H701" s="1146"/>
      <c r="I701" s="1146"/>
      <c r="J701" s="1146"/>
      <c r="K701" s="1146"/>
      <c r="L701" s="1146"/>
      <c r="M701" s="1146"/>
      <c r="N701" s="1146"/>
      <c r="O701" s="1146"/>
      <c r="P701" s="1146"/>
      <c r="Q701" s="1146"/>
      <c r="R701" s="1146"/>
      <c r="S701" s="1146"/>
      <c r="T701" s="1146"/>
      <c r="U701" s="1146"/>
      <c r="V701" s="1146"/>
      <c r="W701" s="1146"/>
      <c r="X701" s="1146"/>
      <c r="Y701" s="1146"/>
      <c r="Z701" s="1146"/>
      <c r="AA701" s="1146"/>
      <c r="AB701" s="1146"/>
    </row>
    <row r="702" spans="1:28">
      <c r="A702" s="1146"/>
      <c r="B702" s="1146"/>
      <c r="C702" s="1146"/>
      <c r="D702" s="1146"/>
      <c r="E702" s="1146"/>
      <c r="F702" s="1146"/>
      <c r="G702" s="1146"/>
      <c r="H702" s="1146"/>
      <c r="I702" s="1146"/>
      <c r="J702" s="1146"/>
      <c r="K702" s="1146"/>
      <c r="L702" s="1146"/>
      <c r="M702" s="1146"/>
      <c r="N702" s="1146"/>
      <c r="O702" s="1146"/>
      <c r="P702" s="1146"/>
      <c r="Q702" s="1146"/>
      <c r="R702" s="1146"/>
      <c r="S702" s="1146"/>
      <c r="T702" s="1146"/>
      <c r="U702" s="1146"/>
      <c r="V702" s="1146"/>
      <c r="W702" s="1146"/>
      <c r="X702" s="1146"/>
      <c r="Y702" s="1146"/>
      <c r="Z702" s="1146"/>
      <c r="AA702" s="1146"/>
      <c r="AB702" s="1146"/>
    </row>
    <row r="703" spans="1:28">
      <c r="A703" s="1146"/>
      <c r="B703" s="1146"/>
      <c r="C703" s="1146"/>
      <c r="D703" s="1146"/>
      <c r="E703" s="1146"/>
      <c r="F703" s="1146"/>
      <c r="G703" s="1146"/>
      <c r="H703" s="1146"/>
      <c r="I703" s="1146"/>
      <c r="J703" s="1146"/>
      <c r="K703" s="1146"/>
      <c r="L703" s="1146"/>
      <c r="M703" s="1146"/>
      <c r="N703" s="1146"/>
      <c r="O703" s="1146"/>
      <c r="P703" s="1146"/>
      <c r="Q703" s="1146"/>
      <c r="R703" s="1146"/>
      <c r="S703" s="1146"/>
      <c r="T703" s="1146"/>
      <c r="U703" s="1146"/>
      <c r="V703" s="1146"/>
      <c r="W703" s="1146"/>
      <c r="X703" s="1146"/>
      <c r="Y703" s="1146"/>
      <c r="Z703" s="1146"/>
      <c r="AA703" s="1146"/>
      <c r="AB703" s="1146"/>
    </row>
    <row r="704" spans="1:28">
      <c r="A704" s="1146"/>
      <c r="B704" s="1146"/>
      <c r="C704" s="1146"/>
      <c r="D704" s="1146"/>
      <c r="E704" s="1146"/>
      <c r="F704" s="1146"/>
      <c r="G704" s="1146"/>
      <c r="H704" s="1146"/>
      <c r="I704" s="1146"/>
      <c r="J704" s="1146"/>
      <c r="K704" s="1146"/>
      <c r="L704" s="1146"/>
      <c r="M704" s="1146"/>
      <c r="N704" s="1146"/>
      <c r="O704" s="1146"/>
      <c r="P704" s="1146"/>
      <c r="Q704" s="1146"/>
      <c r="R704" s="1146"/>
      <c r="S704" s="1146"/>
      <c r="T704" s="1146"/>
      <c r="U704" s="1146"/>
      <c r="V704" s="1146"/>
      <c r="W704" s="1146"/>
      <c r="X704" s="1146"/>
      <c r="Y704" s="1146"/>
      <c r="Z704" s="1146"/>
      <c r="AA704" s="1146"/>
      <c r="AB704" s="1146"/>
    </row>
    <row r="705" spans="1:28">
      <c r="A705" s="1146"/>
      <c r="B705" s="1146"/>
      <c r="C705" s="1146"/>
      <c r="D705" s="1146"/>
      <c r="E705" s="1146"/>
      <c r="F705" s="1146"/>
      <c r="G705" s="1146"/>
      <c r="H705" s="1146"/>
      <c r="I705" s="1146"/>
      <c r="J705" s="1146"/>
      <c r="K705" s="1146"/>
      <c r="L705" s="1146"/>
      <c r="M705" s="1146"/>
      <c r="N705" s="1146"/>
      <c r="O705" s="1146"/>
      <c r="P705" s="1146"/>
      <c r="Q705" s="1146"/>
      <c r="R705" s="1146"/>
      <c r="S705" s="1146"/>
      <c r="T705" s="1146"/>
      <c r="U705" s="1146"/>
      <c r="V705" s="1146"/>
      <c r="W705" s="1146"/>
      <c r="X705" s="1146"/>
      <c r="Y705" s="1146"/>
      <c r="Z705" s="1146"/>
      <c r="AA705" s="1146"/>
      <c r="AB705" s="1146"/>
    </row>
    <row r="706" spans="1:28">
      <c r="A706" s="1146"/>
      <c r="B706" s="1146"/>
      <c r="C706" s="1146"/>
      <c r="D706" s="1146"/>
      <c r="E706" s="1146"/>
      <c r="F706" s="1146"/>
      <c r="G706" s="1146"/>
      <c r="H706" s="1146"/>
      <c r="I706" s="1146"/>
      <c r="J706" s="1146"/>
      <c r="K706" s="1146"/>
      <c r="L706" s="1146"/>
      <c r="M706" s="1146"/>
      <c r="N706" s="1146"/>
      <c r="O706" s="1146"/>
      <c r="P706" s="1146"/>
      <c r="Q706" s="1146"/>
      <c r="R706" s="1146"/>
      <c r="S706" s="1146"/>
      <c r="T706" s="1146"/>
      <c r="U706" s="1146"/>
      <c r="V706" s="1146"/>
      <c r="W706" s="1146"/>
      <c r="X706" s="1146"/>
      <c r="Y706" s="1146"/>
      <c r="Z706" s="1146"/>
      <c r="AA706" s="1146"/>
      <c r="AB706" s="1146"/>
    </row>
    <row r="707" spans="1:28">
      <c r="A707" s="1146"/>
      <c r="B707" s="1146"/>
      <c r="C707" s="1146"/>
      <c r="D707" s="1146"/>
      <c r="E707" s="1146"/>
      <c r="F707" s="1146"/>
      <c r="G707" s="1146"/>
      <c r="H707" s="1146"/>
      <c r="I707" s="1146"/>
      <c r="J707" s="1146"/>
      <c r="K707" s="1146"/>
      <c r="L707" s="1146"/>
      <c r="M707" s="1146"/>
      <c r="N707" s="1146"/>
      <c r="O707" s="1146"/>
      <c r="P707" s="1146"/>
      <c r="Q707" s="1146"/>
      <c r="R707" s="1146"/>
      <c r="S707" s="1146"/>
      <c r="T707" s="1146"/>
      <c r="U707" s="1146"/>
      <c r="V707" s="1146"/>
      <c r="W707" s="1146"/>
      <c r="X707" s="1146"/>
      <c r="Y707" s="1146"/>
      <c r="Z707" s="1146"/>
      <c r="AA707" s="1146"/>
      <c r="AB707" s="114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5" tint="0.59999389629810485"/>
    <pageSetUpPr fitToPage="1"/>
  </sheetPr>
  <dimension ref="A1:T24"/>
  <sheetViews>
    <sheetView showGridLines="0" view="pageBreakPreview" zoomScale="90" zoomScaleSheetLayoutView="90" workbookViewId="0">
      <selection activeCell="F20" sqref="F20"/>
    </sheetView>
  </sheetViews>
  <sheetFormatPr defaultRowHeight="12.75"/>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25" style="10" customWidth="1"/>
    <col min="11" max="11" width="7.5" style="6" customWidth="1"/>
    <col min="12" max="12" width="5.375" style="6" customWidth="1"/>
    <col min="13" max="13" width="6.375" style="187" customWidth="1"/>
    <col min="14" max="14" width="5.375" style="10" customWidth="1"/>
    <col min="15" max="15" width="6.375" style="10" customWidth="1"/>
    <col min="16" max="16" width="6.875" style="10" customWidth="1"/>
    <col min="17" max="17" width="6" style="10" customWidth="1"/>
    <col min="18" max="18" width="5.875" style="10" customWidth="1"/>
    <col min="19" max="19" width="5.125" style="10" customWidth="1"/>
    <col min="20" max="20" width="6" style="48" customWidth="1"/>
    <col min="21" max="16384" width="9" style="10"/>
  </cols>
  <sheetData>
    <row r="1" spans="1:20" ht="18">
      <c r="A1" s="62" t="s">
        <v>526</v>
      </c>
      <c r="B1" s="42"/>
      <c r="C1" s="209"/>
      <c r="D1" s="42"/>
      <c r="E1" s="42"/>
      <c r="F1" s="42"/>
      <c r="G1" s="42"/>
      <c r="H1" s="42"/>
      <c r="I1" s="42"/>
      <c r="J1" s="42"/>
      <c r="K1" s="182"/>
      <c r="L1" s="182"/>
      <c r="M1" s="183"/>
      <c r="N1" s="42"/>
      <c r="O1" s="42"/>
      <c r="P1" s="42"/>
      <c r="Q1" s="42"/>
      <c r="R1" s="42"/>
      <c r="S1" s="42"/>
      <c r="T1" s="43"/>
    </row>
    <row r="2" spans="1:20" s="69" customFormat="1" ht="15.75">
      <c r="A2" s="1396" t="s">
        <v>476</v>
      </c>
      <c r="B2" s="1396"/>
      <c r="C2" s="1396"/>
      <c r="D2" s="1396"/>
      <c r="E2" s="1396"/>
      <c r="F2" s="1396"/>
      <c r="G2" s="1396"/>
      <c r="H2" s="1396"/>
      <c r="I2" s="1396"/>
      <c r="J2" s="1396"/>
      <c r="K2" s="1396"/>
      <c r="L2" s="1396"/>
      <c r="M2" s="1396"/>
      <c r="N2" s="1396"/>
      <c r="O2" s="1396"/>
      <c r="P2" s="1396"/>
      <c r="Q2" s="1396"/>
      <c r="R2" s="1396"/>
      <c r="S2" s="1396"/>
      <c r="T2" s="1396"/>
    </row>
    <row r="3" spans="1:20" s="69" customFormat="1" ht="15.75">
      <c r="A3" s="1396" t="s">
        <v>499</v>
      </c>
      <c r="B3" s="1396"/>
      <c r="C3" s="1396"/>
      <c r="D3" s="1396"/>
      <c r="E3" s="1396"/>
      <c r="F3" s="1396"/>
      <c r="G3" s="1396"/>
      <c r="H3" s="1396"/>
      <c r="I3" s="1396"/>
      <c r="J3" s="1396"/>
      <c r="K3" s="1396"/>
      <c r="L3" s="1396"/>
      <c r="M3" s="1396"/>
      <c r="N3" s="1396"/>
      <c r="O3" s="1396"/>
      <c r="P3" s="1396"/>
      <c r="Q3" s="1396"/>
      <c r="R3" s="1396"/>
      <c r="S3" s="1396"/>
      <c r="T3" s="1396"/>
    </row>
    <row r="4" spans="1:20" ht="29.25" customHeight="1">
      <c r="A4" s="44"/>
      <c r="B4" s="41"/>
      <c r="C4" s="210" t="s">
        <v>391</v>
      </c>
      <c r="D4" s="11" t="s">
        <v>229</v>
      </c>
      <c r="E4" s="12" t="s">
        <v>202</v>
      </c>
      <c r="F4" s="13" t="s">
        <v>203</v>
      </c>
      <c r="G4" s="13" t="s">
        <v>208</v>
      </c>
      <c r="H4" s="13" t="s">
        <v>209</v>
      </c>
      <c r="I4" s="13" t="s">
        <v>204</v>
      </c>
      <c r="J4" s="14" t="s">
        <v>210</v>
      </c>
      <c r="K4" s="14" t="s">
        <v>205</v>
      </c>
      <c r="L4" s="14" t="s">
        <v>211</v>
      </c>
      <c r="M4" s="184" t="s">
        <v>212</v>
      </c>
      <c r="N4" s="14" t="s">
        <v>213</v>
      </c>
      <c r="O4" s="14" t="s">
        <v>214</v>
      </c>
      <c r="P4" s="14" t="s">
        <v>206</v>
      </c>
      <c r="Q4" s="14" t="s">
        <v>215</v>
      </c>
      <c r="R4" s="14" t="s">
        <v>207</v>
      </c>
      <c r="S4" s="14" t="s">
        <v>216</v>
      </c>
      <c r="T4" s="14" t="s">
        <v>217</v>
      </c>
    </row>
    <row r="5" spans="1:20" ht="33" customHeight="1">
      <c r="A5" s="1397" t="s">
        <v>473</v>
      </c>
      <c r="B5" s="410" t="s">
        <v>481</v>
      </c>
      <c r="C5" s="377" t="s">
        <v>392</v>
      </c>
      <c r="D5" s="451">
        <f>IF('OLD Distrib by purpose'!D5&gt;0.0005=0,,IF('OLD Distrib by purpose'!D5&gt;0.0005,'OLD Distrib by purpose'!D5,"*"))</f>
        <v>0.78499166785449093</v>
      </c>
      <c r="E5" s="438">
        <f>IF('OLD Distrib by purpose'!E5&gt;0.0005=0,,IF('OLD Distrib by purpose'!E5&gt;0.0005,'OLD Distrib by purpose'!E5,"*"))</f>
        <v>0.77472102523156039</v>
      </c>
      <c r="F5" s="439">
        <f>IF('OLD Distrib by purpose'!F5&gt;0.0005=0,,IF('OLD Distrib by purpose'!F5&gt;0.0005,'OLD Distrib by purpose'!F5,"*"))</f>
        <v>0.81239638421170346</v>
      </c>
      <c r="G5" s="439">
        <f>IF('OLD Distrib by purpose'!G5&gt;0.0005=0,,IF('OLD Distrib by purpose'!G5&gt;0.0005,'OLD Distrib by purpose'!G5,"*"))</f>
        <v>0.96061659423494017</v>
      </c>
      <c r="H5" s="439">
        <f>IF('OLD Distrib by purpose'!H5&gt;0.0005=0,,IF('OLD Distrib by purpose'!H5&gt;0.0005,'OLD Distrib by purpose'!H5,"*"))</f>
        <v>0.80065284803772907</v>
      </c>
      <c r="I5" s="439">
        <f>IF('OLD Distrib by purpose'!I5&gt;0.0005=0,,IF('OLD Distrib by purpose'!I5&gt;0.0005,'OLD Distrib by purpose'!I5,"*"))</f>
        <v>0.75402476523134521</v>
      </c>
      <c r="J5" s="439">
        <f>IF('OLD Distrib by purpose'!J5&gt;0.0005=0,,IF('OLD Distrib by purpose'!J5&gt;0.0005,'OLD Distrib by purpose'!J5,"*"))</f>
        <v>0.78575577093071158</v>
      </c>
      <c r="K5" s="439">
        <f>IF('OLD Distrib by purpose'!K5&gt;0.0005=0,,IF('OLD Distrib by purpose'!K5&gt;0.0005,'OLD Distrib by purpose'!K5,"*"))</f>
        <v>0.709259571320497</v>
      </c>
      <c r="L5" s="439">
        <f>IF('OLD Distrib by purpose'!L5&gt;0.0005=0,,IF('OLD Distrib by purpose'!L5&gt;0.0005,'OLD Distrib by purpose'!L5,"*"))</f>
        <v>0.7679054281892107</v>
      </c>
      <c r="M5" s="439">
        <f>IF('OLD Distrib by purpose'!M5&gt;0.0005=0,,IF('OLD Distrib by purpose'!M5&gt;0.0005,'OLD Distrib by purpose'!M5,"*"))</f>
        <v>0.75383195763142874</v>
      </c>
      <c r="N5" s="439">
        <f>IF('OLD Distrib by purpose'!N5&gt;0.0005=0,,IF('OLD Distrib by purpose'!N5&gt;0.0005,'OLD Distrib by purpose'!N5,"*"))</f>
        <v>0.80017273377367526</v>
      </c>
      <c r="O5" s="439">
        <f>IF('OLD Distrib by purpose'!O5&gt;0.0005=0,,IF('OLD Distrib by purpose'!O5&gt;0.0005,'OLD Distrib by purpose'!O5,"*"))</f>
        <v>0.81956104566803212</v>
      </c>
      <c r="P5" s="439">
        <f>IF('OLD Distrib by purpose'!P5&gt;0.0005=0,,IF('OLD Distrib by purpose'!P5&gt;0.0005,'OLD Distrib by purpose'!P5,"*"))</f>
        <v>0.77327999976466888</v>
      </c>
      <c r="Q5" s="439">
        <f>IF('OLD Distrib by purpose'!Q5&gt;0.0005=0,,IF('OLD Distrib by purpose'!Q5&gt;0.0005,'OLD Distrib by purpose'!Q5,"*"))</f>
        <v>0.73658508257670963</v>
      </c>
      <c r="R5" s="439">
        <f>IF('OLD Distrib by purpose'!R5&gt;0.0005=0,,IF('OLD Distrib by purpose'!R5&gt;0.0005,'OLD Distrib by purpose'!R5,"*"))</f>
        <v>0.7917176258556482</v>
      </c>
      <c r="S5" s="439">
        <f>IF('OLD Distrib by purpose'!S5&gt;0.0005=0,,IF('OLD Distrib by purpose'!S5&gt;0.0005,'OLD Distrib by purpose'!S5,"*"))</f>
        <v>0.83372743863793275</v>
      </c>
      <c r="T5" s="439">
        <f>IF('OLD Distrib by purpose'!T5&gt;0.0005=0,,IF('OLD Distrib by purpose'!T5&gt;0.0005,'OLD Distrib by purpose'!T5,"*"))</f>
        <v>0.69741738527462205</v>
      </c>
    </row>
    <row r="6" spans="1:20" ht="37.5" customHeight="1">
      <c r="A6" s="1398"/>
      <c r="B6" s="410" t="s">
        <v>482</v>
      </c>
      <c r="C6" s="377" t="s">
        <v>393</v>
      </c>
      <c r="D6" s="451">
        <f>IF('OLD Distrib by purpose'!D6&gt;0.0005=0,,IF('OLD Distrib by purpose'!D6&gt;0.0005,'OLD Distrib by purpose'!D6,"*"))</f>
        <v>2.5188598293259354E-2</v>
      </c>
      <c r="E6" s="440">
        <f>IF('OLD Distrib by purpose'!E6&gt;0.0005=0,,IF('OLD Distrib by purpose'!E6&gt;0.0005,'OLD Distrib by purpose'!E6,"*"))</f>
        <v>3.2546777003705785E-2</v>
      </c>
      <c r="F6" s="441">
        <f>IF('OLD Distrib by purpose'!F6&gt;0.0005=0,,IF('OLD Distrib by purpose'!F6&gt;0.0005,'OLD Distrib by purpose'!F6,"*"))</f>
        <v>1.6056697981253813E-2</v>
      </c>
      <c r="G6" s="441">
        <f>IF('OLD Distrib by purpose'!G6&gt;0.0005=0,,IF('OLD Distrib by purpose'!G6&gt;0.0005,'OLD Distrib by purpose'!G6,"*"))</f>
        <v>1.3145268932197605E-2</v>
      </c>
      <c r="H6" s="441">
        <f>IF('OLD Distrib by purpose'!H6&gt;0.0005=0,,IF('OLD Distrib by purpose'!H6&gt;0.0005,'OLD Distrib by purpose'!H6,"*"))</f>
        <v>3.0971678003712377E-2</v>
      </c>
      <c r="I6" s="441">
        <f>IF('OLD Distrib by purpose'!I6&gt;0.0005=0,,IF('OLD Distrib by purpose'!I6&gt;0.0005,'OLD Distrib by purpose'!I6,"*"))</f>
        <v>2.2523400014948611E-2</v>
      </c>
      <c r="J6" s="441">
        <f>IF('OLD Distrib by purpose'!J6&gt;0.0005=0,,IF('OLD Distrib by purpose'!J6&gt;0.0005,'OLD Distrib by purpose'!J6,"*"))</f>
        <v>3.9530375796753128E-2</v>
      </c>
      <c r="K6" s="441">
        <f>IF('OLD Distrib by purpose'!K6&gt;0.0005=0,,IF('OLD Distrib by purpose'!K6&gt;0.0005,'OLD Distrib by purpose'!K6,"*"))</f>
        <v>4.3112522214973137E-2</v>
      </c>
      <c r="L6" s="441">
        <f>IF('OLD Distrib by purpose'!L6&gt;0.0005=0,,IF('OLD Distrib by purpose'!L6&gt;0.0005,'OLD Distrib by purpose'!L6,"*"))</f>
        <v>1.9822874211239471E-2</v>
      </c>
      <c r="M6" s="441">
        <f>IF('OLD Distrib by purpose'!M6&gt;0.0005=0,,IF('OLD Distrib by purpose'!M6&gt;0.0005,'OLD Distrib by purpose'!M6,"*"))</f>
        <v>6.277295520495102E-2</v>
      </c>
      <c r="N6" s="441">
        <f>IF('OLD Distrib by purpose'!N6&gt;0.0005=0,,IF('OLD Distrib by purpose'!N6&gt;0.0005,'OLD Distrib by purpose'!N6,"*"))</f>
        <v>2.1471526152622301E-2</v>
      </c>
      <c r="O6" s="441">
        <f>IF('OLD Distrib by purpose'!O6&gt;0.0005=0,,IF('OLD Distrib by purpose'!O6&gt;0.0005,'OLD Distrib by purpose'!O6,"*"))</f>
        <v>2.9803961960658022E-2</v>
      </c>
      <c r="P6" s="441">
        <f>IF('OLD Distrib by purpose'!P6&gt;0.0005=0,,IF('OLD Distrib by purpose'!P6&gt;0.0005,'OLD Distrib by purpose'!P6,"*"))</f>
        <v>2.6820882172569276E-2</v>
      </c>
      <c r="Q6" s="441">
        <f>IF('OLD Distrib by purpose'!Q6&gt;0.0005=0,,IF('OLD Distrib by purpose'!Q6&gt;0.0005,'OLD Distrib by purpose'!Q6,"*"))</f>
        <v>2.652674236504713E-2</v>
      </c>
      <c r="R6" s="441">
        <f>IF('OLD Distrib by purpose'!R6&gt;0.0005=0,,IF('OLD Distrib by purpose'!R6&gt;0.0005,'OLD Distrib by purpose'!R6,"*"))</f>
        <v>1.5048207539681849E-2</v>
      </c>
      <c r="S6" s="441">
        <f>IF('OLD Distrib by purpose'!S6&gt;0.0005=0,,IF('OLD Distrib by purpose'!S6&gt;0.0005,'OLD Distrib by purpose'!S6,"*"))</f>
        <v>2.2386517280684203E-2</v>
      </c>
      <c r="T6" s="441">
        <f>IF('OLD Distrib by purpose'!T6&gt;0.0005=0,,IF('OLD Distrib by purpose'!T6&gt;0.0005,'OLD Distrib by purpose'!T6,"*"))</f>
        <v>3.6372520911009697E-2</v>
      </c>
    </row>
    <row r="7" spans="1:20" ht="22.5">
      <c r="A7" s="1398"/>
      <c r="B7" s="424" t="s">
        <v>486</v>
      </c>
      <c r="C7" s="423">
        <f>+D6+D5</f>
        <v>0.81018026614775029</v>
      </c>
      <c r="D7" s="452">
        <f>+D6+D5</f>
        <v>0.81018026614775029</v>
      </c>
      <c r="E7" s="453">
        <f t="shared" ref="E7:T7" si="0">+E6+E5</f>
        <v>0.80726780223526617</v>
      </c>
      <c r="F7" s="454">
        <f t="shared" si="0"/>
        <v>0.82845308219295732</v>
      </c>
      <c r="G7" s="454">
        <f t="shared" si="0"/>
        <v>0.97376186316713775</v>
      </c>
      <c r="H7" s="454">
        <f t="shared" si="0"/>
        <v>0.83162452604144144</v>
      </c>
      <c r="I7" s="454">
        <f t="shared" si="0"/>
        <v>0.77654816524629378</v>
      </c>
      <c r="J7" s="454">
        <f t="shared" si="0"/>
        <v>0.8252861467274647</v>
      </c>
      <c r="K7" s="454">
        <f t="shared" si="0"/>
        <v>0.75237209353547008</v>
      </c>
      <c r="L7" s="454">
        <f t="shared" si="0"/>
        <v>0.78772830240045022</v>
      </c>
      <c r="M7" s="454">
        <f t="shared" si="0"/>
        <v>0.8166049128363797</v>
      </c>
      <c r="N7" s="454">
        <f t="shared" si="0"/>
        <v>0.82164425992629753</v>
      </c>
      <c r="O7" s="454">
        <f t="shared" si="0"/>
        <v>0.84936500762869016</v>
      </c>
      <c r="P7" s="454">
        <f t="shared" si="0"/>
        <v>0.80010088193723816</v>
      </c>
      <c r="Q7" s="454">
        <f t="shared" si="0"/>
        <v>0.76311182494175678</v>
      </c>
      <c r="R7" s="454">
        <f t="shared" si="0"/>
        <v>0.80676583339533003</v>
      </c>
      <c r="S7" s="454">
        <f t="shared" si="0"/>
        <v>0.85611395591861694</v>
      </c>
      <c r="T7" s="454">
        <f t="shared" si="0"/>
        <v>0.73378990618563178</v>
      </c>
    </row>
    <row r="8" spans="1:20" ht="35.25" customHeight="1">
      <c r="A8" s="1398"/>
      <c r="B8" s="410" t="s">
        <v>20</v>
      </c>
      <c r="C8" s="211" t="s">
        <v>401</v>
      </c>
      <c r="D8" s="430">
        <f>IF('OLD Distrib by purpose'!D15&gt;0.0005=0,,IF('OLD Distrib by purpose'!D15&gt;0.0005,'OLD Distrib by purpose'!D15,"*"))</f>
        <v>9.6767017995146153E-3</v>
      </c>
      <c r="E8" s="336">
        <f>IF('OLD Distrib by purpose'!E15&gt;0.0005=0,,IF('OLD Distrib by purpose'!E15&gt;0.0005,'OLD Distrib by purpose'!E15,"*"))</f>
        <v>2.110113109954739E-2</v>
      </c>
      <c r="F8" s="319">
        <f>IF('OLD Distrib by purpose'!F15&gt;0.0005=0,,IF('OLD Distrib by purpose'!F15&gt;0.0005,'OLD Distrib by purpose'!F15,"*"))</f>
        <v>4.6187235883976406E-2</v>
      </c>
      <c r="G8" s="319" t="str">
        <f>IF('OLD Distrib by purpose'!G15&gt;0.0005=0,,IF('OLD Distrib by purpose'!G15&gt;0.0005,'OLD Distrib by purpose'!G15,"*"))</f>
        <v>*</v>
      </c>
      <c r="H8" s="319">
        <f>IF('OLD Distrib by purpose'!H15&gt;0.0005=0,,IF('OLD Distrib by purpose'!H15&gt;0.0005,'OLD Distrib by purpose'!H15,"*"))</f>
        <v>1.8399532002760038E-3</v>
      </c>
      <c r="I8" s="319">
        <f>IF('OLD Distrib by purpose'!I15&gt;0.0005=0,,IF('OLD Distrib by purpose'!I15&gt;0.0005,'OLD Distrib by purpose'!I15,"*"))</f>
        <v>5.9753520344834579E-4</v>
      </c>
      <c r="J8" s="319">
        <f>IF('OLD Distrib by purpose'!J15&gt;0.0005=0,,IF('OLD Distrib by purpose'!J15&gt;0.0005,'OLD Distrib by purpose'!J15,"*"))</f>
        <v>7.9992656419048836E-3</v>
      </c>
      <c r="K8" s="319">
        <f>IF('OLD Distrib by purpose'!K15&gt;0.0005=0,,IF('OLD Distrib by purpose'!K15&gt;0.0005,'OLD Distrib by purpose'!K15,"*"))</f>
        <v>1.765154652186763E-2</v>
      </c>
      <c r="L8" s="319" t="str">
        <f>IF('OLD Distrib by purpose'!L15&gt;0.0005=0,,IF('OLD Distrib by purpose'!L15&gt;0.0005,'OLD Distrib by purpose'!L15,"*"))</f>
        <v>*</v>
      </c>
      <c r="M8" s="319" t="str">
        <f>IF('OLD Distrib by purpose'!M15&gt;0.0005=0,,IF('OLD Distrib by purpose'!M15&gt;0.0005,'OLD Distrib by purpose'!M15,"*"))</f>
        <v>*</v>
      </c>
      <c r="N8" s="319">
        <f>IF('OLD Distrib by purpose'!N15&gt;0.0005=0,,IF('OLD Distrib by purpose'!N15&gt;0.0005,'OLD Distrib by purpose'!N15,"*"))</f>
        <v>4.3455006654357482E-2</v>
      </c>
      <c r="O8" s="319" t="str">
        <f>IF('OLD Distrib by purpose'!O15&gt;0.0005=0,,IF('OLD Distrib by purpose'!O15&gt;0.0005,'OLD Distrib by purpose'!O15,"*"))</f>
        <v>*</v>
      </c>
      <c r="P8" s="319" t="str">
        <f>IF('OLD Distrib by purpose'!P15&gt;0.0005=0,,IF('OLD Distrib by purpose'!P15&gt;0.0005,'OLD Distrib by purpose'!P15,"*"))</f>
        <v>*</v>
      </c>
      <c r="Q8" s="319" t="str">
        <f>IF('OLD Distrib by purpose'!Q15&gt;0.0005=0,,IF('OLD Distrib by purpose'!Q15&gt;0.0005,'OLD Distrib by purpose'!Q15,"*"))</f>
        <v>*</v>
      </c>
      <c r="R8" s="319">
        <f>IF('OLD Distrib by purpose'!R15&gt;0.0005=0,,IF('OLD Distrib by purpose'!R15&gt;0.0005,'OLD Distrib by purpose'!R15,"*"))</f>
        <v>7.4944973493597583E-3</v>
      </c>
      <c r="S8" s="319">
        <f>IF('OLD Distrib by purpose'!S15&gt;0.0005=0,,IF('OLD Distrib by purpose'!S15&gt;0.0005,'OLD Distrib by purpose'!S15,"*"))</f>
        <v>3.1994699847806333E-3</v>
      </c>
      <c r="T8" s="319">
        <f>IF('OLD Distrib by purpose'!T15&gt;0.0005=0,,IF('OLD Distrib by purpose'!T15&gt;0.0005,'OLD Distrib by purpose'!T15,"*"))</f>
        <v>4.9517162811703432E-3</v>
      </c>
    </row>
    <row r="9" spans="1:20" ht="33" customHeight="1">
      <c r="A9" s="1399"/>
      <c r="B9" s="411" t="s">
        <v>125</v>
      </c>
      <c r="C9" s="212" t="s">
        <v>431</v>
      </c>
      <c r="D9" s="431">
        <f>IF('OLD Distrib by purpose'!D22&gt;0.0005=0,,IF('OLD Distrib by purpose'!D22&gt;0.0005,'OLD Distrib by purpose'!D22,"*"))</f>
        <v>5.5050973896521955E-3</v>
      </c>
      <c r="E9" s="322">
        <f>IF('OLD Distrib by purpose'!E22&gt;0.0005=0,,IF('OLD Distrib by purpose'!E22&gt;0.0005,'OLD Distrib by purpose'!E22,"*"))</f>
        <v>3.4361046144437027E-3</v>
      </c>
      <c r="F9" s="323" t="str">
        <f>IF('OLD Distrib by purpose'!F22&gt;0.0005=0,,IF('OLD Distrib by purpose'!F22&gt;0.0005,'OLD Distrib by purpose'!F22,"*"))</f>
        <v>*</v>
      </c>
      <c r="G9" s="323">
        <f>IF('OLD Distrib by purpose'!G22&gt;0.0005=0,,IF('OLD Distrib by purpose'!G22&gt;0.0005,'OLD Distrib by purpose'!G22,"*"))</f>
        <v>4.9736785963741658E-3</v>
      </c>
      <c r="H9" s="323" t="str">
        <f>IF('OLD Distrib by purpose'!H22&gt;0.0005=0,,IF('OLD Distrib by purpose'!H22&gt;0.0005,'OLD Distrib by purpose'!H22,"*"))</f>
        <v>*</v>
      </c>
      <c r="I9" s="323">
        <f>IF('OLD Distrib by purpose'!I22&gt;0.0005=0,,IF('OLD Distrib by purpose'!I22&gt;0.0005,'OLD Distrib by purpose'!I22,"*"))</f>
        <v>1.5455501463136867E-2</v>
      </c>
      <c r="J9" s="323">
        <f>IF('OLD Distrib by purpose'!J22&gt;0.0005=0,,IF('OLD Distrib by purpose'!J22&gt;0.0005,'OLD Distrib by purpose'!J22,"*"))</f>
        <v>1.8111524192709574E-2</v>
      </c>
      <c r="K9" s="323">
        <f>IF('OLD Distrib by purpose'!K22&gt;0.0005=0,,IF('OLD Distrib by purpose'!K22&gt;0.0005,'OLD Distrib by purpose'!K22,"*"))</f>
        <v>1.8474013186204473E-2</v>
      </c>
      <c r="L9" s="323" t="str">
        <f>IF('OLD Distrib by purpose'!L22&gt;0.0005=0,,IF('OLD Distrib by purpose'!L22&gt;0.0005,'OLD Distrib by purpose'!L22,"*"))</f>
        <v>*</v>
      </c>
      <c r="M9" s="323">
        <f>IF('OLD Distrib by purpose'!M22&gt;0.0005=0,,IF('OLD Distrib by purpose'!M22&gt;0.0005,'OLD Distrib by purpose'!M22,"*"))</f>
        <v>4.0154736967514155E-3</v>
      </c>
      <c r="N9" s="323" t="str">
        <f>IF('OLD Distrib by purpose'!N22&gt;0.0005=0,,IF('OLD Distrib by purpose'!N22&gt;0.0005,'OLD Distrib by purpose'!N22,"*"))</f>
        <v>*</v>
      </c>
      <c r="O9" s="323">
        <f>IF('OLD Distrib by purpose'!O22&gt;0.0005=0,,IF('OLD Distrib by purpose'!O22&gt;0.0005,'OLD Distrib by purpose'!O22,"*"))</f>
        <v>8.4410713118619734E-3</v>
      </c>
      <c r="P9" s="323">
        <f>IF('OLD Distrib by purpose'!P22&gt;0.0005=0,,IF('OLD Distrib by purpose'!P22&gt;0.0005,'OLD Distrib by purpose'!P22,"*"))</f>
        <v>2.2754179352410054E-3</v>
      </c>
      <c r="Q9" s="323" t="str">
        <f>IF('OLD Distrib by purpose'!Q22&gt;0.0005=0,,IF('OLD Distrib by purpose'!Q22&gt;0.0005,'OLD Distrib by purpose'!Q22,"*"))</f>
        <v>*</v>
      </c>
      <c r="R9" s="323" t="str">
        <f>IF('OLD Distrib by purpose'!R22&gt;0.0005=0,,IF('OLD Distrib by purpose'!R22&gt;0.0005,'OLD Distrib by purpose'!R22,"*"))</f>
        <v>*</v>
      </c>
      <c r="S9" s="323">
        <f>IF('OLD Distrib by purpose'!S22&gt;0.0005=0,,IF('OLD Distrib by purpose'!S22&gt;0.0005,'OLD Distrib by purpose'!S22,"*"))</f>
        <v>2.6869521557284996E-2</v>
      </c>
      <c r="T9" s="323">
        <f>IF('OLD Distrib by purpose'!T22&gt;0.0005=0,,IF('OLD Distrib by purpose'!T22&gt;0.0005,'OLD Distrib by purpose'!T22,"*"))</f>
        <v>8.7745769409800205E-3</v>
      </c>
    </row>
    <row r="10" spans="1:20" ht="24.75" customHeight="1">
      <c r="A10" s="1397" t="s">
        <v>474</v>
      </c>
      <c r="B10" s="412" t="s">
        <v>180</v>
      </c>
      <c r="C10" s="213" t="s">
        <v>409</v>
      </c>
      <c r="D10" s="432">
        <f>IF('OLD Distrib by purpose'!D26&gt;0.0005=0,,IF('OLD Distrib by purpose'!D26&gt;0.0005,'OLD Distrib by purpose'!D26,"*"))</f>
        <v>5.8519885883098911E-3</v>
      </c>
      <c r="E10" s="320">
        <f>IF('OLD Distrib by purpose'!E26&gt;0.0005=0,,IF('OLD Distrib by purpose'!E26&gt;0.0005,'OLD Distrib by purpose'!E26,"*"))</f>
        <v>2.6619977177422525E-3</v>
      </c>
      <c r="F10" s="26">
        <f>IF('OLD Distrib by purpose'!F26&gt;0.0005=0,,IF('OLD Distrib by purpose'!F26&gt;0.0005,'OLD Distrib by purpose'!F26,"*"))</f>
        <v>5.9398447244947009E-3</v>
      </c>
      <c r="G10" s="26">
        <f>IF('OLD Distrib by purpose'!G26&gt;0.0005=0,,IF('OLD Distrib by purpose'!G26&gt;0.0005,'OLD Distrib by purpose'!G26,"*"))</f>
        <v>1.0063945293200521E-2</v>
      </c>
      <c r="H10" s="26">
        <f>IF('OLD Distrib by purpose'!H26&gt;0.0005=0,,IF('OLD Distrib by purpose'!H26&gt;0.0005,'OLD Distrib by purpose'!H26,"*"))</f>
        <v>7.2269104250268412E-4</v>
      </c>
      <c r="I10" s="26">
        <f>IF('OLD Distrib by purpose'!I26&gt;0.0005=0,,IF('OLD Distrib by purpose'!I26&gt;0.0005,'OLD Distrib by purpose'!I26,"*"))</f>
        <v>5.9570787405597153E-3</v>
      </c>
      <c r="J10" s="26">
        <f>IF('OLD Distrib by purpose'!J26&gt;0.0005=0,,IF('OLD Distrib by purpose'!J26&gt;0.0005,'OLD Distrib by purpose'!J26,"*"))</f>
        <v>8.2759590736382563E-3</v>
      </c>
      <c r="K10" s="26">
        <f>IF('OLD Distrib by purpose'!K26&gt;0.0005=0,,IF('OLD Distrib by purpose'!K26&gt;0.0005,'OLD Distrib by purpose'!K26,"*"))</f>
        <v>1.9782145303814176E-2</v>
      </c>
      <c r="L10" s="26">
        <f>IF('OLD Distrib by purpose'!L26&gt;0.0005=0,,IF('OLD Distrib by purpose'!L26&gt;0.0005,'OLD Distrib by purpose'!L26,"*"))</f>
        <v>4.2498038042392983E-3</v>
      </c>
      <c r="M10" s="26">
        <f>IF('OLD Distrib by purpose'!M26&gt;0.0005=0,,IF('OLD Distrib by purpose'!M26&gt;0.0005,'OLD Distrib by purpose'!M26,"*"))</f>
        <v>6.6140916133285137E-3</v>
      </c>
      <c r="N10" s="26">
        <f>IF('OLD Distrib by purpose'!N26&gt;0.0005=0,,IF('OLD Distrib by purpose'!N26&gt;0.0005,'OLD Distrib by purpose'!N26,"*"))</f>
        <v>8.9813887600600339E-3</v>
      </c>
      <c r="O10" s="26">
        <f>IF('OLD Distrib by purpose'!O26&gt;0.0005=0,,IF('OLD Distrib by purpose'!O26&gt;0.0005,'OLD Distrib by purpose'!O26,"*"))</f>
        <v>5.6603666227333276E-3</v>
      </c>
      <c r="P10" s="26">
        <f>IF('OLD Distrib by purpose'!P26&gt;0.0005=0,,IF('OLD Distrib by purpose'!P26&gt;0.0005,'OLD Distrib by purpose'!P26,"*"))</f>
        <v>5.9048315500389581E-3</v>
      </c>
      <c r="Q10" s="26">
        <f>IF('OLD Distrib by purpose'!Q26&gt;0.0005=0,,IF('OLD Distrib by purpose'!Q26&gt;0.0005,'OLD Distrib by purpose'!Q26,"*"))</f>
        <v>4.3371536473547929E-3</v>
      </c>
      <c r="R10" s="26">
        <f>IF('OLD Distrib by purpose'!R26&gt;0.0005=0,,IF('OLD Distrib by purpose'!R26&gt;0.0005,'OLD Distrib by purpose'!R26,"*"))</f>
        <v>5.9422109482165962E-3</v>
      </c>
      <c r="S10" s="26">
        <f>IF('OLD Distrib by purpose'!S26&gt;0.0005=0,,IF('OLD Distrib by purpose'!S26&gt;0.0005,'OLD Distrib by purpose'!S26,"*"))</f>
        <v>5.3109899340454455E-3</v>
      </c>
      <c r="T10" s="26">
        <f>IF('OLD Distrib by purpose'!T26&gt;0.0005=0,,IF('OLD Distrib by purpose'!T26&gt;0.0005,'OLD Distrib by purpose'!T26,"*"))</f>
        <v>5.5894893344041394E-3</v>
      </c>
    </row>
    <row r="11" spans="1:20" ht="39" customHeight="1">
      <c r="A11" s="1398"/>
      <c r="B11" s="413" t="s">
        <v>250</v>
      </c>
      <c r="C11" s="211" t="s">
        <v>414</v>
      </c>
      <c r="D11" s="430">
        <f>IF('OLD Distrib by purpose'!D31&gt;0.0005=0,,IF('OLD Distrib by purpose'!D31&gt;0.0005,'OLD Distrib by purpose'!D31,"*"))</f>
        <v>2.9716561988240749E-3</v>
      </c>
      <c r="E11" s="336">
        <f>IF('OLD Distrib by purpose'!E31&gt;0.0005=0,,IF('OLD Distrib by purpose'!E31&gt;0.0005,'OLD Distrib by purpose'!E31,"*"))</f>
        <v>4.3727657000162245E-3</v>
      </c>
      <c r="F11" s="319" t="str">
        <f>IF('OLD Distrib by purpose'!F31&gt;0.0005=0,,IF('OLD Distrib by purpose'!F31&gt;0.0005,'OLD Distrib by purpose'!F31,"*"))</f>
        <v>*</v>
      </c>
      <c r="G11" s="319" t="str">
        <f>IF('OLD Distrib by purpose'!G31&gt;0.0005=0,,IF('OLD Distrib by purpose'!G31&gt;0.0005,'OLD Distrib by purpose'!G31,"*"))</f>
        <v>*</v>
      </c>
      <c r="H11" s="319">
        <f>IF('OLD Distrib by purpose'!H31&gt;0.0005=0,,IF('OLD Distrib by purpose'!H31&gt;0.0005,'OLD Distrib by purpose'!H31,"*"))</f>
        <v>2.9610885763867918E-3</v>
      </c>
      <c r="I11" s="319">
        <f>IF('OLD Distrib by purpose'!I31&gt;0.0005=0,,IF('OLD Distrib by purpose'!I31&gt;0.0005,'OLD Distrib by purpose'!I31,"*"))</f>
        <v>7.9932958428331861E-3</v>
      </c>
      <c r="J11" s="319" t="str">
        <f>IF('OLD Distrib by purpose'!J31&gt;0.0005=0,,IF('OLD Distrib by purpose'!J31&gt;0.0005,'OLD Distrib by purpose'!J31,"*"))</f>
        <v>*</v>
      </c>
      <c r="K11" s="319">
        <f>IF('OLD Distrib by purpose'!K31&gt;0.0005=0,,IF('OLD Distrib by purpose'!K31&gt;0.0005,'OLD Distrib by purpose'!K31,"*"))</f>
        <v>5.1470402495263701E-4</v>
      </c>
      <c r="L11" s="319">
        <f>IF('OLD Distrib by purpose'!L31&gt;0.0005=0,,IF('OLD Distrib by purpose'!L31&gt;0.0005,'OLD Distrib by purpose'!L31,"*"))</f>
        <v>1.0638996255172445E-2</v>
      </c>
      <c r="M11" s="319" t="str">
        <f>IF('OLD Distrib by purpose'!M31&gt;0.0005=0,,IF('OLD Distrib by purpose'!M31&gt;0.0005,'OLD Distrib by purpose'!M31,"*"))</f>
        <v>*</v>
      </c>
      <c r="N11" s="319" t="str">
        <f>IF('OLD Distrib by purpose'!N31&gt;0.0005=0,,IF('OLD Distrib by purpose'!N31&gt;0.0005,'OLD Distrib by purpose'!N31,"*"))</f>
        <v>*</v>
      </c>
      <c r="O11" s="319" t="str">
        <f>IF('OLD Distrib by purpose'!O31&gt;0.0005=0,,IF('OLD Distrib by purpose'!O31&gt;0.0005,'OLD Distrib by purpose'!O31,"*"))</f>
        <v>*</v>
      </c>
      <c r="P11" s="319">
        <f>IF('OLD Distrib by purpose'!P31&gt;0.0005=0,,IF('OLD Distrib by purpose'!P31&gt;0.0005,'OLD Distrib by purpose'!P31,"*"))</f>
        <v>1.6019867314535806E-3</v>
      </c>
      <c r="Q11" s="319" t="str">
        <f>IF('OLD Distrib by purpose'!Q31&gt;0.0005=0,,IF('OLD Distrib by purpose'!Q31&gt;0.0005,'OLD Distrib by purpose'!Q31,"*"))</f>
        <v>*</v>
      </c>
      <c r="R11" s="319">
        <f>IF('OLD Distrib by purpose'!R31&gt;0.0005=0,,IF('OLD Distrib by purpose'!R31&gt;0.0005,'OLD Distrib by purpose'!R31,"*"))</f>
        <v>4.2055408470553458E-3</v>
      </c>
      <c r="S11" s="319" t="str">
        <f>IF('OLD Distrib by purpose'!S31&gt;0.0005=0,,IF('OLD Distrib by purpose'!S31&gt;0.0005,'OLD Distrib by purpose'!S31,"*"))</f>
        <v>*</v>
      </c>
      <c r="T11" s="319" t="str">
        <f>IF('OLD Distrib by purpose'!T31&gt;0.0005=0,,IF('OLD Distrib by purpose'!T31&gt;0.0005,'OLD Distrib by purpose'!T31,"*"))</f>
        <v>*</v>
      </c>
    </row>
    <row r="12" spans="1:20" ht="25.5" customHeight="1">
      <c r="A12" s="1398"/>
      <c r="B12" s="413" t="s">
        <v>251</v>
      </c>
      <c r="C12" s="211" t="s">
        <v>415</v>
      </c>
      <c r="D12" s="433" t="str">
        <f>IF('OLD Distrib by purpose'!D32&gt;0.0005=0,,IF('OLD Distrib by purpose'!D32&gt;0.0005,'OLD Distrib by purpose'!D32,"*"))</f>
        <v>*</v>
      </c>
      <c r="E12" s="374" t="str">
        <f>IF('OLD Distrib by purpose'!E32&gt;0.0005=0,,IF('OLD Distrib by purpose'!E32&gt;0.0005,'OLD Distrib by purpose'!E32,"*"))</f>
        <v>*</v>
      </c>
      <c r="F12" s="375">
        <f>IF('OLD Distrib by purpose'!F32&gt;0.0005=0,,IF('OLD Distrib by purpose'!F32&gt;0.0005,'OLD Distrib by purpose'!F32,"*"))</f>
        <v>1.701090183673107E-3</v>
      </c>
      <c r="G12" s="375">
        <f>IF('OLD Distrib by purpose'!G32&gt;0.0005=0,,IF('OLD Distrib by purpose'!G32&gt;0.0005,'OLD Distrib by purpose'!G32,"*"))</f>
        <v>4.3881760389448497E-3</v>
      </c>
      <c r="H12" s="375" t="str">
        <f>IF('OLD Distrib by purpose'!H32&gt;0.0005=0,,IF('OLD Distrib by purpose'!H32&gt;0.0005,'OLD Distrib by purpose'!H32,"*"))</f>
        <v>*</v>
      </c>
      <c r="I12" s="375">
        <f>IF('OLD Distrib by purpose'!I32&gt;0.0005=0,,IF('OLD Distrib by purpose'!I32&gt;0.0005,'OLD Distrib by purpose'!I32,"*"))</f>
        <v>6.1303136333094703E-4</v>
      </c>
      <c r="J12" s="375">
        <f>IF('OLD Distrib by purpose'!J32&gt;0.0005=0,,IF('OLD Distrib by purpose'!J32&gt;0.0005,'OLD Distrib by purpose'!J32,"*"))</f>
        <v>1.5172451274108765E-3</v>
      </c>
      <c r="K12" s="375">
        <f>IF('OLD Distrib by purpose'!K32&gt;0.0005=0,,IF('OLD Distrib by purpose'!K32&gt;0.0005,'OLD Distrib by purpose'!K32,"*"))</f>
        <v>5.3197234498979804E-4</v>
      </c>
      <c r="L12" s="375" t="str">
        <f>IF('OLD Distrib by purpose'!L32&gt;0.0005=0,,IF('OLD Distrib by purpose'!L32&gt;0.0005,'OLD Distrib by purpose'!L32,"*"))</f>
        <v>*</v>
      </c>
      <c r="M12" s="375" t="str">
        <f>IF('OLD Distrib by purpose'!M32&gt;0.0005=0,,IF('OLD Distrib by purpose'!M32&gt;0.0005,'OLD Distrib by purpose'!M32,"*"))</f>
        <v>*</v>
      </c>
      <c r="N12" s="375" t="str">
        <f>IF('OLD Distrib by purpose'!N32&gt;0.0005=0,,IF('OLD Distrib by purpose'!N32&gt;0.0005,'OLD Distrib by purpose'!N32,"*"))</f>
        <v>*</v>
      </c>
      <c r="O12" s="375" t="str">
        <f>IF('OLD Distrib by purpose'!O32&gt;0.0005=0,,IF('OLD Distrib by purpose'!O32&gt;0.0005,'OLD Distrib by purpose'!O32,"*"))</f>
        <v>*</v>
      </c>
      <c r="P12" s="375">
        <f>IF('OLD Distrib by purpose'!P32&gt;0.0005=0,,IF('OLD Distrib by purpose'!P32&gt;0.0005,'OLD Distrib by purpose'!P32,"*"))</f>
        <v>7.7222304742284695E-4</v>
      </c>
      <c r="Q12" s="375">
        <f>IF('OLD Distrib by purpose'!Q32&gt;0.0005=0,,IF('OLD Distrib by purpose'!Q32&gt;0.0005,'OLD Distrib by purpose'!Q32,"*"))</f>
        <v>8.9781131228795243E-4</v>
      </c>
      <c r="R12" s="375" t="str">
        <f>IF('OLD Distrib by purpose'!R32&gt;0.0005=0,,IF('OLD Distrib by purpose'!R32&gt;0.0005,'OLD Distrib by purpose'!R32,"*"))</f>
        <v>*</v>
      </c>
      <c r="S12" s="375" t="str">
        <f>IF('OLD Distrib by purpose'!S32&gt;0.0005=0,,IF('OLD Distrib by purpose'!S32&gt;0.0005,'OLD Distrib by purpose'!S32,"*"))</f>
        <v>*</v>
      </c>
      <c r="T12" s="375">
        <f>IF('OLD Distrib by purpose'!T32&gt;0.0005=0,,IF('OLD Distrib by purpose'!T32&gt;0.0005,'OLD Distrib by purpose'!T32,"*"))</f>
        <v>6.0258330219729438E-4</v>
      </c>
    </row>
    <row r="13" spans="1:20" ht="48.75" customHeight="1">
      <c r="A13" s="1398"/>
      <c r="B13" s="413" t="s">
        <v>387</v>
      </c>
      <c r="C13" s="211" t="s">
        <v>419</v>
      </c>
      <c r="D13" s="430">
        <f>IF('OLD Distrib by purpose'!D36&gt;0.0005=0,,IF('OLD Distrib by purpose'!D36&gt;0.0005,'OLD Distrib by purpose'!D36,"*"))</f>
        <v>6.4372876401907184E-2</v>
      </c>
      <c r="E13" s="336">
        <f>IF('OLD Distrib by purpose'!E36&gt;0.0005=0,,IF('OLD Distrib by purpose'!E36&gt;0.0005,'OLD Distrib by purpose'!E36,"*"))</f>
        <v>1.3778497045924024E-2</v>
      </c>
      <c r="F13" s="319">
        <f>IF('OLD Distrib by purpose'!F36&gt;0.0005=0,,IF('OLD Distrib by purpose'!F36&gt;0.0005,'OLD Distrib by purpose'!F36,"*"))</f>
        <v>3.0469410935481576E-2</v>
      </c>
      <c r="G13" s="319">
        <f>IF('OLD Distrib by purpose'!G36&gt;0.0005=0,,IF('OLD Distrib by purpose'!G36&gt;0.0005,'OLD Distrib by purpose'!G36,"*"))</f>
        <v>6.0959083671105994E-3</v>
      </c>
      <c r="H13" s="319">
        <f>IF('OLD Distrib by purpose'!H36&gt;0.0005=0,,IF('OLD Distrib by purpose'!H36&gt;0.0005,'OLD Distrib by purpose'!H36,"*"))</f>
        <v>0.10884797196971228</v>
      </c>
      <c r="I13" s="319">
        <f>IF('OLD Distrib by purpose'!I36&gt;0.0005=0,,IF('OLD Distrib by purpose'!I36&gt;0.0005,'OLD Distrib by purpose'!I36,"*"))</f>
        <v>0.12080189092768899</v>
      </c>
      <c r="J13" s="319">
        <f>IF('OLD Distrib by purpose'!J36&gt;0.0005=0,,IF('OLD Distrib by purpose'!J36&gt;0.0005,'OLD Distrib by purpose'!J36,"*"))</f>
        <v>7.7246579590307479E-2</v>
      </c>
      <c r="K13" s="319">
        <f>IF('OLD Distrib by purpose'!K36&gt;0.0005=0,,IF('OLD Distrib by purpose'!K36&gt;0.0005,'OLD Distrib by purpose'!K36,"*"))</f>
        <v>8.0932000148477706E-2</v>
      </c>
      <c r="L13" s="319">
        <f>IF('OLD Distrib by purpose'!L36&gt;0.0005=0,,IF('OLD Distrib by purpose'!L36&gt;0.0005,'OLD Distrib by purpose'!L36,"*"))</f>
        <v>3.6240876824867305E-2</v>
      </c>
      <c r="M13" s="319">
        <f>IF('OLD Distrib by purpose'!M36&gt;0.0005=0,,IF('OLD Distrib by purpose'!M36&gt;0.0005,'OLD Distrib by purpose'!M36,"*"))</f>
        <v>1.5423514147817233E-2</v>
      </c>
      <c r="N13" s="319">
        <f>IF('OLD Distrib by purpose'!N36&gt;0.0005=0,,IF('OLD Distrib by purpose'!N36&gt;0.0005,'OLD Distrib by purpose'!N36,"*"))</f>
        <v>5.2088398219460805E-2</v>
      </c>
      <c r="O13" s="319">
        <f>IF('OLD Distrib by purpose'!O36&gt;0.0005=0,,IF('OLD Distrib by purpose'!O36&gt;0.0005,'OLD Distrib by purpose'!O36,"*"))</f>
        <v>4.0636842157281777E-2</v>
      </c>
      <c r="P13" s="319">
        <f>IF('OLD Distrib by purpose'!P36&gt;0.0005=0,,IF('OLD Distrib by purpose'!P36&gt;0.0005,'OLD Distrib by purpose'!P36,"*"))</f>
        <v>0.12066344184995814</v>
      </c>
      <c r="Q13" s="319">
        <f>IF('OLD Distrib by purpose'!Q36&gt;0.0005=0,,IF('OLD Distrib by purpose'!Q36&gt;0.0005,'OLD Distrib by purpose'!Q36,"*"))</f>
        <v>0.1335286740756399</v>
      </c>
      <c r="R13" s="319">
        <f>IF('OLD Distrib by purpose'!R36&gt;0.0005=0,,IF('OLD Distrib by purpose'!R36&gt;0.0005,'OLD Distrib by purpose'!R36,"*"))</f>
        <v>3.9798976941942947E-2</v>
      </c>
      <c r="S13" s="319">
        <f>IF('OLD Distrib by purpose'!S36&gt;0.0005=0,,IF('OLD Distrib by purpose'!S36&gt;0.0005,'OLD Distrib by purpose'!S36,"*"))</f>
        <v>6.184463005789613E-2</v>
      </c>
      <c r="T13" s="319">
        <f>IF('OLD Distrib by purpose'!T36&gt;0.0005=0,,IF('OLD Distrib by purpose'!T36&gt;0.0005,'OLD Distrib by purpose'!T36,"*"))</f>
        <v>7.9381617815602296E-2</v>
      </c>
    </row>
    <row r="14" spans="1:20" ht="36" customHeight="1">
      <c r="A14" s="1400"/>
      <c r="B14" s="410" t="s">
        <v>266</v>
      </c>
      <c r="C14" s="211" t="s">
        <v>408</v>
      </c>
      <c r="D14" s="430">
        <f>IF('OLD Distrib by purpose'!D52&gt;0.0005=0,,IF('OLD Distrib by purpose'!D52&gt;0.0005,'OLD Distrib by purpose'!D52,"*"))</f>
        <v>6.5195126440924081E-2</v>
      </c>
      <c r="E14" s="336">
        <f>IF('OLD Distrib by purpose'!E52&gt;0.0005=0,,IF('OLD Distrib by purpose'!E52&gt;0.0005,'OLD Distrib by purpose'!E52,"*"))</f>
        <v>0.14320867404732002</v>
      </c>
      <c r="F14" s="319" t="str">
        <f>IF('OLD Distrib by purpose'!F52&gt;0.0005=0,,IF('OLD Distrib by purpose'!F52&gt;0.0005,'OLD Distrib by purpose'!F52,"*"))</f>
        <v>*</v>
      </c>
      <c r="G14" s="319" t="str">
        <f>IF('OLD Distrib by purpose'!G52&gt;0.0005=0,,IF('OLD Distrib by purpose'!G52&gt;0.0005,'OLD Distrib by purpose'!G52,"*"))</f>
        <v>*</v>
      </c>
      <c r="H14" s="319">
        <f>IF('OLD Distrib by purpose'!H52&gt;0.0005=0,,IF('OLD Distrib by purpose'!H52&gt;0.0005,'OLD Distrib by purpose'!H52,"*"))</f>
        <v>5.3018464175064887E-2</v>
      </c>
      <c r="I14" s="319">
        <f>IF('OLD Distrib by purpose'!I52&gt;0.0005=0,,IF('OLD Distrib by purpose'!I52&gt;0.0005,'OLD Distrib by purpose'!I52,"*"))</f>
        <v>4.721760440712452E-3</v>
      </c>
      <c r="J14" s="319">
        <f>IF('OLD Distrib by purpose'!J52&gt;0.0005=0,,IF('OLD Distrib by purpose'!J52&gt;0.0005,'OLD Distrib by purpose'!J52,"*"))</f>
        <v>6.079414601689781E-2</v>
      </c>
      <c r="K14" s="319">
        <f>IF('OLD Distrib by purpose'!K52&gt;0.0005=0,,IF('OLD Distrib by purpose'!K52&gt;0.0005,'OLD Distrib by purpose'!K52,"*"))</f>
        <v>1.3300277812423935E-2</v>
      </c>
      <c r="L14" s="319" t="str">
        <f>IF('OLD Distrib by purpose'!L52&gt;0.0005=0,,IF('OLD Distrib by purpose'!L52&gt;0.0005,'OLD Distrib by purpose'!L52,"*"))</f>
        <v>*</v>
      </c>
      <c r="M14" s="319">
        <f>IF('OLD Distrib by purpose'!M52&gt;0.0005=0,,IF('OLD Distrib by purpose'!M52&gt;0.0005,'OLD Distrib by purpose'!M52,"*"))</f>
        <v>1.4462417535547318E-2</v>
      </c>
      <c r="N14" s="319">
        <f>IF('OLD Distrib by purpose'!N52&gt;0.0005=0,,IF('OLD Distrib by purpose'!N52&gt;0.0005,'OLD Distrib by purpose'!N52,"*"))</f>
        <v>6.591370682564901E-2</v>
      </c>
      <c r="O14" s="319">
        <f>IF('OLD Distrib by purpose'!O52&gt;0.0005=0,,IF('OLD Distrib by purpose'!O52&gt;0.0005,'OLD Distrib by purpose'!O52,"*"))</f>
        <v>9.5844228113913771E-2</v>
      </c>
      <c r="P14" s="319">
        <f>IF('OLD Distrib by purpose'!P52&gt;0.0005=0,,IF('OLD Distrib by purpose'!P52&gt;0.0005,'OLD Distrib by purpose'!P52,"*"))</f>
        <v>1.2339111437080335E-2</v>
      </c>
      <c r="Q14" s="319">
        <f>IF('OLD Distrib by purpose'!Q52&gt;0.0005=0,,IF('OLD Distrib by purpose'!Q52&gt;0.0005,'OLD Distrib by purpose'!Q52,"*"))</f>
        <v>1.5515820059176632E-2</v>
      </c>
      <c r="R14" s="319">
        <f>IF('OLD Distrib by purpose'!R52&gt;0.0005=0,,IF('OLD Distrib by purpose'!R52&gt;0.0005,'OLD Distrib by purpose'!R52,"*"))</f>
        <v>0.13564885806372634</v>
      </c>
      <c r="S14" s="319">
        <f>IF('OLD Distrib by purpose'!S52&gt;0.0005=0,,IF('OLD Distrib by purpose'!S52&gt;0.0005,'OLD Distrib by purpose'!S52,"*"))</f>
        <v>3.7242963156655012E-2</v>
      </c>
      <c r="T14" s="319">
        <f>IF('OLD Distrib by purpose'!T52&gt;0.0005=0,,IF('OLD Distrib by purpose'!T52&gt;0.0005,'OLD Distrib by purpose'!T52,"*"))</f>
        <v>0.1295797025922687</v>
      </c>
    </row>
    <row r="15" spans="1:20" ht="37.5" customHeight="1">
      <c r="A15" s="1400"/>
      <c r="B15" s="410" t="s">
        <v>432</v>
      </c>
      <c r="C15" s="211" t="s">
        <v>429</v>
      </c>
      <c r="D15" s="430">
        <f>IF('OLD Distrib by purpose'!D53&gt;0.0005=0,,IF('OLD Distrib by purpose'!D53&gt;0.0005,'OLD Distrib by purpose'!D53,"*"))</f>
        <v>2.6081435429766413E-2</v>
      </c>
      <c r="E15" s="336" t="str">
        <f>IF('OLD Distrib by purpose'!E53&gt;0.0005=0,,IF('OLD Distrib by purpose'!E53&gt;0.0005,'OLD Distrib by purpose'!E53,"*"))</f>
        <v>*</v>
      </c>
      <c r="F15" s="319">
        <f>IF('OLD Distrib by purpose'!F53&gt;0.0005=0,,IF('OLD Distrib by purpose'!F53&gt;0.0005,'OLD Distrib by purpose'!F53,"*"))</f>
        <v>8.6208909495802455E-2</v>
      </c>
      <c r="G15" s="319" t="str">
        <f>IF('OLD Distrib by purpose'!G53&gt;0.0005=0,,IF('OLD Distrib by purpose'!G53&gt;0.0005,'OLD Distrib by purpose'!G53,"*"))</f>
        <v>*</v>
      </c>
      <c r="H15" s="319" t="str">
        <f>IF('OLD Distrib by purpose'!H53&gt;0.0005=0,,IF('OLD Distrib by purpose'!H53&gt;0.0005,'OLD Distrib by purpose'!H53,"*"))</f>
        <v>*</v>
      </c>
      <c r="I15" s="319">
        <f>IF('OLD Distrib by purpose'!I53&gt;0.0005=0,,IF('OLD Distrib by purpose'!I53&gt;0.0005,'OLD Distrib by purpose'!I53,"*"))</f>
        <v>4.7827690339999882E-2</v>
      </c>
      <c r="J15" s="319" t="str">
        <f>IF('OLD Distrib by purpose'!J53&gt;0.0005=0,,IF('OLD Distrib by purpose'!J53&gt;0.0005,'OLD Distrib by purpose'!J53,"*"))</f>
        <v>*</v>
      </c>
      <c r="K15" s="319">
        <f>IF('OLD Distrib by purpose'!K53&gt;0.0005=0,,IF('OLD Distrib by purpose'!K53&gt;0.0005,'OLD Distrib by purpose'!K53,"*"))</f>
        <v>9.6016735712547402E-2</v>
      </c>
      <c r="L15" s="319">
        <f>IF('OLD Distrib by purpose'!L53&gt;0.0005=0,,IF('OLD Distrib by purpose'!L53&gt;0.0005,'OLD Distrib by purpose'!L53,"*"))</f>
        <v>7.811051051843268E-2</v>
      </c>
      <c r="M15" s="319">
        <f>IF('OLD Distrib by purpose'!M53&gt;0.0005=0,,IF('OLD Distrib by purpose'!M53&gt;0.0005,'OLD Distrib by purpose'!M53,"*"))</f>
        <v>0.14131447585131898</v>
      </c>
      <c r="N15" s="319" t="str">
        <f>IF('OLD Distrib by purpose'!N53&gt;0.0005=0,,IF('OLD Distrib by purpose'!N53&gt;0.0005,'OLD Distrib by purpose'!N53,"*"))</f>
        <v>*</v>
      </c>
      <c r="O15" s="319" t="str">
        <f>IF('OLD Distrib by purpose'!O53&gt;0.0005=0,,IF('OLD Distrib by purpose'!O53&gt;0.0005,'OLD Distrib by purpose'!O53,"*"))</f>
        <v>*</v>
      </c>
      <c r="P15" s="319">
        <f>IF('OLD Distrib by purpose'!P53&gt;0.0005=0,,IF('OLD Distrib by purpose'!P53&gt;0.0005,'OLD Distrib by purpose'!P53,"*"))</f>
        <v>5.5990054076085274E-2</v>
      </c>
      <c r="Q15" s="319">
        <f>IF('OLD Distrib by purpose'!Q53&gt;0.0005=0,,IF('OLD Distrib by purpose'!Q53&gt;0.0005,'OLD Distrib by purpose'!Q53,"*"))</f>
        <v>7.7881139674316507E-2</v>
      </c>
      <c r="R15" s="319" t="str">
        <f>IF('OLD Distrib by purpose'!R53&gt;0.0005=0,,IF('OLD Distrib by purpose'!R53&gt;0.0005,'OLD Distrib by purpose'!R53,"*"))</f>
        <v>*</v>
      </c>
      <c r="S15" s="319" t="str">
        <f>IF('OLD Distrib by purpose'!S53&gt;0.0005=0,,IF('OLD Distrib by purpose'!S53&gt;0.0005,'OLD Distrib by purpose'!S53,"*"))</f>
        <v>*</v>
      </c>
      <c r="T15" s="319">
        <f>IF('OLD Distrib by purpose'!T53&gt;0.0005=0,,IF('OLD Distrib by purpose'!T53&gt;0.0005,'OLD Distrib by purpose'!T53,"*"))</f>
        <v>3.6724716831065977E-2</v>
      </c>
    </row>
    <row r="16" spans="1:20" ht="45.75" customHeight="1">
      <c r="A16" s="1399"/>
      <c r="B16" s="414" t="s">
        <v>433</v>
      </c>
      <c r="C16" s="422" t="s">
        <v>430</v>
      </c>
      <c r="D16" s="434">
        <f>IF('OLD Distrib by purpose'!D54&gt;0.0005=0,,IF('OLD Distrib by purpose'!D54&gt;0.0005,'OLD Distrib by purpose'!D54,"*"))</f>
        <v>8.5728124659644068E-3</v>
      </c>
      <c r="E16" s="321">
        <f>IF('OLD Distrib by purpose'!E54&gt;0.0005=0,,IF('OLD Distrib by purpose'!E54&gt;0.0005,'OLD Distrib by purpose'!E54,"*"))</f>
        <v>3.7292111509337608E-3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1.8982898001409194E-2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8.2229654543331046E-2</v>
      </c>
      <c r="M16" s="15" t="str">
        <f>IF('OLD Distrib by purpose'!M54&gt;0.0005=0,,IF('OLD Distrib by purpose'!M54&gt;0.0005,'OLD Distrib by purpose'!M54,"*"))</f>
        <v>*</v>
      </c>
      <c r="N16" s="15">
        <f>IF('OLD Distrib by purpose'!N54&gt;0.0005=0,,IF('OLD Distrib by purpose'!N54&gt;0.0005,'OLD Distrib by purpose'!N54,"*"))</f>
        <v>7.2384974380271579E-3</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4.0975752258113861E-3</v>
      </c>
      <c r="R16" s="15" t="str">
        <f>IF('OLD Distrib by purpose'!R54&gt;0.0005=0,,IF('OLD Distrib by purpose'!R54&gt;0.0005,'OLD Distrib by purpose'!R54,"*"))</f>
        <v>*</v>
      </c>
      <c r="S16" s="15">
        <f>IF('OLD Distrib by purpose'!S54&gt;0.0005=0,,IF('OLD Distrib by purpose'!S54&gt;0.0005,'OLD Distrib by purpose'!S54,"*"))</f>
        <v>8.4215198863793559E-3</v>
      </c>
      <c r="T16" s="15" t="str">
        <f>IF('OLD Distrib by purpose'!T54&gt;0.0005=0,,IF('OLD Distrib by purpose'!T54&gt;0.0005,'OLD Distrib by purpose'!T54,"*"))</f>
        <v>*</v>
      </c>
    </row>
    <row r="17" spans="1:20" s="122" customFormat="1" ht="16.5" customHeight="1">
      <c r="A17" s="73"/>
      <c r="B17" s="325" t="s">
        <v>3</v>
      </c>
      <c r="C17" s="326"/>
      <c r="D17" s="327">
        <f>SUM(D7:D8:D16)</f>
        <v>0.99840796086261319</v>
      </c>
      <c r="E17" s="327">
        <f>SUM(E7:E8:E16)</f>
        <v>0.99955618361119347</v>
      </c>
      <c r="F17" s="327">
        <f>SUM(F7:F8:F16)</f>
        <v>0.99895957341638564</v>
      </c>
      <c r="G17" s="327">
        <f>SUM(G7:G8:G16)</f>
        <v>0.99928357146276792</v>
      </c>
      <c r="H17" s="327">
        <f>SUM(H7:H8:H16)</f>
        <v>0.99901469500538398</v>
      </c>
      <c r="I17" s="327">
        <f>SUM(I7:I8:I16)</f>
        <v>0.99949884756941332</v>
      </c>
      <c r="J17" s="327">
        <f>SUM(J7:J8:J16)</f>
        <v>0.99923086637033354</v>
      </c>
      <c r="K17" s="327">
        <f>SUM(K7:K8:K16)</f>
        <v>0.99957548859074785</v>
      </c>
      <c r="L17" s="327">
        <f>SUM(L7:L8:L16)</f>
        <v>0.99919814434649301</v>
      </c>
      <c r="M17" s="327">
        <f>SUM(M7:M8:M16)</f>
        <v>0.99843488568114314</v>
      </c>
      <c r="N17" s="327">
        <f>SUM(N7:N8:N16)</f>
        <v>0.99932125782385206</v>
      </c>
      <c r="O17" s="327">
        <f>SUM(O7:O8:O16)</f>
        <v>0.99994751583448105</v>
      </c>
      <c r="P17" s="327">
        <f>SUM(P7:P8:P16)</f>
        <v>0.99964794856451833</v>
      </c>
      <c r="Q17" s="327">
        <f>SUM(Q7:Q8:Q16)</f>
        <v>0.99936999893634393</v>
      </c>
      <c r="R17" s="327">
        <f>SUM(R7:R8:R16)</f>
        <v>0.99985591754563097</v>
      </c>
      <c r="S17" s="327">
        <f>SUM(S7:S8:S16)</f>
        <v>0.99900305049565841</v>
      </c>
      <c r="T17" s="415">
        <f>SUM(T7:T8:T16)</f>
        <v>0.99939430928332051</v>
      </c>
    </row>
    <row r="18" spans="1:20" ht="39.75" customHeight="1">
      <c r="A18" s="1394" t="s">
        <v>475</v>
      </c>
      <c r="B18" s="1395"/>
      <c r="C18" s="1395"/>
      <c r="D18" s="1395"/>
      <c r="E18" s="1395"/>
      <c r="F18" s="1395"/>
      <c r="G18" s="1395"/>
      <c r="H18" s="1395"/>
      <c r="I18" s="1395"/>
      <c r="J18" s="1395"/>
      <c r="K18" s="1395"/>
      <c r="L18" s="1395"/>
      <c r="M18" s="1395"/>
      <c r="N18" s="1395"/>
      <c r="O18" s="1395"/>
      <c r="P18" s="1395"/>
      <c r="Q18" s="1395"/>
      <c r="R18" s="1395"/>
      <c r="S18" s="1395"/>
      <c r="T18" s="1395"/>
    </row>
    <row r="19" spans="1:20" ht="14.25" customHeight="1">
      <c r="A19" s="70" t="s">
        <v>122</v>
      </c>
      <c r="B19" s="71"/>
      <c r="C19" s="71"/>
      <c r="D19" s="71"/>
      <c r="E19" s="71"/>
      <c r="F19" s="71"/>
      <c r="G19" s="71"/>
      <c r="H19" s="71"/>
      <c r="I19" s="71"/>
      <c r="J19" s="71"/>
      <c r="K19" s="185"/>
      <c r="L19" s="185"/>
      <c r="M19" s="186"/>
      <c r="N19" s="71"/>
      <c r="O19" s="71"/>
      <c r="P19" s="71"/>
      <c r="Q19" s="71"/>
      <c r="R19" s="71"/>
      <c r="S19" s="71"/>
      <c r="T19" s="72"/>
    </row>
    <row r="20" spans="1:20" ht="15" customHeight="1">
      <c r="A20" s="70" t="s">
        <v>331</v>
      </c>
      <c r="B20" s="71"/>
      <c r="C20" s="71"/>
      <c r="D20" s="71"/>
      <c r="E20" s="71"/>
      <c r="F20" s="71"/>
      <c r="G20" s="71"/>
      <c r="H20" s="71"/>
      <c r="I20" s="71"/>
      <c r="J20" s="71"/>
      <c r="K20" s="185"/>
      <c r="L20" s="185"/>
      <c r="M20" s="186"/>
      <c r="N20" s="71"/>
      <c r="O20" s="71"/>
      <c r="P20" s="71"/>
      <c r="Q20" s="71"/>
      <c r="R20" s="71"/>
      <c r="S20" s="71"/>
      <c r="T20" s="72"/>
    </row>
    <row r="21" spans="1:20" ht="12" customHeight="1">
      <c r="A21" s="72" t="s">
        <v>0</v>
      </c>
      <c r="B21" s="71"/>
      <c r="C21" s="71"/>
      <c r="D21" s="71"/>
      <c r="E21" s="71"/>
      <c r="F21" s="71"/>
      <c r="G21" s="71"/>
      <c r="H21" s="71"/>
      <c r="I21" s="71"/>
      <c r="J21" s="71"/>
      <c r="K21" s="185"/>
      <c r="L21" s="185"/>
      <c r="M21" s="186"/>
      <c r="N21" s="71"/>
      <c r="O21" s="71"/>
      <c r="P21" s="71"/>
      <c r="Q21" s="71"/>
      <c r="R21" s="71"/>
      <c r="S21" s="71"/>
      <c r="T21" s="72"/>
    </row>
    <row r="22" spans="1:20">
      <c r="T22" s="591" t="s">
        <v>2018</v>
      </c>
    </row>
    <row r="24" spans="1:20">
      <c r="H24" s="223"/>
    </row>
  </sheetData>
  <mergeCells count="5">
    <mergeCell ref="A2:T2"/>
    <mergeCell ref="A3:T3"/>
    <mergeCell ref="A5:A9"/>
    <mergeCell ref="A10:A16"/>
    <mergeCell ref="A18:T18"/>
  </mergeCells>
  <printOptions horizontalCentered="1"/>
  <pageMargins left="0.3" right="0.3" top="0.75" bottom="0.5" header="0.75" footer="0.5"/>
  <pageSetup scale="90" firstPageNumber="113" orientation="landscape" useFirstPageNumber="1" r:id="rId1"/>
  <headerFooter alignWithMargins="0">
    <oddHeader>&amp;R&amp;"Arial,Regular"&amp;8SREB-State Data Exchange</oddHeader>
    <oddFooter>&amp;C&amp;"Arial,Regular"C-&amp;P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indexed="16"/>
  </sheetPr>
  <dimension ref="A1:AX64"/>
  <sheetViews>
    <sheetView showGridLines="0" view="pageBreakPreview" zoomScaleSheetLayoutView="100" workbookViewId="0">
      <selection activeCell="D13" sqref="D13"/>
    </sheetView>
  </sheetViews>
  <sheetFormatPr defaultColWidth="8.875" defaultRowHeight="12.75"/>
  <cols>
    <col min="1" max="1" width="10" style="7" customWidth="1"/>
    <col min="2" max="2" width="29.625" style="61" customWidth="1"/>
    <col min="3" max="3" width="3.875" style="315"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c r="A1" s="135" t="s">
        <v>527</v>
      </c>
      <c r="B1" s="123"/>
      <c r="C1" s="311"/>
      <c r="D1" s="123"/>
      <c r="E1" s="123"/>
      <c r="F1" s="123"/>
      <c r="G1" s="123"/>
      <c r="H1" s="136"/>
      <c r="I1" s="123"/>
      <c r="J1" s="123"/>
      <c r="K1" s="123"/>
      <c r="L1" s="123"/>
      <c r="M1" s="123"/>
      <c r="N1" s="123"/>
      <c r="O1" s="123"/>
      <c r="P1" s="123"/>
      <c r="Q1" s="123"/>
      <c r="R1" s="123"/>
      <c r="S1" s="123"/>
      <c r="T1" s="101"/>
    </row>
    <row r="2" spans="1:50" s="61" customFormat="1" ht="18">
      <c r="A2" s="135"/>
      <c r="B2" s="123"/>
      <c r="C2" s="311"/>
      <c r="D2" s="123"/>
      <c r="E2" s="123"/>
      <c r="F2" s="123"/>
      <c r="G2" s="123"/>
      <c r="H2" s="136"/>
      <c r="I2" s="123"/>
      <c r="J2" s="123"/>
      <c r="K2" s="123"/>
      <c r="L2" s="123"/>
      <c r="M2" s="123"/>
      <c r="N2" s="123"/>
      <c r="O2" s="123"/>
      <c r="P2" s="123"/>
      <c r="Q2" s="123"/>
      <c r="R2" s="123"/>
      <c r="S2" s="123"/>
      <c r="T2" s="101"/>
    </row>
    <row r="3" spans="1:50" s="139" customFormat="1" ht="18.75">
      <c r="A3" s="137" t="s">
        <v>41</v>
      </c>
      <c r="B3" s="124"/>
      <c r="C3" s="312"/>
      <c r="D3" s="318"/>
      <c r="E3" s="138"/>
      <c r="F3" s="138"/>
      <c r="G3" s="138"/>
      <c r="H3" s="101"/>
      <c r="I3" s="138"/>
      <c r="J3" s="138"/>
      <c r="K3" s="101"/>
      <c r="L3" s="101"/>
      <c r="M3" s="101"/>
      <c r="N3" s="138"/>
      <c r="O3" s="138"/>
      <c r="P3" s="138"/>
      <c r="Q3" s="138"/>
      <c r="R3" s="138"/>
      <c r="S3" s="138"/>
      <c r="T3" s="101"/>
    </row>
    <row r="4" spans="1:50" s="139" customFormat="1" ht="15.75">
      <c r="A4" s="137" t="s">
        <v>1993</v>
      </c>
      <c r="B4" s="124"/>
      <c r="C4" s="312"/>
      <c r="D4" s="316"/>
      <c r="E4" s="138"/>
      <c r="F4" s="138"/>
      <c r="G4" s="138"/>
      <c r="H4" s="101"/>
      <c r="I4" s="138"/>
      <c r="J4" s="138"/>
      <c r="K4" s="101"/>
      <c r="L4" s="101"/>
      <c r="M4" s="101"/>
      <c r="N4" s="138"/>
      <c r="O4" s="138"/>
      <c r="P4" s="138"/>
      <c r="Q4" s="138"/>
      <c r="R4" s="138"/>
      <c r="S4" s="138"/>
      <c r="T4" s="101"/>
    </row>
    <row r="5" spans="1:50" s="139" customFormat="1" ht="15.75">
      <c r="A5" s="137"/>
      <c r="B5" s="124"/>
      <c r="C5" s="312"/>
      <c r="D5" s="316"/>
      <c r="E5" s="138"/>
      <c r="F5" s="138"/>
      <c r="G5" s="138"/>
      <c r="H5" s="101"/>
      <c r="I5" s="138"/>
      <c r="J5" s="138"/>
      <c r="K5" s="101"/>
      <c r="L5" s="101"/>
      <c r="M5" s="101"/>
      <c r="N5" s="138"/>
      <c r="O5" s="138"/>
      <c r="P5" s="138"/>
      <c r="Q5" s="138"/>
      <c r="R5" s="138"/>
      <c r="S5" s="138"/>
      <c r="T5" s="101"/>
    </row>
    <row r="6" spans="1:50" s="84" customFormat="1" ht="12.75" customHeight="1">
      <c r="A6" s="80"/>
      <c r="B6" s="125"/>
      <c r="C6" s="313" t="s">
        <v>391</v>
      </c>
      <c r="D6" s="572" t="s">
        <v>566</v>
      </c>
      <c r="E6" s="573" t="s">
        <v>202</v>
      </c>
      <c r="F6" s="574" t="s">
        <v>203</v>
      </c>
      <c r="G6" s="574" t="s">
        <v>208</v>
      </c>
      <c r="H6" s="574" t="s">
        <v>209</v>
      </c>
      <c r="I6" s="574" t="s">
        <v>204</v>
      </c>
      <c r="J6" s="575" t="s">
        <v>210</v>
      </c>
      <c r="K6" s="575" t="s">
        <v>205</v>
      </c>
      <c r="L6" s="575" t="s">
        <v>211</v>
      </c>
      <c r="M6" s="575" t="s">
        <v>212</v>
      </c>
      <c r="N6" s="575" t="s">
        <v>213</v>
      </c>
      <c r="O6" s="575" t="s">
        <v>214</v>
      </c>
      <c r="P6" s="575" t="s">
        <v>206</v>
      </c>
      <c r="Q6" s="575" t="s">
        <v>215</v>
      </c>
      <c r="R6" s="575" t="s">
        <v>207</v>
      </c>
      <c r="S6" s="575" t="s">
        <v>216</v>
      </c>
      <c r="T6" s="575" t="s">
        <v>217</v>
      </c>
    </row>
    <row r="7" spans="1:50" ht="27">
      <c r="A7" s="1401" t="s">
        <v>473</v>
      </c>
      <c r="B7" s="376" t="s">
        <v>477</v>
      </c>
      <c r="C7" s="384" t="s">
        <v>392</v>
      </c>
      <c r="D7" s="378">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0.79580531026121737</v>
      </c>
      <c r="E7" s="379">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0.77437513209745956</v>
      </c>
      <c r="F7" s="379">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0.76574238989587562</v>
      </c>
      <c r="G7" s="379">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0.96223027038255549</v>
      </c>
      <c r="H7" s="379">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0.81816016110191803</v>
      </c>
      <c r="I7" s="379">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0.76190718702818616</v>
      </c>
      <c r="J7" s="379">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0.79437330823347496</v>
      </c>
      <c r="K7" s="379">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0.71941946766147258</v>
      </c>
      <c r="L7" s="379">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0.78807530253583702</v>
      </c>
      <c r="M7" s="379">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0.75171199787039977</v>
      </c>
      <c r="N7" s="379">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0.8012506225073599</v>
      </c>
      <c r="O7" s="379">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0.82424164775828324</v>
      </c>
      <c r="P7" s="379">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0.78283635651273631</v>
      </c>
      <c r="Q7" s="379">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0.74994372408835286</v>
      </c>
      <c r="R7" s="379">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0.81323776348707044</v>
      </c>
      <c r="S7" s="379">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0.85144056972076254</v>
      </c>
      <c r="T7" s="380">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0.69651123344100274</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c r="A8" s="1402"/>
      <c r="B8" s="376" t="s">
        <v>478</v>
      </c>
      <c r="C8" s="385" t="s">
        <v>393</v>
      </c>
      <c r="D8" s="381">
        <f>SUM(D10:D16)</f>
        <v>2.2631633869530085E-2</v>
      </c>
      <c r="E8" s="381">
        <f>SUM(E10:E16)</f>
        <v>3.3110890547303103E-2</v>
      </c>
      <c r="F8" s="381">
        <f>SUM(F10:F16)</f>
        <v>1.5118483281771353E-2</v>
      </c>
      <c r="G8" s="381">
        <f t="shared" ref="G8:T8" si="0">SUM(G10:G16)</f>
        <v>1.2556184912163867E-2</v>
      </c>
      <c r="H8" s="381">
        <f t="shared" si="0"/>
        <v>2.8721086259403589E-2</v>
      </c>
      <c r="I8" s="381">
        <f t="shared" si="0"/>
        <v>1.935021475500652E-2</v>
      </c>
      <c r="J8" s="381">
        <f t="shared" si="0"/>
        <v>3.6699925063483664E-2</v>
      </c>
      <c r="K8" s="381">
        <f t="shared" si="0"/>
        <v>3.6998823664449829E-2</v>
      </c>
      <c r="L8" s="381">
        <f t="shared" si="0"/>
        <v>1.530211656705326E-2</v>
      </c>
      <c r="M8" s="381">
        <f t="shared" si="0"/>
        <v>6.3619701881999086E-2</v>
      </c>
      <c r="N8" s="381">
        <f t="shared" si="0"/>
        <v>2.0293182301815923E-2</v>
      </c>
      <c r="O8" s="381">
        <f t="shared" si="0"/>
        <v>2.7832076610588848E-2</v>
      </c>
      <c r="P8" s="381">
        <f t="shared" si="0"/>
        <v>1.7548891220471513E-2</v>
      </c>
      <c r="Q8" s="381">
        <f t="shared" si="0"/>
        <v>2.5057192290423951E-2</v>
      </c>
      <c r="R8" s="381">
        <f t="shared" si="0"/>
        <v>1.4009778721265237E-2</v>
      </c>
      <c r="S8" s="381">
        <f t="shared" si="0"/>
        <v>2.1706046581236673E-2</v>
      </c>
      <c r="T8" s="382">
        <f t="shared" si="0"/>
        <v>3.7605231324689771E-2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c r="A9" s="1402"/>
      <c r="B9" s="392" t="s">
        <v>486</v>
      </c>
      <c r="C9" s="385"/>
      <c r="D9" s="381">
        <f>+D8+D7</f>
        <v>0.81843694413074741</v>
      </c>
      <c r="E9" s="381">
        <f t="shared" ref="E9:T9" si="1">+E8+E7</f>
        <v>0.80748602264476266</v>
      </c>
      <c r="F9" s="381">
        <f t="shared" si="1"/>
        <v>0.78086087317764696</v>
      </c>
      <c r="G9" s="381">
        <f t="shared" si="1"/>
        <v>0.9747864552947193</v>
      </c>
      <c r="H9" s="381">
        <f t="shared" si="1"/>
        <v>0.84688124736132164</v>
      </c>
      <c r="I9" s="381">
        <f t="shared" si="1"/>
        <v>0.7812574017831927</v>
      </c>
      <c r="J9" s="381">
        <f t="shared" si="1"/>
        <v>0.83107323329695859</v>
      </c>
      <c r="K9" s="381">
        <f t="shared" si="1"/>
        <v>0.75641829132592242</v>
      </c>
      <c r="L9" s="381">
        <f t="shared" si="1"/>
        <v>0.80337741910289029</v>
      </c>
      <c r="M9" s="381">
        <f t="shared" si="1"/>
        <v>0.81533169975239883</v>
      </c>
      <c r="N9" s="381">
        <f t="shared" si="1"/>
        <v>0.82154380480917577</v>
      </c>
      <c r="O9" s="381">
        <f t="shared" si="1"/>
        <v>0.85207372436887208</v>
      </c>
      <c r="P9" s="381">
        <f t="shared" si="1"/>
        <v>0.80038524773320785</v>
      </c>
      <c r="Q9" s="381">
        <f t="shared" si="1"/>
        <v>0.77500091637877677</v>
      </c>
      <c r="R9" s="381">
        <f t="shared" si="1"/>
        <v>0.82724754220833563</v>
      </c>
      <c r="S9" s="381">
        <f t="shared" si="1"/>
        <v>0.87314661630199919</v>
      </c>
      <c r="T9" s="382">
        <f t="shared" si="1"/>
        <v>0.73411646476569248</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c r="A10" s="1402"/>
      <c r="B10" s="127" t="s">
        <v>451</v>
      </c>
      <c r="C10" s="386" t="s">
        <v>394</v>
      </c>
      <c r="D10" s="442">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2.8631382325171287E-3</v>
      </c>
      <c r="E10" s="442">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4.7711812912201758E-3</v>
      </c>
      <c r="F10" s="442">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1.5118483281771353E-2</v>
      </c>
      <c r="G10" s="442"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42">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7.415865616371746E-3</v>
      </c>
      <c r="I10" s="442">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1.7510512862512981E-3</v>
      </c>
      <c r="J10" s="442">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8.2830951102526446E-3</v>
      </c>
      <c r="K10" s="442">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42">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42"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42">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1.5998292901337452E-3</v>
      </c>
      <c r="O10" s="442">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42" t="str">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v>
      </c>
      <c r="Q10" s="442">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3.2467552968562575E-3</v>
      </c>
      <c r="R10" s="442">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2.423952003508346E-3</v>
      </c>
      <c r="S10" s="442">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42">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402"/>
      <c r="B11" s="127" t="s">
        <v>386</v>
      </c>
      <c r="C11" s="386" t="s">
        <v>395</v>
      </c>
      <c r="D11" s="442"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42">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9.3222992575041016E-4</v>
      </c>
      <c r="F11" s="442">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42">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42">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42">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42">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42">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42">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42">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42">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42">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42">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42">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42">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42">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42">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402"/>
      <c r="B12" s="127" t="s">
        <v>385</v>
      </c>
      <c r="C12" s="386" t="s">
        <v>396</v>
      </c>
      <c r="D12" s="442">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1.0850509420695931E-2</v>
      </c>
      <c r="E12" s="442">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1.3415630594083121E-2</v>
      </c>
      <c r="F12" s="442">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42">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3.2055696795625036E-3</v>
      </c>
      <c r="H12" s="442">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1.999063712547635E-2</v>
      </c>
      <c r="I12" s="442">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6.640735282503714E-3</v>
      </c>
      <c r="J12" s="442">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2.6003257708685876E-2</v>
      </c>
      <c r="K12" s="442">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2.199726716002012E-2</v>
      </c>
      <c r="L12" s="442">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5.4260148799502609E-3</v>
      </c>
      <c r="M12" s="442">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1.9944487752330379E-2</v>
      </c>
      <c r="N12" s="442">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7.9573568298639263E-3</v>
      </c>
      <c r="O12" s="442">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1.4533050683475532E-2</v>
      </c>
      <c r="P12" s="442">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1.1920412132270165E-2</v>
      </c>
      <c r="Q12" s="442">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1.2867053285399579E-2</v>
      </c>
      <c r="R12" s="442">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5.3321070821115476E-3</v>
      </c>
      <c r="S12" s="442">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9.2028637130972535E-3</v>
      </c>
      <c r="T12" s="442">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1.4649876327301949E-2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402"/>
      <c r="B13" s="127" t="s">
        <v>384</v>
      </c>
      <c r="C13" s="386" t="s">
        <v>397</v>
      </c>
      <c r="D13" s="442">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6.2085358791396997E-3</v>
      </c>
      <c r="E13" s="442">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1.0403421321033569E-2</v>
      </c>
      <c r="F13" s="442">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42">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3.6586061172253141E-3</v>
      </c>
      <c r="H13" s="442">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42">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7.896018664222593E-3</v>
      </c>
      <c r="J13" s="442">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42">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1.5001556504429707E-2</v>
      </c>
      <c r="L13" s="442">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4.805652163017358E-3</v>
      </c>
      <c r="M13" s="442">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1.3118335160107198E-2</v>
      </c>
      <c r="N13" s="442">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1.0735996181818251E-2</v>
      </c>
      <c r="O13" s="442">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1.3299025927113316E-2</v>
      </c>
      <c r="P13" s="442">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42">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8.9433837081681136E-3</v>
      </c>
      <c r="R13" s="442">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4.873439647393743E-3</v>
      </c>
      <c r="S13" s="442">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7.9487390546865017E-3</v>
      </c>
      <c r="T13" s="442">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6.6344053442537118E-3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402"/>
      <c r="B14" s="127" t="s">
        <v>440</v>
      </c>
      <c r="C14" s="386" t="s">
        <v>398</v>
      </c>
      <c r="D14" s="442" t="str">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v>
      </c>
      <c r="E14" s="442">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42">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42">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42">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42">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1.3155530304146269E-3</v>
      </c>
      <c r="J14" s="442">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42">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42">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42">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42">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42">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42">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42">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42">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1.3802799882516007E-3</v>
      </c>
      <c r="S14" s="442">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42">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2.565531667935445E-3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c r="A15" s="1402"/>
      <c r="B15" s="127" t="s">
        <v>441</v>
      </c>
      <c r="C15" s="386" t="s">
        <v>399</v>
      </c>
      <c r="D15" s="442">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1.6284006368616289E-3</v>
      </c>
      <c r="E15" s="442">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0</v>
      </c>
      <c r="F15" s="442">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42">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5.6920091153760495E-3</v>
      </c>
      <c r="H15" s="442">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1.3145835175554924E-3</v>
      </c>
      <c r="I15" s="442">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1.746856491614289E-3</v>
      </c>
      <c r="J15" s="442">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2.4135722445451416E-3</v>
      </c>
      <c r="K15" s="442">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42">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5.0704495240856398E-3</v>
      </c>
      <c r="M15" s="442">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1.4136744909762512E-2</v>
      </c>
      <c r="N15" s="442">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42">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42">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0</v>
      </c>
      <c r="Q15" s="442">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42">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42">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4.554443813452917E-3</v>
      </c>
      <c r="T15" s="442">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6.4994792440361037E-3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c r="A16" s="1402"/>
      <c r="B16" s="127" t="s">
        <v>423</v>
      </c>
      <c r="C16" s="386" t="s">
        <v>400</v>
      </c>
      <c r="D16" s="442">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1.0810497003156975E-3</v>
      </c>
      <c r="E16" s="442">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3.588427415215823E-3</v>
      </c>
      <c r="F16" s="442">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42">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42" t="str">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v>
      </c>
      <c r="I16" s="442">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42">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42">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42">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42">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1.6420134059799005E-2</v>
      </c>
      <c r="N16" s="442">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42">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42">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5.6284790882013486E-3</v>
      </c>
      <c r="Q16" s="442">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42">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42">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42">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7.255938741162561E-3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c r="A17" s="1402"/>
      <c r="B17" s="126" t="s">
        <v>20</v>
      </c>
      <c r="C17" s="385" t="s">
        <v>401</v>
      </c>
      <c r="D17" s="443">
        <f>SUM(D18:D23)</f>
        <v>9.0497932931716003E-3</v>
      </c>
      <c r="E17" s="443">
        <f>SUM(E18:E23)</f>
        <v>2.099609797425998E-2</v>
      </c>
      <c r="F17" s="443">
        <f>SUM(F18:F23)</f>
        <v>4.4727973950453657E-2</v>
      </c>
      <c r="G17" s="443">
        <f t="shared" ref="G17:T17" si="2">SUM(G18:G23)</f>
        <v>0</v>
      </c>
      <c r="H17" s="443">
        <f t="shared" si="2"/>
        <v>1.7138509909136448E-3</v>
      </c>
      <c r="I17" s="443">
        <f t="shared" si="2"/>
        <v>0</v>
      </c>
      <c r="J17" s="443">
        <f t="shared" si="2"/>
        <v>5.4898320961621642E-3</v>
      </c>
      <c r="K17" s="443">
        <f t="shared" si="2"/>
        <v>1.5840286699647134E-2</v>
      </c>
      <c r="L17" s="443">
        <f t="shared" si="2"/>
        <v>0</v>
      </c>
      <c r="M17" s="443">
        <f t="shared" si="2"/>
        <v>0</v>
      </c>
      <c r="N17" s="443">
        <f t="shared" si="2"/>
        <v>4.0210622047213387E-2</v>
      </c>
      <c r="O17" s="443">
        <f t="shared" si="2"/>
        <v>0</v>
      </c>
      <c r="P17" s="443">
        <f t="shared" si="2"/>
        <v>0</v>
      </c>
      <c r="Q17" s="443">
        <f t="shared" si="2"/>
        <v>0</v>
      </c>
      <c r="R17" s="443">
        <f t="shared" si="2"/>
        <v>6.6374215249042565E-3</v>
      </c>
      <c r="S17" s="443">
        <f t="shared" si="2"/>
        <v>2.3172888359551877E-3</v>
      </c>
      <c r="T17" s="443">
        <f t="shared" si="2"/>
        <v>4.7581653460005329E-3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c r="A18" s="1402"/>
      <c r="B18" s="127" t="s">
        <v>451</v>
      </c>
      <c r="C18" s="386" t="s">
        <v>402</v>
      </c>
      <c r="D18" s="442">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3.1698992938177903E-3</v>
      </c>
      <c r="E18" s="442">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42">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42">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42">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42">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42">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5.4898320961621642E-3</v>
      </c>
      <c r="K18" s="442"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42">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42"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42">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2.1502500454622483E-2</v>
      </c>
      <c r="O18" s="442" t="str">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v>
      </c>
      <c r="P18" s="442">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42">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42">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2.9832191020220593E-3</v>
      </c>
      <c r="S18" s="442">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42">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4.7581653460005329E-3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402"/>
      <c r="B19" s="127" t="s">
        <v>386</v>
      </c>
      <c r="C19" s="386" t="s">
        <v>403</v>
      </c>
      <c r="D19" s="442">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1.4364464336608803E-3</v>
      </c>
      <c r="E19" s="442">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42">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42">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42">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42">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42">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42">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42">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42">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42">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1.4513122142240492E-2</v>
      </c>
      <c r="O19" s="442">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42">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42">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42">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42">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42"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402"/>
      <c r="B20" s="127" t="s">
        <v>385</v>
      </c>
      <c r="C20" s="386" t="s">
        <v>404</v>
      </c>
      <c r="D20" s="442">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1.2059844001691188E-3</v>
      </c>
      <c r="E20" s="442">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42">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4.2075680865426686E-2</v>
      </c>
      <c r="G20" s="442">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42">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42">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42">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42">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42">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42">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42">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42">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42">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42">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42">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42">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42">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402"/>
      <c r="B21" s="127" t="s">
        <v>440</v>
      </c>
      <c r="C21" s="386" t="s">
        <v>405</v>
      </c>
      <c r="D21" s="442"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42">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42">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42">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42">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42">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42">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42">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42">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42">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42">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42">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42">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42">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42">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6.4989789185997409E-4</v>
      </c>
      <c r="S21" s="442">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42">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c r="A22" s="1402"/>
      <c r="B22" s="127" t="s">
        <v>441</v>
      </c>
      <c r="C22" s="386" t="s">
        <v>406</v>
      </c>
      <c r="D22" s="442">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8.5026642562478132E-4</v>
      </c>
      <c r="E22" s="442">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1.6119538635825212E-3</v>
      </c>
      <c r="F22" s="442">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2.6522930850269738E-3</v>
      </c>
      <c r="G22" s="442">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42">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1.7138509909136448E-3</v>
      </c>
      <c r="I22" s="442" t="str">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v>
      </c>
      <c r="J22" s="442">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42">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6.0911288274290267E-3</v>
      </c>
      <c r="L22" s="442">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42">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42">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9.7132403107931607E-4</v>
      </c>
      <c r="O22" s="442">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42">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42">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42">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42">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2.3172888359551877E-3</v>
      </c>
      <c r="T22" s="442">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c r="A23" s="1402"/>
      <c r="B23" s="127" t="s">
        <v>423</v>
      </c>
      <c r="C23" s="386" t="s">
        <v>407</v>
      </c>
      <c r="D23" s="442">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2.3871967398990295E-3</v>
      </c>
      <c r="E23" s="444">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1.9384144110677459E-2</v>
      </c>
      <c r="F23" s="444">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44">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44" t="str">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v>
      </c>
      <c r="I23" s="444">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44">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44">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9.7491578722181081E-3</v>
      </c>
      <c r="L23" s="444">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44">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44">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3.2236754192711005E-3</v>
      </c>
      <c r="O23" s="444">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44">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44">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44">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3.0043045310222229E-3</v>
      </c>
      <c r="S23" s="444"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45">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c r="A24" s="1403"/>
      <c r="B24" s="129" t="s">
        <v>125</v>
      </c>
      <c r="C24" s="387" t="s">
        <v>431</v>
      </c>
      <c r="D24" s="446">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4.475530145031323E-3</v>
      </c>
      <c r="E24" s="446">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2.3581984902742571E-3</v>
      </c>
      <c r="F24" s="446"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46">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3.1205354029842382E-3</v>
      </c>
      <c r="H24" s="446">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46">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1.2728967653777614E-2</v>
      </c>
      <c r="J24" s="446">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1.6302289826092265E-2</v>
      </c>
      <c r="K24" s="446">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7.0474438760072594E-3</v>
      </c>
      <c r="L24" s="446">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0</v>
      </c>
      <c r="M24" s="446">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4.0976237711641489E-3</v>
      </c>
      <c r="N24" s="446">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1.3803630572379155E-3</v>
      </c>
      <c r="O24" s="446">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7.9372293823261695E-3</v>
      </c>
      <c r="P24" s="446">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1.6098230965256471E-3</v>
      </c>
      <c r="Q24" s="446"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46" t="str">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v>
      </c>
      <c r="S24" s="446">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2.1778472553067828E-2</v>
      </c>
      <c r="T24" s="446">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8.2497105481910814E-3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c r="A25" s="1394" t="s">
        <v>475</v>
      </c>
      <c r="B25" s="1395"/>
      <c r="C25" s="1395"/>
      <c r="D25" s="1395"/>
      <c r="E25" s="1395"/>
      <c r="F25" s="1395"/>
      <c r="G25" s="1395"/>
      <c r="H25" s="1395"/>
      <c r="I25" s="1395"/>
      <c r="J25" s="1395"/>
      <c r="K25" s="1395"/>
      <c r="L25" s="1395"/>
      <c r="M25" s="1395"/>
      <c r="N25" s="1395"/>
      <c r="O25" s="1395"/>
      <c r="P25" s="1395"/>
      <c r="Q25" s="1395"/>
      <c r="R25" s="1395"/>
      <c r="S25" s="1395"/>
      <c r="T25" s="1395"/>
    </row>
    <row r="26" spans="1:50" s="10" customFormat="1" ht="15.75" customHeight="1">
      <c r="A26" s="55" t="s">
        <v>122</v>
      </c>
      <c r="B26" s="338"/>
      <c r="C26" s="47"/>
      <c r="D26" s="47"/>
      <c r="E26" s="47"/>
      <c r="F26" s="47"/>
      <c r="G26" s="47"/>
      <c r="H26" s="339"/>
      <c r="I26" s="47"/>
      <c r="J26" s="47"/>
      <c r="K26" s="339"/>
      <c r="L26" s="339"/>
      <c r="M26" s="339"/>
      <c r="N26" s="47"/>
      <c r="O26" s="47"/>
      <c r="P26" s="47"/>
      <c r="Q26" s="47"/>
      <c r="R26" s="47"/>
      <c r="S26" s="47"/>
      <c r="T26" s="47"/>
    </row>
    <row r="27" spans="1:50" s="10" customFormat="1" ht="14.25" customHeight="1">
      <c r="A27" s="47" t="s">
        <v>0</v>
      </c>
      <c r="B27" s="338"/>
      <c r="C27" s="47"/>
      <c r="D27" s="47"/>
      <c r="E27" s="47"/>
      <c r="F27" s="47"/>
      <c r="G27" s="47"/>
      <c r="H27" s="339"/>
      <c r="I27" s="47"/>
      <c r="J27" s="47"/>
      <c r="K27" s="339"/>
      <c r="L27" s="339"/>
      <c r="M27" s="339"/>
      <c r="N27" s="47"/>
      <c r="O27" s="47"/>
      <c r="P27" s="47"/>
      <c r="Q27" s="47"/>
      <c r="R27" s="47"/>
      <c r="S27" s="47"/>
      <c r="T27" s="591" t="s">
        <v>2018</v>
      </c>
    </row>
    <row r="28" spans="1:50" s="45" customFormat="1" ht="12.6" customHeight="1">
      <c r="A28" s="1401" t="s">
        <v>474</v>
      </c>
      <c r="B28" s="219" t="s">
        <v>180</v>
      </c>
      <c r="C28" s="388" t="s">
        <v>409</v>
      </c>
      <c r="D28" s="447">
        <f>SUM(D29:D32)</f>
        <v>5.4699825259906763E-3</v>
      </c>
      <c r="E28" s="447">
        <f>SUM(E29:E32)</f>
        <v>2.6207961426171042E-3</v>
      </c>
      <c r="F28" s="447">
        <f t="shared" ref="F28:T28" si="3">SUM(F29:F32)</f>
        <v>6.3689772846900949E-3</v>
      </c>
      <c r="G28" s="447">
        <f t="shared" si="3"/>
        <v>1.2220067299291695E-2</v>
      </c>
      <c r="H28" s="447">
        <f t="shared" si="3"/>
        <v>7.9404568376838648E-4</v>
      </c>
      <c r="I28" s="447">
        <f t="shared" si="3"/>
        <v>4.1479186422217979E-3</v>
      </c>
      <c r="J28" s="447">
        <f t="shared" si="3"/>
        <v>8.5064736569873279E-3</v>
      </c>
      <c r="K28" s="447">
        <f t="shared" si="3"/>
        <v>1.7363770798221611E-2</v>
      </c>
      <c r="L28" s="447">
        <f t="shared" si="3"/>
        <v>3.9506308792170083E-3</v>
      </c>
      <c r="M28" s="447">
        <f t="shared" si="3"/>
        <v>6.462203439253307E-3</v>
      </c>
      <c r="N28" s="447">
        <f t="shared" si="3"/>
        <v>7.7743845519217146E-3</v>
      </c>
      <c r="O28" s="447">
        <f t="shared" si="3"/>
        <v>5.477563149432439E-3</v>
      </c>
      <c r="P28" s="447">
        <f t="shared" si="3"/>
        <v>6.9252553887742593E-3</v>
      </c>
      <c r="Q28" s="447">
        <f t="shared" si="3"/>
        <v>3.7791177778904953E-3</v>
      </c>
      <c r="R28" s="447">
        <f t="shared" si="3"/>
        <v>5.6286745273004899E-3</v>
      </c>
      <c r="S28" s="447">
        <f t="shared" si="3"/>
        <v>4.9823807061150733E-3</v>
      </c>
      <c r="T28" s="447">
        <f t="shared" si="3"/>
        <v>5.7651539727641248E-3</v>
      </c>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row>
    <row r="29" spans="1:50" ht="12.6" customHeight="1">
      <c r="A29" s="1404"/>
      <c r="B29" s="127" t="s">
        <v>200</v>
      </c>
      <c r="C29" s="389" t="s">
        <v>410</v>
      </c>
      <c r="D29" s="442">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3.2572201308309111E-3</v>
      </c>
      <c r="E29" s="442">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8.9606319304883799E-4</v>
      </c>
      <c r="F29" s="442">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6.3689772846900949E-3</v>
      </c>
      <c r="G29" s="442">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1.1721666814117682E-3</v>
      </c>
      <c r="H29" s="442">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7.9404568376838648E-4</v>
      </c>
      <c r="I29" s="442">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1.0477503625440521E-3</v>
      </c>
      <c r="J29" s="442">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2.3375279303444125E-3</v>
      </c>
      <c r="K29" s="442">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7.2124360669703277E-3</v>
      </c>
      <c r="L29" s="442">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3.9506308792170083E-3</v>
      </c>
      <c r="M29" s="442">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4.4601202318383928E-3</v>
      </c>
      <c r="N29" s="442">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3.3787720232859005E-3</v>
      </c>
      <c r="O29" s="442">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5.477563149432439E-3</v>
      </c>
      <c r="P29" s="442">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1.4887200362371246E-3</v>
      </c>
      <c r="Q29" s="442">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3.7791177778904953E-3</v>
      </c>
      <c r="R29" s="442">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5.1137709863561644E-3</v>
      </c>
      <c r="S29" s="442">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9.3885408157178116E-4</v>
      </c>
      <c r="T29" s="442">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3.8390362921743373E-3</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2.6" customHeight="1">
      <c r="A30" s="1404"/>
      <c r="B30" s="127" t="s">
        <v>199</v>
      </c>
      <c r="C30" s="389" t="s">
        <v>411</v>
      </c>
      <c r="D30" s="442">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2.2127623951597652E-3</v>
      </c>
      <c r="E30" s="442">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1.7247329495682661E-3</v>
      </c>
      <c r="F30" s="442">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0" s="442">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1.1047900617879927E-2</v>
      </c>
      <c r="H30" s="442" t="str">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v>
      </c>
      <c r="I30" s="442">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3.1001682796777457E-3</v>
      </c>
      <c r="J30" s="442">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6.1689457266429154E-3</v>
      </c>
      <c r="K30" s="442">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8.2259829100678212E-3</v>
      </c>
      <c r="L30" s="442">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0" s="442">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1.4366064606961021E-3</v>
      </c>
      <c r="N30" s="442">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4.3956125286358141E-3</v>
      </c>
      <c r="O30" s="442">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0" s="442">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5.4365353525371351E-3</v>
      </c>
      <c r="Q30" s="442">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0" s="442">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5.1490354094432572E-4</v>
      </c>
      <c r="S30" s="442">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4.0435266245432925E-3</v>
      </c>
      <c r="T30" s="442">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7.9716939462810073E-4</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4">
      <c r="A31" s="1404"/>
      <c r="B31" s="130" t="s">
        <v>198</v>
      </c>
      <c r="C31" s="389" t="s">
        <v>412</v>
      </c>
      <c r="D31" s="442"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1" s="442"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1" s="442">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1" s="442"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1" s="442"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1" s="442"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1" s="442"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1" s="442">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1" s="442" t="str">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v>
      </c>
      <c r="M31" s="442">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1" s="442"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1" s="442">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1" s="442" t="str">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v>
      </c>
      <c r="Q31" s="442">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1" s="442">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1" s="442">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1" s="442">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36">
      <c r="A32" s="1404"/>
      <c r="B32" s="130" t="s">
        <v>201</v>
      </c>
      <c r="C32" s="389" t="s">
        <v>413</v>
      </c>
      <c r="D32" s="442"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2" s="442"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2" s="442">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2" s="442">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2" s="442">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2" s="442">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2" s="442">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2" s="442">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1.9253518211834633E-3</v>
      </c>
      <c r="L32" s="442">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2" s="442">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5.6547674671881263E-4</v>
      </c>
      <c r="N32" s="442">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2" s="442">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2" s="442">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0</v>
      </c>
      <c r="Q32" s="442" t="str">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v>
      </c>
      <c r="R32" s="442">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2" s="442">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2" s="442">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1.1289482859616867E-3</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26.25" customHeight="1">
      <c r="A33" s="1404"/>
      <c r="B33" s="131" t="s">
        <v>428</v>
      </c>
      <c r="C33" s="389" t="s">
        <v>414</v>
      </c>
      <c r="D33" s="448">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2.8558026825293236E-3</v>
      </c>
      <c r="E33" s="448">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4.4424532621700243E-3</v>
      </c>
      <c r="F33" s="448">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3" s="448">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3" s="448">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2.6854406681082557E-3</v>
      </c>
      <c r="I33" s="448">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7.2048971530726327E-3</v>
      </c>
      <c r="J33" s="448">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3" s="448">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3" s="448">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1.0875356103205128E-2</v>
      </c>
      <c r="M33" s="448">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3" s="448" t="str">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v>
      </c>
      <c r="O33" s="448">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3" s="448">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1.1807828814065285E-3</v>
      </c>
      <c r="Q33" s="448">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3" s="448">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4.3496179729307499E-3</v>
      </c>
      <c r="S33" s="448">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3" s="448">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s="45" customFormat="1" ht="12.6" customHeight="1">
      <c r="A34" s="1404"/>
      <c r="B34" s="126" t="s">
        <v>251</v>
      </c>
      <c r="C34" s="390" t="s">
        <v>415</v>
      </c>
      <c r="D34" s="443">
        <f>SUM(D35:D37)</f>
        <v>0</v>
      </c>
      <c r="E34" s="443">
        <f>SUM(E35:E37)</f>
        <v>0</v>
      </c>
      <c r="F34" s="443">
        <f t="shared" ref="F34:T34" si="4">SUM(F35:F37)</f>
        <v>1.6363263816166289E-3</v>
      </c>
      <c r="G34" s="443">
        <f t="shared" si="4"/>
        <v>4.1539404860384275E-3</v>
      </c>
      <c r="H34" s="443">
        <f t="shared" si="4"/>
        <v>0</v>
      </c>
      <c r="I34" s="443">
        <f t="shared" si="4"/>
        <v>5.7527997115651615E-4</v>
      </c>
      <c r="J34" s="443">
        <f t="shared" si="4"/>
        <v>1.4908075347105287E-3</v>
      </c>
      <c r="K34" s="443">
        <f t="shared" si="4"/>
        <v>0</v>
      </c>
      <c r="L34" s="443">
        <f t="shared" si="4"/>
        <v>0</v>
      </c>
      <c r="M34" s="443">
        <f t="shared" si="4"/>
        <v>0</v>
      </c>
      <c r="N34" s="443">
        <f t="shared" si="4"/>
        <v>0</v>
      </c>
      <c r="O34" s="443">
        <f t="shared" si="4"/>
        <v>0</v>
      </c>
      <c r="P34" s="443">
        <f t="shared" si="4"/>
        <v>8.4527798864373401E-4</v>
      </c>
      <c r="Q34" s="443">
        <f t="shared" si="4"/>
        <v>7.0401225637183647E-4</v>
      </c>
      <c r="R34" s="443">
        <f t="shared" si="4"/>
        <v>0</v>
      </c>
      <c r="S34" s="443">
        <f t="shared" si="4"/>
        <v>0</v>
      </c>
      <c r="T34" s="443">
        <f t="shared" si="4"/>
        <v>7.1484991789689536E-4</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row>
    <row r="35" spans="1:50" ht="12.6" customHeight="1">
      <c r="A35" s="1404"/>
      <c r="B35" s="127" t="s">
        <v>123</v>
      </c>
      <c r="C35" s="389" t="s">
        <v>416</v>
      </c>
      <c r="D35" s="442"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5" s="442">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0</v>
      </c>
      <c r="F35" s="442"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5" s="442">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2.9645155917918148E-3</v>
      </c>
      <c r="H35" s="442">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5" s="442"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5" s="442"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5" s="442">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5" s="442">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5" s="442"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5" s="442" t="str">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v>
      </c>
      <c r="O35" s="442">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5" s="442"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5" s="442">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7.0401225637183647E-4</v>
      </c>
      <c r="R35" s="442">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5" s="442"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5" s="442"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2.6" customHeight="1">
      <c r="A36" s="1404"/>
      <c r="B36" s="127" t="s">
        <v>124</v>
      </c>
      <c r="C36" s="389" t="s">
        <v>417</v>
      </c>
      <c r="D36" s="442"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6" s="442">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6" s="442">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1.6363263816166289E-3</v>
      </c>
      <c r="G36" s="442">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1.1894248942466126E-3</v>
      </c>
      <c r="H36" s="442">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6" s="442"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6" s="442">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1.4908075347105287E-3</v>
      </c>
      <c r="K36" s="442"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6" s="442">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6" s="442"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6" s="442" t="str">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v>
      </c>
      <c r="O36" s="442">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6" s="442">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8.4527798864373401E-4</v>
      </c>
      <c r="Q36" s="442">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6" s="442">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6" s="442">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6" s="442">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7.1484991789689536E-4</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c r="A37" s="1404"/>
      <c r="B37" s="130" t="s">
        <v>197</v>
      </c>
      <c r="C37" s="389" t="s">
        <v>418</v>
      </c>
      <c r="D37" s="442"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7" s="442" t="str">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v>
      </c>
      <c r="F37" s="442" t="str">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v>
      </c>
      <c r="G37" s="442">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7" s="442"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7" s="442">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5.7527997115651615E-4</v>
      </c>
      <c r="J37" s="442"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7" s="442">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7" s="442">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7" s="442">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7" s="442" t="str">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v>
      </c>
      <c r="O37" s="442">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7" s="442"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7" s="442">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7" s="442">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7" s="442"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7" s="442"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s="45" customFormat="1" ht="24">
      <c r="A38" s="1404"/>
      <c r="B38" s="126" t="s">
        <v>135</v>
      </c>
      <c r="C38" s="390" t="s">
        <v>419</v>
      </c>
      <c r="D38" s="443">
        <f>SUM(D39:D53)</f>
        <v>6.3934067023353316E-2</v>
      </c>
      <c r="E38" s="443">
        <f>SUM(E39:E53)</f>
        <v>1.5656022348402479E-2</v>
      </c>
      <c r="F38" s="443">
        <f t="shared" ref="F38:T38" si="5">SUM(F39:F53)</f>
        <v>9.5704269158088245E-2</v>
      </c>
      <c r="G38" s="443">
        <f t="shared" si="5"/>
        <v>5.0923919955083892E-3</v>
      </c>
      <c r="H38" s="443">
        <f t="shared" si="5"/>
        <v>9.0447967506059171E-2</v>
      </c>
      <c r="I38" s="443">
        <f t="shared" si="5"/>
        <v>0.11999713672211301</v>
      </c>
      <c r="J38" s="443">
        <f t="shared" si="5"/>
        <v>7.5697756490538171E-2</v>
      </c>
      <c r="K38" s="443">
        <f t="shared" si="5"/>
        <v>8.9839850167595756E-2</v>
      </c>
      <c r="L38" s="443">
        <f t="shared" si="5"/>
        <v>2.5430132974410848E-2</v>
      </c>
      <c r="M38" s="443">
        <f t="shared" si="5"/>
        <v>1.6208470775257056E-2</v>
      </c>
      <c r="N38" s="443">
        <f t="shared" si="5"/>
        <v>5.3560655427154193E-2</v>
      </c>
      <c r="O38" s="443">
        <f t="shared" si="5"/>
        <v>4.1489274594441419E-2</v>
      </c>
      <c r="P38" s="443">
        <f t="shared" si="5"/>
        <v>0.12813887119770007</v>
      </c>
      <c r="Q38" s="443">
        <f t="shared" si="5"/>
        <v>0.12497464442332566</v>
      </c>
      <c r="R38" s="443">
        <f t="shared" si="5"/>
        <v>3.766054804367687E-2</v>
      </c>
      <c r="S38" s="443">
        <f t="shared" si="5"/>
        <v>5.2188169569291051E-2</v>
      </c>
      <c r="T38" s="443">
        <f t="shared" si="5"/>
        <v>8.2053540902321018E-2</v>
      </c>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row>
    <row r="39" spans="1:50" ht="12.6" customHeight="1">
      <c r="A39" s="1404"/>
      <c r="B39" s="127" t="s">
        <v>78</v>
      </c>
      <c r="C39" s="389" t="s">
        <v>420</v>
      </c>
      <c r="D39" s="442">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9.6625141362907327E-3</v>
      </c>
      <c r="E39" s="442">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39" s="442">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39" s="442">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2.3667036253150245E-3</v>
      </c>
      <c r="H39" s="442">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39" s="442">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39" s="442">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39" s="442">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39" s="442">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39" s="442">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39" s="442">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39" s="442">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3.9648907088773534E-2</v>
      </c>
      <c r="P39" s="442">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39" s="442">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39" s="442">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3.5446702432050954E-2</v>
      </c>
      <c r="S39" s="442">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39" s="442">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c r="A40" s="1404"/>
      <c r="B40" s="127" t="s">
        <v>443</v>
      </c>
      <c r="C40" s="389" t="s">
        <v>442</v>
      </c>
      <c r="D40" s="442"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0" s="442"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0" s="442">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0" s="442"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0" s="442">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8.0183862851391835E-4</v>
      </c>
      <c r="I40" s="442">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0" s="442">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0" s="442">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0" s="442">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0" s="442">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0" s="442">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1.25114509623678E-3</v>
      </c>
      <c r="O40" s="442">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0" s="442">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0" s="442">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0" s="442">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0" s="442">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0" s="442">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404"/>
      <c r="B41" s="127" t="s">
        <v>377</v>
      </c>
      <c r="C41" s="389" t="s">
        <v>379</v>
      </c>
      <c r="D41" s="442">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6.9346315601402841E-3</v>
      </c>
      <c r="E41" s="442">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5.7969147009494996E-4</v>
      </c>
      <c r="F41" s="442"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1" s="442" t="str">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v>
      </c>
      <c r="H41" s="442">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5.7689650904164572E-2</v>
      </c>
      <c r="I41" s="442">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1" s="442">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1" s="442">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1" s="442">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1" s="442"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1" s="442">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2.8947538259875426E-3</v>
      </c>
      <c r="O41" s="442">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1" s="442">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6.6911029946369938E-4</v>
      </c>
      <c r="Q41" s="442">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1" s="442">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2.2138456116259191E-3</v>
      </c>
      <c r="S41" s="442">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1" s="442">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404"/>
      <c r="B42" s="127" t="s">
        <v>378</v>
      </c>
      <c r="C42" s="389" t="s">
        <v>295</v>
      </c>
      <c r="D42" s="442"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2" s="442">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2" s="442">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0</v>
      </c>
      <c r="G42" s="442">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2" s="442">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2" s="442">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2" s="442">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2" s="442">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2" s="442">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2" s="442"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2" s="442">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2" s="442">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0</v>
      </c>
      <c r="P42" s="442">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2" s="442">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2" s="442">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2" s="442">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2" s="442">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404"/>
      <c r="B43" s="127" t="s">
        <v>443</v>
      </c>
      <c r="C43" s="389" t="s">
        <v>296</v>
      </c>
      <c r="D43" s="442">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5.6453761289377499E-3</v>
      </c>
      <c r="E43" s="442">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7.6900879507862409E-4</v>
      </c>
      <c r="F43" s="442">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8.627598036820977E-3</v>
      </c>
      <c r="G43" s="442"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3" s="442">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3" s="442">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3" s="442">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1.8620867824132917E-2</v>
      </c>
      <c r="K43" s="442">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1.2083567625168627E-2</v>
      </c>
      <c r="L43" s="442">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1.7568423768985774E-2</v>
      </c>
      <c r="M43" s="442">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2.4568151910894531E-3</v>
      </c>
      <c r="N43" s="442">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3" s="442">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3" s="442">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7.5521944212228187E-3</v>
      </c>
      <c r="Q43" s="442">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3.850051243816062E-2</v>
      </c>
      <c r="R43" s="442">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3" s="442">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8.555563868328889E-4</v>
      </c>
      <c r="T43" s="442">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3.0266194877430107E-2</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404"/>
      <c r="B44" s="127" t="s">
        <v>377</v>
      </c>
      <c r="C44" s="389" t="s">
        <v>278</v>
      </c>
      <c r="D44" s="442">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1.4764804522999088E-2</v>
      </c>
      <c r="E44" s="442">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1.3553777891999052E-2</v>
      </c>
      <c r="F44" s="442">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7.5485275917121092E-2</v>
      </c>
      <c r="G44" s="442">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1.4619640861100311E-3</v>
      </c>
      <c r="H44" s="442">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4" s="442"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4" s="442">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3.0413293928447781E-2</v>
      </c>
      <c r="K44" s="442">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6.7708883024456046E-2</v>
      </c>
      <c r="L44" s="442">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3.1523450374859575E-3</v>
      </c>
      <c r="M44" s="442">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7.6865559602982509E-3</v>
      </c>
      <c r="N44" s="442">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4" s="442">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4" s="442">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8.9127231968937667E-2</v>
      </c>
      <c r="Q44" s="442">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5.7398042013768191E-2</v>
      </c>
      <c r="R44" s="442">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4" s="442"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4" s="442">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4.0795731622881477E-2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404"/>
      <c r="B45" s="127" t="s">
        <v>321</v>
      </c>
      <c r="C45" s="389" t="s">
        <v>279</v>
      </c>
      <c r="D45" s="442" t="str">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v>
      </c>
      <c r="E45" s="442">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5" s="442">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5" s="442">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5" s="442">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5" s="442">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5" s="442">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5" s="442">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5" s="442" t="str">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v>
      </c>
      <c r="M45" s="442">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5" s="442">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5" s="442">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5" s="442">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5" s="442">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5" s="442">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5" s="442">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5" s="442">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404"/>
      <c r="B46" s="127" t="s">
        <v>443</v>
      </c>
      <c r="C46" s="389" t="s">
        <v>317</v>
      </c>
      <c r="D46" s="442">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1.6401575630614895E-3</v>
      </c>
      <c r="E46" s="442"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6" s="442">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8.3793218343225322E-4</v>
      </c>
      <c r="G46" s="442">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5.5055090734511182E-4</v>
      </c>
      <c r="H46" s="442">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6" s="442">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6" s="442">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6.7139155007983594E-3</v>
      </c>
      <c r="K46" s="442">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1.1679984955576916E-3</v>
      </c>
      <c r="L46" s="442">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4.108148616071363E-3</v>
      </c>
      <c r="M46" s="442" t="str">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v>
      </c>
      <c r="N46" s="442">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6" s="442">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6" s="442">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1.7490551099866979E-3</v>
      </c>
      <c r="Q46" s="442">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1.5441648228034753E-2</v>
      </c>
      <c r="R46" s="442">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6" s="442" t="str">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v>
      </c>
      <c r="T46" s="442">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6.0494860974994675E-3</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404"/>
      <c r="B47" s="127" t="s">
        <v>377</v>
      </c>
      <c r="C47" s="389" t="s">
        <v>318</v>
      </c>
      <c r="D47" s="442">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2.5070117015050181E-3</v>
      </c>
      <c r="E47" s="442"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7" s="442">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1.0753463020713916E-2</v>
      </c>
      <c r="G47" s="442">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7.1317337673822113E-4</v>
      </c>
      <c r="H47" s="442">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7" s="442"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7" s="442">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6.9817580767810713E-3</v>
      </c>
      <c r="K47" s="442">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5.8391709857497469E-3</v>
      </c>
      <c r="L47" s="442">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6.0121555186775494E-4</v>
      </c>
      <c r="M47" s="442">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1.8497899711477873E-3</v>
      </c>
      <c r="N47" s="442">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7" s="442">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7" s="442">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1.7406464402127671E-2</v>
      </c>
      <c r="Q47" s="442">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1.36344417433621E-2</v>
      </c>
      <c r="R47" s="442">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7" s="442">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7" s="442">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4.9421283045099663E-3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404"/>
      <c r="B48" s="127" t="s">
        <v>181</v>
      </c>
      <c r="C48" s="389" t="s">
        <v>421</v>
      </c>
      <c r="D48" s="442"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8" s="442">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8" s="442">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8" s="442">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8" s="442">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8" s="442">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8" s="442">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8" s="442">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8" s="442">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8" s="442">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8" s="442">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8" s="442">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8" s="442">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8" s="442">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8" s="442">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8" s="442" t="str">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v>
      </c>
      <c r="T48" s="442">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404"/>
      <c r="B49" s="127" t="s">
        <v>443</v>
      </c>
      <c r="C49" s="389" t="s">
        <v>380</v>
      </c>
      <c r="D49" s="442">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7.0736488358451961E-3</v>
      </c>
      <c r="E49" s="442">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49" s="442">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49" s="442">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49" s="442">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1.6986549687134693E-2</v>
      </c>
      <c r="I49" s="442">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49" s="442">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49" s="442">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49" s="442">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0</v>
      </c>
      <c r="M49" s="442" t="str">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v>
      </c>
      <c r="N49" s="442">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2.9414891093562576E-2</v>
      </c>
      <c r="O49" s="442">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49" s="442">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49" s="442">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49" s="442">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49" s="442">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3.3837581694930674E-2</v>
      </c>
      <c r="T49" s="442">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404"/>
      <c r="B50" s="127" t="s">
        <v>377</v>
      </c>
      <c r="C50" s="389" t="s">
        <v>381</v>
      </c>
      <c r="D50" s="442">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9.0398105321058634E-3</v>
      </c>
      <c r="E50" s="442"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0" s="442"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0" s="442">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0" s="442"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0" s="442">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0.1064171778276056</v>
      </c>
      <c r="J50" s="442">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0" s="442">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3.0402300366636358E-3</v>
      </c>
      <c r="L50" s="442">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0</v>
      </c>
      <c r="M50" s="442">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4.2153096527215656E-3</v>
      </c>
      <c r="N50" s="442">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1.2183550963266014E-3</v>
      </c>
      <c r="O50" s="442">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0" s="442">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0" s="442">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0" s="442">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0" s="442">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3.1358823797650579E-3</v>
      </c>
      <c r="T50" s="442">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404"/>
      <c r="B51" s="127" t="s">
        <v>439</v>
      </c>
      <c r="C51" s="389" t="s">
        <v>422</v>
      </c>
      <c r="D51" s="442" t="str">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v>
      </c>
      <c r="E51" s="442">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1" s="442">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1" s="442">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1" s="442">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1" s="442">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1" s="442">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1" s="442">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1" s="442">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1" s="442">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1" s="442">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1" s="442">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1.8403675056678868E-3</v>
      </c>
      <c r="P51" s="442">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1" s="442">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1" s="442">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1" s="442">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1" s="442">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c r="A52" s="1404"/>
      <c r="B52" s="127" t="s">
        <v>443</v>
      </c>
      <c r="C52" s="389" t="s">
        <v>382</v>
      </c>
      <c r="D52" s="442">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2.4131878872946568E-3</v>
      </c>
      <c r="E52" s="442">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2" s="442">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2" s="442">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2" s="442">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4.7044518512185628E-3</v>
      </c>
      <c r="I52" s="442">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2" s="442">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1.2967921160378041E-2</v>
      </c>
      <c r="K52" s="442" t="str">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v>
      </c>
      <c r="L52" s="442">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0</v>
      </c>
      <c r="M52" s="442">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2" s="442">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8.2753389272437437E-3</v>
      </c>
      <c r="O52" s="442">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2" s="442">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1.1634814995961487E-2</v>
      </c>
      <c r="Q52" s="442">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2" s="442">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2" s="442">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2" s="442">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c r="A53" s="1404"/>
      <c r="B53" s="383" t="s">
        <v>377</v>
      </c>
      <c r="C53" s="389" t="s">
        <v>383</v>
      </c>
      <c r="D53" s="449">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4.2529241551732466E-3</v>
      </c>
      <c r="E53" s="449">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7.5354419122985311E-4</v>
      </c>
      <c r="F53" s="449">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3" s="449">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3" s="449">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1.0265476435027409E-2</v>
      </c>
      <c r="I53" s="449">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1.3579958894507419E-2</v>
      </c>
      <c r="J53" s="449"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3" s="449">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3" s="449">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0</v>
      </c>
      <c r="M53" s="449">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3" s="449">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1.0506171387796947E-2</v>
      </c>
      <c r="O53" s="449">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3" s="449">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3" s="449">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3" s="449">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3" s="449">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1.4359149107762433E-2</v>
      </c>
      <c r="T53" s="449">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36" customHeight="1">
      <c r="A54" s="1400"/>
      <c r="B54" s="128" t="s">
        <v>266</v>
      </c>
      <c r="C54" s="389" t="s">
        <v>408</v>
      </c>
      <c r="D54" s="450">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6.0958845927167792E-2</v>
      </c>
      <c r="E54" s="450">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0.14255227844085136</v>
      </c>
      <c r="F54" s="450">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4" s="450">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4" s="450">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5.6363729716725264E-2</v>
      </c>
      <c r="I54" s="450">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4.4346119007482865E-3</v>
      </c>
      <c r="J54" s="450">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6.0741857373129371E-2</v>
      </c>
      <c r="K54" s="450">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1.4323280782893041E-2</v>
      </c>
      <c r="L54" s="450">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4" s="450">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1.4135313706997882E-2</v>
      </c>
      <c r="N54" s="450">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6.8312842868501714E-2</v>
      </c>
      <c r="O54" s="450">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9.297151902554425E-2</v>
      </c>
      <c r="P54" s="450">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1.1327105732227002E-2</v>
      </c>
      <c r="Q54" s="450">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1.4985805032266139E-2</v>
      </c>
      <c r="R54" s="450">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0.11833473640837378</v>
      </c>
      <c r="S54" s="450">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3.5859166771838431E-2</v>
      </c>
      <c r="T54" s="450">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0.12756120562822504</v>
      </c>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row>
    <row r="55" spans="1:50" ht="36" customHeight="1">
      <c r="A55" s="1400"/>
      <c r="B55" s="128" t="s">
        <v>432</v>
      </c>
      <c r="C55" s="389" t="s">
        <v>429</v>
      </c>
      <c r="D55" s="448">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2.5073245379949129E-2</v>
      </c>
      <c r="E55" s="448">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5" s="448">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6.9682095890995208E-2</v>
      </c>
      <c r="G55" s="448">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5" s="448">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5" s="448">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4.6693953660759104E-2</v>
      </c>
      <c r="J55" s="448">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5" s="448">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9.8606609985530266E-2</v>
      </c>
      <c r="L55" s="448">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7.9946673538570101E-2</v>
      </c>
      <c r="M55" s="448">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0.14186929043115884</v>
      </c>
      <c r="N55" s="448">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5" s="448">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5" s="448">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4.9111647445436848E-2</v>
      </c>
      <c r="Q55" s="448">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7.6183443225312258E-2</v>
      </c>
      <c r="R55" s="448">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5" s="448">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5" s="448">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3.630881050823475E-2</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s="7" customFormat="1" ht="36" customHeight="1">
      <c r="A56" s="1399"/>
      <c r="B56" s="129" t="s">
        <v>433</v>
      </c>
      <c r="C56" s="391" t="s">
        <v>430</v>
      </c>
      <c r="D56" s="446">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8.2016555128840412E-3</v>
      </c>
      <c r="E56" s="446">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3.4920996228055222E-3</v>
      </c>
      <c r="F56" s="446">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6" s="446">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6" s="446">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6" s="446">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2.2026817082638647E-2</v>
      </c>
      <c r="J56" s="446">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6" s="446">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6" s="446">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7.6282876458976287E-2</v>
      </c>
      <c r="M56" s="446">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6" s="446">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6.8954331172428511E-3</v>
      </c>
      <c r="O56" s="446">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6" s="446">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6" s="446">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3.8208948019036581E-3</v>
      </c>
      <c r="R56" s="446">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6" s="446">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8.6024848035900804E-3</v>
      </c>
      <c r="T56" s="446">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s="61" customFormat="1" ht="12" customHeight="1">
      <c r="A57" s="134"/>
      <c r="B57" s="132" t="s">
        <v>138</v>
      </c>
      <c r="C57" s="314"/>
      <c r="D57" s="337">
        <f t="shared" ref="D57:T57" si="6">SUM(D9,D17,D24,D28,D33,D34,D38,D54,D55,D56)</f>
        <v>0.99845586662082453</v>
      </c>
      <c r="E57" s="337">
        <f t="shared" si="6"/>
        <v>0.99960396892614345</v>
      </c>
      <c r="F57" s="337">
        <f t="shared" si="6"/>
        <v>0.99898051584349079</v>
      </c>
      <c r="G57" s="337">
        <f t="shared" si="6"/>
        <v>0.99937339047854212</v>
      </c>
      <c r="H57" s="337">
        <f t="shared" si="6"/>
        <v>0.99888628192689644</v>
      </c>
      <c r="I57" s="337">
        <f t="shared" si="6"/>
        <v>0.99906698456968013</v>
      </c>
      <c r="J57" s="337">
        <f t="shared" si="6"/>
        <v>0.99930225027457831</v>
      </c>
      <c r="K57" s="337">
        <f t="shared" si="6"/>
        <v>0.9994395336358175</v>
      </c>
      <c r="L57" s="337">
        <f t="shared" si="6"/>
        <v>0.99986308905726962</v>
      </c>
      <c r="M57" s="337">
        <f t="shared" si="6"/>
        <v>0.99810460187623007</v>
      </c>
      <c r="N57" s="337">
        <f t="shared" si="6"/>
        <v>0.99967810587844741</v>
      </c>
      <c r="O57" s="337">
        <f t="shared" si="6"/>
        <v>0.99994931052061642</v>
      </c>
      <c r="P57" s="337">
        <f t="shared" si="6"/>
        <v>0.999524011463922</v>
      </c>
      <c r="Q57" s="337">
        <f t="shared" si="6"/>
        <v>0.99944883389584671</v>
      </c>
      <c r="R57" s="337">
        <f t="shared" si="6"/>
        <v>0.99985854068552182</v>
      </c>
      <c r="S57" s="337">
        <f t="shared" si="6"/>
        <v>0.99887457954185688</v>
      </c>
      <c r="T57" s="337">
        <f t="shared" si="6"/>
        <v>0.99952790158932592</v>
      </c>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row>
    <row r="58" spans="1:50" s="10" customFormat="1" ht="36.75" customHeight="1">
      <c r="A58" s="1394" t="s">
        <v>475</v>
      </c>
      <c r="B58" s="1395"/>
      <c r="C58" s="1395"/>
      <c r="D58" s="1395"/>
      <c r="E58" s="1395"/>
      <c r="F58" s="1395"/>
      <c r="G58" s="1395"/>
      <c r="H58" s="1395"/>
      <c r="I58" s="1395"/>
      <c r="J58" s="1395"/>
      <c r="K58" s="1395"/>
      <c r="L58" s="1395"/>
      <c r="M58" s="1395"/>
      <c r="N58" s="1395"/>
      <c r="O58" s="1395"/>
      <c r="P58" s="1395"/>
      <c r="Q58" s="1395"/>
      <c r="R58" s="1395"/>
      <c r="S58" s="1395"/>
      <c r="T58" s="1395"/>
    </row>
    <row r="59" spans="1:50" s="10" customFormat="1" ht="15" customHeight="1">
      <c r="A59" s="55" t="s">
        <v>122</v>
      </c>
      <c r="B59" s="133"/>
      <c r="C59" s="2"/>
      <c r="D59" s="2"/>
      <c r="E59" s="2"/>
      <c r="F59" s="2"/>
      <c r="G59" s="2"/>
      <c r="H59" s="1"/>
      <c r="I59" s="2"/>
      <c r="J59" s="2"/>
      <c r="K59" s="1"/>
      <c r="L59" s="1"/>
      <c r="M59" s="1"/>
      <c r="N59" s="2"/>
      <c r="O59" s="2"/>
      <c r="P59" s="2"/>
      <c r="Q59" s="2"/>
      <c r="R59" s="2"/>
      <c r="S59" s="2"/>
      <c r="T59" s="47"/>
    </row>
    <row r="60" spans="1:50" s="10" customFormat="1" ht="15" customHeight="1">
      <c r="A60" s="47" t="s">
        <v>0</v>
      </c>
      <c r="B60" s="133"/>
      <c r="C60" s="2"/>
      <c r="D60" s="2"/>
      <c r="E60" s="2"/>
      <c r="F60" s="2"/>
      <c r="G60" s="2"/>
      <c r="H60" s="1"/>
      <c r="I60" s="2"/>
      <c r="J60" s="2"/>
      <c r="K60" s="1"/>
      <c r="L60" s="1"/>
      <c r="M60" s="1"/>
      <c r="N60" s="2"/>
      <c r="O60" s="2"/>
      <c r="P60" s="2"/>
      <c r="Q60" s="2"/>
      <c r="R60" s="2"/>
      <c r="S60" s="2"/>
      <c r="T60" s="591" t="s">
        <v>2018</v>
      </c>
    </row>
    <row r="64" spans="1:50">
      <c r="F64" s="222"/>
    </row>
  </sheetData>
  <mergeCells count="4">
    <mergeCell ref="A7:A24"/>
    <mergeCell ref="A58:T58"/>
    <mergeCell ref="A25:T25"/>
    <mergeCell ref="A28:A56"/>
  </mergeCells>
  <phoneticPr fontId="6" type="noConversion"/>
  <printOptions horizontalCentered="1"/>
  <pageMargins left="0.25" right="0.27" top="0.7" bottom="0.5" header="0.7" footer="0.25"/>
  <pageSetup scale="71" firstPageNumber="123" orientation="landscape" useFirstPageNumber="1" r:id="rId1"/>
  <headerFooter alignWithMargins="0">
    <oddHeader>&amp;R&amp;"Arial,Regular"&amp;8SREB-State Data Exchange</oddHeader>
    <oddFooter>&amp;C&amp;"Arial,Regular"&amp;P</oddFooter>
  </headerFooter>
  <rowBreaks count="1" manualBreakCount="1">
    <brk id="27" max="19" man="1"/>
  </rowBreaks>
</worksheet>
</file>

<file path=xl/worksheets/sheet4.xml><?xml version="1.0" encoding="utf-8"?>
<worksheet xmlns="http://schemas.openxmlformats.org/spreadsheetml/2006/main" xmlns:r="http://schemas.openxmlformats.org/officeDocument/2006/relationships">
  <sheetPr>
    <tabColor theme="5" tint="0.59999389629810485"/>
  </sheetPr>
  <dimension ref="A1:AX62"/>
  <sheetViews>
    <sheetView showGridLines="0" view="pageBreakPreview" zoomScale="90" zoomScaleSheetLayoutView="90" workbookViewId="0">
      <selection activeCell="I24" sqref="I24"/>
    </sheetView>
  </sheetViews>
  <sheetFormatPr defaultColWidth="8.875" defaultRowHeight="12.75"/>
  <cols>
    <col min="1" max="1" width="10" style="7" customWidth="1"/>
    <col min="2" max="2" width="29.625" style="61" customWidth="1"/>
    <col min="3" max="3" width="3.875" style="315"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c r="A1" s="135" t="s">
        <v>527</v>
      </c>
      <c r="B1" s="123"/>
      <c r="C1" s="311"/>
      <c r="D1" s="123"/>
      <c r="E1" s="123"/>
      <c r="F1" s="123"/>
      <c r="G1" s="123"/>
      <c r="H1" s="136"/>
      <c r="I1" s="123"/>
      <c r="J1" s="123"/>
      <c r="K1" s="123"/>
      <c r="L1" s="123"/>
      <c r="M1" s="123"/>
      <c r="N1" s="123"/>
      <c r="O1" s="123"/>
      <c r="P1" s="123"/>
      <c r="Q1" s="123"/>
      <c r="R1" s="123"/>
      <c r="S1" s="123"/>
      <c r="T1" s="101"/>
    </row>
    <row r="2" spans="1:50" s="139" customFormat="1" ht="18.75">
      <c r="A2" s="137" t="s">
        <v>41</v>
      </c>
      <c r="B2" s="124"/>
      <c r="C2" s="312"/>
      <c r="D2" s="318"/>
      <c r="E2" s="138"/>
      <c r="F2" s="138"/>
      <c r="G2" s="138"/>
      <c r="H2" s="101"/>
      <c r="I2" s="138"/>
      <c r="J2" s="138"/>
      <c r="K2" s="101"/>
      <c r="L2" s="101"/>
      <c r="M2" s="101"/>
      <c r="N2" s="138"/>
      <c r="O2" s="138"/>
      <c r="P2" s="138"/>
      <c r="Q2" s="138"/>
      <c r="R2" s="138"/>
      <c r="S2" s="138"/>
      <c r="T2" s="101"/>
    </row>
    <row r="3" spans="1:50" s="139" customFormat="1" ht="15.75">
      <c r="A3" s="137" t="s">
        <v>498</v>
      </c>
      <c r="B3" s="124"/>
      <c r="C3" s="312"/>
      <c r="D3" s="316"/>
      <c r="E3" s="138"/>
      <c r="F3" s="138"/>
      <c r="G3" s="138"/>
      <c r="H3" s="101"/>
      <c r="I3" s="138"/>
      <c r="J3" s="138"/>
      <c r="K3" s="101"/>
      <c r="L3" s="101"/>
      <c r="M3" s="101"/>
      <c r="N3" s="138"/>
      <c r="O3" s="138"/>
      <c r="P3" s="138"/>
      <c r="Q3" s="138"/>
      <c r="R3" s="138"/>
      <c r="S3" s="138"/>
      <c r="T3" s="101"/>
    </row>
    <row r="4" spans="1:50" s="84" customFormat="1" ht="12.75" customHeight="1">
      <c r="A4" s="80"/>
      <c r="B4" s="125"/>
      <c r="C4" s="313" t="s">
        <v>391</v>
      </c>
      <c r="D4" s="79" t="s">
        <v>136</v>
      </c>
      <c r="E4" s="81" t="s">
        <v>202</v>
      </c>
      <c r="F4" s="82" t="s">
        <v>203</v>
      </c>
      <c r="G4" s="82" t="s">
        <v>208</v>
      </c>
      <c r="H4" s="82" t="s">
        <v>209</v>
      </c>
      <c r="I4" s="82" t="s">
        <v>204</v>
      </c>
      <c r="J4" s="83" t="s">
        <v>210</v>
      </c>
      <c r="K4" s="83" t="s">
        <v>205</v>
      </c>
      <c r="L4" s="83" t="s">
        <v>211</v>
      </c>
      <c r="M4" s="83" t="s">
        <v>212</v>
      </c>
      <c r="N4" s="83" t="s">
        <v>213</v>
      </c>
      <c r="O4" s="83" t="s">
        <v>214</v>
      </c>
      <c r="P4" s="83" t="s">
        <v>206</v>
      </c>
      <c r="Q4" s="83" t="s">
        <v>215</v>
      </c>
      <c r="R4" s="83" t="s">
        <v>207</v>
      </c>
      <c r="S4" s="83" t="s">
        <v>216</v>
      </c>
      <c r="T4" s="83" t="s">
        <v>217</v>
      </c>
    </row>
    <row r="5" spans="1:50" ht="27">
      <c r="A5" s="1401" t="s">
        <v>473</v>
      </c>
      <c r="B5" s="376" t="s">
        <v>477</v>
      </c>
      <c r="C5" s="384" t="s">
        <v>392</v>
      </c>
      <c r="D5" s="378">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0.78499166785449093</v>
      </c>
      <c r="E5" s="379">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0.77472102523156039</v>
      </c>
      <c r="F5" s="379">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0.81239638421170346</v>
      </c>
      <c r="G5" s="379">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0.96061659423494017</v>
      </c>
      <c r="H5" s="379">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0.80065284803772907</v>
      </c>
      <c r="I5" s="379">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0.75402476523134521</v>
      </c>
      <c r="J5" s="379">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0.78575577093071158</v>
      </c>
      <c r="K5" s="379">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0.709259571320497</v>
      </c>
      <c r="L5" s="379">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0.7679054281892107</v>
      </c>
      <c r="M5" s="379">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0.75383195763142874</v>
      </c>
      <c r="N5" s="379">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0.80017273377367526</v>
      </c>
      <c r="O5" s="379">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0.81956104566803212</v>
      </c>
      <c r="P5" s="379">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0.77327999976466888</v>
      </c>
      <c r="Q5" s="379">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0.73658508257670963</v>
      </c>
      <c r="R5" s="379">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0.7917176258556482</v>
      </c>
      <c r="S5" s="379">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0.83372743863793275</v>
      </c>
      <c r="T5" s="380">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0.69741738527462205</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c r="A6" s="1402"/>
      <c r="B6" s="376" t="s">
        <v>478</v>
      </c>
      <c r="C6" s="385" t="s">
        <v>393</v>
      </c>
      <c r="D6" s="381">
        <f>SUM(D8:D14)</f>
        <v>2.5188598293259354E-2</v>
      </c>
      <c r="E6" s="381">
        <f>SUM(E8:E14)</f>
        <v>3.2546777003705785E-2</v>
      </c>
      <c r="F6" s="381">
        <f>SUM(F8:F14)</f>
        <v>1.6056697981253813E-2</v>
      </c>
      <c r="G6" s="381">
        <f t="shared" ref="G6:T6" si="0">SUM(G8:G14)</f>
        <v>1.3145268932197605E-2</v>
      </c>
      <c r="H6" s="381">
        <f t="shared" si="0"/>
        <v>3.0971678003712377E-2</v>
      </c>
      <c r="I6" s="381">
        <f t="shared" si="0"/>
        <v>2.2523400014948611E-2</v>
      </c>
      <c r="J6" s="381">
        <f t="shared" si="0"/>
        <v>3.9530375796753128E-2</v>
      </c>
      <c r="K6" s="381">
        <f t="shared" si="0"/>
        <v>4.3112522214973137E-2</v>
      </c>
      <c r="L6" s="381">
        <f t="shared" si="0"/>
        <v>1.9822874211239471E-2</v>
      </c>
      <c r="M6" s="381">
        <f t="shared" si="0"/>
        <v>6.277295520495102E-2</v>
      </c>
      <c r="N6" s="381">
        <f t="shared" si="0"/>
        <v>2.1471526152622301E-2</v>
      </c>
      <c r="O6" s="381">
        <f t="shared" si="0"/>
        <v>2.9803961960658022E-2</v>
      </c>
      <c r="P6" s="381">
        <f t="shared" si="0"/>
        <v>2.6820882172569276E-2</v>
      </c>
      <c r="Q6" s="381">
        <f t="shared" si="0"/>
        <v>2.652674236504713E-2</v>
      </c>
      <c r="R6" s="381">
        <f t="shared" si="0"/>
        <v>1.5048207539681849E-2</v>
      </c>
      <c r="S6" s="381">
        <f t="shared" si="0"/>
        <v>2.2386517280684203E-2</v>
      </c>
      <c r="T6" s="382">
        <f t="shared" si="0"/>
        <v>3.6372520911009697E-2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c r="A7" s="1402"/>
      <c r="B7" s="392" t="s">
        <v>486</v>
      </c>
      <c r="C7" s="385"/>
      <c r="D7" s="381">
        <f>+D6+D5</f>
        <v>0.81018026614775029</v>
      </c>
      <c r="E7" s="381">
        <f t="shared" ref="E7:T7" si="1">+E6+E5</f>
        <v>0.80726780223526617</v>
      </c>
      <c r="F7" s="381">
        <f t="shared" si="1"/>
        <v>0.82845308219295732</v>
      </c>
      <c r="G7" s="381">
        <f t="shared" si="1"/>
        <v>0.97376186316713775</v>
      </c>
      <c r="H7" s="381">
        <f t="shared" si="1"/>
        <v>0.83162452604144144</v>
      </c>
      <c r="I7" s="381">
        <f t="shared" si="1"/>
        <v>0.77654816524629378</v>
      </c>
      <c r="J7" s="381">
        <f t="shared" si="1"/>
        <v>0.8252861467274647</v>
      </c>
      <c r="K7" s="381">
        <f t="shared" si="1"/>
        <v>0.75237209353547008</v>
      </c>
      <c r="L7" s="381">
        <f t="shared" si="1"/>
        <v>0.78772830240045022</v>
      </c>
      <c r="M7" s="381">
        <f t="shared" si="1"/>
        <v>0.8166049128363797</v>
      </c>
      <c r="N7" s="381">
        <f t="shared" si="1"/>
        <v>0.82164425992629753</v>
      </c>
      <c r="O7" s="381">
        <f t="shared" si="1"/>
        <v>0.84936500762869016</v>
      </c>
      <c r="P7" s="381">
        <f t="shared" si="1"/>
        <v>0.80010088193723816</v>
      </c>
      <c r="Q7" s="381">
        <f t="shared" si="1"/>
        <v>0.76311182494175678</v>
      </c>
      <c r="R7" s="381">
        <f t="shared" si="1"/>
        <v>0.80676583339533003</v>
      </c>
      <c r="S7" s="381">
        <f t="shared" si="1"/>
        <v>0.85611395591861694</v>
      </c>
      <c r="T7" s="382">
        <f t="shared" si="1"/>
        <v>0.73378990618563178</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c r="A8" s="1402"/>
      <c r="B8" s="127" t="s">
        <v>451</v>
      </c>
      <c r="C8" s="386" t="s">
        <v>394</v>
      </c>
      <c r="D8" s="442">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3.0375057176755711E-3</v>
      </c>
      <c r="E8" s="442">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4.5623586748718492E-3</v>
      </c>
      <c r="F8" s="442">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1.6056697981253813E-2</v>
      </c>
      <c r="G8" s="442"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42">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7.7740687878303178E-3</v>
      </c>
      <c r="I8" s="442">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2.0466585328530614E-3</v>
      </c>
      <c r="J8" s="442">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9.2659665722660631E-3</v>
      </c>
      <c r="K8" s="442">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42">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42"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42">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1.6670885407364402E-3</v>
      </c>
      <c r="O8" s="442">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42">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5.2755438940647328E-4</v>
      </c>
      <c r="Q8" s="442">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3.5250572989774607E-3</v>
      </c>
      <c r="R8" s="442">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2.591979695219915E-3</v>
      </c>
      <c r="S8" s="442">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42">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c r="A9" s="1402"/>
      <c r="B9" s="127" t="s">
        <v>386</v>
      </c>
      <c r="C9" s="386" t="s">
        <v>395</v>
      </c>
      <c r="D9" s="442"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42">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9.7283257840392271E-4</v>
      </c>
      <c r="F9" s="442">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42">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42">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42">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42">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42">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42">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42">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42">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42">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42">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42">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42">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42">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42">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c r="A10" s="1402"/>
      <c r="B10" s="127" t="s">
        <v>385</v>
      </c>
      <c r="C10" s="386" t="s">
        <v>396</v>
      </c>
      <c r="D10" s="442">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1.1485004677979893E-2</v>
      </c>
      <c r="E10" s="442">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1.3290127379018687E-2</v>
      </c>
      <c r="F10" s="442">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42">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3.3604315362314339E-3</v>
      </c>
      <c r="H10" s="442">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2.1827628877728961E-2</v>
      </c>
      <c r="I10" s="442">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7.7018553368113076E-3</v>
      </c>
      <c r="J10" s="442">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2.7662563742122941E-2</v>
      </c>
      <c r="K10" s="442">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2.4659428144454817E-2</v>
      </c>
      <c r="L10" s="442">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4.8093697927785017E-3</v>
      </c>
      <c r="M10" s="442">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2.017342043168182E-2</v>
      </c>
      <c r="N10" s="442">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8.386378327974094E-3</v>
      </c>
      <c r="O10" s="442">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1.5562509590678671E-2</v>
      </c>
      <c r="P10" s="442">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1.4578332068236997E-2</v>
      </c>
      <c r="Q10" s="442">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1.349022567644163E-2</v>
      </c>
      <c r="R10" s="442">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5.2607699210431179E-3</v>
      </c>
      <c r="S10" s="442">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9.2070182210377358E-3</v>
      </c>
      <c r="T10" s="442">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1.529223808463023E-2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402"/>
      <c r="B11" s="127" t="s">
        <v>384</v>
      </c>
      <c r="C11" s="386" t="s">
        <v>397</v>
      </c>
      <c r="D11" s="442">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6.7216136449778727E-3</v>
      </c>
      <c r="E11" s="442">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1.027881300214002E-2</v>
      </c>
      <c r="F11" s="442">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42">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3.8353542752036316E-3</v>
      </c>
      <c r="H11" s="442">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42">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9.1794392436773207E-3</v>
      </c>
      <c r="J11" s="442">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42">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1.8453094070518324E-2</v>
      </c>
      <c r="L11" s="442">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4.3817827364323629E-3</v>
      </c>
      <c r="M11" s="442">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1.3659504308741952E-2</v>
      </c>
      <c r="N11" s="442">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1.1418059283911769E-2</v>
      </c>
      <c r="O11" s="442">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1.4241452369979351E-2</v>
      </c>
      <c r="P11" s="442">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42">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9.5114593896280381E-3</v>
      </c>
      <c r="R11" s="442">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5.7170765780739574E-3</v>
      </c>
      <c r="S11" s="442">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8.3272445573575448E-3</v>
      </c>
      <c r="T11" s="442">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6.0466510986989684E-3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402"/>
      <c r="B12" s="127" t="s">
        <v>440</v>
      </c>
      <c r="C12" s="386" t="s">
        <v>398</v>
      </c>
      <c r="D12" s="442">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5.215919474444255E-4</v>
      </c>
      <c r="E12" s="442">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42">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42">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42">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42">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1.5544357835510759E-3</v>
      </c>
      <c r="J12" s="442">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42">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42">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42">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42">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42">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42">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42">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42">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1.4783813453448581E-3</v>
      </c>
      <c r="S12" s="442">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42">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2.6683756937986489E-3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402"/>
      <c r="B13" s="127" t="s">
        <v>441</v>
      </c>
      <c r="C13" s="386" t="s">
        <v>399</v>
      </c>
      <c r="D13" s="442">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2.1470791921428616E-3</v>
      </c>
      <c r="E13" s="442">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0</v>
      </c>
      <c r="F13" s="442">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42">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5.9494831207625391E-3</v>
      </c>
      <c r="H13" s="442">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1.3699803381530976E-3</v>
      </c>
      <c r="I13" s="442">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2.0410111180558504E-3</v>
      </c>
      <c r="J13" s="442">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2.601845482364125E-3</v>
      </c>
      <c r="K13" s="442">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42">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1.0631721682028607E-2</v>
      </c>
      <c r="M13" s="442">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1.4534772658367164E-2</v>
      </c>
      <c r="N13" s="442">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42">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42">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8.5418166245612845E-4</v>
      </c>
      <c r="Q13" s="442">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42">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42">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4.8522545022889217E-3</v>
      </c>
      <c r="T13" s="442">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6.7235544170626505E-3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402"/>
      <c r="B14" s="127" t="s">
        <v>423</v>
      </c>
      <c r="C14" s="386" t="s">
        <v>400</v>
      </c>
      <c r="D14" s="442">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1.2758031130387308E-3</v>
      </c>
      <c r="E14" s="442">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3.4426453692713043E-3</v>
      </c>
      <c r="F14" s="442">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42">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42" t="str">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v>
      </c>
      <c r="I14" s="442">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42">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42">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42">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42">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1.4405257806160086E-2</v>
      </c>
      <c r="N14" s="442">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42">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42">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1.086081405246968E-2</v>
      </c>
      <c r="Q14" s="442">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42">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42">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42">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5.6417016168191962E-3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c r="A15" s="1402"/>
      <c r="B15" s="126" t="s">
        <v>20</v>
      </c>
      <c r="C15" s="385" t="s">
        <v>401</v>
      </c>
      <c r="D15" s="443">
        <f>SUM(D16:D21)</f>
        <v>9.6767017995146153E-3</v>
      </c>
      <c r="E15" s="443">
        <f>SUM(E16:E21)</f>
        <v>2.110113109954739E-2</v>
      </c>
      <c r="F15" s="443">
        <f>SUM(F16:F21)</f>
        <v>4.6187235883976406E-2</v>
      </c>
      <c r="G15" s="443">
        <f t="shared" ref="G15:T15" si="2">SUM(G16:G21)</f>
        <v>0</v>
      </c>
      <c r="H15" s="443">
        <f t="shared" si="2"/>
        <v>1.8399532002760038E-3</v>
      </c>
      <c r="I15" s="443">
        <f t="shared" si="2"/>
        <v>5.9753520344834579E-4</v>
      </c>
      <c r="J15" s="443">
        <f t="shared" si="2"/>
        <v>7.9992656419048836E-3</v>
      </c>
      <c r="K15" s="443">
        <f t="shared" si="2"/>
        <v>1.765154652186763E-2</v>
      </c>
      <c r="L15" s="443">
        <f t="shared" si="2"/>
        <v>0</v>
      </c>
      <c r="M15" s="443">
        <f t="shared" si="2"/>
        <v>0</v>
      </c>
      <c r="N15" s="443">
        <f t="shared" si="2"/>
        <v>4.3455006654357482E-2</v>
      </c>
      <c r="O15" s="443">
        <f t="shared" si="2"/>
        <v>0</v>
      </c>
      <c r="P15" s="443">
        <f t="shared" si="2"/>
        <v>0</v>
      </c>
      <c r="Q15" s="443">
        <f t="shared" si="2"/>
        <v>0</v>
      </c>
      <c r="R15" s="443">
        <f t="shared" si="2"/>
        <v>7.4944973493597583E-3</v>
      </c>
      <c r="S15" s="443">
        <f t="shared" si="2"/>
        <v>3.1994699847806333E-3</v>
      </c>
      <c r="T15" s="443">
        <f t="shared" si="2"/>
        <v>4.9517162811703432E-3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c r="A16" s="1402"/>
      <c r="B16" s="127" t="s">
        <v>451</v>
      </c>
      <c r="C16" s="386" t="s">
        <v>402</v>
      </c>
      <c r="D16" s="442">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3.5318855042828371E-3</v>
      </c>
      <c r="E16" s="442">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42">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42">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42">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42">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42">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7.9992656419048836E-3</v>
      </c>
      <c r="K16" s="442"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42">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42"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42">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2.4324193810426321E-2</v>
      </c>
      <c r="O16" s="442" t="str">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v>
      </c>
      <c r="P16" s="442">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42">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42">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3.3465129263809739E-3</v>
      </c>
      <c r="S16" s="442">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42">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4.9517162811703432E-3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c r="A17" s="1402"/>
      <c r="B17" s="127" t="s">
        <v>386</v>
      </c>
      <c r="C17" s="386" t="s">
        <v>403</v>
      </c>
      <c r="D17" s="442">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1.4271413789206126E-3</v>
      </c>
      <c r="E17" s="442">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42">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42">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42">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42">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42">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42">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42">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42">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42">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1.5289073213402091E-2</v>
      </c>
      <c r="O17" s="442">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42">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42">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42">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42">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42"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c r="A18" s="1402"/>
      <c r="B18" s="127" t="s">
        <v>385</v>
      </c>
      <c r="C18" s="386" t="s">
        <v>404</v>
      </c>
      <c r="D18" s="442">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1.2282012483814768E-3</v>
      </c>
      <c r="E18" s="442">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42">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4.3458307778777641E-2</v>
      </c>
      <c r="G18" s="442">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42">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42">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42">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42">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42">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42">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42">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42">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42">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42">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42">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42">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42">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402"/>
      <c r="B19" s="127" t="s">
        <v>440</v>
      </c>
      <c r="C19" s="386" t="s">
        <v>405</v>
      </c>
      <c r="D19" s="442"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42">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42">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42">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42">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42">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42">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42">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42">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42">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42">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42">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42">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42">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42">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6.9919430476863935E-4</v>
      </c>
      <c r="S19" s="442">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42">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402"/>
      <c r="B20" s="127" t="s">
        <v>441</v>
      </c>
      <c r="C20" s="386" t="s">
        <v>406</v>
      </c>
      <c r="D20" s="442">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1.0289957544487383E-3</v>
      </c>
      <c r="E20" s="442">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1.6477694479183247E-3</v>
      </c>
      <c r="F20" s="442">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2.7289281051987662E-3</v>
      </c>
      <c r="G20" s="442">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42">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1.8399532002760038E-3</v>
      </c>
      <c r="I20" s="442">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5.9753520344834579E-4</v>
      </c>
      <c r="J20" s="442">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42">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8.4731456731585771E-3</v>
      </c>
      <c r="L20" s="442">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42">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42">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1.1063840881983256E-3</v>
      </c>
      <c r="O20" s="442">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42">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42">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42">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42">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3.1994699847806333E-3</v>
      </c>
      <c r="T20" s="442">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402"/>
      <c r="B21" s="127" t="s">
        <v>423</v>
      </c>
      <c r="C21" s="386" t="s">
        <v>407</v>
      </c>
      <c r="D21" s="442">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2.460477913480951E-3</v>
      </c>
      <c r="E21" s="444">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1.9453361651629066E-2</v>
      </c>
      <c r="F21" s="444">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44">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44" t="str">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v>
      </c>
      <c r="I21" s="444">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44">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44">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9.1784008487090542E-3</v>
      </c>
      <c r="L21" s="444">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44">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44">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2.7353555423307446E-3</v>
      </c>
      <c r="O21" s="444">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44">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44">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44">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3.448790118210145E-3</v>
      </c>
      <c r="S21" s="444"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45">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c r="A22" s="1403"/>
      <c r="B22" s="129" t="s">
        <v>125</v>
      </c>
      <c r="C22" s="387" t="s">
        <v>431</v>
      </c>
      <c r="D22" s="446">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5.5050973896521955E-3</v>
      </c>
      <c r="E22" s="446">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3.4361046144437027E-3</v>
      </c>
      <c r="F22" s="446"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46">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4.9736785963741658E-3</v>
      </c>
      <c r="H22" s="446">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46">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1.5455501463136867E-2</v>
      </c>
      <c r="J22" s="446">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1.8111524192709574E-2</v>
      </c>
      <c r="K22" s="446">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1.8474013186204473E-2</v>
      </c>
      <c r="L22" s="446">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0</v>
      </c>
      <c r="M22" s="446">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4.0154736967514155E-3</v>
      </c>
      <c r="N22" s="446" t="str">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v>
      </c>
      <c r="O22" s="446">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8.4410713118619734E-3</v>
      </c>
      <c r="P22" s="446">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2.2754179352410054E-3</v>
      </c>
      <c r="Q22" s="446"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46" t="str">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v>
      </c>
      <c r="S22" s="446">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2.6869521557284996E-2</v>
      </c>
      <c r="T22" s="446">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8.7745769409800205E-3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c r="A23" s="1394" t="s">
        <v>475</v>
      </c>
      <c r="B23" s="1395"/>
      <c r="C23" s="1395"/>
      <c r="D23" s="1395"/>
      <c r="E23" s="1395"/>
      <c r="F23" s="1395"/>
      <c r="G23" s="1395"/>
      <c r="H23" s="1395"/>
      <c r="I23" s="1395"/>
      <c r="J23" s="1395"/>
      <c r="K23" s="1395"/>
      <c r="L23" s="1395"/>
      <c r="M23" s="1395"/>
      <c r="N23" s="1395"/>
      <c r="O23" s="1395"/>
      <c r="P23" s="1395"/>
      <c r="Q23" s="1395"/>
      <c r="R23" s="1395"/>
      <c r="S23" s="1395"/>
      <c r="T23" s="1395"/>
    </row>
    <row r="24" spans="1:50" s="10" customFormat="1" ht="15.75" customHeight="1">
      <c r="A24" s="55" t="s">
        <v>122</v>
      </c>
      <c r="B24" s="338"/>
      <c r="C24" s="47"/>
      <c r="D24" s="47"/>
      <c r="E24" s="47"/>
      <c r="F24" s="47"/>
      <c r="G24" s="47"/>
      <c r="H24" s="339"/>
      <c r="I24" s="47"/>
      <c r="J24" s="47"/>
      <c r="K24" s="339"/>
      <c r="L24" s="339"/>
      <c r="M24" s="339"/>
      <c r="N24" s="47"/>
      <c r="O24" s="47"/>
      <c r="P24" s="47"/>
      <c r="Q24" s="47"/>
      <c r="R24" s="47"/>
      <c r="S24" s="47"/>
      <c r="T24" s="47"/>
    </row>
    <row r="25" spans="1:50" s="10" customFormat="1" ht="14.25" customHeight="1">
      <c r="A25" s="47" t="s">
        <v>0</v>
      </c>
      <c r="B25" s="338"/>
      <c r="C25" s="47"/>
      <c r="D25" s="47"/>
      <c r="E25" s="47"/>
      <c r="F25" s="47"/>
      <c r="G25" s="47"/>
      <c r="H25" s="339"/>
      <c r="I25" s="47"/>
      <c r="J25" s="47"/>
      <c r="K25" s="339"/>
      <c r="L25" s="339"/>
      <c r="M25" s="339"/>
      <c r="N25" s="47"/>
      <c r="O25" s="47"/>
      <c r="P25" s="47"/>
      <c r="Q25" s="47"/>
      <c r="R25" s="47"/>
      <c r="S25" s="47"/>
      <c r="T25" s="1166" t="s">
        <v>2018</v>
      </c>
    </row>
    <row r="26" spans="1:50" s="45" customFormat="1" ht="12.6" customHeight="1">
      <c r="A26" s="1401" t="s">
        <v>474</v>
      </c>
      <c r="B26" s="219" t="s">
        <v>180</v>
      </c>
      <c r="C26" s="388" t="s">
        <v>409</v>
      </c>
      <c r="D26" s="447">
        <f>SUM(D27:D30)</f>
        <v>5.8519885883098911E-3</v>
      </c>
      <c r="E26" s="447">
        <f>SUM(E27:E30)</f>
        <v>2.6619977177422525E-3</v>
      </c>
      <c r="F26" s="447">
        <f t="shared" ref="F26:T26" si="3">SUM(F27:F30)</f>
        <v>5.9398447244947009E-3</v>
      </c>
      <c r="G26" s="447">
        <f t="shared" si="3"/>
        <v>1.0063945293200521E-2</v>
      </c>
      <c r="H26" s="447">
        <f t="shared" si="3"/>
        <v>7.2269104250268412E-4</v>
      </c>
      <c r="I26" s="447">
        <f t="shared" si="3"/>
        <v>5.9570787405597153E-3</v>
      </c>
      <c r="J26" s="447">
        <f t="shared" si="3"/>
        <v>8.2759590736382563E-3</v>
      </c>
      <c r="K26" s="447">
        <f t="shared" si="3"/>
        <v>1.9782145303814176E-2</v>
      </c>
      <c r="L26" s="447">
        <f t="shared" si="3"/>
        <v>4.2498038042392983E-3</v>
      </c>
      <c r="M26" s="447">
        <f t="shared" si="3"/>
        <v>6.6140916133285137E-3</v>
      </c>
      <c r="N26" s="447">
        <f t="shared" si="3"/>
        <v>8.9813887600600339E-3</v>
      </c>
      <c r="O26" s="447">
        <f t="shared" si="3"/>
        <v>5.6603666227333276E-3</v>
      </c>
      <c r="P26" s="447">
        <f t="shared" si="3"/>
        <v>5.9048315500389581E-3</v>
      </c>
      <c r="Q26" s="447">
        <f t="shared" si="3"/>
        <v>4.3371536473547929E-3</v>
      </c>
      <c r="R26" s="447">
        <f t="shared" si="3"/>
        <v>5.9422109482165962E-3</v>
      </c>
      <c r="S26" s="447">
        <f t="shared" si="3"/>
        <v>5.3109899340454455E-3</v>
      </c>
      <c r="T26" s="447">
        <f t="shared" si="3"/>
        <v>5.5894893344041394E-3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c r="A27" s="1404"/>
      <c r="B27" s="127" t="s">
        <v>200</v>
      </c>
      <c r="C27" s="389" t="s">
        <v>410</v>
      </c>
      <c r="D27" s="442">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3.5995303916572284E-3</v>
      </c>
      <c r="E27" s="442">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8.8511322887756196E-4</v>
      </c>
      <c r="F27" s="442">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5.9398447244947009E-3</v>
      </c>
      <c r="G27" s="442">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1.2311287876252373E-3</v>
      </c>
      <c r="H27" s="442">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7.2269104250268412E-4</v>
      </c>
      <c r="I27" s="442">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1.2824758307033322E-3</v>
      </c>
      <c r="J27" s="442">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2.7118145939827891E-3</v>
      </c>
      <c r="K27" s="442">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1.0483898711119048E-2</v>
      </c>
      <c r="L27" s="442">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4.2498038042392983E-3</v>
      </c>
      <c r="M27" s="442">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4.6505983402714644E-3</v>
      </c>
      <c r="N27" s="442">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3.9458805411777828E-3</v>
      </c>
      <c r="O27" s="442">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5.6603666227333276E-3</v>
      </c>
      <c r="P27" s="442">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1.5500850881404104E-3</v>
      </c>
      <c r="Q27" s="442">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4.3371536473547929E-3</v>
      </c>
      <c r="R27" s="442">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5.4101864529964823E-3</v>
      </c>
      <c r="S27" s="442">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1.02697698059034E-3</v>
      </c>
      <c r="T27" s="442">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3.8315625499862707E-3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c r="A28" s="1404"/>
      <c r="B28" s="127" t="s">
        <v>199</v>
      </c>
      <c r="C28" s="389" t="s">
        <v>411</v>
      </c>
      <c r="D28" s="442">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2.2524581966526622E-3</v>
      </c>
      <c r="E28" s="442">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1.7768844888646905E-3</v>
      </c>
      <c r="F28" s="442">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42">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8.8328165055752833E-3</v>
      </c>
      <c r="H28" s="442"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42">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4.6746029098563829E-3</v>
      </c>
      <c r="J28" s="442">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5.5641444796554673E-3</v>
      </c>
      <c r="K28" s="442">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7.2925124336819689E-3</v>
      </c>
      <c r="L28" s="442">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42">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1.2662718841784614E-3</v>
      </c>
      <c r="N28" s="442">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5.035508218882251E-3</v>
      </c>
      <c r="O28" s="442">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42">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4.3547464618985477E-3</v>
      </c>
      <c r="Q28" s="442">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42">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5.3202449522011413E-4</v>
      </c>
      <c r="S28" s="442">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4.284012953455105E-3</v>
      </c>
      <c r="T28" s="442">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7.9509614863330729E-4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c r="A29" s="1404"/>
      <c r="B29" s="130" t="s">
        <v>198</v>
      </c>
      <c r="C29" s="389" t="s">
        <v>412</v>
      </c>
      <c r="D29" s="442"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42"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42">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42"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42"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42"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42"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42">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42" t="str">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v>
      </c>
      <c r="M29" s="442">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42"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42">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42" t="str">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v>
      </c>
      <c r="Q29" s="442">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42">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42">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42">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c r="A30" s="1404"/>
      <c r="B30" s="130" t="s">
        <v>201</v>
      </c>
      <c r="C30" s="389" t="s">
        <v>413</v>
      </c>
      <c r="D30" s="442"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42"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42">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42">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42">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42">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42">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42">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2.0057341590131576E-3</v>
      </c>
      <c r="L30" s="442" t="str">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v>
      </c>
      <c r="M30" s="442">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6.9722138887858822E-4</v>
      </c>
      <c r="N30" s="442">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42">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42">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0</v>
      </c>
      <c r="Q30" s="442"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42">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42">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42">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9.6283063578456217E-4</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c r="A31" s="1404"/>
      <c r="B31" s="131" t="s">
        <v>428</v>
      </c>
      <c r="C31" s="389" t="s">
        <v>414</v>
      </c>
      <c r="D31" s="448">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2.9716561988240749E-3</v>
      </c>
      <c r="E31" s="448">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4.3727657000162245E-3</v>
      </c>
      <c r="F31" s="448">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48">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48">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2.9610885763867918E-3</v>
      </c>
      <c r="I31" s="448">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7.9932958428331861E-3</v>
      </c>
      <c r="J31" s="448">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48">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5.1470402495263701E-4</v>
      </c>
      <c r="L31" s="448">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1.0638996255172445E-2</v>
      </c>
      <c r="M31" s="448">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48" t="str">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v>
      </c>
      <c r="O31" s="448">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48">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1.6019867314535806E-3</v>
      </c>
      <c r="Q31" s="448">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48">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4.2055408470553458E-3</v>
      </c>
      <c r="S31" s="448">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48">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c r="A32" s="1404"/>
      <c r="B32" s="126" t="s">
        <v>251</v>
      </c>
      <c r="C32" s="390" t="s">
        <v>415</v>
      </c>
      <c r="D32" s="443">
        <f>SUM(D33:D35)</f>
        <v>0</v>
      </c>
      <c r="E32" s="443">
        <f>SUM(E33:E35)</f>
        <v>0</v>
      </c>
      <c r="F32" s="443">
        <f t="shared" ref="F32:T32" si="4">SUM(F33:F35)</f>
        <v>1.701090183673107E-3</v>
      </c>
      <c r="G32" s="443">
        <f t="shared" si="4"/>
        <v>4.3881760389448497E-3</v>
      </c>
      <c r="H32" s="443">
        <f t="shared" si="4"/>
        <v>0</v>
      </c>
      <c r="I32" s="443">
        <f t="shared" si="4"/>
        <v>6.1303136333094703E-4</v>
      </c>
      <c r="J32" s="443">
        <f t="shared" si="4"/>
        <v>1.5172451274108765E-3</v>
      </c>
      <c r="K32" s="443">
        <f t="shared" si="4"/>
        <v>5.3197234498979804E-4</v>
      </c>
      <c r="L32" s="443">
        <f t="shared" si="4"/>
        <v>0</v>
      </c>
      <c r="M32" s="443">
        <f t="shared" si="4"/>
        <v>0</v>
      </c>
      <c r="N32" s="443">
        <f t="shared" si="4"/>
        <v>0</v>
      </c>
      <c r="O32" s="443">
        <f t="shared" si="4"/>
        <v>0</v>
      </c>
      <c r="P32" s="443">
        <f t="shared" si="4"/>
        <v>7.7222304742284695E-4</v>
      </c>
      <c r="Q32" s="443">
        <f t="shared" si="4"/>
        <v>8.9781131228795243E-4</v>
      </c>
      <c r="R32" s="443">
        <f t="shared" si="4"/>
        <v>0</v>
      </c>
      <c r="S32" s="443">
        <f t="shared" si="4"/>
        <v>0</v>
      </c>
      <c r="T32" s="443">
        <f t="shared" si="4"/>
        <v>6.0258330219729438E-4</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c r="A33" s="1404"/>
      <c r="B33" s="127" t="s">
        <v>123</v>
      </c>
      <c r="C33" s="389" t="s">
        <v>416</v>
      </c>
      <c r="D33" s="442"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42">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42"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42">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3.1077320664159229E-3</v>
      </c>
      <c r="H33" s="442">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42"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42"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42">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42">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42"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42" t="str">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v>
      </c>
      <c r="O33" s="442">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42"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42">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8.9781131228795243E-4</v>
      </c>
      <c r="R33" s="442">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42"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42"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c r="A34" s="1404"/>
      <c r="B34" s="127" t="s">
        <v>124</v>
      </c>
      <c r="C34" s="389" t="s">
        <v>417</v>
      </c>
      <c r="D34" s="442"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42">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42">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1.701090183673107E-3</v>
      </c>
      <c r="G34" s="442">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1.2804439725289266E-3</v>
      </c>
      <c r="H34" s="442">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42"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42">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1.5172451274108765E-3</v>
      </c>
      <c r="K34" s="442">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5.3197234498979804E-4</v>
      </c>
      <c r="L34" s="442">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42"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42" t="str">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v>
      </c>
      <c r="O34" s="442">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42">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7.7222304742284695E-4</v>
      </c>
      <c r="Q34" s="442">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42">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42">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42">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6.0258330219729438E-4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c r="A35" s="1404"/>
      <c r="B35" s="130" t="s">
        <v>197</v>
      </c>
      <c r="C35" s="389" t="s">
        <v>418</v>
      </c>
      <c r="D35" s="442"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42" t="str">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v>
      </c>
      <c r="F35" s="442" t="str">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v>
      </c>
      <c r="G35" s="442">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42"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42">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6.1303136333094703E-4</v>
      </c>
      <c r="J35" s="442"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42">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42">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42">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42" t="str">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v>
      </c>
      <c r="O35" s="442">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42"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42">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42">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42"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42"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c r="A36" s="1404"/>
      <c r="B36" s="126" t="s">
        <v>135</v>
      </c>
      <c r="C36" s="390" t="s">
        <v>419</v>
      </c>
      <c r="D36" s="443">
        <f>SUM(D37:D51)</f>
        <v>6.4372876401907184E-2</v>
      </c>
      <c r="E36" s="443">
        <f>SUM(E37:E51)</f>
        <v>1.3778497045924024E-2</v>
      </c>
      <c r="F36" s="443">
        <f t="shared" ref="F36:T36" si="5">SUM(F37:F51)</f>
        <v>3.0469410935481576E-2</v>
      </c>
      <c r="G36" s="443">
        <f t="shared" si="5"/>
        <v>6.0959083671105994E-3</v>
      </c>
      <c r="H36" s="443">
        <f t="shared" si="5"/>
        <v>0.10884797196971228</v>
      </c>
      <c r="I36" s="443">
        <f t="shared" si="5"/>
        <v>0.12080189092768899</v>
      </c>
      <c r="J36" s="443">
        <f t="shared" si="5"/>
        <v>7.7246579590307479E-2</v>
      </c>
      <c r="K36" s="443">
        <f t="shared" si="5"/>
        <v>8.0932000148477706E-2</v>
      </c>
      <c r="L36" s="443">
        <f t="shared" si="5"/>
        <v>3.6240876824867305E-2</v>
      </c>
      <c r="M36" s="443">
        <f t="shared" si="5"/>
        <v>1.5423514147817233E-2</v>
      </c>
      <c r="N36" s="443">
        <f t="shared" si="5"/>
        <v>5.2088398219460805E-2</v>
      </c>
      <c r="O36" s="443">
        <f t="shared" si="5"/>
        <v>4.0636842157281777E-2</v>
      </c>
      <c r="P36" s="443">
        <f t="shared" si="5"/>
        <v>0.12066344184995814</v>
      </c>
      <c r="Q36" s="443">
        <f t="shared" si="5"/>
        <v>0.1335286740756399</v>
      </c>
      <c r="R36" s="443">
        <f t="shared" si="5"/>
        <v>3.9798976941942947E-2</v>
      </c>
      <c r="S36" s="443">
        <f t="shared" si="5"/>
        <v>6.184463005789613E-2</v>
      </c>
      <c r="T36" s="443">
        <f t="shared" si="5"/>
        <v>7.9381617815602296E-2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c r="A37" s="1404"/>
      <c r="B37" s="127" t="s">
        <v>78</v>
      </c>
      <c r="C37" s="389" t="s">
        <v>420</v>
      </c>
      <c r="D37" s="442">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1.0605910925883479E-2</v>
      </c>
      <c r="E37" s="442">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42">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42">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3.2918994785358364E-3</v>
      </c>
      <c r="H37" s="442">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42">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2.7333300352259042E-3</v>
      </c>
      <c r="J37" s="442">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42">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42">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42">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42">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42">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3.8634322912106653E-2</v>
      </c>
      <c r="P37" s="442">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42">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42">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3.7855099453126616E-2</v>
      </c>
      <c r="S37" s="442">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42">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c r="A38" s="1404"/>
      <c r="B38" s="127" t="s">
        <v>443</v>
      </c>
      <c r="C38" s="389" t="s">
        <v>442</v>
      </c>
      <c r="D38" s="442"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42"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42">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42"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42">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8.6661542775513811E-4</v>
      </c>
      <c r="I38" s="442">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42">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42">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42">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42">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42">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1.3353673564522859E-3</v>
      </c>
      <c r="O38" s="442">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42">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42">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42">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42">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42">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c r="A39" s="1404"/>
      <c r="B39" s="127" t="s">
        <v>377</v>
      </c>
      <c r="C39" s="389" t="s">
        <v>379</v>
      </c>
      <c r="D39" s="442">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8.5924286544242501E-3</v>
      </c>
      <c r="E39" s="442">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5.9302296413159771E-4</v>
      </c>
      <c r="F39" s="442"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42" t="str">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v>
      </c>
      <c r="H39" s="442">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7.4330579189341564E-2</v>
      </c>
      <c r="I39" s="442">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42">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42">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42">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42"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42">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3.0437080763422971E-3</v>
      </c>
      <c r="O39" s="442">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42">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6.622194391419057E-4</v>
      </c>
      <c r="Q39" s="442">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42">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1.9438774888163284E-3</v>
      </c>
      <c r="S39" s="442">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42">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c r="A40" s="1404"/>
      <c r="B40" s="127" t="s">
        <v>378</v>
      </c>
      <c r="C40" s="389" t="s">
        <v>295</v>
      </c>
      <c r="D40" s="442"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42">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42">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0</v>
      </c>
      <c r="G40" s="442">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42">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42">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42">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42">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42">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1.4492392551902938E-3</v>
      </c>
      <c r="M40" s="442">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0</v>
      </c>
      <c r="N40" s="442">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42">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42">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42">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42">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42">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42">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404"/>
      <c r="B41" s="127" t="s">
        <v>443</v>
      </c>
      <c r="C41" s="389" t="s">
        <v>296</v>
      </c>
      <c r="D41" s="442">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6.3070421692099634E-3</v>
      </c>
      <c r="E41" s="442">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7.8772409880701548E-4</v>
      </c>
      <c r="F41" s="442">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1.8483796868243332E-2</v>
      </c>
      <c r="G41" s="442"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42">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42">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42">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1.9458688128847958E-2</v>
      </c>
      <c r="K41" s="442">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1.0025995878248109E-2</v>
      </c>
      <c r="L41" s="442">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2.345292052403954E-2</v>
      </c>
      <c r="M41" s="442">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2.2008427868173788E-3</v>
      </c>
      <c r="N41" s="442">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42">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42">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7.7374133856026091E-3</v>
      </c>
      <c r="Q41" s="442">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3.8764269723109882E-2</v>
      </c>
      <c r="R41" s="442">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42">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9.0471589345992687E-4</v>
      </c>
      <c r="T41" s="442">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3.2562240526007459E-2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404"/>
      <c r="B42" s="127" t="s">
        <v>377</v>
      </c>
      <c r="C42" s="389" t="s">
        <v>278</v>
      </c>
      <c r="D42" s="442">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1.2577190767173422E-2</v>
      </c>
      <c r="E42" s="442">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1.1621835545824771E-2</v>
      </c>
      <c r="F42" s="442">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7.6032055206489545E-3</v>
      </c>
      <c r="G42" s="442">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1.4898657200186024E-3</v>
      </c>
      <c r="H42" s="442">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42"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42">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3.0952370324053489E-2</v>
      </c>
      <c r="K42" s="442">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6.1334201752944587E-2</v>
      </c>
      <c r="L42" s="442">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3.9037075744506799E-3</v>
      </c>
      <c r="M42" s="442">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7.478180092597291E-3</v>
      </c>
      <c r="N42" s="442">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42">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42">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8.2215878134697953E-2</v>
      </c>
      <c r="Q42" s="442">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6.3763300092042743E-2</v>
      </c>
      <c r="R42" s="442">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42"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42">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3.8669463143898651E-2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404"/>
      <c r="B43" s="127" t="s">
        <v>321</v>
      </c>
      <c r="C43" s="389" t="s">
        <v>279</v>
      </c>
      <c r="D43" s="442" t="str">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v>
      </c>
      <c r="E43" s="442">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42">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42">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42">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42">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42">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42">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42" t="str">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v>
      </c>
      <c r="M43" s="442">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42">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42">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42">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42">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42">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42">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42">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404"/>
      <c r="B44" s="127" t="s">
        <v>443</v>
      </c>
      <c r="C44" s="389" t="s">
        <v>317</v>
      </c>
      <c r="D44" s="442">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1.7491014551390123E-3</v>
      </c>
      <c r="E44" s="442"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42">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2.1182198350167924E-3</v>
      </c>
      <c r="G44" s="442">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5.690520038852604E-4</v>
      </c>
      <c r="H44" s="442">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42">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42">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6.2796919691064587E-3</v>
      </c>
      <c r="K44" s="442">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1.2497533576915228E-3</v>
      </c>
      <c r="L44" s="442">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5.8870338249866006E-3</v>
      </c>
      <c r="M44" s="442" t="str">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v>
      </c>
      <c r="N44" s="442">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42">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42">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2.0523581092666762E-3</v>
      </c>
      <c r="Q44" s="442">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1.6132216126936862E-2</v>
      </c>
      <c r="R44" s="442">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42" t="str">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v>
      </c>
      <c r="T44" s="442">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3.9787011203078308E-3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404"/>
      <c r="B45" s="127" t="s">
        <v>377</v>
      </c>
      <c r="C45" s="389" t="s">
        <v>318</v>
      </c>
      <c r="D45" s="442">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2.3198017904810199E-3</v>
      </c>
      <c r="E45" s="442"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42">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2.2641887115724992E-3</v>
      </c>
      <c r="G45" s="442">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7.4509116467090031E-4</v>
      </c>
      <c r="H45" s="442">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42"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42">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7.1070524912498628E-3</v>
      </c>
      <c r="K45" s="442">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5.45061834518771E-3</v>
      </c>
      <c r="L45" s="442">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1.5479756462001898E-3</v>
      </c>
      <c r="M45" s="442">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1.8429264356203271E-3</v>
      </c>
      <c r="N45" s="442">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42">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42">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1.6489761280004435E-2</v>
      </c>
      <c r="Q45" s="442">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1.4868888133550421E-2</v>
      </c>
      <c r="R45" s="442">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42">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42">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4.1712130253883511E-3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404"/>
      <c r="B46" s="127" t="s">
        <v>181</v>
      </c>
      <c r="C46" s="389" t="s">
        <v>421</v>
      </c>
      <c r="D46" s="442"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42">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42">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42">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42">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42">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42">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42">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42">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42">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42">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42">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42">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42">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42">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42">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4.8292938927698521E-3</v>
      </c>
      <c r="T46" s="442">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404"/>
      <c r="B47" s="127" t="s">
        <v>443</v>
      </c>
      <c r="C47" s="389" t="s">
        <v>380</v>
      </c>
      <c r="D47" s="442">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6.7718643510716941E-3</v>
      </c>
      <c r="E47" s="442">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42">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42">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42">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1.7404243284984404E-2</v>
      </c>
      <c r="I47" s="442">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42">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42">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42">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0</v>
      </c>
      <c r="M47" s="442"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42">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2.6639804349682532E-2</v>
      </c>
      <c r="O47" s="442">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42">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42">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42">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42">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3.5741614832153885E-2</v>
      </c>
      <c r="T47" s="442">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404"/>
      <c r="B48" s="127" t="s">
        <v>377</v>
      </c>
      <c r="C48" s="389" t="s">
        <v>381</v>
      </c>
      <c r="D48" s="442">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8.7573096492087003E-3</v>
      </c>
      <c r="E48" s="442"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42"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42">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42">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6.7525537671092768E-4</v>
      </c>
      <c r="I48" s="442">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0.10678118862890254</v>
      </c>
      <c r="J48" s="442">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42">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2.8714308144057715E-3</v>
      </c>
      <c r="L48" s="442">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0</v>
      </c>
      <c r="M48" s="442">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3.9015648327822361E-3</v>
      </c>
      <c r="N48" s="442">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1.305478547583442E-3</v>
      </c>
      <c r="O48" s="442">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42">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42">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42">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42">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3.3160673833512481E-3</v>
      </c>
      <c r="T48" s="442">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404"/>
      <c r="B49" s="127" t="s">
        <v>439</v>
      </c>
      <c r="C49" s="389" t="s">
        <v>422</v>
      </c>
      <c r="D49" s="442"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42">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42">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42">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42">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42">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42">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42">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42">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42">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42">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42">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2.0025192451751249E-3</v>
      </c>
      <c r="P49" s="442">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42">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42">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42">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42">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404"/>
      <c r="B50" s="127" t="s">
        <v>443</v>
      </c>
      <c r="C50" s="389" t="s">
        <v>382</v>
      </c>
      <c r="D50" s="442">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2.4583271432681527E-3</v>
      </c>
      <c r="E50" s="442">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42">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42">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42">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4.8238976679191676E-3</v>
      </c>
      <c r="I50" s="442">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42">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1.3448776677049723E-2</v>
      </c>
      <c r="K50" s="442" t="str">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v>
      </c>
      <c r="L50" s="442">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0</v>
      </c>
      <c r="M50" s="442">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42">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8.7966154133687236E-3</v>
      </c>
      <c r="O50" s="442">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42">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1.1505811501244584E-2</v>
      </c>
      <c r="Q50" s="442">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42">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42">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42">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404"/>
      <c r="B51" s="383" t="s">
        <v>377</v>
      </c>
      <c r="C51" s="389" t="s">
        <v>383</v>
      </c>
      <c r="D51" s="449">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4.2338994960474914E-3</v>
      </c>
      <c r="E51" s="449">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7.7591443716063955E-4</v>
      </c>
      <c r="F51" s="449">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49">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49">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1.0747381023001079E-2</v>
      </c>
      <c r="I51" s="449">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1.1287372263560557E-2</v>
      </c>
      <c r="J51" s="449"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49">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49">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0</v>
      </c>
      <c r="M51" s="449">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49">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1.096742447603152E-2</v>
      </c>
      <c r="O51" s="449">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49">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49">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49">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49">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1.7052938056161222E-2</v>
      </c>
      <c r="T51" s="449">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c r="A52" s="1400"/>
      <c r="B52" s="128" t="s">
        <v>266</v>
      </c>
      <c r="C52" s="389" t="s">
        <v>408</v>
      </c>
      <c r="D52" s="450">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6.5195126440924081E-2</v>
      </c>
      <c r="E52" s="450">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0.14320867404732002</v>
      </c>
      <c r="F52" s="450">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50">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50">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5.3018464175064887E-2</v>
      </c>
      <c r="I52" s="450">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4.721760440712452E-3</v>
      </c>
      <c r="J52" s="450">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6.079414601689781E-2</v>
      </c>
      <c r="K52" s="450">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1.3300277812423935E-2</v>
      </c>
      <c r="L52" s="450">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50">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1.4462417535547318E-2</v>
      </c>
      <c r="N52" s="450">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6.591370682564901E-2</v>
      </c>
      <c r="O52" s="450">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9.5844228113913771E-2</v>
      </c>
      <c r="P52" s="450">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1.2339111437080335E-2</v>
      </c>
      <c r="Q52" s="450">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1.5515820059176632E-2</v>
      </c>
      <c r="R52" s="450">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0.13564885806372634</v>
      </c>
      <c r="S52" s="450">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3.7242963156655012E-2</v>
      </c>
      <c r="T52" s="450">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0.1295797025922687</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c r="A53" s="1400"/>
      <c r="B53" s="128" t="s">
        <v>432</v>
      </c>
      <c r="C53" s="389" t="s">
        <v>429</v>
      </c>
      <c r="D53" s="448">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2.6081435429766413E-2</v>
      </c>
      <c r="E53" s="448">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48">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8.6208909495802455E-2</v>
      </c>
      <c r="G53" s="448">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48">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48">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4.7827690339999882E-2</v>
      </c>
      <c r="J53" s="448">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48">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9.6016735712547402E-2</v>
      </c>
      <c r="L53" s="448">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7.811051051843268E-2</v>
      </c>
      <c r="M53" s="448">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0.14131447585131898</v>
      </c>
      <c r="N53" s="448">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48">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48">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5.5990054076085274E-2</v>
      </c>
      <c r="Q53" s="448">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7.7881139674316507E-2</v>
      </c>
      <c r="R53" s="448">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48">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48">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3.6724716831065977E-2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c r="A54" s="1399"/>
      <c r="B54" s="129" t="s">
        <v>433</v>
      </c>
      <c r="C54" s="391" t="s">
        <v>430</v>
      </c>
      <c r="D54" s="446">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8.5728124659644068E-3</v>
      </c>
      <c r="E54" s="446">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3.7292111509337608E-3</v>
      </c>
      <c r="F54" s="446">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46">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46">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46">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1.8982898001409194E-2</v>
      </c>
      <c r="J54" s="446">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46">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46">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8.2229654543331046E-2</v>
      </c>
      <c r="M54" s="446">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46">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7.2384974380271579E-3</v>
      </c>
      <c r="O54" s="446">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46">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46">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4.0975752258113861E-3</v>
      </c>
      <c r="R54" s="446">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46">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8.4215198863793559E-3</v>
      </c>
      <c r="T54" s="446">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c r="A55" s="134"/>
      <c r="B55" s="132" t="s">
        <v>138</v>
      </c>
      <c r="C55" s="314"/>
      <c r="D55" s="337">
        <f t="shared" ref="D55:T55" si="6">SUM(D7,D15,D22,D26,D31,D32,D36,D52,D53,D54)</f>
        <v>0.99840796086261319</v>
      </c>
      <c r="E55" s="337">
        <f t="shared" si="6"/>
        <v>0.99955618361119347</v>
      </c>
      <c r="F55" s="337">
        <f t="shared" si="6"/>
        <v>0.99895957341638564</v>
      </c>
      <c r="G55" s="337">
        <f t="shared" si="6"/>
        <v>0.99928357146276792</v>
      </c>
      <c r="H55" s="337">
        <f t="shared" si="6"/>
        <v>0.99901469500538398</v>
      </c>
      <c r="I55" s="337">
        <f t="shared" si="6"/>
        <v>0.99949884756941332</v>
      </c>
      <c r="J55" s="337">
        <f t="shared" si="6"/>
        <v>0.99923086637033354</v>
      </c>
      <c r="K55" s="337">
        <f t="shared" si="6"/>
        <v>0.99957548859074785</v>
      </c>
      <c r="L55" s="337">
        <f t="shared" si="6"/>
        <v>0.99919814434649301</v>
      </c>
      <c r="M55" s="337">
        <f t="shared" si="6"/>
        <v>0.99843488568114314</v>
      </c>
      <c r="N55" s="337">
        <f t="shared" si="6"/>
        <v>0.99932125782385206</v>
      </c>
      <c r="O55" s="337">
        <f t="shared" si="6"/>
        <v>0.99994751583448105</v>
      </c>
      <c r="P55" s="337">
        <f t="shared" si="6"/>
        <v>0.99964794856451833</v>
      </c>
      <c r="Q55" s="337">
        <f t="shared" si="6"/>
        <v>0.99936999893634393</v>
      </c>
      <c r="R55" s="337">
        <f t="shared" si="6"/>
        <v>0.99985591754563097</v>
      </c>
      <c r="S55" s="337">
        <f t="shared" si="6"/>
        <v>0.99900305049565841</v>
      </c>
      <c r="T55" s="337">
        <f t="shared" si="6"/>
        <v>0.99939430928332051</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c r="A56" s="1394" t="s">
        <v>475</v>
      </c>
      <c r="B56" s="1395"/>
      <c r="C56" s="1395"/>
      <c r="D56" s="1395"/>
      <c r="E56" s="1395"/>
      <c r="F56" s="1395"/>
      <c r="G56" s="1395"/>
      <c r="H56" s="1395"/>
      <c r="I56" s="1395"/>
      <c r="J56" s="1395"/>
      <c r="K56" s="1395"/>
      <c r="L56" s="1395"/>
      <c r="M56" s="1395"/>
      <c r="N56" s="1395"/>
      <c r="O56" s="1395"/>
      <c r="P56" s="1395"/>
      <c r="Q56" s="1395"/>
      <c r="R56" s="1395"/>
      <c r="S56" s="1395"/>
      <c r="T56" s="1395"/>
    </row>
    <row r="57" spans="1:50" s="10" customFormat="1" ht="15" customHeight="1">
      <c r="A57" s="55" t="s">
        <v>122</v>
      </c>
      <c r="B57" s="133"/>
      <c r="C57" s="2"/>
      <c r="D57" s="2"/>
      <c r="E57" s="2"/>
      <c r="F57" s="2"/>
      <c r="G57" s="2"/>
      <c r="H57" s="1"/>
      <c r="I57" s="2"/>
      <c r="J57" s="2"/>
      <c r="K57" s="1"/>
      <c r="L57" s="1"/>
      <c r="M57" s="1"/>
      <c r="N57" s="2"/>
      <c r="O57" s="2"/>
      <c r="P57" s="2"/>
      <c r="Q57" s="2"/>
      <c r="R57" s="2"/>
      <c r="S57" s="2"/>
      <c r="T57" s="47"/>
    </row>
    <row r="58" spans="1:50" s="10" customFormat="1" ht="15" customHeight="1">
      <c r="A58" s="47" t="s">
        <v>0</v>
      </c>
      <c r="B58" s="133"/>
      <c r="C58" s="2"/>
      <c r="D58" s="2"/>
      <c r="E58" s="2"/>
      <c r="F58" s="2"/>
      <c r="G58" s="2"/>
      <c r="H58" s="1"/>
      <c r="I58" s="2"/>
      <c r="J58" s="2"/>
      <c r="K58" s="1"/>
      <c r="L58" s="1"/>
      <c r="M58" s="1"/>
      <c r="N58" s="2"/>
      <c r="O58" s="2"/>
      <c r="P58" s="2"/>
      <c r="Q58" s="2"/>
      <c r="R58" s="2"/>
      <c r="S58" s="2"/>
      <c r="T58" s="591" t="s">
        <v>2018</v>
      </c>
    </row>
    <row r="62" spans="1:50">
      <c r="F62" s="222"/>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sheetPr codeName="Sheet7" enableFormatConditionsCalculation="0">
    <tabColor indexed="16"/>
  </sheetPr>
  <dimension ref="A1:AJ36"/>
  <sheetViews>
    <sheetView showGridLines="0" view="pageBreakPreview" topLeftCell="K1" zoomScaleSheetLayoutView="100" workbookViewId="0">
      <selection activeCell="F11" sqref="F11"/>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4" width="11.125" style="4" customWidth="1"/>
    <col min="15" max="15" width="12.75" style="4" customWidth="1"/>
    <col min="16" max="16" width="13.125" style="24" customWidth="1"/>
    <col min="17" max="17" width="2.375" style="35" customWidth="1"/>
    <col min="18" max="18" width="13.125" style="7" customWidth="1"/>
    <col min="19" max="19" width="11.375" style="5" customWidth="1"/>
    <col min="20" max="20" width="10.5" style="4" customWidth="1"/>
    <col min="21" max="22" width="8.5" style="4" customWidth="1"/>
    <col min="23" max="23" width="9.125" style="4" customWidth="1"/>
    <col min="24" max="24" width="7.25" style="4" customWidth="1"/>
    <col min="25" max="25" width="6.5" style="4" bestFit="1" customWidth="1"/>
    <col min="26" max="26" width="6.5" style="4" customWidth="1"/>
    <col min="27" max="27" width="6.875" style="4" bestFit="1" customWidth="1"/>
    <col min="28" max="28" width="6.375" style="4" bestFit="1" customWidth="1"/>
    <col min="29" max="29" width="6.875" style="5" bestFit="1" customWidth="1"/>
    <col min="30" max="30" width="7" style="4" bestFit="1" customWidth="1"/>
    <col min="31" max="31" width="9.25" style="5" customWidth="1"/>
    <col min="32" max="32" width="9" style="5" customWidth="1"/>
    <col min="33" max="33" width="9.375" style="5" customWidth="1"/>
    <col min="34" max="35" width="6.875" style="5" customWidth="1"/>
    <col min="36" max="36" width="5.75" style="5" customWidth="1"/>
    <col min="37" max="16384" width="8.875" style="6"/>
  </cols>
  <sheetData>
    <row r="1" spans="1:36" s="142" customFormat="1" ht="18">
      <c r="A1" s="221"/>
      <c r="B1" s="141"/>
      <c r="P1" s="143"/>
      <c r="Q1" s="144"/>
      <c r="R1" s="1416" t="s">
        <v>528</v>
      </c>
      <c r="S1" s="1416"/>
      <c r="T1" s="1416"/>
      <c r="U1" s="1416"/>
      <c r="V1" s="1416"/>
      <c r="W1" s="1416"/>
      <c r="X1" s="1416"/>
      <c r="Y1" s="1416"/>
      <c r="Z1" s="1416"/>
      <c r="AA1" s="1416"/>
      <c r="AB1" s="1416"/>
      <c r="AC1" s="1416"/>
      <c r="AD1" s="1416"/>
      <c r="AE1" s="1416"/>
      <c r="AF1" s="1416"/>
      <c r="AG1" s="1416"/>
      <c r="AH1" s="141"/>
      <c r="AI1" s="141"/>
      <c r="AJ1" s="141"/>
    </row>
    <row r="2" spans="1:36" s="142" customFormat="1" ht="15.75">
      <c r="A2" s="221"/>
      <c r="B2" s="141"/>
      <c r="P2" s="143"/>
      <c r="Q2" s="144"/>
      <c r="R2" s="566"/>
      <c r="S2" s="566"/>
      <c r="T2" s="566"/>
      <c r="U2" s="566"/>
      <c r="V2" s="566"/>
      <c r="W2" s="566"/>
      <c r="X2" s="566"/>
      <c r="Y2" s="566"/>
      <c r="Z2" s="566"/>
      <c r="AA2" s="566"/>
      <c r="AB2" s="566"/>
      <c r="AC2" s="566"/>
      <c r="AD2" s="566"/>
      <c r="AE2" s="566"/>
      <c r="AF2" s="566"/>
      <c r="AG2" s="566"/>
      <c r="AH2" s="141"/>
      <c r="AI2" s="141"/>
      <c r="AJ2" s="141"/>
    </row>
    <row r="3" spans="1:36" s="142" customFormat="1" ht="18.75">
      <c r="A3" s="221" t="s">
        <v>445</v>
      </c>
      <c r="B3" s="141"/>
      <c r="P3" s="143"/>
      <c r="Q3" s="144"/>
      <c r="R3" s="1429" t="s">
        <v>41</v>
      </c>
      <c r="S3" s="1429"/>
      <c r="T3" s="1429"/>
      <c r="U3" s="1429"/>
      <c r="V3" s="1429"/>
      <c r="W3" s="1429"/>
      <c r="X3" s="1429"/>
      <c r="Y3" s="1429"/>
      <c r="Z3" s="1429"/>
      <c r="AA3" s="1429"/>
      <c r="AB3" s="1429"/>
      <c r="AC3" s="1429"/>
      <c r="AD3" s="1429"/>
      <c r="AE3" s="1429"/>
      <c r="AF3" s="1429"/>
      <c r="AG3" s="1429"/>
      <c r="AH3" s="141"/>
      <c r="AI3" s="141"/>
      <c r="AJ3" s="141"/>
    </row>
    <row r="4" spans="1:36" s="142" customFormat="1" ht="15.75">
      <c r="A4" s="221" t="s">
        <v>2019</v>
      </c>
      <c r="B4" s="140"/>
      <c r="C4" s="140"/>
      <c r="D4" s="140"/>
      <c r="E4" s="140"/>
      <c r="F4" s="147"/>
      <c r="G4" s="140"/>
      <c r="H4" s="140"/>
      <c r="I4" s="140"/>
      <c r="J4" s="140"/>
      <c r="K4" s="140"/>
      <c r="L4" s="140"/>
      <c r="M4" s="140"/>
      <c r="N4" s="140"/>
      <c r="O4" s="140"/>
      <c r="P4" s="145"/>
      <c r="Q4" s="146"/>
      <c r="R4" s="1429" t="s">
        <v>1994</v>
      </c>
      <c r="S4" s="1429"/>
      <c r="T4" s="1429"/>
      <c r="U4" s="1429"/>
      <c r="V4" s="1429"/>
      <c r="W4" s="1429"/>
      <c r="X4" s="1429"/>
      <c r="Y4" s="1429"/>
      <c r="Z4" s="1429"/>
      <c r="AA4" s="1429"/>
      <c r="AB4" s="1429"/>
      <c r="AC4" s="1429"/>
      <c r="AD4" s="1429"/>
      <c r="AE4" s="1429"/>
      <c r="AF4" s="1429"/>
      <c r="AG4" s="1429"/>
      <c r="AH4" s="140"/>
      <c r="AI4" s="140"/>
      <c r="AJ4" s="140"/>
    </row>
    <row r="5" spans="1:36" s="142" customFormat="1" ht="15.75">
      <c r="A5" s="221"/>
      <c r="B5" s="566"/>
      <c r="C5" s="566"/>
      <c r="D5" s="566"/>
      <c r="E5" s="566"/>
      <c r="F5" s="147"/>
      <c r="G5" s="566"/>
      <c r="H5" s="566"/>
      <c r="I5" s="566"/>
      <c r="J5" s="566"/>
      <c r="K5" s="566"/>
      <c r="L5" s="566"/>
      <c r="M5" s="566"/>
      <c r="N5" s="566"/>
      <c r="O5" s="566"/>
      <c r="P5" s="145"/>
      <c r="Q5" s="146"/>
      <c r="R5" s="566"/>
      <c r="S5" s="566"/>
      <c r="T5" s="566"/>
      <c r="U5" s="566"/>
      <c r="V5" s="566"/>
      <c r="W5" s="566"/>
      <c r="X5" s="566"/>
      <c r="Y5" s="566"/>
      <c r="Z5" s="566"/>
      <c r="AA5" s="566"/>
      <c r="AB5" s="566"/>
      <c r="AC5" s="566"/>
      <c r="AD5" s="566"/>
      <c r="AE5" s="566"/>
      <c r="AF5" s="566"/>
      <c r="AG5" s="566"/>
      <c r="AH5" s="566"/>
      <c r="AI5" s="566"/>
      <c r="AJ5" s="566"/>
    </row>
    <row r="6" spans="1:36" s="61" customFormat="1" ht="15.75">
      <c r="A6" s="151"/>
      <c r="B6" s="152" t="s">
        <v>11</v>
      </c>
      <c r="C6" s="153"/>
      <c r="D6" s="153"/>
      <c r="E6" s="153"/>
      <c r="F6" s="154"/>
      <c r="G6" s="153"/>
      <c r="H6" s="154"/>
      <c r="I6" s="155" t="s">
        <v>131</v>
      </c>
      <c r="J6" s="152" t="s">
        <v>132</v>
      </c>
      <c r="K6" s="152"/>
      <c r="L6" s="152"/>
      <c r="M6" s="152"/>
      <c r="N6" s="152"/>
      <c r="O6" s="156"/>
      <c r="P6" s="157" t="s">
        <v>131</v>
      </c>
      <c r="Q6" s="158"/>
      <c r="R6" s="151" t="s">
        <v>131</v>
      </c>
      <c r="S6" s="592" t="s">
        <v>61</v>
      </c>
      <c r="T6" s="593"/>
      <c r="U6" s="593"/>
      <c r="V6" s="593"/>
      <c r="W6" s="594"/>
      <c r="X6" s="594"/>
      <c r="Y6" s="594"/>
      <c r="Z6" s="595" t="s">
        <v>131</v>
      </c>
      <c r="AA6" s="592" t="s">
        <v>170</v>
      </c>
      <c r="AB6" s="592"/>
      <c r="AC6" s="592"/>
      <c r="AD6" s="592"/>
      <c r="AE6" s="592"/>
      <c r="AF6" s="596"/>
      <c r="AG6" s="597" t="s">
        <v>131</v>
      </c>
    </row>
    <row r="7" spans="1:36" ht="70.5" customHeight="1">
      <c r="A7" s="17"/>
      <c r="B7" s="1410" t="s">
        <v>299</v>
      </c>
      <c r="C7" s="1414" t="s">
        <v>44</v>
      </c>
      <c r="D7" s="40"/>
      <c r="E7" s="40"/>
      <c r="F7" s="40"/>
      <c r="G7" s="23"/>
      <c r="H7" s="22"/>
      <c r="I7" s="36"/>
      <c r="J7" s="38" t="s">
        <v>298</v>
      </c>
      <c r="K7" s="39"/>
      <c r="L7" s="38" t="s">
        <v>294</v>
      </c>
      <c r="M7" s="39"/>
      <c r="N7" s="49"/>
      <c r="O7" s="21" t="s">
        <v>131</v>
      </c>
      <c r="P7" s="37" t="s">
        <v>131</v>
      </c>
      <c r="Q7" s="30"/>
      <c r="R7" s="17"/>
      <c r="S7" s="1427" t="s">
        <v>47</v>
      </c>
      <c r="T7" s="1407" t="s">
        <v>79</v>
      </c>
      <c r="U7" s="1407" t="s">
        <v>45</v>
      </c>
      <c r="V7" s="1407" t="s">
        <v>48</v>
      </c>
      <c r="W7" s="1407" t="s">
        <v>49</v>
      </c>
      <c r="X7" s="1407" t="s">
        <v>567</v>
      </c>
      <c r="Y7" s="1419" t="s">
        <v>76</v>
      </c>
      <c r="Z7" s="1421" t="s">
        <v>144</v>
      </c>
      <c r="AA7" s="1417" t="s">
        <v>242</v>
      </c>
      <c r="AB7" s="1418"/>
      <c r="AC7" s="1417" t="s">
        <v>333</v>
      </c>
      <c r="AD7" s="1418"/>
      <c r="AE7" s="1407" t="s">
        <v>46</v>
      </c>
      <c r="AF7" s="1423" t="s">
        <v>568</v>
      </c>
      <c r="AG7" s="1425" t="s">
        <v>569</v>
      </c>
      <c r="AH7" s="6"/>
      <c r="AI7" s="6"/>
      <c r="AJ7" s="6"/>
    </row>
    <row r="8" spans="1:36" s="4" customFormat="1" ht="70.5" customHeight="1">
      <c r="A8" s="77"/>
      <c r="B8" s="1411"/>
      <c r="C8" s="1415"/>
      <c r="D8" s="19" t="s">
        <v>45</v>
      </c>
      <c r="E8" s="19" t="s">
        <v>294</v>
      </c>
      <c r="F8" s="19" t="s">
        <v>46</v>
      </c>
      <c r="G8" s="19" t="s">
        <v>446</v>
      </c>
      <c r="H8" s="19" t="s">
        <v>448</v>
      </c>
      <c r="I8" s="78" t="s">
        <v>127</v>
      </c>
      <c r="J8" s="19" t="s">
        <v>293</v>
      </c>
      <c r="K8" s="20" t="s">
        <v>24</v>
      </c>
      <c r="L8" s="19" t="s">
        <v>293</v>
      </c>
      <c r="M8" s="20" t="s">
        <v>24</v>
      </c>
      <c r="N8" s="20" t="s">
        <v>447</v>
      </c>
      <c r="O8" s="20" t="s">
        <v>225</v>
      </c>
      <c r="P8" s="19" t="s">
        <v>228</v>
      </c>
      <c r="Q8" s="31"/>
      <c r="R8" s="77"/>
      <c r="S8" s="1428"/>
      <c r="T8" s="1409"/>
      <c r="U8" s="1409"/>
      <c r="V8" s="1408"/>
      <c r="W8" s="1409"/>
      <c r="X8" s="1409"/>
      <c r="Y8" s="1420"/>
      <c r="Z8" s="1422"/>
      <c r="AA8" s="598" t="s">
        <v>293</v>
      </c>
      <c r="AB8" s="599" t="s">
        <v>24</v>
      </c>
      <c r="AC8" s="598" t="s">
        <v>293</v>
      </c>
      <c r="AD8" s="599" t="s">
        <v>24</v>
      </c>
      <c r="AE8" s="1409"/>
      <c r="AF8" s="1424"/>
      <c r="AG8" s="1426"/>
    </row>
    <row r="9" spans="1:36" s="61" customFormat="1" ht="15" customHeight="1">
      <c r="A9" s="73" t="s">
        <v>218</v>
      </c>
      <c r="B9" s="147">
        <f>+GETPIVOTDATA("Sum of State Gen Purp-New",'Amounts Pivot Table'!$A$3,"category2","Four-Year")+GETPIVOTDATA("Sum of State Gen Purp-New",'Amounts Pivot Table'!$A$3,"category2","Two-Year")+GETPIVOTDATA("Sum of State Gen Purp-New",'Amounts Pivot Table'!$A$3,"category2","Technical")</f>
        <v>19655270463.634327</v>
      </c>
      <c r="C9" s="147">
        <f>+GETPIVOTDATA("Sum of State Ed Spec Purp-New",'Amounts Pivot Table'!$A$3,"category2","Four-Year")+GETPIVOTDATA("Sum of State Ed Spec Purp-New",'Amounts Pivot Table'!$A$3,"category2","Two-Year")+GETPIVOTDATA("Sum of State Ed Spec Purp-New",'Amounts Pivot Table'!$A$3,"category2","Technical")</f>
        <v>1562231285</v>
      </c>
      <c r="D9" s="147">
        <f>+GETPIVOTDATA("Sum of State Ed Spec Purp-New",'Amounts Pivot Table'!$A$3,"category2","Other")</f>
        <v>393577304</v>
      </c>
      <c r="E9" s="147">
        <f>+GETPIVOTDATA("Sum of Other Spec Purp State-New",'Amounts Pivot Table'!$A$3,"category2","Specialized")</f>
        <v>105249400.36774293</v>
      </c>
      <c r="F9" s="147">
        <f>+GETPIVOTDATA("Sum of Health State-New",'Amounts Pivot Table'!$A$3)</f>
        <v>3834575530.7045021</v>
      </c>
      <c r="G9" s="147">
        <f>+GETPIVOTDATA("Sum of Other Spec Purp State-New",'Amounts Pivot Table'!$A$3)</f>
        <v>4362139452.3677425</v>
      </c>
      <c r="H9" s="147">
        <f>SUM(B9:G9)</f>
        <v>29913043436.074318</v>
      </c>
      <c r="I9" s="147">
        <f>+GETPIVOTDATA("Sum of Local-New",'Amounts Pivot Table'!$A$3)</f>
        <v>2096404017</v>
      </c>
      <c r="J9" s="147">
        <f>+GETPIVOTDATA("Sum of Tuition Tot-New",'Amounts Pivot Table'!$A$3,"category2","Four-Year")+GETPIVOTDATA("Sum of Tuition Tot-New",'Amounts Pivot Table'!$A$3,"category2","Two-Year")+GETPIVOTDATA("Sum of Tuition Tot-New",'Amounts Pivot Table'!$A$3,"category2","Technical")</f>
        <v>23159484344.563152</v>
      </c>
      <c r="K9" s="147">
        <f>+GETPIVOTDATA("Sum of Tuition Debt-New",'Amounts Pivot Table'!$A$3,"category2","Four-Year")+GETPIVOTDATA("Sum of Tuition Debt-New",'Amounts Pivot Table'!$A$3,"category2","Two-Year")+GETPIVOTDATA("Sum of Tuition Debt-New",'Amounts Pivot Table'!$A$3,"category2","Technical")</f>
        <v>285468420</v>
      </c>
      <c r="L9" s="147">
        <f>+GETPIVOTDATA("Sum of Tuition SP Tot-New",'Amounts Pivot Table'!$A$3,"category2","Specialized")</f>
        <v>306705198</v>
      </c>
      <c r="M9" s="147">
        <f>+GETPIVOTDATA("Sum of Tuition SP Debt-New",'Amounts Pivot Table'!$A$3,"category2","Specialized")</f>
        <v>597523</v>
      </c>
      <c r="N9" s="147">
        <f>+GETPIVOTDATA("Sum of Health Tuition-New",'Amounts Pivot Table'!$A$3)</f>
        <v>1098333516</v>
      </c>
      <c r="O9" s="147">
        <f>+J9+L9+N9-K9-M9</f>
        <v>24278457115.563152</v>
      </c>
      <c r="P9" s="147">
        <f>O9+H9+I9</f>
        <v>56287904568.637466</v>
      </c>
      <c r="Q9" s="148"/>
      <c r="R9" s="427" t="s">
        <v>218</v>
      </c>
      <c r="S9" s="600">
        <f t="shared" ref="S9:S29" si="0">IF(B9/$P9=0,,IF(B9/$P9&gt;0.0005,B9/$P9,"*"))</f>
        <v>0.34919172447904312</v>
      </c>
      <c r="T9" s="600">
        <f t="shared" ref="T9:T29" si="1">IF(C9/$P9=0,,IF(C9/$P9&gt;0.0005,C9/$P9,"*"))</f>
        <v>2.7754298138688308E-2</v>
      </c>
      <c r="U9" s="600">
        <f t="shared" ref="U9:U29" si="2">IF(D9/$P9=0,,IF(D9/$P9&gt;0.0005,D9/$P9,"*"))</f>
        <v>6.9922180798198284E-3</v>
      </c>
      <c r="V9" s="600">
        <f t="shared" ref="V9:V29" si="3">IF(E9/$P9=0,,IF(E9/$P9&gt;0.0005,E9/$P9,"*"))</f>
        <v>1.8698404421753135E-3</v>
      </c>
      <c r="W9" s="600">
        <f t="shared" ref="W9:W29" si="4">IF(F9/$P9=0,,IF(F9/$P9&gt;0.0005,F9/$P9,"*"))</f>
        <v>6.8124325467270166E-2</v>
      </c>
      <c r="X9" s="600">
        <f t="shared" ref="X9:X29" si="5">IF(G9/$P9=0,,IF(G9/$P9&gt;0.0005,G9/$P9,"*"))</f>
        <v>7.7496923820437297E-2</v>
      </c>
      <c r="Y9" s="601">
        <f>SUM(S9:X9)</f>
        <v>0.53142933042743401</v>
      </c>
      <c r="Z9" s="600">
        <f t="shared" ref="Z9:AC24" si="6">IF(I9/$P9=0,,IF(I9/$P9&gt;0.0005,I9/$P9,"*"))</f>
        <v>3.7244307335044691E-2</v>
      </c>
      <c r="AA9" s="600">
        <f t="shared" si="6"/>
        <v>0.41144690892378982</v>
      </c>
      <c r="AB9" s="600">
        <f t="shared" si="6"/>
        <v>5.0715766058034694E-3</v>
      </c>
      <c r="AC9" s="600">
        <f t="shared" si="6"/>
        <v>5.4488650865658662E-3</v>
      </c>
      <c r="AD9" s="600" t="str">
        <f>IF(M9/$P9=0,,IF(M9/$P9&gt;0.0005,M9/$P9,"*"))</f>
        <v>*</v>
      </c>
      <c r="AE9" s="600">
        <f>IF(N9/$P9=0,,IF(N9/$P9&gt;0.0005,N9/$P9,"*"))</f>
        <v>1.9512780310744951E-2</v>
      </c>
      <c r="AF9" s="331">
        <f>J9/$P9-K9/$P9+L9/$P9-M9/$P9+N9/$P9</f>
        <v>0.4313263622375213</v>
      </c>
      <c r="AG9" s="602">
        <f>Y9+I9/$P9+AF9</f>
        <v>1</v>
      </c>
    </row>
    <row r="10" spans="1:36" s="66" customFormat="1" ht="9.75" customHeight="1">
      <c r="A10" s="63"/>
      <c r="B10" s="64"/>
      <c r="C10" s="64"/>
      <c r="D10" s="64"/>
      <c r="E10" s="64"/>
      <c r="F10" s="64"/>
      <c r="G10" s="64"/>
      <c r="H10" s="64"/>
      <c r="I10" s="64"/>
      <c r="J10" s="64"/>
      <c r="K10" s="64"/>
      <c r="L10" s="64"/>
      <c r="M10" s="64"/>
      <c r="N10" s="64"/>
      <c r="O10" s="64"/>
      <c r="P10" s="64"/>
      <c r="Q10" s="65"/>
      <c r="R10" s="394"/>
      <c r="S10" s="600"/>
      <c r="T10" s="600"/>
      <c r="U10" s="600"/>
      <c r="V10" s="600"/>
      <c r="W10" s="600"/>
      <c r="X10" s="600"/>
      <c r="Y10" s="601"/>
      <c r="Z10" s="600"/>
      <c r="AA10" s="600"/>
      <c r="AB10" s="600"/>
      <c r="AC10" s="600"/>
      <c r="AD10" s="600"/>
      <c r="AE10" s="600"/>
      <c r="AF10" s="332"/>
      <c r="AG10" s="602"/>
    </row>
    <row r="11" spans="1:36" ht="12" customHeight="1">
      <c r="A11" s="7" t="s">
        <v>452</v>
      </c>
      <c r="B11" s="29">
        <f>+GETPIVOTDATA("Sum of State Gen Purp-New",'Amounts Pivot Table'!$A$3,"state","AL","category2","Four-Year")+GETPIVOTDATA("Sum of State Gen Purp-New",'Amounts Pivot Table'!$A$3,"state","AL","category2","Two-Year")+GETPIVOTDATA("Sum of State Gen Purp-New",'Amounts Pivot Table'!$A$3,"state","AL","category2","Technical")</f>
        <v>883580083</v>
      </c>
      <c r="C11" s="29">
        <f>+GETPIVOTDATA("Sum of State Ed Spec Purp-New",'Amounts Pivot Table'!$A$3,"state","AL","category2","Four-Year")+GETPIVOTDATA("Sum of State Ed Spec Purp-New",'Amounts Pivot Table'!$A$3,"state","AL","category2","Two-Year")+GETPIVOTDATA("Sum of State Ed Spec Purp-New",'Amounts Pivot Table'!$A$3,"state","AL","category2","Technical")</f>
        <v>95605462</v>
      </c>
      <c r="D11" s="29">
        <f>+GETPIVOTDATA("Sum of State Ed Spec Purp-New",'Amounts Pivot Table'!$A$3,"state","AL","category2","Other")</f>
        <v>67433955</v>
      </c>
      <c r="E11" s="29">
        <f>+GETPIVOTDATA("Sum of Other Spec Purp State-New",'Amounts Pivot Table'!$A$3,"state","AL","category2","Specialized")</f>
        <v>5875192</v>
      </c>
      <c r="F11" s="29">
        <f>+GETPIVOTDATA("Sum of Health State-New",'Amounts Pivot Table'!$A$3,"state","AL")</f>
        <v>305929921</v>
      </c>
      <c r="G11" s="29">
        <f>+GETPIVOTDATA("Sum of Other Spec Purp State-New",'Amounts Pivot Table'!$A$3,"state","AL")</f>
        <v>72619069</v>
      </c>
      <c r="H11" s="29">
        <f>SUM(B11:G11)</f>
        <v>1431043682</v>
      </c>
      <c r="I11" s="29">
        <f>+GETPIVOTDATA("Sum of Local-New",'Amounts Pivot Table'!$A$3,"state","AL")</f>
        <v>1522444</v>
      </c>
      <c r="J11" s="29">
        <f>+GETPIVOTDATA("Sum of Tuition Tot-New",'Amounts Pivot Table'!$A$3,"state","AL","category2","Four-Year")+GETPIVOTDATA("Sum of Tuition Tot-New",'Amounts Pivot Table'!$A$3,"state","AL","category2","Two-Year")+GETPIVOTDATA("Sum of Tuition Tot-New",'Amounts Pivot Table'!$A$3,"state","AL","category2","Technical")</f>
        <v>1448450947</v>
      </c>
      <c r="K11" s="29">
        <f>+GETPIVOTDATA("Sum of Tuition Debt-New",'Amounts Pivot Table'!$A$3,"state","AL","category2","Four-Year")+GETPIVOTDATA("Sum of Tuition Debt-New",'Amounts Pivot Table'!$A$3,"state","AL","category2","Two-Year")+GETPIVOTDATA("Sum of Tuition Debt-New",'Amounts Pivot Table'!$A$3,"state","AL","category2","Technical")</f>
        <v>97597538</v>
      </c>
      <c r="L11" s="29">
        <f>+GETPIVOTDATA("Sum of Tuition SP Tot-New",'Amounts Pivot Table'!$A$3,"state","AL","category2","Specialized")</f>
        <v>4387310</v>
      </c>
      <c r="M11" s="29">
        <f>+GETPIVOTDATA("Sum of Tuition SP Debt-New",'Amounts Pivot Table'!$A$3,"state","AL","category2","Specialized")</f>
        <v>179300</v>
      </c>
      <c r="N11" s="29">
        <f>+GETPIVOTDATA("Sum of Health Tuition-New",'Amounts Pivot Table'!$A$3,"state","AL")</f>
        <v>105680163</v>
      </c>
      <c r="O11" s="29">
        <f>+J11+L11+N11-K11-M11</f>
        <v>1460741582</v>
      </c>
      <c r="P11" s="29">
        <f>O11+H11+I11</f>
        <v>2893307708</v>
      </c>
      <c r="Q11" s="33"/>
      <c r="R11" s="394" t="s">
        <v>452</v>
      </c>
      <c r="S11" s="600">
        <f t="shared" si="0"/>
        <v>0.30538752603357733</v>
      </c>
      <c r="T11" s="600">
        <f t="shared" si="1"/>
        <v>3.304365509954256E-2</v>
      </c>
      <c r="U11" s="600">
        <f t="shared" si="2"/>
        <v>2.330687289621668E-2</v>
      </c>
      <c r="V11" s="600">
        <f t="shared" si="3"/>
        <v>2.0306142978692124E-3</v>
      </c>
      <c r="W11" s="600">
        <f t="shared" si="4"/>
        <v>0.10573708429079401</v>
      </c>
      <c r="X11" s="600">
        <f t="shared" si="5"/>
        <v>2.5098978860495263E-2</v>
      </c>
      <c r="Y11" s="601">
        <f t="shared" ref="Y11:Y29" si="7">SUM(S11:X11)</f>
        <v>0.49460473147849504</v>
      </c>
      <c r="Z11" s="600">
        <f t="shared" si="6"/>
        <v>5.2619498292229348E-4</v>
      </c>
      <c r="AA11" s="600">
        <f t="shared" si="6"/>
        <v>0.50062112059323349</v>
      </c>
      <c r="AB11" s="600">
        <f t="shared" si="6"/>
        <v>3.3732166727425038E-2</v>
      </c>
      <c r="AC11" s="600">
        <f t="shared" si="6"/>
        <v>1.5163648124494611E-3</v>
      </c>
      <c r="AD11" s="600" t="str">
        <f t="shared" ref="AD11:AE29" si="8">IF(M11/$P11=0,,IF(M11/$P11&gt;0.0005,M11/$P11,"*"))</f>
        <v>*</v>
      </c>
      <c r="AE11" s="600">
        <f t="shared" si="8"/>
        <v>3.6525725455261532E-2</v>
      </c>
      <c r="AF11" s="332">
        <f t="shared" ref="AF11:AF29" si="9">J11/$P11-K11/$P11+L11/$P11-M11/$P11+N11/$P11</f>
        <v>0.50486907353858268</v>
      </c>
      <c r="AG11" s="602">
        <f t="shared" ref="AG11:AG29" si="10">Y11+I11/$P11+AF11</f>
        <v>1</v>
      </c>
      <c r="AH11" s="6"/>
      <c r="AI11" s="6"/>
      <c r="AJ11" s="6"/>
    </row>
    <row r="12" spans="1:36" ht="12" customHeight="1">
      <c r="A12" s="7" t="s">
        <v>466</v>
      </c>
      <c r="B12" s="29">
        <f>+GETPIVOTDATA("Sum of State Gen Purp-New",'Amounts Pivot Table'!$A$3,"state","AR","category2","Four-Year")+GETPIVOTDATA("Sum of State Gen Purp-New",'Amounts Pivot Table'!$A$3,"state","AR","category2","Two-Year")+GETPIVOTDATA("Sum of State Gen Purp-New",'Amounts Pivot Table'!$A$3,"state","AR","category2","Technical")</f>
        <v>596455339</v>
      </c>
      <c r="C12" s="29">
        <f>+GETPIVOTDATA("Sum of State Ed Spec Purp-New",'Amounts Pivot Table'!$A$3,"state","AR","category2","Four-Year")+GETPIVOTDATA("Sum of State Ed Spec Purp-New",'Amounts Pivot Table'!$A$3,"state","AR","category2","Two-Year")+GETPIVOTDATA("Sum of State Ed Spec Purp-New",'Amounts Pivot Table'!$A$3,"state","AR","category2","Technical")</f>
        <v>95324245</v>
      </c>
      <c r="D12" s="29">
        <f>+GETPIVOTDATA("Sum of State Ed Spec Purp-New",'Amounts Pivot Table'!$A$3,"state","AR","category2","Other")</f>
        <v>390000</v>
      </c>
      <c r="E12" s="29">
        <f>+GETPIVOTDATA("Sum of Other Spec Purp State-New",'Amounts Pivot Table'!$A$3,"state","AR","category2","Specialized")</f>
        <v>0</v>
      </c>
      <c r="F12" s="29">
        <f>+GETPIVOTDATA("Sum of Health State-New",'Amounts Pivot Table'!$A$3,"state","AR")</f>
        <v>112265445</v>
      </c>
      <c r="G12" s="29">
        <f>+GETPIVOTDATA("Sum of Other Spec Purp State-New",'Amounts Pivot Table'!$A$3,"state","AR")</f>
        <v>214285903</v>
      </c>
      <c r="H12" s="29">
        <f t="shared" ref="H12:H29" si="11">SUM(B12:G12)</f>
        <v>1018720932</v>
      </c>
      <c r="I12" s="29">
        <f>+GETPIVOTDATA("Sum of Local-New",'Amounts Pivot Table'!$A$3,"state","AR")</f>
        <v>20745000</v>
      </c>
      <c r="J12" s="29">
        <f>+GETPIVOTDATA("Sum of Tuition Tot-New",'Amounts Pivot Table'!$A$3,"state","AR","category2","Four-Year")+GETPIVOTDATA("Sum of Tuition Tot-New",'Amounts Pivot Table'!$A$3,"state","AR","category2","Two-Year")+GETPIVOTDATA("Sum of Tuition Tot-New",'Amounts Pivot Table'!$A$3,"state","AR","category2","Technical")</f>
        <v>571642970</v>
      </c>
      <c r="K12" s="29">
        <f>+GETPIVOTDATA("Sum of Tuition Debt-New",'Amounts Pivot Table'!$A$3,"state","AR","category2","Four-Year")+GETPIVOTDATA("Sum of Tuition Debt-New",'Amounts Pivot Table'!$A$3,"state","AR","category2","Two-Year")+GETPIVOTDATA("Sum of Tuition Debt-New",'Amounts Pivot Table'!$A$3,"state","AR","category2","Technical")</f>
        <v>0</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0</v>
      </c>
      <c r="O12" s="29">
        <f t="shared" ref="O12:O29" si="12">+J12+L12+N12-K12-M12</f>
        <v>571642970</v>
      </c>
      <c r="P12" s="29">
        <f t="shared" ref="P12:P29" si="13">O12+H12+I12</f>
        <v>1611108902</v>
      </c>
      <c r="Q12" s="32"/>
      <c r="R12" s="394" t="s">
        <v>466</v>
      </c>
      <c r="S12" s="600">
        <f t="shared" si="0"/>
        <v>0.37021416631710724</v>
      </c>
      <c r="T12" s="600">
        <f t="shared" si="1"/>
        <v>5.9166853886578552E-2</v>
      </c>
      <c r="U12" s="600" t="str">
        <f t="shared" si="2"/>
        <v>*</v>
      </c>
      <c r="V12" s="600">
        <f t="shared" si="3"/>
        <v>0</v>
      </c>
      <c r="W12" s="600">
        <f t="shared" si="4"/>
        <v>6.9682095890995208E-2</v>
      </c>
      <c r="X12" s="600">
        <f t="shared" si="5"/>
        <v>0.13300522561447556</v>
      </c>
      <c r="Y12" s="601">
        <f t="shared" si="7"/>
        <v>0.6320683417091566</v>
      </c>
      <c r="Z12" s="600">
        <f t="shared" si="6"/>
        <v>1.2876224552075623E-2</v>
      </c>
      <c r="AA12" s="600">
        <f t="shared" si="6"/>
        <v>0.35481336444133182</v>
      </c>
      <c r="AB12" s="600">
        <f t="shared" si="6"/>
        <v>0</v>
      </c>
      <c r="AC12" s="600">
        <f t="shared" si="6"/>
        <v>0</v>
      </c>
      <c r="AD12" s="600">
        <f t="shared" si="8"/>
        <v>0</v>
      </c>
      <c r="AE12" s="600">
        <f t="shared" si="8"/>
        <v>0</v>
      </c>
      <c r="AF12" s="332">
        <f t="shared" si="9"/>
        <v>0.35481336444133182</v>
      </c>
      <c r="AG12" s="602">
        <f t="shared" si="10"/>
        <v>0.99975793070256402</v>
      </c>
      <c r="AH12" s="6"/>
      <c r="AI12" s="6"/>
      <c r="AJ12" s="6"/>
    </row>
    <row r="13" spans="1:36" ht="12" customHeight="1">
      <c r="A13" s="7" t="s">
        <v>453</v>
      </c>
      <c r="B13" s="29">
        <f>+GETPIVOTDATA("Sum of State Gen Purp-New",'Amounts Pivot Table'!$A$3,"state","DE","category2","Four-Year")+GETPIVOTDATA("Sum of State Gen Purp-New",'Amounts Pivot Table'!$A$3,"state","DE","category2","Two-Year")+GETPIVOTDATA("Sum of State Gen Purp-New",'Amounts Pivot Table'!$A$3,"state","DE","category2","Technical")</f>
        <v>204206300</v>
      </c>
      <c r="C13" s="29">
        <f>+GETPIVOTDATA("Sum of State Ed Spec Purp-New",'Amounts Pivot Table'!$A$3,"state","DE","category2","Four-Year")+GETPIVOTDATA("Sum of State Ed Spec Purp-New",'Amounts Pivot Table'!$A$3,"state","DE","category2","Two-Year")+GETPIVOTDATA("Sum of State Ed Spec Purp-New",'Amounts Pivot Table'!$A$3,"state","DE","category2","Technical")</f>
        <v>9113400</v>
      </c>
      <c r="D13" s="29">
        <f>+GETPIVOTDATA("Sum of State Ed Spec Purp-New",'Amounts Pivot Table'!$A$3,"state","DE","category2","Other")</f>
        <v>2242100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15781994</v>
      </c>
      <c r="H13" s="29">
        <f t="shared" si="11"/>
        <v>231343794</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490499504</v>
      </c>
      <c r="K13" s="29">
        <f>+GETPIVOTDATA("Sum of Tuition Debt-New",'Amounts Pivot Table'!$A$3,"state","DE","category2","Four-Year")+GETPIVOTDATA("Sum of Tuition Debt-New",'Amounts Pivot Table'!$A$3,"state","DE","category2","Two-Year")+GETPIVOTDATA("Sum of Tuition Debt-New",'Amounts Pivot Table'!$A$3,"state","DE","category2","Technical")</f>
        <v>3344800</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29">
        <f t="shared" si="12"/>
        <v>487154704</v>
      </c>
      <c r="P13" s="29">
        <f t="shared" si="13"/>
        <v>718498498</v>
      </c>
      <c r="Q13" s="32"/>
      <c r="R13" s="394" t="s">
        <v>453</v>
      </c>
      <c r="S13" s="600">
        <f t="shared" si="0"/>
        <v>0.28421256351742574</v>
      </c>
      <c r="T13" s="600">
        <f t="shared" si="1"/>
        <v>1.2683951358796021E-2</v>
      </c>
      <c r="U13" s="600">
        <f t="shared" si="2"/>
        <v>3.1205354029842382E-3</v>
      </c>
      <c r="V13" s="600">
        <f t="shared" si="3"/>
        <v>0</v>
      </c>
      <c r="W13" s="600">
        <f t="shared" si="4"/>
        <v>0</v>
      </c>
      <c r="X13" s="600">
        <f t="shared" si="5"/>
        <v>2.1965242855664258E-2</v>
      </c>
      <c r="Y13" s="601">
        <f t="shared" si="7"/>
        <v>0.32198229313487026</v>
      </c>
      <c r="Z13" s="600">
        <f t="shared" si="6"/>
        <v>0</v>
      </c>
      <c r="AA13" s="600">
        <f t="shared" si="6"/>
        <v>0.68267297059819321</v>
      </c>
      <c r="AB13" s="600">
        <f t="shared" si="6"/>
        <v>4.6552637330635029E-3</v>
      </c>
      <c r="AC13" s="600">
        <f t="shared" si="6"/>
        <v>0</v>
      </c>
      <c r="AD13" s="600">
        <f t="shared" si="8"/>
        <v>0</v>
      </c>
      <c r="AE13" s="600">
        <f t="shared" si="8"/>
        <v>0</v>
      </c>
      <c r="AF13" s="332">
        <f t="shared" si="9"/>
        <v>0.67801770686512974</v>
      </c>
      <c r="AG13" s="602">
        <f t="shared" si="10"/>
        <v>1</v>
      </c>
      <c r="AH13" s="6"/>
      <c r="AI13" s="6"/>
      <c r="AJ13" s="6"/>
    </row>
    <row r="14" spans="1:36" ht="12" customHeight="1">
      <c r="A14" s="7" t="s">
        <v>460</v>
      </c>
      <c r="B14" s="29">
        <f>+GETPIVOTDATA("Sum of State Gen Purp-New",'Amounts Pivot Table'!$A$3,"state","FL","category2","Four-Year")+GETPIVOTDATA("Sum of State Gen Purp-New",'Amounts Pivot Table'!$A$3,"state","FL","category2","Two-Year")+GETPIVOTDATA("Sum of State Gen Purp-New",'Amounts Pivot Table'!$A$3,"state","FL","category2","Technical")</f>
        <v>2767996680</v>
      </c>
      <c r="C14" s="29">
        <f>+GETPIVOTDATA("Sum of State Ed Spec Purp-New",'Amounts Pivot Table'!$A$3,"state","FL","category2","Four-Year")+GETPIVOTDATA("Sum of State Ed Spec Purp-New",'Amounts Pivot Table'!$A$3,"state","FL","category2","Two-Year")+GETPIVOTDATA("Sum of State Ed Spec Purp-New",'Amounts Pivot Table'!$A$3,"state","FL","category2","Technical")</f>
        <v>201937711</v>
      </c>
      <c r="D14" s="29">
        <f>+GETPIVOTDATA("Sum of State Ed Spec Purp-New",'Amounts Pivot Table'!$A$3,"state","FL","category2","Other")</f>
        <v>10403693</v>
      </c>
      <c r="E14" s="29">
        <f>+GETPIVOTDATA("Sum of Other Spec Purp State-New",'Amounts Pivot Table'!$A$3,"state","FL","category2","Specialized")</f>
        <v>0</v>
      </c>
      <c r="F14" s="29">
        <f>+GETPIVOTDATA("Sum of Health State-New",'Amounts Pivot Table'!$A$3,"state","FL")</f>
        <v>251931636</v>
      </c>
      <c r="G14" s="29">
        <f>+GETPIVOTDATA("Sum of Other Spec Purp State-New",'Amounts Pivot Table'!$A$3,"state","FL")</f>
        <v>559596951</v>
      </c>
      <c r="H14" s="29">
        <f t="shared" si="11"/>
        <v>3791866671</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2060205287.8831515</v>
      </c>
      <c r="K14" s="29">
        <f>+GETPIVOTDATA("Sum of Tuition Debt-New",'Amounts Pivot Table'!$A$3,"state","FL","category2","Four-Year")+GETPIVOTDATA("Sum of Tuition Debt-New",'Amounts Pivot Table'!$A$3,"state","FL","category2","Two-Year")+GETPIVOTDATA("Sum of Tuition Debt-New",'Amounts Pivot Table'!$A$3,"state","FL","category2","Technical")</f>
        <v>27937498</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83516819</v>
      </c>
      <c r="O14" s="29">
        <f t="shared" si="12"/>
        <v>2115784608.8831515</v>
      </c>
      <c r="P14" s="29">
        <f t="shared" si="13"/>
        <v>5907651279.883152</v>
      </c>
      <c r="Q14" s="32"/>
      <c r="R14" s="394" t="s">
        <v>460</v>
      </c>
      <c r="S14" s="600">
        <f t="shared" si="0"/>
        <v>0.46854435863972466</v>
      </c>
      <c r="T14" s="600">
        <f t="shared" si="1"/>
        <v>3.4182402012732573E-2</v>
      </c>
      <c r="U14" s="600">
        <f t="shared" si="2"/>
        <v>1.7610540140422398E-3</v>
      </c>
      <c r="V14" s="600">
        <f t="shared" si="3"/>
        <v>0</v>
      </c>
      <c r="W14" s="600">
        <f t="shared" si="4"/>
        <v>4.2644974130054435E-2</v>
      </c>
      <c r="X14" s="600">
        <f t="shared" si="5"/>
        <v>9.4724100067576825E-2</v>
      </c>
      <c r="Y14" s="601">
        <f t="shared" si="7"/>
        <v>0.64185688886413073</v>
      </c>
      <c r="Z14" s="600">
        <f t="shared" si="6"/>
        <v>0</v>
      </c>
      <c r="AA14" s="600">
        <f t="shared" si="6"/>
        <v>0.34873508781715035</v>
      </c>
      <c r="AB14" s="600">
        <f t="shared" si="6"/>
        <v>4.7290364099745203E-3</v>
      </c>
      <c r="AC14" s="600">
        <f t="shared" si="6"/>
        <v>0</v>
      </c>
      <c r="AD14" s="600">
        <f t="shared" si="8"/>
        <v>0</v>
      </c>
      <c r="AE14" s="600">
        <f t="shared" si="8"/>
        <v>1.4137059728693379E-2</v>
      </c>
      <c r="AF14" s="332">
        <f t="shared" si="9"/>
        <v>0.35814311113586922</v>
      </c>
      <c r="AG14" s="602">
        <f t="shared" si="10"/>
        <v>1</v>
      </c>
      <c r="AH14" s="6"/>
      <c r="AI14" s="6"/>
      <c r="AJ14" s="6"/>
    </row>
    <row r="15" spans="1:36" s="88" customFormat="1" ht="9" customHeight="1">
      <c r="A15" s="85"/>
      <c r="B15" s="86"/>
      <c r="C15" s="86"/>
      <c r="D15" s="86"/>
      <c r="E15" s="86"/>
      <c r="F15" s="86"/>
      <c r="G15" s="86"/>
      <c r="H15" s="86"/>
      <c r="I15" s="86"/>
      <c r="J15" s="86"/>
      <c r="K15" s="86"/>
      <c r="L15" s="86"/>
      <c r="M15" s="86"/>
      <c r="N15" s="86"/>
      <c r="O15" s="29"/>
      <c r="P15" s="86"/>
      <c r="Q15" s="87"/>
      <c r="R15" s="394"/>
      <c r="S15" s="600"/>
      <c r="T15" s="600"/>
      <c r="U15" s="600"/>
      <c r="V15" s="600"/>
      <c r="W15" s="600"/>
      <c r="X15" s="600"/>
      <c r="Y15" s="601"/>
      <c r="Z15" s="600"/>
      <c r="AA15" s="600"/>
      <c r="AB15" s="600"/>
      <c r="AC15" s="600"/>
      <c r="AD15" s="600"/>
      <c r="AE15" s="600"/>
      <c r="AF15" s="332"/>
      <c r="AG15" s="602"/>
    </row>
    <row r="16" spans="1:36" ht="12" customHeight="1">
      <c r="A16" s="7" t="s">
        <v>461</v>
      </c>
      <c r="B16" s="29">
        <f>+GETPIVOTDATA("Sum of State Gen Purp-New",'Amounts Pivot Table'!$A$3,"state","GA","category2","Four-Year")+GETPIVOTDATA("Sum of State Gen Purp-New",'Amounts Pivot Table'!$A$3,"state","GA","category2","Two-Year")+GETPIVOTDATA("Sum of State Gen Purp-New",'Amounts Pivot Table'!$A$3,"state","GA","category2","Technical")</f>
        <v>1638577893</v>
      </c>
      <c r="C16" s="29">
        <f>+GETPIVOTDATA("Sum of State Ed Spec Purp-New",'Amounts Pivot Table'!$A$3,"state","GA","category2","Four-Year")+GETPIVOTDATA("Sum of State Ed Spec Purp-New",'Amounts Pivot Table'!$A$3,"state","GA","category2","Two-Year")+GETPIVOTDATA("Sum of State Ed Spec Purp-New",'Amounts Pivot Table'!$A$3,"state","GA","category2","Technical")</f>
        <v>86293728</v>
      </c>
      <c r="D16" s="29">
        <f>+GETPIVOTDATA("Sum of State Ed Spec Purp-New",'Amounts Pivot Table'!$A$3,"state","GA","category2","Other")</f>
        <v>58967123</v>
      </c>
      <c r="E16" s="29">
        <f>+GETPIVOTDATA("Sum of Other Spec Purp State-New",'Amounts Pivot Table'!$A$3,"state","GA","category2","Specialized")</f>
        <v>20284279</v>
      </c>
      <c r="F16" s="29">
        <f>+GETPIVOTDATA("Sum of Health State-New",'Amounts Pivot Table'!$A$3,"state","GA")</f>
        <v>184135057</v>
      </c>
      <c r="G16" s="29">
        <f>+GETPIVOTDATA("Sum of Other Spec Purp State-New",'Amounts Pivot Table'!$A$3,"state","GA")</f>
        <v>610574218</v>
      </c>
      <c r="H16" s="29">
        <f t="shared" si="11"/>
        <v>2598832298</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1759204115.6800001</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28287154</v>
      </c>
      <c r="M16" s="29">
        <f>+GETPIVOTDATA("Sum of Tuition SP Debt-New",'Amounts Pivot Table'!$A$3,"state","GA","category2","Specialized")</f>
        <v>0</v>
      </c>
      <c r="N16" s="29">
        <f>+GETPIVOTDATA("Sum of Health Tuition-New",'Amounts Pivot Table'!$A$3,"state","GA")</f>
        <v>43876600</v>
      </c>
      <c r="O16" s="29">
        <f t="shared" si="12"/>
        <v>1831367869.6800001</v>
      </c>
      <c r="P16" s="29">
        <f t="shared" si="13"/>
        <v>4430200167.6800003</v>
      </c>
      <c r="Q16" s="32"/>
      <c r="R16" s="394" t="s">
        <v>461</v>
      </c>
      <c r="S16" s="600">
        <f t="shared" si="0"/>
        <v>0.36986543067603367</v>
      </c>
      <c r="T16" s="600">
        <f t="shared" si="1"/>
        <v>1.9478516711173833E-2</v>
      </c>
      <c r="U16" s="600">
        <f t="shared" si="2"/>
        <v>1.3310261561133884E-2</v>
      </c>
      <c r="V16" s="600">
        <f t="shared" si="3"/>
        <v>4.578637134272521E-3</v>
      </c>
      <c r="W16" s="600">
        <f t="shared" si="4"/>
        <v>4.1563597587155422E-2</v>
      </c>
      <c r="X16" s="600">
        <f t="shared" si="5"/>
        <v>0.13782090986641457</v>
      </c>
      <c r="Y16" s="601">
        <f t="shared" si="7"/>
        <v>0.58661735353618394</v>
      </c>
      <c r="Z16" s="600">
        <f t="shared" si="6"/>
        <v>0</v>
      </c>
      <c r="AA16" s="600">
        <f t="shared" si="6"/>
        <v>0.39709359602170236</v>
      </c>
      <c r="AB16" s="600">
        <f t="shared" si="6"/>
        <v>0</v>
      </c>
      <c r="AC16" s="600">
        <f t="shared" si="6"/>
        <v>6.3850735698954587E-3</v>
      </c>
      <c r="AD16" s="600">
        <f t="shared" si="8"/>
        <v>0</v>
      </c>
      <c r="AE16" s="600">
        <f t="shared" si="8"/>
        <v>9.9039768722182196E-3</v>
      </c>
      <c r="AF16" s="332">
        <f t="shared" si="9"/>
        <v>0.41338264646381606</v>
      </c>
      <c r="AG16" s="602">
        <f t="shared" si="10"/>
        <v>1</v>
      </c>
      <c r="AH16" s="6"/>
      <c r="AI16" s="6"/>
      <c r="AJ16" s="6"/>
    </row>
    <row r="17" spans="1:36" ht="12" customHeight="1">
      <c r="A17" s="7" t="s">
        <v>454</v>
      </c>
      <c r="B17" s="29">
        <f>+GETPIVOTDATA("Sum of State Gen Purp-New",'Amounts Pivot Table'!$A$3,"state","KY","category2","Four-Year")+GETPIVOTDATA("Sum of State Gen Purp-New",'Amounts Pivot Table'!$A$3,"state","KY","category2","Two-Year")+GETPIVOTDATA("Sum of State Gen Purp-New",'Amounts Pivot Table'!$A$3,"state","KY","category2","Technical")</f>
        <v>751794280</v>
      </c>
      <c r="C17" s="29">
        <f>+GETPIVOTDATA("Sum of State Ed Spec Purp-New",'Amounts Pivot Table'!$A$3,"state","KY","category2","Four-Year")+GETPIVOTDATA("Sum of State Ed Spec Purp-New",'Amounts Pivot Table'!$A$3,"state","KY","category2","Two-Year")+GETPIVOTDATA("Sum of State Ed Spec Purp-New",'Amounts Pivot Table'!$A$3,"state","KY","category2","Technical")</f>
        <v>91680420</v>
      </c>
      <c r="D17" s="29">
        <f>+GETPIVOTDATA("Sum of State Ed Spec Purp-New",'Amounts Pivot Table'!$A$3,"state","KY","category2","Other")</f>
        <v>54439100</v>
      </c>
      <c r="E17" s="29">
        <f>+GETPIVOTDATA("Sum of Other Spec Purp State-New",'Amounts Pivot Table'!$A$3,"state","KY","category2","Specialized")</f>
        <v>0</v>
      </c>
      <c r="F17" s="29">
        <f>+GETPIVOTDATA("Sum of Health State-New",'Amounts Pivot Table'!$A$3,"state","KY")</f>
        <v>97527000</v>
      </c>
      <c r="G17" s="29">
        <f>+GETPIVOTDATA("Sum of Other Spec Purp State-New",'Amounts Pivot Table'!$A$3,"state","KY")</f>
        <v>215818616</v>
      </c>
      <c r="H17" s="29">
        <f t="shared" si="11"/>
        <v>1211259416</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1232636980</v>
      </c>
      <c r="K17" s="29">
        <f>+GETPIVOTDATA("Sum of Tuition Debt-New",'Amounts Pivot Table'!$A$3,"state","KY","category2","Four-Year")+GETPIVOTDATA("Sum of Tuition Debt-New",'Amounts Pivot Table'!$A$3,"state","KY","category2","Two-Year")+GETPIVOTDATA("Sum of Tuition Debt-New",'Amounts Pivot Table'!$A$3,"state","KY","category2","Technical")</f>
        <v>0</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54212792</v>
      </c>
      <c r="O17" s="29">
        <f t="shared" si="12"/>
        <v>1286849772</v>
      </c>
      <c r="P17" s="29">
        <f t="shared" si="13"/>
        <v>2498109188</v>
      </c>
      <c r="Q17" s="32"/>
      <c r="R17" s="394" t="s">
        <v>454</v>
      </c>
      <c r="S17" s="600">
        <f t="shared" si="0"/>
        <v>0.30094532441229704</v>
      </c>
      <c r="T17" s="600">
        <f t="shared" si="1"/>
        <v>3.6699925063483657E-2</v>
      </c>
      <c r="U17" s="600">
        <f t="shared" si="2"/>
        <v>2.1792121922254423E-2</v>
      </c>
      <c r="V17" s="600">
        <f t="shared" si="3"/>
        <v>0</v>
      </c>
      <c r="W17" s="600">
        <f t="shared" si="4"/>
        <v>3.9040327167636994E-2</v>
      </c>
      <c r="X17" s="600">
        <f t="shared" si="5"/>
        <v>8.6392787407657545E-2</v>
      </c>
      <c r="Y17" s="601">
        <f t="shared" si="7"/>
        <v>0.48487048597332966</v>
      </c>
      <c r="Z17" s="600">
        <f t="shared" si="6"/>
        <v>0</v>
      </c>
      <c r="AA17" s="600">
        <f t="shared" si="6"/>
        <v>0.49342798382117797</v>
      </c>
      <c r="AB17" s="600">
        <f t="shared" si="6"/>
        <v>0</v>
      </c>
      <c r="AC17" s="600">
        <f t="shared" si="6"/>
        <v>0</v>
      </c>
      <c r="AD17" s="600">
        <f t="shared" si="8"/>
        <v>0</v>
      </c>
      <c r="AE17" s="600">
        <f t="shared" si="8"/>
        <v>2.1701530205492363E-2</v>
      </c>
      <c r="AF17" s="332">
        <f t="shared" si="9"/>
        <v>0.51512951402667029</v>
      </c>
      <c r="AG17" s="602">
        <f t="shared" si="10"/>
        <v>1</v>
      </c>
      <c r="AH17" s="6"/>
      <c r="AI17" s="6"/>
      <c r="AJ17" s="6"/>
    </row>
    <row r="18" spans="1:36" ht="12" customHeight="1">
      <c r="A18" s="7" t="s">
        <v>462</v>
      </c>
      <c r="B18" s="29">
        <f>+GETPIVOTDATA("Sum of State Gen Purp-New",'Amounts Pivot Table'!$A$3,"state","LA","category2","Four-Year")+GETPIVOTDATA("Sum of State Gen Purp-New",'Amounts Pivot Table'!$A$3,"state","LA","category2","Two-Year")+GETPIVOTDATA("Sum of State Gen Purp-New",'Amounts Pivot Table'!$A$3,"state","LA","category2","Technical")</f>
        <v>744790425</v>
      </c>
      <c r="C18" s="29">
        <f>+GETPIVOTDATA("Sum of State Ed Spec Purp-New",'Amounts Pivot Table'!$A$3,"state","LA","category2","Four-Year")+GETPIVOTDATA("Sum of State Ed Spec Purp-New",'Amounts Pivot Table'!$A$3,"state","LA","category2","Two-Year")+GETPIVOTDATA("Sum of State Ed Spec Purp-New",'Amounts Pivot Table'!$A$3,"state","LA","category2","Technical")</f>
        <v>73007516</v>
      </c>
      <c r="D18" s="29">
        <f>+GETPIVOTDATA("Sum of State Ed Spec Purp-New",'Amounts Pivot Table'!$A$3,"state","LA","category2","Other")</f>
        <v>26499973</v>
      </c>
      <c r="E18" s="29">
        <f>+GETPIVOTDATA("Sum of Other Spec Purp State-New",'Amounts Pivot Table'!$A$3,"state","LA","category2","Specialized")</f>
        <v>0</v>
      </c>
      <c r="F18" s="29">
        <f>+GETPIVOTDATA("Sum of Health State-New",'Amounts Pivot Table'!$A$3,"state","LA")</f>
        <v>181115931</v>
      </c>
      <c r="G18" s="29">
        <f>+GETPIVOTDATA("Sum of Other Spec Purp State-New",'Amounts Pivot Table'!$A$3,"state","LA")</f>
        <v>212069852</v>
      </c>
      <c r="H18" s="29">
        <f t="shared" si="11"/>
        <v>1237483697</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694033430</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41721716</v>
      </c>
      <c r="O18" s="29">
        <f t="shared" si="12"/>
        <v>735755146</v>
      </c>
      <c r="P18" s="29">
        <f t="shared" si="13"/>
        <v>1973238843</v>
      </c>
      <c r="Q18" s="32"/>
      <c r="R18" s="394" t="s">
        <v>462</v>
      </c>
      <c r="S18" s="600">
        <f t="shared" si="0"/>
        <v>0.37744565369880062</v>
      </c>
      <c r="T18" s="600">
        <f t="shared" si="1"/>
        <v>3.6998823664449829E-2</v>
      </c>
      <c r="U18" s="600">
        <f t="shared" si="2"/>
        <v>1.3429683433410904E-2</v>
      </c>
      <c r="V18" s="600">
        <f t="shared" si="3"/>
        <v>0</v>
      </c>
      <c r="W18" s="600">
        <f t="shared" si="4"/>
        <v>9.1786116841609325E-2</v>
      </c>
      <c r="X18" s="600">
        <f t="shared" si="5"/>
        <v>0.10747297660002531</v>
      </c>
      <c r="Y18" s="601">
        <f t="shared" si="7"/>
        <v>0.62713325423829602</v>
      </c>
      <c r="Z18" s="600">
        <f t="shared" si="6"/>
        <v>0</v>
      </c>
      <c r="AA18" s="600">
        <f t="shared" si="6"/>
        <v>0.35172297183489004</v>
      </c>
      <c r="AB18" s="600">
        <f t="shared" si="6"/>
        <v>0</v>
      </c>
      <c r="AC18" s="600">
        <f t="shared" si="6"/>
        <v>0</v>
      </c>
      <c r="AD18" s="600">
        <f t="shared" si="8"/>
        <v>0</v>
      </c>
      <c r="AE18" s="600">
        <f t="shared" si="8"/>
        <v>2.1143773926813988E-2</v>
      </c>
      <c r="AF18" s="332">
        <f t="shared" si="9"/>
        <v>0.37286674576170403</v>
      </c>
      <c r="AG18" s="602">
        <f t="shared" si="10"/>
        <v>1</v>
      </c>
      <c r="AH18" s="6"/>
      <c r="AI18" s="6"/>
      <c r="AJ18" s="6"/>
    </row>
    <row r="19" spans="1:36" ht="12" customHeight="1">
      <c r="A19" s="7" t="s">
        <v>465</v>
      </c>
      <c r="B19" s="29">
        <f>+GETPIVOTDATA("Sum of State Gen Purp-New",'Amounts Pivot Table'!$A$3,"state","MD","category2","Four-Year")+GETPIVOTDATA("Sum of State Gen Purp-New",'Amounts Pivot Table'!$A$3,"state","MD","category2","Two-Year")+GETPIVOTDATA("Sum of State Gen Purp-New",'Amounts Pivot Table'!$A$3,"state","MD","category2","Technical")</f>
        <v>1078934876</v>
      </c>
      <c r="C19" s="29">
        <f>+GETPIVOTDATA("Sum of State Ed Spec Purp-New",'Amounts Pivot Table'!$A$3,"state","MD","category2","Four-Year")+GETPIVOTDATA("Sum of State Ed Spec Purp-New",'Amounts Pivot Table'!$A$3,"state","MD","category2","Two-Year")+GETPIVOTDATA("Sum of State Ed Spec Purp-New",'Amounts Pivot Table'!$A$3,"state","MD","category2","Technical")</f>
        <v>54095197</v>
      </c>
      <c r="D19" s="29">
        <f>+GETPIVOTDATA("Sum of State Ed Spec Purp-New",'Amounts Pivot Table'!$A$3,"state","MD","category2","Other")</f>
        <v>0</v>
      </c>
      <c r="E19" s="29">
        <f>+GETPIVOTDATA("Sum of Other Spec Purp State-New",'Amounts Pivot Table'!$A$3,"state","MD","category2","Specialized")</f>
        <v>31429876</v>
      </c>
      <c r="F19" s="29">
        <f>+GETPIVOTDATA("Sum of Health State-New",'Amounts Pivot Table'!$A$3,"state","MD")</f>
        <v>178589273</v>
      </c>
      <c r="G19" s="29">
        <f>+GETPIVOTDATA("Sum of Other Spec Purp State-New",'Amounts Pivot Table'!$A$3,"state","MD")</f>
        <v>174225087</v>
      </c>
      <c r="H19" s="29">
        <f t="shared" si="11"/>
        <v>1517274309</v>
      </c>
      <c r="I19" s="29">
        <f>+GETPIVOTDATA("Sum of Local-New",'Amounts Pivot Table'!$A$3,"state","MD")</f>
        <v>319485539</v>
      </c>
      <c r="J19" s="29">
        <f>+GETPIVOTDATA("Sum of Tuition Tot-New",'Amounts Pivot Table'!$A$3,"state","MD","category2","Four-Year")+GETPIVOTDATA("Sum of Tuition Tot-New",'Amounts Pivot Table'!$A$3,"state","MD","category2","Two-Year")+GETPIVOTDATA("Sum of Tuition Tot-New",'Amounts Pivot Table'!$A$3,"state","MD","category2","Technical")</f>
        <v>1387539851</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238241134</v>
      </c>
      <c r="M19" s="29">
        <f>+GETPIVOTDATA("Sum of Tuition SP Debt-New",'Amounts Pivot Table'!$A$3,"state","MD","category2","Specialized")</f>
        <v>0</v>
      </c>
      <c r="N19" s="29">
        <f>+GETPIVOTDATA("Sum of Health Tuition-New",'Amounts Pivot Table'!$A$3,"state","MD")</f>
        <v>104033790</v>
      </c>
      <c r="O19" s="29">
        <f t="shared" si="12"/>
        <v>1729814775</v>
      </c>
      <c r="P19" s="29">
        <f t="shared" si="13"/>
        <v>3566574623</v>
      </c>
      <c r="Q19" s="32"/>
      <c r="R19" s="394" t="s">
        <v>465</v>
      </c>
      <c r="S19" s="600">
        <f t="shared" si="0"/>
        <v>0.30251291226102578</v>
      </c>
      <c r="T19" s="600">
        <f t="shared" si="1"/>
        <v>1.5167269079736286E-2</v>
      </c>
      <c r="U19" s="600">
        <f t="shared" si="2"/>
        <v>0</v>
      </c>
      <c r="V19" s="600">
        <f t="shared" si="3"/>
        <v>8.8123421832578888E-3</v>
      </c>
      <c r="W19" s="600">
        <f t="shared" si="4"/>
        <v>5.0073051002023014E-2</v>
      </c>
      <c r="X19" s="600">
        <f t="shared" si="5"/>
        <v>4.8849415872715359E-2</v>
      </c>
      <c r="Y19" s="601">
        <f t="shared" si="7"/>
        <v>0.42541499039875835</v>
      </c>
      <c r="Z19" s="600">
        <f t="shared" si="6"/>
        <v>8.9577696465318005E-2</v>
      </c>
      <c r="AA19" s="600">
        <f t="shared" si="6"/>
        <v>0.38903990457737297</v>
      </c>
      <c r="AB19" s="600">
        <f t="shared" si="6"/>
        <v>0</v>
      </c>
      <c r="AC19" s="600">
        <f t="shared" si="6"/>
        <v>6.6798303465638711E-2</v>
      </c>
      <c r="AD19" s="600">
        <f t="shared" si="8"/>
        <v>0</v>
      </c>
      <c r="AE19" s="600">
        <f t="shared" si="8"/>
        <v>2.9169105092912002E-2</v>
      </c>
      <c r="AF19" s="332">
        <f t="shared" si="9"/>
        <v>0.48500731313592366</v>
      </c>
      <c r="AG19" s="602">
        <f t="shared" si="10"/>
        <v>1</v>
      </c>
      <c r="AH19" s="6"/>
      <c r="AI19" s="6"/>
      <c r="AJ19" s="6"/>
    </row>
    <row r="20" spans="1:36" s="88" customFormat="1" ht="9" customHeight="1">
      <c r="A20" s="85"/>
      <c r="B20" s="86"/>
      <c r="C20" s="86"/>
      <c r="D20" s="86"/>
      <c r="E20" s="86"/>
      <c r="F20" s="86"/>
      <c r="G20" s="86"/>
      <c r="H20" s="86"/>
      <c r="I20" s="86"/>
      <c r="J20" s="86"/>
      <c r="K20" s="86"/>
      <c r="L20" s="86"/>
      <c r="M20" s="86"/>
      <c r="N20" s="86"/>
      <c r="O20" s="29"/>
      <c r="P20" s="86"/>
      <c r="Q20" s="87"/>
      <c r="R20" s="394"/>
      <c r="S20" s="600"/>
      <c r="T20" s="600"/>
      <c r="U20" s="600"/>
      <c r="V20" s="600"/>
      <c r="W20" s="600"/>
      <c r="X20" s="600"/>
      <c r="Y20" s="601"/>
      <c r="Z20" s="600"/>
      <c r="AA20" s="600"/>
      <c r="AB20" s="600"/>
      <c r="AC20" s="600"/>
      <c r="AD20" s="600"/>
      <c r="AE20" s="600"/>
      <c r="AF20" s="332"/>
      <c r="AG20" s="602"/>
    </row>
    <row r="21" spans="1:36" ht="12" customHeight="1">
      <c r="A21" s="7" t="s">
        <v>455</v>
      </c>
      <c r="B21" s="29">
        <f>+GETPIVOTDATA("Sum of State Gen Purp-New",'Amounts Pivot Table'!$A$3,"state","MS","category2","Four-Year")+GETPIVOTDATA("Sum of State Gen Purp-New",'Amounts Pivot Table'!$A$3,"state","MS","category2","Two-Year")+GETPIVOTDATA("Sum of State Gen Purp-New",'Amounts Pivot Table'!$A$3,"state","MS","category2","Technical")</f>
        <v>517106539</v>
      </c>
      <c r="C21" s="29">
        <f>+GETPIVOTDATA("Sum of State Ed Spec Purp-New",'Amounts Pivot Table'!$A$3,"state","MS","category2","Four-Year")+GETPIVOTDATA("Sum of State Ed Spec Purp-New",'Amounts Pivot Table'!$A$3,"state","MS","category2","Two-Year")+GETPIVOTDATA("Sum of State Ed Spec Purp-New",'Amounts Pivot Table'!$A$3,"state","MS","category2","Technical")</f>
        <v>103868395</v>
      </c>
      <c r="D21" s="29">
        <f>+GETPIVOTDATA("Sum of State Ed Spec Purp-New",'Amounts Pivot Table'!$A$3,"state","MS","category2","Other")</f>
        <v>6673800</v>
      </c>
      <c r="E21" s="29">
        <f>+GETPIVOTDATA("Sum of Other Spec Purp State-New",'Amounts Pivot Table'!$A$3,"state","MS","category2","Specialized")</f>
        <v>0</v>
      </c>
      <c r="F21" s="29">
        <f>+GETPIVOTDATA("Sum of Health State-New",'Amounts Pivot Table'!$A$3,"state","MS")</f>
        <v>229855163</v>
      </c>
      <c r="G21" s="29">
        <f>+GETPIVOTDATA("Sum of Other Spec Purp State-New",'Amounts Pivot Table'!$A$3,"state","MS")</f>
        <v>39759779</v>
      </c>
      <c r="H21" s="29">
        <f t="shared" si="11"/>
        <v>897263676</v>
      </c>
      <c r="I21" s="29">
        <f>+GETPIVOTDATA("Sum of Local-New",'Amounts Pivot Table'!$A$3,"state","MS")</f>
        <v>50808246</v>
      </c>
      <c r="J21" s="29">
        <f>+GETPIVOTDATA("Sum of Tuition Tot-New",'Amounts Pivot Table'!$A$3,"state","MS","category2","Four-Year")+GETPIVOTDATA("Sum of Tuition Tot-New",'Amounts Pivot Table'!$A$3,"state","MS","category2","Two-Year")+GETPIVOTDATA("Sum of Tuition Tot-New",'Amounts Pivot Table'!$A$3,"state","MS","category2","Technical")</f>
        <v>656398576</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24229542</v>
      </c>
      <c r="O21" s="29">
        <f t="shared" si="12"/>
        <v>680628118</v>
      </c>
      <c r="P21" s="29">
        <f t="shared" si="13"/>
        <v>1628700040</v>
      </c>
      <c r="Q21" s="32"/>
      <c r="R21" s="394" t="s">
        <v>455</v>
      </c>
      <c r="S21" s="600">
        <f t="shared" si="0"/>
        <v>0.31749648572489753</v>
      </c>
      <c r="T21" s="600">
        <f t="shared" si="1"/>
        <v>6.3773802694816653E-2</v>
      </c>
      <c r="U21" s="600">
        <f t="shared" si="2"/>
        <v>4.0976237711641489E-3</v>
      </c>
      <c r="V21" s="600">
        <f t="shared" si="3"/>
        <v>0</v>
      </c>
      <c r="W21" s="600">
        <f t="shared" si="4"/>
        <v>0.141127990025714</v>
      </c>
      <c r="X21" s="600">
        <f t="shared" si="5"/>
        <v>2.4411971525462723E-2</v>
      </c>
      <c r="Y21" s="601">
        <f t="shared" si="7"/>
        <v>0.55090787374205497</v>
      </c>
      <c r="Z21" s="600">
        <f t="shared" si="6"/>
        <v>3.1195582214144233E-2</v>
      </c>
      <c r="AA21" s="600">
        <f t="shared" si="6"/>
        <v>0.40301992993135799</v>
      </c>
      <c r="AB21" s="600">
        <f t="shared" si="6"/>
        <v>0</v>
      </c>
      <c r="AC21" s="600">
        <f t="shared" si="6"/>
        <v>0</v>
      </c>
      <c r="AD21" s="600">
        <f t="shared" si="8"/>
        <v>0</v>
      </c>
      <c r="AE21" s="600">
        <f t="shared" si="8"/>
        <v>1.4876614112442706E-2</v>
      </c>
      <c r="AF21" s="332">
        <f t="shared" si="9"/>
        <v>0.41789654404380072</v>
      </c>
      <c r="AG21" s="602">
        <f t="shared" si="10"/>
        <v>0.99999999999999989</v>
      </c>
      <c r="AH21" s="6"/>
      <c r="AI21" s="6"/>
      <c r="AJ21" s="6"/>
    </row>
    <row r="22" spans="1:36" ht="12" customHeight="1">
      <c r="A22" s="7" t="s">
        <v>456</v>
      </c>
      <c r="B22" s="29">
        <f>+GETPIVOTDATA("Sum of State Gen Purp-New",'Amounts Pivot Table'!$A$3,"state","NC","category2","Four-Year")+GETPIVOTDATA("Sum of State Gen Purp-New",'Amounts Pivot Table'!$A$3,"state","NC","category2","Two-Year")+GETPIVOTDATA("Sum of State Gen Purp-New",'Amounts Pivot Table'!$A$3,"state","NC","category2","Technical")</f>
        <v>2790786526</v>
      </c>
      <c r="C22" s="29">
        <f>+GETPIVOTDATA("Sum of State Ed Spec Purp-New",'Amounts Pivot Table'!$A$3,"state","NC","category2","Four-Year")+GETPIVOTDATA("Sum of State Ed Spec Purp-New",'Amounts Pivot Table'!$A$3,"state","NC","category2","Two-Year")+GETPIVOTDATA("Sum of State Ed Spec Purp-New",'Amounts Pivot Table'!$A$3,"state","NC","category2","Technical")</f>
        <v>184055344</v>
      </c>
      <c r="D22" s="29">
        <f>+GETPIVOTDATA("Sum of State Ed Spec Purp-New",'Amounts Pivot Table'!$A$3,"state","NC","category2","Other")</f>
        <v>64420421</v>
      </c>
      <c r="E22" s="29">
        <f>+GETPIVOTDATA("Sum of Other Spec Purp State-New",'Amounts Pivot Table'!$A$3,"state","NC","category2","Specialized")</f>
        <v>26831404</v>
      </c>
      <c r="F22" s="29">
        <f>+GETPIVOTDATA("Sum of Health State-New",'Amounts Pivot Table'!$A$3,"state","NC")</f>
        <v>311588346</v>
      </c>
      <c r="G22" s="29">
        <f>+GETPIVOTDATA("Sum of Other Spec Purp State-New",'Amounts Pivot Table'!$A$3,"state","NC")</f>
        <v>454554898</v>
      </c>
      <c r="H22" s="29">
        <f t="shared" si="11"/>
        <v>3832236939</v>
      </c>
      <c r="I22" s="29">
        <f>+GETPIVOTDATA("Sum of Local-New",'Amounts Pivot Table'!$A$3,"state","NC")</f>
        <v>198448732</v>
      </c>
      <c r="J22" s="29">
        <f>+GETPIVOTDATA("Sum of Tuition Tot-New",'Amounts Pivot Table'!$A$3,"state","NC","category2","Four-Year")+GETPIVOTDATA("Sum of Tuition Tot-New",'Amounts Pivot Table'!$A$3,"state","NC","category2","Two-Year")+GETPIVOTDATA("Sum of Tuition Tot-New",'Amounts Pivot Table'!$A$3,"state","NC","category2","Technical")</f>
        <v>1463676437</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11412279</v>
      </c>
      <c r="M22" s="29">
        <f>+GETPIVOTDATA("Sum of Tuition SP Debt-New",'Amounts Pivot Table'!$A$3,"state","NC","category2","Specialized")</f>
        <v>0</v>
      </c>
      <c r="N22" s="29">
        <f>+GETPIVOTDATA("Sum of Health Tuition-New",'Amounts Pivot Table'!$A$3,"state","NC")</f>
        <v>67290640</v>
      </c>
      <c r="O22" s="29">
        <f t="shared" si="12"/>
        <v>1542379356</v>
      </c>
      <c r="P22" s="29">
        <f t="shared" si="13"/>
        <v>5573065027</v>
      </c>
      <c r="Q22" s="32"/>
      <c r="R22" s="394" t="s">
        <v>456</v>
      </c>
      <c r="S22" s="600">
        <f t="shared" si="0"/>
        <v>0.50076331650167194</v>
      </c>
      <c r="T22" s="600">
        <f t="shared" si="1"/>
        <v>3.3025874112055285E-2</v>
      </c>
      <c r="U22" s="600">
        <f t="shared" si="2"/>
        <v>1.1559244453079301E-2</v>
      </c>
      <c r="V22" s="600">
        <f t="shared" si="3"/>
        <v>4.8144789034416553E-3</v>
      </c>
      <c r="W22" s="600">
        <f t="shared" si="4"/>
        <v>5.5909691433787032E-2</v>
      </c>
      <c r="X22" s="600">
        <f t="shared" si="5"/>
        <v>8.156281970474126E-2</v>
      </c>
      <c r="Y22" s="601">
        <f t="shared" si="7"/>
        <v>0.6876354251087764</v>
      </c>
      <c r="Z22" s="600">
        <f t="shared" si="6"/>
        <v>3.5608544138381541E-2</v>
      </c>
      <c r="AA22" s="600">
        <f t="shared" si="6"/>
        <v>0.26263401376242368</v>
      </c>
      <c r="AB22" s="600">
        <f t="shared" si="6"/>
        <v>0</v>
      </c>
      <c r="AC22" s="600">
        <f t="shared" si="6"/>
        <v>2.0477562965281366E-3</v>
      </c>
      <c r="AD22" s="600">
        <f t="shared" si="8"/>
        <v>0</v>
      </c>
      <c r="AE22" s="600">
        <f t="shared" si="8"/>
        <v>1.2074260693890159E-2</v>
      </c>
      <c r="AF22" s="332">
        <f t="shared" si="9"/>
        <v>0.276756030752842</v>
      </c>
      <c r="AG22" s="602">
        <f t="shared" si="10"/>
        <v>1</v>
      </c>
      <c r="AH22" s="6"/>
      <c r="AI22" s="6"/>
      <c r="AJ22" s="6"/>
    </row>
    <row r="23" spans="1:36" ht="12" customHeight="1">
      <c r="A23" s="7" t="s">
        <v>463</v>
      </c>
      <c r="B23" s="29">
        <f>+GETPIVOTDATA("Sum of State Gen Purp-New",'Amounts Pivot Table'!$A$3,"state","OK","category2","Four-Year")+GETPIVOTDATA("Sum of State Gen Purp-New",'Amounts Pivot Table'!$A$3,"state","OK","category2","Two-Year")+GETPIVOTDATA("Sum of State Gen Purp-New",'Amounts Pivot Table'!$A$3,"state","OK","category2","Technical")</f>
        <v>761598771</v>
      </c>
      <c r="C23" s="29">
        <f>+GETPIVOTDATA("Sum of State Ed Spec Purp-New",'Amounts Pivot Table'!$A$3,"state","OK","category2","Four-Year")+GETPIVOTDATA("Sum of State Ed Spec Purp-New",'Amounts Pivot Table'!$A$3,"state","OK","category2","Two-Year")+GETPIVOTDATA("Sum of State Ed Spec Purp-New",'Amounts Pivot Table'!$A$3,"state","OK","category2","Technical")</f>
        <v>54121838</v>
      </c>
      <c r="D23" s="29">
        <f>+GETPIVOTDATA("Sum of State Ed Spec Purp-New",'Amounts Pivot Table'!$A$3,"state","OK","category2","Other")</f>
        <v>15533187</v>
      </c>
      <c r="E23" s="29">
        <f>+GETPIVOTDATA("Sum of Other Spec Purp State-New",'Amounts Pivot Table'!$A$3,"state","OK","category2","Specialized")</f>
        <v>0</v>
      </c>
      <c r="F23" s="29">
        <f>+GETPIVOTDATA("Sum of Health State-New",'Amounts Pivot Table'!$A$3,"state","OK")</f>
        <v>114541148</v>
      </c>
      <c r="G23" s="29">
        <f>+GETPIVOTDATA("Sum of Other Spec Purp State-New",'Amounts Pivot Table'!$A$3,"state","OK")</f>
        <v>91331007</v>
      </c>
      <c r="H23" s="29">
        <f t="shared" si="11"/>
        <v>1037125951</v>
      </c>
      <c r="I23" s="29">
        <f>+GETPIVOTDATA("Sum of Local-New",'Amounts Pivot Table'!$A$3,"state","OK")</f>
        <v>40919536</v>
      </c>
      <c r="J23" s="29">
        <f>+GETPIVOTDATA("Sum of Tuition Tot-New",'Amounts Pivot Table'!$A$3,"state","OK","category2","Four-Year")+GETPIVOTDATA("Sum of Tuition Tot-New",'Amounts Pivot Table'!$A$3,"state","OK","category2","Two-Year")+GETPIVOTDATA("Sum of Tuition Tot-New",'Amounts Pivot Table'!$A$3,"state","OK","category2","Technical")</f>
        <v>800289617</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66249871</v>
      </c>
      <c r="O23" s="29">
        <f t="shared" si="12"/>
        <v>866539488</v>
      </c>
      <c r="P23" s="29">
        <f t="shared" si="13"/>
        <v>1944584975</v>
      </c>
      <c r="Q23" s="32"/>
      <c r="R23" s="394" t="s">
        <v>463</v>
      </c>
      <c r="S23" s="600">
        <f t="shared" si="0"/>
        <v>0.3916510622015888</v>
      </c>
      <c r="T23" s="600">
        <f t="shared" si="1"/>
        <v>2.7832076610588848E-2</v>
      </c>
      <c r="U23" s="600">
        <f t="shared" si="2"/>
        <v>7.9879188617098095E-3</v>
      </c>
      <c r="V23" s="600">
        <f t="shared" si="3"/>
        <v>0</v>
      </c>
      <c r="W23" s="600">
        <f t="shared" si="4"/>
        <v>5.8902619053713502E-2</v>
      </c>
      <c r="X23" s="600">
        <f t="shared" si="5"/>
        <v>4.6966837743873856E-2</v>
      </c>
      <c r="Y23" s="601">
        <f t="shared" si="7"/>
        <v>0.53334051447147479</v>
      </c>
      <c r="Z23" s="600">
        <f t="shared" si="6"/>
        <v>2.1042811975856186E-2</v>
      </c>
      <c r="AA23" s="600">
        <f t="shared" si="6"/>
        <v>0.41154777358083827</v>
      </c>
      <c r="AB23" s="600">
        <f t="shared" si="6"/>
        <v>0</v>
      </c>
      <c r="AC23" s="600">
        <f t="shared" si="6"/>
        <v>0</v>
      </c>
      <c r="AD23" s="600">
        <f t="shared" si="8"/>
        <v>0</v>
      </c>
      <c r="AE23" s="600">
        <f t="shared" si="8"/>
        <v>3.4068899971830748E-2</v>
      </c>
      <c r="AF23" s="332">
        <f t="shared" si="9"/>
        <v>0.44561667355266904</v>
      </c>
      <c r="AG23" s="602">
        <f t="shared" si="10"/>
        <v>1</v>
      </c>
      <c r="AH23" s="6"/>
      <c r="AI23" s="6"/>
      <c r="AJ23" s="6"/>
    </row>
    <row r="24" spans="1:36" ht="12" customHeight="1">
      <c r="A24" s="7" t="s">
        <v>457</v>
      </c>
      <c r="B24" s="29">
        <f>+GETPIVOTDATA("Sum of State Gen Purp-New",'Amounts Pivot Table'!$A$3,"state","SC","category2","Four-Year")+GETPIVOTDATA("Sum of State Gen Purp-New",'Amounts Pivot Table'!$A$3,"state","SC","category2","Two-Year")+GETPIVOTDATA("Sum of State Gen Purp-New",'Amounts Pivot Table'!$A$3,"state","SC","category2","Technical")</f>
        <v>340656010</v>
      </c>
      <c r="C24" s="29">
        <f>+GETPIVOTDATA("Sum of State Ed Spec Purp-New",'Amounts Pivot Table'!$A$3,"state","SC","category2","Four-Year")+GETPIVOTDATA("Sum of State Ed Spec Purp-New",'Amounts Pivot Table'!$A$3,"state","SC","category2","Two-Year")+GETPIVOTDATA("Sum of State Ed Spec Purp-New",'Amounts Pivot Table'!$A$3,"state","SC","category2","Technical")</f>
        <v>44863467</v>
      </c>
      <c r="D24" s="29">
        <f>+GETPIVOTDATA("Sum of State Ed Spec Purp-New",'Amounts Pivot Table'!$A$3,"state","SC","category2","Other")</f>
        <v>4090057</v>
      </c>
      <c r="E24" s="29">
        <f>+GETPIVOTDATA("Sum of Other Spec Purp State-New",'Amounts Pivot Table'!$A$3,"state","SC","category2","Specialized")</f>
        <v>0</v>
      </c>
      <c r="F24" s="29">
        <f>+GETPIVOTDATA("Sum of Health State-New",'Amounts Pivot Table'!$A$3,"state","SC")</f>
        <v>79477211</v>
      </c>
      <c r="G24" s="29">
        <f>+GETPIVOTDATA("Sum of Other Spec Purp State-New",'Amounts Pivot Table'!$A$3,"state","SC")</f>
        <v>351259321</v>
      </c>
      <c r="H24" s="29">
        <f t="shared" si="11"/>
        <v>820346066</v>
      </c>
      <c r="I24" s="29">
        <f>+GETPIVOTDATA("Sum of Local-New",'Amounts Pivot Table'!$A$3,"state","SC")</f>
        <v>63831054</v>
      </c>
      <c r="J24" s="29">
        <f>+GETPIVOTDATA("Sum of Tuition Tot-New",'Amounts Pivot Table'!$A$3,"state","SC","category2","Four-Year")+GETPIVOTDATA("Sum of Tuition Tot-New",'Amounts Pivot Table'!$A$3,"state","SC","category2","Two-Year")+GETPIVOTDATA("Sum of Tuition Tot-New",'Amounts Pivot Table'!$A$3,"state","SC","category2","Technical")</f>
        <v>1671721018</v>
      </c>
      <c r="K24" s="29">
        <f>+GETPIVOTDATA("Sum of Tuition Debt-New",'Amounts Pivot Table'!$A$3,"state","SC","category2","Four-Year")+GETPIVOTDATA("Sum of Tuition Debt-New",'Amounts Pivot Table'!$A$3,"state","SC","category2","Two-Year")+GETPIVOTDATA("Sum of Tuition Debt-New",'Amounts Pivot Table'!$A$3,"state","SC","category2","Technical")</f>
        <v>87265740</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74078758</v>
      </c>
      <c r="O24" s="29">
        <f t="shared" si="12"/>
        <v>1658534036</v>
      </c>
      <c r="P24" s="29">
        <f t="shared" si="13"/>
        <v>2542711156</v>
      </c>
      <c r="Q24" s="32"/>
      <c r="R24" s="394" t="s">
        <v>457</v>
      </c>
      <c r="S24" s="600">
        <f t="shared" si="0"/>
        <v>0.1339735381253033</v>
      </c>
      <c r="T24" s="600">
        <f t="shared" si="1"/>
        <v>1.7643949409722099E-2</v>
      </c>
      <c r="U24" s="600">
        <f t="shared" si="2"/>
        <v>1.6085417293068265E-3</v>
      </c>
      <c r="V24" s="600">
        <f t="shared" si="3"/>
        <v>0</v>
      </c>
      <c r="W24" s="600">
        <f t="shared" si="4"/>
        <v>3.1256877452422678E-2</v>
      </c>
      <c r="X24" s="600">
        <f t="shared" si="5"/>
        <v>0.13814361893647978</v>
      </c>
      <c r="Y24" s="601">
        <f t="shared" si="7"/>
        <v>0.32262652565323469</v>
      </c>
      <c r="Z24" s="600">
        <f t="shared" si="6"/>
        <v>2.5103541096037886E-2</v>
      </c>
      <c r="AA24" s="600">
        <f t="shared" si="6"/>
        <v>0.65745612279053534</v>
      </c>
      <c r="AB24" s="600">
        <f t="shared" si="6"/>
        <v>3.4319957968517285E-2</v>
      </c>
      <c r="AC24" s="600">
        <f t="shared" si="6"/>
        <v>0</v>
      </c>
      <c r="AD24" s="600">
        <f t="shared" si="8"/>
        <v>0</v>
      </c>
      <c r="AE24" s="600">
        <f t="shared" si="8"/>
        <v>2.9133768428709406E-2</v>
      </c>
      <c r="AF24" s="332">
        <f t="shared" si="9"/>
        <v>0.65226993325072746</v>
      </c>
      <c r="AG24" s="602">
        <f t="shared" si="10"/>
        <v>1</v>
      </c>
      <c r="AH24" s="6"/>
      <c r="AI24" s="6"/>
      <c r="AJ24" s="6"/>
    </row>
    <row r="25" spans="1:36" s="88" customFormat="1" ht="11.25" customHeight="1">
      <c r="A25" s="85"/>
      <c r="B25" s="86"/>
      <c r="C25" s="86"/>
      <c r="D25" s="86"/>
      <c r="E25" s="86"/>
      <c r="F25" s="86"/>
      <c r="G25" s="86"/>
      <c r="H25" s="86"/>
      <c r="I25" s="86"/>
      <c r="J25" s="86"/>
      <c r="K25" s="86"/>
      <c r="L25" s="86"/>
      <c r="M25" s="86"/>
      <c r="N25" s="86"/>
      <c r="O25" s="29"/>
      <c r="P25" s="86"/>
      <c r="Q25" s="87"/>
      <c r="R25" s="394"/>
      <c r="S25" s="600"/>
      <c r="T25" s="600"/>
      <c r="U25" s="600"/>
      <c r="V25" s="600"/>
      <c r="W25" s="600"/>
      <c r="X25" s="600"/>
      <c r="Y25" s="601"/>
      <c r="Z25" s="600"/>
      <c r="AA25" s="600"/>
      <c r="AB25" s="600"/>
      <c r="AC25" s="600"/>
      <c r="AD25" s="600"/>
      <c r="AE25" s="600"/>
      <c r="AF25" s="332"/>
      <c r="AG25" s="602"/>
    </row>
    <row r="26" spans="1:36" ht="12" customHeight="1">
      <c r="A26" s="7" t="s">
        <v>130</v>
      </c>
      <c r="B26" s="29">
        <f>+GETPIVOTDATA("Sum of State Gen Purp-New",'Amounts Pivot Table'!$A$3,"state","TN","category2","Four-Year")+GETPIVOTDATA("Sum of State Gen Purp-New",'Amounts Pivot Table'!$A$3,"state","TN","category2","Two-Year")+GETPIVOTDATA("Sum of State Gen Purp-New",'Amounts Pivot Table'!$A$3,"state","TN","category2","Technical")</f>
        <v>1010576616.6343278</v>
      </c>
      <c r="C26" s="29">
        <f>+GETPIVOTDATA("Sum of State Ed Spec Purp-New",'Amounts Pivot Table'!$A$3,"state","TN","category2","Four-Year")+GETPIVOTDATA("Sum of State Ed Spec Purp-New",'Amounts Pivot Table'!$A$3,"state","TN","category2","Two-Year")+GETPIVOTDATA("Sum of State Ed Spec Purp-New",'Amounts Pivot Table'!$A$3,"state","TN","category2","Technical")</f>
        <v>71361926</v>
      </c>
      <c r="D26" s="29">
        <f>+GETPIVOTDATA("Sum of State Ed Spec Purp-New",'Amounts Pivot Table'!$A$3,"state","TN","category2","Other")</f>
        <v>356100</v>
      </c>
      <c r="E26" s="29">
        <f>+GETPIVOTDATA("Sum of Other Spec Purp State-New",'Amounts Pivot Table'!$A$3,"state","TN","category2","Specialized")</f>
        <v>9382381.3677429259</v>
      </c>
      <c r="F26" s="29">
        <f>+GETPIVOTDATA("Sum of Health State-New",'Amounts Pivot Table'!$A$3,"state","TN")</f>
        <v>188776380.70450187</v>
      </c>
      <c r="G26" s="29">
        <f>+GETPIVOTDATA("Sum of Other Spec Purp State-New",'Amounts Pivot Table'!$A$3,"state","TN")</f>
        <v>379286775.3677429</v>
      </c>
      <c r="H26" s="29">
        <f t="shared" si="11"/>
        <v>1659740180.0743155</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1151847008</v>
      </c>
      <c r="K26" s="29">
        <f>+GETPIVOTDATA("Sum of Tuition Debt-New",'Amounts Pivot Table'!$A$3,"state","TN","category2","Four-Year")+GETPIVOTDATA("Sum of Tuition Debt-New",'Amounts Pivot Table'!$A$3,"state","TN","category2","Two-Year")+GETPIVOTDATA("Sum of Tuition Debt-New",'Amounts Pivot Table'!$A$3,"state","TN","category2","Technical")</f>
        <v>26612560</v>
      </c>
      <c r="L26" s="29">
        <f>+GETPIVOTDATA("Sum of Tuition SP Tot-New",'Amounts Pivot Table'!$A$3,"state","TN","category2","Specialized")</f>
        <v>1625486</v>
      </c>
      <c r="M26" s="29">
        <f>+GETPIVOTDATA("Sum of Tuition SP Debt-New",'Amounts Pivot Table'!$A$3,"state","TN","category2","Specialized")</f>
        <v>126105</v>
      </c>
      <c r="N26" s="29">
        <f>+GETPIVOTDATA("Sum of Health Tuition-New",'Amounts Pivot Table'!$A$3,"state","TN")</f>
        <v>70870154</v>
      </c>
      <c r="O26" s="29">
        <f t="shared" si="12"/>
        <v>1197603983</v>
      </c>
      <c r="P26" s="29">
        <f t="shared" si="13"/>
        <v>2857344163.0743155</v>
      </c>
      <c r="Q26" s="32"/>
      <c r="R26" s="394" t="s">
        <v>130</v>
      </c>
      <c r="S26" s="600">
        <f t="shared" si="0"/>
        <v>0.35367689678201503</v>
      </c>
      <c r="T26" s="600">
        <f t="shared" si="1"/>
        <v>2.4974914440554906E-2</v>
      </c>
      <c r="U26" s="600" t="str">
        <f t="shared" si="2"/>
        <v>*</v>
      </c>
      <c r="V26" s="600">
        <f t="shared" si="3"/>
        <v>3.2836021257054652E-3</v>
      </c>
      <c r="W26" s="600">
        <f t="shared" si="4"/>
        <v>6.6067078353414313E-2</v>
      </c>
      <c r="X26" s="600">
        <f t="shared" si="5"/>
        <v>0.13274101883465628</v>
      </c>
      <c r="Y26" s="601">
        <f t="shared" si="7"/>
        <v>0.58074351053634587</v>
      </c>
      <c r="Z26" s="600">
        <f t="shared" ref="Z26:AC29" si="14">IF(I26/$P26=0,,IF(I26/$P26&gt;0.0005,I26/$P26,"*"))</f>
        <v>0</v>
      </c>
      <c r="AA26" s="600">
        <f t="shared" si="14"/>
        <v>0.40311805028089021</v>
      </c>
      <c r="AB26" s="600">
        <f t="shared" si="14"/>
        <v>9.3137397811282989E-3</v>
      </c>
      <c r="AC26" s="600">
        <f t="shared" si="14"/>
        <v>5.6888001837730436E-4</v>
      </c>
      <c r="AD26" s="600" t="str">
        <f t="shared" si="8"/>
        <v>*</v>
      </c>
      <c r="AE26" s="600">
        <f t="shared" si="8"/>
        <v>2.4802806366786542E-2</v>
      </c>
      <c r="AF26" s="332">
        <f t="shared" si="9"/>
        <v>0.41913186324445301</v>
      </c>
      <c r="AG26" s="602">
        <f t="shared" si="10"/>
        <v>0.99987537378079883</v>
      </c>
      <c r="AH26" s="6"/>
      <c r="AI26" s="6"/>
      <c r="AJ26" s="6"/>
    </row>
    <row r="27" spans="1:36" ht="12" customHeight="1">
      <c r="A27" s="7" t="s">
        <v>458</v>
      </c>
      <c r="B27" s="29">
        <f>+GETPIVOTDATA("Sum of State Gen Purp-New",'Amounts Pivot Table'!$A$3,"state","TX","category2","Four-Year")+GETPIVOTDATA("Sum of State Gen Purp-New",'Amounts Pivot Table'!$A$3,"state","TX","category2","Two-Year")+GETPIVOTDATA("Sum of State Gen Purp-New",'Amounts Pivot Table'!$A$3,"state","TX","category2","Technical")</f>
        <v>4120155496</v>
      </c>
      <c r="C27" s="29">
        <f>+GETPIVOTDATA("Sum of State Ed Spec Purp-New",'Amounts Pivot Table'!$A$3,"state","TX","category2","Four-Year")+GETPIVOTDATA("Sum of State Ed Spec Purp-New",'Amounts Pivot Table'!$A$3,"state","TX","category2","Two-Year")+GETPIVOTDATA("Sum of State Ed Spec Purp-New",'Amounts Pivot Table'!$A$3,"state","TX","category2","Technical")</f>
        <v>254532642</v>
      </c>
      <c r="D27" s="29">
        <f>+GETPIVOTDATA("Sum of State Ed Spec Purp-New",'Amounts Pivot Table'!$A$3,"state","TX","category2","Other")</f>
        <v>1853029</v>
      </c>
      <c r="E27" s="29">
        <f>+GETPIVOTDATA("Sum of Other Spec Purp State-New",'Amounts Pivot Table'!$A$3,"state","TX","category2","Specialized")</f>
        <v>0</v>
      </c>
      <c r="F27" s="29">
        <f>+GETPIVOTDATA("Sum of Health State-New",'Amounts Pivot Table'!$A$3,"state","TX")</f>
        <v>1433771277</v>
      </c>
      <c r="G27" s="29">
        <f>+GETPIVOTDATA("Sum of Other Spec Purp State-New",'Amounts Pivot Table'!$A$3,"state","TX")</f>
        <v>624039169</v>
      </c>
      <c r="H27" s="29">
        <f t="shared" si="11"/>
        <v>6434351613</v>
      </c>
      <c r="I27" s="29">
        <f>+GETPIVOTDATA("Sum of Local-New",'Amounts Pivot Table'!$A$3,"state","TX")</f>
        <v>1393050718</v>
      </c>
      <c r="J27" s="29">
        <f>+GETPIVOTDATA("Sum of Tuition Tot-New",'Amounts Pivot Table'!$A$3,"state","TX","category2","Four-Year")+GETPIVOTDATA("Sum of Tuition Tot-New",'Amounts Pivot Table'!$A$3,"state","TX","category2","Two-Year")+GETPIVOTDATA("Sum of Tuition Tot-New",'Amounts Pivot Table'!$A$3,"state","TX","category2","Technical")</f>
        <v>5098113788</v>
      </c>
      <c r="K27" s="29">
        <f>+GETPIVOTDATA("Sum of Tuition Debt-New",'Amounts Pivot Table'!$A$3,"state","TX","category2","Four-Year")+GETPIVOTDATA("Sum of Tuition Debt-New",'Amounts Pivot Table'!$A$3,"state","TX","category2","Two-Year")+GETPIVOTDATA("Sum of Tuition Debt-New",'Amounts Pivot Table'!$A$3,"state","TX","category2","Technical")</f>
        <v>721485</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194772973</v>
      </c>
      <c r="O27" s="29">
        <f t="shared" si="12"/>
        <v>5292165276</v>
      </c>
      <c r="P27" s="29">
        <f t="shared" si="13"/>
        <v>13119567607</v>
      </c>
      <c r="Q27" s="32"/>
      <c r="R27" s="394" t="s">
        <v>458</v>
      </c>
      <c r="S27" s="600">
        <f t="shared" si="0"/>
        <v>0.31404659203872498</v>
      </c>
      <c r="T27" s="600">
        <f t="shared" si="1"/>
        <v>1.9400993205309074E-2</v>
      </c>
      <c r="U27" s="600" t="str">
        <f t="shared" si="2"/>
        <v>*</v>
      </c>
      <c r="V27" s="600">
        <f t="shared" si="3"/>
        <v>0</v>
      </c>
      <c r="W27" s="600">
        <f t="shared" si="4"/>
        <v>0.10928494901272549</v>
      </c>
      <c r="X27" s="600">
        <f t="shared" si="5"/>
        <v>4.7565528658661073E-2</v>
      </c>
      <c r="Y27" s="601">
        <f t="shared" si="7"/>
        <v>0.49029806291542066</v>
      </c>
      <c r="Z27" s="600">
        <f t="shared" si="14"/>
        <v>0.10618114557805487</v>
      </c>
      <c r="AA27" s="600">
        <f t="shared" si="14"/>
        <v>0.38858855266540038</v>
      </c>
      <c r="AB27" s="600" t="str">
        <f t="shared" si="14"/>
        <v>*</v>
      </c>
      <c r="AC27" s="600">
        <f t="shared" si="14"/>
        <v>0</v>
      </c>
      <c r="AD27" s="600">
        <f t="shared" si="8"/>
        <v>0</v>
      </c>
      <c r="AE27" s="600">
        <f t="shared" si="8"/>
        <v>1.4845990266941273E-2</v>
      </c>
      <c r="AF27" s="332">
        <f t="shared" si="9"/>
        <v>0.40337954988519159</v>
      </c>
      <c r="AG27" s="602">
        <f t="shared" si="10"/>
        <v>0.99985875837866711</v>
      </c>
      <c r="AH27" s="6"/>
      <c r="AI27" s="6"/>
      <c r="AJ27" s="6"/>
    </row>
    <row r="28" spans="1:36" ht="12" customHeight="1">
      <c r="A28" s="7" t="s">
        <v>459</v>
      </c>
      <c r="B28" s="29">
        <f>+GETPIVOTDATA("Sum of State Gen Purp-New",'Amounts Pivot Table'!$A$3,"state","VA","category2","Four-Year")+GETPIVOTDATA("Sum of State Gen Purp-New",'Amounts Pivot Table'!$A$3,"state","VA","category2","Two-Year")+GETPIVOTDATA("Sum of State Gen Purp-New",'Amounts Pivot Table'!$A$3,"state","VA","category2","Technical")</f>
        <v>1200621350</v>
      </c>
      <c r="C28" s="29">
        <f>+GETPIVOTDATA("Sum of State Ed Spec Purp-New",'Amounts Pivot Table'!$A$3,"state","VA","category2","Four-Year")+GETPIVOTDATA("Sum of State Ed Spec Purp-New",'Amounts Pivot Table'!$A$3,"state","VA","category2","Two-Year")+GETPIVOTDATA("Sum of State Ed Spec Purp-New",'Amounts Pivot Table'!$A$3,"state","VA","category2","Technical")</f>
        <v>100082713</v>
      </c>
      <c r="D28" s="29">
        <f>+GETPIVOTDATA("Sum of State Ed Spec Purp-New",'Amounts Pivot Table'!$A$3,"state","VA","category2","Other")</f>
        <v>79951266</v>
      </c>
      <c r="E28" s="29">
        <f>+GETPIVOTDATA("Sum of Other Spec Purp State-New",'Amounts Pivot Table'!$A$3,"state","VA","category2","Specialized")</f>
        <v>11446268</v>
      </c>
      <c r="F28" s="29">
        <f>+GETPIVOTDATA("Sum of Health State-New",'Amounts Pivot Table'!$A$3,"state","VA")</f>
        <v>69500703</v>
      </c>
      <c r="G28" s="29">
        <f>+GETPIVOTDATA("Sum of Other Spec Purp State-New",'Amounts Pivot Table'!$A$3,"state","VA")</f>
        <v>239750926</v>
      </c>
      <c r="H28" s="29">
        <f t="shared" si="11"/>
        <v>1701353226</v>
      </c>
      <c r="I28" s="29">
        <f>+GETPIVOTDATA("Sum of Local-New",'Amounts Pivot Table'!$A$3,"state","VA")</f>
        <v>7592748</v>
      </c>
      <c r="J28" s="29">
        <f>+GETPIVOTDATA("Sum of Tuition Tot-New",'Amounts Pivot Table'!$A$3,"state","VA","category2","Four-Year")+GETPIVOTDATA("Sum of Tuition Tot-New",'Amounts Pivot Table'!$A$3,"state","VA","category2","Two-Year")+GETPIVOTDATA("Sum of Tuition Tot-New",'Amounts Pivot Table'!$A$3,"state","VA","category2","Technical")</f>
        <v>2154063804</v>
      </c>
      <c r="K28" s="29">
        <f>+GETPIVOTDATA("Sum of Tuition Debt-New",'Amounts Pivot Table'!$A$3,"state","VA","category2","Four-Year")+GETPIVOTDATA("Sum of Tuition Debt-New",'Amounts Pivot Table'!$A$3,"state","VA","category2","Two-Year")+GETPIVOTDATA("Sum of Tuition Debt-New",'Amounts Pivot Table'!$A$3,"state","VA","category2","Technical")</f>
        <v>20925175</v>
      </c>
      <c r="L28" s="29">
        <f>+GETPIVOTDATA("Sum of Tuition SP Tot-New",'Amounts Pivot Table'!$A$3,"state","VA","category2","Specialized")</f>
        <v>22751835</v>
      </c>
      <c r="M28" s="29">
        <f>+GETPIVOTDATA("Sum of Tuition SP Debt-New",'Amounts Pivot Table'!$A$3,"state","VA","category2","Specialized")</f>
        <v>292118</v>
      </c>
      <c r="N28" s="29">
        <f>+GETPIVOTDATA("Sum of Health Tuition-New",'Amounts Pivot Table'!$A$3,"state","VA")</f>
        <v>88319547</v>
      </c>
      <c r="O28" s="29">
        <f t="shared" si="12"/>
        <v>2243917893</v>
      </c>
      <c r="P28" s="29">
        <f t="shared" si="13"/>
        <v>3952863867</v>
      </c>
      <c r="Q28" s="32"/>
      <c r="R28" s="394" t="s">
        <v>459</v>
      </c>
      <c r="S28" s="600">
        <f t="shared" si="0"/>
        <v>0.30373455560239254</v>
      </c>
      <c r="T28" s="600">
        <f t="shared" si="1"/>
        <v>2.5319038643229857E-2</v>
      </c>
      <c r="U28" s="600">
        <f t="shared" si="2"/>
        <v>2.0226162268694187E-2</v>
      </c>
      <c r="V28" s="600">
        <f t="shared" si="3"/>
        <v>2.8956899061355914E-3</v>
      </c>
      <c r="W28" s="600">
        <f t="shared" si="4"/>
        <v>1.7582366946713775E-2</v>
      </c>
      <c r="X28" s="600">
        <f t="shared" si="5"/>
        <v>6.0652462130439462E-2</v>
      </c>
      <c r="Y28" s="601">
        <f t="shared" si="7"/>
        <v>0.43041027549760541</v>
      </c>
      <c r="Z28" s="600">
        <f t="shared" si="14"/>
        <v>1.9208220306768282E-3</v>
      </c>
      <c r="AA28" s="600">
        <f t="shared" si="14"/>
        <v>0.54493751276964986</v>
      </c>
      <c r="AB28" s="600">
        <f t="shared" si="14"/>
        <v>5.2936745873520367E-3</v>
      </c>
      <c r="AC28" s="600">
        <f t="shared" si="14"/>
        <v>5.7557851131532526E-3</v>
      </c>
      <c r="AD28" s="600" t="str">
        <f t="shared" si="8"/>
        <v>*</v>
      </c>
      <c r="AE28" s="600">
        <f t="shared" si="8"/>
        <v>2.2343179520378863E-2</v>
      </c>
      <c r="AF28" s="332">
        <f t="shared" si="9"/>
        <v>0.56766890247171764</v>
      </c>
      <c r="AG28" s="602">
        <f t="shared" si="10"/>
        <v>0.99999999999999989</v>
      </c>
      <c r="AH28" s="6"/>
      <c r="AI28" s="6"/>
      <c r="AJ28" s="6"/>
    </row>
    <row r="29" spans="1:36" ht="12" customHeight="1">
      <c r="A29" s="8" t="s">
        <v>464</v>
      </c>
      <c r="B29" s="29">
        <f>+GETPIVOTDATA("Sum of State Gen Purp-New",'Amounts Pivot Table'!$A$3,"state","WV","category2","Four-Year")+GETPIVOTDATA("Sum of State Gen Purp-New",'Amounts Pivot Table'!$A$3,"state","WV","category2","Two-Year")+GETPIVOTDATA("Sum of State Gen Purp-New",'Amounts Pivot Table'!$A$3,"state","WV","category2","Technical")</f>
        <v>247433279</v>
      </c>
      <c r="C29" s="29">
        <f>+GETPIVOTDATA("Sum of State Ed Spec Purp-New",'Amounts Pivot Table'!$A$3,"state","WV","category2","Four-Year")+GETPIVOTDATA("Sum of State Ed Spec Purp-New",'Amounts Pivot Table'!$A$3,"state","WV","category2","Two-Year")+GETPIVOTDATA("Sum of State Ed Spec Purp-New",'Amounts Pivot Table'!$A$3,"state","WV","category2","Technical")</f>
        <v>42287281</v>
      </c>
      <c r="D29" s="29">
        <f>+GETPIVOTDATA("Sum of State Ed Spec Purp-New",'Amounts Pivot Table'!$A$3,"state","WV","category2","Other")</f>
        <v>323500</v>
      </c>
      <c r="E29" s="29">
        <f>+GETPIVOTDATA("Sum of Other Spec Purp State-New",'Amounts Pivot Table'!$A$3,"state","WV","category2","Specialized")</f>
        <v>0</v>
      </c>
      <c r="F29" s="29">
        <f>+GETPIVOTDATA("Sum of Health State-New",'Amounts Pivot Table'!$A$3,"state","WV")</f>
        <v>95571039</v>
      </c>
      <c r="G29" s="29">
        <f>+GETPIVOTDATA("Sum of Other Spec Purp State-New",'Amounts Pivot Table'!$A$3,"state","WV")</f>
        <v>107185887</v>
      </c>
      <c r="H29" s="29">
        <f t="shared" si="11"/>
        <v>492800986</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519161011</v>
      </c>
      <c r="K29" s="29">
        <f>+GETPIVOTDATA("Sum of Tuition Debt-New",'Amounts Pivot Table'!$A$3,"state","WV","category2","Four-Year")+GETPIVOTDATA("Sum of Tuition Debt-New",'Amounts Pivot Table'!$A$3,"state","WV","category2","Two-Year")+GETPIVOTDATA("Sum of Tuition Debt-New",'Amounts Pivot Table'!$A$3,"state","WV","category2","Technical")</f>
        <v>21063624</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79480151</v>
      </c>
      <c r="O29" s="29">
        <f t="shared" si="12"/>
        <v>577577538</v>
      </c>
      <c r="P29" s="29">
        <f t="shared" si="13"/>
        <v>1070378524</v>
      </c>
      <c r="Q29" s="34"/>
      <c r="R29" s="570" t="s">
        <v>464</v>
      </c>
      <c r="S29" s="603">
        <f t="shared" si="0"/>
        <v>0.23116427829226513</v>
      </c>
      <c r="T29" s="603">
        <f t="shared" si="1"/>
        <v>3.9506847392614543E-2</v>
      </c>
      <c r="U29" s="603" t="str">
        <f t="shared" si="2"/>
        <v>*</v>
      </c>
      <c r="V29" s="603">
        <f t="shared" si="3"/>
        <v>0</v>
      </c>
      <c r="W29" s="603">
        <f t="shared" si="4"/>
        <v>8.9287141751360474E-2</v>
      </c>
      <c r="X29" s="603">
        <f t="shared" si="5"/>
        <v>0.10013830116793337</v>
      </c>
      <c r="Y29" s="334">
        <f t="shared" si="7"/>
        <v>0.46009656860417353</v>
      </c>
      <c r="Z29" s="604">
        <f t="shared" si="14"/>
        <v>0</v>
      </c>
      <c r="AA29" s="604">
        <f t="shared" si="14"/>
        <v>0.48502562351484546</v>
      </c>
      <c r="AB29" s="604">
        <f t="shared" si="14"/>
        <v>1.9678668366107838E-2</v>
      </c>
      <c r="AC29" s="604">
        <f t="shared" si="14"/>
        <v>0</v>
      </c>
      <c r="AD29" s="604">
        <f t="shared" si="8"/>
        <v>0</v>
      </c>
      <c r="AE29" s="604">
        <f t="shared" si="8"/>
        <v>7.4254246715435776E-2</v>
      </c>
      <c r="AF29" s="334">
        <f t="shared" si="9"/>
        <v>0.53960120186417337</v>
      </c>
      <c r="AG29" s="605">
        <f t="shared" si="10"/>
        <v>0.99969777046834696</v>
      </c>
      <c r="AH29" s="6"/>
      <c r="AI29" s="6"/>
      <c r="AJ29" s="6"/>
    </row>
    <row r="30" spans="1:36" s="73" customFormat="1" ht="24" customHeight="1">
      <c r="A30" s="1412" t="s">
        <v>137</v>
      </c>
      <c r="B30" s="1413"/>
      <c r="C30" s="1413"/>
      <c r="D30" s="1413"/>
      <c r="E30" s="1413"/>
      <c r="F30" s="1413"/>
      <c r="G30" s="1413"/>
      <c r="H30" s="1413"/>
      <c r="I30" s="1413"/>
      <c r="J30" s="1413"/>
      <c r="K30" s="1413"/>
      <c r="L30" s="1413"/>
      <c r="M30" s="1413"/>
      <c r="N30" s="1413"/>
      <c r="O30" s="1413"/>
      <c r="P30" s="1413"/>
      <c r="Q30" s="161"/>
      <c r="R30" s="1405" t="s">
        <v>134</v>
      </c>
      <c r="S30" s="1406"/>
      <c r="T30" s="1406"/>
      <c r="U30" s="1406"/>
      <c r="V30" s="1406"/>
      <c r="W30" s="1406"/>
      <c r="X30" s="1406"/>
      <c r="Y30" s="1406"/>
      <c r="Z30" s="1406"/>
      <c r="AA30" s="1406"/>
      <c r="AB30" s="1406"/>
      <c r="AC30" s="1406"/>
      <c r="AD30" s="1406"/>
      <c r="AE30" s="1406"/>
      <c r="AF30" s="1406"/>
      <c r="AG30" s="1406"/>
      <c r="AH30" s="162"/>
      <c r="AI30" s="162"/>
      <c r="AJ30" s="162"/>
    </row>
    <row r="31" spans="1:36" s="73" customFormat="1" ht="12.75" customHeight="1">
      <c r="A31" s="1405" t="s">
        <v>444</v>
      </c>
      <c r="B31" s="1406"/>
      <c r="C31" s="1406"/>
      <c r="D31" s="1406"/>
      <c r="E31" s="1406"/>
      <c r="F31" s="1406"/>
      <c r="G31" s="1406"/>
      <c r="H31" s="1406"/>
      <c r="I31" s="1406"/>
      <c r="J31" s="1406"/>
      <c r="K31" s="1406"/>
      <c r="L31" s="1406"/>
      <c r="M31" s="1406"/>
      <c r="N31" s="1406"/>
      <c r="O31" s="1406"/>
      <c r="P31" s="1406"/>
      <c r="Q31" s="161"/>
      <c r="R31" s="1405" t="s">
        <v>444</v>
      </c>
      <c r="S31" s="1406"/>
      <c r="T31" s="1406"/>
      <c r="U31" s="1406"/>
      <c r="V31" s="1406"/>
      <c r="W31" s="1406"/>
      <c r="X31" s="1406"/>
      <c r="Y31" s="1406"/>
      <c r="Z31" s="1406"/>
      <c r="AA31" s="1406"/>
      <c r="AB31" s="1406"/>
      <c r="AC31" s="1406"/>
      <c r="AD31" s="1406"/>
      <c r="AE31" s="1406"/>
      <c r="AF31" s="1406"/>
      <c r="AG31" s="1406"/>
      <c r="AH31" s="162"/>
      <c r="AI31" s="162"/>
      <c r="AJ31" s="162"/>
    </row>
    <row r="32" spans="1:36" s="73" customFormat="1" ht="13.5" customHeight="1">
      <c r="A32" s="1405" t="s">
        <v>330</v>
      </c>
      <c r="B32" s="1406"/>
      <c r="C32" s="1406"/>
      <c r="D32" s="1406"/>
      <c r="E32" s="1406"/>
      <c r="F32" s="1406"/>
      <c r="G32" s="1406"/>
      <c r="H32" s="1406"/>
      <c r="I32" s="1406"/>
      <c r="J32" s="1406"/>
      <c r="K32" s="1406"/>
      <c r="L32" s="1406"/>
      <c r="M32" s="1406"/>
      <c r="N32" s="1406"/>
      <c r="O32" s="1406"/>
      <c r="P32" s="1406"/>
      <c r="Q32" s="161"/>
      <c r="R32" s="1405" t="s">
        <v>42</v>
      </c>
      <c r="S32" s="1406"/>
      <c r="T32" s="1406"/>
      <c r="U32" s="1406"/>
      <c r="V32" s="1406"/>
      <c r="W32" s="1406"/>
      <c r="X32" s="1406"/>
      <c r="Y32" s="1406"/>
      <c r="Z32" s="1406"/>
      <c r="AA32" s="1406"/>
      <c r="AB32" s="1406"/>
      <c r="AC32" s="1406"/>
      <c r="AD32" s="1406"/>
      <c r="AE32" s="1406"/>
      <c r="AF32" s="1406"/>
      <c r="AG32" s="1406"/>
      <c r="AH32" s="113"/>
      <c r="AI32" s="113"/>
      <c r="AJ32" s="113"/>
    </row>
    <row r="33" spans="1:36" s="73" customFormat="1">
      <c r="A33" s="1405" t="s">
        <v>374</v>
      </c>
      <c r="B33" s="1406"/>
      <c r="C33" s="1406"/>
      <c r="D33" s="1406"/>
      <c r="E33" s="1406"/>
      <c r="F33" s="1406"/>
      <c r="G33" s="1406"/>
      <c r="H33" s="1406"/>
      <c r="I33" s="1406"/>
      <c r="J33" s="1406"/>
      <c r="K33" s="1406"/>
      <c r="L33" s="1406"/>
      <c r="M33" s="1406"/>
      <c r="N33" s="1406"/>
      <c r="O33" s="1406"/>
      <c r="P33" s="1406"/>
      <c r="Q33" s="161"/>
      <c r="R33" s="1405" t="s">
        <v>374</v>
      </c>
      <c r="S33" s="1406"/>
      <c r="T33" s="1406"/>
      <c r="U33" s="1406"/>
      <c r="V33" s="1406"/>
      <c r="W33" s="1406"/>
      <c r="X33" s="1406"/>
      <c r="Y33" s="1406"/>
      <c r="Z33" s="1406"/>
      <c r="AA33" s="1406"/>
      <c r="AB33" s="1406"/>
      <c r="AC33" s="1406"/>
      <c r="AD33" s="1406"/>
      <c r="AE33" s="1406"/>
      <c r="AF33" s="1406"/>
      <c r="AG33" s="1406"/>
      <c r="AH33" s="162"/>
      <c r="AI33" s="162"/>
      <c r="AJ33" s="162"/>
    </row>
    <row r="34" spans="1:36" s="73" customFormat="1">
      <c r="A34" s="1405" t="s">
        <v>252</v>
      </c>
      <c r="B34" s="1406"/>
      <c r="C34" s="1406"/>
      <c r="D34" s="1406"/>
      <c r="E34" s="1406"/>
      <c r="F34" s="1406"/>
      <c r="G34" s="1406"/>
      <c r="H34" s="1406"/>
      <c r="I34" s="1406"/>
      <c r="J34" s="1406"/>
      <c r="K34" s="1406"/>
      <c r="L34" s="1406"/>
      <c r="M34" s="1406"/>
      <c r="N34" s="1406"/>
      <c r="O34" s="1406"/>
      <c r="P34" s="1406"/>
      <c r="Q34" s="161"/>
      <c r="R34" s="1405" t="s">
        <v>252</v>
      </c>
      <c r="S34" s="1406"/>
      <c r="T34" s="1406"/>
      <c r="U34" s="1406"/>
      <c r="V34" s="1406"/>
      <c r="W34" s="1406"/>
      <c r="X34" s="1406"/>
      <c r="Y34" s="1406"/>
      <c r="Z34" s="1406"/>
      <c r="AA34" s="1406"/>
      <c r="AB34" s="1406"/>
      <c r="AC34" s="1406"/>
      <c r="AD34" s="1406"/>
      <c r="AE34" s="1406"/>
      <c r="AF34" s="1406"/>
      <c r="AG34" s="1406"/>
      <c r="AH34" s="162"/>
      <c r="AI34" s="162"/>
      <c r="AJ34" s="162"/>
    </row>
    <row r="35" spans="1:36" s="73" customFormat="1">
      <c r="A35" s="188"/>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c r="AG36" s="591" t="s">
        <v>2018</v>
      </c>
    </row>
  </sheetData>
  <mergeCells count="28">
    <mergeCell ref="R1:AG1"/>
    <mergeCell ref="AA7:AB7"/>
    <mergeCell ref="AC7:AD7"/>
    <mergeCell ref="AE7:AE8"/>
    <mergeCell ref="X7:X8"/>
    <mergeCell ref="Y7:Y8"/>
    <mergeCell ref="Z7:Z8"/>
    <mergeCell ref="AF7:AF8"/>
    <mergeCell ref="AG7:AG8"/>
    <mergeCell ref="S7:S8"/>
    <mergeCell ref="R3:AG3"/>
    <mergeCell ref="R4:AG4"/>
    <mergeCell ref="A34:P34"/>
    <mergeCell ref="B7:B8"/>
    <mergeCell ref="A30:P30"/>
    <mergeCell ref="A31:P31"/>
    <mergeCell ref="A32:P32"/>
    <mergeCell ref="A33:P33"/>
    <mergeCell ref="C7:C8"/>
    <mergeCell ref="R34:AG34"/>
    <mergeCell ref="R33:AG33"/>
    <mergeCell ref="V7:V8"/>
    <mergeCell ref="R30:AG30"/>
    <mergeCell ref="R31:AG31"/>
    <mergeCell ref="R32:AG32"/>
    <mergeCell ref="U7:U8"/>
    <mergeCell ref="W7:W8"/>
    <mergeCell ref="T7:T8"/>
  </mergeCells>
  <phoneticPr fontId="6" type="noConversion"/>
  <pageMargins left="0.5" right="0.25" top="0.75" bottom="0.5" header="0.5" footer="0.25"/>
  <pageSetup scale="81" firstPageNumber="125"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sheetPr>
    <tabColor theme="5" tint="0.59999389629810485"/>
    <pageSetUpPr fitToPage="1"/>
  </sheetPr>
  <dimension ref="A1:AJ34"/>
  <sheetViews>
    <sheetView showGridLines="0" view="pageBreakPreview" topLeftCell="R1" zoomScale="90" zoomScaleSheetLayoutView="90" workbookViewId="0">
      <selection activeCell="R32" sqref="R32:AG32"/>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4" width="11.125" style="4" customWidth="1"/>
    <col min="15" max="15" width="12.75" style="4" customWidth="1"/>
    <col min="16" max="16" width="13.125" style="24" customWidth="1"/>
    <col min="17" max="17" width="2.375" style="35" customWidth="1"/>
    <col min="18" max="18" width="13.125" style="7" customWidth="1"/>
    <col min="19" max="19" width="11.375" style="5" customWidth="1"/>
    <col min="20" max="20" width="10.5" style="4" customWidth="1"/>
    <col min="21" max="22" width="8.5" style="4" customWidth="1"/>
    <col min="23" max="23" width="9.125" style="4" customWidth="1"/>
    <col min="24" max="24" width="7.25" style="4" customWidth="1"/>
    <col min="25" max="25" width="6.5" style="4" bestFit="1" customWidth="1"/>
    <col min="26" max="26" width="6.5" style="4" customWidth="1"/>
    <col min="27" max="27" width="6.875" style="4" bestFit="1" customWidth="1"/>
    <col min="28" max="28" width="6.375" style="4" bestFit="1" customWidth="1"/>
    <col min="29" max="29" width="6.875" style="5" bestFit="1" customWidth="1"/>
    <col min="30" max="30" width="7" style="4" bestFit="1" customWidth="1"/>
    <col min="31" max="31" width="9.25" style="5" customWidth="1"/>
    <col min="32" max="32" width="9" style="5" customWidth="1"/>
    <col min="33" max="33" width="9.375" style="5" customWidth="1"/>
    <col min="34" max="35" width="6.875" style="5" customWidth="1"/>
    <col min="36" max="36" width="5.75" style="5" customWidth="1"/>
    <col min="37" max="16384" width="8.875" style="6"/>
  </cols>
  <sheetData>
    <row r="1" spans="1:36" s="142" customFormat="1" ht="18">
      <c r="A1" s="221"/>
      <c r="B1" s="141"/>
      <c r="P1" s="143"/>
      <c r="Q1" s="144"/>
      <c r="R1" s="1416" t="s">
        <v>528</v>
      </c>
      <c r="S1" s="1416"/>
      <c r="T1" s="1416"/>
      <c r="U1" s="1416"/>
      <c r="V1" s="1416"/>
      <c r="W1" s="1416"/>
      <c r="X1" s="1416"/>
      <c r="Y1" s="1416"/>
      <c r="Z1" s="1416"/>
      <c r="AA1" s="1416"/>
      <c r="AB1" s="1416"/>
      <c r="AC1" s="1416"/>
      <c r="AD1" s="1416"/>
      <c r="AE1" s="1416"/>
      <c r="AF1" s="1416"/>
      <c r="AG1" s="1416"/>
      <c r="AH1" s="141"/>
      <c r="AI1" s="141"/>
      <c r="AJ1" s="141"/>
    </row>
    <row r="2" spans="1:36" s="142" customFormat="1" ht="18.75">
      <c r="A2" s="221" t="s">
        <v>445</v>
      </c>
      <c r="B2" s="141"/>
      <c r="P2" s="143"/>
      <c r="Q2" s="144"/>
      <c r="R2" s="1429" t="s">
        <v>41</v>
      </c>
      <c r="S2" s="1429"/>
      <c r="T2" s="1429"/>
      <c r="U2" s="1429"/>
      <c r="V2" s="1429"/>
      <c r="W2" s="1429"/>
      <c r="X2" s="1429"/>
      <c r="Y2" s="1429"/>
      <c r="Z2" s="1429"/>
      <c r="AA2" s="1429"/>
      <c r="AB2" s="1429"/>
      <c r="AC2" s="1429"/>
      <c r="AD2" s="1429"/>
      <c r="AE2" s="1429"/>
      <c r="AF2" s="1429"/>
      <c r="AG2" s="1429"/>
      <c r="AH2" s="141"/>
      <c r="AI2" s="141"/>
      <c r="AJ2" s="141"/>
    </row>
    <row r="3" spans="1:36" s="142" customFormat="1" ht="15.75">
      <c r="A3" s="221" t="s">
        <v>563</v>
      </c>
      <c r="B3" s="553"/>
      <c r="C3" s="553"/>
      <c r="D3" s="553"/>
      <c r="E3" s="553"/>
      <c r="F3" s="147"/>
      <c r="G3" s="553"/>
      <c r="H3" s="553"/>
      <c r="I3" s="553"/>
      <c r="J3" s="553"/>
      <c r="K3" s="553"/>
      <c r="L3" s="553"/>
      <c r="M3" s="553"/>
      <c r="N3" s="553"/>
      <c r="O3" s="553"/>
      <c r="P3" s="145"/>
      <c r="Q3" s="146"/>
      <c r="R3" s="1429" t="s">
        <v>500</v>
      </c>
      <c r="S3" s="1429"/>
      <c r="T3" s="1429"/>
      <c r="U3" s="1429"/>
      <c r="V3" s="1429"/>
      <c r="W3" s="1429"/>
      <c r="X3" s="1429"/>
      <c r="Y3" s="1429"/>
      <c r="Z3" s="1429"/>
      <c r="AA3" s="1429"/>
      <c r="AB3" s="1429"/>
      <c r="AC3" s="1429"/>
      <c r="AD3" s="1429"/>
      <c r="AE3" s="1429"/>
      <c r="AF3" s="1429"/>
      <c r="AG3" s="1429"/>
      <c r="AH3" s="553"/>
      <c r="AI3" s="553"/>
      <c r="AJ3" s="553"/>
    </row>
    <row r="4" spans="1:36" s="61" customFormat="1" ht="15.75">
      <c r="A4" s="151"/>
      <c r="B4" s="152" t="s">
        <v>11</v>
      </c>
      <c r="C4" s="153"/>
      <c r="D4" s="153"/>
      <c r="E4" s="153"/>
      <c r="F4" s="154"/>
      <c r="G4" s="153"/>
      <c r="H4" s="154"/>
      <c r="I4" s="155" t="s">
        <v>131</v>
      </c>
      <c r="J4" s="152" t="s">
        <v>132</v>
      </c>
      <c r="K4" s="152"/>
      <c r="L4" s="152"/>
      <c r="M4" s="152"/>
      <c r="N4" s="152"/>
      <c r="O4" s="156"/>
      <c r="P4" s="157" t="s">
        <v>131</v>
      </c>
      <c r="Q4" s="158"/>
      <c r="R4" s="151" t="s">
        <v>131</v>
      </c>
      <c r="S4" s="152" t="s">
        <v>61</v>
      </c>
      <c r="T4" s="153"/>
      <c r="U4" s="153"/>
      <c r="V4" s="153"/>
      <c r="W4" s="154"/>
      <c r="X4" s="154"/>
      <c r="Y4" s="154"/>
      <c r="Z4" s="155" t="s">
        <v>131</v>
      </c>
      <c r="AA4" s="152" t="s">
        <v>170</v>
      </c>
      <c r="AB4" s="152"/>
      <c r="AC4" s="152"/>
      <c r="AD4" s="152"/>
      <c r="AE4" s="152"/>
      <c r="AF4" s="159"/>
      <c r="AG4" s="160" t="s">
        <v>131</v>
      </c>
    </row>
    <row r="5" spans="1:36" ht="61.5" customHeight="1">
      <c r="A5" s="17"/>
      <c r="B5" s="1410" t="s">
        <v>299</v>
      </c>
      <c r="C5" s="1414" t="s">
        <v>44</v>
      </c>
      <c r="D5" s="40"/>
      <c r="E5" s="40"/>
      <c r="F5" s="40"/>
      <c r="G5" s="23"/>
      <c r="H5" s="22"/>
      <c r="I5" s="36"/>
      <c r="J5" s="38" t="s">
        <v>298</v>
      </c>
      <c r="K5" s="39"/>
      <c r="L5" s="38" t="s">
        <v>294</v>
      </c>
      <c r="M5" s="39"/>
      <c r="N5" s="49"/>
      <c r="O5" s="21" t="s">
        <v>131</v>
      </c>
      <c r="P5" s="37" t="s">
        <v>131</v>
      </c>
      <c r="Q5" s="30"/>
      <c r="R5" s="17"/>
      <c r="S5" s="1410" t="s">
        <v>47</v>
      </c>
      <c r="T5" s="1414" t="s">
        <v>79</v>
      </c>
      <c r="U5" s="1414" t="s">
        <v>45</v>
      </c>
      <c r="V5" s="1414" t="s">
        <v>48</v>
      </c>
      <c r="W5" s="1414" t="s">
        <v>49</v>
      </c>
      <c r="X5" s="1414" t="s">
        <v>389</v>
      </c>
      <c r="Y5" s="1431" t="s">
        <v>76</v>
      </c>
      <c r="Z5" s="1433" t="s">
        <v>144</v>
      </c>
      <c r="AA5" s="1435" t="s">
        <v>242</v>
      </c>
      <c r="AB5" s="1436"/>
      <c r="AC5" s="1435" t="s">
        <v>333</v>
      </c>
      <c r="AD5" s="1436"/>
      <c r="AE5" s="1414" t="s">
        <v>46</v>
      </c>
      <c r="AF5" s="1439" t="s">
        <v>1</v>
      </c>
      <c r="AG5" s="1441" t="s">
        <v>2</v>
      </c>
      <c r="AH5" s="6"/>
      <c r="AI5" s="6"/>
      <c r="AJ5" s="6"/>
    </row>
    <row r="6" spans="1:36" s="4" customFormat="1" ht="63" customHeight="1">
      <c r="A6" s="77"/>
      <c r="B6" s="1411"/>
      <c r="C6" s="1415"/>
      <c r="D6" s="552" t="s">
        <v>45</v>
      </c>
      <c r="E6" s="552" t="s">
        <v>294</v>
      </c>
      <c r="F6" s="552" t="s">
        <v>46</v>
      </c>
      <c r="G6" s="552" t="s">
        <v>446</v>
      </c>
      <c r="H6" s="552" t="s">
        <v>448</v>
      </c>
      <c r="I6" s="554" t="s">
        <v>127</v>
      </c>
      <c r="J6" s="552" t="s">
        <v>293</v>
      </c>
      <c r="K6" s="20" t="s">
        <v>24</v>
      </c>
      <c r="L6" s="552" t="s">
        <v>293</v>
      </c>
      <c r="M6" s="20" t="s">
        <v>24</v>
      </c>
      <c r="N6" s="20" t="s">
        <v>447</v>
      </c>
      <c r="O6" s="20" t="s">
        <v>225</v>
      </c>
      <c r="P6" s="552" t="s">
        <v>228</v>
      </c>
      <c r="Q6" s="31"/>
      <c r="R6" s="77"/>
      <c r="S6" s="1437"/>
      <c r="T6" s="1430"/>
      <c r="U6" s="1430"/>
      <c r="V6" s="1438"/>
      <c r="W6" s="1430"/>
      <c r="X6" s="1430"/>
      <c r="Y6" s="1432"/>
      <c r="Z6" s="1434"/>
      <c r="AA6" s="552" t="s">
        <v>293</v>
      </c>
      <c r="AB6" s="20" t="s">
        <v>24</v>
      </c>
      <c r="AC6" s="552" t="s">
        <v>293</v>
      </c>
      <c r="AD6" s="20" t="s">
        <v>24</v>
      </c>
      <c r="AE6" s="1430"/>
      <c r="AF6" s="1440"/>
      <c r="AG6" s="1442"/>
    </row>
    <row r="7" spans="1:36" s="61" customFormat="1" ht="15" customHeight="1">
      <c r="A7" s="73" t="s">
        <v>218</v>
      </c>
      <c r="B7" s="147">
        <f>+GETPIVOTDATA("Sum of State Gen Purp-Old",'Amounts Pivot Table'!$A$3,"category2","Four-Year")+GETPIVOTDATA("Sum of State Gen Purp-Old",'Amounts Pivot Table'!$A$3,"category2","Two-Year")+GETPIVOTDATA("Sum of State Gen Purp-Old",'Amounts Pivot Table'!$A$3,"category2","Technical")</f>
        <v>19502372817.950001</v>
      </c>
      <c r="C7" s="147">
        <f>+GETPIVOTDATA("Sum of State Ed Spec Purp-Old",'Amounts Pivot Table'!$A$3,"category2","Four-Year")+GETPIVOTDATA("Sum of State Ed Spec Purp-Old",'Amounts Pivot Table'!$A$3,"category2","Two-Year")+GETPIVOTDATA("Sum of State Ed Spec Purp-Old",'Amounts Pivot Table'!$A$3,"category2","Technical")</f>
        <v>1631413768.47</v>
      </c>
      <c r="D7" s="147">
        <f>+GETPIVOTDATA("Sum of State Ed Spec Purp-Old",'Amounts Pivot Table'!$A$3,"category2","Other")</f>
        <v>447786891.67000002</v>
      </c>
      <c r="E7" s="147">
        <f>+GETPIVOTDATA("Sum of Other Spec Purp State-Old",'Amounts Pivot Table'!$A$3,"category2","Specialized")</f>
        <v>99552279.620000005</v>
      </c>
      <c r="F7" s="147">
        <f>+GETPIVOTDATA("Sum of Health State-Old",'Amounts Pivot Table'!$A$3)</f>
        <v>4021197304.5</v>
      </c>
      <c r="G7" s="147">
        <f>+GETPIVOTDATA("Sum of Other Spec Purp State-Old",'Amounts Pivot Table'!$A$3)</f>
        <v>4280391039.5300002</v>
      </c>
      <c r="H7" s="147">
        <f>SUM(B7:G7)</f>
        <v>29982714101.739998</v>
      </c>
      <c r="I7" s="147">
        <f>+GETPIVOTDATA("Sum of Local-Old",'Amounts Pivot Table'!$A$3)</f>
        <v>2062710982.6399999</v>
      </c>
      <c r="J7" s="147">
        <f>+GETPIVOTDATA("Sum of Tuition Tot-Old",'Amounts Pivot Table'!$A$3,"category2","Four-Year")+GETPIVOTDATA("Sum of Tuition Tot-Old",'Amounts Pivot Table'!$A$3,"category2","Two-Year")+GETPIVOTDATA("Sum of Tuition Tot-Old",'Amounts Pivot Table'!$A$3,"category2","Technical")</f>
        <v>21095476662.761093</v>
      </c>
      <c r="K7" s="147">
        <f>+GETPIVOTDATA("Sum of Tuition Debt-Old",'Amounts Pivot Table'!$A$3,"category2","Four-Year")+GETPIVOTDATA("Sum of Tuition Debt-Old",'Amounts Pivot Table'!$A$3,"category2","Two-Year")+GETPIVOTDATA("Sum of Tuition Debt-Old",'Amounts Pivot Table'!$A$3,"category2","Technical")</f>
        <v>269212745.43000001</v>
      </c>
      <c r="L7" s="147">
        <f>+GETPIVOTDATA("Sum of Tuition SP Tot-Old",'Amounts Pivot Table'!$A$3,"category2","Specialized")</f>
        <v>327714164.45999998</v>
      </c>
      <c r="M7" s="147">
        <f>+GETPIVOTDATA("Sum of Tuition SP Debt-Old",'Amounts Pivot Table'!$A$3,"category2","Specialized")</f>
        <v>497084.22</v>
      </c>
      <c r="N7" s="147">
        <f>+GETPIVOTDATA("Sum of Health Tuition-Old",'Amounts Pivot Table'!$A$3)</f>
        <v>1024936712.39</v>
      </c>
      <c r="O7" s="147">
        <f>+J7+L7+N7-K7-M7</f>
        <v>22178417709.96109</v>
      </c>
      <c r="P7" s="147">
        <f>O7+H7+I7</f>
        <v>54223842794.341087</v>
      </c>
      <c r="Q7" s="148"/>
      <c r="R7" s="149" t="s">
        <v>243</v>
      </c>
      <c r="S7" s="150">
        <f t="shared" ref="S7:X27" si="0">IF(B7/$P7=0,,IF(B7/$P7&gt;0.0005,B7/$P7,"*"))</f>
        <v>0.35966415902904819</v>
      </c>
      <c r="T7" s="150">
        <f t="shared" si="0"/>
        <v>3.0086649790897108E-2</v>
      </c>
      <c r="U7" s="150">
        <f t="shared" si="0"/>
        <v>8.25811799005754E-3</v>
      </c>
      <c r="V7" s="150">
        <f t="shared" si="0"/>
        <v>1.8359502847774833E-3</v>
      </c>
      <c r="W7" s="150">
        <f t="shared" si="0"/>
        <v>7.415920925692232E-2</v>
      </c>
      <c r="X7" s="150">
        <f t="shared" si="0"/>
        <v>7.893927871848859E-2</v>
      </c>
      <c r="Y7" s="329">
        <f>SUM(S7:X7)</f>
        <v>0.55294336507019126</v>
      </c>
      <c r="Z7" s="150">
        <f t="shared" ref="Z7:AE22" si="1">IF(I7/$P7=0,,IF(I7/$P7&gt;0.0005,I7/$P7,"*"))</f>
        <v>3.8040663965174901E-2</v>
      </c>
      <c r="AA7" s="150">
        <f t="shared" si="1"/>
        <v>0.38904429445864835</v>
      </c>
      <c r="AB7" s="150">
        <f t="shared" si="1"/>
        <v>4.9648407703427391E-3</v>
      </c>
      <c r="AC7" s="150">
        <f t="shared" si="1"/>
        <v>6.0437281382462425E-3</v>
      </c>
      <c r="AD7" s="150" t="str">
        <f>IF(M7/$P7=0,,IF(M7/$P7&gt;0.0005,M7/$P7,"*"))</f>
        <v>*</v>
      </c>
      <c r="AE7" s="150">
        <f>IF(N7/$P7=0,,IF(N7/$P7&gt;0.0005,N7/$P7,"*"))</f>
        <v>1.8901956400938898E-2</v>
      </c>
      <c r="AF7" s="331">
        <f>J7/$P7-K7/$P7+L7/$P7-M7/$P7+N7/$P7</f>
        <v>0.40901597096463393</v>
      </c>
      <c r="AG7" s="324">
        <f>Y7+I7/$P7+AF7</f>
        <v>1</v>
      </c>
    </row>
    <row r="8" spans="1:36" s="66" customFormat="1" ht="4.5" customHeight="1">
      <c r="A8" s="63"/>
      <c r="B8" s="64"/>
      <c r="C8" s="64"/>
      <c r="D8" s="64"/>
      <c r="E8" s="64"/>
      <c r="F8" s="64"/>
      <c r="G8" s="64"/>
      <c r="H8" s="64"/>
      <c r="I8" s="64"/>
      <c r="J8" s="64"/>
      <c r="K8" s="64"/>
      <c r="L8" s="64"/>
      <c r="M8" s="64"/>
      <c r="N8" s="64"/>
      <c r="O8" s="64"/>
      <c r="P8" s="64"/>
      <c r="Q8" s="65"/>
      <c r="R8" s="67"/>
      <c r="S8" s="150"/>
      <c r="T8" s="150"/>
      <c r="U8" s="150"/>
      <c r="V8" s="150"/>
      <c r="W8" s="150"/>
      <c r="X8" s="150"/>
      <c r="Y8" s="329"/>
      <c r="Z8" s="150"/>
      <c r="AA8" s="150"/>
      <c r="AB8" s="150"/>
      <c r="AC8" s="150"/>
      <c r="AD8" s="150"/>
      <c r="AE8" s="150"/>
      <c r="AF8" s="332"/>
      <c r="AG8" s="324"/>
    </row>
    <row r="9" spans="1:36" ht="12" customHeight="1">
      <c r="A9" s="7" t="s">
        <v>452</v>
      </c>
      <c r="B9" s="29">
        <f>+GETPIVOTDATA("Sum of State Gen Purp-Old",'Amounts Pivot Table'!$A$3,"state","AL","category2","Four-Year")+GETPIVOTDATA("Sum of State Gen Purp-Old",'Amounts Pivot Table'!$A$3,"state","AL","category2","Two-Year")+GETPIVOTDATA("Sum of State Gen Purp-Old",'Amounts Pivot Table'!$A$3,"state","AL","category2","Technical")</f>
        <v>888021040</v>
      </c>
      <c r="C9" s="29">
        <f>+GETPIVOTDATA("Sum of State Ed Spec Purp-Old",'Amounts Pivot Table'!$A$3,"state","AL","category2","Four-Year")+GETPIVOTDATA("Sum of State Ed Spec Purp-Old",'Amounts Pivot Table'!$A$3,"state","AL","category2","Two-Year")+GETPIVOTDATA("Sum of State Ed Spec Purp-Old",'Amounts Pivot Table'!$A$3,"state","AL","category2","Technical")</f>
        <v>92839516.470000014</v>
      </c>
      <c r="D9" s="29">
        <f>+GETPIVOTDATA("Sum of State Ed Spec Purp-Old",'Amounts Pivot Table'!$A$3,"state","AL","category2","Other")</f>
        <v>69992340.530000001</v>
      </c>
      <c r="E9" s="29">
        <f>+GETPIVOTDATA("Sum of Other Spec Purp State-Old",'Amounts Pivot Table'!$A$3,"state","AL","category2","Specialized")</f>
        <v>5925939</v>
      </c>
      <c r="F9" s="29">
        <f>+GETPIVOTDATA("Sum of Health State-Old",'Amounts Pivot Table'!$A$3,"state","AL")</f>
        <v>306427801</v>
      </c>
      <c r="G9" s="29">
        <f>+GETPIVOTDATA("Sum of Other Spec Purp State-Old",'Amounts Pivot Table'!$A$3,"state","AL")</f>
        <v>66561643</v>
      </c>
      <c r="H9" s="29">
        <f>SUM(B9:G9)</f>
        <v>1429768280</v>
      </c>
      <c r="I9" s="29">
        <f>+GETPIVOTDATA("Sum of Local-Old",'Amounts Pivot Table'!$A$3,"state","AL")</f>
        <v>2180111.4099999997</v>
      </c>
      <c r="J9" s="29">
        <f>+GETPIVOTDATA("Sum of Tuition Tot-Old",'Amounts Pivot Table'!$A$3,"state","AL","category2","Four-Year")+GETPIVOTDATA("Sum of Tuition Tot-Old",'Amounts Pivot Table'!$A$3,"state","AL","category2","Two-Year")+GETPIVOTDATA("Sum of Tuition Tot-Old",'Amounts Pivot Table'!$A$3,"state","AL","category2","Technical")</f>
        <v>1413638472.54</v>
      </c>
      <c r="K9" s="29">
        <f>+GETPIVOTDATA("Sum of Tuition Debt-Old",'Amounts Pivot Table'!$A$3,"state","AL","category2","Four-Year")+GETPIVOTDATA("Sum of Tuition Debt-Old",'Amounts Pivot Table'!$A$3,"state","AL","category2","Two-Year")+GETPIVOTDATA("Sum of Tuition Debt-Old",'Amounts Pivot Table'!$A$3,"state","AL","category2","Technical")</f>
        <v>93951825.430000007</v>
      </c>
      <c r="L9" s="29">
        <f>+GETPIVOTDATA("Sum of Tuition SP Tot-Old",'Amounts Pivot Table'!$A$3,"state","AL","category2","Specialized")</f>
        <v>4893446.13</v>
      </c>
      <c r="M9" s="29">
        <f>+GETPIVOTDATA("Sum of Tuition SP Debt-Old",'Amounts Pivot Table'!$A$3,"state","AL","category2","Specialized")</f>
        <v>181829.22</v>
      </c>
      <c r="N9" s="29">
        <f>+GETPIVOTDATA("Sum of Health Tuition-Old",'Amounts Pivot Table'!$A$3,"state","AL")</f>
        <v>102074216</v>
      </c>
      <c r="O9" s="29">
        <f>+J9+L9+N9-K9-M9</f>
        <v>1426472480.02</v>
      </c>
      <c r="P9" s="29">
        <f>O9+H9+I9</f>
        <v>2858420871.4299998</v>
      </c>
      <c r="Q9" s="33"/>
      <c r="R9" s="67" t="s">
        <v>452</v>
      </c>
      <c r="S9" s="150">
        <f t="shared" si="0"/>
        <v>0.31066840047097199</v>
      </c>
      <c r="T9" s="150">
        <f t="shared" si="0"/>
        <v>3.2479302610029785E-2</v>
      </c>
      <c r="U9" s="150">
        <f t="shared" si="0"/>
        <v>2.4486366311404835E-2</v>
      </c>
      <c r="V9" s="150">
        <f t="shared" si="0"/>
        <v>2.0731513190481968E-3</v>
      </c>
      <c r="W9" s="150">
        <f t="shared" si="0"/>
        <v>0.10720177845843305</v>
      </c>
      <c r="X9" s="150">
        <f t="shared" si="0"/>
        <v>2.3286159034621376E-2</v>
      </c>
      <c r="Y9" s="329">
        <f t="shared" ref="Y9:Y27" si="2">SUM(S9:X9)</f>
        <v>0.50019515820450922</v>
      </c>
      <c r="Z9" s="150">
        <f t="shared" si="1"/>
        <v>7.626978349445587E-4</v>
      </c>
      <c r="AA9" s="150">
        <f t="shared" si="1"/>
        <v>0.49455224969470307</v>
      </c>
      <c r="AB9" s="150">
        <f t="shared" si="1"/>
        <v>3.2868436684412451E-2</v>
      </c>
      <c r="AC9" s="150">
        <f t="shared" si="1"/>
        <v>1.7119403860047823E-3</v>
      </c>
      <c r="AD9" s="150" t="str">
        <f t="shared" si="1"/>
        <v>*</v>
      </c>
      <c r="AE9" s="150">
        <f t="shared" si="1"/>
        <v>3.5710002337386623E-2</v>
      </c>
      <c r="AF9" s="332">
        <f t="shared" ref="AF9:AF27" si="3">J9/$P9-K9/$P9+L9/$P9-M9/$P9+N9/$P9</f>
        <v>0.49904214396054625</v>
      </c>
      <c r="AG9" s="324">
        <f t="shared" ref="AG9:AG27" si="4">Y9+I9/$P9+AF9</f>
        <v>1</v>
      </c>
      <c r="AH9" s="6"/>
      <c r="AI9" s="6"/>
      <c r="AJ9" s="6"/>
    </row>
    <row r="10" spans="1:36" ht="12" customHeight="1">
      <c r="A10" s="7" t="s">
        <v>466</v>
      </c>
      <c r="B10" s="29">
        <f>+GETPIVOTDATA("Sum of State Gen Purp-Old",'Amounts Pivot Table'!$A$3,"state","AR","category2","Four-Year")+GETPIVOTDATA("Sum of State Gen Purp-Old",'Amounts Pivot Table'!$A$3,"state","AR","category2","Two-Year")+GETPIVOTDATA("Sum of State Gen Purp-Old",'Amounts Pivot Table'!$A$3,"state","AR","category2","Technical")</f>
        <v>583115124</v>
      </c>
      <c r="C10" s="29">
        <f>+GETPIVOTDATA("Sum of State Ed Spec Purp-Old",'Amounts Pivot Table'!$A$3,"state","AR","category2","Four-Year")+GETPIVOTDATA("Sum of State Ed Spec Purp-Old",'Amounts Pivot Table'!$A$3,"state","AR","category2","Two-Year")+GETPIVOTDATA("Sum of State Ed Spec Purp-Old",'Amounts Pivot Table'!$A$3,"state","AR","category2","Technical")</f>
        <v>93744467</v>
      </c>
      <c r="D10" s="29">
        <f>+GETPIVOTDATA("Sum of State Ed Spec Purp-Old",'Amounts Pivot Table'!$A$3,"state","AR","category2","Other")</f>
        <v>390000</v>
      </c>
      <c r="E10" s="29">
        <f>+GETPIVOTDATA("Sum of Other Spec Purp State-Old",'Amounts Pivot Table'!$A$3,"state","AR","category2","Specialized")</f>
        <v>0</v>
      </c>
      <c r="F10" s="29">
        <f>+GETPIVOTDATA("Sum of Health State-Old",'Amounts Pivot Table'!$A$3,"state","AR")</f>
        <v>110155737</v>
      </c>
      <c r="G10" s="29">
        <f>+GETPIVOTDATA("Sum of Other Spec Purp State-Old",'Amounts Pivot Table'!$A$3,"state","AR")</f>
        <v>99613447</v>
      </c>
      <c r="H10" s="29">
        <f t="shared" ref="H10:H27" si="5">SUM(B10:G10)</f>
        <v>887018775</v>
      </c>
      <c r="I10" s="29">
        <f>+GETPIVOTDATA("Sum of Local-Old",'Amounts Pivot Table'!$A$3,"state","AR")</f>
        <v>21236985.23</v>
      </c>
      <c r="J10" s="29">
        <f>+GETPIVOTDATA("Sum of Tuition Tot-Old",'Amounts Pivot Table'!$A$3,"state","AR","category2","Four-Year")+GETPIVOTDATA("Sum of Tuition Tot-Old",'Amounts Pivot Table'!$A$3,"state","AR","category2","Two-Year")+GETPIVOTDATA("Sum of Tuition Tot-Old",'Amounts Pivot Table'!$A$3,"state","AR","category2","Technical")</f>
        <v>600098122.13999999</v>
      </c>
      <c r="K10" s="29">
        <f>+GETPIVOTDATA("Sum of Tuition Debt-Old",'Amounts Pivot Table'!$A$3,"state","AR","category2","Four-Year")+GETPIVOTDATA("Sum of Tuition Debt-Old",'Amounts Pivot Table'!$A$3,"state","AR","category2","Two-Year")+GETPIVOTDATA("Sum of Tuition Debt-Old",'Amounts Pivot Table'!$A$3,"state","AR","category2","Technical")</f>
        <v>0</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21753119</v>
      </c>
      <c r="O10" s="29">
        <f t="shared" ref="O10:O27" si="6">+J10+L10+N10-K10-M10</f>
        <v>621851241.13999999</v>
      </c>
      <c r="P10" s="29">
        <f t="shared" ref="P10:P27" si="7">O10+H10+I10</f>
        <v>1530107001.3699999</v>
      </c>
      <c r="Q10" s="32"/>
      <c r="R10" s="67" t="s">
        <v>466</v>
      </c>
      <c r="S10" s="150">
        <f t="shared" si="0"/>
        <v>0.38109434404123421</v>
      </c>
      <c r="T10" s="150">
        <f t="shared" si="0"/>
        <v>6.12666087509336E-2</v>
      </c>
      <c r="U10" s="150" t="str">
        <f t="shared" si="0"/>
        <v>*</v>
      </c>
      <c r="V10" s="150">
        <f t="shared" si="0"/>
        <v>0</v>
      </c>
      <c r="W10" s="150">
        <f t="shared" si="0"/>
        <v>7.1992178913873814E-2</v>
      </c>
      <c r="X10" s="150">
        <f t="shared" si="0"/>
        <v>6.5102275142071689E-2</v>
      </c>
      <c r="Y10" s="329">
        <f t="shared" si="2"/>
        <v>0.57945540684811325</v>
      </c>
      <c r="Z10" s="150">
        <f t="shared" si="1"/>
        <v>1.3879411839162364E-2</v>
      </c>
      <c r="AA10" s="150">
        <f t="shared" si="1"/>
        <v>0.39219356659547</v>
      </c>
      <c r="AB10" s="150">
        <f t="shared" si="1"/>
        <v>0</v>
      </c>
      <c r="AC10" s="150">
        <f t="shared" si="1"/>
        <v>0</v>
      </c>
      <c r="AD10" s="150">
        <f t="shared" si="1"/>
        <v>0</v>
      </c>
      <c r="AE10" s="150">
        <f t="shared" si="1"/>
        <v>1.4216730581928638E-2</v>
      </c>
      <c r="AF10" s="332">
        <f t="shared" si="3"/>
        <v>0.40641029717739863</v>
      </c>
      <c r="AG10" s="324">
        <f t="shared" si="4"/>
        <v>0.99974511586467429</v>
      </c>
      <c r="AH10" s="6"/>
      <c r="AI10" s="6"/>
      <c r="AJ10" s="6"/>
    </row>
    <row r="11" spans="1:36" ht="12" customHeight="1">
      <c r="A11" s="7" t="s">
        <v>453</v>
      </c>
      <c r="B11" s="29">
        <f>+GETPIVOTDATA("Sum of State Gen Purp-Old",'Amounts Pivot Table'!$A$3,"state","DE","category2","Four-Year")+GETPIVOTDATA("Sum of State Gen Purp-Old",'Amounts Pivot Table'!$A$3,"state","DE","category2","Two-Year")+GETPIVOTDATA("Sum of State Gen Purp-Old",'Amounts Pivot Table'!$A$3,"state","DE","category2","Technical")</f>
        <v>217957890</v>
      </c>
      <c r="C11" s="29">
        <f>+GETPIVOTDATA("Sum of State Ed Spec Purp-Old",'Amounts Pivot Table'!$A$3,"state","DE","category2","Four-Year")+GETPIVOTDATA("Sum of State Ed Spec Purp-Old",'Amounts Pivot Table'!$A$3,"state","DE","category2","Two-Year")+GETPIVOTDATA("Sum of State Ed Spec Purp-Old",'Amounts Pivot Table'!$A$3,"state","DE","category2","Technical")</f>
        <v>9101400</v>
      </c>
      <c r="D11" s="29">
        <f>+GETPIVOTDATA("Sum of State Ed Spec Purp-Old",'Amounts Pivot Table'!$A$3,"state","DE","category2","Other")</f>
        <v>3408896</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14482589</v>
      </c>
      <c r="H11" s="29">
        <f t="shared" si="5"/>
        <v>244950775</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443813485</v>
      </c>
      <c r="K11" s="29">
        <f>+GETPIVOTDATA("Sum of Tuition Debt-Old",'Amounts Pivot Table'!$A$3,"state","DE","category2","Four-Year")+GETPIVOTDATA("Sum of Tuition Debt-Old",'Amounts Pivot Table'!$A$3,"state","DE","category2","Two-Year")+GETPIVOTDATA("Sum of Tuition Debt-Old",'Amounts Pivot Table'!$A$3,"state","DE","category2","Technical")</f>
        <v>3376989</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29">
        <f t="shared" si="6"/>
        <v>440436496</v>
      </c>
      <c r="P11" s="29">
        <f t="shared" si="7"/>
        <v>685387271</v>
      </c>
      <c r="Q11" s="32"/>
      <c r="R11" s="67" t="s">
        <v>453</v>
      </c>
      <c r="S11" s="150">
        <f t="shared" si="0"/>
        <v>0.31800691262035419</v>
      </c>
      <c r="T11" s="150">
        <f t="shared" si="0"/>
        <v>1.3279207807172714E-2</v>
      </c>
      <c r="U11" s="150">
        <f t="shared" si="0"/>
        <v>4.9736785963741658E-3</v>
      </c>
      <c r="V11" s="150">
        <f t="shared" si="0"/>
        <v>0</v>
      </c>
      <c r="W11" s="150">
        <f t="shared" si="0"/>
        <v>0</v>
      </c>
      <c r="X11" s="150">
        <f t="shared" si="0"/>
        <v>2.1130519361512917E-2</v>
      </c>
      <c r="Y11" s="329">
        <f t="shared" si="2"/>
        <v>0.35739031838541402</v>
      </c>
      <c r="Z11" s="150">
        <f t="shared" si="1"/>
        <v>0</v>
      </c>
      <c r="AA11" s="150">
        <f t="shared" si="1"/>
        <v>0.64753680696821692</v>
      </c>
      <c r="AB11" s="150">
        <f t="shared" si="1"/>
        <v>4.9271253536309111E-3</v>
      </c>
      <c r="AC11" s="150">
        <f t="shared" si="1"/>
        <v>0</v>
      </c>
      <c r="AD11" s="150">
        <f t="shared" si="1"/>
        <v>0</v>
      </c>
      <c r="AE11" s="150">
        <f t="shared" si="1"/>
        <v>0</v>
      </c>
      <c r="AF11" s="332">
        <f t="shared" si="3"/>
        <v>0.64260968161458598</v>
      </c>
      <c r="AG11" s="324">
        <f t="shared" si="4"/>
        <v>1</v>
      </c>
      <c r="AH11" s="6"/>
      <c r="AI11" s="6"/>
      <c r="AJ11" s="6"/>
    </row>
    <row r="12" spans="1:36" ht="12" customHeight="1">
      <c r="A12" s="7" t="s">
        <v>460</v>
      </c>
      <c r="B12" s="29">
        <f>+GETPIVOTDATA("Sum of State Gen Purp-Old",'Amounts Pivot Table'!$A$3,"state","FL","category2","Four-Year")+GETPIVOTDATA("Sum of State Gen Purp-Old",'Amounts Pivot Table'!$A$3,"state","FL","category2","Two-Year")+GETPIVOTDATA("Sum of State Gen Purp-Old",'Amounts Pivot Table'!$A$3,"state","FL","category2","Technical")</f>
        <v>2617308762</v>
      </c>
      <c r="C12" s="29">
        <f>+GETPIVOTDATA("Sum of State Ed Spec Purp-Old",'Amounts Pivot Table'!$A$3,"state","FL","category2","Four-Year")+GETPIVOTDATA("Sum of State Ed Spec Purp-Old",'Amounts Pivot Table'!$A$3,"state","FL","category2","Two-Year")+GETPIVOTDATA("Sum of State Ed Spec Purp-Old",'Amounts Pivot Table'!$A$3,"state","FL","category2","Technical")</f>
        <v>208055968</v>
      </c>
      <c r="D12" s="29">
        <f>+GETPIVOTDATA("Sum of State Ed Spec Purp-Old",'Amounts Pivot Table'!$A$3,"state","FL","category2","Other")</f>
        <v>10704111</v>
      </c>
      <c r="E12" s="29">
        <f>+GETPIVOTDATA("Sum of Other Spec Purp State-Old",'Amounts Pivot Table'!$A$3,"state","FL","category2","Specialized")</f>
        <v>0</v>
      </c>
      <c r="F12" s="29">
        <f>+GETPIVOTDATA("Sum of Health State-Old",'Amounts Pivot Table'!$A$3,"state","FL")</f>
        <v>237736587</v>
      </c>
      <c r="G12" s="29">
        <f>+GETPIVOTDATA("Sum of Other Spec Purp State-Old",'Amounts Pivot Table'!$A$3,"state","FL")</f>
        <v>640877939</v>
      </c>
      <c r="H12" s="29">
        <f t="shared" si="5"/>
        <v>3714683367</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1910948836</v>
      </c>
      <c r="K12" s="29">
        <f>+GETPIVOTDATA("Sum of Tuition Debt-Old",'Amounts Pivot Table'!$A$3,"state","FL","category2","Four-Year")+GETPIVOTDATA("Sum of Tuition Debt-Old",'Amounts Pivot Table'!$A$3,"state","FL","category2","Two-Year")+GETPIVOTDATA("Sum of Tuition Debt-Old",'Amounts Pivot Table'!$A$3,"state","FL","category2","Technical")</f>
        <v>27943756</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64527852</v>
      </c>
      <c r="O12" s="29">
        <f t="shared" si="6"/>
        <v>1947532932</v>
      </c>
      <c r="P12" s="29">
        <f t="shared" si="7"/>
        <v>5662216299</v>
      </c>
      <c r="Q12" s="32"/>
      <c r="R12" s="67" t="s">
        <v>460</v>
      </c>
      <c r="S12" s="150">
        <f t="shared" si="0"/>
        <v>0.46224104198602251</v>
      </c>
      <c r="T12" s="150">
        <f t="shared" si="0"/>
        <v>3.6744616774308785E-2</v>
      </c>
      <c r="U12" s="150">
        <f t="shared" si="0"/>
        <v>1.8904454430485895E-3</v>
      </c>
      <c r="V12" s="150">
        <f t="shared" si="0"/>
        <v>0</v>
      </c>
      <c r="W12" s="150">
        <f t="shared" si="0"/>
        <v>4.1986489820600194E-2</v>
      </c>
      <c r="X12" s="150">
        <f t="shared" si="0"/>
        <v>0.11318499773899224</v>
      </c>
      <c r="Y12" s="329">
        <f t="shared" si="2"/>
        <v>0.65604759176297234</v>
      </c>
      <c r="Z12" s="150">
        <f t="shared" si="1"/>
        <v>0</v>
      </c>
      <c r="AA12" s="150">
        <f t="shared" si="1"/>
        <v>0.33749131701971385</v>
      </c>
      <c r="AB12" s="150">
        <f t="shared" si="1"/>
        <v>4.935126905154635E-3</v>
      </c>
      <c r="AC12" s="150">
        <f t="shared" si="1"/>
        <v>0</v>
      </c>
      <c r="AD12" s="150">
        <f t="shared" si="1"/>
        <v>0</v>
      </c>
      <c r="AE12" s="150">
        <f t="shared" si="1"/>
        <v>1.1396218122468443E-2</v>
      </c>
      <c r="AF12" s="332">
        <f t="shared" si="3"/>
        <v>0.34395240823702766</v>
      </c>
      <c r="AG12" s="324">
        <f t="shared" si="4"/>
        <v>1</v>
      </c>
      <c r="AH12" s="6"/>
      <c r="AI12" s="6"/>
      <c r="AJ12" s="6"/>
    </row>
    <row r="13" spans="1:36" s="88" customFormat="1" ht="4.5" customHeight="1">
      <c r="A13" s="85"/>
      <c r="B13" s="86"/>
      <c r="C13" s="86"/>
      <c r="D13" s="86"/>
      <c r="E13" s="86"/>
      <c r="F13" s="86"/>
      <c r="G13" s="86"/>
      <c r="H13" s="86"/>
      <c r="I13" s="86"/>
      <c r="J13" s="86"/>
      <c r="K13" s="86"/>
      <c r="L13" s="86"/>
      <c r="M13" s="86"/>
      <c r="N13" s="86"/>
      <c r="O13" s="29"/>
      <c r="P13" s="86"/>
      <c r="Q13" s="87"/>
      <c r="R13" s="85"/>
      <c r="S13" s="150"/>
      <c r="T13" s="150"/>
      <c r="U13" s="150"/>
      <c r="V13" s="150"/>
      <c r="W13" s="150"/>
      <c r="X13" s="150"/>
      <c r="Y13" s="329"/>
      <c r="Z13" s="150"/>
      <c r="AA13" s="150"/>
      <c r="AB13" s="150"/>
      <c r="AC13" s="150"/>
      <c r="AD13" s="150"/>
      <c r="AE13" s="150"/>
      <c r="AF13" s="332"/>
      <c r="AG13" s="324"/>
    </row>
    <row r="14" spans="1:36" ht="12" customHeight="1">
      <c r="A14" s="7" t="s">
        <v>461</v>
      </c>
      <c r="B14" s="29">
        <f>+GETPIVOTDATA("Sum of State Gen Purp-Old",'Amounts Pivot Table'!$A$3,"state","GA","category2","Four-Year")+GETPIVOTDATA("Sum of State Gen Purp-Old",'Amounts Pivot Table'!$A$3,"state","GA","category2","Two-Year")+GETPIVOTDATA("Sum of State Gen Purp-Old",'Amounts Pivot Table'!$A$3,"state","GA","category2","Technical")</f>
        <v>1558516021</v>
      </c>
      <c r="C14" s="29">
        <f>+GETPIVOTDATA("Sum of State Ed Spec Purp-Old",'Amounts Pivot Table'!$A$3,"state","GA","category2","Four-Year")+GETPIVOTDATA("Sum of State Ed Spec Purp-Old",'Amounts Pivot Table'!$A$3,"state","GA","category2","Two-Year")+GETPIVOTDATA("Sum of State Ed Spec Purp-Old",'Amounts Pivot Table'!$A$3,"state","GA","category2","Technical")</f>
        <v>92611556</v>
      </c>
      <c r="D14" s="29">
        <f>+GETPIVOTDATA("Sum of State Ed Spec Purp-Old",'Amounts Pivot Table'!$A$3,"state","GA","category2","Other")</f>
        <v>66006762</v>
      </c>
      <c r="E14" s="29">
        <f>+GETPIVOTDATA("Sum of Other Spec Purp State-Old",'Amounts Pivot Table'!$A$3,"state","GA","category2","Specialized")</f>
        <v>17506941</v>
      </c>
      <c r="F14" s="29">
        <f>+GETPIVOTDATA("Sum of Health State-Old",'Amounts Pivot Table'!$A$3,"state","GA")</f>
        <v>176084092</v>
      </c>
      <c r="G14" s="29">
        <f>+GETPIVOTDATA("Sum of Other Spec Purp State-Old",'Amounts Pivot Table'!$A$3,"state","GA")</f>
        <v>576161641</v>
      </c>
      <c r="H14" s="29">
        <f t="shared" si="5"/>
        <v>2486887013</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1541877646.22</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23176800</v>
      </c>
      <c r="M14" s="29">
        <f>+GETPIVOTDATA("Sum of Tuition SP Debt-Old",'Amounts Pivot Table'!$A$3,"state","GA","category2","Specialized")</f>
        <v>0</v>
      </c>
      <c r="N14" s="29">
        <f>+GETPIVOTDATA("Sum of Health Tuition-Old",'Amounts Pivot Table'!$A$3,"state","GA")</f>
        <v>39988366</v>
      </c>
      <c r="O14" s="29">
        <f t="shared" si="6"/>
        <v>1605042812.22</v>
      </c>
      <c r="P14" s="29">
        <f t="shared" si="7"/>
        <v>4091929825.2200003</v>
      </c>
      <c r="Q14" s="32"/>
      <c r="R14" s="67" t="s">
        <v>461</v>
      </c>
      <c r="S14" s="150">
        <f t="shared" si="0"/>
        <v>0.38087554957426656</v>
      </c>
      <c r="T14" s="150">
        <f t="shared" si="0"/>
        <v>2.2632733198209427E-2</v>
      </c>
      <c r="U14" s="150">
        <f t="shared" si="0"/>
        <v>1.6130961384815828E-2</v>
      </c>
      <c r="V14" s="150">
        <f t="shared" si="0"/>
        <v>4.2784069492342158E-3</v>
      </c>
      <c r="W14" s="150">
        <f t="shared" si="0"/>
        <v>4.3032040998047402E-2</v>
      </c>
      <c r="X14" s="150">
        <f t="shared" si="0"/>
        <v>0.14080437974495885</v>
      </c>
      <c r="Y14" s="329">
        <f t="shared" si="2"/>
        <v>0.60775407184953223</v>
      </c>
      <c r="Z14" s="150">
        <f t="shared" si="1"/>
        <v>0</v>
      </c>
      <c r="AA14" s="150">
        <f t="shared" si="1"/>
        <v>0.3768094058497452</v>
      </c>
      <c r="AB14" s="150">
        <f t="shared" si="1"/>
        <v>0</v>
      </c>
      <c r="AC14" s="150">
        <f t="shared" si="1"/>
        <v>5.6640267526469404E-3</v>
      </c>
      <c r="AD14" s="150">
        <f t="shared" si="1"/>
        <v>0</v>
      </c>
      <c r="AE14" s="150">
        <f t="shared" si="1"/>
        <v>9.7724955480755459E-3</v>
      </c>
      <c r="AF14" s="332">
        <f t="shared" si="3"/>
        <v>0.39224592815046766</v>
      </c>
      <c r="AG14" s="324">
        <f t="shared" si="4"/>
        <v>0.99999999999999989</v>
      </c>
      <c r="AH14" s="6"/>
      <c r="AI14" s="6"/>
      <c r="AJ14" s="6"/>
    </row>
    <row r="15" spans="1:36" ht="12" customHeight="1">
      <c r="A15" s="7" t="s">
        <v>454</v>
      </c>
      <c r="B15" s="29">
        <f>+GETPIVOTDATA("Sum of State Gen Purp-Old",'Amounts Pivot Table'!$A$3,"state","KY","category2","Four-Year")+GETPIVOTDATA("Sum of State Gen Purp-Old",'Amounts Pivot Table'!$A$3,"state","KY","category2","Two-Year")+GETPIVOTDATA("Sum of State Gen Purp-Old",'Amounts Pivot Table'!$A$3,"state","KY","category2","Technical")</f>
        <v>733987460</v>
      </c>
      <c r="C15" s="29">
        <f>+GETPIVOTDATA("Sum of State Ed Spec Purp-Old",'Amounts Pivot Table'!$A$3,"state","KY","category2","Four-Year")+GETPIVOTDATA("Sum of State Ed Spec Purp-Old",'Amounts Pivot Table'!$A$3,"state","KY","category2","Two-Year")+GETPIVOTDATA("Sum of State Ed Spec Purp-Old",'Amounts Pivot Table'!$A$3,"state","KY","category2","Technical")</f>
        <v>93877942</v>
      </c>
      <c r="D15" s="29">
        <f>+GETPIVOTDATA("Sum of State Ed Spec Purp-Old",'Amounts Pivot Table'!$A$3,"state","KY","category2","Other")</f>
        <v>62008700</v>
      </c>
      <c r="E15" s="29">
        <f>+GETPIVOTDATA("Sum of Other Spec Purp State-Old",'Amounts Pivot Table'!$A$3,"state","KY","category2","Specialized")</f>
        <v>0</v>
      </c>
      <c r="F15" s="29">
        <f>+GETPIVOTDATA("Sum of Health State-Old",'Amounts Pivot Table'!$A$3,"state","KY")</f>
        <v>95876700</v>
      </c>
      <c r="G15" s="29">
        <f>+GETPIVOTDATA("Sum of Other Spec Purp State-Old",'Amounts Pivot Table'!$A$3,"state","KY")</f>
        <v>208531295</v>
      </c>
      <c r="H15" s="29">
        <f t="shared" si="5"/>
        <v>1194282097</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1132049308</v>
      </c>
      <c r="K15" s="29">
        <f>+GETPIVOTDATA("Sum of Tuition Debt-Old",'Amounts Pivot Table'!$A$3,"state","KY","category2","Four-Year")+GETPIVOTDATA("Sum of Tuition Debt-Old",'Amounts Pivot Table'!$A$3,"state","KY","category2","Two-Year")+GETPIVOTDATA("Sum of Tuition Debt-Old",'Amounts Pivot Table'!$A$3,"state","KY","category2","Technical")</f>
        <v>0</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48499092</v>
      </c>
      <c r="O15" s="29">
        <f t="shared" si="6"/>
        <v>1180548400</v>
      </c>
      <c r="P15" s="29">
        <f t="shared" si="7"/>
        <v>2374830497</v>
      </c>
      <c r="Q15" s="32"/>
      <c r="R15" s="67" t="s">
        <v>454</v>
      </c>
      <c r="S15" s="150">
        <f t="shared" si="0"/>
        <v>0.30906940976512143</v>
      </c>
      <c r="T15" s="150">
        <f t="shared" si="0"/>
        <v>3.9530375796753128E-2</v>
      </c>
      <c r="U15" s="150">
        <f t="shared" si="0"/>
        <v>2.6110789834614456E-2</v>
      </c>
      <c r="V15" s="150">
        <f t="shared" si="0"/>
        <v>0</v>
      </c>
      <c r="W15" s="150">
        <f t="shared" si="0"/>
        <v>4.0372018180293734E-2</v>
      </c>
      <c r="X15" s="150">
        <f t="shared" si="0"/>
        <v>8.7808917421022994E-2</v>
      </c>
      <c r="Y15" s="329">
        <f t="shared" si="2"/>
        <v>0.50289151099780571</v>
      </c>
      <c r="Z15" s="150">
        <f t="shared" si="1"/>
        <v>0</v>
      </c>
      <c r="AA15" s="150">
        <f t="shared" si="1"/>
        <v>0.47668636116559016</v>
      </c>
      <c r="AB15" s="150">
        <f t="shared" si="1"/>
        <v>0</v>
      </c>
      <c r="AC15" s="150">
        <f t="shared" si="1"/>
        <v>0</v>
      </c>
      <c r="AD15" s="150">
        <f t="shared" si="1"/>
        <v>0</v>
      </c>
      <c r="AE15" s="150">
        <f t="shared" si="1"/>
        <v>2.0422127836604079E-2</v>
      </c>
      <c r="AF15" s="332">
        <f t="shared" si="3"/>
        <v>0.49710848900219423</v>
      </c>
      <c r="AG15" s="324">
        <f t="shared" si="4"/>
        <v>1</v>
      </c>
      <c r="AH15" s="6"/>
      <c r="AI15" s="6"/>
      <c r="AJ15" s="6"/>
    </row>
    <row r="16" spans="1:36" ht="12" customHeight="1">
      <c r="A16" s="7" t="s">
        <v>462</v>
      </c>
      <c r="B16" s="29">
        <f>+GETPIVOTDATA("Sum of State Gen Purp-Old",'Amounts Pivot Table'!$A$3,"state","LA","category2","Four-Year")+GETPIVOTDATA("Sum of State Gen Purp-Old",'Amounts Pivot Table'!$A$3,"state","LA","category2","Two-Year")+GETPIVOTDATA("Sum of State Gen Purp-Old",'Amounts Pivot Table'!$A$3,"state","LA","category2","Technical")</f>
        <v>743069665</v>
      </c>
      <c r="C16" s="29">
        <f>+GETPIVOTDATA("Sum of State Ed Spec Purp-Old",'Amounts Pivot Table'!$A$3,"state","LA","category2","Four-Year")+GETPIVOTDATA("Sum of State Ed Spec Purp-Old",'Amounts Pivot Table'!$A$3,"state","LA","category2","Two-Year")+GETPIVOTDATA("Sum of State Ed Spec Purp-Old",'Amounts Pivot Table'!$A$3,"state","LA","category2","Technical")</f>
        <v>83761774</v>
      </c>
      <c r="D16" s="29">
        <f>+GETPIVOTDATA("Sum of State Ed Spec Purp-Old",'Amounts Pivot Table'!$A$3,"state","LA","category2","Other")</f>
        <v>53177337</v>
      </c>
      <c r="E16" s="29">
        <f>+GETPIVOTDATA("Sum of Other Spec Purp State-Old",'Amounts Pivot Table'!$A$3,"state","LA","category2","Specialized")</f>
        <v>0</v>
      </c>
      <c r="F16" s="29">
        <f>+GETPIVOTDATA("Sum of Health State-Old",'Amounts Pivot Table'!$A$3,"state","LA")</f>
        <v>175118147</v>
      </c>
      <c r="G16" s="29">
        <f>+GETPIVOTDATA("Sum of Other Spec Purp State-Old",'Amounts Pivot Table'!$A$3,"state","LA")</f>
        <v>197709553</v>
      </c>
      <c r="H16" s="29">
        <f t="shared" si="5"/>
        <v>1252836476</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652757718</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37269960</v>
      </c>
      <c r="O16" s="29">
        <f t="shared" si="6"/>
        <v>690027678</v>
      </c>
      <c r="P16" s="29">
        <f t="shared" si="7"/>
        <v>1942864154</v>
      </c>
      <c r="Q16" s="32"/>
      <c r="R16" s="67" t="s">
        <v>462</v>
      </c>
      <c r="S16" s="150">
        <f t="shared" si="0"/>
        <v>0.38246094739570763</v>
      </c>
      <c r="T16" s="150">
        <f t="shared" si="0"/>
        <v>4.3112522214973144E-2</v>
      </c>
      <c r="U16" s="150">
        <f t="shared" si="0"/>
        <v>2.7370589390162788E-2</v>
      </c>
      <c r="V16" s="150">
        <f t="shared" si="0"/>
        <v>0</v>
      </c>
      <c r="W16" s="150">
        <f t="shared" si="0"/>
        <v>9.0134015103147558E-2</v>
      </c>
      <c r="X16" s="150">
        <f t="shared" si="0"/>
        <v>0.1017619027006867</v>
      </c>
      <c r="Y16" s="329">
        <f t="shared" si="2"/>
        <v>0.64483997680467786</v>
      </c>
      <c r="Z16" s="150">
        <f t="shared" si="1"/>
        <v>0</v>
      </c>
      <c r="AA16" s="150">
        <f t="shared" si="1"/>
        <v>0.33597702477349839</v>
      </c>
      <c r="AB16" s="150">
        <f t="shared" si="1"/>
        <v>0</v>
      </c>
      <c r="AC16" s="150">
        <f t="shared" si="1"/>
        <v>0</v>
      </c>
      <c r="AD16" s="150">
        <f t="shared" si="1"/>
        <v>0</v>
      </c>
      <c r="AE16" s="150">
        <f t="shared" si="1"/>
        <v>1.9182998421823784E-2</v>
      </c>
      <c r="AF16" s="332">
        <f t="shared" si="3"/>
        <v>0.35516002319532219</v>
      </c>
      <c r="AG16" s="324">
        <f t="shared" si="4"/>
        <v>1</v>
      </c>
      <c r="AH16" s="6"/>
      <c r="AI16" s="6"/>
      <c r="AJ16" s="6"/>
    </row>
    <row r="17" spans="1:36" ht="12" customHeight="1">
      <c r="A17" s="7" t="s">
        <v>465</v>
      </c>
      <c r="B17" s="29">
        <f>+GETPIVOTDATA("Sum of State Gen Purp-Old",'Amounts Pivot Table'!$A$3,"state","MD","category2","Four-Year")+GETPIVOTDATA("Sum of State Gen Purp-Old",'Amounts Pivot Table'!$A$3,"state","MD","category2","Two-Year")+GETPIVOTDATA("Sum of State Gen Purp-Old",'Amounts Pivot Table'!$A$3,"state","MD","category2","Technical")</f>
        <v>1094439993</v>
      </c>
      <c r="C17" s="29">
        <f>+GETPIVOTDATA("Sum of State Ed Spec Purp-Old",'Amounts Pivot Table'!$A$3,"state","MD","category2","Four-Year")+GETPIVOTDATA("Sum of State Ed Spec Purp-Old",'Amounts Pivot Table'!$A$3,"state","MD","category2","Two-Year")+GETPIVOTDATA("Sum of State Ed Spec Purp-Old",'Amounts Pivot Table'!$A$3,"state","MD","category2","Technical")</f>
        <v>71633580</v>
      </c>
      <c r="D17" s="29">
        <f>+GETPIVOTDATA("Sum of State Ed Spec Purp-Old",'Amounts Pivot Table'!$A$3,"state","MD","category2","Other")</f>
        <v>0</v>
      </c>
      <c r="E17" s="29">
        <f>+GETPIVOTDATA("Sum of Other Spec Purp State-Old",'Amounts Pivot Table'!$A$3,"state","MD","category2","Specialized")</f>
        <v>29804848</v>
      </c>
      <c r="F17" s="29">
        <f>+GETPIVOTDATA("Sum of Health State-Old",'Amounts Pivot Table'!$A$3,"state","MD")</f>
        <v>180473559</v>
      </c>
      <c r="G17" s="29">
        <f>+GETPIVOTDATA("Sum of Other Spec Purp State-Old",'Amounts Pivot Table'!$A$3,"state","MD")</f>
        <v>217468935</v>
      </c>
      <c r="H17" s="29">
        <f t="shared" si="5"/>
        <v>1593820915</v>
      </c>
      <c r="I17" s="29">
        <f>+GETPIVOTDATA("Sum of Local-Old",'Amounts Pivot Table'!$A$3,"state","MD")</f>
        <v>329258953</v>
      </c>
      <c r="J17" s="29">
        <f>+GETPIVOTDATA("Sum of Tuition Tot-Old",'Amounts Pivot Table'!$A$3,"state","MD","category2","Four-Year")+GETPIVOTDATA("Sum of Tuition Tot-Old",'Amounts Pivot Table'!$A$3,"state","MD","category2","Two-Year")+GETPIVOTDATA("Sum of Tuition Tot-Old",'Amounts Pivot Table'!$A$3,"state","MD","category2","Technical")</f>
        <v>1351267708</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267347042</v>
      </c>
      <c r="M17" s="29">
        <f>+GETPIVOTDATA("Sum of Tuition SP Debt-Old",'Amounts Pivot Table'!$A$3,"state","MD","category2","Specialized")</f>
        <v>0</v>
      </c>
      <c r="N17" s="29">
        <f>+GETPIVOTDATA("Sum of Health Tuition-Old",'Amounts Pivot Table'!$A$3,"state","MD")</f>
        <v>101793051</v>
      </c>
      <c r="O17" s="29">
        <f t="shared" si="6"/>
        <v>1720407801</v>
      </c>
      <c r="P17" s="29">
        <f t="shared" si="7"/>
        <v>3643487669</v>
      </c>
      <c r="Q17" s="32"/>
      <c r="R17" s="67" t="s">
        <v>465</v>
      </c>
      <c r="S17" s="150">
        <f t="shared" si="0"/>
        <v>0.30038251599198701</v>
      </c>
      <c r="T17" s="150">
        <f t="shared" si="0"/>
        <v>1.9660717012845198E-2</v>
      </c>
      <c r="U17" s="150">
        <f t="shared" si="0"/>
        <v>0</v>
      </c>
      <c r="V17" s="150">
        <f t="shared" si="0"/>
        <v>8.1803070869676652E-3</v>
      </c>
      <c r="W17" s="150">
        <f t="shared" si="0"/>
        <v>4.9533187812196768E-2</v>
      </c>
      <c r="X17" s="150">
        <f t="shared" si="0"/>
        <v>5.9687023741097779E-2</v>
      </c>
      <c r="Y17" s="329">
        <f t="shared" si="2"/>
        <v>0.43744375164509447</v>
      </c>
      <c r="Z17" s="150">
        <f t="shared" si="1"/>
        <v>9.0369169024900026E-2</v>
      </c>
      <c r="AA17" s="150">
        <f t="shared" si="1"/>
        <v>0.37087204095598658</v>
      </c>
      <c r="AB17" s="150">
        <f t="shared" si="1"/>
        <v>0</v>
      </c>
      <c r="AC17" s="150">
        <f t="shared" si="1"/>
        <v>7.3376683630543671E-2</v>
      </c>
      <c r="AD17" s="150">
        <f t="shared" si="1"/>
        <v>0</v>
      </c>
      <c r="AE17" s="150">
        <f t="shared" si="1"/>
        <v>2.7938354743475325E-2</v>
      </c>
      <c r="AF17" s="332">
        <f t="shared" si="3"/>
        <v>0.47218707933000559</v>
      </c>
      <c r="AG17" s="324">
        <f t="shared" si="4"/>
        <v>1</v>
      </c>
      <c r="AH17" s="6"/>
      <c r="AI17" s="6"/>
      <c r="AJ17" s="6"/>
    </row>
    <row r="18" spans="1:36" s="88" customFormat="1" ht="4.5" customHeight="1">
      <c r="A18" s="85"/>
      <c r="B18" s="86"/>
      <c r="C18" s="86"/>
      <c r="D18" s="86"/>
      <c r="E18" s="86"/>
      <c r="F18" s="86"/>
      <c r="G18" s="86"/>
      <c r="H18" s="86"/>
      <c r="I18" s="86"/>
      <c r="J18" s="86"/>
      <c r="K18" s="86"/>
      <c r="L18" s="86"/>
      <c r="M18" s="86"/>
      <c r="N18" s="86"/>
      <c r="O18" s="29"/>
      <c r="P18" s="86"/>
      <c r="Q18" s="87"/>
      <c r="R18" s="85"/>
      <c r="S18" s="150"/>
      <c r="T18" s="150"/>
      <c r="U18" s="150"/>
      <c r="V18" s="150"/>
      <c r="W18" s="150"/>
      <c r="X18" s="150"/>
      <c r="Y18" s="329"/>
      <c r="Z18" s="150"/>
      <c r="AA18" s="150"/>
      <c r="AB18" s="150"/>
      <c r="AC18" s="150"/>
      <c r="AD18" s="150"/>
      <c r="AE18" s="150"/>
      <c r="AF18" s="332"/>
      <c r="AG18" s="324"/>
    </row>
    <row r="19" spans="1:36" ht="12" customHeight="1">
      <c r="A19" s="7" t="s">
        <v>455</v>
      </c>
      <c r="B19" s="29">
        <f>+GETPIVOTDATA("Sum of State Gen Purp-Old",'Amounts Pivot Table'!$A$3,"state","MS","category2","Four-Year")+GETPIVOTDATA("Sum of State Gen Purp-Old",'Amounts Pivot Table'!$A$3,"state","MS","category2","Two-Year")+GETPIVOTDATA("Sum of State Gen Purp-Old",'Amounts Pivot Table'!$A$3,"state","MS","category2","Technical")</f>
        <v>606755221</v>
      </c>
      <c r="C19" s="29">
        <f>+GETPIVOTDATA("Sum of State Ed Spec Purp-Old",'Amounts Pivot Table'!$A$3,"state","MS","category2","Four-Year")+GETPIVOTDATA("Sum of State Ed Spec Purp-Old",'Amounts Pivot Table'!$A$3,"state","MS","category2","Two-Year")+GETPIVOTDATA("Sum of State Ed Spec Purp-Old",'Amounts Pivot Table'!$A$3,"state","MS","category2","Technical")</f>
        <v>103907915</v>
      </c>
      <c r="D19" s="29">
        <f>+GETPIVOTDATA("Sum of State Ed Spec Purp-Old",'Amounts Pivot Table'!$A$3,"state","MS","category2","Other")</f>
        <v>6629918.4699999997</v>
      </c>
      <c r="E19" s="29">
        <f>+GETPIVOTDATA("Sum of Other Spec Purp State-Old",'Amounts Pivot Table'!$A$3,"state","MS","category2","Specialized")</f>
        <v>0</v>
      </c>
      <c r="F19" s="29">
        <f>+GETPIVOTDATA("Sum of Health State-Old",'Amounts Pivot Table'!$A$3,"state","MS")</f>
        <v>236740754</v>
      </c>
      <c r="G19" s="29">
        <f>+GETPIVOTDATA("Sum of Other Spec Purp State-Old",'Amounts Pivot Table'!$A$3,"state","MS")</f>
        <v>38706313.899999999</v>
      </c>
      <c r="H19" s="29">
        <f t="shared" si="5"/>
        <v>992740122.37</v>
      </c>
      <c r="I19" s="29">
        <f>+GETPIVOTDATA("Sum of Local-Old",'Amounts Pivot Table'!$A$3,"state","MS")</f>
        <v>50118262</v>
      </c>
      <c r="J19" s="29">
        <f>+GETPIVOTDATA("Sum of Tuition Tot-Old",'Amounts Pivot Table'!$A$3,"state","MS","category2","Four-Year")+GETPIVOTDATA("Sum of Tuition Tot-Old",'Amounts Pivot Table'!$A$3,"state","MS","category2","Two-Year")+GETPIVOTDATA("Sum of Tuition Tot-Old",'Amounts Pivot Table'!$A$3,"state","MS","category2","Technical")</f>
        <v>587772802</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20461305</v>
      </c>
      <c r="O19" s="29">
        <f t="shared" si="6"/>
        <v>608234107</v>
      </c>
      <c r="P19" s="29">
        <f t="shared" si="7"/>
        <v>1651092491.3699999</v>
      </c>
      <c r="Q19" s="32"/>
      <c r="R19" s="67" t="s">
        <v>455</v>
      </c>
      <c r="S19" s="150">
        <f t="shared" si="0"/>
        <v>0.3674871178758391</v>
      </c>
      <c r="T19" s="150">
        <f t="shared" si="0"/>
        <v>6.2932825110107574E-2</v>
      </c>
      <c r="U19" s="150">
        <f t="shared" si="0"/>
        <v>4.0154736967514164E-3</v>
      </c>
      <c r="V19" s="150">
        <f t="shared" si="0"/>
        <v>0</v>
      </c>
      <c r="W19" s="150">
        <f t="shared" si="0"/>
        <v>0.14338430780674408</v>
      </c>
      <c r="X19" s="150">
        <f t="shared" si="0"/>
        <v>2.3442850174845927E-2</v>
      </c>
      <c r="Y19" s="329">
        <f t="shared" si="2"/>
        <v>0.60126257466428812</v>
      </c>
      <c r="Z19" s="150">
        <f t="shared" si="1"/>
        <v>3.0354605972687933E-2</v>
      </c>
      <c r="AA19" s="150">
        <f t="shared" si="1"/>
        <v>0.35599023378290179</v>
      </c>
      <c r="AB19" s="150">
        <f t="shared" si="1"/>
        <v>0</v>
      </c>
      <c r="AC19" s="150">
        <f t="shared" si="1"/>
        <v>0</v>
      </c>
      <c r="AD19" s="150">
        <f t="shared" si="1"/>
        <v>0</v>
      </c>
      <c r="AE19" s="150">
        <f t="shared" si="1"/>
        <v>1.2392585580122262E-2</v>
      </c>
      <c r="AF19" s="332">
        <f t="shared" si="3"/>
        <v>0.36838281936302403</v>
      </c>
      <c r="AG19" s="324">
        <f t="shared" si="4"/>
        <v>1</v>
      </c>
      <c r="AH19" s="6"/>
      <c r="AI19" s="6"/>
      <c r="AJ19" s="6"/>
    </row>
    <row r="20" spans="1:36" ht="12" customHeight="1">
      <c r="A20" s="7" t="s">
        <v>456</v>
      </c>
      <c r="B20" s="29">
        <f>+GETPIVOTDATA("Sum of State Gen Purp-Old",'Amounts Pivot Table'!$A$3,"state","NC","category2","Four-Year")+GETPIVOTDATA("Sum of State Gen Purp-Old",'Amounts Pivot Table'!$A$3,"state","NC","category2","Two-Year")+GETPIVOTDATA("Sum of State Gen Purp-Old",'Amounts Pivot Table'!$A$3,"state","NC","category2","Technical")</f>
        <v>2622802337.04</v>
      </c>
      <c r="C20" s="29">
        <f>+GETPIVOTDATA("Sum of State Ed Spec Purp-Old",'Amounts Pivot Table'!$A$3,"state","NC","category2","Four-Year")+GETPIVOTDATA("Sum of State Ed Spec Purp-Old",'Amounts Pivot Table'!$A$3,"state","NC","category2","Two-Year")+GETPIVOTDATA("Sum of State Ed Spec Purp-Old",'Amounts Pivot Table'!$A$3,"state","NC","category2","Technical")</f>
        <v>183704565</v>
      </c>
      <c r="D20" s="29">
        <f>+GETPIVOTDATA("Sum of State Ed Spec Purp-Old",'Amounts Pivot Table'!$A$3,"state","NC","category2","Other")</f>
        <v>53392539.670000002</v>
      </c>
      <c r="E20" s="29">
        <f>+GETPIVOTDATA("Sum of Other Spec Purp State-Old",'Amounts Pivot Table'!$A$3,"state","NC","category2","Specialized")</f>
        <v>25858033.620000005</v>
      </c>
      <c r="F20" s="29">
        <f>+GETPIVOTDATA("Sum of Health State-Old",'Amounts Pivot Table'!$A$3,"state","NC")</f>
        <v>275370077.5</v>
      </c>
      <c r="G20" s="29">
        <f>+GETPIVOTDATA("Sum of Other Spec Purp State-Old",'Amounts Pivot Table'!$A$3,"state","NC")</f>
        <v>425322735.63</v>
      </c>
      <c r="H20" s="29">
        <f t="shared" si="5"/>
        <v>3586450288.46</v>
      </c>
      <c r="I20" s="29">
        <f>+GETPIVOTDATA("Sum of Local-Old",'Amounts Pivot Table'!$A$3,"state","NC")</f>
        <v>198011685</v>
      </c>
      <c r="J20" s="29">
        <f>+GETPIVOTDATA("Sum of Tuition Tot-Old",'Amounts Pivot Table'!$A$3,"state","NC","category2","Four-Year")+GETPIVOTDATA("Sum of Tuition Tot-Old",'Amounts Pivot Table'!$A$3,"state","NC","category2","Two-Year")+GETPIVOTDATA("Sum of Tuition Tot-Old",'Amounts Pivot Table'!$A$3,"state","NC","category2","Technical")</f>
        <v>1210724542.5999999</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10598904.33</v>
      </c>
      <c r="M20" s="29">
        <f>+GETPIVOTDATA("Sum of Tuition SP Debt-Old",'Amounts Pivot Table'!$A$3,"state","NC","category2","Specialized")</f>
        <v>0</v>
      </c>
      <c r="N20" s="29">
        <f>+GETPIVOTDATA("Sum of Health Tuition-Old",'Amounts Pivot Table'!$A$3,"state","NC")</f>
        <v>56606543.390000001</v>
      </c>
      <c r="O20" s="29">
        <f t="shared" si="6"/>
        <v>1277929990.3199999</v>
      </c>
      <c r="P20" s="29">
        <f t="shared" si="7"/>
        <v>5062391963.7799997</v>
      </c>
      <c r="Q20" s="32"/>
      <c r="R20" s="67" t="s">
        <v>456</v>
      </c>
      <c r="S20" s="150">
        <f t="shared" si="0"/>
        <v>0.51809546866489553</v>
      </c>
      <c r="T20" s="150">
        <f t="shared" si="0"/>
        <v>3.6288095887152719E-2</v>
      </c>
      <c r="U20" s="150">
        <f t="shared" si="0"/>
        <v>1.0546899578698905E-2</v>
      </c>
      <c r="V20" s="150">
        <f t="shared" si="0"/>
        <v>5.1078687318182811E-3</v>
      </c>
      <c r="W20" s="150">
        <f t="shared" si="0"/>
        <v>5.4395250203894914E-2</v>
      </c>
      <c r="X20" s="150">
        <f t="shared" si="0"/>
        <v>8.4016160477708032E-2</v>
      </c>
      <c r="Y20" s="329">
        <f t="shared" si="2"/>
        <v>0.70844974354416834</v>
      </c>
      <c r="Z20" s="150">
        <f t="shared" si="1"/>
        <v>3.911425397652301E-2</v>
      </c>
      <c r="AA20" s="150">
        <f t="shared" si="1"/>
        <v>0.23916056900816762</v>
      </c>
      <c r="AB20" s="150">
        <f t="shared" si="1"/>
        <v>0</v>
      </c>
      <c r="AC20" s="150">
        <f t="shared" si="1"/>
        <v>2.0936554114798301E-3</v>
      </c>
      <c r="AD20" s="150">
        <f t="shared" si="1"/>
        <v>0</v>
      </c>
      <c r="AE20" s="150">
        <f t="shared" si="1"/>
        <v>1.1181778059661125E-2</v>
      </c>
      <c r="AF20" s="332">
        <f t="shared" si="3"/>
        <v>0.25243600247930859</v>
      </c>
      <c r="AG20" s="324">
        <f t="shared" si="4"/>
        <v>1</v>
      </c>
      <c r="AH20" s="6"/>
      <c r="AI20" s="6"/>
      <c r="AJ20" s="6"/>
    </row>
    <row r="21" spans="1:36" ht="12" customHeight="1">
      <c r="A21" s="7" t="s">
        <v>463</v>
      </c>
      <c r="B21" s="29">
        <f>+GETPIVOTDATA("Sum of State Gen Purp-Old",'Amounts Pivot Table'!$A$3,"state","OK","category2","Four-Year")+GETPIVOTDATA("Sum of State Gen Purp-Old",'Amounts Pivot Table'!$A$3,"state","OK","category2","Two-Year")+GETPIVOTDATA("Sum of State Gen Purp-Old",'Amounts Pivot Table'!$A$3,"state","OK","category2","Technical")</f>
        <v>802060532</v>
      </c>
      <c r="C21" s="29">
        <f>+GETPIVOTDATA("Sum of State Ed Spec Purp-Old",'Amounts Pivot Table'!$A$3,"state","OK","category2","Four-Year")+GETPIVOTDATA("Sum of State Ed Spec Purp-Old",'Amounts Pivot Table'!$A$3,"state","OK","category2","Two-Year")+GETPIVOTDATA("Sum of State Ed Spec Purp-Old",'Amounts Pivot Table'!$A$3,"state","OK","category2","Technical")</f>
        <v>56984196</v>
      </c>
      <c r="D21" s="29">
        <f>+GETPIVOTDATA("Sum of State Ed Spec Purp-Old",'Amounts Pivot Table'!$A$3,"state","OK","category2","Other")</f>
        <v>16239399</v>
      </c>
      <c r="E21" s="29">
        <f>+GETPIVOTDATA("Sum of Other Spec Purp State-Old",'Amounts Pivot Table'!$A$3,"state","OK","category2","Specialized")</f>
        <v>0</v>
      </c>
      <c r="F21" s="29">
        <f>+GETPIVOTDATA("Sum of Health State-Old",'Amounts Pivot Table'!$A$3,"state","OK")</f>
        <v>120437806</v>
      </c>
      <c r="G21" s="29">
        <f>+GETPIVOTDATA("Sum of Other Spec Purp State-Old",'Amounts Pivot Table'!$A$3,"state","OK")</f>
        <v>88518742</v>
      </c>
      <c r="H21" s="29">
        <f t="shared" si="5"/>
        <v>1084240675</v>
      </c>
      <c r="I21" s="29">
        <f>+GETPIVOTDATA("Sum of Local-Old",'Amounts Pivot Table'!$A$3,"state","OK")</f>
        <v>41489536</v>
      </c>
      <c r="J21" s="29">
        <f>+GETPIVOTDATA("Sum of Tuition Tot-Old",'Amounts Pivot Table'!$A$3,"state","OK","category2","Four-Year")+GETPIVOTDATA("Sum of Tuition Tot-Old",'Amounts Pivot Table'!$A$3,"state","OK","category2","Two-Year")+GETPIVOTDATA("Sum of Tuition Tot-Old",'Amounts Pivot Table'!$A$3,"state","OK","category2","Technical")</f>
        <v>723423723</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62813209</v>
      </c>
      <c r="O21" s="29">
        <f t="shared" si="6"/>
        <v>786236932</v>
      </c>
      <c r="P21" s="29">
        <f t="shared" si="7"/>
        <v>1911967143</v>
      </c>
      <c r="Q21" s="32"/>
      <c r="R21" s="67" t="s">
        <v>463</v>
      </c>
      <c r="S21" s="150">
        <f t="shared" si="0"/>
        <v>0.41949493480390837</v>
      </c>
      <c r="T21" s="150">
        <f t="shared" si="0"/>
        <v>2.9803961960658022E-2</v>
      </c>
      <c r="U21" s="150">
        <f t="shared" si="0"/>
        <v>8.4935554773809211E-3</v>
      </c>
      <c r="V21" s="150">
        <f t="shared" si="0"/>
        <v>0</v>
      </c>
      <c r="W21" s="150">
        <f t="shared" si="0"/>
        <v>6.2991566795978143E-2</v>
      </c>
      <c r="X21" s="150">
        <f t="shared" si="0"/>
        <v>4.6297208780015107E-2</v>
      </c>
      <c r="Y21" s="329">
        <f t="shared" si="2"/>
        <v>0.56708122781794057</v>
      </c>
      <c r="Z21" s="150">
        <f t="shared" si="1"/>
        <v>2.1699921022126058E-2</v>
      </c>
      <c r="AA21" s="150">
        <f t="shared" si="1"/>
        <v>0.37836618984199771</v>
      </c>
      <c r="AB21" s="150">
        <f t="shared" si="1"/>
        <v>0</v>
      </c>
      <c r="AC21" s="150">
        <f t="shared" si="1"/>
        <v>0</v>
      </c>
      <c r="AD21" s="150">
        <f t="shared" si="1"/>
        <v>0</v>
      </c>
      <c r="AE21" s="150">
        <f t="shared" si="1"/>
        <v>3.2852661317935627E-2</v>
      </c>
      <c r="AF21" s="332">
        <f t="shared" si="3"/>
        <v>0.41121885115993334</v>
      </c>
      <c r="AG21" s="324">
        <f t="shared" si="4"/>
        <v>1</v>
      </c>
      <c r="AH21" s="6"/>
      <c r="AI21" s="6"/>
      <c r="AJ21" s="6"/>
    </row>
    <row r="22" spans="1:36" ht="12" customHeight="1">
      <c r="A22" s="7" t="s">
        <v>457</v>
      </c>
      <c r="B22" s="29">
        <f>+GETPIVOTDATA("Sum of State Gen Purp-Old",'Amounts Pivot Table'!$A$3,"state","SC","category2","Four-Year")+GETPIVOTDATA("Sum of State Gen Purp-Old",'Amounts Pivot Table'!$A$3,"state","SC","category2","Two-Year")+GETPIVOTDATA("Sum of State Gen Purp-Old",'Amounts Pivot Table'!$A$3,"state","SC","category2","Technical")</f>
        <v>421397980</v>
      </c>
      <c r="C22" s="29">
        <f>+GETPIVOTDATA("Sum of State Ed Spec Purp-Old",'Amounts Pivot Table'!$A$3,"state","SC","category2","Four-Year")+GETPIVOTDATA("Sum of State Ed Spec Purp-Old",'Amounts Pivot Table'!$A$3,"state","SC","category2","Two-Year")+GETPIVOTDATA("Sum of State Ed Spec Purp-Old",'Amounts Pivot Table'!$A$3,"state","SC","category2","Technical")</f>
        <v>68852554</v>
      </c>
      <c r="D22" s="29">
        <f>+GETPIVOTDATA("Sum of State Ed Spec Purp-Old",'Amounts Pivot Table'!$A$3,"state","SC","category2","Other")</f>
        <v>5841282</v>
      </c>
      <c r="E22" s="29">
        <f>+GETPIVOTDATA("Sum of Other Spec Purp State-Old",'Amounts Pivot Table'!$A$3,"state","SC","category2","Specialized")</f>
        <v>0</v>
      </c>
      <c r="F22" s="29">
        <f>+GETPIVOTDATA("Sum of Health State-Old",'Amounts Pivot Table'!$A$3,"state","SC")</f>
        <v>107267485</v>
      </c>
      <c r="G22" s="29">
        <f>+GETPIVOTDATA("Sum of Other Spec Purp State-Old",'Amounts Pivot Table'!$A$3,"state","SC")</f>
        <v>331915217</v>
      </c>
      <c r="H22" s="29">
        <f t="shared" si="5"/>
        <v>935274518</v>
      </c>
      <c r="I22" s="29">
        <f>+GETPIVOTDATA("Sum of Local-Old",'Amounts Pivot Table'!$A$3,"state","SC")</f>
        <v>59941603</v>
      </c>
      <c r="J22" s="29">
        <f>+GETPIVOTDATA("Sum of Tuition Tot-Old",'Amounts Pivot Table'!$A$3,"state","SC","category2","Four-Year")+GETPIVOTDATA("Sum of Tuition Tot-Old",'Amounts Pivot Table'!$A$3,"state","SC","category2","Two-Year")+GETPIVOTDATA("Sum of Tuition Tot-Old",'Amounts Pivot Table'!$A$3,"state","SC","category2","Technical")</f>
        <v>1589713789.6564732</v>
      </c>
      <c r="K22" s="29">
        <f>+GETPIVOTDATA("Sum of Tuition Debt-Old",'Amounts Pivot Table'!$A$3,"state","SC","category2","Four-Year")+GETPIVOTDATA("Sum of Tuition Debt-Old",'Amounts Pivot Table'!$A$3,"state","SC","category2","Two-Year")+GETPIVOTDATA("Sum of Tuition Debt-Old",'Amounts Pivot Table'!$A$3,"state","SC","category2","Technical")</f>
        <v>85947044</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68142016</v>
      </c>
      <c r="O22" s="29">
        <f t="shared" si="6"/>
        <v>1571908761.6564732</v>
      </c>
      <c r="P22" s="29">
        <f t="shared" si="7"/>
        <v>2567124882.6564732</v>
      </c>
      <c r="Q22" s="32"/>
      <c r="R22" s="67" t="s">
        <v>457</v>
      </c>
      <c r="S22" s="150">
        <f t="shared" si="0"/>
        <v>0.16415172586537174</v>
      </c>
      <c r="T22" s="150">
        <f t="shared" si="0"/>
        <v>2.6820882172569279E-2</v>
      </c>
      <c r="U22" s="150">
        <f t="shared" si="0"/>
        <v>2.2754179352410054E-3</v>
      </c>
      <c r="V22" s="150">
        <f t="shared" si="0"/>
        <v>0</v>
      </c>
      <c r="W22" s="150">
        <f t="shared" si="0"/>
        <v>4.1785066914625163E-2</v>
      </c>
      <c r="X22" s="150">
        <f t="shared" si="0"/>
        <v>0.12929453461435525</v>
      </c>
      <c r="Y22" s="329">
        <f t="shared" si="2"/>
        <v>0.36432762750216241</v>
      </c>
      <c r="Z22" s="150">
        <f t="shared" si="1"/>
        <v>2.3349702776427513E-2</v>
      </c>
      <c r="AA22" s="150">
        <f t="shared" si="1"/>
        <v>0.61925845540144886</v>
      </c>
      <c r="AB22" s="150">
        <f t="shared" si="1"/>
        <v>3.3479884278579231E-2</v>
      </c>
      <c r="AC22" s="150">
        <f t="shared" si="1"/>
        <v>0</v>
      </c>
      <c r="AD22" s="150">
        <f t="shared" si="1"/>
        <v>0</v>
      </c>
      <c r="AE22" s="150">
        <f t="shared" si="1"/>
        <v>2.6544098598540448E-2</v>
      </c>
      <c r="AF22" s="332">
        <f t="shared" si="3"/>
        <v>0.61232266972141003</v>
      </c>
      <c r="AG22" s="324">
        <f t="shared" si="4"/>
        <v>1</v>
      </c>
      <c r="AH22" s="6"/>
      <c r="AI22" s="6"/>
      <c r="AJ22" s="6"/>
    </row>
    <row r="23" spans="1:36" s="88" customFormat="1" ht="4.5" customHeight="1">
      <c r="A23" s="85"/>
      <c r="B23" s="86"/>
      <c r="C23" s="86"/>
      <c r="D23" s="86"/>
      <c r="E23" s="86"/>
      <c r="F23" s="86"/>
      <c r="G23" s="86"/>
      <c r="H23" s="86"/>
      <c r="I23" s="86"/>
      <c r="J23" s="86"/>
      <c r="K23" s="86"/>
      <c r="L23" s="86"/>
      <c r="M23" s="86"/>
      <c r="N23" s="86"/>
      <c r="O23" s="29"/>
      <c r="P23" s="86"/>
      <c r="Q23" s="87"/>
      <c r="R23" s="85"/>
      <c r="S23" s="150"/>
      <c r="T23" s="150"/>
      <c r="U23" s="150"/>
      <c r="V23" s="150"/>
      <c r="W23" s="150"/>
      <c r="X23" s="150"/>
      <c r="Y23" s="329"/>
      <c r="Z23" s="150"/>
      <c r="AA23" s="150"/>
      <c r="AB23" s="150"/>
      <c r="AC23" s="150"/>
      <c r="AD23" s="150"/>
      <c r="AE23" s="150"/>
      <c r="AF23" s="332"/>
      <c r="AG23" s="324"/>
    </row>
    <row r="24" spans="1:36" ht="12" customHeight="1">
      <c r="A24" s="7" t="s">
        <v>130</v>
      </c>
      <c r="B24" s="29">
        <f>+GETPIVOTDATA("Sum of State Gen Purp-Old",'Amounts Pivot Table'!$A$3,"state","TN","category2","Four-Year")+GETPIVOTDATA("Sum of State Gen Purp-Old",'Amounts Pivot Table'!$A$3,"state","TN","category2","Two-Year")+GETPIVOTDATA("Sum of State Gen Purp-Old",'Amounts Pivot Table'!$A$3,"state","TN","category2","Technical")</f>
        <v>866029549.90999997</v>
      </c>
      <c r="C24" s="29">
        <f>+GETPIVOTDATA("Sum of State Ed Spec Purp-Old",'Amounts Pivot Table'!$A$3,"state","TN","category2","Four-Year")+GETPIVOTDATA("Sum of State Ed Spec Purp-Old",'Amounts Pivot Table'!$A$3,"state","TN","category2","Two-Year")+GETPIVOTDATA("Sum of State Ed Spec Purp-Old",'Amounts Pivot Table'!$A$3,"state","TN","category2","Technical")</f>
        <v>67651500</v>
      </c>
      <c r="D24" s="29">
        <f>+GETPIVOTDATA("Sum of State Ed Spec Purp-Old",'Amounts Pivot Table'!$A$3,"state","TN","category2","Other")</f>
        <v>370700</v>
      </c>
      <c r="E24" s="29">
        <f>+GETPIVOTDATA("Sum of Other Spec Purp State-Old",'Amounts Pivot Table'!$A$3,"state","TN","category2","Specialized")</f>
        <v>8832100</v>
      </c>
      <c r="F24" s="29">
        <f>+GETPIVOTDATA("Sum of Health State-Old",'Amounts Pivot Table'!$A$3,"state","TN")</f>
        <v>174326000</v>
      </c>
      <c r="G24" s="29">
        <f>+GETPIVOTDATA("Sum of Other Spec Purp State-Old",'Amounts Pivot Table'!$A$3,"state","TN")</f>
        <v>363958834</v>
      </c>
      <c r="H24" s="29">
        <f t="shared" si="5"/>
        <v>1481168683.9099998</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1037065075.6046216</v>
      </c>
      <c r="K24" s="29">
        <f>+GETPIVOTDATA("Sum of Tuition Debt-Old",'Amounts Pivot Table'!$A$3,"state","TN","category2","Four-Year")+GETPIVOTDATA("Sum of Tuition Debt-Old",'Amounts Pivot Table'!$A$3,"state","TN","category2","Two-Year")+GETPIVOTDATA("Sum of Tuition Debt-Old",'Amounts Pivot Table'!$A$3,"state","TN","category2","Technical")</f>
        <v>24572000</v>
      </c>
      <c r="L24" s="29">
        <f>+GETPIVOTDATA("Sum of Tuition SP Tot-Old",'Amounts Pivot Table'!$A$3,"state","TN","category2","Specialized")</f>
        <v>1742200</v>
      </c>
      <c r="M24" s="29">
        <f>+GETPIVOTDATA("Sum of Tuition SP Debt-Old",'Amounts Pivot Table'!$A$3,"state","TN","category2","Specialized")</f>
        <v>124200</v>
      </c>
      <c r="N24" s="29">
        <f>+GETPIVOTDATA("Sum of Health Tuition-Old",'Amounts Pivot Table'!$A$3,"state","TN")</f>
        <v>63865495</v>
      </c>
      <c r="O24" s="29">
        <f t="shared" si="6"/>
        <v>1077976570.6046216</v>
      </c>
      <c r="P24" s="29">
        <f t="shared" si="7"/>
        <v>2559145254.5146217</v>
      </c>
      <c r="Q24" s="32"/>
      <c r="R24" s="67" t="s">
        <v>130</v>
      </c>
      <c r="S24" s="150">
        <f t="shared" si="0"/>
        <v>0.33840578153280898</v>
      </c>
      <c r="T24" s="150">
        <f t="shared" si="0"/>
        <v>2.6435193500898437E-2</v>
      </c>
      <c r="U24" s="150" t="str">
        <f t="shared" si="0"/>
        <v>*</v>
      </c>
      <c r="V24" s="150">
        <f t="shared" si="0"/>
        <v>3.4511913633738359E-3</v>
      </c>
      <c r="W24" s="150">
        <f t="shared" si="0"/>
        <v>6.8118837605043794E-2</v>
      </c>
      <c r="X24" s="150">
        <f t="shared" si="0"/>
        <v>0.14221890428373904</v>
      </c>
      <c r="Y24" s="329">
        <f t="shared" si="2"/>
        <v>0.57862990828586414</v>
      </c>
      <c r="Z24" s="150">
        <f t="shared" ref="Z24:AE27" si="8">IF(I24/$P24=0,,IF(I24/$P24&gt;0.0005,I24/$P24,"*"))</f>
        <v>0</v>
      </c>
      <c r="AA24" s="150">
        <f t="shared" si="8"/>
        <v>0.40523884831278001</v>
      </c>
      <c r="AB24" s="150">
        <f t="shared" si="8"/>
        <v>9.6016433442580925E-3</v>
      </c>
      <c r="AC24" s="150">
        <f t="shared" si="8"/>
        <v>6.8077417525502391E-4</v>
      </c>
      <c r="AD24" s="150" t="str">
        <f t="shared" si="8"/>
        <v>*</v>
      </c>
      <c r="AE24" s="150">
        <f t="shared" si="8"/>
        <v>2.4955791347651739E-2</v>
      </c>
      <c r="AF24" s="332">
        <f t="shared" si="3"/>
        <v>0.4212252386623811</v>
      </c>
      <c r="AG24" s="324">
        <f t="shared" si="4"/>
        <v>0.99985514694824529</v>
      </c>
      <c r="AH24" s="6"/>
      <c r="AI24" s="6"/>
      <c r="AJ24" s="6"/>
    </row>
    <row r="25" spans="1:36" ht="12" customHeight="1">
      <c r="A25" s="7" t="s">
        <v>458</v>
      </c>
      <c r="B25" s="29">
        <f>+GETPIVOTDATA("Sum of State Gen Purp-Old",'Amounts Pivot Table'!$A$3,"state","TX","category2","Four-Year")+GETPIVOTDATA("Sum of State Gen Purp-Old",'Amounts Pivot Table'!$A$3,"state","TX","category2","Two-Year")+GETPIVOTDATA("Sum of State Gen Purp-Old",'Amounts Pivot Table'!$A$3,"state","TX","category2","Technical")</f>
        <v>4286972793</v>
      </c>
      <c r="C25" s="29">
        <f>+GETPIVOTDATA("Sum of State Ed Spec Purp-Old",'Amounts Pivot Table'!$A$3,"state","TX","category2","Four-Year")+GETPIVOTDATA("Sum of State Ed Spec Purp-Old",'Amounts Pivot Table'!$A$3,"state","TX","category2","Two-Year")+GETPIVOTDATA("Sum of State Ed Spec Purp-Old",'Amounts Pivot Table'!$A$3,"state","TX","category2","Technical")</f>
        <v>267525647</v>
      </c>
      <c r="D25" s="29">
        <f>+GETPIVOTDATA("Sum of State Ed Spec Purp-Old",'Amounts Pivot Table'!$A$3,"state","TX","category2","Other")</f>
        <v>1853029</v>
      </c>
      <c r="E25" s="29">
        <f>+GETPIVOTDATA("Sum of Other Spec Purp State-Old",'Amounts Pivot Table'!$A$3,"state","TX","category2","Specialized")</f>
        <v>0</v>
      </c>
      <c r="F25" s="29">
        <f>+GETPIVOTDATA("Sum of Health State-Old",'Amounts Pivot Table'!$A$3,"state","TX")</f>
        <v>1656177413</v>
      </c>
      <c r="G25" s="29">
        <f>+GETPIVOTDATA("Sum of Other Spec Purp State-Old",'Amounts Pivot Table'!$A$3,"state","TX")</f>
        <v>642359524</v>
      </c>
      <c r="H25" s="29">
        <f t="shared" si="5"/>
        <v>6854888406</v>
      </c>
      <c r="I25" s="29">
        <f>+GETPIVOTDATA("Sum of Local-Old",'Amounts Pivot Table'!$A$3,"state","TX")</f>
        <v>1345021257</v>
      </c>
      <c r="J25" s="29">
        <f>+GETPIVOTDATA("Sum of Tuition Tot-Old",'Amounts Pivot Table'!$A$3,"state","TX","category2","Four-Year")+GETPIVOTDATA("Sum of Tuition Tot-Old",'Amounts Pivot Table'!$A$3,"state","TX","category2","Two-Year")+GETPIVOTDATA("Sum of Tuition Tot-Old",'Amounts Pivot Table'!$A$3,"state","TX","category2","Technical")</f>
        <v>4506956954</v>
      </c>
      <c r="K25" s="29">
        <f>+GETPIVOTDATA("Sum of Tuition Debt-Old",'Amounts Pivot Table'!$A$3,"state","TX","category2","Four-Year")+GETPIVOTDATA("Sum of Tuition Debt-Old",'Amounts Pivot Table'!$A$3,"state","TX","category2","Two-Year")+GETPIVOTDATA("Sum of Tuition Debt-Old",'Amounts Pivot Table'!$A$3,"state","TX","category2","Technical")</f>
        <v>946145</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175781673</v>
      </c>
      <c r="O25" s="29">
        <f t="shared" si="6"/>
        <v>4681792482</v>
      </c>
      <c r="P25" s="29">
        <f t="shared" si="7"/>
        <v>12881702145</v>
      </c>
      <c r="Q25" s="32"/>
      <c r="R25" s="67" t="s">
        <v>458</v>
      </c>
      <c r="S25" s="150">
        <f t="shared" si="0"/>
        <v>0.33279552226442199</v>
      </c>
      <c r="T25" s="150">
        <f t="shared" si="0"/>
        <v>2.0767880206253597E-2</v>
      </c>
      <c r="U25" s="150" t="str">
        <f t="shared" si="0"/>
        <v>*</v>
      </c>
      <c r="V25" s="150">
        <f t="shared" si="0"/>
        <v>0</v>
      </c>
      <c r="W25" s="150">
        <f t="shared" si="0"/>
        <v>0.12856821205440161</v>
      </c>
      <c r="X25" s="150">
        <f t="shared" si="0"/>
        <v>4.986604384804303E-2</v>
      </c>
      <c r="Y25" s="329">
        <f t="shared" si="2"/>
        <v>0.53199765837312019</v>
      </c>
      <c r="Z25" s="150">
        <f t="shared" si="8"/>
        <v>0.10441331757713918</v>
      </c>
      <c r="AA25" s="150">
        <f t="shared" si="8"/>
        <v>0.34987278103999353</v>
      </c>
      <c r="AB25" s="150" t="str">
        <f t="shared" si="8"/>
        <v>*</v>
      </c>
      <c r="AC25" s="150">
        <f t="shared" si="8"/>
        <v>0</v>
      </c>
      <c r="AD25" s="150">
        <f t="shared" si="8"/>
        <v>0</v>
      </c>
      <c r="AE25" s="150">
        <f t="shared" si="8"/>
        <v>1.364584206507439E-2</v>
      </c>
      <c r="AF25" s="332">
        <f t="shared" si="3"/>
        <v>0.3634451743488904</v>
      </c>
      <c r="AG25" s="324">
        <f t="shared" si="4"/>
        <v>0.99985615029914987</v>
      </c>
      <c r="AH25" s="6"/>
      <c r="AI25" s="6"/>
      <c r="AJ25" s="6"/>
    </row>
    <row r="26" spans="1:36" ht="12" customHeight="1">
      <c r="A26" s="7" t="s">
        <v>459</v>
      </c>
      <c r="B26" s="29">
        <f>+GETPIVOTDATA("Sum of State Gen Purp-Old",'Amounts Pivot Table'!$A$3,"state","VA","category2","Four-Year")+GETPIVOTDATA("Sum of State Gen Purp-Old",'Amounts Pivot Table'!$A$3,"state","VA","category2","Two-Year")+GETPIVOTDATA("Sum of State Gen Purp-Old",'Amounts Pivot Table'!$A$3,"state","VA","category2","Technical")</f>
        <v>1213016990</v>
      </c>
      <c r="C26" s="29">
        <f>+GETPIVOTDATA("Sum of State Ed Spec Purp-Old",'Amounts Pivot Table'!$A$3,"state","VA","category2","Four-Year")+GETPIVOTDATA("Sum of State Ed Spec Purp-Old",'Amounts Pivot Table'!$A$3,"state","VA","category2","Two-Year")+GETPIVOTDATA("Sum of State Ed Spec Purp-Old",'Amounts Pivot Table'!$A$3,"state","VA","category2","Technical")</f>
        <v>95533801</v>
      </c>
      <c r="D26" s="29">
        <f>+GETPIVOTDATA("Sum of State Ed Spec Purp-Old",'Amounts Pivot Table'!$A$3,"state","VA","category2","Other")</f>
        <v>97438377</v>
      </c>
      <c r="E26" s="29">
        <f>+GETPIVOTDATA("Sum of Other Spec Purp State-Old",'Amounts Pivot Table'!$A$3,"state","VA","category2","Specialized")</f>
        <v>11624418</v>
      </c>
      <c r="F26" s="29">
        <f>+GETPIVOTDATA("Sum of Health State-Old",'Amounts Pivot Table'!$A$3,"state","VA")</f>
        <v>73041880</v>
      </c>
      <c r="G26" s="29">
        <f>+GETPIVOTDATA("Sum of Other Spec Purp State-Old",'Amounts Pivot Table'!$A$3,"state","VA")</f>
        <v>264174047</v>
      </c>
      <c r="H26" s="29">
        <f t="shared" si="5"/>
        <v>1754829513</v>
      </c>
      <c r="I26" s="29">
        <f>+GETPIVOTDATA("Sum of Local-Old",'Amounts Pivot Table'!$A$3,"state","VA")</f>
        <v>15452590</v>
      </c>
      <c r="J26" s="29">
        <f>+GETPIVOTDATA("Sum of Tuition Tot-Old",'Amounts Pivot Table'!$A$3,"state","VA","category2","Four-Year")+GETPIVOTDATA("Sum of Tuition Tot-Old",'Amounts Pivot Table'!$A$3,"state","VA","category2","Two-Year")+GETPIVOTDATA("Sum of Tuition Tot-Old",'Amounts Pivot Table'!$A$3,"state","VA","category2","Technical")</f>
        <v>1880754618</v>
      </c>
      <c r="K26" s="29">
        <f>+GETPIVOTDATA("Sum of Tuition Debt-Old",'Amounts Pivot Table'!$A$3,"state","VA","category2","Four-Year")+GETPIVOTDATA("Sum of Tuition Debt-Old",'Amounts Pivot Table'!$A$3,"state","VA","category2","Two-Year")+GETPIVOTDATA("Sum of Tuition Debt-Old",'Amounts Pivot Table'!$A$3,"state","VA","category2","Technical")</f>
        <v>13804715</v>
      </c>
      <c r="L26" s="29">
        <f>+GETPIVOTDATA("Sum of Tuition SP Tot-Old",'Amounts Pivot Table'!$A$3,"state","VA","category2","Specialized")</f>
        <v>19955772</v>
      </c>
      <c r="M26" s="29">
        <f>+GETPIVOTDATA("Sum of Tuition SP Debt-Old",'Amounts Pivot Table'!$A$3,"state","VA","category2","Specialized")</f>
        <v>191055</v>
      </c>
      <c r="N26" s="29">
        <f>+GETPIVOTDATA("Sum of Health Tuition-Old",'Amounts Pivot Table'!$A$3,"state","VA")</f>
        <v>81880664</v>
      </c>
      <c r="O26" s="29">
        <f t="shared" si="6"/>
        <v>1968595284</v>
      </c>
      <c r="P26" s="29">
        <f t="shared" si="7"/>
        <v>3738877387</v>
      </c>
      <c r="Q26" s="32"/>
      <c r="R26" s="67" t="s">
        <v>459</v>
      </c>
      <c r="S26" s="150">
        <f t="shared" si="0"/>
        <v>0.32443347680178952</v>
      </c>
      <c r="T26" s="150">
        <f t="shared" si="0"/>
        <v>2.555146668681061E-2</v>
      </c>
      <c r="U26" s="150">
        <f t="shared" si="0"/>
        <v>2.6060864509435705E-2</v>
      </c>
      <c r="V26" s="150">
        <f t="shared" si="0"/>
        <v>3.1090663845832075E-3</v>
      </c>
      <c r="W26" s="150">
        <f t="shared" si="0"/>
        <v>1.9535778374002079E-2</v>
      </c>
      <c r="X26" s="150">
        <f t="shared" si="0"/>
        <v>7.0655980300003349E-2</v>
      </c>
      <c r="Y26" s="329">
        <f t="shared" si="2"/>
        <v>0.4693466330566245</v>
      </c>
      <c r="Z26" s="150">
        <f t="shared" si="8"/>
        <v>4.1329491182910518E-3</v>
      </c>
      <c r="AA26" s="150">
        <f t="shared" si="8"/>
        <v>0.50302655672511365</v>
      </c>
      <c r="AB26" s="150">
        <f t="shared" si="8"/>
        <v>3.6922085351070114E-3</v>
      </c>
      <c r="AC26" s="150">
        <f t="shared" si="8"/>
        <v>5.3373700002535013E-3</v>
      </c>
      <c r="AD26" s="150" t="str">
        <f t="shared" si="8"/>
        <v>*</v>
      </c>
      <c r="AE26" s="150">
        <f t="shared" si="8"/>
        <v>2.1899799197667564E-2</v>
      </c>
      <c r="AF26" s="332">
        <f t="shared" si="3"/>
        <v>0.52652041782508452</v>
      </c>
      <c r="AG26" s="324">
        <f t="shared" si="4"/>
        <v>1</v>
      </c>
      <c r="AH26" s="6"/>
      <c r="AI26" s="6"/>
      <c r="AJ26" s="6"/>
    </row>
    <row r="27" spans="1:36" ht="12" customHeight="1">
      <c r="A27" s="8" t="s">
        <v>464</v>
      </c>
      <c r="B27" s="29">
        <f>+GETPIVOTDATA("Sum of State Gen Purp-Old",'Amounts Pivot Table'!$A$3,"state","WV","category2","Four-Year")+GETPIVOTDATA("Sum of State Gen Purp-Old",'Amounts Pivot Table'!$A$3,"state","WV","category2","Two-Year")+GETPIVOTDATA("Sum of State Gen Purp-Old",'Amounts Pivot Table'!$A$3,"state","WV","category2","Technical")</f>
        <v>246921460</v>
      </c>
      <c r="C27" s="29">
        <f>+GETPIVOTDATA("Sum of State Ed Spec Purp-Old",'Amounts Pivot Table'!$A$3,"state","WV","category2","Four-Year")+GETPIVOTDATA("Sum of State Ed Spec Purp-Old",'Amounts Pivot Table'!$A$3,"state","WV","category2","Two-Year")+GETPIVOTDATA("Sum of State Ed Spec Purp-Old",'Amounts Pivot Table'!$A$3,"state","WV","category2","Technical")</f>
        <v>41627387</v>
      </c>
      <c r="D27" s="29">
        <f>+GETPIVOTDATA("Sum of State Ed Spec Purp-Old",'Amounts Pivot Table'!$A$3,"state","WV","category2","Other")</f>
        <v>333500</v>
      </c>
      <c r="E27" s="29">
        <f>+GETPIVOTDATA("Sum of Other Spec Purp State-Old",'Amounts Pivot Table'!$A$3,"state","WV","category2","Specialized")</f>
        <v>0</v>
      </c>
      <c r="F27" s="29">
        <f>+GETPIVOTDATA("Sum of Health State-Old",'Amounts Pivot Table'!$A$3,"state","WV")</f>
        <v>95963266</v>
      </c>
      <c r="G27" s="29">
        <f>+GETPIVOTDATA("Sum of Other Spec Purp State-Old",'Amounts Pivot Table'!$A$3,"state","WV")</f>
        <v>104028584</v>
      </c>
      <c r="H27" s="29">
        <f t="shared" si="5"/>
        <v>488874197</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512613862</v>
      </c>
      <c r="K27" s="29">
        <f>+GETPIVOTDATA("Sum of Tuition Debt-Old",'Amounts Pivot Table'!$A$3,"state","WV","category2","Four-Year")+GETPIVOTDATA("Sum of Tuition Debt-Old",'Amounts Pivot Table'!$A$3,"state","WV","category2","Two-Year")+GETPIVOTDATA("Sum of Tuition Debt-Old",'Amounts Pivot Table'!$A$3,"state","WV","category2","Technical")</f>
        <v>18670271</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79480151</v>
      </c>
      <c r="O27" s="29">
        <f t="shared" si="6"/>
        <v>573423742</v>
      </c>
      <c r="P27" s="29">
        <f t="shared" si="7"/>
        <v>1062297939</v>
      </c>
      <c r="Q27" s="34"/>
      <c r="R27" s="68" t="s">
        <v>464</v>
      </c>
      <c r="S27" s="328">
        <f t="shared" si="0"/>
        <v>0.23244087269193131</v>
      </c>
      <c r="T27" s="328">
        <f t="shared" si="0"/>
        <v>3.9186169408542929E-2</v>
      </c>
      <c r="U27" s="328" t="str">
        <f t="shared" si="0"/>
        <v>*</v>
      </c>
      <c r="V27" s="328">
        <f t="shared" si="0"/>
        <v>0</v>
      </c>
      <c r="W27" s="328">
        <f t="shared" si="0"/>
        <v>9.0335547568072619E-2</v>
      </c>
      <c r="X27" s="328">
        <f t="shared" si="0"/>
        <v>9.7927878969555265E-2</v>
      </c>
      <c r="Y27" s="333">
        <f t="shared" si="2"/>
        <v>0.45989046863810212</v>
      </c>
      <c r="Z27" s="335">
        <f t="shared" si="8"/>
        <v>0</v>
      </c>
      <c r="AA27" s="335">
        <f t="shared" si="8"/>
        <v>0.48255187474292932</v>
      </c>
      <c r="AB27" s="335">
        <f t="shared" si="8"/>
        <v>1.7575362160238552E-2</v>
      </c>
      <c r="AC27" s="335">
        <f t="shared" si="8"/>
        <v>0</v>
      </c>
      <c r="AD27" s="335">
        <f t="shared" si="8"/>
        <v>0</v>
      </c>
      <c r="AE27" s="335">
        <f t="shared" si="8"/>
        <v>7.4819076722316788E-2</v>
      </c>
      <c r="AF27" s="334">
        <f t="shared" si="3"/>
        <v>0.53979558930500759</v>
      </c>
      <c r="AG27" s="330">
        <f t="shared" si="4"/>
        <v>0.99968605794310972</v>
      </c>
      <c r="AH27" s="6"/>
      <c r="AI27" s="6"/>
      <c r="AJ27" s="6"/>
    </row>
    <row r="28" spans="1:36" s="73" customFormat="1" ht="24" customHeight="1">
      <c r="A28" s="1412" t="s">
        <v>137</v>
      </c>
      <c r="B28" s="1413"/>
      <c r="C28" s="1413"/>
      <c r="D28" s="1413"/>
      <c r="E28" s="1413"/>
      <c r="F28" s="1413"/>
      <c r="G28" s="1413"/>
      <c r="H28" s="1413"/>
      <c r="I28" s="1413"/>
      <c r="J28" s="1413"/>
      <c r="K28" s="1413"/>
      <c r="L28" s="1413"/>
      <c r="M28" s="1413"/>
      <c r="N28" s="1413"/>
      <c r="O28" s="1413"/>
      <c r="P28" s="1413"/>
      <c r="Q28" s="161"/>
      <c r="R28" s="1405" t="s">
        <v>134</v>
      </c>
      <c r="S28" s="1406"/>
      <c r="T28" s="1406"/>
      <c r="U28" s="1406"/>
      <c r="V28" s="1406"/>
      <c r="W28" s="1406"/>
      <c r="X28" s="1406"/>
      <c r="Y28" s="1406"/>
      <c r="Z28" s="1406"/>
      <c r="AA28" s="1406"/>
      <c r="AB28" s="1406"/>
      <c r="AC28" s="1406"/>
      <c r="AD28" s="1406"/>
      <c r="AE28" s="1406"/>
      <c r="AF28" s="1406"/>
      <c r="AG28" s="1406"/>
      <c r="AH28" s="551"/>
      <c r="AI28" s="551"/>
      <c r="AJ28" s="551"/>
    </row>
    <row r="29" spans="1:36" s="73" customFormat="1" ht="12.75" customHeight="1">
      <c r="A29" s="1405" t="s">
        <v>444</v>
      </c>
      <c r="B29" s="1406"/>
      <c r="C29" s="1406"/>
      <c r="D29" s="1406"/>
      <c r="E29" s="1406"/>
      <c r="F29" s="1406"/>
      <c r="G29" s="1406"/>
      <c r="H29" s="1406"/>
      <c r="I29" s="1406"/>
      <c r="J29" s="1406"/>
      <c r="K29" s="1406"/>
      <c r="L29" s="1406"/>
      <c r="M29" s="1406"/>
      <c r="N29" s="1406"/>
      <c r="O29" s="1406"/>
      <c r="P29" s="1406"/>
      <c r="Q29" s="161"/>
      <c r="R29" s="1405" t="s">
        <v>444</v>
      </c>
      <c r="S29" s="1406"/>
      <c r="T29" s="1406"/>
      <c r="U29" s="1406"/>
      <c r="V29" s="1406"/>
      <c r="W29" s="1406"/>
      <c r="X29" s="1406"/>
      <c r="Y29" s="1406"/>
      <c r="Z29" s="1406"/>
      <c r="AA29" s="1406"/>
      <c r="AB29" s="1406"/>
      <c r="AC29" s="1406"/>
      <c r="AD29" s="1406"/>
      <c r="AE29" s="1406"/>
      <c r="AF29" s="1406"/>
      <c r="AG29" s="1406"/>
      <c r="AH29" s="551"/>
      <c r="AI29" s="551"/>
      <c r="AJ29" s="551"/>
    </row>
    <row r="30" spans="1:36" s="73" customFormat="1" ht="13.5" customHeight="1">
      <c r="A30" s="1405" t="s">
        <v>330</v>
      </c>
      <c r="B30" s="1406"/>
      <c r="C30" s="1406"/>
      <c r="D30" s="1406"/>
      <c r="E30" s="1406"/>
      <c r="F30" s="1406"/>
      <c r="G30" s="1406"/>
      <c r="H30" s="1406"/>
      <c r="I30" s="1406"/>
      <c r="J30" s="1406"/>
      <c r="K30" s="1406"/>
      <c r="L30" s="1406"/>
      <c r="M30" s="1406"/>
      <c r="N30" s="1406"/>
      <c r="O30" s="1406"/>
      <c r="P30" s="1406"/>
      <c r="Q30" s="161"/>
      <c r="R30" s="1405" t="s">
        <v>42</v>
      </c>
      <c r="S30" s="1406"/>
      <c r="T30" s="1406"/>
      <c r="U30" s="1406"/>
      <c r="V30" s="1406"/>
      <c r="W30" s="1406"/>
      <c r="X30" s="1406"/>
      <c r="Y30" s="1406"/>
      <c r="Z30" s="1406"/>
      <c r="AA30" s="1406"/>
      <c r="AB30" s="1406"/>
      <c r="AC30" s="1406"/>
      <c r="AD30" s="1406"/>
      <c r="AE30" s="1406"/>
      <c r="AF30" s="1406"/>
      <c r="AG30" s="1406"/>
      <c r="AH30" s="555"/>
      <c r="AI30" s="555"/>
      <c r="AJ30" s="555"/>
    </row>
    <row r="31" spans="1:36" s="73" customFormat="1">
      <c r="A31" s="1405" t="s">
        <v>374</v>
      </c>
      <c r="B31" s="1406"/>
      <c r="C31" s="1406"/>
      <c r="D31" s="1406"/>
      <c r="E31" s="1406"/>
      <c r="F31" s="1406"/>
      <c r="G31" s="1406"/>
      <c r="H31" s="1406"/>
      <c r="I31" s="1406"/>
      <c r="J31" s="1406"/>
      <c r="K31" s="1406"/>
      <c r="L31" s="1406"/>
      <c r="M31" s="1406"/>
      <c r="N31" s="1406"/>
      <c r="O31" s="1406"/>
      <c r="P31" s="1406"/>
      <c r="Q31" s="161"/>
      <c r="R31" s="1405" t="s">
        <v>374</v>
      </c>
      <c r="S31" s="1406"/>
      <c r="T31" s="1406"/>
      <c r="U31" s="1406"/>
      <c r="V31" s="1406"/>
      <c r="W31" s="1406"/>
      <c r="X31" s="1406"/>
      <c r="Y31" s="1406"/>
      <c r="Z31" s="1406"/>
      <c r="AA31" s="1406"/>
      <c r="AB31" s="1406"/>
      <c r="AC31" s="1406"/>
      <c r="AD31" s="1406"/>
      <c r="AE31" s="1406"/>
      <c r="AF31" s="1406"/>
      <c r="AG31" s="1406"/>
      <c r="AH31" s="551"/>
      <c r="AI31" s="551"/>
      <c r="AJ31" s="551"/>
    </row>
    <row r="32" spans="1:36" s="73" customFormat="1">
      <c r="A32" s="1405" t="s">
        <v>252</v>
      </c>
      <c r="B32" s="1406"/>
      <c r="C32" s="1406"/>
      <c r="D32" s="1406"/>
      <c r="E32" s="1406"/>
      <c r="F32" s="1406"/>
      <c r="G32" s="1406"/>
      <c r="H32" s="1406"/>
      <c r="I32" s="1406"/>
      <c r="J32" s="1406"/>
      <c r="K32" s="1406"/>
      <c r="L32" s="1406"/>
      <c r="M32" s="1406"/>
      <c r="N32" s="1406"/>
      <c r="O32" s="1406"/>
      <c r="P32" s="1406"/>
      <c r="Q32" s="161"/>
      <c r="R32" s="1405" t="s">
        <v>252</v>
      </c>
      <c r="S32" s="1406"/>
      <c r="T32" s="1406"/>
      <c r="U32" s="1406"/>
      <c r="V32" s="1406"/>
      <c r="W32" s="1406"/>
      <c r="X32" s="1406"/>
      <c r="Y32" s="1406"/>
      <c r="Z32" s="1406"/>
      <c r="AA32" s="1406"/>
      <c r="AB32" s="1406"/>
      <c r="AC32" s="1406"/>
      <c r="AD32" s="1406"/>
      <c r="AE32" s="1406"/>
      <c r="AF32" s="1406"/>
      <c r="AG32" s="1406"/>
      <c r="AH32" s="551"/>
      <c r="AI32" s="551"/>
      <c r="AJ32" s="551"/>
    </row>
    <row r="33" spans="1:36" s="73" customFormat="1">
      <c r="A33" s="550"/>
      <c r="B33" s="551"/>
      <c r="C33" s="551"/>
      <c r="D33" s="551"/>
      <c r="E33" s="551"/>
      <c r="F33" s="551"/>
      <c r="G33" s="551"/>
      <c r="H33" s="551"/>
      <c r="I33" s="551"/>
      <c r="J33" s="551"/>
      <c r="K33" s="551"/>
      <c r="L33" s="551"/>
      <c r="M33" s="551"/>
      <c r="N33" s="551"/>
      <c r="O33" s="551"/>
      <c r="P33" s="551"/>
      <c r="Q33" s="161"/>
      <c r="R33" s="72" t="s">
        <v>0</v>
      </c>
      <c r="S33" s="551"/>
      <c r="T33" s="551"/>
      <c r="U33" s="551"/>
      <c r="V33" s="551"/>
      <c r="W33" s="551"/>
      <c r="X33" s="551"/>
      <c r="Y33" s="551"/>
      <c r="Z33" s="551"/>
      <c r="AA33" s="551"/>
      <c r="AB33" s="551"/>
      <c r="AC33" s="551"/>
      <c r="AD33" s="551"/>
      <c r="AE33" s="551"/>
      <c r="AF33" s="551"/>
      <c r="AG33" s="551"/>
      <c r="AH33" s="551"/>
      <c r="AI33" s="551"/>
      <c r="AJ33" s="551"/>
    </row>
    <row r="34" spans="1:36">
      <c r="AG34" s="591" t="s">
        <v>2018</v>
      </c>
    </row>
  </sheetData>
  <mergeCells count="28">
    <mergeCell ref="R1:AG1"/>
    <mergeCell ref="R2:AG2"/>
    <mergeCell ref="R3:AG3"/>
    <mergeCell ref="B5:B6"/>
    <mergeCell ref="C5:C6"/>
    <mergeCell ref="S5:S6"/>
    <mergeCell ref="T5:T6"/>
    <mergeCell ref="U5:U6"/>
    <mergeCell ref="V5:V6"/>
    <mergeCell ref="W5:W6"/>
    <mergeCell ref="AF5:AF6"/>
    <mergeCell ref="AG5:AG6"/>
    <mergeCell ref="A28:P28"/>
    <mergeCell ref="R28:AG28"/>
    <mergeCell ref="A29:P29"/>
    <mergeCell ref="R29:AG29"/>
    <mergeCell ref="X5:X6"/>
    <mergeCell ref="Y5:Y6"/>
    <mergeCell ref="Z5:Z6"/>
    <mergeCell ref="AA5:AB5"/>
    <mergeCell ref="AC5:AD5"/>
    <mergeCell ref="AE5:AE6"/>
    <mergeCell ref="A30:P30"/>
    <mergeCell ref="R30:AG30"/>
    <mergeCell ref="A31:P31"/>
    <mergeCell ref="R31:AG31"/>
    <mergeCell ref="A32:P32"/>
    <mergeCell ref="R32:AG32"/>
  </mergeCells>
  <printOptions horizontalCentered="1"/>
  <pageMargins left="0.25" right="0.25" top="0.7" bottom="0.25" header="0.75" footer="0.25"/>
  <pageSetup scale="92"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sheetPr codeName="Sheet9" enableFormatConditionsCalculation="0">
    <tabColor indexed="16"/>
  </sheetPr>
  <dimension ref="A1:AD557"/>
  <sheetViews>
    <sheetView showGridLines="0" showZeros="0" tabSelected="1" view="pageBreakPreview" zoomScaleSheetLayoutView="100" workbookViewId="0">
      <pane xSplit="1" topLeftCell="B1" activePane="topRight" state="frozen"/>
      <selection pane="topRight" activeCell="H309" sqref="H309"/>
    </sheetView>
  </sheetViews>
  <sheetFormatPr defaultColWidth="8.875" defaultRowHeight="12.75"/>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8.75" style="307"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12.5" style="73" bestFit="1" customWidth="1"/>
    <col min="25" max="26" width="13.375" style="73" bestFit="1" customWidth="1"/>
    <col min="27" max="29" width="14.125" style="73" customWidth="1"/>
    <col min="30" max="30" width="13.75" style="73" customWidth="1"/>
    <col min="31" max="16384" width="8.875" style="73"/>
  </cols>
  <sheetData>
    <row r="1" spans="1:29" s="94" customFormat="1" ht="18">
      <c r="A1" s="135" t="s">
        <v>529</v>
      </c>
      <c r="B1" s="92"/>
      <c r="C1" s="92"/>
      <c r="D1" s="92"/>
      <c r="E1" s="92"/>
      <c r="F1" s="92"/>
      <c r="G1" s="92"/>
      <c r="H1" s="92"/>
      <c r="I1" s="92"/>
      <c r="J1" s="92" t="s">
        <v>131</v>
      </c>
      <c r="K1" s="92"/>
      <c r="L1" s="164"/>
      <c r="M1" s="299"/>
      <c r="N1" s="93"/>
      <c r="O1" s="93"/>
      <c r="P1" s="93"/>
      <c r="Q1" s="93"/>
    </row>
    <row r="2" spans="1:29" s="94" customFormat="1" ht="10.5" customHeight="1">
      <c r="A2" s="135"/>
      <c r="B2" s="92"/>
      <c r="C2" s="92"/>
      <c r="D2" s="92"/>
      <c r="E2" s="92"/>
      <c r="F2" s="92"/>
      <c r="G2" s="92"/>
      <c r="H2" s="92"/>
      <c r="I2" s="92"/>
      <c r="J2" s="92"/>
      <c r="K2" s="92"/>
      <c r="L2" s="164"/>
      <c r="M2" s="299"/>
      <c r="N2" s="93"/>
      <c r="O2" s="93"/>
      <c r="P2" s="93"/>
      <c r="Q2" s="93"/>
    </row>
    <row r="3" spans="1:29" s="94" customFormat="1" ht="18.75">
      <c r="A3" s="1429" t="s">
        <v>26</v>
      </c>
      <c r="B3" s="1429"/>
      <c r="C3" s="1429"/>
      <c r="D3" s="1429"/>
      <c r="E3" s="1429"/>
      <c r="F3" s="1429"/>
      <c r="G3" s="1429"/>
      <c r="H3" s="1429"/>
      <c r="I3" s="1429"/>
      <c r="J3" s="92"/>
      <c r="K3" s="92"/>
      <c r="L3" s="164"/>
      <c r="M3" s="299"/>
      <c r="N3" s="93"/>
      <c r="O3" s="93"/>
      <c r="P3" s="93"/>
      <c r="Q3" s="93"/>
    </row>
    <row r="4" spans="1:29" s="94" customFormat="1" ht="15.75">
      <c r="A4" s="91" t="s">
        <v>2011</v>
      </c>
      <c r="B4" s="91"/>
      <c r="C4" s="91"/>
      <c r="D4" s="91"/>
      <c r="E4" s="91"/>
      <c r="F4" s="91"/>
      <c r="G4" s="91"/>
      <c r="H4" s="91"/>
      <c r="I4" s="91"/>
      <c r="J4" s="92" t="s">
        <v>131</v>
      </c>
      <c r="K4" s="91"/>
      <c r="L4" s="165"/>
      <c r="M4" s="300"/>
      <c r="N4" s="93"/>
      <c r="O4" s="93"/>
      <c r="P4" s="93"/>
      <c r="Q4" s="93"/>
    </row>
    <row r="5" spans="1:29" s="100" customFormat="1" ht="6" customHeight="1">
      <c r="A5" s="96"/>
      <c r="B5" s="96"/>
      <c r="C5" s="96"/>
      <c r="D5" s="96"/>
      <c r="E5" s="96"/>
      <c r="F5" s="96"/>
      <c r="G5" s="97"/>
      <c r="H5" s="96"/>
      <c r="I5" s="96"/>
      <c r="J5" s="98"/>
      <c r="K5" s="96"/>
      <c r="L5" s="166"/>
      <c r="M5" s="300"/>
      <c r="N5" s="99"/>
      <c r="O5" s="548" t="s">
        <v>560</v>
      </c>
      <c r="P5" s="99"/>
      <c r="Y5" s="540" t="s">
        <v>554</v>
      </c>
    </row>
    <row r="6" spans="1:29" s="61" customFormat="1" ht="15.75">
      <c r="A6" s="60"/>
      <c r="B6" s="1445" t="s">
        <v>81</v>
      </c>
      <c r="C6" s="1445"/>
      <c r="D6" s="1445"/>
      <c r="E6" s="1446"/>
      <c r="F6" s="1447" t="s">
        <v>178</v>
      </c>
      <c r="G6" s="1448"/>
      <c r="H6" s="1448"/>
      <c r="I6" s="1448"/>
      <c r="J6" s="73" t="s">
        <v>131</v>
      </c>
      <c r="K6" s="73"/>
      <c r="L6" s="167"/>
      <c r="M6" s="299"/>
      <c r="N6" s="73"/>
      <c r="O6" s="530" t="s">
        <v>556</v>
      </c>
      <c r="P6" s="530"/>
      <c r="Q6" s="531"/>
      <c r="R6" s="530" t="s">
        <v>557</v>
      </c>
      <c r="S6" s="530"/>
      <c r="T6" s="531"/>
      <c r="U6" s="530" t="s">
        <v>559</v>
      </c>
      <c r="V6" s="530"/>
      <c r="W6" s="531"/>
      <c r="Y6" s="74"/>
    </row>
    <row r="7" spans="1:29" s="6" customFormat="1" ht="50.25" customHeight="1">
      <c r="A7" s="50"/>
      <c r="B7" s="606" t="s">
        <v>126</v>
      </c>
      <c r="C7" s="607" t="s">
        <v>128</v>
      </c>
      <c r="D7" s="607" t="s">
        <v>570</v>
      </c>
      <c r="E7" s="607" t="s">
        <v>138</v>
      </c>
      <c r="F7" s="608" t="s">
        <v>126</v>
      </c>
      <c r="G7" s="607" t="s">
        <v>128</v>
      </c>
      <c r="H7" s="607" t="s">
        <v>570</v>
      </c>
      <c r="I7" s="607" t="s">
        <v>138</v>
      </c>
      <c r="J7" s="16"/>
      <c r="K7" s="7"/>
      <c r="L7" s="168"/>
      <c r="M7" s="528" t="s">
        <v>552</v>
      </c>
      <c r="N7" s="529" t="s">
        <v>553</v>
      </c>
      <c r="O7" s="532" t="s">
        <v>11</v>
      </c>
      <c r="P7" s="533" t="s">
        <v>555</v>
      </c>
      <c r="Q7" s="533" t="s">
        <v>138</v>
      </c>
      <c r="R7" s="532" t="s">
        <v>11</v>
      </c>
      <c r="S7" s="533" t="s">
        <v>555</v>
      </c>
      <c r="T7" s="533" t="s">
        <v>138</v>
      </c>
      <c r="U7" s="532" t="s">
        <v>11</v>
      </c>
      <c r="V7" s="533" t="s">
        <v>555</v>
      </c>
      <c r="W7" s="533" t="s">
        <v>138</v>
      </c>
      <c r="Y7" s="8"/>
      <c r="Z7" s="51" t="s">
        <v>126</v>
      </c>
      <c r="AA7" s="52" t="s">
        <v>128</v>
      </c>
      <c r="AB7" s="52" t="s">
        <v>438</v>
      </c>
      <c r="AC7" s="52" t="s">
        <v>138</v>
      </c>
    </row>
    <row r="8" spans="1:29" s="61" customFormat="1" ht="16.5" customHeight="1">
      <c r="A8" s="427" t="s">
        <v>82</v>
      </c>
      <c r="B8" s="609">
        <f>IF($M8&gt;0,('Amounts Pivot Table'!I$631/$M8),0)</f>
        <v>5963.6417830066766</v>
      </c>
      <c r="C8" s="609">
        <f>IF($M8&gt;0,('Amounts Pivot Table'!I$634/$M8),0)</f>
        <v>616.73003189220776</v>
      </c>
      <c r="D8" s="609">
        <f>IF($M8&gt;0,('Amounts Pivot Table'!I$640/$M8),0)</f>
        <v>7453.9099378425708</v>
      </c>
      <c r="E8" s="609">
        <f>SUM(B8:D8)</f>
        <v>14034.281752741455</v>
      </c>
      <c r="F8" s="610"/>
      <c r="G8" s="611"/>
      <c r="H8" s="611"/>
      <c r="I8" s="611"/>
      <c r="J8" s="101"/>
      <c r="K8" s="73"/>
      <c r="L8" s="169"/>
      <c r="M8" s="299">
        <f>+'[1]NEW-Tables 80-86'!H70</f>
        <v>2317563.5936111109</v>
      </c>
      <c r="N8" s="526">
        <f>+'[1]OLD Tables'!H70</f>
        <v>2241442.6561111109</v>
      </c>
      <c r="O8" s="534">
        <f>+B8+C8</f>
        <v>6580.3718148988846</v>
      </c>
      <c r="P8" s="535">
        <f>+D8</f>
        <v>7453.9099378425708</v>
      </c>
      <c r="Q8" s="536">
        <f>+E8</f>
        <v>14034.281752741455</v>
      </c>
      <c r="R8" s="537">
        <f>IF($N8&gt;0,(('Amounts Pivot Table'!I$630+'Amounts Pivot Table'!I$633)/$N8),0)</f>
        <v>6765.7141850156058</v>
      </c>
      <c r="S8" s="538">
        <f>IF($N8&gt;0,('Amounts Pivot Table'!I$639/$N8),0)</f>
        <v>7069.4696888292719</v>
      </c>
      <c r="T8" s="538">
        <f>+S8+R8</f>
        <v>13835.183873844879</v>
      </c>
      <c r="U8" s="542">
        <f>(O8-R8)/R8</f>
        <v>-2.7394354098966966E-2</v>
      </c>
      <c r="V8" s="543">
        <f>(P8-S8)/S8</f>
        <v>5.4380351841774921E-2</v>
      </c>
      <c r="W8" s="543">
        <f>(Q8-T8)/T8</f>
        <v>1.4390692650855696E-2</v>
      </c>
      <c r="Y8" s="73" t="s">
        <v>82</v>
      </c>
      <c r="Z8" s="61">
        <f>B8*$M8</f>
        <v>13821119081.634327</v>
      </c>
      <c r="AA8" s="61">
        <f>C8*$M8</f>
        <v>1429311069</v>
      </c>
      <c r="AB8" s="61">
        <f>D8*$M8</f>
        <v>17274910302</v>
      </c>
      <c r="AC8" s="61">
        <f>E8*$M8</f>
        <v>32525340452.634327</v>
      </c>
    </row>
    <row r="9" spans="1:29" s="61" customFormat="1" ht="9" customHeight="1">
      <c r="A9" s="427"/>
      <c r="B9" s="609"/>
      <c r="C9" s="609"/>
      <c r="D9" s="609"/>
      <c r="E9" s="609"/>
      <c r="F9" s="610"/>
      <c r="G9" s="611"/>
      <c r="H9" s="611"/>
      <c r="I9" s="611"/>
      <c r="J9" s="101"/>
      <c r="K9" s="73"/>
      <c r="L9" s="169"/>
      <c r="M9" s="299">
        <f>+'[1]NEW-Tables 80-86'!H71</f>
        <v>0</v>
      </c>
      <c r="N9" s="526"/>
      <c r="O9" s="534"/>
      <c r="P9" s="535"/>
      <c r="Q9" s="536"/>
      <c r="R9" s="534"/>
      <c r="S9" s="536"/>
      <c r="T9" s="538"/>
      <c r="U9" s="545"/>
      <c r="V9" s="544"/>
      <c r="W9" s="544"/>
      <c r="Y9" s="73"/>
    </row>
    <row r="10" spans="1:29" s="61" customFormat="1">
      <c r="A10" s="427" t="s">
        <v>452</v>
      </c>
      <c r="B10" s="612">
        <f>IF($M10&gt;0,('Amounts Pivot Table'!I$7/$M10),0)</f>
        <v>4678.8306860559715</v>
      </c>
      <c r="C10" s="612">
        <f>IF($M10&gt;0,('Amounts Pivot Table'!I$10/$M10),0)</f>
        <v>610.05261240499453</v>
      </c>
      <c r="D10" s="612">
        <f>IF($M10&gt;0,('Amounts Pivot Table'!I$16/$M10),0)</f>
        <v>8521.0102824013156</v>
      </c>
      <c r="E10" s="612">
        <f>SUM(B10:D10)</f>
        <v>13809.893580862281</v>
      </c>
      <c r="F10" s="613">
        <f t="shared" ref="F10:I13" si="0">IF(B10&gt;0,RANK(B10,B$10:B$28),)</f>
        <v>13</v>
      </c>
      <c r="G10" s="614">
        <f t="shared" si="0"/>
        <v>6</v>
      </c>
      <c r="H10" s="614">
        <f t="shared" si="0"/>
        <v>6</v>
      </c>
      <c r="I10" s="614">
        <f t="shared" si="0"/>
        <v>7</v>
      </c>
      <c r="J10" s="75"/>
      <c r="K10" s="73"/>
      <c r="L10" s="169"/>
      <c r="M10" s="299">
        <f>+'[1]NEW-Tables 80-86'!H72</f>
        <v>130408.09166666667</v>
      </c>
      <c r="N10" s="526">
        <f>+'[1]OLD Tables'!H72</f>
        <v>126106.02499999998</v>
      </c>
      <c r="O10" s="534">
        <f t="shared" ref="O10:O28" si="1">+B10+C10</f>
        <v>5288.8832984609662</v>
      </c>
      <c r="P10" s="535">
        <f t="shared" ref="P10:P28" si="2">+D10</f>
        <v>8521.0102824013156</v>
      </c>
      <c r="Q10" s="536">
        <f t="shared" ref="Q10:Q28" si="3">+E10</f>
        <v>13809.893580862281</v>
      </c>
      <c r="R10" s="539">
        <f>IF($N10&gt;0,(('Amounts Pivot Table'!I$6+'Amounts Pivot Table'!I$9)/$N10),0)</f>
        <v>5475.2845234793513</v>
      </c>
      <c r="S10" s="538">
        <f>IF($N10&gt;0,('Amounts Pivot Table'!I$15/$N10),0)</f>
        <v>8612.6139889033857</v>
      </c>
      <c r="T10" s="538">
        <f t="shared" ref="T10:T29" si="4">+S10+R10</f>
        <v>14087.898512382737</v>
      </c>
      <c r="U10" s="541">
        <f t="shared" ref="U10:U28" si="5">(O10-R10)/R10</f>
        <v>-3.4044116651664638E-2</v>
      </c>
      <c r="V10" s="543">
        <f t="shared" ref="V10:V28" si="6">(P10-S10)/S10</f>
        <v>-1.0635993511388478E-2</v>
      </c>
      <c r="W10" s="543">
        <f t="shared" ref="W10:W28" si="7">(Q10-T10)/T10</f>
        <v>-1.9733598398377163E-2</v>
      </c>
      <c r="Y10" s="73" t="s">
        <v>452</v>
      </c>
      <c r="Z10" s="73">
        <f t="shared" ref="Z10:Z28" si="8">B10*$M10</f>
        <v>610157381</v>
      </c>
      <c r="AA10" s="73">
        <f t="shared" ref="AA10:AA28" si="9">C10*$M10</f>
        <v>79555797</v>
      </c>
      <c r="AB10" s="73">
        <f t="shared" ref="AB10:AB28" si="10">D10*$M10</f>
        <v>1111208690</v>
      </c>
      <c r="AC10" s="73">
        <f t="shared" ref="AC10:AC28" si="11">E10*$M10</f>
        <v>1800921868</v>
      </c>
    </row>
    <row r="11" spans="1:29" s="61" customFormat="1">
      <c r="A11" s="427" t="s">
        <v>466</v>
      </c>
      <c r="B11" s="612">
        <f>IF($M11&gt;0,('Amounts Pivot Table'!I$46/$M11),0)</f>
        <v>5549.3816806065124</v>
      </c>
      <c r="C11" s="612">
        <f>IF($M11&gt;0,('Amounts Pivot Table'!I$49/$M11),0)</f>
        <v>1205.6890442716033</v>
      </c>
      <c r="D11" s="612">
        <f>IF($M11&gt;0,('Amounts Pivot Table'!I$55/$M11),0)</f>
        <v>5785.2794964427057</v>
      </c>
      <c r="E11" s="612">
        <f t="shared" ref="E11:E28" si="12">SUM(B11:D11)</f>
        <v>12540.350221320821</v>
      </c>
      <c r="F11" s="613">
        <f t="shared" si="0"/>
        <v>9</v>
      </c>
      <c r="G11" s="614">
        <f t="shared" si="0"/>
        <v>1</v>
      </c>
      <c r="H11" s="614">
        <f t="shared" si="0"/>
        <v>14</v>
      </c>
      <c r="I11" s="614">
        <f t="shared" si="0"/>
        <v>12</v>
      </c>
      <c r="J11" s="75"/>
      <c r="K11" s="73"/>
      <c r="L11" s="169"/>
      <c r="M11" s="299">
        <f>+'[1]NEW-Tables 80-86'!H73</f>
        <v>77295.40833333334</v>
      </c>
      <c r="N11" s="526">
        <f>+'[1]OLD Tables'!H73</f>
        <v>73298.05</v>
      </c>
      <c r="O11" s="534">
        <f t="shared" si="1"/>
        <v>6755.0707248781155</v>
      </c>
      <c r="P11" s="535">
        <f t="shared" si="2"/>
        <v>5785.2794964427057</v>
      </c>
      <c r="Q11" s="536">
        <f t="shared" si="3"/>
        <v>12540.350221320821</v>
      </c>
      <c r="R11" s="539">
        <f>IF($N11&gt;0,(('Amounts Pivot Table'!I$45+'Amounts Pivot Table'!I$48)/$N11),0)</f>
        <v>6993.199573522078</v>
      </c>
      <c r="S11" s="538">
        <f>IF($N11&gt;0,('Amounts Pivot Table'!I$54/$N11),0)</f>
        <v>6499.1908157174712</v>
      </c>
      <c r="T11" s="538">
        <f t="shared" si="4"/>
        <v>13492.39038923955</v>
      </c>
      <c r="U11" s="541">
        <f t="shared" si="5"/>
        <v>-3.4051487611704262E-2</v>
      </c>
      <c r="V11" s="543">
        <f t="shared" si="6"/>
        <v>-0.10984618539715148</v>
      </c>
      <c r="W11" s="543">
        <f t="shared" si="7"/>
        <v>-7.0561267533290464E-2</v>
      </c>
      <c r="Y11" s="73" t="s">
        <v>466</v>
      </c>
      <c r="Z11" s="73">
        <f t="shared" si="8"/>
        <v>428941723</v>
      </c>
      <c r="AA11" s="73">
        <f t="shared" si="9"/>
        <v>93194227</v>
      </c>
      <c r="AB11" s="73">
        <f t="shared" si="10"/>
        <v>447175541</v>
      </c>
      <c r="AC11" s="73">
        <f t="shared" si="11"/>
        <v>969311491</v>
      </c>
    </row>
    <row r="12" spans="1:29" s="61" customFormat="1">
      <c r="A12" s="427" t="s">
        <v>453</v>
      </c>
      <c r="B12" s="615">
        <f>IF($M12&gt;0,('Amounts Pivot Table'!I$85/$M12),0)</f>
        <v>6301.6942065002968</v>
      </c>
      <c r="C12" s="615">
        <f>IF($M12&gt;0,('Amounts Pivot Table'!I$88/$M12),0)</f>
        <v>388.20746796939085</v>
      </c>
      <c r="D12" s="615">
        <f>IF($M12&gt;0,('Amounts Pivot Table'!I$94/$M12),0)</f>
        <v>18907.962376525116</v>
      </c>
      <c r="E12" s="615">
        <f>SUM(B12:D12)</f>
        <v>25597.864050994802</v>
      </c>
      <c r="F12" s="616">
        <f t="shared" si="0"/>
        <v>4</v>
      </c>
      <c r="G12" s="617">
        <f t="shared" si="0"/>
        <v>16</v>
      </c>
      <c r="H12" s="617">
        <f t="shared" si="0"/>
        <v>1</v>
      </c>
      <c r="I12" s="617">
        <f t="shared" si="0"/>
        <v>1</v>
      </c>
      <c r="J12" s="75"/>
      <c r="K12" s="73"/>
      <c r="L12" s="169"/>
      <c r="M12" s="299">
        <f>+'[1]NEW-Tables 80-86'!H74</f>
        <v>23475.591666666671</v>
      </c>
      <c r="N12" s="526">
        <f>+'[1]OLD Tables'!H74</f>
        <v>22686.474999999999</v>
      </c>
      <c r="O12" s="534">
        <f t="shared" si="1"/>
        <v>6689.9016744696874</v>
      </c>
      <c r="P12" s="535">
        <f t="shared" si="2"/>
        <v>18907.962376525116</v>
      </c>
      <c r="Q12" s="536">
        <f t="shared" si="3"/>
        <v>25597.864050994802</v>
      </c>
      <c r="R12" s="539">
        <f>IF($N12&gt;0,(('Amounts Pivot Table'!I$84+'Amounts Pivot Table'!I$87)/$N12),0)</f>
        <v>7381.9974235750597</v>
      </c>
      <c r="S12" s="538">
        <f>IF($N12&gt;0,('Amounts Pivot Table'!I$93/$N12),0)</f>
        <v>17636.963697533443</v>
      </c>
      <c r="T12" s="538">
        <f t="shared" ref="T12" si="13">+S12+R12</f>
        <v>25018.961121108503</v>
      </c>
      <c r="U12" s="541">
        <f t="shared" si="5"/>
        <v>-9.3754536799905058E-2</v>
      </c>
      <c r="V12" s="543">
        <f t="shared" si="6"/>
        <v>7.2064483478492619E-2</v>
      </c>
      <c r="W12" s="543">
        <f t="shared" si="7"/>
        <v>2.3138567867947095E-2</v>
      </c>
      <c r="Y12" s="73" t="s">
        <v>453</v>
      </c>
      <c r="Z12" s="73">
        <f t="shared" si="8"/>
        <v>147936000</v>
      </c>
      <c r="AA12" s="73">
        <f t="shared" si="9"/>
        <v>9113400</v>
      </c>
      <c r="AB12" s="73">
        <f t="shared" si="10"/>
        <v>443875603.99999994</v>
      </c>
      <c r="AC12" s="73">
        <f t="shared" si="11"/>
        <v>600925003.99999988</v>
      </c>
    </row>
    <row r="13" spans="1:29" s="61" customFormat="1">
      <c r="A13" s="427" t="s">
        <v>460</v>
      </c>
      <c r="B13" s="612">
        <f>IF($M13&gt;0,('Amounts Pivot Table'!I$124/$M13),0)</f>
        <v>6148.0482389568115</v>
      </c>
      <c r="C13" s="612">
        <f>IF($M13&gt;0,('Amounts Pivot Table'!I$127/$M13),0)</f>
        <v>708.76316168086828</v>
      </c>
      <c r="D13" s="612">
        <f>IF($M13&gt;0,('Amounts Pivot Table'!I$133/$M13),0)</f>
        <v>4184.5300244864875</v>
      </c>
      <c r="E13" s="612">
        <f t="shared" si="12"/>
        <v>11041.341425124167</v>
      </c>
      <c r="F13" s="613">
        <f t="shared" si="0"/>
        <v>5</v>
      </c>
      <c r="G13" s="614">
        <f t="shared" si="0"/>
        <v>5</v>
      </c>
      <c r="H13" s="614">
        <f t="shared" si="0"/>
        <v>16</v>
      </c>
      <c r="I13" s="614">
        <f t="shared" si="0"/>
        <v>15</v>
      </c>
      <c r="J13" s="75"/>
      <c r="K13" s="73"/>
      <c r="L13" s="169"/>
      <c r="M13" s="299">
        <f>+'[1]NEW-Tables 80-86'!H75</f>
        <v>284915.64166666666</v>
      </c>
      <c r="N13" s="526">
        <f>+'[1]OLD Tables'!H75</f>
        <v>275268.54166666669</v>
      </c>
      <c r="O13" s="534">
        <f t="shared" si="1"/>
        <v>6856.81140063768</v>
      </c>
      <c r="P13" s="535">
        <f t="shared" si="2"/>
        <v>4184.5300244864875</v>
      </c>
      <c r="Q13" s="536">
        <f t="shared" si="3"/>
        <v>11041.341425124167</v>
      </c>
      <c r="R13" s="539">
        <f>IF($N13&gt;0,(('Amounts Pivot Table'!I$123+'Amounts Pivot Table'!I$126)/$N13),0)</f>
        <v>6801.1013233289605</v>
      </c>
      <c r="S13" s="538">
        <f>IF($N13&gt;0,('Amounts Pivot Table'!I$132/$N13),0)</f>
        <v>3950.9835428888</v>
      </c>
      <c r="T13" s="538">
        <f t="shared" si="4"/>
        <v>10752.08486621776</v>
      </c>
      <c r="U13" s="541">
        <f t="shared" si="5"/>
        <v>8.1913317652869341E-3</v>
      </c>
      <c r="V13" s="543">
        <f t="shared" si="6"/>
        <v>5.9110973017854618E-2</v>
      </c>
      <c r="W13" s="543">
        <f t="shared" si="7"/>
        <v>2.6902369401419934E-2</v>
      </c>
      <c r="Y13" s="73" t="s">
        <v>460</v>
      </c>
      <c r="Z13" s="73">
        <f t="shared" si="8"/>
        <v>1751675109</v>
      </c>
      <c r="AA13" s="73">
        <f t="shared" si="9"/>
        <v>201937711</v>
      </c>
      <c r="AB13" s="73">
        <f t="shared" si="10"/>
        <v>1192238057</v>
      </c>
      <c r="AC13" s="73">
        <f t="shared" si="11"/>
        <v>3145850876.9999995</v>
      </c>
    </row>
    <row r="14" spans="1:29" s="61" customFormat="1">
      <c r="A14" s="427"/>
      <c r="B14" s="612"/>
      <c r="C14" s="612"/>
      <c r="D14" s="612"/>
      <c r="E14" s="612"/>
      <c r="F14" s="613"/>
      <c r="G14" s="614"/>
      <c r="H14" s="614"/>
      <c r="I14" s="614"/>
      <c r="J14" s="75"/>
      <c r="K14" s="73"/>
      <c r="L14" s="169"/>
      <c r="M14" s="299">
        <f>+'[1]NEW-Tables 80-86'!H76</f>
        <v>0</v>
      </c>
      <c r="N14" s="526"/>
      <c r="O14" s="534"/>
      <c r="P14" s="535"/>
      <c r="Q14" s="536"/>
      <c r="R14" s="539"/>
      <c r="S14" s="538"/>
      <c r="T14" s="538"/>
      <c r="U14" s="541"/>
      <c r="V14" s="543"/>
      <c r="W14" s="543"/>
      <c r="Y14" s="73"/>
      <c r="Z14" s="73"/>
      <c r="AA14" s="73"/>
      <c r="AB14" s="73"/>
      <c r="AC14" s="73"/>
    </row>
    <row r="15" spans="1:29" s="61" customFormat="1">
      <c r="A15" s="427" t="s">
        <v>461</v>
      </c>
      <c r="B15" s="612">
        <f>IF($M15&gt;0,('Amounts Pivot Table'!I$163/$M15),0)</f>
        <v>5688.2922809343409</v>
      </c>
      <c r="C15" s="612">
        <f>IF($M15&gt;0,('Amounts Pivot Table'!I$166/$M15),0)</f>
        <v>416.28737989968846</v>
      </c>
      <c r="D15" s="612">
        <f>IF($M15&gt;0,('Amounts Pivot Table'!I$172/$M15),0)</f>
        <v>6298.3140570884125</v>
      </c>
      <c r="E15" s="612">
        <f t="shared" si="12"/>
        <v>12402.893717922441</v>
      </c>
      <c r="F15" s="613">
        <f t="shared" ref="F15:I18" si="14">IF(B15&gt;0,RANK(B15,B$10:B$28),)</f>
        <v>8</v>
      </c>
      <c r="G15" s="614">
        <f t="shared" si="14"/>
        <v>14</v>
      </c>
      <c r="H15" s="614">
        <f t="shared" si="14"/>
        <v>12</v>
      </c>
      <c r="I15" s="614">
        <f t="shared" si="14"/>
        <v>13</v>
      </c>
      <c r="J15" s="75"/>
      <c r="K15" s="73"/>
      <c r="L15" s="169"/>
      <c r="M15" s="299">
        <f>+'[1]NEW-Tables 80-86'!H77</f>
        <v>207293.64416666667</v>
      </c>
      <c r="N15" s="526">
        <f>+'[1]OLD Tables'!H77</f>
        <v>198471.625</v>
      </c>
      <c r="O15" s="534">
        <f t="shared" si="1"/>
        <v>6104.5796608340297</v>
      </c>
      <c r="P15" s="535">
        <f t="shared" si="2"/>
        <v>6298.3140570884125</v>
      </c>
      <c r="Q15" s="536">
        <f t="shared" si="3"/>
        <v>12402.893717922441</v>
      </c>
      <c r="R15" s="539">
        <f>IF($N15&gt;0,(('Amounts Pivot Table'!I$162+'Amounts Pivot Table'!I$165)/$N15),0)</f>
        <v>5946.7034191915345</v>
      </c>
      <c r="S15" s="538">
        <f>IF($N15&gt;0,('Amounts Pivot Table'!I$171/$N15),0)</f>
        <v>5598.7060971562059</v>
      </c>
      <c r="T15" s="538">
        <f t="shared" si="4"/>
        <v>11545.40951634774</v>
      </c>
      <c r="U15" s="541">
        <f t="shared" si="5"/>
        <v>2.6548531264059368E-2</v>
      </c>
      <c r="V15" s="543">
        <f t="shared" si="6"/>
        <v>0.12495886510055669</v>
      </c>
      <c r="W15" s="543">
        <f t="shared" si="7"/>
        <v>7.4270574842801876E-2</v>
      </c>
      <c r="Y15" s="73" t="s">
        <v>461</v>
      </c>
      <c r="Z15" s="73">
        <f t="shared" si="8"/>
        <v>1179146836</v>
      </c>
      <c r="AA15" s="73">
        <f t="shared" si="9"/>
        <v>86293728</v>
      </c>
      <c r="AB15" s="73">
        <f t="shared" si="10"/>
        <v>1305600473</v>
      </c>
      <c r="AC15" s="73">
        <f t="shared" si="11"/>
        <v>2571041037</v>
      </c>
    </row>
    <row r="16" spans="1:29" s="61" customFormat="1">
      <c r="A16" s="427" t="s">
        <v>454</v>
      </c>
      <c r="B16" s="612">
        <f>IF($M16&gt;0,('Amounts Pivot Table'!I$202/$M16),0)</f>
        <v>5780.2049573157046</v>
      </c>
      <c r="C16" s="612">
        <f>IF($M16&gt;0,('Amounts Pivot Table'!I$205/$M16),0)</f>
        <v>910.90717671030598</v>
      </c>
      <c r="D16" s="612">
        <f>IF($M16&gt;0,('Amounts Pivot Table'!I$211/$M16),0)</f>
        <v>9946.7406731198625</v>
      </c>
      <c r="E16" s="612">
        <f t="shared" si="12"/>
        <v>16637.852807145871</v>
      </c>
      <c r="F16" s="613">
        <f t="shared" si="14"/>
        <v>7</v>
      </c>
      <c r="G16" s="614">
        <f t="shared" si="14"/>
        <v>3</v>
      </c>
      <c r="H16" s="614">
        <f t="shared" si="14"/>
        <v>3</v>
      </c>
      <c r="I16" s="614">
        <f t="shared" si="14"/>
        <v>3</v>
      </c>
      <c r="J16" s="75"/>
      <c r="K16" s="73"/>
      <c r="L16" s="169"/>
      <c r="M16" s="299">
        <f>+'[1]NEW-Tables 80-86'!H78</f>
        <v>100647.37916666667</v>
      </c>
      <c r="N16" s="526">
        <f>+'[1]OLD Tables'!H78</f>
        <v>98711.024999999994</v>
      </c>
      <c r="O16" s="534">
        <f t="shared" si="1"/>
        <v>6691.1121340260106</v>
      </c>
      <c r="P16" s="535">
        <f t="shared" si="2"/>
        <v>9946.7406731198625</v>
      </c>
      <c r="Q16" s="536">
        <f t="shared" si="3"/>
        <v>16637.852807145871</v>
      </c>
      <c r="R16" s="539">
        <f>IF($N16&gt;0,(('Amounts Pivot Table'!I$201+'Amounts Pivot Table'!I$204)/$N16),0)</f>
        <v>6681.3357474507029</v>
      </c>
      <c r="S16" s="538">
        <f>IF($N16&gt;0,('Amounts Pivot Table'!I$210/$N16),0)</f>
        <v>9608.1436496075294</v>
      </c>
      <c r="T16" s="538">
        <f t="shared" si="4"/>
        <v>16289.479397058232</v>
      </c>
      <c r="U16" s="541">
        <f t="shared" si="5"/>
        <v>1.463238332101171E-3</v>
      </c>
      <c r="V16" s="543">
        <f t="shared" si="6"/>
        <v>3.5240628768717891E-2</v>
      </c>
      <c r="W16" s="543">
        <f t="shared" si="7"/>
        <v>2.1386405396758897E-2</v>
      </c>
      <c r="Y16" s="73" t="s">
        <v>454</v>
      </c>
      <c r="Z16" s="73">
        <f t="shared" si="8"/>
        <v>581762480</v>
      </c>
      <c r="AA16" s="73">
        <f t="shared" si="9"/>
        <v>91680420</v>
      </c>
      <c r="AB16" s="73">
        <f t="shared" si="10"/>
        <v>1001113380</v>
      </c>
      <c r="AC16" s="73">
        <f t="shared" si="11"/>
        <v>1674556279.9999998</v>
      </c>
    </row>
    <row r="17" spans="1:29" s="61" customFormat="1">
      <c r="A17" s="427" t="s">
        <v>462</v>
      </c>
      <c r="B17" s="612">
        <f>IF($M17&gt;0,('Amounts Pivot Table'!I$241/$M17),0)</f>
        <v>4786.8810456622796</v>
      </c>
      <c r="C17" s="612">
        <f>IF($M17&gt;0,('Amounts Pivot Table'!I$244/$M17),0)</f>
        <v>602.07686337235634</v>
      </c>
      <c r="D17" s="612">
        <f>IF($M17&gt;0,('Amounts Pivot Table'!I$250/$M17),0)</f>
        <v>4786.4954675014369</v>
      </c>
      <c r="E17" s="612">
        <f t="shared" si="12"/>
        <v>10175.453376536072</v>
      </c>
      <c r="F17" s="613">
        <f t="shared" si="14"/>
        <v>12</v>
      </c>
      <c r="G17" s="614">
        <f t="shared" si="14"/>
        <v>7</v>
      </c>
      <c r="H17" s="614">
        <f t="shared" si="14"/>
        <v>15</v>
      </c>
      <c r="I17" s="614">
        <f t="shared" si="14"/>
        <v>16</v>
      </c>
      <c r="J17" s="75"/>
      <c r="K17" s="73"/>
      <c r="L17" s="169"/>
      <c r="M17" s="299">
        <f>+'[1]NEW-Tables 80-86'!H79</f>
        <v>121259.4611111111</v>
      </c>
      <c r="N17" s="526">
        <f>+'[1]OLD Tables'!H79</f>
        <v>120178.45277777777</v>
      </c>
      <c r="O17" s="534">
        <f t="shared" si="1"/>
        <v>5388.957909034636</v>
      </c>
      <c r="P17" s="535">
        <f t="shared" si="2"/>
        <v>4786.4954675014369</v>
      </c>
      <c r="Q17" s="536">
        <f t="shared" si="3"/>
        <v>10175.453376536072</v>
      </c>
      <c r="R17" s="539">
        <f>IF($N17&gt;0,(('Amounts Pivot Table'!I$240+'Amounts Pivot Table'!I$243)/$N17),0)</f>
        <v>5530.830133327423</v>
      </c>
      <c r="S17" s="538">
        <f>IF($N17&gt;0,('Amounts Pivot Table'!I$249/$N17),0)</f>
        <v>4577.8632299194514</v>
      </c>
      <c r="T17" s="538">
        <f t="shared" si="4"/>
        <v>10108.693363246875</v>
      </c>
      <c r="U17" s="541">
        <f t="shared" si="5"/>
        <v>-2.5651162822358228E-2</v>
      </c>
      <c r="V17" s="543">
        <f t="shared" si="6"/>
        <v>4.5574152634886907E-2</v>
      </c>
      <c r="W17" s="543">
        <f t="shared" si="7"/>
        <v>6.6042178637965507E-3</v>
      </c>
      <c r="Y17" s="73" t="s">
        <v>462</v>
      </c>
      <c r="Z17" s="73">
        <f t="shared" si="8"/>
        <v>580454616</v>
      </c>
      <c r="AA17" s="73">
        <f t="shared" si="9"/>
        <v>73007516</v>
      </c>
      <c r="AB17" s="73">
        <f t="shared" si="10"/>
        <v>580407861</v>
      </c>
      <c r="AC17" s="73">
        <f t="shared" si="11"/>
        <v>1233869993</v>
      </c>
    </row>
    <row r="18" spans="1:29" s="61" customFormat="1">
      <c r="A18" s="427" t="s">
        <v>465</v>
      </c>
      <c r="B18" s="612">
        <f>IF($M18&gt;0,('Amounts Pivot Table'!I$280/$M18),0)</f>
        <v>8209.1675039227375</v>
      </c>
      <c r="C18" s="612">
        <f>IF($M18&gt;0,('Amounts Pivot Table'!I$283/$M18),0)</f>
        <v>526.39068760415023</v>
      </c>
      <c r="D18" s="612">
        <f>IF($M18&gt;0,('Amounts Pivot Table'!I$289/$M18),0)</f>
        <v>9411.7556590806798</v>
      </c>
      <c r="E18" s="612">
        <f t="shared" si="12"/>
        <v>18147.31385060757</v>
      </c>
      <c r="F18" s="613">
        <f t="shared" si="14"/>
        <v>2</v>
      </c>
      <c r="G18" s="614">
        <f t="shared" si="14"/>
        <v>11</v>
      </c>
      <c r="H18" s="614">
        <f t="shared" si="14"/>
        <v>4</v>
      </c>
      <c r="I18" s="614">
        <f t="shared" si="14"/>
        <v>2</v>
      </c>
      <c r="J18" s="75"/>
      <c r="K18" s="73"/>
      <c r="L18" s="169"/>
      <c r="M18" s="299">
        <f>+'[1]NEW-Tables 80-86'!H80</f>
        <v>102766.25</v>
      </c>
      <c r="N18" s="526">
        <f>+'[1]OLD Tables'!H80</f>
        <v>99948.878333333356</v>
      </c>
      <c r="O18" s="534">
        <f t="shared" si="1"/>
        <v>8735.5581915268885</v>
      </c>
      <c r="P18" s="535">
        <f t="shared" si="2"/>
        <v>9411.7556590806798</v>
      </c>
      <c r="Q18" s="536">
        <f t="shared" si="3"/>
        <v>18147.31385060757</v>
      </c>
      <c r="R18" s="539">
        <f>IF($N18&gt;0,(('Amounts Pivot Table'!I$279+'Amounts Pivot Table'!I$282)/$N18),0)</f>
        <v>9265.4225684406938</v>
      </c>
      <c r="S18" s="538">
        <f>IF($N18&gt;0,('Amounts Pivot Table'!I$288/$N18),0)</f>
        <v>9521.9043962257547</v>
      </c>
      <c r="T18" s="538">
        <f t="shared" si="4"/>
        <v>18787.326964666448</v>
      </c>
      <c r="U18" s="541">
        <f t="shared" si="5"/>
        <v>-5.7187286710332706E-2</v>
      </c>
      <c r="V18" s="543">
        <f t="shared" si="6"/>
        <v>-1.1567931430684712E-2</v>
      </c>
      <c r="W18" s="543">
        <f t="shared" si="7"/>
        <v>-3.4066214702206367E-2</v>
      </c>
      <c r="Y18" s="73" t="s">
        <v>465</v>
      </c>
      <c r="Z18" s="73">
        <f t="shared" si="8"/>
        <v>843625360</v>
      </c>
      <c r="AA18" s="73">
        <f t="shared" si="9"/>
        <v>54095197</v>
      </c>
      <c r="AB18" s="73">
        <f t="shared" si="10"/>
        <v>967210834.99999988</v>
      </c>
      <c r="AC18" s="73">
        <f t="shared" si="11"/>
        <v>1864931392.0000002</v>
      </c>
    </row>
    <row r="19" spans="1:29" s="61" customFormat="1">
      <c r="A19" s="427"/>
      <c r="B19" s="612"/>
      <c r="C19" s="612"/>
      <c r="D19" s="612"/>
      <c r="E19" s="612"/>
      <c r="F19" s="613"/>
      <c r="G19" s="614"/>
      <c r="H19" s="614"/>
      <c r="I19" s="614"/>
      <c r="J19" s="75"/>
      <c r="K19" s="73"/>
      <c r="L19" s="169"/>
      <c r="M19" s="299">
        <f>+'[1]NEW-Tables 80-86'!H81</f>
        <v>0</v>
      </c>
      <c r="N19" s="526"/>
      <c r="O19" s="534"/>
      <c r="P19" s="535"/>
      <c r="Q19" s="536"/>
      <c r="R19" s="539"/>
      <c r="S19" s="538"/>
      <c r="T19" s="538"/>
      <c r="U19" s="541"/>
      <c r="V19" s="543"/>
      <c r="W19" s="543"/>
      <c r="Y19" s="73"/>
      <c r="Z19" s="73"/>
      <c r="AA19" s="73"/>
      <c r="AB19" s="73"/>
      <c r="AC19" s="73"/>
    </row>
    <row r="20" spans="1:29" s="61" customFormat="1">
      <c r="A20" s="427" t="s">
        <v>455</v>
      </c>
      <c r="B20" s="612">
        <f>IF($M20&gt;0,('Amounts Pivot Table'!I$319/$M20),0)</f>
        <v>4903.5495991048465</v>
      </c>
      <c r="C20" s="612">
        <f>IF($M20&gt;0,('Amounts Pivot Table'!I$322/$M20),0)</f>
        <v>1187.7269680514596</v>
      </c>
      <c r="D20" s="612">
        <f>IF($M20&gt;0,('Amounts Pivot Table'!I$328/$M20),0)</f>
        <v>7076.8418827730902</v>
      </c>
      <c r="E20" s="612">
        <f t="shared" si="12"/>
        <v>13168.118449929396</v>
      </c>
      <c r="F20" s="613">
        <f t="shared" ref="F20:I23" si="15">IF(B20&gt;0,RANK(B20,B$10:B$28),)</f>
        <v>11</v>
      </c>
      <c r="G20" s="614">
        <f t="shared" si="15"/>
        <v>2</v>
      </c>
      <c r="H20" s="614">
        <f t="shared" si="15"/>
        <v>9</v>
      </c>
      <c r="I20" s="614">
        <f t="shared" si="15"/>
        <v>10</v>
      </c>
      <c r="J20" s="75"/>
      <c r="K20" s="73"/>
      <c r="L20" s="169"/>
      <c r="M20" s="299">
        <f>+'[1]NEW-Tables 80-86'!H82</f>
        <v>64934.89166666667</v>
      </c>
      <c r="N20" s="526">
        <f>+'[1]OLD Tables'!H82</f>
        <v>61954.14166666667</v>
      </c>
      <c r="O20" s="534">
        <f t="shared" si="1"/>
        <v>6091.2765671563066</v>
      </c>
      <c r="P20" s="535">
        <f t="shared" si="2"/>
        <v>7076.8418827730902</v>
      </c>
      <c r="Q20" s="536">
        <f t="shared" si="3"/>
        <v>13168.118449929396</v>
      </c>
      <c r="R20" s="539">
        <f>IF($N20&gt;0,(('Amounts Pivot Table'!I$318+'Amounts Pivot Table'!I$321)/$N20),0)</f>
        <v>7645.0294888813587</v>
      </c>
      <c r="S20" s="538">
        <f>IF($N20&gt;0,('Amounts Pivot Table'!I$327/$N20),0)</f>
        <v>6700.9128499211174</v>
      </c>
      <c r="T20" s="538">
        <f t="shared" si="4"/>
        <v>14345.942338802477</v>
      </c>
      <c r="U20" s="541">
        <f t="shared" si="5"/>
        <v>-0.20323700830517025</v>
      </c>
      <c r="V20" s="543">
        <f t="shared" si="6"/>
        <v>5.6101167299377461E-2</v>
      </c>
      <c r="W20" s="543">
        <f t="shared" si="7"/>
        <v>-8.210153512797401E-2</v>
      </c>
      <c r="Y20" s="73" t="s">
        <v>455</v>
      </c>
      <c r="Z20" s="73">
        <f t="shared" si="8"/>
        <v>318411462</v>
      </c>
      <c r="AA20" s="73">
        <f t="shared" si="9"/>
        <v>77124922</v>
      </c>
      <c r="AB20" s="73">
        <f t="shared" si="10"/>
        <v>459533961</v>
      </c>
      <c r="AC20" s="73">
        <f t="shared" si="11"/>
        <v>855070345</v>
      </c>
    </row>
    <row r="21" spans="1:29" s="61" customFormat="1">
      <c r="A21" s="427" t="s">
        <v>456</v>
      </c>
      <c r="B21" s="612">
        <f>IF($M21&gt;0,('Amounts Pivot Table'!I$358/$M21),0)</f>
        <v>9972.6617523582408</v>
      </c>
      <c r="C21" s="612">
        <f>IF($M21&gt;0,('Amounts Pivot Table'!I$361/$M21),0)</f>
        <v>523.93572818345308</v>
      </c>
      <c r="D21" s="612">
        <f>IF($M21&gt;0,('Amounts Pivot Table'!I$367/$M21),0)</f>
        <v>5798.0812281767585</v>
      </c>
      <c r="E21" s="612">
        <f t="shared" si="12"/>
        <v>16294.678708718453</v>
      </c>
      <c r="F21" s="613">
        <f t="shared" si="15"/>
        <v>1</v>
      </c>
      <c r="G21" s="614">
        <f t="shared" si="15"/>
        <v>12</v>
      </c>
      <c r="H21" s="614">
        <f t="shared" si="15"/>
        <v>13</v>
      </c>
      <c r="I21" s="614">
        <f t="shared" si="15"/>
        <v>4</v>
      </c>
      <c r="J21" s="75"/>
      <c r="K21" s="73"/>
      <c r="L21" s="169"/>
      <c r="M21" s="299">
        <f>+'[1]NEW-Tables 80-86'!H83</f>
        <v>197882.48333333328</v>
      </c>
      <c r="N21" s="526">
        <f>+'[1]OLD Tables'!H83</f>
        <v>193719.35833333337</v>
      </c>
      <c r="O21" s="534">
        <f t="shared" si="1"/>
        <v>10496.597480541694</v>
      </c>
      <c r="P21" s="535">
        <f t="shared" si="2"/>
        <v>5798.0812281767585</v>
      </c>
      <c r="Q21" s="536">
        <f t="shared" si="3"/>
        <v>16294.678708718453</v>
      </c>
      <c r="R21" s="539">
        <f>IF($N21&gt;0,(('Amounts Pivot Table'!I$357+'Amounts Pivot Table'!I$360)/$N21),0)</f>
        <v>10047.30973603008</v>
      </c>
      <c r="S21" s="538">
        <f>IF($N21&gt;0,('Amounts Pivot Table'!I$366/$N21),0)</f>
        <v>5020.96182832872</v>
      </c>
      <c r="T21" s="538">
        <f t="shared" si="4"/>
        <v>15068.2715643588</v>
      </c>
      <c r="U21" s="541">
        <f t="shared" si="5"/>
        <v>4.4717218470975248E-2</v>
      </c>
      <c r="V21" s="543">
        <f t="shared" si="6"/>
        <v>0.1547750065462479</v>
      </c>
      <c r="W21" s="543">
        <f t="shared" si="7"/>
        <v>8.1390034624839888E-2</v>
      </c>
      <c r="Y21" s="73" t="s">
        <v>456</v>
      </c>
      <c r="Z21" s="73">
        <f t="shared" si="8"/>
        <v>1973415072.9999998</v>
      </c>
      <c r="AA21" s="73">
        <f t="shared" si="9"/>
        <v>103677702.99999999</v>
      </c>
      <c r="AB21" s="73">
        <f t="shared" si="10"/>
        <v>1147338712</v>
      </c>
      <c r="AC21" s="73">
        <f t="shared" si="11"/>
        <v>3224431488</v>
      </c>
    </row>
    <row r="22" spans="1:29" s="61" customFormat="1">
      <c r="A22" s="427" t="s">
        <v>463</v>
      </c>
      <c r="B22" s="612">
        <f>IF($M22&gt;0,('Amounts Pivot Table'!I$397/$M22),0)</f>
        <v>5382.3042628783678</v>
      </c>
      <c r="C22" s="612">
        <f>IF($M22&gt;0,('Amounts Pivot Table'!I$400/$M22),0)</f>
        <v>593.97901114962372</v>
      </c>
      <c r="D22" s="612">
        <f>IF($M22&gt;0,('Amounts Pivot Table'!I$406/$M22),0)</f>
        <v>6871.9178247190366</v>
      </c>
      <c r="E22" s="612">
        <f t="shared" si="12"/>
        <v>12848.201098747028</v>
      </c>
      <c r="F22" s="613">
        <f t="shared" si="15"/>
        <v>10</v>
      </c>
      <c r="G22" s="614">
        <f t="shared" si="15"/>
        <v>8</v>
      </c>
      <c r="H22" s="614">
        <f t="shared" si="15"/>
        <v>11</v>
      </c>
      <c r="I22" s="614">
        <f t="shared" si="15"/>
        <v>11</v>
      </c>
      <c r="J22" s="75"/>
      <c r="K22" s="73"/>
      <c r="L22" s="169"/>
      <c r="M22" s="299">
        <f>+'[1]NEW-Tables 80-86'!H84</f>
        <v>91117.425000000003</v>
      </c>
      <c r="N22" s="526">
        <f>+'[1]OLD Tables'!H84</f>
        <v>86462.941666666666</v>
      </c>
      <c r="O22" s="534">
        <f t="shared" si="1"/>
        <v>5976.2832740279919</v>
      </c>
      <c r="P22" s="535">
        <f t="shared" si="2"/>
        <v>6871.9178247190366</v>
      </c>
      <c r="Q22" s="536">
        <f t="shared" si="3"/>
        <v>12848.201098747028</v>
      </c>
      <c r="R22" s="539">
        <f>IF($N22&gt;0,(('Amounts Pivot Table'!I$396+'Amounts Pivot Table'!I$399)/$N22),0)</f>
        <v>6703.2095002550705</v>
      </c>
      <c r="S22" s="538">
        <f>IF($N22&gt;0,('Amounts Pivot Table'!I$405/$N22),0)</f>
        <v>6593.3518917015799</v>
      </c>
      <c r="T22" s="538">
        <f t="shared" si="4"/>
        <v>13296.561391956649</v>
      </c>
      <c r="U22" s="541">
        <f t="shared" si="5"/>
        <v>-0.10844450351722076</v>
      </c>
      <c r="V22" s="543">
        <f t="shared" si="6"/>
        <v>4.2249517027607909E-2</v>
      </c>
      <c r="W22" s="543">
        <f t="shared" si="7"/>
        <v>-3.3720018280880032E-2</v>
      </c>
      <c r="Y22" s="73" t="s">
        <v>463</v>
      </c>
      <c r="Z22" s="73">
        <f t="shared" si="8"/>
        <v>490421705</v>
      </c>
      <c r="AA22" s="73">
        <f t="shared" si="9"/>
        <v>54121838.000000007</v>
      </c>
      <c r="AB22" s="73">
        <f t="shared" si="10"/>
        <v>626151457</v>
      </c>
      <c r="AC22" s="73">
        <f t="shared" si="11"/>
        <v>1170695000</v>
      </c>
    </row>
    <row r="23" spans="1:29" s="61" customFormat="1">
      <c r="A23" s="427" t="s">
        <v>457</v>
      </c>
      <c r="B23" s="612">
        <f>IF($M23&gt;0,('Amounts Pivot Table'!I$436/$M23),0)</f>
        <v>2604.9468839470605</v>
      </c>
      <c r="C23" s="612">
        <f>IF($M23&gt;0,('Amounts Pivot Table'!I$439/$M23),0)</f>
        <v>408.94802917079323</v>
      </c>
      <c r="D23" s="612">
        <f>IF($M23&gt;0,('Amounts Pivot Table'!I$445/$M23),0)</f>
        <v>13221.433175474926</v>
      </c>
      <c r="E23" s="612">
        <f t="shared" si="12"/>
        <v>16235.32808859278</v>
      </c>
      <c r="F23" s="613">
        <f t="shared" si="15"/>
        <v>16</v>
      </c>
      <c r="G23" s="614">
        <f t="shared" si="15"/>
        <v>15</v>
      </c>
      <c r="H23" s="614">
        <f t="shared" si="15"/>
        <v>2</v>
      </c>
      <c r="I23" s="614">
        <f t="shared" si="15"/>
        <v>5</v>
      </c>
      <c r="J23" s="75"/>
      <c r="K23" s="73"/>
      <c r="L23" s="169"/>
      <c r="M23" s="299">
        <f>+'[1]NEW-Tables 80-86'!H85</f>
        <v>92558.333333333328</v>
      </c>
      <c r="N23" s="526">
        <f>+'[1]OLD Tables'!H85</f>
        <v>89362.466666666674</v>
      </c>
      <c r="O23" s="534">
        <f t="shared" si="1"/>
        <v>3013.8949131178538</v>
      </c>
      <c r="P23" s="535">
        <f t="shared" si="2"/>
        <v>13221.433175474926</v>
      </c>
      <c r="Q23" s="536">
        <f t="shared" si="3"/>
        <v>16235.32808859278</v>
      </c>
      <c r="R23" s="539">
        <f>IF($N23&gt;0,(('Amounts Pivot Table'!I$435+'Amounts Pivot Table'!I$438)/$N23),0)</f>
        <v>4014.7854169946067</v>
      </c>
      <c r="S23" s="538">
        <f>IF($N23&gt;0,('Amounts Pivot Table'!I$444/$N23),0)</f>
        <v>12622.826178960366</v>
      </c>
      <c r="T23" s="538">
        <f t="shared" si="4"/>
        <v>16637.611595954972</v>
      </c>
      <c r="U23" s="541">
        <f t="shared" si="5"/>
        <v>-0.24930112071244914</v>
      </c>
      <c r="V23" s="543">
        <f t="shared" si="6"/>
        <v>4.7422580967827442E-2</v>
      </c>
      <c r="W23" s="543">
        <f t="shared" si="7"/>
        <v>-2.4179162077566301E-2</v>
      </c>
      <c r="Y23" s="73" t="s">
        <v>457</v>
      </c>
      <c r="Z23" s="73">
        <f t="shared" si="8"/>
        <v>241109542</v>
      </c>
      <c r="AA23" s="73">
        <f t="shared" si="9"/>
        <v>37851548</v>
      </c>
      <c r="AB23" s="73">
        <f t="shared" si="10"/>
        <v>1223753819</v>
      </c>
      <c r="AC23" s="73">
        <f t="shared" si="11"/>
        <v>1502714909</v>
      </c>
    </row>
    <row r="24" spans="1:29" s="61" customFormat="1">
      <c r="A24" s="427"/>
      <c r="B24" s="612"/>
      <c r="C24" s="612"/>
      <c r="D24" s="612"/>
      <c r="E24" s="612"/>
      <c r="F24" s="613"/>
      <c r="G24" s="614"/>
      <c r="H24" s="614"/>
      <c r="I24" s="614"/>
      <c r="J24" s="75"/>
      <c r="K24" s="73"/>
      <c r="L24" s="169"/>
      <c r="M24" s="299">
        <f>+'[1]NEW-Tables 80-86'!H86</f>
        <v>0</v>
      </c>
      <c r="N24" s="526"/>
      <c r="O24" s="534"/>
      <c r="P24" s="535"/>
      <c r="Q24" s="536"/>
      <c r="R24" s="539"/>
      <c r="S24" s="538"/>
      <c r="T24" s="538"/>
      <c r="U24" s="541"/>
      <c r="V24" s="543"/>
      <c r="W24" s="543"/>
      <c r="Y24" s="73"/>
      <c r="Z24" s="73"/>
      <c r="AA24" s="73"/>
      <c r="AB24" s="73"/>
      <c r="AC24" s="73"/>
    </row>
    <row r="25" spans="1:29" s="61" customFormat="1">
      <c r="A25" s="427" t="s">
        <v>130</v>
      </c>
      <c r="B25" s="612">
        <f>IF($M25&gt;0,('Amounts Pivot Table'!I$475/$M25),0)</f>
        <v>5949.1442904174592</v>
      </c>
      <c r="C25" s="612">
        <f>IF($M25&gt;0,('Amounts Pivot Table'!I$478/$M25),0)</f>
        <v>588.89964040626046</v>
      </c>
      <c r="D25" s="612">
        <f>IF($M25&gt;0,('Amounts Pivot Table'!I$484/$M25),0)</f>
        <v>6998.7094346421709</v>
      </c>
      <c r="E25" s="612">
        <f t="shared" si="12"/>
        <v>13536.753365465891</v>
      </c>
      <c r="F25" s="613">
        <f t="shared" ref="F25:I28" si="16">IF(B25&gt;0,RANK(B25,B$10:B$28),)</f>
        <v>6</v>
      </c>
      <c r="G25" s="614">
        <f t="shared" si="16"/>
        <v>9</v>
      </c>
      <c r="H25" s="614">
        <f t="shared" si="16"/>
        <v>10</v>
      </c>
      <c r="I25" s="614">
        <f t="shared" si="16"/>
        <v>9</v>
      </c>
      <c r="J25" s="75"/>
      <c r="K25" s="73"/>
      <c r="L25" s="169"/>
      <c r="M25" s="299">
        <f>+'[1]NEW-Tables 80-86'!H87</f>
        <v>121178.41666666666</v>
      </c>
      <c r="N25" s="526">
        <f>+'[1]OLD Tables'!H87</f>
        <v>116827.70833333333</v>
      </c>
      <c r="O25" s="534">
        <f t="shared" si="1"/>
        <v>6538.0439308237201</v>
      </c>
      <c r="P25" s="535">
        <f t="shared" si="2"/>
        <v>6998.7094346421709</v>
      </c>
      <c r="Q25" s="536">
        <f t="shared" si="3"/>
        <v>13536.753365465891</v>
      </c>
      <c r="R25" s="539">
        <f>IF($N25&gt;0,(('Amounts Pivot Table'!I$474+'Amounts Pivot Table'!I$477)/$N25),0)</f>
        <v>5791.205082783943</v>
      </c>
      <c r="S25" s="538">
        <f>IF($N25&gt;0,('Amounts Pivot Table'!I$483/$N25),0)</f>
        <v>6602.6838410551154</v>
      </c>
      <c r="T25" s="538">
        <f t="shared" si="4"/>
        <v>12393.888923839058</v>
      </c>
      <c r="U25" s="541">
        <f t="shared" si="5"/>
        <v>0.1289608703825694</v>
      </c>
      <c r="V25" s="543">
        <f t="shared" si="6"/>
        <v>5.9979487602388394E-2</v>
      </c>
      <c r="W25" s="543">
        <f t="shared" si="7"/>
        <v>9.2211931916590523E-2</v>
      </c>
      <c r="Y25" s="73" t="s">
        <v>130</v>
      </c>
      <c r="Z25" s="73">
        <f t="shared" si="8"/>
        <v>720907885.63432777</v>
      </c>
      <c r="AA25" s="73">
        <f t="shared" si="9"/>
        <v>71361926</v>
      </c>
      <c r="AB25" s="73">
        <f t="shared" si="10"/>
        <v>848092528</v>
      </c>
      <c r="AC25" s="73">
        <f t="shared" si="11"/>
        <v>1640362339.6343279</v>
      </c>
    </row>
    <row r="26" spans="1:29" s="61" customFormat="1">
      <c r="A26" s="427" t="s">
        <v>458</v>
      </c>
      <c r="B26" s="612">
        <f>IF($M26&gt;0,('Amounts Pivot Table'!I$514/$M26),0)</f>
        <v>6427.8548692300965</v>
      </c>
      <c r="C26" s="612">
        <f>IF($M26&gt;0,('Amounts Pivot Table'!I$517/$M26),0)</f>
        <v>565.01078765832847</v>
      </c>
      <c r="D26" s="612">
        <f>IF($M26&gt;0,('Amounts Pivot Table'!I$523/$M26),0)</f>
        <v>8472.5493713368505</v>
      </c>
      <c r="E26" s="612">
        <f t="shared" si="12"/>
        <v>15465.415028225276</v>
      </c>
      <c r="F26" s="613">
        <f t="shared" si="16"/>
        <v>3</v>
      </c>
      <c r="G26" s="614">
        <f t="shared" si="16"/>
        <v>10</v>
      </c>
      <c r="H26" s="614">
        <f t="shared" si="16"/>
        <v>7</v>
      </c>
      <c r="I26" s="614">
        <f t="shared" si="16"/>
        <v>6</v>
      </c>
      <c r="J26" s="75"/>
      <c r="K26" s="73"/>
      <c r="L26" s="169"/>
      <c r="M26" s="299">
        <f>+'[1]NEW-Tables 80-86'!H88</f>
        <v>450491.64999999997</v>
      </c>
      <c r="N26" s="526">
        <f>+'[1]OLD Tables'!H88</f>
        <v>431902.79166666669</v>
      </c>
      <c r="O26" s="534">
        <f t="shared" si="1"/>
        <v>6992.8656568884253</v>
      </c>
      <c r="P26" s="535">
        <f t="shared" si="2"/>
        <v>8472.5493713368505</v>
      </c>
      <c r="Q26" s="536">
        <f t="shared" si="3"/>
        <v>15465.415028225276</v>
      </c>
      <c r="R26" s="539">
        <f>IF($N26&gt;0,(('Amounts Pivot Table'!I$513+'Amounts Pivot Table'!I$516)/$N26),0)</f>
        <v>7537.9142061962821</v>
      </c>
      <c r="S26" s="538">
        <f>IF($N26&gt;0,('Amounts Pivot Table'!I$522/$N26),0)</f>
        <v>7930.9917418724717</v>
      </c>
      <c r="T26" s="538">
        <f t="shared" si="4"/>
        <v>15468.905948068754</v>
      </c>
      <c r="U26" s="541">
        <f t="shared" si="5"/>
        <v>-7.2307608497297365E-2</v>
      </c>
      <c r="V26" s="543">
        <f t="shared" si="6"/>
        <v>6.8283721265925745E-2</v>
      </c>
      <c r="W26" s="543">
        <f t="shared" si="7"/>
        <v>-2.2567335112111137E-4</v>
      </c>
      <c r="Y26" s="73" t="s">
        <v>458</v>
      </c>
      <c r="Z26" s="73">
        <f t="shared" si="8"/>
        <v>2895694946</v>
      </c>
      <c r="AA26" s="73">
        <f t="shared" si="9"/>
        <v>254532642</v>
      </c>
      <c r="AB26" s="73">
        <f t="shared" si="10"/>
        <v>3816812746</v>
      </c>
      <c r="AC26" s="73">
        <f t="shared" si="11"/>
        <v>6967040334.000001</v>
      </c>
    </row>
    <row r="27" spans="1:29" s="76" customFormat="1" ht="12.75" customHeight="1">
      <c r="A27" s="427" t="s">
        <v>459</v>
      </c>
      <c r="B27" s="612">
        <f>IF($M27&gt;0,('Amounts Pivot Table'!I$553/$M27),0)</f>
        <v>4494.0168421314993</v>
      </c>
      <c r="C27" s="612">
        <f>IF($M27&gt;0,('Amounts Pivot Table'!I$556/$M27),0)</f>
        <v>517.89512575949345</v>
      </c>
      <c r="D27" s="612">
        <f>IF($M27&gt;0,('Amounts Pivot Table'!I$562/$M27),0)</f>
        <v>8619.0331174424591</v>
      </c>
      <c r="E27" s="612">
        <f t="shared" si="12"/>
        <v>13630.945085333453</v>
      </c>
      <c r="F27" s="613">
        <f t="shared" si="16"/>
        <v>14</v>
      </c>
      <c r="G27" s="614">
        <f t="shared" si="16"/>
        <v>13</v>
      </c>
      <c r="H27" s="614">
        <f t="shared" si="16"/>
        <v>5</v>
      </c>
      <c r="I27" s="614">
        <f t="shared" si="16"/>
        <v>8</v>
      </c>
      <c r="J27" s="75"/>
      <c r="L27" s="170"/>
      <c r="M27" s="299">
        <f>+'[1]NEW-Tables 80-86'!H89</f>
        <v>193248.99583333335</v>
      </c>
      <c r="N27" s="526">
        <f>+'[1]OLD Tables'!H89</f>
        <v>189579.95833333331</v>
      </c>
      <c r="O27" s="534">
        <f t="shared" si="1"/>
        <v>5011.9119678909929</v>
      </c>
      <c r="P27" s="535">
        <f t="shared" si="2"/>
        <v>8619.0331174424591</v>
      </c>
      <c r="Q27" s="536">
        <f t="shared" si="3"/>
        <v>13630.945085333453</v>
      </c>
      <c r="R27" s="539">
        <f>IF($N27&gt;0,(('Amounts Pivot Table'!I$552+'Amounts Pivot Table'!I$555)/$N27),0)</f>
        <v>5126.8211552777102</v>
      </c>
      <c r="S27" s="538">
        <f>IF($N27&gt;0,('Amounts Pivot Table'!I$561/$N27),0)</f>
        <v>8001.5955659869996</v>
      </c>
      <c r="T27" s="538">
        <f t="shared" si="4"/>
        <v>13128.41672126471</v>
      </c>
      <c r="U27" s="541">
        <f t="shared" si="5"/>
        <v>-2.2413340334375861E-2</v>
      </c>
      <c r="V27" s="543">
        <f t="shared" si="6"/>
        <v>7.7164303839605305E-2</v>
      </c>
      <c r="W27" s="543">
        <f t="shared" si="7"/>
        <v>3.827791078986504E-2</v>
      </c>
      <c r="Y27" s="73" t="s">
        <v>459</v>
      </c>
      <c r="Z27" s="73">
        <f t="shared" si="8"/>
        <v>868464242</v>
      </c>
      <c r="AA27" s="73">
        <f t="shared" si="9"/>
        <v>100082713</v>
      </c>
      <c r="AB27" s="73">
        <f t="shared" si="10"/>
        <v>1665619495</v>
      </c>
      <c r="AC27" s="73">
        <f t="shared" si="11"/>
        <v>2634166450</v>
      </c>
    </row>
    <row r="28" spans="1:29" s="61" customFormat="1">
      <c r="A28" s="428" t="s">
        <v>464</v>
      </c>
      <c r="B28" s="618">
        <f>IF($M28&gt;0,('Amounts Pivot Table'!I$592/$M28),0)</f>
        <v>3253.4850876907581</v>
      </c>
      <c r="C28" s="618">
        <f>IF($M28&gt;0,('Amounts Pivot Table'!I$595/$M28),0)</f>
        <v>717.50441083334067</v>
      </c>
      <c r="D28" s="618">
        <f>IF($M28&gt;0,('Amounts Pivot Table'!I$601/$M28),0)</f>
        <v>7553.4114604717206</v>
      </c>
      <c r="E28" s="619">
        <f t="shared" si="12"/>
        <v>11524.400958995819</v>
      </c>
      <c r="F28" s="620">
        <f t="shared" si="16"/>
        <v>15</v>
      </c>
      <c r="G28" s="621">
        <f t="shared" si="16"/>
        <v>4</v>
      </c>
      <c r="H28" s="621">
        <f t="shared" si="16"/>
        <v>8</v>
      </c>
      <c r="I28" s="621">
        <f t="shared" si="16"/>
        <v>14</v>
      </c>
      <c r="J28" s="75"/>
      <c r="K28" s="73"/>
      <c r="L28" s="171"/>
      <c r="M28" s="299">
        <f>+'[1]NEW-Tables 80-86'!H90</f>
        <v>58089.93</v>
      </c>
      <c r="N28" s="526">
        <f>+'[1]OLD Tables'!H90</f>
        <v>56964.21666666666</v>
      </c>
      <c r="O28" s="534">
        <f t="shared" si="1"/>
        <v>3970.989498524099</v>
      </c>
      <c r="P28" s="535">
        <f t="shared" si="2"/>
        <v>7553.4114604717206</v>
      </c>
      <c r="Q28" s="536">
        <f t="shared" si="3"/>
        <v>11524.400958995819</v>
      </c>
      <c r="R28" s="539">
        <f>IF($N28&gt;0,(('Amounts Pivot Table'!I$591+'Amounts Pivot Table'!I$594)/$N28),0)</f>
        <v>4024.7170840875842</v>
      </c>
      <c r="S28" s="538">
        <f>IF($N28&gt;0,('Amounts Pivot Table'!I$600/$N28),0)</f>
        <v>7627.943811509741</v>
      </c>
      <c r="T28" s="538">
        <f t="shared" si="4"/>
        <v>11652.660895597324</v>
      </c>
      <c r="U28" s="541">
        <f t="shared" si="5"/>
        <v>-1.3349406788344596E-2</v>
      </c>
      <c r="V28" s="543">
        <f t="shared" si="6"/>
        <v>-9.7709622513945504E-3</v>
      </c>
      <c r="W28" s="543">
        <f t="shared" si="7"/>
        <v>-1.1006922603400011E-2</v>
      </c>
      <c r="Y28" s="74" t="s">
        <v>464</v>
      </c>
      <c r="Z28" s="74">
        <f t="shared" si="8"/>
        <v>188994721</v>
      </c>
      <c r="AA28" s="74">
        <f t="shared" si="9"/>
        <v>41679781</v>
      </c>
      <c r="AB28" s="74">
        <f t="shared" si="10"/>
        <v>438777143</v>
      </c>
      <c r="AC28" s="74">
        <f t="shared" si="11"/>
        <v>669451645</v>
      </c>
    </row>
    <row r="29" spans="1:29" s="61" customFormat="1" ht="13.5" customHeight="1">
      <c r="A29" s="99" t="s">
        <v>469</v>
      </c>
      <c r="B29" s="75"/>
      <c r="C29" s="75"/>
      <c r="D29" s="75"/>
      <c r="E29" s="75"/>
      <c r="F29" s="107"/>
      <c r="G29" s="107"/>
      <c r="H29" s="107"/>
      <c r="I29" s="107"/>
      <c r="J29" s="75"/>
      <c r="K29" s="75"/>
      <c r="L29" s="175"/>
      <c r="M29" s="299"/>
      <c r="N29" s="73"/>
      <c r="O29" s="73"/>
      <c r="P29" s="73"/>
      <c r="R29" s="527"/>
      <c r="T29" s="538">
        <f t="shared" si="4"/>
        <v>0</v>
      </c>
      <c r="V29" s="73"/>
    </row>
    <row r="30" spans="1:29" s="61" customFormat="1" ht="40.5" customHeight="1">
      <c r="A30" s="1405" t="s">
        <v>25</v>
      </c>
      <c r="B30" s="1443"/>
      <c r="C30" s="1443"/>
      <c r="D30" s="1443"/>
      <c r="E30" s="1443"/>
      <c r="F30" s="1443"/>
      <c r="G30" s="1444"/>
      <c r="H30" s="1444"/>
      <c r="I30" s="1444"/>
      <c r="J30" s="106"/>
      <c r="K30" s="106"/>
      <c r="L30" s="172"/>
      <c r="M30" s="299"/>
      <c r="N30" s="223"/>
      <c r="O30" s="223"/>
      <c r="P30" s="223"/>
      <c r="Q30" s="73"/>
      <c r="R30" s="225"/>
    </row>
    <row r="31" spans="1:29" s="76" customFormat="1" ht="17.25" customHeight="1">
      <c r="A31" s="1405" t="s">
        <v>80</v>
      </c>
      <c r="B31" s="1449"/>
      <c r="C31" s="1449"/>
      <c r="D31" s="1449"/>
      <c r="E31" s="1449"/>
      <c r="F31" s="1449"/>
      <c r="G31" s="1449"/>
      <c r="H31" s="1449"/>
      <c r="I31" s="1449"/>
      <c r="J31" s="106"/>
      <c r="L31" s="170"/>
      <c r="M31" s="299"/>
      <c r="N31" s="90"/>
      <c r="O31" s="90"/>
      <c r="P31" s="90"/>
      <c r="Q31" s="90"/>
      <c r="R31" s="546"/>
      <c r="S31" s="547"/>
    </row>
    <row r="32" spans="1:29" s="61" customFormat="1" ht="15.75" customHeight="1">
      <c r="A32" s="1405" t="s">
        <v>98</v>
      </c>
      <c r="B32" s="1443"/>
      <c r="C32" s="1443"/>
      <c r="D32" s="1443"/>
      <c r="E32" s="1443"/>
      <c r="F32" s="1443"/>
      <c r="G32" s="1444"/>
      <c r="H32" s="1444"/>
      <c r="I32" s="1444"/>
      <c r="J32" s="189"/>
      <c r="K32" s="189"/>
      <c r="L32" s="172"/>
      <c r="M32" s="299"/>
      <c r="N32" s="73"/>
      <c r="O32" s="73"/>
      <c r="P32" s="73"/>
      <c r="Q32" s="73"/>
      <c r="R32" s="547"/>
      <c r="S32" s="547"/>
      <c r="T32" s="547"/>
    </row>
    <row r="33" spans="1:17" s="61" customFormat="1">
      <c r="A33" s="188"/>
      <c r="B33" s="106"/>
      <c r="C33" s="106"/>
      <c r="D33" s="106"/>
      <c r="E33" s="106"/>
      <c r="F33" s="106"/>
      <c r="G33" s="189"/>
      <c r="H33" s="189"/>
      <c r="I33" s="591" t="s">
        <v>2018</v>
      </c>
      <c r="J33" s="189"/>
      <c r="K33" s="189"/>
      <c r="L33" s="172"/>
      <c r="M33" s="299"/>
      <c r="N33" s="224"/>
      <c r="O33" s="73"/>
      <c r="P33" s="73"/>
      <c r="Q33" s="73"/>
    </row>
    <row r="34" spans="1:17" s="61" customFormat="1" ht="18">
      <c r="A34" s="135" t="s">
        <v>530</v>
      </c>
      <c r="B34" s="135"/>
      <c r="C34" s="135"/>
      <c r="D34" s="135"/>
      <c r="E34" s="135"/>
      <c r="F34" s="135"/>
      <c r="G34" s="135"/>
      <c r="H34" s="135"/>
      <c r="I34" s="135"/>
      <c r="J34" s="95" t="s">
        <v>131</v>
      </c>
      <c r="K34" s="95"/>
      <c r="L34" s="171"/>
      <c r="M34" s="302"/>
      <c r="N34" s="73"/>
      <c r="O34" s="73"/>
      <c r="P34" s="73"/>
      <c r="Q34" s="73"/>
    </row>
    <row r="35" spans="1:17" s="61" customFormat="1" ht="12" customHeight="1">
      <c r="A35" s="135"/>
      <c r="B35" s="135"/>
      <c r="C35" s="135"/>
      <c r="D35" s="135"/>
      <c r="E35" s="135"/>
      <c r="F35" s="135"/>
      <c r="G35" s="135"/>
      <c r="H35" s="135"/>
      <c r="I35" s="135"/>
      <c r="J35" s="95"/>
      <c r="K35" s="95"/>
      <c r="L35" s="171"/>
      <c r="M35" s="302"/>
      <c r="N35" s="73"/>
      <c r="O35" s="73"/>
      <c r="P35" s="73"/>
      <c r="Q35" s="73"/>
    </row>
    <row r="36" spans="1:17" s="61" customFormat="1" ht="18.75">
      <c r="A36" s="1429" t="s">
        <v>26</v>
      </c>
      <c r="B36" s="1429"/>
      <c r="C36" s="1429"/>
      <c r="D36" s="1429"/>
      <c r="E36" s="1429"/>
      <c r="F36" s="1429"/>
      <c r="G36" s="1429"/>
      <c r="H36" s="1429"/>
      <c r="I36" s="1429"/>
      <c r="J36" s="95"/>
      <c r="K36" s="95"/>
      <c r="L36" s="171"/>
      <c r="M36" s="301"/>
      <c r="N36" s="73"/>
      <c r="O36" s="73"/>
      <c r="P36" s="73"/>
      <c r="Q36" s="73"/>
    </row>
    <row r="37" spans="1:17" s="61" customFormat="1" ht="15.75">
      <c r="A37" s="1429" t="s">
        <v>2010</v>
      </c>
      <c r="B37" s="1429"/>
      <c r="C37" s="1429"/>
      <c r="D37" s="1429"/>
      <c r="E37" s="1429"/>
      <c r="F37" s="1429"/>
      <c r="G37" s="1429"/>
      <c r="H37" s="1429"/>
      <c r="I37" s="1429"/>
      <c r="J37" s="95"/>
      <c r="K37" s="95"/>
      <c r="L37" s="166"/>
      <c r="M37" s="301"/>
      <c r="N37" s="73"/>
      <c r="O37" s="73"/>
      <c r="P37" s="73"/>
      <c r="Q37" s="73"/>
    </row>
    <row r="38" spans="1:17" s="61" customFormat="1" ht="9.75" customHeight="1">
      <c r="A38" s="91"/>
      <c r="B38" s="91"/>
      <c r="C38" s="91"/>
      <c r="D38" s="91"/>
      <c r="E38" s="91"/>
      <c r="F38" s="91"/>
      <c r="G38" s="108"/>
      <c r="H38" s="91"/>
      <c r="I38" s="91"/>
      <c r="J38" s="91"/>
      <c r="K38" s="91"/>
      <c r="L38" s="166"/>
      <c r="M38" s="301"/>
      <c r="N38" s="73"/>
      <c r="O38" s="73"/>
      <c r="P38" s="73"/>
      <c r="Q38" s="73"/>
    </row>
    <row r="39" spans="1:17" s="61" customFormat="1" ht="17.25" customHeight="1">
      <c r="A39" s="60"/>
      <c r="B39" s="623" t="s">
        <v>81</v>
      </c>
      <c r="C39" s="624"/>
      <c r="D39" s="624"/>
      <c r="E39" s="624"/>
      <c r="F39" s="625" t="s">
        <v>178</v>
      </c>
      <c r="G39" s="626"/>
      <c r="H39" s="626"/>
      <c r="I39" s="626"/>
      <c r="L39" s="166"/>
      <c r="M39" s="299"/>
      <c r="N39" s="73"/>
      <c r="O39" s="73"/>
      <c r="P39" s="73"/>
      <c r="Q39" s="73"/>
    </row>
    <row r="40" spans="1:17" s="6" customFormat="1" ht="48">
      <c r="A40" s="50"/>
      <c r="B40" s="606" t="s">
        <v>126</v>
      </c>
      <c r="C40" s="607" t="s">
        <v>128</v>
      </c>
      <c r="D40" s="607" t="s">
        <v>570</v>
      </c>
      <c r="E40" s="607" t="s">
        <v>138</v>
      </c>
      <c r="F40" s="608" t="s">
        <v>126</v>
      </c>
      <c r="G40" s="607" t="s">
        <v>128</v>
      </c>
      <c r="H40" s="607" t="s">
        <v>570</v>
      </c>
      <c r="I40" s="607" t="s">
        <v>138</v>
      </c>
      <c r="L40" s="173"/>
      <c r="M40" s="301" t="s">
        <v>388</v>
      </c>
      <c r="N40" s="7"/>
      <c r="O40" s="7"/>
      <c r="P40" s="7"/>
      <c r="Q40" s="7"/>
    </row>
    <row r="41" spans="1:17" s="61" customFormat="1" ht="16.5" customHeight="1">
      <c r="A41" s="73" t="s">
        <v>82</v>
      </c>
      <c r="B41" s="102">
        <f>IF($M41&gt;0,('Amounts Pivot Table'!C$631/$M41),0)</f>
        <v>6537.8957426154702</v>
      </c>
      <c r="C41" s="102">
        <f>IF($M41&gt;0,('Amounts Pivot Table'!C$634/$M41),0)</f>
        <v>1212.4305350102163</v>
      </c>
      <c r="D41" s="102">
        <f>IF($M41&gt;0,('Amounts Pivot Table'!C$640/$M41),0)</f>
        <v>8901.674485986654</v>
      </c>
      <c r="E41" s="102">
        <f>SUM(B41:D41)</f>
        <v>16652.000763612341</v>
      </c>
      <c r="F41" s="114"/>
      <c r="G41" s="115"/>
      <c r="H41" s="115"/>
      <c r="I41" s="115"/>
      <c r="J41" s="75"/>
      <c r="L41" s="169"/>
      <c r="M41" s="299">
        <f>+'[1]NEW-Tables 80-86'!B70</f>
        <v>1040325.6166666667</v>
      </c>
      <c r="N41" s="73"/>
      <c r="O41" s="73"/>
      <c r="P41" s="73"/>
      <c r="Q41" s="73"/>
    </row>
    <row r="42" spans="1:17" s="112" customFormat="1">
      <c r="A42" s="110"/>
      <c r="B42" s="191"/>
      <c r="C42" s="191"/>
      <c r="D42" s="191"/>
      <c r="E42" s="191"/>
      <c r="F42" s="192"/>
      <c r="G42" s="193"/>
      <c r="H42" s="193"/>
      <c r="I42" s="193"/>
      <c r="J42" s="111"/>
      <c r="L42" s="176"/>
      <c r="M42" s="299"/>
      <c r="N42" s="110"/>
      <c r="O42" s="110"/>
      <c r="P42" s="110"/>
      <c r="Q42" s="110"/>
    </row>
    <row r="43" spans="1:17" s="61" customFormat="1" ht="12.75" customHeight="1">
      <c r="A43" s="73" t="s">
        <v>452</v>
      </c>
      <c r="B43" s="75">
        <f>IF($M43&gt;0,('Amounts Pivot Table'!C$7/$M43),0)</f>
        <v>4947.0135883183666</v>
      </c>
      <c r="C43" s="75">
        <f>IF($M43&gt;0,('Amounts Pivot Table'!C$10/$M43),0)</f>
        <v>1030.1371486405369</v>
      </c>
      <c r="D43" s="75">
        <f>IF($M43&gt;0,('Amounts Pivot Table'!C$16/$M43),0)</f>
        <v>11206.807001126555</v>
      </c>
      <c r="E43" s="75">
        <f>SUM(B43:D43)</f>
        <v>17183.957738085461</v>
      </c>
      <c r="F43" s="116">
        <f>IF(B43&gt;0,RANK(B43,$B$43:$B$61),)</f>
        <v>12</v>
      </c>
      <c r="G43" s="107">
        <f>IF(C43&gt;0,RANK(C43,C$43:C$61),)</f>
        <v>12</v>
      </c>
      <c r="H43" s="107">
        <f>IF(D43&gt;0,RANK(D43,D$43:D$61),)</f>
        <v>5</v>
      </c>
      <c r="I43" s="107">
        <f>IF(E43&gt;0,RANK(E43,E$43:E$61),)</f>
        <v>8</v>
      </c>
      <c r="J43" s="75"/>
      <c r="L43" s="169"/>
      <c r="M43" s="299">
        <f>+'[1]NEW-Tables 80-86'!B72</f>
        <v>61374.408333333333</v>
      </c>
      <c r="N43" s="73"/>
      <c r="O43" s="73"/>
      <c r="P43" s="73"/>
      <c r="Q43" s="73"/>
    </row>
    <row r="44" spans="1:17" s="61" customFormat="1" ht="12.75" customHeight="1">
      <c r="A44" s="73" t="s">
        <v>466</v>
      </c>
      <c r="B44" s="75">
        <f>IF($M44&gt;0,('Amounts Pivot Table'!C$46/$M44),0)</f>
        <v>6390.0464538387268</v>
      </c>
      <c r="C44" s="75">
        <f>IF($M44&gt;0,('Amounts Pivot Table'!C$49/$M44),0)</f>
        <v>4335.0758754838116</v>
      </c>
      <c r="D44" s="75">
        <f>IF($M44&gt;0,('Amounts Pivot Table'!C$55/$M44),0)</f>
        <v>5698.8176130977727</v>
      </c>
      <c r="E44" s="75">
        <f>SUM(B44:D44)</f>
        <v>16423.939942420311</v>
      </c>
      <c r="F44" s="116">
        <f t="shared" ref="F44:F61" si="17">IF(B44&gt;0,RANK(B44,$B$43:$B$61),)</f>
        <v>7</v>
      </c>
      <c r="G44" s="107">
        <f t="shared" ref="G44:G61" si="18">IF(C44&gt;0,RANK(C44,C$43:C$61),)</f>
        <v>1</v>
      </c>
      <c r="H44" s="107">
        <f t="shared" ref="H44:H61" si="19">IF(D44&gt;0,RANK(D44,D$43:D$61),)</f>
        <v>15</v>
      </c>
      <c r="I44" s="107">
        <f t="shared" ref="I44:I61" si="20">IF(E44&gt;0,RANK(E44,E$43:E$61),)</f>
        <v>10</v>
      </c>
      <c r="J44" s="75"/>
      <c r="L44" s="169"/>
      <c r="M44" s="299">
        <f>+'[1]NEW-Tables 80-86'!B73</f>
        <v>18927.391666666666</v>
      </c>
      <c r="N44" s="73"/>
      <c r="O44" s="73"/>
      <c r="P44" s="73"/>
      <c r="Q44" s="73"/>
    </row>
    <row r="45" spans="1:17" s="61" customFormat="1" ht="12.75" customHeight="1">
      <c r="A45" s="73" t="s">
        <v>453</v>
      </c>
      <c r="B45" s="75">
        <f>IF($M45&gt;0,('Amounts Pivot Table'!C$85/$M45),0)</f>
        <v>5907.3891709435702</v>
      </c>
      <c r="C45" s="75">
        <f>IF($M45&gt;0,('Amounts Pivot Table'!C$88/$M45),0)</f>
        <v>465.20574866907293</v>
      </c>
      <c r="D45" s="75">
        <f>IF($M45&gt;0,('Amounts Pivot Table'!C$94/$M45),0)</f>
        <v>21090.29592841601</v>
      </c>
      <c r="E45" s="75">
        <f>SUM(B45:D45)</f>
        <v>27462.890848028652</v>
      </c>
      <c r="F45" s="116">
        <f t="shared" si="17"/>
        <v>10</v>
      </c>
      <c r="G45" s="107">
        <f t="shared" si="18"/>
        <v>16</v>
      </c>
      <c r="H45" s="107">
        <f t="shared" si="19"/>
        <v>1</v>
      </c>
      <c r="I45" s="107">
        <f t="shared" si="20"/>
        <v>1</v>
      </c>
      <c r="J45" s="75"/>
      <c r="L45" s="169"/>
      <c r="M45" s="299">
        <f>+'[1]NEW-Tables 80-86'!B74</f>
        <v>19590.041666666668</v>
      </c>
      <c r="N45" s="223"/>
      <c r="O45" s="223"/>
      <c r="P45" s="223"/>
      <c r="Q45" s="73"/>
    </row>
    <row r="46" spans="1:17" s="61" customFormat="1" ht="12.75" customHeight="1">
      <c r="A46" s="73" t="s">
        <v>460</v>
      </c>
      <c r="B46" s="75">
        <f>IF($M46&gt;0,('Amounts Pivot Table'!C$124/$M46),0)</f>
        <v>6008.0965783955644</v>
      </c>
      <c r="C46" s="75">
        <f>IF($M46&gt;0,('Amounts Pivot Table'!C$127/$M46),0)</f>
        <v>812.31593503082047</v>
      </c>
      <c r="D46" s="75">
        <f>IF($M46&gt;0,('Amounts Pivot Table'!C$133/$M46),0)</f>
        <v>4275.741518859234</v>
      </c>
      <c r="E46" s="75">
        <f>SUM(B46:D46)</f>
        <v>11096.15403228562</v>
      </c>
      <c r="F46" s="116">
        <f t="shared" si="17"/>
        <v>9</v>
      </c>
      <c r="G46" s="107">
        <f t="shared" si="18"/>
        <v>13</v>
      </c>
      <c r="H46" s="107">
        <f t="shared" si="19"/>
        <v>16</v>
      </c>
      <c r="I46" s="107">
        <f t="shared" si="20"/>
        <v>16</v>
      </c>
      <c r="J46" s="75"/>
      <c r="L46" s="169"/>
      <c r="M46" s="299">
        <f>+'[1]NEW-Tables 80-86'!B75</f>
        <v>215108.15000000002</v>
      </c>
      <c r="N46" s="73"/>
      <c r="O46" s="73"/>
      <c r="P46" s="73"/>
      <c r="Q46" s="73"/>
    </row>
    <row r="47" spans="1:17" s="112" customFormat="1" ht="9.75" customHeight="1">
      <c r="A47" s="110"/>
      <c r="B47" s="191"/>
      <c r="C47" s="191"/>
      <c r="D47" s="191"/>
      <c r="E47" s="191"/>
      <c r="F47" s="116">
        <f t="shared" si="17"/>
        <v>0</v>
      </c>
      <c r="G47" s="107">
        <f t="shared" si="18"/>
        <v>0</v>
      </c>
      <c r="H47" s="107">
        <f t="shared" si="19"/>
        <v>0</v>
      </c>
      <c r="I47" s="107">
        <f t="shared" si="20"/>
        <v>0</v>
      </c>
      <c r="J47" s="111"/>
      <c r="L47" s="176"/>
      <c r="M47" s="299">
        <f>+'[1]NEW-Tables 80-86'!B76</f>
        <v>0</v>
      </c>
      <c r="N47" s="110"/>
      <c r="O47" s="110"/>
      <c r="P47" s="110"/>
      <c r="Q47" s="110"/>
    </row>
    <row r="48" spans="1:17" s="61" customFormat="1" ht="12.75" customHeight="1">
      <c r="A48" s="73" t="s">
        <v>461</v>
      </c>
      <c r="B48" s="75">
        <f>IF($M48&gt;0,('Amounts Pivot Table'!C$163/$M48),0)</f>
        <v>7389.1945001501772</v>
      </c>
      <c r="C48" s="75">
        <f>IF($M48&gt;0,('Amounts Pivot Table'!C$166/$M48),0)</f>
        <v>1101.5775813160442</v>
      </c>
      <c r="D48" s="75">
        <f>IF($M48&gt;0,('Amounts Pivot Table'!C$172/$M48),0)</f>
        <v>7173.1558149201019</v>
      </c>
      <c r="E48" s="75">
        <f>SUM(B48:D48)</f>
        <v>15663.927896386322</v>
      </c>
      <c r="F48" s="116">
        <f t="shared" si="17"/>
        <v>6</v>
      </c>
      <c r="G48" s="107">
        <f t="shared" si="18"/>
        <v>10</v>
      </c>
      <c r="H48" s="107">
        <f t="shared" si="19"/>
        <v>12</v>
      </c>
      <c r="I48" s="107">
        <f t="shared" si="20"/>
        <v>11</v>
      </c>
      <c r="J48" s="75"/>
      <c r="L48" s="169"/>
      <c r="M48" s="299">
        <f>+'[1]NEW-Tables 80-86'!B77</f>
        <v>65921.8</v>
      </c>
      <c r="N48" s="73"/>
      <c r="O48" s="73"/>
      <c r="P48" s="73"/>
      <c r="Q48" s="73"/>
    </row>
    <row r="49" spans="1:17" s="61" customFormat="1" ht="12.75" customHeight="1">
      <c r="A49" s="73" t="s">
        <v>454</v>
      </c>
      <c r="B49" s="75">
        <f>IF($M49&gt;0,('Amounts Pivot Table'!C$202/$M49),0)</f>
        <v>7413.1071771804718</v>
      </c>
      <c r="C49" s="75">
        <f>IF($M49&gt;0,('Amounts Pivot Table'!C$205/$M49),0)</f>
        <v>2132.13122106418</v>
      </c>
      <c r="D49" s="75">
        <f>IF($M49&gt;0,('Amounts Pivot Table'!C$211/$M49),0)</f>
        <v>11799.300704333516</v>
      </c>
      <c r="E49" s="75">
        <f>SUM(B49:D49)</f>
        <v>21344.539102578168</v>
      </c>
      <c r="F49" s="116">
        <f t="shared" si="17"/>
        <v>5</v>
      </c>
      <c r="G49" s="107">
        <f t="shared" si="18"/>
        <v>4</v>
      </c>
      <c r="H49" s="107">
        <f t="shared" si="19"/>
        <v>4</v>
      </c>
      <c r="I49" s="107">
        <f t="shared" si="20"/>
        <v>4</v>
      </c>
      <c r="J49" s="75"/>
      <c r="L49" s="169"/>
      <c r="M49" s="299">
        <f>+'[1]NEW-Tables 80-86'!B78</f>
        <v>37979.166666666664</v>
      </c>
      <c r="N49" s="73"/>
      <c r="O49" s="73"/>
      <c r="P49" s="73"/>
      <c r="Q49" s="73"/>
    </row>
    <row r="50" spans="1:17" s="61" customFormat="1" ht="12.75" customHeight="1">
      <c r="A50" s="73" t="s">
        <v>462</v>
      </c>
      <c r="B50" s="75">
        <f>IF($M50&gt;0,('Amounts Pivot Table'!C$241/$M50),0)</f>
        <v>5123.5978447871921</v>
      </c>
      <c r="C50" s="75">
        <f>IF($M50&gt;0,('Amounts Pivot Table'!C$244/$M50),0)</f>
        <v>2393.2916051059615</v>
      </c>
      <c r="D50" s="75">
        <f>IF($M50&gt;0,('Amounts Pivot Table'!C$250/$M50),0)</f>
        <v>7048.2659954669725</v>
      </c>
      <c r="E50" s="75">
        <f>SUM(B50:D50)</f>
        <v>14565.155445360126</v>
      </c>
      <c r="F50" s="116">
        <f t="shared" si="17"/>
        <v>11</v>
      </c>
      <c r="G50" s="107">
        <f t="shared" si="18"/>
        <v>2</v>
      </c>
      <c r="H50" s="107">
        <f t="shared" si="19"/>
        <v>13</v>
      </c>
      <c r="I50" s="107">
        <f t="shared" si="20"/>
        <v>13</v>
      </c>
      <c r="J50" s="75"/>
      <c r="L50" s="169"/>
      <c r="M50" s="299">
        <f>+'[1]NEW-Tables 80-86'!B79</f>
        <v>28810.766666666666</v>
      </c>
      <c r="N50" s="73"/>
      <c r="O50" s="73"/>
      <c r="P50" s="73"/>
      <c r="Q50" s="73"/>
    </row>
    <row r="51" spans="1:17" s="61" customFormat="1" ht="12.75" customHeight="1">
      <c r="A51" s="73" t="s">
        <v>465</v>
      </c>
      <c r="B51" s="75">
        <f>IF($M51&gt;0,('Amounts Pivot Table'!C$280/$M51),0)</f>
        <v>11087.447708554226</v>
      </c>
      <c r="C51" s="75">
        <f>IF($M51&gt;0,('Amounts Pivot Table'!C$283/$M51),0)</f>
        <v>1631.177156366057</v>
      </c>
      <c r="D51" s="75">
        <f>IF($M51&gt;0,('Amounts Pivot Table'!C$289/$M51),0)</f>
        <v>12595.460356576532</v>
      </c>
      <c r="E51" s="75">
        <f>SUM(B51:D51)</f>
        <v>25314.085221496814</v>
      </c>
      <c r="F51" s="116">
        <f t="shared" si="17"/>
        <v>2</v>
      </c>
      <c r="G51" s="107">
        <f t="shared" si="18"/>
        <v>6</v>
      </c>
      <c r="H51" s="107">
        <f t="shared" si="19"/>
        <v>3</v>
      </c>
      <c r="I51" s="107">
        <f t="shared" si="20"/>
        <v>2</v>
      </c>
      <c r="J51" s="75"/>
      <c r="L51" s="169"/>
      <c r="M51" s="299">
        <f>+'[1]NEW-Tables 80-86'!B80</f>
        <v>33163.287499999999</v>
      </c>
      <c r="N51" s="73"/>
      <c r="O51" s="73"/>
      <c r="P51" s="73"/>
      <c r="Q51" s="73"/>
    </row>
    <row r="52" spans="1:17" s="112" customFormat="1" ht="11.25" customHeight="1">
      <c r="A52" s="110"/>
      <c r="B52" s="191"/>
      <c r="C52" s="191"/>
      <c r="D52" s="191"/>
      <c r="E52" s="191"/>
      <c r="F52" s="116">
        <f t="shared" si="17"/>
        <v>0</v>
      </c>
      <c r="G52" s="107">
        <f t="shared" si="18"/>
        <v>0</v>
      </c>
      <c r="H52" s="107">
        <f t="shared" si="19"/>
        <v>0</v>
      </c>
      <c r="I52" s="107">
        <f t="shared" si="20"/>
        <v>0</v>
      </c>
      <c r="J52" s="111"/>
      <c r="L52" s="176"/>
      <c r="M52" s="299">
        <f>+'[1]NEW-Tables 80-86'!B81</f>
        <v>0</v>
      </c>
      <c r="N52" s="110"/>
      <c r="O52" s="110"/>
      <c r="P52" s="110"/>
      <c r="Q52" s="110"/>
    </row>
    <row r="53" spans="1:17" s="61" customFormat="1" ht="12.75" customHeight="1">
      <c r="A53" s="73" t="s">
        <v>455</v>
      </c>
      <c r="B53" s="75">
        <f>IF($M53&gt;0,('Amounts Pivot Table'!C$319/$M53),0)</f>
        <v>4759.1535077008293</v>
      </c>
      <c r="C53" s="75">
        <f>IF($M53&gt;0,('Amounts Pivot Table'!C$322/$M53),0)</f>
        <v>2132.9874142703757</v>
      </c>
      <c r="D53" s="75">
        <f>IF($M53&gt;0,('Amounts Pivot Table'!C$328/$M53),0)</f>
        <v>7045.66465613331</v>
      </c>
      <c r="E53" s="75">
        <f>SUM(B53:D53)</f>
        <v>13937.805578104515</v>
      </c>
      <c r="F53" s="116">
        <f t="shared" si="17"/>
        <v>13</v>
      </c>
      <c r="G53" s="107">
        <f t="shared" si="18"/>
        <v>3</v>
      </c>
      <c r="H53" s="107">
        <f t="shared" si="19"/>
        <v>14</v>
      </c>
      <c r="I53" s="107">
        <f t="shared" si="20"/>
        <v>15</v>
      </c>
      <c r="J53" s="75"/>
      <c r="L53" s="169"/>
      <c r="M53" s="299">
        <f>+'[1]NEW-Tables 80-86'!B82</f>
        <v>30540.541666666664</v>
      </c>
      <c r="N53" s="73"/>
      <c r="O53" s="73"/>
      <c r="P53" s="73"/>
      <c r="Q53" s="73"/>
    </row>
    <row r="54" spans="1:17" s="61" customFormat="1" ht="12.75" customHeight="1">
      <c r="A54" s="73" t="s">
        <v>456</v>
      </c>
      <c r="B54" s="75">
        <f>IF($M54&gt;0,('Amounts Pivot Table'!C$358/$M54),0)</f>
        <v>11726.008041996247</v>
      </c>
      <c r="C54" s="75">
        <f>IF($M54&gt;0,('Amounts Pivot Table'!C$361/$M54),0)</f>
        <v>1890.7192980403199</v>
      </c>
      <c r="D54" s="75">
        <f>IF($M54&gt;0,('Amounts Pivot Table'!C$367/$M54),0)</f>
        <v>8334.6348465937317</v>
      </c>
      <c r="E54" s="75">
        <f>SUM(B54:D54)</f>
        <v>21951.3621866303</v>
      </c>
      <c r="F54" s="116">
        <f t="shared" si="17"/>
        <v>1</v>
      </c>
      <c r="G54" s="107">
        <f t="shared" si="18"/>
        <v>5</v>
      </c>
      <c r="H54" s="107">
        <f t="shared" si="19"/>
        <v>10</v>
      </c>
      <c r="I54" s="107">
        <f t="shared" si="20"/>
        <v>3</v>
      </c>
      <c r="J54" s="75"/>
      <c r="L54" s="169"/>
      <c r="M54" s="299">
        <f>+'[1]NEW-Tables 80-86'!B83</f>
        <v>54835.058333333334</v>
      </c>
      <c r="N54" s="73"/>
      <c r="O54" s="73"/>
      <c r="P54" s="73"/>
      <c r="Q54" s="73"/>
    </row>
    <row r="55" spans="1:17" s="61" customFormat="1" ht="12.75" customHeight="1">
      <c r="A55" s="73" t="s">
        <v>463</v>
      </c>
      <c r="B55" s="75">
        <f>IF($M55&gt;0,('Amounts Pivot Table'!C$397/$M55),0)</f>
        <v>6234.597901545706</v>
      </c>
      <c r="C55" s="75">
        <f>IF($M55&gt;0,('Amounts Pivot Table'!C$400/$M55),0)</f>
        <v>1266.2749843144304</v>
      </c>
      <c r="D55" s="75">
        <f>IF($M55&gt;0,('Amounts Pivot Table'!C$406/$M55),0)</f>
        <v>9165.7139926978743</v>
      </c>
      <c r="E55" s="75">
        <f>SUM(B55:D55)</f>
        <v>16666.58687855801</v>
      </c>
      <c r="F55" s="116">
        <f t="shared" si="17"/>
        <v>8</v>
      </c>
      <c r="G55" s="107">
        <f t="shared" si="18"/>
        <v>9</v>
      </c>
      <c r="H55" s="107">
        <f t="shared" si="19"/>
        <v>9</v>
      </c>
      <c r="I55" s="107">
        <f t="shared" si="20"/>
        <v>9</v>
      </c>
      <c r="J55" s="75"/>
      <c r="L55" s="169"/>
      <c r="M55" s="299">
        <f>+'[1]NEW-Tables 80-86'!B84</f>
        <v>42740.983333333337</v>
      </c>
      <c r="N55" s="73"/>
      <c r="O55" s="73"/>
      <c r="P55" s="73"/>
      <c r="Q55" s="73"/>
    </row>
    <row r="56" spans="1:17" s="61" customFormat="1" ht="12.75" customHeight="1">
      <c r="A56" s="73" t="s">
        <v>457</v>
      </c>
      <c r="B56" s="75">
        <f>IF($M56&gt;0,('Amounts Pivot Table'!C$436/$M56),0)</f>
        <v>3293.7941773216403</v>
      </c>
      <c r="C56" s="75">
        <f>IF($M56&gt;0,('Amounts Pivot Table'!C$439/$M56),0)</f>
        <v>647.43979337384212</v>
      </c>
      <c r="D56" s="75">
        <f>IF($M56&gt;0,('Amounts Pivot Table'!C$445/$M56),0)</f>
        <v>15638.674296224623</v>
      </c>
      <c r="E56" s="75">
        <f>SUM(B56:D56)</f>
        <v>19579.908266920105</v>
      </c>
      <c r="F56" s="116">
        <f t="shared" si="17"/>
        <v>15</v>
      </c>
      <c r="G56" s="107">
        <f t="shared" si="18"/>
        <v>15</v>
      </c>
      <c r="H56" s="107">
        <f t="shared" si="19"/>
        <v>2</v>
      </c>
      <c r="I56" s="107">
        <f t="shared" si="20"/>
        <v>5</v>
      </c>
      <c r="J56" s="75"/>
      <c r="L56" s="169"/>
      <c r="M56" s="299">
        <f>+'[1]NEW-Tables 80-86'!B85</f>
        <v>44473.23333333333</v>
      </c>
      <c r="N56" s="73"/>
      <c r="O56" s="73"/>
      <c r="P56" s="73"/>
      <c r="Q56" s="73"/>
    </row>
    <row r="57" spans="1:17" s="112" customFormat="1" ht="8.25" customHeight="1">
      <c r="A57" s="110"/>
      <c r="B57" s="191"/>
      <c r="C57" s="191"/>
      <c r="D57" s="191"/>
      <c r="E57" s="191"/>
      <c r="F57" s="116">
        <f t="shared" si="17"/>
        <v>0</v>
      </c>
      <c r="G57" s="107">
        <f t="shared" si="18"/>
        <v>0</v>
      </c>
      <c r="H57" s="107">
        <f t="shared" si="19"/>
        <v>0</v>
      </c>
      <c r="I57" s="107">
        <f t="shared" si="20"/>
        <v>0</v>
      </c>
      <c r="J57" s="111"/>
      <c r="L57" s="176"/>
      <c r="M57" s="299">
        <f>+'[1]NEW-Tables 80-86'!B86</f>
        <v>0</v>
      </c>
      <c r="N57" s="110"/>
      <c r="O57" s="110"/>
      <c r="P57" s="110"/>
      <c r="Q57" s="110"/>
    </row>
    <row r="58" spans="1:17" s="61" customFormat="1" ht="12.75" customHeight="1">
      <c r="A58" s="73" t="s">
        <v>130</v>
      </c>
      <c r="B58" s="75">
        <f>IF($M58&gt;0,('Amounts Pivot Table'!C$475/$M58),0)</f>
        <v>7807.1359741696961</v>
      </c>
      <c r="C58" s="75">
        <f>IF($M58&gt;0,('Amounts Pivot Table'!C$478/$M58),0)</f>
        <v>1507.3859269567388</v>
      </c>
      <c r="D58" s="75">
        <f>IF($M58&gt;0,('Amounts Pivot Table'!C$484/$M58),0)</f>
        <v>8105.4898110655286</v>
      </c>
      <c r="E58" s="75">
        <f>SUM(B58:D58)</f>
        <v>17420.011712191961</v>
      </c>
      <c r="F58" s="116">
        <f t="shared" si="17"/>
        <v>3</v>
      </c>
      <c r="G58" s="107">
        <f t="shared" si="18"/>
        <v>7</v>
      </c>
      <c r="H58" s="107">
        <f t="shared" si="19"/>
        <v>11</v>
      </c>
      <c r="I58" s="107">
        <f t="shared" si="20"/>
        <v>7</v>
      </c>
      <c r="J58" s="75"/>
      <c r="K58" s="101"/>
      <c r="L58" s="169"/>
      <c r="M58" s="299">
        <f>+'[1]NEW-Tables 80-86'!B87</f>
        <v>43271.616666666669</v>
      </c>
      <c r="N58" s="73"/>
      <c r="O58" s="73"/>
      <c r="P58" s="73"/>
      <c r="Q58" s="73"/>
    </row>
    <row r="59" spans="1:17" s="61" customFormat="1" ht="12.75" customHeight="1">
      <c r="A59" s="73" t="s">
        <v>458</v>
      </c>
      <c r="B59" s="75">
        <f>IF($M59&gt;0,('Amounts Pivot Table'!C$514/$M59),0)</f>
        <v>7551.8834657393618</v>
      </c>
      <c r="C59" s="75">
        <f>IF($M59&gt;0,('Amounts Pivot Table'!C$517/$M59),0)</f>
        <v>1047.9014214765969</v>
      </c>
      <c r="D59" s="75">
        <f>IF($M59&gt;0,('Amounts Pivot Table'!C$523/$M59),0)</f>
        <v>10362.359604909043</v>
      </c>
      <c r="E59" s="75">
        <f>SUM(B59:D59)</f>
        <v>18962.144492125</v>
      </c>
      <c r="F59" s="116">
        <f t="shared" si="17"/>
        <v>4</v>
      </c>
      <c r="G59" s="107">
        <f t="shared" si="18"/>
        <v>11</v>
      </c>
      <c r="H59" s="107">
        <f t="shared" si="19"/>
        <v>6</v>
      </c>
      <c r="I59" s="107">
        <f t="shared" si="20"/>
        <v>6</v>
      </c>
      <c r="J59" s="75"/>
      <c r="K59" s="101"/>
      <c r="L59" s="169"/>
      <c r="M59" s="299">
        <f>+'[1]NEW-Tables 80-86'!B88</f>
        <v>216254</v>
      </c>
      <c r="N59" s="73"/>
      <c r="O59" s="73"/>
      <c r="P59" s="73"/>
      <c r="Q59" s="73"/>
    </row>
    <row r="60" spans="1:17" s="76" customFormat="1" ht="12.75" customHeight="1">
      <c r="A60" s="73" t="s">
        <v>459</v>
      </c>
      <c r="B60" s="75">
        <f>IF($M60&gt;0,('Amounts Pivot Table'!C$553/$M60),0)</f>
        <v>4398.1163591499508</v>
      </c>
      <c r="C60" s="75">
        <f>IF($M60&gt;0,('Amounts Pivot Table'!C$556/$M60),0)</f>
        <v>730.92585482672087</v>
      </c>
      <c r="D60" s="75">
        <f>IF($M60&gt;0,('Amounts Pivot Table'!C$562/$M60),0)</f>
        <v>9649.8297697859725</v>
      </c>
      <c r="E60" s="75">
        <f>SUM(B60:D60)</f>
        <v>14778.871983762645</v>
      </c>
      <c r="F60" s="116">
        <f t="shared" si="17"/>
        <v>14</v>
      </c>
      <c r="G60" s="107">
        <f t="shared" si="18"/>
        <v>14</v>
      </c>
      <c r="H60" s="107">
        <f t="shared" si="19"/>
        <v>8</v>
      </c>
      <c r="I60" s="107">
        <f t="shared" si="20"/>
        <v>12</v>
      </c>
      <c r="J60" s="75"/>
      <c r="K60" s="101"/>
      <c r="L60" s="170"/>
      <c r="M60" s="299">
        <f>+'[1]NEW-Tables 80-86'!B89</f>
        <v>100917.50416666667</v>
      </c>
      <c r="N60" s="90"/>
      <c r="O60" s="90"/>
      <c r="P60" s="90"/>
      <c r="Q60" s="90"/>
    </row>
    <row r="61" spans="1:17" s="61" customFormat="1" ht="12.75" customHeight="1">
      <c r="A61" s="74" t="s">
        <v>464</v>
      </c>
      <c r="B61" s="104">
        <f>IF($M61&gt;0,('Amounts Pivot Table'!C$592/$M61),0)</f>
        <v>2604.0146871411812</v>
      </c>
      <c r="C61" s="104">
        <f>IF($M61&gt;0,('Amounts Pivot Table'!C$595/$M61),0)</f>
        <v>1446.6204181545179</v>
      </c>
      <c r="D61" s="104">
        <f>IF($M61&gt;0,('Amounts Pivot Table'!C$601/$M61),0)</f>
        <v>10044.488953099568</v>
      </c>
      <c r="E61" s="105">
        <f>SUM(B61:D61)</f>
        <v>14095.124058395268</v>
      </c>
      <c r="F61" s="117">
        <f t="shared" si="17"/>
        <v>16</v>
      </c>
      <c r="G61" s="118">
        <f t="shared" si="18"/>
        <v>8</v>
      </c>
      <c r="H61" s="118">
        <f t="shared" si="19"/>
        <v>7</v>
      </c>
      <c r="I61" s="118">
        <f t="shared" si="20"/>
        <v>14</v>
      </c>
      <c r="J61" s="75"/>
      <c r="K61" s="101"/>
      <c r="L61" s="171"/>
      <c r="M61" s="299">
        <f>+'[1]NEW-Tables 80-86'!B90</f>
        <v>26417.666666666664</v>
      </c>
      <c r="N61" s="73"/>
      <c r="O61" s="73"/>
      <c r="P61" s="73"/>
      <c r="Q61" s="73"/>
    </row>
    <row r="62" spans="1:17" s="61" customFormat="1" ht="39.75" customHeight="1">
      <c r="A62" s="1405" t="s">
        <v>25</v>
      </c>
      <c r="B62" s="1443"/>
      <c r="C62" s="1443"/>
      <c r="D62" s="1443"/>
      <c r="E62" s="1443"/>
      <c r="F62" s="1443"/>
      <c r="G62" s="1444"/>
      <c r="H62" s="1444"/>
      <c r="I62" s="1444"/>
      <c r="J62" s="101"/>
      <c r="K62" s="101"/>
      <c r="L62" s="172"/>
      <c r="M62" s="303"/>
      <c r="N62" s="73"/>
      <c r="O62" s="73"/>
      <c r="P62" s="73"/>
      <c r="Q62" s="73"/>
    </row>
    <row r="63" spans="1:17" s="76" customFormat="1" ht="19.5" customHeight="1">
      <c r="A63" s="1405" t="s">
        <v>80</v>
      </c>
      <c r="B63" s="1449"/>
      <c r="C63" s="1449"/>
      <c r="D63" s="1449"/>
      <c r="E63" s="1449"/>
      <c r="F63" s="1449"/>
      <c r="G63" s="1449"/>
      <c r="H63" s="1449"/>
      <c r="I63" s="1449"/>
      <c r="J63" s="106"/>
      <c r="L63" s="170"/>
      <c r="M63" s="299"/>
      <c r="N63" s="90"/>
      <c r="O63" s="90"/>
      <c r="P63" s="90"/>
      <c r="Q63" s="90"/>
    </row>
    <row r="64" spans="1:17" s="61" customFormat="1">
      <c r="A64" s="1405" t="s">
        <v>332</v>
      </c>
      <c r="B64" s="1443"/>
      <c r="C64" s="1443"/>
      <c r="D64" s="1443"/>
      <c r="E64" s="1443"/>
      <c r="F64" s="1443"/>
      <c r="G64" s="1444"/>
      <c r="H64" s="1444"/>
      <c r="I64" s="1444"/>
      <c r="J64" s="1444"/>
      <c r="K64" s="1444"/>
      <c r="L64" s="172"/>
      <c r="M64" s="299"/>
      <c r="N64" s="73"/>
      <c r="O64" s="73"/>
      <c r="P64" s="73"/>
      <c r="Q64" s="73"/>
    </row>
    <row r="65" spans="1:17" s="61" customFormat="1" ht="10.5" customHeight="1">
      <c r="A65" s="188"/>
      <c r="B65" s="106"/>
      <c r="C65" s="106"/>
      <c r="D65" s="106"/>
      <c r="E65" s="106"/>
      <c r="F65" s="106"/>
      <c r="G65" s="189"/>
      <c r="H65" s="189"/>
      <c r="I65" s="189"/>
      <c r="J65" s="189"/>
      <c r="K65" s="189"/>
      <c r="L65" s="172"/>
      <c r="M65" s="299"/>
      <c r="N65" s="73"/>
      <c r="O65" s="73"/>
      <c r="P65" s="73"/>
      <c r="Q65" s="73"/>
    </row>
    <row r="66" spans="1:17" s="61" customFormat="1">
      <c r="A66" s="188"/>
      <c r="B66" s="106"/>
      <c r="C66" s="106"/>
      <c r="D66" s="106"/>
      <c r="E66" s="106"/>
      <c r="F66" s="106"/>
      <c r="G66" s="189"/>
      <c r="H66" s="189"/>
      <c r="I66" s="1393" t="s">
        <v>2023</v>
      </c>
      <c r="J66" s="189"/>
      <c r="K66" s="189"/>
      <c r="L66" s="172"/>
      <c r="M66" s="299"/>
      <c r="N66" s="73"/>
      <c r="O66" s="73"/>
      <c r="P66" s="73"/>
      <c r="Q66" s="73"/>
    </row>
    <row r="67" spans="1:17" s="61" customFormat="1" ht="18">
      <c r="A67" s="135" t="s">
        <v>531</v>
      </c>
      <c r="B67" s="135"/>
      <c r="C67" s="135"/>
      <c r="D67" s="135"/>
      <c r="E67" s="135"/>
      <c r="F67" s="135"/>
      <c r="G67" s="135"/>
      <c r="H67" s="135"/>
      <c r="I67" s="135"/>
      <c r="J67" s="95" t="s">
        <v>131</v>
      </c>
      <c r="L67" s="171"/>
      <c r="M67" s="299"/>
      <c r="N67" s="73"/>
      <c r="O67" s="73"/>
      <c r="P67" s="73"/>
      <c r="Q67" s="73"/>
    </row>
    <row r="68" spans="1:17" s="61" customFormat="1" ht="18">
      <c r="A68" s="135"/>
      <c r="B68" s="135"/>
      <c r="C68" s="135"/>
      <c r="D68" s="135"/>
      <c r="E68" s="135"/>
      <c r="F68" s="135"/>
      <c r="G68" s="135"/>
      <c r="H68" s="135"/>
      <c r="I68" s="135"/>
      <c r="J68" s="95"/>
      <c r="L68" s="171"/>
      <c r="M68" s="299"/>
      <c r="N68" s="73"/>
      <c r="O68" s="73"/>
      <c r="P68" s="73"/>
      <c r="Q68" s="73"/>
    </row>
    <row r="69" spans="1:17" s="61" customFormat="1" ht="18.75">
      <c r="A69" s="1429" t="s">
        <v>26</v>
      </c>
      <c r="B69" s="1429"/>
      <c r="C69" s="1429"/>
      <c r="D69" s="1429"/>
      <c r="E69" s="1429"/>
      <c r="F69" s="1429"/>
      <c r="G69" s="1429"/>
      <c r="H69" s="1429"/>
      <c r="I69" s="1429"/>
      <c r="J69" s="95"/>
      <c r="K69" s="95"/>
      <c r="L69" s="171"/>
      <c r="M69" s="299"/>
      <c r="N69" s="73"/>
      <c r="O69" s="73"/>
      <c r="P69" s="73"/>
      <c r="Q69" s="73"/>
    </row>
    <row r="70" spans="1:17" s="61" customFormat="1" ht="15.75">
      <c r="A70" s="1429" t="s">
        <v>2009</v>
      </c>
      <c r="B70" s="1429"/>
      <c r="C70" s="1429"/>
      <c r="D70" s="1429"/>
      <c r="E70" s="1429"/>
      <c r="F70" s="1429"/>
      <c r="G70" s="1429"/>
      <c r="H70" s="1429"/>
      <c r="I70" s="1429"/>
      <c r="J70" s="95"/>
      <c r="K70" s="95"/>
      <c r="L70" s="166"/>
      <c r="M70" s="299"/>
      <c r="N70" s="73"/>
      <c r="O70" s="73"/>
      <c r="P70" s="73"/>
      <c r="Q70" s="73"/>
    </row>
    <row r="71" spans="1:17" s="61" customFormat="1" ht="6.75" customHeight="1">
      <c r="A71" s="91"/>
      <c r="B71" s="91"/>
      <c r="C71" s="91"/>
      <c r="D71" s="91"/>
      <c r="E71" s="91"/>
      <c r="F71" s="91"/>
      <c r="G71" s="108" t="s">
        <v>131</v>
      </c>
      <c r="H71" s="91"/>
      <c r="I71" s="91"/>
      <c r="J71" s="91"/>
      <c r="K71" s="91"/>
      <c r="L71" s="166"/>
      <c r="M71" s="299"/>
      <c r="N71" s="73"/>
      <c r="O71" s="73"/>
      <c r="P71" s="73"/>
      <c r="Q71" s="73"/>
    </row>
    <row r="72" spans="1:17" s="61" customFormat="1" ht="15.75" customHeight="1">
      <c r="A72" s="60"/>
      <c r="B72" s="623" t="s">
        <v>81</v>
      </c>
      <c r="C72" s="624"/>
      <c r="D72" s="624"/>
      <c r="E72" s="624"/>
      <c r="F72" s="625" t="s">
        <v>178</v>
      </c>
      <c r="G72" s="626"/>
      <c r="H72" s="626"/>
      <c r="I72" s="626"/>
      <c r="L72" s="166"/>
      <c r="M72" s="299"/>
      <c r="N72" s="73"/>
      <c r="O72" s="73"/>
      <c r="P72" s="73"/>
      <c r="Q72" s="73"/>
    </row>
    <row r="73" spans="1:17" s="6" customFormat="1" ht="48">
      <c r="A73" s="50"/>
      <c r="B73" s="606" t="s">
        <v>126</v>
      </c>
      <c r="C73" s="607" t="s">
        <v>128</v>
      </c>
      <c r="D73" s="607" t="s">
        <v>570</v>
      </c>
      <c r="E73" s="607" t="s">
        <v>138</v>
      </c>
      <c r="F73" s="608" t="s">
        <v>126</v>
      </c>
      <c r="G73" s="607" t="s">
        <v>128</v>
      </c>
      <c r="H73" s="607" t="s">
        <v>570</v>
      </c>
      <c r="I73" s="607" t="s">
        <v>138</v>
      </c>
      <c r="L73" s="173"/>
      <c r="M73" s="299" t="s">
        <v>388</v>
      </c>
      <c r="N73" s="7"/>
      <c r="O73" s="7"/>
      <c r="P73" s="7"/>
      <c r="Q73" s="7"/>
    </row>
    <row r="74" spans="1:17" s="61" customFormat="1" ht="16.5" customHeight="1">
      <c r="A74" s="73" t="s">
        <v>82</v>
      </c>
      <c r="B74" s="102">
        <f>IF($M74&gt;0,('Amounts Pivot Table'!D$631/$M74),0)</f>
        <v>6390.054694397958</v>
      </c>
      <c r="C74" s="102">
        <f>IF($M74&gt;0,('Amounts Pivot Table'!D$634/$M74),0)</f>
        <v>277.90172332900602</v>
      </c>
      <c r="D74" s="102">
        <f>IF($M74&gt;0,('Amounts Pivot Table'!D$640/$M74),0)</f>
        <v>7005.5608551616197</v>
      </c>
      <c r="E74" s="102">
        <f>SUM(B74:D74)</f>
        <v>13673.517272888585</v>
      </c>
      <c r="F74" s="114"/>
      <c r="G74" s="115"/>
      <c r="H74" s="115"/>
      <c r="I74" s="115"/>
      <c r="J74" s="102"/>
      <c r="L74" s="169"/>
      <c r="M74" s="299">
        <f>+'[1]NEW-Tables 80-86'!C70</f>
        <v>242591.11527777778</v>
      </c>
      <c r="N74" s="73"/>
      <c r="O74" s="73"/>
      <c r="P74" s="73"/>
      <c r="Q74" s="73"/>
    </row>
    <row r="75" spans="1:17" s="61" customFormat="1" ht="10.5" customHeight="1">
      <c r="A75" s="73"/>
      <c r="B75" s="102"/>
      <c r="C75" s="102"/>
      <c r="D75" s="102"/>
      <c r="E75" s="102"/>
      <c r="F75" s="114"/>
      <c r="G75" s="115"/>
      <c r="H75" s="115"/>
      <c r="I75" s="115"/>
      <c r="J75" s="102"/>
      <c r="L75" s="169"/>
      <c r="M75" s="299"/>
      <c r="N75" s="73"/>
      <c r="O75" s="73"/>
      <c r="P75" s="73"/>
      <c r="Q75" s="73"/>
    </row>
    <row r="76" spans="1:17" s="61" customFormat="1">
      <c r="A76" s="73" t="s">
        <v>452</v>
      </c>
      <c r="B76" s="75">
        <f>IF($M76&gt;0,('Amounts Pivot Table'!D$7/$M76),0)</f>
        <v>6782.0403074784745</v>
      </c>
      <c r="C76" s="75">
        <f>IF($M76&gt;0,('Amounts Pivot Table'!D$10/$M76),0)</f>
        <v>14.279765094084381</v>
      </c>
      <c r="D76" s="75">
        <f>IF($M76&gt;0,('Amounts Pivot Table'!D$16/$M76),0)</f>
        <v>9520.5330475700393</v>
      </c>
      <c r="E76" s="75">
        <f>SUM(B76:D76)</f>
        <v>16316.853120142598</v>
      </c>
      <c r="F76" s="116">
        <f>IF(B76&gt;0,RANK(B76,$B$76:$B$94),)</f>
        <v>5</v>
      </c>
      <c r="G76" s="107">
        <f>IF(C76&gt;0,RANK(C76,$C$76:$C$94),)</f>
        <v>6</v>
      </c>
      <c r="H76" s="107">
        <f>IF(D76&gt;0,RANK(D76,$D$76:$D$94),)</f>
        <v>2</v>
      </c>
      <c r="I76" s="107">
        <f>IF(E76&gt;0,RANK(E76,$E$76:$E$94),)</f>
        <v>3</v>
      </c>
      <c r="J76" s="75"/>
      <c r="L76" s="169"/>
      <c r="M76" s="299">
        <f>+'[1]NEW-Tables 80-86'!C72</f>
        <v>6283.3666666666668</v>
      </c>
      <c r="N76" s="73"/>
      <c r="O76" s="73"/>
      <c r="P76" s="73"/>
      <c r="Q76" s="73"/>
    </row>
    <row r="77" spans="1:17" s="61" customFormat="1">
      <c r="A77" s="73" t="s">
        <v>466</v>
      </c>
      <c r="B77" s="75">
        <f>IF($M77&gt;0,('Amounts Pivot Table'!D$46/$M77),0)</f>
        <v>0</v>
      </c>
      <c r="C77" s="75">
        <f>IF($M77&gt;0,('Amounts Pivot Table'!D$49/$M77),0)</f>
        <v>0</v>
      </c>
      <c r="D77" s="75">
        <f>IF($M77&gt;0,('Amounts Pivot Table'!D$55/$M77),0)</f>
        <v>0</v>
      </c>
      <c r="E77" s="75">
        <f>SUM(B77:D77)</f>
        <v>0</v>
      </c>
      <c r="F77" s="116">
        <f t="shared" ref="F77:F94" si="21">IF(B77&gt;0,RANK(B77,$B$76:$B$94),)</f>
        <v>0</v>
      </c>
      <c r="G77" s="107">
        <f t="shared" ref="G77:G94" si="22">IF(C77&gt;0,RANK(C77,$C$76:$C$94),)</f>
        <v>0</v>
      </c>
      <c r="H77" s="107">
        <f t="shared" ref="H77:H94" si="23">IF(D77&gt;0,RANK(D77,$D$76:$D$94),)</f>
        <v>0</v>
      </c>
      <c r="I77" s="107">
        <f t="shared" ref="I77:I94" si="24">IF(E77&gt;0,RANK(E77,$E$76:$E$94),)</f>
        <v>0</v>
      </c>
      <c r="J77" s="75"/>
      <c r="L77" s="169"/>
      <c r="M77" s="299">
        <f>+'[1]NEW-Tables 80-86'!C73</f>
        <v>0</v>
      </c>
      <c r="N77" s="73"/>
      <c r="O77" s="73"/>
      <c r="P77" s="73"/>
      <c r="Q77" s="73"/>
    </row>
    <row r="78" spans="1:17" s="61" customFormat="1">
      <c r="A78" s="73" t="s">
        <v>453</v>
      </c>
      <c r="B78" s="75">
        <f>IF($M78&gt;0,('Amounts Pivot Table'!D$85/$M78),0)</f>
        <v>0</v>
      </c>
      <c r="C78" s="75">
        <f>IF($M78&gt;0,('Amounts Pivot Table'!D$88/$M78),0)</f>
        <v>0</v>
      </c>
      <c r="D78" s="75">
        <f>IF($M78&gt;0,('Amounts Pivot Table'!D$94/$M78),0)</f>
        <v>0</v>
      </c>
      <c r="E78" s="75">
        <f>SUM(B78:D78)</f>
        <v>0</v>
      </c>
      <c r="F78" s="116">
        <f t="shared" si="21"/>
        <v>0</v>
      </c>
      <c r="G78" s="107">
        <f t="shared" si="22"/>
        <v>0</v>
      </c>
      <c r="H78" s="107">
        <f t="shared" si="23"/>
        <v>0</v>
      </c>
      <c r="I78" s="107">
        <f t="shared" si="24"/>
        <v>0</v>
      </c>
      <c r="J78" s="75"/>
      <c r="L78" s="169"/>
      <c r="M78" s="299">
        <f>+'[1]NEW-Tables 80-86'!C74</f>
        <v>0</v>
      </c>
      <c r="N78" s="73"/>
      <c r="O78" s="73"/>
      <c r="P78" s="73"/>
      <c r="Q78" s="73"/>
    </row>
    <row r="79" spans="1:17" s="61" customFormat="1">
      <c r="A79" s="73" t="s">
        <v>460</v>
      </c>
      <c r="B79" s="75">
        <f>IF($M79&gt;0,('Amounts Pivot Table'!D$124/$M79),0)</f>
        <v>6956.0886766839176</v>
      </c>
      <c r="C79" s="75">
        <f>IF($M79&gt;0,('Amounts Pivot Table'!D$127/$M79),0)</f>
        <v>762.1914947104973</v>
      </c>
      <c r="D79" s="75">
        <f>IF($M79&gt;0,('Amounts Pivot Table'!D$133/$M79),0)</f>
        <v>3885.9346414478773</v>
      </c>
      <c r="E79" s="75">
        <f>SUM(B79:D79)</f>
        <v>11604.214812842292</v>
      </c>
      <c r="F79" s="116">
        <f t="shared" si="21"/>
        <v>4</v>
      </c>
      <c r="G79" s="107">
        <f t="shared" si="22"/>
        <v>1</v>
      </c>
      <c r="H79" s="107">
        <f t="shared" si="23"/>
        <v>9</v>
      </c>
      <c r="I79" s="107">
        <f t="shared" si="24"/>
        <v>8</v>
      </c>
      <c r="J79" s="75"/>
      <c r="L79" s="169"/>
      <c r="M79" s="299">
        <f>+'[1]NEW-Tables 80-86'!C75</f>
        <v>22375.291666666664</v>
      </c>
      <c r="N79" s="73"/>
      <c r="O79" s="73"/>
      <c r="P79" s="73"/>
      <c r="Q79" s="73"/>
    </row>
    <row r="80" spans="1:17" s="61" customFormat="1" ht="7.5" customHeight="1">
      <c r="A80" s="73"/>
      <c r="B80" s="75"/>
      <c r="C80" s="75"/>
      <c r="D80" s="75"/>
      <c r="E80" s="75"/>
      <c r="F80" s="116">
        <f t="shared" si="21"/>
        <v>0</v>
      </c>
      <c r="G80" s="107">
        <f t="shared" si="22"/>
        <v>0</v>
      </c>
      <c r="H80" s="107">
        <f t="shared" si="23"/>
        <v>0</v>
      </c>
      <c r="I80" s="107">
        <f t="shared" si="24"/>
        <v>0</v>
      </c>
      <c r="J80" s="75"/>
      <c r="L80" s="169"/>
      <c r="M80" s="299">
        <f>+'[1]NEW-Tables 80-86'!C76</f>
        <v>0</v>
      </c>
      <c r="N80" s="73"/>
      <c r="O80" s="73"/>
      <c r="P80" s="73"/>
      <c r="Q80" s="73"/>
    </row>
    <row r="81" spans="1:17" s="61" customFormat="1">
      <c r="A81" s="73" t="s">
        <v>461</v>
      </c>
      <c r="B81" s="75">
        <f>IF($M81&gt;0,('Amounts Pivot Table'!D$163/$M81),0)</f>
        <v>8947.9087919273607</v>
      </c>
      <c r="C81" s="75">
        <f>IF($M81&gt;0,('Amounts Pivot Table'!D$166/$M81),0)</f>
        <v>586.87713931522956</v>
      </c>
      <c r="D81" s="75">
        <f>IF($M81&gt;0,('Amounts Pivot Table'!D$172/$M81),0)</f>
        <v>10169.41679738956</v>
      </c>
      <c r="E81" s="75">
        <f>SUM(B81:D81)</f>
        <v>19704.20272863215</v>
      </c>
      <c r="F81" s="116">
        <f t="shared" si="21"/>
        <v>2</v>
      </c>
      <c r="G81" s="107">
        <f t="shared" si="22"/>
        <v>2</v>
      </c>
      <c r="H81" s="107">
        <f t="shared" si="23"/>
        <v>1</v>
      </c>
      <c r="I81" s="107">
        <f t="shared" si="24"/>
        <v>1</v>
      </c>
      <c r="J81" s="75"/>
      <c r="L81" s="169"/>
      <c r="M81" s="299">
        <f>+'[1]NEW-Tables 80-86'!C77</f>
        <v>23302.579166666666</v>
      </c>
      <c r="N81" s="73"/>
      <c r="O81" s="73"/>
      <c r="P81" s="73"/>
      <c r="Q81" s="73"/>
    </row>
    <row r="82" spans="1:17" s="61" customFormat="1">
      <c r="A82" s="73" t="s">
        <v>454</v>
      </c>
      <c r="B82" s="75">
        <f>IF($M82&gt;0,('Amounts Pivot Table'!D$202/$M82),0)</f>
        <v>0</v>
      </c>
      <c r="C82" s="75">
        <f>IF($M82&gt;0,('Amounts Pivot Table'!D$205/$M82),0)</f>
        <v>0</v>
      </c>
      <c r="D82" s="75">
        <f>IF($M82&gt;0,('Amounts Pivot Table'!D$211/$M82),0)</f>
        <v>0</v>
      </c>
      <c r="E82" s="75">
        <f>SUM(B82:D82)</f>
        <v>0</v>
      </c>
      <c r="F82" s="116">
        <f t="shared" si="21"/>
        <v>0</v>
      </c>
      <c r="G82" s="107">
        <f t="shared" si="22"/>
        <v>0</v>
      </c>
      <c r="H82" s="107">
        <f t="shared" si="23"/>
        <v>0</v>
      </c>
      <c r="I82" s="107">
        <f t="shared" si="24"/>
        <v>0</v>
      </c>
      <c r="J82" s="75"/>
      <c r="L82" s="169"/>
      <c r="M82" s="299">
        <f>+'[1]NEW-Tables 80-86'!C78</f>
        <v>0</v>
      </c>
      <c r="N82" s="73"/>
      <c r="O82" s="73"/>
      <c r="P82" s="73"/>
      <c r="Q82" s="73"/>
    </row>
    <row r="83" spans="1:17" s="61" customFormat="1">
      <c r="A83" s="73" t="s">
        <v>462</v>
      </c>
      <c r="B83" s="75">
        <f>IF($M83&gt;0,('Amounts Pivot Table'!D$241/$M83),0)</f>
        <v>5513.5522076402385</v>
      </c>
      <c r="C83" s="75">
        <f>IF($M83&gt;0,('Amounts Pivot Table'!D$244/$M83),0)</f>
        <v>0</v>
      </c>
      <c r="D83" s="75">
        <f>IF($M83&gt;0,('Amounts Pivot Table'!D$250/$M83),0)</f>
        <v>4654.9472782390321</v>
      </c>
      <c r="E83" s="75">
        <f>SUM(B83:D83)</f>
        <v>10168.499485879271</v>
      </c>
      <c r="F83" s="116">
        <f t="shared" si="21"/>
        <v>6</v>
      </c>
      <c r="G83" s="107">
        <f t="shared" si="22"/>
        <v>0</v>
      </c>
      <c r="H83" s="107">
        <f t="shared" si="23"/>
        <v>8</v>
      </c>
      <c r="I83" s="107">
        <f t="shared" si="24"/>
        <v>9</v>
      </c>
      <c r="J83" s="75"/>
      <c r="L83" s="169"/>
      <c r="M83" s="299">
        <f>+'[1]NEW-Tables 80-86'!C79</f>
        <v>30043.202777777777</v>
      </c>
      <c r="N83" s="73"/>
      <c r="O83" s="73"/>
      <c r="P83" s="73"/>
      <c r="Q83" s="73"/>
    </row>
    <row r="84" spans="1:17" s="61" customFormat="1">
      <c r="A84" s="73" t="s">
        <v>465</v>
      </c>
      <c r="B84" s="75">
        <f>IF($M84&gt;0,('Amounts Pivot Table'!D$280/$M84),0)</f>
        <v>8020.6391787760685</v>
      </c>
      <c r="C84" s="75">
        <f>IF($M84&gt;0,('Amounts Pivot Table'!D$283/$M84),0)</f>
        <v>0</v>
      </c>
      <c r="D84" s="75">
        <f>IF($M84&gt;0,('Amounts Pivot Table'!D$289/$M84),0)</f>
        <v>8441.2769205898749</v>
      </c>
      <c r="E84" s="75">
        <f>SUM(B84:D84)</f>
        <v>16461.916099365943</v>
      </c>
      <c r="F84" s="116">
        <f t="shared" si="21"/>
        <v>3</v>
      </c>
      <c r="G84" s="107">
        <f t="shared" si="22"/>
        <v>0</v>
      </c>
      <c r="H84" s="107">
        <f t="shared" si="23"/>
        <v>4</v>
      </c>
      <c r="I84" s="107">
        <f t="shared" si="24"/>
        <v>2</v>
      </c>
      <c r="J84" s="75"/>
      <c r="L84" s="169"/>
      <c r="M84" s="299">
        <f>+'[1]NEW-Tables 80-86'!C80</f>
        <v>11134.599999999999</v>
      </c>
      <c r="N84" s="73"/>
      <c r="O84" s="73"/>
      <c r="P84" s="73"/>
      <c r="Q84" s="73"/>
    </row>
    <row r="85" spans="1:17" s="61" customFormat="1" ht="6.75" customHeight="1">
      <c r="A85" s="73"/>
      <c r="B85" s="75"/>
      <c r="C85" s="75"/>
      <c r="D85" s="75"/>
      <c r="E85" s="75"/>
      <c r="F85" s="116">
        <f t="shared" si="21"/>
        <v>0</v>
      </c>
      <c r="G85" s="107">
        <f t="shared" si="22"/>
        <v>0</v>
      </c>
      <c r="H85" s="107">
        <f t="shared" si="23"/>
        <v>0</v>
      </c>
      <c r="I85" s="107">
        <f t="shared" si="24"/>
        <v>0</v>
      </c>
      <c r="J85" s="75"/>
      <c r="L85" s="169"/>
      <c r="M85" s="299">
        <f>+'[1]NEW-Tables 80-86'!C81</f>
        <v>0</v>
      </c>
      <c r="N85" s="73"/>
      <c r="O85" s="73"/>
      <c r="P85" s="73"/>
      <c r="Q85" s="73"/>
    </row>
    <row r="86" spans="1:17" s="61" customFormat="1">
      <c r="A86" s="73" t="s">
        <v>455</v>
      </c>
      <c r="B86" s="75">
        <f>IF($M86&gt;0,('Amounts Pivot Table'!D$319/$M86),0)</f>
        <v>4643.5520342970904</v>
      </c>
      <c r="C86" s="75">
        <f>IF($M86&gt;0,('Amounts Pivot Table'!D$322/$M86),0)</f>
        <v>295.60089600419252</v>
      </c>
      <c r="D86" s="75">
        <f>IF($M86&gt;0,('Amounts Pivot Table'!D$328/$M86),0)</f>
        <v>7710.5913300130478</v>
      </c>
      <c r="E86" s="75">
        <f>SUM(B86:D86)</f>
        <v>12649.744260314332</v>
      </c>
      <c r="F86" s="116">
        <f t="shared" si="21"/>
        <v>9</v>
      </c>
      <c r="G86" s="107">
        <f t="shared" si="22"/>
        <v>4</v>
      </c>
      <c r="H86" s="107">
        <f t="shared" si="23"/>
        <v>5</v>
      </c>
      <c r="I86" s="107">
        <f t="shared" si="24"/>
        <v>6</v>
      </c>
      <c r="J86" s="75"/>
      <c r="L86" s="169"/>
      <c r="M86" s="299">
        <f>+'[1]NEW-Tables 80-86'!C82</f>
        <v>22897.958333333332</v>
      </c>
      <c r="N86" s="73"/>
      <c r="O86" s="73"/>
      <c r="P86" s="73"/>
      <c r="Q86" s="73"/>
    </row>
    <row r="87" spans="1:17" s="61" customFormat="1">
      <c r="A87" s="73" t="s">
        <v>456</v>
      </c>
      <c r="B87" s="75">
        <f>IF($M87&gt;0,('Amounts Pivot Table'!D$358/$M87),0)</f>
        <v>9343.2216282849931</v>
      </c>
      <c r="C87" s="75">
        <f>IF($M87&gt;0,('Amounts Pivot Table'!D$361/$M87),0)</f>
        <v>0</v>
      </c>
      <c r="D87" s="75">
        <f>IF($M87&gt;0,('Amounts Pivot Table'!D$367/$M87),0)</f>
        <v>5055.2416430445483</v>
      </c>
      <c r="E87" s="75">
        <f>SUM(B87:D87)</f>
        <v>14398.463271329541</v>
      </c>
      <c r="F87" s="116">
        <f t="shared" si="21"/>
        <v>1</v>
      </c>
      <c r="G87" s="107">
        <f t="shared" si="22"/>
        <v>0</v>
      </c>
      <c r="H87" s="107">
        <f t="shared" si="23"/>
        <v>7</v>
      </c>
      <c r="I87" s="107">
        <f t="shared" si="24"/>
        <v>4</v>
      </c>
      <c r="J87" s="75"/>
      <c r="L87" s="169"/>
      <c r="M87" s="299">
        <f>+'[1]NEW-Tables 80-86'!C83</f>
        <v>38235.116666666669</v>
      </c>
      <c r="N87" s="73"/>
      <c r="O87" s="73"/>
      <c r="P87" s="73"/>
      <c r="Q87" s="73"/>
    </row>
    <row r="88" spans="1:17" s="61" customFormat="1">
      <c r="A88" s="73" t="s">
        <v>463</v>
      </c>
      <c r="B88" s="75">
        <f>IF($M88&gt;0,('Amounts Pivot Table'!D$397/$M88),0)</f>
        <v>0</v>
      </c>
      <c r="C88" s="75">
        <f>IF($M88&gt;0,('Amounts Pivot Table'!D$400/$M88),0)</f>
        <v>0</v>
      </c>
      <c r="D88" s="75">
        <f>IF($M88&gt;0,('Amounts Pivot Table'!D$406/$M88),0)</f>
        <v>0</v>
      </c>
      <c r="E88" s="75">
        <f>SUM(B88:D88)</f>
        <v>0</v>
      </c>
      <c r="F88" s="116">
        <f t="shared" si="21"/>
        <v>0</v>
      </c>
      <c r="G88" s="107">
        <f t="shared" si="22"/>
        <v>0</v>
      </c>
      <c r="H88" s="107">
        <f t="shared" si="23"/>
        <v>0</v>
      </c>
      <c r="I88" s="107">
        <f t="shared" si="24"/>
        <v>0</v>
      </c>
      <c r="J88" s="75"/>
      <c r="L88" s="169"/>
      <c r="M88" s="299">
        <f>+'[1]NEW-Tables 80-86'!C84</f>
        <v>0</v>
      </c>
      <c r="N88" s="73"/>
      <c r="O88" s="73"/>
      <c r="P88" s="73"/>
      <c r="Q88" s="73"/>
    </row>
    <row r="89" spans="1:17" s="61" customFormat="1">
      <c r="A89" s="73" t="s">
        <v>457</v>
      </c>
      <c r="B89" s="75">
        <f>IF($M89&gt;0,('Amounts Pivot Table'!D$436/$M89),0)</f>
        <v>0</v>
      </c>
      <c r="C89" s="75">
        <f>IF($M89&gt;0,('Amounts Pivot Table'!D$439/$M89),0)</f>
        <v>0</v>
      </c>
      <c r="D89" s="75">
        <f>IF($M89&gt;0,('Amounts Pivot Table'!D$445/$M89),0)</f>
        <v>0</v>
      </c>
      <c r="E89" s="75">
        <f>SUM(B89:D89)</f>
        <v>0</v>
      </c>
      <c r="F89" s="116">
        <f t="shared" si="21"/>
        <v>0</v>
      </c>
      <c r="G89" s="107">
        <f t="shared" si="22"/>
        <v>0</v>
      </c>
      <c r="H89" s="107">
        <f t="shared" si="23"/>
        <v>0</v>
      </c>
      <c r="I89" s="107">
        <f t="shared" si="24"/>
        <v>0</v>
      </c>
      <c r="J89" s="75"/>
      <c r="L89" s="169"/>
      <c r="M89" s="299">
        <f>+'[1]NEW-Tables 80-86'!C85</f>
        <v>0</v>
      </c>
      <c r="N89" s="73"/>
      <c r="O89" s="73"/>
      <c r="P89" s="73"/>
      <c r="Q89" s="73"/>
    </row>
    <row r="90" spans="1:17" s="61" customFormat="1" ht="7.5" customHeight="1">
      <c r="A90" s="73"/>
      <c r="B90" s="75"/>
      <c r="C90" s="75"/>
      <c r="D90" s="75"/>
      <c r="E90" s="75"/>
      <c r="F90" s="116">
        <f t="shared" si="21"/>
        <v>0</v>
      </c>
      <c r="G90" s="107">
        <f t="shared" si="22"/>
        <v>0</v>
      </c>
      <c r="H90" s="107">
        <f t="shared" si="23"/>
        <v>0</v>
      </c>
      <c r="I90" s="107">
        <f t="shared" si="24"/>
        <v>0</v>
      </c>
      <c r="J90" s="101"/>
      <c r="K90" s="101"/>
      <c r="L90" s="169"/>
      <c r="M90" s="299">
        <f>+'[1]NEW-Tables 80-86'!C86</f>
        <v>0</v>
      </c>
      <c r="N90" s="73"/>
      <c r="O90" s="73"/>
      <c r="P90" s="73"/>
      <c r="Q90" s="73"/>
    </row>
    <row r="91" spans="1:17" s="61" customFormat="1">
      <c r="A91" s="73" t="s">
        <v>130</v>
      </c>
      <c r="B91" s="75">
        <f>IF($M91&gt;0,('Amounts Pivot Table'!D$475/$M91),0)</f>
        <v>0</v>
      </c>
      <c r="C91" s="75">
        <f>IF($M91&gt;0,('Amounts Pivot Table'!D$478/$M91),0)</f>
        <v>0</v>
      </c>
      <c r="D91" s="75">
        <f>IF($M91&gt;0,('Amounts Pivot Table'!D$484/$M91),0)</f>
        <v>0</v>
      </c>
      <c r="E91" s="75">
        <f>SUM(B91:D91)</f>
        <v>0</v>
      </c>
      <c r="F91" s="116">
        <f t="shared" si="21"/>
        <v>0</v>
      </c>
      <c r="G91" s="107">
        <f t="shared" si="22"/>
        <v>0</v>
      </c>
      <c r="H91" s="107">
        <f t="shared" si="23"/>
        <v>0</v>
      </c>
      <c r="I91" s="107">
        <f t="shared" si="24"/>
        <v>0</v>
      </c>
      <c r="J91" s="101"/>
      <c r="K91" s="101"/>
      <c r="L91" s="169"/>
      <c r="M91" s="299">
        <f>+'[1]NEW-Tables 80-86'!C87</f>
        <v>0</v>
      </c>
      <c r="N91" s="73"/>
      <c r="O91" s="73"/>
      <c r="P91" s="73"/>
      <c r="Q91" s="73"/>
    </row>
    <row r="92" spans="1:17" s="61" customFormat="1">
      <c r="A92" s="73" t="s">
        <v>458</v>
      </c>
      <c r="B92" s="75">
        <f>IF($M92&gt;0,('Amounts Pivot Table'!D$514/$M92),0)</f>
        <v>4906.2254987576289</v>
      </c>
      <c r="C92" s="75">
        <f>IF($M92&gt;0,('Amounts Pivot Table'!D$517/$M92),0)</f>
        <v>166.73599498226906</v>
      </c>
      <c r="D92" s="75">
        <f>IF($M92&gt;0,('Amounts Pivot Table'!D$523/$M92),0)</f>
        <v>7549.1676838829517</v>
      </c>
      <c r="E92" s="75">
        <f>SUM(B92:D92)</f>
        <v>12622.12917762285</v>
      </c>
      <c r="F92" s="116">
        <f t="shared" si="21"/>
        <v>7</v>
      </c>
      <c r="G92" s="107">
        <f t="shared" si="22"/>
        <v>5</v>
      </c>
      <c r="H92" s="107">
        <f t="shared" si="23"/>
        <v>6</v>
      </c>
      <c r="I92" s="107">
        <f t="shared" si="24"/>
        <v>7</v>
      </c>
      <c r="J92" s="101"/>
      <c r="K92" s="101"/>
      <c r="L92" s="169"/>
      <c r="M92" s="299">
        <f>+'[1]NEW-Tables 80-86'!C88</f>
        <v>51816.25</v>
      </c>
      <c r="N92" s="73"/>
      <c r="O92" s="73"/>
      <c r="P92" s="73"/>
      <c r="Q92" s="73"/>
    </row>
    <row r="93" spans="1:17" s="76" customFormat="1" ht="14.25" customHeight="1">
      <c r="A93" s="73" t="s">
        <v>459</v>
      </c>
      <c r="B93" s="75">
        <f>IF($M93&gt;0,('Amounts Pivot Table'!D$553/$M93),0)</f>
        <v>4675.3181609604753</v>
      </c>
      <c r="C93" s="75">
        <f>IF($M93&gt;0,('Amounts Pivot Table'!D$556/$M93),0)</f>
        <v>580.46215696077695</v>
      </c>
      <c r="D93" s="75">
        <f>IF($M93&gt;0,('Amounts Pivot Table'!D$562/$M93),0)</f>
        <v>8790.8275403907919</v>
      </c>
      <c r="E93" s="75">
        <f>SUM(B93:D93)</f>
        <v>14046.607858312043</v>
      </c>
      <c r="F93" s="116">
        <f t="shared" si="21"/>
        <v>8</v>
      </c>
      <c r="G93" s="107">
        <f t="shared" si="22"/>
        <v>3</v>
      </c>
      <c r="H93" s="107">
        <f t="shared" si="23"/>
        <v>3</v>
      </c>
      <c r="I93" s="107">
        <f t="shared" si="24"/>
        <v>5</v>
      </c>
      <c r="J93" s="101"/>
      <c r="K93" s="101"/>
      <c r="L93" s="170"/>
      <c r="M93" s="299">
        <f>+'[1]NEW-Tables 80-86'!C89</f>
        <v>36502.75</v>
      </c>
      <c r="N93" s="90"/>
      <c r="O93" s="90"/>
      <c r="P93" s="90"/>
      <c r="Q93" s="90"/>
    </row>
    <row r="94" spans="1:17" s="61" customFormat="1">
      <c r="A94" s="74" t="s">
        <v>464</v>
      </c>
      <c r="B94" s="104">
        <f>IF($M94&gt;0,('Amounts Pivot Table'!D$592/$M94),0)</f>
        <v>0</v>
      </c>
      <c r="C94" s="104">
        <f>IF($M94&gt;0,('Amounts Pivot Table'!D$595/$M94),0)</f>
        <v>0</v>
      </c>
      <c r="D94" s="104">
        <f>IF($M94&gt;0,('Amounts Pivot Table'!D$601/$M94),0)</f>
        <v>0</v>
      </c>
      <c r="E94" s="105">
        <f>SUM(B94:D94)</f>
        <v>0</v>
      </c>
      <c r="F94" s="117">
        <f t="shared" si="21"/>
        <v>0</v>
      </c>
      <c r="G94" s="118">
        <f t="shared" si="22"/>
        <v>0</v>
      </c>
      <c r="H94" s="118">
        <f t="shared" si="23"/>
        <v>0</v>
      </c>
      <c r="I94" s="118">
        <f t="shared" si="24"/>
        <v>0</v>
      </c>
      <c r="J94" s="101"/>
      <c r="K94" s="101"/>
      <c r="L94" s="171"/>
      <c r="M94" s="299">
        <f>+'[1]NEW-Tables 80-86'!C90</f>
        <v>0</v>
      </c>
      <c r="N94" s="73"/>
      <c r="O94" s="73"/>
      <c r="P94" s="73"/>
      <c r="Q94" s="73"/>
    </row>
    <row r="95" spans="1:17" s="61" customFormat="1" ht="39" customHeight="1">
      <c r="A95" s="1405" t="s">
        <v>25</v>
      </c>
      <c r="B95" s="1443"/>
      <c r="C95" s="1443"/>
      <c r="D95" s="1443"/>
      <c r="E95" s="1443"/>
      <c r="F95" s="1443"/>
      <c r="G95" s="1444"/>
      <c r="H95" s="1444"/>
      <c r="I95" s="1444"/>
      <c r="J95" s="101"/>
      <c r="K95" s="101"/>
      <c r="L95" s="172"/>
      <c r="M95" s="303"/>
      <c r="N95" s="73"/>
      <c r="O95" s="73"/>
      <c r="P95" s="73"/>
      <c r="Q95" s="73"/>
    </row>
    <row r="96" spans="1:17" s="76" customFormat="1" ht="22.5" customHeight="1">
      <c r="A96" s="1405" t="s">
        <v>80</v>
      </c>
      <c r="B96" s="1449"/>
      <c r="C96" s="1449"/>
      <c r="D96" s="1449"/>
      <c r="E96" s="1449"/>
      <c r="F96" s="1449"/>
      <c r="G96" s="1449"/>
      <c r="H96" s="1449"/>
      <c r="I96" s="1449"/>
      <c r="J96" s="106"/>
      <c r="L96" s="170"/>
      <c r="M96" s="299"/>
      <c r="N96" s="90"/>
      <c r="O96" s="90"/>
      <c r="P96" s="90"/>
      <c r="Q96" s="90"/>
    </row>
    <row r="97" spans="1:17" s="61" customFormat="1">
      <c r="A97" s="190" t="s">
        <v>332</v>
      </c>
      <c r="B97" s="73"/>
      <c r="C97" s="73"/>
      <c r="D97" s="73"/>
      <c r="E97" s="73"/>
      <c r="F97" s="73"/>
      <c r="L97" s="172"/>
      <c r="M97" s="299"/>
      <c r="N97" s="73"/>
      <c r="O97" s="73"/>
      <c r="P97" s="73"/>
      <c r="Q97" s="73"/>
    </row>
    <row r="98" spans="1:17" s="61" customFormat="1">
      <c r="A98" s="190"/>
      <c r="B98" s="73"/>
      <c r="C98" s="73"/>
      <c r="D98" s="73"/>
      <c r="E98" s="73"/>
      <c r="F98" s="73"/>
      <c r="L98" s="172"/>
      <c r="M98" s="299"/>
      <c r="N98" s="73"/>
      <c r="O98" s="73"/>
      <c r="P98" s="73"/>
      <c r="Q98" s="73"/>
    </row>
    <row r="99" spans="1:17" s="61" customFormat="1">
      <c r="A99" s="190"/>
      <c r="B99" s="73"/>
      <c r="C99" s="73"/>
      <c r="D99" s="73"/>
      <c r="E99" s="73"/>
      <c r="F99" s="73"/>
      <c r="I99" s="591" t="s">
        <v>2018</v>
      </c>
      <c r="L99" s="172"/>
      <c r="M99" s="299"/>
      <c r="N99" s="73"/>
      <c r="O99" s="73"/>
      <c r="P99" s="73"/>
      <c r="Q99" s="73"/>
    </row>
    <row r="100" spans="1:17" s="61" customFormat="1" ht="18">
      <c r="A100" s="135" t="s">
        <v>532</v>
      </c>
      <c r="B100" s="135"/>
      <c r="C100" s="135"/>
      <c r="D100" s="135"/>
      <c r="E100" s="135"/>
      <c r="F100" s="135"/>
      <c r="G100" s="135"/>
      <c r="H100" s="135"/>
      <c r="I100" s="135"/>
      <c r="J100" s="622" t="s">
        <v>131</v>
      </c>
      <c r="K100" s="101"/>
      <c r="L100" s="171"/>
      <c r="M100" s="299"/>
      <c r="N100" s="73"/>
      <c r="O100" s="73"/>
      <c r="P100" s="73"/>
      <c r="Q100" s="73"/>
    </row>
    <row r="101" spans="1:17" s="61" customFormat="1" ht="14.25" customHeight="1">
      <c r="A101" s="135"/>
      <c r="B101" s="135"/>
      <c r="C101" s="135"/>
      <c r="D101" s="135"/>
      <c r="E101" s="135"/>
      <c r="F101" s="135"/>
      <c r="G101" s="135"/>
      <c r="H101" s="135"/>
      <c r="I101" s="135"/>
      <c r="J101" s="622"/>
      <c r="K101" s="101"/>
      <c r="L101" s="171"/>
      <c r="M101" s="299"/>
      <c r="N101" s="73"/>
      <c r="O101" s="73"/>
      <c r="P101" s="73"/>
      <c r="Q101" s="73"/>
    </row>
    <row r="102" spans="1:17" s="61" customFormat="1" ht="18.75">
      <c r="A102" s="1429" t="s">
        <v>26</v>
      </c>
      <c r="B102" s="1429"/>
      <c r="C102" s="1429"/>
      <c r="D102" s="1429"/>
      <c r="E102" s="1429"/>
      <c r="F102" s="1429"/>
      <c r="G102" s="1429"/>
      <c r="H102" s="1429"/>
      <c r="I102" s="1429"/>
      <c r="J102" s="101"/>
      <c r="K102" s="101"/>
      <c r="L102" s="171"/>
      <c r="M102" s="299"/>
      <c r="N102" s="73"/>
      <c r="O102" s="73"/>
      <c r="P102" s="73"/>
      <c r="Q102" s="73"/>
    </row>
    <row r="103" spans="1:17" s="61" customFormat="1" ht="15.75">
      <c r="A103" s="1429" t="s">
        <v>2008</v>
      </c>
      <c r="B103" s="1429"/>
      <c r="C103" s="1429"/>
      <c r="D103" s="1429"/>
      <c r="E103" s="1429"/>
      <c r="F103" s="1429"/>
      <c r="G103" s="1429"/>
      <c r="H103" s="1429"/>
      <c r="I103" s="1429"/>
      <c r="J103" s="91"/>
      <c r="K103" s="91"/>
      <c r="L103" s="166"/>
      <c r="M103" s="299"/>
      <c r="N103" s="73"/>
      <c r="O103" s="73"/>
      <c r="P103" s="73"/>
      <c r="Q103" s="73"/>
    </row>
    <row r="104" spans="1:17" s="61" customFormat="1" ht="9" customHeight="1">
      <c r="A104" s="91"/>
      <c r="B104" s="91"/>
      <c r="C104" s="91"/>
      <c r="D104" s="91"/>
      <c r="E104" s="91"/>
      <c r="F104" s="91"/>
      <c r="G104" s="108"/>
      <c r="H104" s="91"/>
      <c r="I104" s="91"/>
      <c r="J104" s="91"/>
      <c r="K104" s="91"/>
      <c r="L104" s="166"/>
      <c r="M104" s="299"/>
      <c r="N104" s="73"/>
      <c r="O104" s="73"/>
      <c r="P104" s="73"/>
      <c r="Q104" s="73"/>
    </row>
    <row r="105" spans="1:17" s="61" customFormat="1" ht="15.75" customHeight="1">
      <c r="A105" s="60"/>
      <c r="B105" s="623" t="s">
        <v>81</v>
      </c>
      <c r="C105" s="624"/>
      <c r="D105" s="624"/>
      <c r="E105" s="624"/>
      <c r="F105" s="625" t="s">
        <v>178</v>
      </c>
      <c r="G105" s="626"/>
      <c r="H105" s="626"/>
      <c r="I105" s="626"/>
      <c r="L105" s="166"/>
      <c r="M105" s="299"/>
      <c r="N105" s="73"/>
      <c r="O105" s="73"/>
      <c r="P105" s="73"/>
      <c r="Q105" s="73"/>
    </row>
    <row r="106" spans="1:17" s="6" customFormat="1" ht="48">
      <c r="A106" s="54"/>
      <c r="B106" s="606" t="s">
        <v>126</v>
      </c>
      <c r="C106" s="607" t="s">
        <v>128</v>
      </c>
      <c r="D106" s="607" t="s">
        <v>570</v>
      </c>
      <c r="E106" s="607" t="s">
        <v>138</v>
      </c>
      <c r="F106" s="608" t="s">
        <v>126</v>
      </c>
      <c r="G106" s="607" t="s">
        <v>128</v>
      </c>
      <c r="H106" s="607" t="s">
        <v>570</v>
      </c>
      <c r="I106" s="607" t="s">
        <v>138</v>
      </c>
      <c r="L106" s="173"/>
      <c r="M106" s="299" t="s">
        <v>388</v>
      </c>
      <c r="N106" s="7"/>
      <c r="O106" s="7"/>
      <c r="P106" s="7"/>
      <c r="Q106" s="7"/>
    </row>
    <row r="107" spans="1:17" s="61" customFormat="1" ht="16.5" customHeight="1">
      <c r="A107" s="73" t="s">
        <v>82</v>
      </c>
      <c r="B107" s="102">
        <f>IF($M107&gt;0,('Amounts Pivot Table'!E$631/$M107),0)</f>
        <v>5480.8199935349958</v>
      </c>
      <c r="C107" s="102">
        <f>IF($M107&gt;0,('Amounts Pivot Table'!E$634/$M107),0)</f>
        <v>95.405360206586607</v>
      </c>
      <c r="D107" s="102">
        <f>IF($M107&gt;0,('Amounts Pivot Table'!E$640/$M107),0)</f>
        <v>6278.1589708159836</v>
      </c>
      <c r="E107" s="102">
        <f>SUM(B107:D107)</f>
        <v>11854.384324557566</v>
      </c>
      <c r="F107" s="114"/>
      <c r="G107" s="115"/>
      <c r="H107" s="115"/>
      <c r="I107" s="115"/>
      <c r="J107" s="102"/>
      <c r="L107" s="169"/>
      <c r="M107" s="299">
        <f>+'[1]NEW-Tables 80-86'!D70</f>
        <v>637324.31666666665</v>
      </c>
      <c r="N107" s="73"/>
      <c r="O107" s="73"/>
      <c r="P107" s="73"/>
      <c r="Q107" s="73"/>
    </row>
    <row r="108" spans="1:17" s="112" customFormat="1">
      <c r="A108" s="110"/>
      <c r="B108" s="111"/>
      <c r="C108" s="111"/>
      <c r="D108" s="111"/>
      <c r="E108" s="111"/>
      <c r="F108" s="119"/>
      <c r="G108" s="120"/>
      <c r="H108" s="120"/>
      <c r="I108" s="120"/>
      <c r="J108" s="111"/>
      <c r="L108" s="176"/>
      <c r="M108" s="299"/>
      <c r="N108" s="110"/>
      <c r="O108" s="110"/>
      <c r="P108" s="110"/>
      <c r="Q108" s="110"/>
    </row>
    <row r="109" spans="1:17" s="61" customFormat="1" ht="12.75" customHeight="1">
      <c r="A109" s="73" t="s">
        <v>452</v>
      </c>
      <c r="B109" s="75">
        <f>IF($M109&gt;0,('Amounts Pivot Table'!E$7/$M109),0)</f>
        <v>3763.6624055220163</v>
      </c>
      <c r="C109" s="75">
        <f>IF($M109&gt;0,('Amounts Pivot Table'!E$10/$M109),0)</f>
        <v>299.14550997042073</v>
      </c>
      <c r="D109" s="75">
        <f>IF($M109&gt;0,('Amounts Pivot Table'!E$16/$M109),0)</f>
        <v>5835.069241031144</v>
      </c>
      <c r="E109" s="75">
        <f>SUM(B109:D109)</f>
        <v>9897.8771565235802</v>
      </c>
      <c r="F109" s="116">
        <f>IF(B109&gt;0,RANK(B109,$B$109:$B$127),)</f>
        <v>13</v>
      </c>
      <c r="G109" s="107">
        <f>IF(C109&gt;0,RANK(C109,$C$109:$C$127),)</f>
        <v>1</v>
      </c>
      <c r="H109" s="107">
        <f>IF(D109&gt;0,RANK(D109,$D$109:$D$127),)</f>
        <v>8</v>
      </c>
      <c r="I109" s="107">
        <f>IF(E109&gt;0,RANK(E109,$E$109:$E$127),)</f>
        <v>11</v>
      </c>
      <c r="J109" s="75"/>
      <c r="L109" s="169"/>
      <c r="M109" s="299">
        <f>+'[1]NEW-Tables 80-86'!D72</f>
        <v>36486.674999999996</v>
      </c>
      <c r="N109" s="73"/>
      <c r="O109" s="73"/>
      <c r="P109" s="73"/>
      <c r="Q109" s="73"/>
    </row>
    <row r="110" spans="1:17" s="61" customFormat="1" ht="12.75" customHeight="1">
      <c r="A110" s="73" t="s">
        <v>466</v>
      </c>
      <c r="B110" s="75">
        <f>IF($M110&gt;0,('Amounts Pivot Table'!E$46/$M110),0)</f>
        <v>5448.6976732328958</v>
      </c>
      <c r="C110" s="75">
        <f>IF($M110&gt;0,('Amounts Pivot Table'!E$49/$M110),0)</f>
        <v>110.89859370143664</v>
      </c>
      <c r="D110" s="75">
        <f>IF($M110&gt;0,('Amounts Pivot Table'!E$55/$M110),0)</f>
        <v>6296.7965809844163</v>
      </c>
      <c r="E110" s="75">
        <f>SUM(B110:D110)</f>
        <v>11856.392847918749</v>
      </c>
      <c r="F110" s="116">
        <f t="shared" ref="F110:F127" si="25">IF(B110&gt;0,RANK(B110,$B$109:$B$127),)</f>
        <v>5</v>
      </c>
      <c r="G110" s="107">
        <f t="shared" ref="G110:G127" si="26">IF(C110&gt;0,RANK(C110,$C$109:$C$127),)</f>
        <v>6</v>
      </c>
      <c r="H110" s="107">
        <f t="shared" ref="H110:H127" si="27">IF(D110&gt;0,RANK(D110,$D$109:$D$127),)</f>
        <v>7</v>
      </c>
      <c r="I110" s="107">
        <f t="shared" ref="I110:I127" si="28">IF(E110&gt;0,RANK(E110,$E$109:$E$127),)</f>
        <v>6</v>
      </c>
      <c r="J110" s="75"/>
      <c r="L110" s="169"/>
      <c r="M110" s="299">
        <f>+'[1]NEW-Tables 80-86'!D73</f>
        <v>32362.141666666666</v>
      </c>
      <c r="N110" s="73"/>
      <c r="O110" s="73"/>
      <c r="P110" s="73"/>
      <c r="Q110" s="73"/>
    </row>
    <row r="111" spans="1:17" s="61" customFormat="1" ht="12.75" customHeight="1">
      <c r="A111" s="73" t="s">
        <v>453</v>
      </c>
      <c r="B111" s="75">
        <f>IF($M111&gt;0,('Amounts Pivot Table'!E$85/$M111),0)</f>
        <v>0</v>
      </c>
      <c r="C111" s="75">
        <f>IF($M111&gt;0,('Amounts Pivot Table'!E$88/$M111),0)</f>
        <v>0</v>
      </c>
      <c r="D111" s="75">
        <f>IF($M111&gt;0,('Amounts Pivot Table'!E$94/$M111),0)</f>
        <v>0</v>
      </c>
      <c r="E111" s="75">
        <f>SUM(B111:D111)</f>
        <v>0</v>
      </c>
      <c r="F111" s="116">
        <f t="shared" si="25"/>
        <v>0</v>
      </c>
      <c r="G111" s="107">
        <f t="shared" si="26"/>
        <v>0</v>
      </c>
      <c r="H111" s="107">
        <f t="shared" si="27"/>
        <v>0</v>
      </c>
      <c r="I111" s="107">
        <f t="shared" si="28"/>
        <v>0</v>
      </c>
      <c r="J111" s="75"/>
      <c r="L111" s="169"/>
      <c r="M111" s="299">
        <f>+'[1]NEW-Tables 80-86'!D74</f>
        <v>0</v>
      </c>
      <c r="N111" s="73"/>
      <c r="O111" s="73"/>
      <c r="P111" s="73"/>
      <c r="Q111" s="73"/>
    </row>
    <row r="112" spans="1:17" s="61" customFormat="1" ht="12.75" customHeight="1">
      <c r="A112" s="73" t="s">
        <v>460</v>
      </c>
      <c r="B112" s="75">
        <f>IF($M112&gt;0,('Amounts Pivot Table'!E$124/$M112),0)</f>
        <v>6589.1562622136498</v>
      </c>
      <c r="C112" s="75">
        <f>IF($M112&gt;0,('Amounts Pivot Table'!E$127/$M112),0)</f>
        <v>228.98102868067261</v>
      </c>
      <c r="D112" s="75">
        <f>IF($M112&gt;0,('Amounts Pivot Table'!E$133/$M112),0)</f>
        <v>3967.3559228195336</v>
      </c>
      <c r="E112" s="75">
        <f>SUM(B112:D112)</f>
        <v>10785.493213713857</v>
      </c>
      <c r="F112" s="116">
        <f t="shared" si="25"/>
        <v>2</v>
      </c>
      <c r="G112" s="107">
        <f t="shared" si="26"/>
        <v>3</v>
      </c>
      <c r="H112" s="107">
        <f t="shared" si="27"/>
        <v>13</v>
      </c>
      <c r="I112" s="107">
        <f t="shared" si="28"/>
        <v>9</v>
      </c>
      <c r="J112" s="75"/>
      <c r="L112" s="169"/>
      <c r="M112" s="299">
        <f>+'[1]NEW-Tables 80-86'!D75</f>
        <v>36545.51666666667</v>
      </c>
      <c r="N112" s="73"/>
      <c r="O112" s="73"/>
      <c r="P112" s="73"/>
      <c r="Q112" s="73"/>
    </row>
    <row r="113" spans="1:17" s="112" customFormat="1">
      <c r="A113" s="110"/>
      <c r="B113" s="111"/>
      <c r="C113" s="111"/>
      <c r="D113" s="111"/>
      <c r="E113" s="111"/>
      <c r="F113" s="116">
        <f t="shared" si="25"/>
        <v>0</v>
      </c>
      <c r="G113" s="107">
        <f t="shared" si="26"/>
        <v>0</v>
      </c>
      <c r="H113" s="107">
        <f t="shared" si="27"/>
        <v>0</v>
      </c>
      <c r="I113" s="107">
        <f t="shared" si="28"/>
        <v>0</v>
      </c>
      <c r="J113" s="111"/>
      <c r="L113" s="176"/>
      <c r="M113" s="299">
        <f>+'[1]NEW-Tables 80-86'!D76</f>
        <v>0</v>
      </c>
      <c r="N113" s="110"/>
      <c r="O113" s="110"/>
      <c r="P113" s="110"/>
      <c r="Q113" s="110"/>
    </row>
    <row r="114" spans="1:17" s="61" customFormat="1" ht="12.75" customHeight="1">
      <c r="A114" s="73" t="s">
        <v>461</v>
      </c>
      <c r="B114" s="75">
        <f>IF($M114&gt;0,('Amounts Pivot Table'!E$163/$M114),0)</f>
        <v>4116.1506349985839</v>
      </c>
      <c r="C114" s="75">
        <f>IF($M114&gt;0,('Amounts Pivot Table'!E$166/$M114),0)</f>
        <v>0</v>
      </c>
      <c r="D114" s="75">
        <f>IF($M114&gt;0,('Amounts Pivot Table'!E$172/$M114),0)</f>
        <v>5353.230550767058</v>
      </c>
      <c r="E114" s="75">
        <f>SUM(B114:D114)</f>
        <v>9469.3811857656419</v>
      </c>
      <c r="F114" s="116">
        <f t="shared" si="25"/>
        <v>10</v>
      </c>
      <c r="G114" s="107">
        <f t="shared" si="26"/>
        <v>0</v>
      </c>
      <c r="H114" s="107">
        <f t="shared" si="27"/>
        <v>10</v>
      </c>
      <c r="I114" s="107">
        <f t="shared" si="28"/>
        <v>12</v>
      </c>
      <c r="J114" s="75"/>
      <c r="L114" s="169"/>
      <c r="M114" s="299">
        <f>+'[1]NEW-Tables 80-86'!D77</f>
        <v>40234.341666666667</v>
      </c>
      <c r="N114" s="73"/>
      <c r="O114" s="73"/>
      <c r="P114" s="73"/>
      <c r="Q114" s="73"/>
    </row>
    <row r="115" spans="1:17" s="61" customFormat="1" ht="12.75" customHeight="1">
      <c r="A115" s="73" t="s">
        <v>454</v>
      </c>
      <c r="B115" s="75">
        <f>IF($M115&gt;0,('Amounts Pivot Table'!E$202/$M115),0)</f>
        <v>4863.9077543459798</v>
      </c>
      <c r="C115" s="75">
        <f>IF($M115&gt;0,('Amounts Pivot Table'!E$205/$M115),0)</f>
        <v>139.49954707427324</v>
      </c>
      <c r="D115" s="75">
        <f>IF($M115&gt;0,('Amounts Pivot Table'!E$211/$M115),0)</f>
        <v>8752.8786252782229</v>
      </c>
      <c r="E115" s="75">
        <f>SUM(B115:D115)</f>
        <v>13756.285926698476</v>
      </c>
      <c r="F115" s="116">
        <f t="shared" si="25"/>
        <v>7</v>
      </c>
      <c r="G115" s="107">
        <f t="shared" si="26"/>
        <v>5</v>
      </c>
      <c r="H115" s="107">
        <f t="shared" si="27"/>
        <v>2</v>
      </c>
      <c r="I115" s="107">
        <f t="shared" si="28"/>
        <v>4</v>
      </c>
      <c r="J115" s="75"/>
      <c r="L115" s="169"/>
      <c r="M115" s="299">
        <f>+'[1]NEW-Tables 80-86'!D78</f>
        <v>47565.745833333334</v>
      </c>
      <c r="N115" s="73"/>
      <c r="O115" s="73"/>
      <c r="P115" s="73"/>
      <c r="Q115" s="73"/>
    </row>
    <row r="116" spans="1:17" s="61" customFormat="1" ht="12.75" customHeight="1">
      <c r="A116" s="73" t="s">
        <v>462</v>
      </c>
      <c r="B116" s="75">
        <f>IF($M116&gt;0,('Amounts Pivot Table'!E$241/$M116),0)</f>
        <v>4615.2592711033431</v>
      </c>
      <c r="C116" s="75">
        <f>IF($M116&gt;0,('Amounts Pivot Table'!E$244/$M116),0)</f>
        <v>140.44045046555746</v>
      </c>
      <c r="D116" s="75">
        <f>IF($M116&gt;0,('Amounts Pivot Table'!E$250/$M116),0)</f>
        <v>3828.146194943331</v>
      </c>
      <c r="E116" s="75">
        <f>SUM(B116:D116)</f>
        <v>8583.8459165122313</v>
      </c>
      <c r="F116" s="116">
        <f t="shared" si="25"/>
        <v>8</v>
      </c>
      <c r="G116" s="107">
        <f t="shared" si="26"/>
        <v>4</v>
      </c>
      <c r="H116" s="107">
        <f t="shared" si="27"/>
        <v>14</v>
      </c>
      <c r="I116" s="107">
        <f t="shared" si="28"/>
        <v>14</v>
      </c>
      <c r="J116" s="75"/>
      <c r="L116" s="169"/>
      <c r="M116" s="299">
        <f>+'[1]NEW-Tables 80-86'!D79</f>
        <v>28873.091666666667</v>
      </c>
      <c r="N116" s="73"/>
      <c r="O116" s="73"/>
      <c r="P116" s="73"/>
      <c r="Q116" s="73"/>
    </row>
    <row r="117" spans="1:17" s="61" customFormat="1" ht="12.75" customHeight="1">
      <c r="A117" s="73" t="s">
        <v>465</v>
      </c>
      <c r="B117" s="75">
        <f>IF($M117&gt;0,('Amounts Pivot Table'!E$280/$M117),0)</f>
        <v>6226.8443151944275</v>
      </c>
      <c r="C117" s="75">
        <f>IF($M117&gt;0,('Amounts Pivot Table'!E$283/$M117),0)</f>
        <v>0</v>
      </c>
      <c r="D117" s="75">
        <f>IF($M117&gt;0,('Amounts Pivot Table'!E$289/$M117),0)</f>
        <v>7883.8305068672844</v>
      </c>
      <c r="E117" s="75">
        <f>SUM(B117:D117)</f>
        <v>14110.674822061712</v>
      </c>
      <c r="F117" s="116">
        <f t="shared" si="25"/>
        <v>3</v>
      </c>
      <c r="G117" s="107">
        <f t="shared" si="26"/>
        <v>0</v>
      </c>
      <c r="H117" s="107">
        <f t="shared" si="27"/>
        <v>3</v>
      </c>
      <c r="I117" s="107">
        <f t="shared" si="28"/>
        <v>2</v>
      </c>
      <c r="J117" s="75"/>
      <c r="L117" s="169"/>
      <c r="M117" s="299">
        <f>+'[1]NEW-Tables 80-86'!D80</f>
        <v>26099.287500000002</v>
      </c>
      <c r="N117" s="73"/>
      <c r="O117" s="73"/>
      <c r="P117" s="73"/>
      <c r="Q117" s="73"/>
    </row>
    <row r="118" spans="1:17" s="112" customFormat="1">
      <c r="A118" s="110"/>
      <c r="B118" s="111"/>
      <c r="C118" s="111"/>
      <c r="D118" s="111"/>
      <c r="E118" s="111"/>
      <c r="F118" s="116">
        <f t="shared" si="25"/>
        <v>0</v>
      </c>
      <c r="G118" s="107">
        <f t="shared" si="26"/>
        <v>0</v>
      </c>
      <c r="H118" s="107">
        <f t="shared" si="27"/>
        <v>0</v>
      </c>
      <c r="I118" s="107">
        <f t="shared" si="28"/>
        <v>0</v>
      </c>
      <c r="J118" s="111"/>
      <c r="L118" s="176"/>
      <c r="M118" s="299">
        <f>+'[1]NEW-Tables 80-86'!D81</f>
        <v>0</v>
      </c>
      <c r="N118" s="110"/>
      <c r="O118" s="110"/>
      <c r="P118" s="110"/>
      <c r="Q118" s="110"/>
    </row>
    <row r="119" spans="1:17" s="61" customFormat="1" ht="12.75" customHeight="1">
      <c r="A119" s="73" t="s">
        <v>455</v>
      </c>
      <c r="B119" s="75">
        <f>IF($M119&gt;0,('Amounts Pivot Table'!E$319/$M119),0)</f>
        <v>0</v>
      </c>
      <c r="C119" s="75">
        <f>IF($M119&gt;0,('Amounts Pivot Table'!E$322/$M119),0)</f>
        <v>0</v>
      </c>
      <c r="D119" s="75">
        <f>IF($M119&gt;0,('Amounts Pivot Table'!E$328/$M119),0)</f>
        <v>0</v>
      </c>
      <c r="E119" s="75">
        <f>SUM(B119:D119)</f>
        <v>0</v>
      </c>
      <c r="F119" s="116">
        <f t="shared" si="25"/>
        <v>0</v>
      </c>
      <c r="G119" s="107">
        <f t="shared" si="26"/>
        <v>0</v>
      </c>
      <c r="H119" s="107">
        <f t="shared" si="27"/>
        <v>0</v>
      </c>
      <c r="I119" s="107">
        <f t="shared" si="28"/>
        <v>0</v>
      </c>
      <c r="J119" s="75"/>
      <c r="L119" s="169"/>
      <c r="M119" s="299">
        <f>+'[1]NEW-Tables 80-86'!D82</f>
        <v>0</v>
      </c>
      <c r="N119" s="73"/>
      <c r="O119" s="73"/>
      <c r="P119" s="73"/>
      <c r="Q119" s="73"/>
    </row>
    <row r="120" spans="1:17" s="61" customFormat="1" ht="12.75" customHeight="1">
      <c r="A120" s="73" t="s">
        <v>456</v>
      </c>
      <c r="B120" s="75">
        <f>IF($M120&gt;0,('Amounts Pivot Table'!E$358/$M120),0)</f>
        <v>8984.8995402269557</v>
      </c>
      <c r="C120" s="75">
        <f>IF($M120&gt;0,('Amounts Pivot Table'!E$361/$M120),0)</f>
        <v>0</v>
      </c>
      <c r="D120" s="75">
        <f>IF($M120&gt;0,('Amounts Pivot Table'!E$367/$M120),0)</f>
        <v>5022.6172408830944</v>
      </c>
      <c r="E120" s="75">
        <f>SUM(B120:D120)</f>
        <v>14007.516781110051</v>
      </c>
      <c r="F120" s="116">
        <f t="shared" si="25"/>
        <v>1</v>
      </c>
      <c r="G120" s="107">
        <f t="shared" si="26"/>
        <v>0</v>
      </c>
      <c r="H120" s="107">
        <f t="shared" si="27"/>
        <v>11</v>
      </c>
      <c r="I120" s="107">
        <f t="shared" si="28"/>
        <v>3</v>
      </c>
      <c r="J120" s="75"/>
      <c r="L120" s="169"/>
      <c r="M120" s="299">
        <f>+'[1]NEW-Tables 80-86'!D83</f>
        <v>80436.425000000003</v>
      </c>
      <c r="N120" s="73"/>
      <c r="O120" s="73"/>
      <c r="P120" s="73"/>
      <c r="Q120" s="73"/>
    </row>
    <row r="121" spans="1:17" s="61" customFormat="1" ht="12.75" customHeight="1">
      <c r="A121" s="73" t="s">
        <v>463</v>
      </c>
      <c r="B121" s="75">
        <f>IF($M121&gt;0,('Amounts Pivot Table'!E$397/$M121),0)</f>
        <v>4165.9937699841357</v>
      </c>
      <c r="C121" s="75">
        <f>IF($M121&gt;0,('Amounts Pivot Table'!E$400/$M121),0)</f>
        <v>0</v>
      </c>
      <c r="D121" s="75">
        <f>IF($M121&gt;0,('Amounts Pivot Table'!E$406/$M121),0)</f>
        <v>4808.4130901687377</v>
      </c>
      <c r="E121" s="75">
        <f>SUM(B121:D121)</f>
        <v>8974.4068601528743</v>
      </c>
      <c r="F121" s="116">
        <f t="shared" si="25"/>
        <v>9</v>
      </c>
      <c r="G121" s="107">
        <f t="shared" si="26"/>
        <v>0</v>
      </c>
      <c r="H121" s="107">
        <f t="shared" si="27"/>
        <v>12</v>
      </c>
      <c r="I121" s="107">
        <f t="shared" si="28"/>
        <v>13</v>
      </c>
      <c r="J121" s="75"/>
      <c r="L121" s="169"/>
      <c r="M121" s="299">
        <f>+'[1]NEW-Tables 80-86'!D84</f>
        <v>21021.883333333331</v>
      </c>
      <c r="N121" s="73"/>
      <c r="O121" s="73"/>
      <c r="P121" s="73"/>
      <c r="Q121" s="73"/>
    </row>
    <row r="122" spans="1:17" s="61" customFormat="1" ht="12.75" customHeight="1">
      <c r="A122" s="73" t="s">
        <v>457</v>
      </c>
      <c r="B122" s="75">
        <f>IF($M122&gt;0,('Amounts Pivot Table'!E$436/$M122),0)</f>
        <v>1983.0806121357639</v>
      </c>
      <c r="C122" s="75">
        <f>IF($M122&gt;0,('Amounts Pivot Table'!E$439/$M122),0)</f>
        <v>64.345494310634265</v>
      </c>
      <c r="D122" s="75">
        <f>IF($M122&gt;0,('Amounts Pivot Table'!E$445/$M122),0)</f>
        <v>12392.844341867254</v>
      </c>
      <c r="E122" s="75">
        <f>SUM(B122:D122)</f>
        <v>14440.270448313651</v>
      </c>
      <c r="F122" s="116">
        <f t="shared" si="25"/>
        <v>14</v>
      </c>
      <c r="G122" s="107">
        <f t="shared" si="26"/>
        <v>9</v>
      </c>
      <c r="H122" s="107">
        <f t="shared" si="27"/>
        <v>1</v>
      </c>
      <c r="I122" s="107">
        <f t="shared" si="28"/>
        <v>1</v>
      </c>
      <c r="J122" s="75"/>
      <c r="L122" s="169"/>
      <c r="M122" s="299">
        <f>+'[1]NEW-Tables 80-86'!D85</f>
        <v>16128.774999999998</v>
      </c>
      <c r="N122" s="73"/>
      <c r="O122" s="73"/>
      <c r="P122" s="73"/>
      <c r="Q122" s="73"/>
    </row>
    <row r="123" spans="1:17" s="112" customFormat="1" ht="12" customHeight="1">
      <c r="A123" s="110"/>
      <c r="B123" s="111"/>
      <c r="C123" s="111"/>
      <c r="D123" s="111"/>
      <c r="E123" s="111"/>
      <c r="F123" s="116">
        <f t="shared" si="25"/>
        <v>0</v>
      </c>
      <c r="G123" s="107">
        <f t="shared" si="26"/>
        <v>0</v>
      </c>
      <c r="H123" s="107">
        <f t="shared" si="27"/>
        <v>0</v>
      </c>
      <c r="I123" s="107">
        <f t="shared" si="28"/>
        <v>0</v>
      </c>
      <c r="J123" s="111"/>
      <c r="L123" s="176"/>
      <c r="M123" s="299">
        <f>+'[1]NEW-Tables 80-86'!D86</f>
        <v>0</v>
      </c>
      <c r="N123" s="110"/>
      <c r="O123" s="110"/>
      <c r="P123" s="110"/>
      <c r="Q123" s="110"/>
    </row>
    <row r="124" spans="1:17" s="61" customFormat="1" ht="12.75" customHeight="1">
      <c r="A124" s="73" t="s">
        <v>130</v>
      </c>
      <c r="B124" s="75">
        <f>IF($M124&gt;0,('Amounts Pivot Table'!E$475/$M124),0)</f>
        <v>4931.9617646196302</v>
      </c>
      <c r="C124" s="75">
        <f>IF($M124&gt;0,('Amounts Pivot Table'!E$478/$M124),0)</f>
        <v>86.699735268253605</v>
      </c>
      <c r="D124" s="75">
        <f>IF($M124&gt;0,('Amounts Pivot Table'!E$484/$M124),0)</f>
        <v>6414.5689962487204</v>
      </c>
      <c r="E124" s="75">
        <f>SUM(B124:D124)</f>
        <v>11433.230496136604</v>
      </c>
      <c r="F124" s="116">
        <f t="shared" si="25"/>
        <v>6</v>
      </c>
      <c r="G124" s="107">
        <f t="shared" si="26"/>
        <v>8</v>
      </c>
      <c r="H124" s="107">
        <f t="shared" si="27"/>
        <v>6</v>
      </c>
      <c r="I124" s="107">
        <f t="shared" si="28"/>
        <v>8</v>
      </c>
      <c r="J124" s="75"/>
      <c r="L124" s="169"/>
      <c r="M124" s="299">
        <f>+'[1]NEW-Tables 80-86'!D87</f>
        <v>70760.308333333334</v>
      </c>
      <c r="N124" s="73"/>
      <c r="O124" s="73"/>
      <c r="P124" s="73"/>
      <c r="Q124" s="73"/>
    </row>
    <row r="125" spans="1:17" s="61" customFormat="1" ht="12.75" customHeight="1">
      <c r="A125" s="73" t="s">
        <v>458</v>
      </c>
      <c r="B125" s="75">
        <f>IF($M125&gt;0,('Amounts Pivot Table'!E$514/$M125),0)</f>
        <v>5516.2933896414725</v>
      </c>
      <c r="C125" s="75">
        <f>IF($M125&gt;0,('Amounts Pivot Table'!E$517/$M125),0)</f>
        <v>104.83799875241286</v>
      </c>
      <c r="D125" s="75">
        <f>IF($M125&gt;0,('Amounts Pivot Table'!E$523/$M125),0)</f>
        <v>6573.9064116687232</v>
      </c>
      <c r="E125" s="75">
        <f>SUM(B125:D125)</f>
        <v>12195.037800062608</v>
      </c>
      <c r="F125" s="116">
        <f t="shared" si="25"/>
        <v>4</v>
      </c>
      <c r="G125" s="107">
        <f t="shared" si="26"/>
        <v>7</v>
      </c>
      <c r="H125" s="107">
        <f t="shared" si="27"/>
        <v>5</v>
      </c>
      <c r="I125" s="107">
        <f t="shared" si="28"/>
        <v>5</v>
      </c>
      <c r="J125" s="75"/>
      <c r="K125" s="75"/>
      <c r="L125" s="169"/>
      <c r="M125" s="299">
        <f>+'[1]NEW-Tables 80-86'!D88</f>
        <v>164116.79166666666</v>
      </c>
      <c r="N125" s="73"/>
      <c r="O125" s="73"/>
      <c r="P125" s="73"/>
      <c r="Q125" s="73"/>
    </row>
    <row r="126" spans="1:17" s="76" customFormat="1" ht="12.75" customHeight="1">
      <c r="A126" s="73" t="s">
        <v>459</v>
      </c>
      <c r="B126" s="75">
        <f>IF($M126&gt;0,('Amounts Pivot Table'!E$553/$M126),0)</f>
        <v>4068.6969793965086</v>
      </c>
      <c r="C126" s="75">
        <f>IF($M126&gt;0,('Amounts Pivot Table'!E$556/$M126),0)</f>
        <v>0</v>
      </c>
      <c r="D126" s="75">
        <f>IF($M126&gt;0,('Amounts Pivot Table'!E$562/$M126),0)</f>
        <v>7454.8364812711034</v>
      </c>
      <c r="E126" s="75">
        <f>SUM(B126:D126)</f>
        <v>11523.533460667612</v>
      </c>
      <c r="F126" s="116">
        <f t="shared" si="25"/>
        <v>11</v>
      </c>
      <c r="G126" s="107">
        <f t="shared" si="26"/>
        <v>0</v>
      </c>
      <c r="H126" s="107">
        <f t="shared" si="27"/>
        <v>4</v>
      </c>
      <c r="I126" s="107">
        <f t="shared" si="28"/>
        <v>7</v>
      </c>
      <c r="J126" s="75"/>
      <c r="K126" s="75"/>
      <c r="L126" s="170"/>
      <c r="M126" s="299">
        <f>+'[1]NEW-Tables 80-86'!D89</f>
        <v>25409.933333333334</v>
      </c>
      <c r="N126" s="90"/>
      <c r="O126" s="90"/>
      <c r="P126" s="90"/>
      <c r="Q126" s="90"/>
    </row>
    <row r="127" spans="1:17" s="61" customFormat="1" ht="12.75" customHeight="1">
      <c r="A127" s="74" t="s">
        <v>464</v>
      </c>
      <c r="B127" s="104">
        <f>IF($M127&gt;0,('Amounts Pivot Table'!E$592/$M127),0)</f>
        <v>4067.7409291525605</v>
      </c>
      <c r="C127" s="104">
        <f>IF($M127&gt;0,('Amounts Pivot Table'!E$595/$M127),0)</f>
        <v>253.77501462325188</v>
      </c>
      <c r="D127" s="104">
        <f>IF($M127&gt;0,('Amounts Pivot Table'!E$601/$M127),0)</f>
        <v>5704.2775227325101</v>
      </c>
      <c r="E127" s="105">
        <f>SUM(B127:D127)</f>
        <v>10025.793466508323</v>
      </c>
      <c r="F127" s="117">
        <f t="shared" si="25"/>
        <v>12</v>
      </c>
      <c r="G127" s="118">
        <f t="shared" si="26"/>
        <v>2</v>
      </c>
      <c r="H127" s="118">
        <f t="shared" si="27"/>
        <v>9</v>
      </c>
      <c r="I127" s="118">
        <f t="shared" si="28"/>
        <v>10</v>
      </c>
      <c r="J127" s="75"/>
      <c r="K127" s="75"/>
      <c r="L127" s="171"/>
      <c r="M127" s="299">
        <f>+'[1]NEW-Tables 80-86'!D90</f>
        <v>11283.4</v>
      </c>
      <c r="N127" s="73"/>
      <c r="O127" s="73"/>
      <c r="P127" s="73"/>
      <c r="Q127" s="73"/>
    </row>
    <row r="128" spans="1:17" s="61" customFormat="1" ht="41.25" customHeight="1">
      <c r="A128" s="1405" t="s">
        <v>25</v>
      </c>
      <c r="B128" s="1443"/>
      <c r="C128" s="1443"/>
      <c r="D128" s="1443"/>
      <c r="E128" s="1443"/>
      <c r="F128" s="1443"/>
      <c r="G128" s="1444"/>
      <c r="H128" s="1444"/>
      <c r="I128" s="1444"/>
      <c r="J128" s="75"/>
      <c r="K128" s="75"/>
      <c r="L128" s="172"/>
      <c r="M128" s="303"/>
      <c r="N128" s="73"/>
      <c r="O128" s="73"/>
      <c r="P128" s="73"/>
      <c r="Q128" s="73"/>
    </row>
    <row r="129" spans="1:17" s="76" customFormat="1" ht="20.25" customHeight="1">
      <c r="A129" s="1405" t="s">
        <v>80</v>
      </c>
      <c r="B129" s="1449"/>
      <c r="C129" s="1449"/>
      <c r="D129" s="1449"/>
      <c r="E129" s="1449"/>
      <c r="F129" s="1449"/>
      <c r="G129" s="1449"/>
      <c r="H129" s="1449"/>
      <c r="I129" s="1449"/>
      <c r="J129" s="106"/>
      <c r="L129" s="170"/>
      <c r="M129" s="299"/>
      <c r="N129" s="90"/>
      <c r="O129" s="90"/>
      <c r="P129" s="90"/>
      <c r="Q129" s="90"/>
    </row>
    <row r="130" spans="1:17" s="61" customFormat="1">
      <c r="A130" s="190" t="s">
        <v>332</v>
      </c>
      <c r="B130" s="73"/>
      <c r="C130" s="73"/>
      <c r="D130" s="73"/>
      <c r="E130" s="73"/>
      <c r="F130" s="73"/>
      <c r="L130" s="172"/>
      <c r="M130" s="299"/>
      <c r="N130" s="73"/>
      <c r="O130" s="73"/>
      <c r="P130" s="73"/>
      <c r="Q130" s="73"/>
    </row>
    <row r="131" spans="1:17" s="61" customFormat="1" ht="14.25" customHeight="1">
      <c r="A131" s="188"/>
      <c r="B131" s="106"/>
      <c r="C131" s="106"/>
      <c r="D131" s="106"/>
      <c r="E131" s="106"/>
      <c r="F131" s="106"/>
      <c r="G131" s="189"/>
      <c r="H131" s="189"/>
      <c r="I131" s="1393" t="s">
        <v>2023</v>
      </c>
      <c r="J131" s="189"/>
      <c r="K131" s="189"/>
      <c r="L131" s="172"/>
      <c r="M131" s="299"/>
      <c r="N131" s="73"/>
      <c r="O131" s="73"/>
      <c r="P131" s="73"/>
      <c r="Q131" s="73"/>
    </row>
    <row r="132" spans="1:17" s="61" customFormat="1" ht="18">
      <c r="A132" s="135" t="s">
        <v>533</v>
      </c>
      <c r="B132" s="135"/>
      <c r="C132" s="135"/>
      <c r="D132" s="135"/>
      <c r="E132" s="135"/>
      <c r="F132" s="135"/>
      <c r="G132" s="135"/>
      <c r="H132" s="135"/>
      <c r="I132" s="135"/>
      <c r="J132" s="622" t="s">
        <v>131</v>
      </c>
      <c r="K132" s="101"/>
      <c r="L132" s="171"/>
      <c r="M132" s="299"/>
      <c r="N132" s="73"/>
      <c r="O132" s="73"/>
      <c r="P132" s="73"/>
      <c r="Q132" s="73"/>
    </row>
    <row r="133" spans="1:17" s="61" customFormat="1" ht="12" customHeight="1">
      <c r="A133" s="135"/>
      <c r="B133" s="135"/>
      <c r="C133" s="135"/>
      <c r="D133" s="135"/>
      <c r="E133" s="135"/>
      <c r="F133" s="135"/>
      <c r="G133" s="135"/>
      <c r="H133" s="135"/>
      <c r="I133" s="135"/>
      <c r="J133" s="622"/>
      <c r="K133" s="101"/>
      <c r="L133" s="171"/>
      <c r="M133" s="299"/>
      <c r="N133" s="73"/>
      <c r="O133" s="73"/>
      <c r="P133" s="73"/>
      <c r="Q133" s="73"/>
    </row>
    <row r="134" spans="1:17" s="61" customFormat="1" ht="18.75">
      <c r="A134" s="1429" t="s">
        <v>26</v>
      </c>
      <c r="B134" s="1429"/>
      <c r="C134" s="1429"/>
      <c r="D134" s="1429"/>
      <c r="E134" s="1429"/>
      <c r="F134" s="1429"/>
      <c r="G134" s="1429"/>
      <c r="H134" s="1429"/>
      <c r="I134" s="1429"/>
      <c r="J134" s="101"/>
      <c r="K134" s="101"/>
      <c r="L134" s="166"/>
      <c r="M134" s="299"/>
      <c r="N134" s="73"/>
      <c r="O134" s="73"/>
      <c r="P134" s="73"/>
      <c r="Q134" s="73"/>
    </row>
    <row r="135" spans="1:17" s="61" customFormat="1" ht="15.75">
      <c r="A135" s="1429" t="s">
        <v>2007</v>
      </c>
      <c r="B135" s="1429"/>
      <c r="C135" s="1429"/>
      <c r="D135" s="1429"/>
      <c r="E135" s="1429"/>
      <c r="F135" s="1429"/>
      <c r="G135" s="1429"/>
      <c r="H135" s="1429"/>
      <c r="I135" s="1429"/>
      <c r="J135" s="91"/>
      <c r="K135" s="91"/>
      <c r="L135" s="166"/>
      <c r="M135" s="299"/>
      <c r="N135" s="73"/>
      <c r="O135" s="73"/>
      <c r="P135" s="73"/>
      <c r="Q135" s="73"/>
    </row>
    <row r="136" spans="1:17" s="61" customFormat="1" ht="12" customHeight="1">
      <c r="A136" s="91"/>
      <c r="B136" s="91"/>
      <c r="C136" s="91"/>
      <c r="D136" s="91"/>
      <c r="E136" s="91"/>
      <c r="F136" s="91"/>
      <c r="G136" s="108"/>
      <c r="H136" s="91"/>
      <c r="I136" s="91"/>
      <c r="J136" s="91"/>
      <c r="K136" s="91"/>
      <c r="L136" s="166"/>
      <c r="M136" s="302"/>
      <c r="N136" s="73"/>
      <c r="O136" s="73"/>
      <c r="P136" s="73"/>
      <c r="Q136" s="73"/>
    </row>
    <row r="137" spans="1:17" s="61" customFormat="1" ht="15.75">
      <c r="A137" s="60"/>
      <c r="B137" s="623" t="s">
        <v>81</v>
      </c>
      <c r="C137" s="624"/>
      <c r="D137" s="624"/>
      <c r="E137" s="624"/>
      <c r="F137" s="625" t="s">
        <v>178</v>
      </c>
      <c r="G137" s="626"/>
      <c r="H137" s="626"/>
      <c r="I137" s="626"/>
      <c r="L137" s="174"/>
      <c r="M137" s="299"/>
      <c r="N137" s="73"/>
      <c r="O137" s="73"/>
      <c r="P137" s="73"/>
      <c r="Q137" s="73"/>
    </row>
    <row r="138" spans="1:17" s="6" customFormat="1" ht="48">
      <c r="A138" s="50"/>
      <c r="B138" s="606" t="s">
        <v>126</v>
      </c>
      <c r="C138" s="607" t="s">
        <v>128</v>
      </c>
      <c r="D138" s="607" t="s">
        <v>570</v>
      </c>
      <c r="E138" s="607" t="s">
        <v>138</v>
      </c>
      <c r="F138" s="608" t="s">
        <v>126</v>
      </c>
      <c r="G138" s="607" t="s">
        <v>128</v>
      </c>
      <c r="H138" s="607" t="s">
        <v>570</v>
      </c>
      <c r="I138" s="607" t="s">
        <v>138</v>
      </c>
      <c r="L138" s="168"/>
      <c r="M138" s="301" t="s">
        <v>388</v>
      </c>
      <c r="N138" s="7"/>
      <c r="O138" s="7"/>
      <c r="P138" s="7"/>
      <c r="Q138" s="7"/>
    </row>
    <row r="139" spans="1:17" s="61" customFormat="1" ht="14.25">
      <c r="A139" s="73" t="s">
        <v>82</v>
      </c>
      <c r="B139" s="102">
        <f>IF($M139&gt;0,('Amounts Pivot Table'!F$631/$M139),0)</f>
        <v>4984.5053483000638</v>
      </c>
      <c r="C139" s="102">
        <f>IF($M139&gt;0,('Amounts Pivot Table'!F$634/$M139),0)</f>
        <v>112.1500134926644</v>
      </c>
      <c r="D139" s="102">
        <f>IF($M139&gt;0,('Amounts Pivot Table'!F$640/$M139),0)</f>
        <v>5693.043734377663</v>
      </c>
      <c r="E139" s="102">
        <f>SUM(B139:D139)</f>
        <v>10789.699096170392</v>
      </c>
      <c r="F139" s="114"/>
      <c r="G139" s="115"/>
      <c r="H139" s="115"/>
      <c r="I139" s="115"/>
      <c r="J139" s="102"/>
      <c r="L139" s="169"/>
      <c r="M139" s="299">
        <f>+'[1]NEW-Tables 80-86'!E70</f>
        <v>209607.72333333333</v>
      </c>
      <c r="N139" s="73"/>
      <c r="O139" s="73"/>
      <c r="P139" s="73"/>
      <c r="Q139" s="73"/>
    </row>
    <row r="140" spans="1:17" s="61" customFormat="1" ht="9.75" customHeight="1">
      <c r="A140" s="73"/>
      <c r="B140" s="102"/>
      <c r="C140" s="102"/>
      <c r="D140" s="102"/>
      <c r="E140" s="102"/>
      <c r="F140" s="114"/>
      <c r="G140" s="115"/>
      <c r="H140" s="115"/>
      <c r="I140" s="115"/>
      <c r="J140" s="102"/>
      <c r="L140" s="169"/>
      <c r="M140" s="299"/>
      <c r="N140" s="73"/>
      <c r="O140" s="73"/>
      <c r="P140" s="73"/>
      <c r="Q140" s="73"/>
    </row>
    <row r="141" spans="1:17" s="61" customFormat="1" ht="12.75" customHeight="1">
      <c r="A141" s="73" t="s">
        <v>452</v>
      </c>
      <c r="B141" s="75">
        <f>IF($M141&gt;0,('Amounts Pivot Table'!F$7/$M141),0)</f>
        <v>5173.179302569436</v>
      </c>
      <c r="C141" s="75">
        <f>IF($M141&gt;0,('Amounts Pivot Table'!F$10/$M141),0)</f>
        <v>209.62887582729479</v>
      </c>
      <c r="D141" s="75">
        <f>IF($M141&gt;0,('Amounts Pivot Table'!F$16/$M141),0)</f>
        <v>6131.2379040649921</v>
      </c>
      <c r="E141" s="75">
        <f>SUM(B141:D141)</f>
        <v>11514.046082461722</v>
      </c>
      <c r="F141" s="116">
        <f>IF(B141&gt;0,RANK(B141,$B$141:$B$159),)</f>
        <v>6</v>
      </c>
      <c r="G141" s="107">
        <f>IF(C141&gt;0,RANK(C141,$C$141:$C$159),)</f>
        <v>5</v>
      </c>
      <c r="H141" s="107">
        <f>IF(D141&gt;0,RANK(D141,$D$141:$D$159),)</f>
        <v>5</v>
      </c>
      <c r="I141" s="107">
        <f>IF(E141&gt;0,RANK(E141,$E$141:$E$159),)</f>
        <v>8</v>
      </c>
      <c r="J141" s="75"/>
      <c r="L141" s="169"/>
      <c r="M141" s="299">
        <f>+'[1]NEW-Tables 80-86'!E72</f>
        <v>16697.241666666669</v>
      </c>
      <c r="N141" s="73"/>
      <c r="O141" s="73"/>
      <c r="P141" s="73"/>
      <c r="Q141" s="73"/>
    </row>
    <row r="142" spans="1:17" s="61" customFormat="1" ht="12.75" customHeight="1">
      <c r="A142" s="73" t="s">
        <v>466</v>
      </c>
      <c r="B142" s="75">
        <f>IF($M142&gt;0,('Amounts Pivot Table'!F$46/$M142),0)</f>
        <v>4696.5212836785431</v>
      </c>
      <c r="C142" s="75">
        <f>IF($M142&gt;0,('Amounts Pivot Table'!F$49/$M142),0)</f>
        <v>308.53481923074577</v>
      </c>
      <c r="D142" s="75">
        <f>IF($M142&gt;0,('Amounts Pivot Table'!F$55/$M142),0)</f>
        <v>5569.1275493687281</v>
      </c>
      <c r="E142" s="75">
        <f>SUM(B142:D142)</f>
        <v>10574.183652278018</v>
      </c>
      <c r="F142" s="116">
        <f t="shared" ref="F142:F159" si="29">IF(B142&gt;0,RANK(B142,$B$141:$B$159),)</f>
        <v>7</v>
      </c>
      <c r="G142" s="107">
        <f t="shared" ref="G142:G159" si="30">IF(C142&gt;0,RANK(C142,$C$141:$C$159),)</f>
        <v>2</v>
      </c>
      <c r="H142" s="107">
        <f t="shared" ref="H142:H159" si="31">IF(D142&gt;0,RANK(D142,$D$141:$D$159),)</f>
        <v>8</v>
      </c>
      <c r="I142" s="107">
        <f t="shared" ref="I142:I159" si="32">IF(E142&gt;0,RANK(E142,$E$141:$E$159),)</f>
        <v>9</v>
      </c>
      <c r="J142" s="75"/>
      <c r="L142" s="169"/>
      <c r="M142" s="299">
        <f>+'[1]NEW-Tables 80-86'!E73</f>
        <v>10914.466666666665</v>
      </c>
      <c r="N142" s="73"/>
      <c r="O142" s="73"/>
      <c r="P142" s="73"/>
      <c r="Q142" s="73"/>
    </row>
    <row r="143" spans="1:17" s="61" customFormat="1" ht="12.75" customHeight="1">
      <c r="A143" s="73" t="s">
        <v>453</v>
      </c>
      <c r="B143" s="75">
        <f>IF($M143&gt;0,('Amounts Pivot Table'!F$85/$M143),0)</f>
        <v>8289.6887184568477</v>
      </c>
      <c r="C143" s="75">
        <f>IF($M143&gt;0,('Amounts Pivot Table'!F$88/$M143),0)</f>
        <v>0</v>
      </c>
      <c r="D143" s="75">
        <f>IF($M143&gt;0,('Amounts Pivot Table'!F$94/$M143),0)</f>
        <v>7905.1429012623703</v>
      </c>
      <c r="E143" s="75">
        <f>SUM(B143:D143)</f>
        <v>16194.831619719218</v>
      </c>
      <c r="F143" s="116">
        <f>IF(B143&gt;0,RANK(B143,$B$141:$B$159),)</f>
        <v>2</v>
      </c>
      <c r="G143" s="107">
        <f>IF(C143&gt;0,RANK(C143,$C$141:$C$159),)</f>
        <v>0</v>
      </c>
      <c r="H143" s="107">
        <f>IF(D143&gt;0,RANK(D143,$D$141:$D$159),)</f>
        <v>3</v>
      </c>
      <c r="I143" s="107">
        <f>IF(E143&gt;0,RANK(E143,$E$141:$E$159),)</f>
        <v>1</v>
      </c>
      <c r="J143" s="75"/>
      <c r="L143" s="169"/>
      <c r="M143" s="299">
        <f>+'[1]NEW-Tables 80-86'!E74</f>
        <v>3885.5499999999997</v>
      </c>
      <c r="N143" s="223"/>
      <c r="O143" s="223"/>
      <c r="P143" s="223"/>
      <c r="Q143" s="73"/>
    </row>
    <row r="144" spans="1:17" s="61" customFormat="1" ht="12.75" customHeight="1">
      <c r="A144" s="73" t="s">
        <v>460</v>
      </c>
      <c r="B144" s="75">
        <f>IF($M144&gt;0,('Amounts Pivot Table'!F$124/$M144),0)</f>
        <v>4688.07013905035</v>
      </c>
      <c r="C144" s="75">
        <f>IF($M144&gt;0,('Amounts Pivot Table'!F$127/$M144),0)</f>
        <v>100.98387363864305</v>
      </c>
      <c r="D144" s="75">
        <f>IF($M144&gt;0,('Amounts Pivot Table'!F$133/$M144),0)</f>
        <v>3560.7797725482196</v>
      </c>
      <c r="E144" s="75">
        <f>SUM(B144:D144)</f>
        <v>8349.8337852372133</v>
      </c>
      <c r="F144" s="116">
        <f t="shared" si="29"/>
        <v>8</v>
      </c>
      <c r="G144" s="107">
        <f t="shared" si="30"/>
        <v>7</v>
      </c>
      <c r="H144" s="107">
        <f t="shared" si="31"/>
        <v>13</v>
      </c>
      <c r="I144" s="107">
        <f t="shared" si="32"/>
        <v>12</v>
      </c>
      <c r="J144" s="75"/>
      <c r="L144" s="169"/>
      <c r="M144" s="299">
        <f>+'[1]NEW-Tables 80-86'!E75</f>
        <v>9964.0166666666664</v>
      </c>
      <c r="N144" s="73"/>
      <c r="O144" s="73"/>
      <c r="P144" s="73"/>
      <c r="Q144" s="73"/>
    </row>
    <row r="145" spans="1:17" s="61" customFormat="1" ht="9.75" customHeight="1">
      <c r="A145" s="73"/>
      <c r="B145" s="75"/>
      <c r="C145" s="75"/>
      <c r="D145" s="75"/>
      <c r="E145" s="75"/>
      <c r="F145" s="116"/>
      <c r="G145" s="107"/>
      <c r="H145" s="107"/>
      <c r="I145" s="107"/>
      <c r="J145" s="75"/>
      <c r="L145" s="169"/>
      <c r="M145" s="299">
        <f>+'[1]NEW-Tables 80-86'!E76</f>
        <v>0</v>
      </c>
      <c r="N145" s="73"/>
      <c r="O145" s="73"/>
      <c r="P145" s="73"/>
      <c r="Q145" s="73"/>
    </row>
    <row r="146" spans="1:17" s="61" customFormat="1" ht="12.75" customHeight="1">
      <c r="A146" s="73" t="s">
        <v>461</v>
      </c>
      <c r="B146" s="75">
        <f>IF($M146&gt;0,('Amounts Pivot Table'!F$163/$M146),0)</f>
        <v>3987.3342045158938</v>
      </c>
      <c r="C146" s="75">
        <f>IF($M146&gt;0,('Amounts Pivot Table'!F$166/$M146),0)</f>
        <v>0</v>
      </c>
      <c r="D146" s="75">
        <f>IF($M146&gt;0,('Amounts Pivot Table'!F$172/$M146),0)</f>
        <v>5260.495379034418</v>
      </c>
      <c r="E146" s="75">
        <f>SUM(B146:D146)</f>
        <v>9247.8295835503122</v>
      </c>
      <c r="F146" s="116">
        <f t="shared" si="29"/>
        <v>11</v>
      </c>
      <c r="G146" s="107">
        <f t="shared" si="30"/>
        <v>0</v>
      </c>
      <c r="H146" s="107">
        <f t="shared" si="31"/>
        <v>9</v>
      </c>
      <c r="I146" s="107">
        <f t="shared" si="32"/>
        <v>10</v>
      </c>
      <c r="J146" s="75"/>
      <c r="L146" s="169"/>
      <c r="M146" s="299">
        <f>+'[1]NEW-Tables 80-86'!E77</f>
        <v>45354.698333333334</v>
      </c>
      <c r="N146" s="73"/>
      <c r="O146" s="73"/>
      <c r="P146" s="73"/>
      <c r="Q146" s="73"/>
    </row>
    <row r="147" spans="1:17" s="61" customFormat="1" ht="12.75" customHeight="1">
      <c r="A147" s="73" t="s">
        <v>454</v>
      </c>
      <c r="B147" s="75">
        <f>IF($M147&gt;0,('Amounts Pivot Table'!F$202/$M147),0)</f>
        <v>4559.7483192591053</v>
      </c>
      <c r="C147" s="75">
        <f>IF($M147&gt;0,('Amounts Pivot Table'!F$205/$M147),0)</f>
        <v>269.38996720182575</v>
      </c>
      <c r="D147" s="75">
        <f>IF($M147&gt;0,('Amounts Pivot Table'!F$211/$M147),0)</f>
        <v>9048.0962491778373</v>
      </c>
      <c r="E147" s="75">
        <f>SUM(B147:D147)</f>
        <v>13877.234535638769</v>
      </c>
      <c r="F147" s="116">
        <f t="shared" si="29"/>
        <v>9</v>
      </c>
      <c r="G147" s="107">
        <f t="shared" si="30"/>
        <v>3</v>
      </c>
      <c r="H147" s="107">
        <f t="shared" si="31"/>
        <v>2</v>
      </c>
      <c r="I147" s="107">
        <f t="shared" si="32"/>
        <v>5</v>
      </c>
      <c r="J147" s="75"/>
      <c r="L147" s="169"/>
      <c r="M147" s="299">
        <f>+'[1]NEW-Tables 80-86'!E78</f>
        <v>15102.466666666667</v>
      </c>
      <c r="N147" s="73"/>
      <c r="O147" s="73"/>
      <c r="P147" s="73"/>
      <c r="Q147" s="73"/>
    </row>
    <row r="148" spans="1:17" s="61" customFormat="1" ht="12.75" customHeight="1">
      <c r="A148" s="73" t="s">
        <v>462</v>
      </c>
      <c r="B148" s="75">
        <f>IF($M148&gt;0,('Amounts Pivot Table'!F$241/$M148),0)</f>
        <v>3994.2939664324654</v>
      </c>
      <c r="C148" s="75">
        <f>IF($M148&gt;0,('Amounts Pivot Table'!F$244/$M148),0)</f>
        <v>0</v>
      </c>
      <c r="D148" s="75">
        <f>IF($M148&gt;0,('Amounts Pivot Table'!F$250/$M148),0)</f>
        <v>3786.247718624375</v>
      </c>
      <c r="E148" s="75">
        <f>SUM(B148:D148)</f>
        <v>7780.5416850568399</v>
      </c>
      <c r="F148" s="116">
        <f t="shared" si="29"/>
        <v>10</v>
      </c>
      <c r="G148" s="107">
        <f t="shared" si="30"/>
        <v>0</v>
      </c>
      <c r="H148" s="107">
        <f t="shared" si="31"/>
        <v>11</v>
      </c>
      <c r="I148" s="107">
        <f t="shared" si="32"/>
        <v>13</v>
      </c>
      <c r="J148" s="75"/>
      <c r="L148" s="169"/>
      <c r="M148" s="299">
        <f>+'[1]NEW-Tables 80-86'!E79</f>
        <v>33532.400000000001</v>
      </c>
      <c r="N148" s="73"/>
      <c r="O148" s="73"/>
      <c r="P148" s="73"/>
      <c r="Q148" s="73"/>
    </row>
    <row r="149" spans="1:17" s="61" customFormat="1" ht="12.75" customHeight="1">
      <c r="A149" s="73" t="s">
        <v>465</v>
      </c>
      <c r="B149" s="75">
        <f>IF($M149&gt;0,('Amounts Pivot Table'!F$280/$M149),0)</f>
        <v>6842.067339245863</v>
      </c>
      <c r="C149" s="75">
        <f>IF($M149&gt;0,('Amounts Pivot Table'!F$283/$M149),0)</f>
        <v>0</v>
      </c>
      <c r="D149" s="75">
        <f>IF($M149&gt;0,('Amounts Pivot Table'!F$289/$M149),0)</f>
        <v>7322.0829053124999</v>
      </c>
      <c r="E149" s="75">
        <f>SUM(B149:D149)</f>
        <v>14164.150244558363</v>
      </c>
      <c r="F149" s="116">
        <f t="shared" si="29"/>
        <v>4</v>
      </c>
      <c r="G149" s="107">
        <f t="shared" si="30"/>
        <v>0</v>
      </c>
      <c r="H149" s="107">
        <f t="shared" si="31"/>
        <v>4</v>
      </c>
      <c r="I149" s="107">
        <f t="shared" si="32"/>
        <v>3</v>
      </c>
      <c r="J149" s="75"/>
      <c r="L149" s="169"/>
      <c r="M149" s="299">
        <f>+'[1]NEW-Tables 80-86'!E80</f>
        <v>30193.883333333331</v>
      </c>
      <c r="N149" s="73"/>
      <c r="O149" s="73"/>
      <c r="P149" s="73"/>
      <c r="Q149" s="73"/>
    </row>
    <row r="150" spans="1:17" s="61" customFormat="1" ht="9.75" customHeight="1">
      <c r="A150" s="73"/>
      <c r="B150" s="75"/>
      <c r="C150" s="75"/>
      <c r="D150" s="75"/>
      <c r="E150" s="75"/>
      <c r="F150" s="116"/>
      <c r="G150" s="107"/>
      <c r="H150" s="107"/>
      <c r="I150" s="107"/>
      <c r="J150" s="75"/>
      <c r="L150" s="169"/>
      <c r="M150" s="299">
        <f>+'[1]NEW-Tables 80-86'!E81</f>
        <v>0</v>
      </c>
      <c r="N150" s="73"/>
      <c r="O150" s="73"/>
      <c r="P150" s="73"/>
      <c r="Q150" s="73"/>
    </row>
    <row r="151" spans="1:17" s="61" customFormat="1" ht="12.75" customHeight="1">
      <c r="A151" s="73" t="s">
        <v>455</v>
      </c>
      <c r="B151" s="75">
        <f>IF($M151&gt;0,('Amounts Pivot Table'!F$319/$M151),0)</f>
        <v>5934.3602608587044</v>
      </c>
      <c r="C151" s="75">
        <f>IF($M151&gt;0,('Amounts Pivot Table'!F$322/$M151),0)</f>
        <v>566.20826342167993</v>
      </c>
      <c r="D151" s="75">
        <f>IF($M151&gt;0,('Amounts Pivot Table'!F$328/$M151),0)</f>
        <v>5948.4021046801436</v>
      </c>
      <c r="E151" s="75">
        <f>SUM(B151:D151)</f>
        <v>12448.970628960527</v>
      </c>
      <c r="F151" s="116">
        <f t="shared" si="29"/>
        <v>5</v>
      </c>
      <c r="G151" s="107">
        <f t="shared" si="30"/>
        <v>1</v>
      </c>
      <c r="H151" s="107">
        <f t="shared" si="31"/>
        <v>6</v>
      </c>
      <c r="I151" s="107">
        <f t="shared" si="32"/>
        <v>7</v>
      </c>
      <c r="J151" s="75"/>
      <c r="L151" s="169"/>
      <c r="M151" s="299">
        <f>+'[1]NEW-Tables 80-86'!E82</f>
        <v>9208.0500000000011</v>
      </c>
      <c r="N151" s="73"/>
      <c r="O151" s="73"/>
      <c r="P151" s="73"/>
      <c r="Q151" s="73"/>
    </row>
    <row r="152" spans="1:17" s="61" customFormat="1" ht="12.75" customHeight="1">
      <c r="A152" s="73" t="s">
        <v>456</v>
      </c>
      <c r="B152" s="75">
        <f>IF($M152&gt;0,('Amounts Pivot Table'!F$358/$M152),0)</f>
        <v>10280.886461955317</v>
      </c>
      <c r="C152" s="75">
        <f>IF($M152&gt;0,('Amounts Pivot Table'!F$361/$M152),0)</f>
        <v>0</v>
      </c>
      <c r="D152" s="75">
        <f>IF($M152&gt;0,('Amounts Pivot Table'!F$367/$M152),0)</f>
        <v>3702.9489476934468</v>
      </c>
      <c r="E152" s="75">
        <f>SUM(B152:D152)</f>
        <v>13983.835409648764</v>
      </c>
      <c r="F152" s="116">
        <f t="shared" si="29"/>
        <v>1</v>
      </c>
      <c r="G152" s="107">
        <f t="shared" si="30"/>
        <v>0</v>
      </c>
      <c r="H152" s="107">
        <f t="shared" si="31"/>
        <v>12</v>
      </c>
      <c r="I152" s="107">
        <f t="shared" si="32"/>
        <v>4</v>
      </c>
      <c r="J152" s="75"/>
      <c r="L152" s="169"/>
      <c r="M152" s="299">
        <f>+'[1]NEW-Tables 80-86'!E83</f>
        <v>5222.2583333333332</v>
      </c>
      <c r="N152" s="73"/>
      <c r="O152" s="73"/>
      <c r="P152" s="73"/>
      <c r="Q152" s="103"/>
    </row>
    <row r="153" spans="1:17" s="61" customFormat="1" ht="12.75" customHeight="1">
      <c r="A153" s="73" t="s">
        <v>463</v>
      </c>
      <c r="B153" s="75">
        <f>IF($M153&gt;0,('Amounts Pivot Table'!F$397/$M153),0)</f>
        <v>0</v>
      </c>
      <c r="C153" s="75">
        <f>IF($M153&gt;0,('Amounts Pivot Table'!F$400/$M153),0)</f>
        <v>0</v>
      </c>
      <c r="D153" s="75">
        <f>IF($M153&gt;0,('Amounts Pivot Table'!F$406/$M153),0)</f>
        <v>0</v>
      </c>
      <c r="E153" s="75">
        <f>SUM(B153:D153)</f>
        <v>0</v>
      </c>
      <c r="F153" s="116">
        <f t="shared" si="29"/>
        <v>0</v>
      </c>
      <c r="G153" s="107">
        <f t="shared" si="30"/>
        <v>0</v>
      </c>
      <c r="H153" s="107">
        <f t="shared" si="31"/>
        <v>0</v>
      </c>
      <c r="I153" s="107">
        <f t="shared" si="32"/>
        <v>0</v>
      </c>
      <c r="J153" s="75"/>
      <c r="L153" s="169"/>
      <c r="M153" s="299">
        <f>+'[1]NEW-Tables 80-86'!E84</f>
        <v>0</v>
      </c>
      <c r="N153" s="73"/>
      <c r="O153" s="73"/>
      <c r="P153" s="73"/>
      <c r="Q153" s="103"/>
    </row>
    <row r="154" spans="1:17" s="61" customFormat="1" ht="12.75" customHeight="1">
      <c r="A154" s="73" t="s">
        <v>457</v>
      </c>
      <c r="B154" s="75">
        <f>IF($M154&gt;0,('Amounts Pivot Table'!F$436/$M154),0)</f>
        <v>2563.0694466217278</v>
      </c>
      <c r="C154" s="75">
        <f>IF($M154&gt;0,('Amounts Pivot Table'!F$439/$M154),0)</f>
        <v>85.196596787755283</v>
      </c>
      <c r="D154" s="75">
        <f>IF($M154&gt;0,('Amounts Pivot Table'!F$445/$M154),0)</f>
        <v>12072.507517564738</v>
      </c>
      <c r="E154" s="75">
        <f>SUM(B154:D154)</f>
        <v>14720.773560974221</v>
      </c>
      <c r="F154" s="116">
        <f>IF(B154&gt;0,RANK(B154,$B$141:$B$159),)</f>
        <v>13</v>
      </c>
      <c r="G154" s="107">
        <f t="shared" si="30"/>
        <v>8</v>
      </c>
      <c r="H154" s="107">
        <f t="shared" si="31"/>
        <v>1</v>
      </c>
      <c r="I154" s="107">
        <f t="shared" si="32"/>
        <v>2</v>
      </c>
      <c r="J154" s="75"/>
      <c r="L154" s="169"/>
      <c r="M154" s="299">
        <f>+'[1]NEW-Tables 80-86'!E85</f>
        <v>3508.45</v>
      </c>
      <c r="N154" s="73"/>
      <c r="O154" s="73"/>
      <c r="P154" s="73"/>
      <c r="Q154" s="103"/>
    </row>
    <row r="155" spans="1:17" s="61" customFormat="1" ht="9.75" customHeight="1">
      <c r="A155" s="73"/>
      <c r="B155" s="75"/>
      <c r="C155" s="75"/>
      <c r="D155" s="75"/>
      <c r="E155" s="75"/>
      <c r="F155" s="116"/>
      <c r="G155" s="107"/>
      <c r="H155" s="107"/>
      <c r="I155" s="107"/>
      <c r="J155" s="75"/>
      <c r="L155" s="169"/>
      <c r="M155" s="299">
        <f>+'[1]NEW-Tables 80-86'!E86</f>
        <v>0</v>
      </c>
      <c r="N155" s="73"/>
      <c r="O155" s="73"/>
      <c r="P155" s="73"/>
      <c r="Q155" s="73"/>
    </row>
    <row r="156" spans="1:17" s="61" customFormat="1" ht="12.75" customHeight="1">
      <c r="A156" s="73" t="s">
        <v>130</v>
      </c>
      <c r="B156" s="75">
        <f>IF($M156&gt;0,('Amounts Pivot Table'!F$475/$M156),0)</f>
        <v>0</v>
      </c>
      <c r="C156" s="75">
        <f>IF($M156&gt;0,('Amounts Pivot Table'!F$478/$M156),0)</f>
        <v>0</v>
      </c>
      <c r="D156" s="75">
        <f>IF($M156&gt;0,('Amounts Pivot Table'!F$484/$M156),0)</f>
        <v>0</v>
      </c>
      <c r="E156" s="75">
        <f>SUM(B156:D156)</f>
        <v>0</v>
      </c>
      <c r="F156" s="116">
        <f t="shared" si="29"/>
        <v>0</v>
      </c>
      <c r="G156" s="107">
        <f t="shared" si="30"/>
        <v>0</v>
      </c>
      <c r="H156" s="107">
        <f t="shared" si="31"/>
        <v>0</v>
      </c>
      <c r="I156" s="107">
        <f t="shared" si="32"/>
        <v>0</v>
      </c>
      <c r="J156" s="75"/>
      <c r="L156" s="175"/>
      <c r="M156" s="299">
        <f>+'[1]NEW-Tables 80-86'!E87</f>
        <v>0</v>
      </c>
      <c r="N156" s="73"/>
      <c r="O156" s="73"/>
      <c r="P156" s="73"/>
      <c r="Q156" s="73"/>
    </row>
    <row r="157" spans="1:17" s="76" customFormat="1" ht="12.75" customHeight="1">
      <c r="A157" s="73" t="s">
        <v>458</v>
      </c>
      <c r="B157" s="75">
        <f>IF($M157&gt;0,('Amounts Pivot Table'!F$514/$M157),0)</f>
        <v>6890.8040697175238</v>
      </c>
      <c r="C157" s="75">
        <f>IF($M157&gt;0,('Amounts Pivot Table'!F$517/$M157),0)</f>
        <v>135.71334535359605</v>
      </c>
      <c r="D157" s="75">
        <f>IF($M157&gt;0,('Amounts Pivot Table'!F$523/$M157),0)</f>
        <v>5643.5288057010393</v>
      </c>
      <c r="E157" s="75">
        <f>SUM(B157:D157)</f>
        <v>12670.046220772159</v>
      </c>
      <c r="F157" s="116">
        <f t="shared" si="29"/>
        <v>3</v>
      </c>
      <c r="G157" s="107">
        <f t="shared" si="30"/>
        <v>6</v>
      </c>
      <c r="H157" s="107">
        <f t="shared" si="31"/>
        <v>7</v>
      </c>
      <c r="I157" s="107">
        <f t="shared" si="32"/>
        <v>6</v>
      </c>
      <c r="J157" s="75"/>
      <c r="K157" s="75"/>
      <c r="L157" s="175"/>
      <c r="M157" s="299">
        <f>+'[1]NEW-Tables 80-86'!E88</f>
        <v>6988.2</v>
      </c>
      <c r="N157" s="90"/>
      <c r="O157" s="90"/>
      <c r="P157" s="90"/>
      <c r="Q157" s="90"/>
    </row>
    <row r="158" spans="1:17" s="61" customFormat="1" ht="12.75" customHeight="1">
      <c r="A158" s="73" t="s">
        <v>459</v>
      </c>
      <c r="B158" s="75">
        <f>IF($M158&gt;0,('Amounts Pivot Table'!F$553/$M158),0)</f>
        <v>3809.4199555667428</v>
      </c>
      <c r="C158" s="75">
        <f>IF($M158&gt;0,('Amounts Pivot Table'!F$556/$M158),0)</f>
        <v>268.13137360051655</v>
      </c>
      <c r="D158" s="75">
        <f>IF($M158&gt;0,('Amounts Pivot Table'!F$562/$M158),0)</f>
        <v>4452.9184419905223</v>
      </c>
      <c r="E158" s="75">
        <f>SUM(B158:D158)</f>
        <v>8530.4697711577828</v>
      </c>
      <c r="F158" s="116">
        <f t="shared" si="29"/>
        <v>12</v>
      </c>
      <c r="G158" s="107">
        <f t="shared" si="30"/>
        <v>4</v>
      </c>
      <c r="H158" s="107">
        <f t="shared" si="31"/>
        <v>10</v>
      </c>
      <c r="I158" s="107">
        <f t="shared" si="32"/>
        <v>11</v>
      </c>
      <c r="J158" s="75"/>
      <c r="K158" s="75"/>
      <c r="L158" s="175"/>
      <c r="M158" s="299">
        <f>+'[1]NEW-Tables 80-86'!E89</f>
        <v>19036.041666666668</v>
      </c>
      <c r="N158" s="73"/>
      <c r="O158" s="73"/>
      <c r="P158" s="73"/>
      <c r="Q158" s="73"/>
    </row>
    <row r="159" spans="1:17" s="61" customFormat="1" ht="13.5" customHeight="1">
      <c r="A159" s="74" t="s">
        <v>464</v>
      </c>
      <c r="B159" s="104">
        <f>IF($M159&gt;0,('Amounts Pivot Table'!F$592/$M159),0)</f>
        <v>0</v>
      </c>
      <c r="C159" s="104">
        <f>IF($M159&gt;0,('Amounts Pivot Table'!F$595/$M159),0)</f>
        <v>0</v>
      </c>
      <c r="D159" s="104">
        <f>IF($M159&gt;0,('Amounts Pivot Table'!F$601/$M159),0)</f>
        <v>0</v>
      </c>
      <c r="E159" s="105">
        <f>SUM(B159:D159)</f>
        <v>0</v>
      </c>
      <c r="F159" s="117">
        <f t="shared" si="29"/>
        <v>0</v>
      </c>
      <c r="G159" s="118">
        <f t="shared" si="30"/>
        <v>0</v>
      </c>
      <c r="H159" s="118">
        <f t="shared" si="31"/>
        <v>0</v>
      </c>
      <c r="I159" s="118">
        <f t="shared" si="32"/>
        <v>0</v>
      </c>
      <c r="J159" s="75"/>
      <c r="K159" s="75"/>
      <c r="L159" s="175"/>
      <c r="M159" s="299">
        <f>+'[1]NEW-Tables 80-86'!E90</f>
        <v>0</v>
      </c>
      <c r="N159" s="73"/>
      <c r="O159" s="73"/>
      <c r="P159" s="73"/>
      <c r="Q159" s="73"/>
    </row>
    <row r="160" spans="1:17" s="61" customFormat="1" ht="13.5" customHeight="1">
      <c r="A160" s="99" t="s">
        <v>469</v>
      </c>
      <c r="B160" s="75"/>
      <c r="C160" s="75"/>
      <c r="D160" s="75"/>
      <c r="E160" s="75"/>
      <c r="F160" s="107"/>
      <c r="G160" s="107"/>
      <c r="H160" s="107"/>
      <c r="I160" s="107"/>
      <c r="J160" s="75"/>
      <c r="K160" s="75"/>
      <c r="L160" s="175"/>
      <c r="M160" s="299"/>
      <c r="N160" s="73"/>
      <c r="O160" s="73"/>
      <c r="P160" s="73"/>
      <c r="Q160" s="73"/>
    </row>
    <row r="161" spans="1:17" s="76" customFormat="1" ht="40.5" customHeight="1">
      <c r="A161" s="1405" t="s">
        <v>25</v>
      </c>
      <c r="B161" s="1443"/>
      <c r="C161" s="1443"/>
      <c r="D161" s="1443"/>
      <c r="E161" s="1443"/>
      <c r="F161" s="1443"/>
      <c r="G161" s="1444"/>
      <c r="H161" s="1444"/>
      <c r="I161" s="1444"/>
      <c r="J161" s="75"/>
      <c r="K161" s="75"/>
      <c r="L161" s="170"/>
      <c r="M161" s="303"/>
      <c r="N161" s="90"/>
      <c r="O161" s="90"/>
      <c r="P161" s="90"/>
      <c r="Q161" s="90"/>
    </row>
    <row r="162" spans="1:17" s="76" customFormat="1" ht="17.25" customHeight="1">
      <c r="A162" s="1405" t="s">
        <v>80</v>
      </c>
      <c r="B162" s="1449"/>
      <c r="C162" s="1449"/>
      <c r="D162" s="1449"/>
      <c r="E162" s="1449"/>
      <c r="F162" s="1449"/>
      <c r="G162" s="1449"/>
      <c r="H162" s="1449"/>
      <c r="I162" s="1449"/>
      <c r="J162" s="106"/>
      <c r="L162" s="170"/>
      <c r="M162" s="299"/>
      <c r="N162" s="90"/>
      <c r="O162" s="90"/>
      <c r="P162" s="90"/>
      <c r="Q162" s="90"/>
    </row>
    <row r="163" spans="1:17" s="61" customFormat="1" ht="15" customHeight="1">
      <c r="A163" s="1405" t="s">
        <v>332</v>
      </c>
      <c r="B163" s="1443"/>
      <c r="C163" s="1443"/>
      <c r="D163" s="1443"/>
      <c r="E163" s="1443"/>
      <c r="F163" s="1443"/>
      <c r="G163" s="1444"/>
      <c r="H163" s="1444"/>
      <c r="I163" s="1444"/>
      <c r="L163" s="172"/>
      <c r="M163" s="299"/>
      <c r="N163" s="73"/>
      <c r="O163" s="73"/>
      <c r="P163" s="73"/>
      <c r="Q163" s="73"/>
    </row>
    <row r="164" spans="1:17" s="61" customFormat="1">
      <c r="A164" s="188"/>
      <c r="B164" s="106"/>
      <c r="C164" s="106"/>
      <c r="D164" s="106"/>
      <c r="E164" s="106"/>
      <c r="F164" s="106"/>
      <c r="G164" s="189"/>
      <c r="H164" s="189"/>
      <c r="I164" s="1393" t="s">
        <v>2023</v>
      </c>
      <c r="J164" s="189"/>
      <c r="K164" s="189"/>
      <c r="L164" s="172"/>
      <c r="M164" s="299"/>
      <c r="N164" s="73"/>
      <c r="O164" s="73"/>
      <c r="P164" s="73"/>
      <c r="Q164" s="73"/>
    </row>
    <row r="165" spans="1:17" s="61" customFormat="1" ht="18">
      <c r="A165" s="135" t="s">
        <v>534</v>
      </c>
      <c r="B165" s="135"/>
      <c r="C165" s="135"/>
      <c r="D165" s="135"/>
      <c r="E165" s="135"/>
      <c r="F165" s="135"/>
      <c r="G165" s="135"/>
      <c r="H165" s="135"/>
      <c r="I165" s="135"/>
      <c r="J165" s="622" t="s">
        <v>131</v>
      </c>
      <c r="K165" s="101"/>
      <c r="L165" s="171"/>
      <c r="M165" s="299"/>
      <c r="N165" s="73"/>
      <c r="O165" s="73"/>
      <c r="P165" s="73"/>
      <c r="Q165" s="73"/>
    </row>
    <row r="166" spans="1:17" s="61" customFormat="1" ht="15.75" customHeight="1">
      <c r="A166" s="135"/>
      <c r="B166" s="135"/>
      <c r="C166" s="135"/>
      <c r="D166" s="135"/>
      <c r="E166" s="135"/>
      <c r="F166" s="135"/>
      <c r="G166" s="135"/>
      <c r="H166" s="135"/>
      <c r="I166" s="135"/>
      <c r="J166" s="622"/>
      <c r="K166" s="101"/>
      <c r="L166" s="171"/>
      <c r="M166" s="299"/>
      <c r="N166" s="73"/>
      <c r="O166" s="73"/>
      <c r="P166" s="73"/>
      <c r="Q166" s="73"/>
    </row>
    <row r="167" spans="1:17" s="61" customFormat="1" ht="18.75">
      <c r="A167" s="1429" t="s">
        <v>26</v>
      </c>
      <c r="B167" s="1429"/>
      <c r="C167" s="1429"/>
      <c r="D167" s="1429"/>
      <c r="E167" s="1429"/>
      <c r="F167" s="1429"/>
      <c r="G167" s="1429"/>
      <c r="H167" s="1429"/>
      <c r="I167" s="1429"/>
      <c r="J167" s="101"/>
      <c r="K167" s="101"/>
      <c r="L167" s="166"/>
      <c r="M167" s="299"/>
      <c r="N167" s="73"/>
      <c r="O167" s="73"/>
      <c r="P167" s="73"/>
      <c r="Q167" s="73"/>
    </row>
    <row r="168" spans="1:17" s="61" customFormat="1" ht="16.5" customHeight="1">
      <c r="A168" s="1429" t="s">
        <v>2006</v>
      </c>
      <c r="B168" s="1429"/>
      <c r="C168" s="1429"/>
      <c r="D168" s="1429"/>
      <c r="E168" s="1429"/>
      <c r="F168" s="1429"/>
      <c r="G168" s="1429"/>
      <c r="H168" s="1429"/>
      <c r="I168" s="1429"/>
      <c r="J168" s="91"/>
      <c r="K168" s="91"/>
      <c r="L168" s="166"/>
      <c r="M168" s="299"/>
      <c r="N168" s="73"/>
      <c r="O168" s="73"/>
      <c r="P168" s="73"/>
      <c r="Q168" s="73"/>
    </row>
    <row r="169" spans="1:17" s="112" customFormat="1" ht="8.25">
      <c r="A169" s="195"/>
      <c r="B169" s="195"/>
      <c r="C169" s="195"/>
      <c r="D169" s="195"/>
      <c r="E169" s="195"/>
      <c r="F169" s="195"/>
      <c r="G169" s="196"/>
      <c r="H169" s="195"/>
      <c r="I169" s="195"/>
      <c r="J169" s="195"/>
      <c r="K169" s="195"/>
      <c r="L169" s="197"/>
      <c r="M169" s="304"/>
      <c r="N169" s="110"/>
      <c r="O169" s="110"/>
      <c r="P169" s="110"/>
      <c r="Q169" s="110"/>
    </row>
    <row r="170" spans="1:17" s="61" customFormat="1" ht="15.75">
      <c r="A170" s="60"/>
      <c r="B170" s="623" t="s">
        <v>81</v>
      </c>
      <c r="C170" s="624"/>
      <c r="D170" s="624"/>
      <c r="E170" s="624"/>
      <c r="F170" s="625" t="s">
        <v>178</v>
      </c>
      <c r="G170" s="626"/>
      <c r="H170" s="626"/>
      <c r="I170" s="626"/>
      <c r="L170" s="174"/>
      <c r="M170" s="302"/>
      <c r="N170" s="73"/>
      <c r="O170" s="73"/>
      <c r="P170" s="73"/>
      <c r="Q170" s="73"/>
    </row>
    <row r="171" spans="1:17" s="6" customFormat="1" ht="48">
      <c r="A171" s="50"/>
      <c r="B171" s="606" t="s">
        <v>126</v>
      </c>
      <c r="C171" s="607" t="s">
        <v>128</v>
      </c>
      <c r="D171" s="607" t="s">
        <v>570</v>
      </c>
      <c r="E171" s="607" t="s">
        <v>138</v>
      </c>
      <c r="F171" s="608" t="s">
        <v>126</v>
      </c>
      <c r="G171" s="607" t="s">
        <v>128</v>
      </c>
      <c r="H171" s="607" t="s">
        <v>570</v>
      </c>
      <c r="I171" s="607" t="s">
        <v>138</v>
      </c>
      <c r="L171" s="168"/>
      <c r="M171" s="301" t="s">
        <v>388</v>
      </c>
      <c r="N171" s="7"/>
      <c r="O171" s="7"/>
      <c r="P171" s="7"/>
      <c r="Q171" s="7"/>
    </row>
    <row r="172" spans="1:17" s="61" customFormat="1" ht="14.25">
      <c r="A172" s="73" t="s">
        <v>82</v>
      </c>
      <c r="B172" s="102">
        <f>IF($M172&gt;0,('Amounts Pivot Table'!G$631/$M172),0)</f>
        <v>4983.676248540025</v>
      </c>
      <c r="C172" s="102">
        <f>IF($M172&gt;0,('Amounts Pivot Table'!G$634/$M172),0)</f>
        <v>113.24949830390047</v>
      </c>
      <c r="D172" s="102">
        <f>IF($M172&gt;0,('Amounts Pivot Table'!G$640/$M172),0)</f>
        <v>6086.7526362936751</v>
      </c>
      <c r="E172" s="102">
        <f>SUM(B172:D172)</f>
        <v>11183.678383137601</v>
      </c>
      <c r="F172" s="114"/>
      <c r="G172" s="115"/>
      <c r="H172" s="115"/>
      <c r="I172" s="115"/>
      <c r="L172" s="169"/>
      <c r="M172" s="299">
        <f>+'[1]NEW-Tables 80-86'!F70</f>
        <v>120553.55833333333</v>
      </c>
      <c r="N172" s="73"/>
      <c r="O172" s="73"/>
      <c r="P172" s="73"/>
      <c r="Q172" s="73"/>
    </row>
    <row r="173" spans="1:17" s="61" customFormat="1" ht="9.75" customHeight="1">
      <c r="A173" s="73"/>
      <c r="B173" s="102"/>
      <c r="C173" s="102"/>
      <c r="D173" s="102"/>
      <c r="E173" s="102"/>
      <c r="F173" s="114"/>
      <c r="G173" s="115"/>
      <c r="H173" s="115"/>
      <c r="I173" s="115"/>
      <c r="L173" s="169"/>
      <c r="M173" s="299"/>
      <c r="N173" s="73"/>
      <c r="O173" s="73"/>
      <c r="P173" s="73"/>
      <c r="Q173" s="73"/>
    </row>
    <row r="174" spans="1:17" s="61" customFormat="1" ht="12.75" customHeight="1">
      <c r="A174" s="73" t="s">
        <v>452</v>
      </c>
      <c r="B174" s="75">
        <f>IF($M174&gt;0,('Amounts Pivot Table'!G$7/$M174),0)</f>
        <v>4461.1365911365911</v>
      </c>
      <c r="C174" s="75">
        <f>IF($M174&gt;0,('Amounts Pivot Table'!G$10/$M174),0)</f>
        <v>243.1854581854582</v>
      </c>
      <c r="D174" s="75">
        <f>IF($M174&gt;0,('Amounts Pivot Table'!G$16/$M174),0)</f>
        <v>5019.9722449722449</v>
      </c>
      <c r="E174" s="75">
        <f>SUM(B174:D174)</f>
        <v>9724.2942942942936</v>
      </c>
      <c r="F174" s="116">
        <f>IF(B174&gt;0,RANK(B174,$B$174:$B$192),)</f>
        <v>8</v>
      </c>
      <c r="G174" s="107">
        <f>IF(C174&gt;0,RANK(C174,$C$174:$C$192),)</f>
        <v>3</v>
      </c>
      <c r="H174" s="107">
        <f>IF(D174&gt;0,RANK(D174,$D$174:$D$192),)</f>
        <v>8</v>
      </c>
      <c r="I174" s="107">
        <f>IF(E174&gt;0,RANK(E174,$E$174:$E$192),)</f>
        <v>8</v>
      </c>
      <c r="L174" s="169"/>
      <c r="M174" s="299">
        <f>+'[1]NEW-Tables 80-86'!F72</f>
        <v>6593.4</v>
      </c>
      <c r="N174" s="73"/>
      <c r="O174" s="73"/>
      <c r="P174" s="73"/>
      <c r="Q174" s="73"/>
    </row>
    <row r="175" spans="1:17" s="61" customFormat="1" ht="12.75" customHeight="1">
      <c r="A175" s="73" t="s">
        <v>466</v>
      </c>
      <c r="B175" s="75">
        <f>IF($M175&gt;0,('Amounts Pivot Table'!G$46/$M175),0)</f>
        <v>5522.671185479895</v>
      </c>
      <c r="C175" s="75">
        <f>IF($M175&gt;0,('Amounts Pivot Table'!G$49/$M175),0)</f>
        <v>757.32839238897577</v>
      </c>
      <c r="D175" s="75">
        <f>IF($M175&gt;0,('Amounts Pivot Table'!G$55/$M175),0)</f>
        <v>5593.2031460830003</v>
      </c>
      <c r="E175" s="75">
        <f>SUM(B175:D175)</f>
        <v>11873.202723951872</v>
      </c>
      <c r="F175" s="116">
        <f t="shared" ref="F175:F192" si="33">IF(B175&gt;0,RANK(B175,$B$174:$B$192),)</f>
        <v>3</v>
      </c>
      <c r="G175" s="107">
        <f t="shared" ref="G175:G192" si="34">IF(C175&gt;0,RANK(C175,$C$174:$C$192),)</f>
        <v>1</v>
      </c>
      <c r="H175" s="107">
        <f t="shared" ref="H175:H192" si="35">IF(D175&gt;0,RANK(D175,$D$174:$D$192),)</f>
        <v>5</v>
      </c>
      <c r="I175" s="107">
        <f t="shared" ref="I175:I192" si="36">IF(E175&gt;0,RANK(E175,$E$174:$E$192),)</f>
        <v>4</v>
      </c>
      <c r="L175" s="169"/>
      <c r="M175" s="299">
        <f>+'[1]NEW-Tables 80-86'!F73</f>
        <v>5527.5083333333332</v>
      </c>
      <c r="N175" s="73"/>
      <c r="O175" s="73"/>
      <c r="P175" s="73"/>
      <c r="Q175" s="73"/>
    </row>
    <row r="176" spans="1:17" s="61" customFormat="1" ht="12.75" customHeight="1">
      <c r="A176" s="73" t="s">
        <v>453</v>
      </c>
      <c r="B176" s="75">
        <f>IF($M176&gt;0,('Amounts Pivot Table'!G$85/$M176),0)</f>
        <v>0</v>
      </c>
      <c r="C176" s="75">
        <f>IF($M176&gt;0,('Amounts Pivot Table'!G$88/$M176),0)</f>
        <v>0</v>
      </c>
      <c r="D176" s="75">
        <f>IF($M176&gt;0,('Amounts Pivot Table'!G$94/$M176),0)</f>
        <v>0</v>
      </c>
      <c r="E176" s="75">
        <f>SUM(B176:D176)</f>
        <v>0</v>
      </c>
      <c r="F176" s="116">
        <f t="shared" si="33"/>
        <v>0</v>
      </c>
      <c r="G176" s="107">
        <f t="shared" si="34"/>
        <v>0</v>
      </c>
      <c r="H176" s="107">
        <f t="shared" si="35"/>
        <v>0</v>
      </c>
      <c r="I176" s="107">
        <f t="shared" si="36"/>
        <v>0</v>
      </c>
      <c r="L176" s="169"/>
      <c r="M176" s="299">
        <f>+'[1]NEW-Tables 80-86'!F74</f>
        <v>0</v>
      </c>
      <c r="N176" s="73"/>
      <c r="O176" s="73"/>
      <c r="P176" s="73"/>
      <c r="Q176" s="73"/>
    </row>
    <row r="177" spans="1:17" s="61" customFormat="1" ht="12.75" customHeight="1">
      <c r="A177" s="73" t="s">
        <v>460</v>
      </c>
      <c r="B177" s="75">
        <f>IF($M177&gt;0,('Amounts Pivot Table'!G$124/$M177),0)</f>
        <v>0</v>
      </c>
      <c r="C177" s="75">
        <f>IF($M177&gt;0,('Amounts Pivot Table'!G$127/$M177),0)</f>
        <v>0</v>
      </c>
      <c r="D177" s="75">
        <f>IF($M177&gt;0,('Amounts Pivot Table'!G$133/$M177),0)</f>
        <v>0</v>
      </c>
      <c r="E177" s="75">
        <f>SUM(B177:D177)</f>
        <v>0</v>
      </c>
      <c r="F177" s="116">
        <f t="shared" si="33"/>
        <v>0</v>
      </c>
      <c r="G177" s="107">
        <f t="shared" si="34"/>
        <v>0</v>
      </c>
      <c r="H177" s="107">
        <f t="shared" si="35"/>
        <v>0</v>
      </c>
      <c r="I177" s="107">
        <f t="shared" si="36"/>
        <v>0</v>
      </c>
      <c r="L177" s="169"/>
      <c r="M177" s="299">
        <f>+'[1]NEW-Tables 80-86'!F75</f>
        <v>0</v>
      </c>
      <c r="N177" s="73"/>
      <c r="O177" s="73"/>
      <c r="P177" s="73"/>
      <c r="Q177" s="73"/>
    </row>
    <row r="178" spans="1:17" s="61" customFormat="1" ht="12.75" customHeight="1">
      <c r="A178" s="73"/>
      <c r="B178" s="75"/>
      <c r="C178" s="75"/>
      <c r="D178" s="75"/>
      <c r="E178" s="75"/>
      <c r="F178" s="116"/>
      <c r="G178" s="107"/>
      <c r="H178" s="107"/>
      <c r="I178" s="107"/>
      <c r="L178" s="169"/>
      <c r="M178" s="299">
        <f>+'[1]NEW-Tables 80-86'!F76</f>
        <v>0</v>
      </c>
      <c r="N178" s="73"/>
      <c r="O178" s="73"/>
      <c r="P178" s="73"/>
      <c r="Q178" s="73"/>
    </row>
    <row r="179" spans="1:17" s="61" customFormat="1" ht="12.75" customHeight="1">
      <c r="A179" s="73" t="s">
        <v>461</v>
      </c>
      <c r="B179" s="75">
        <f>IF($M179&gt;0,('Amounts Pivot Table'!G$163/$M179),0)</f>
        <v>4478.3449689600147</v>
      </c>
      <c r="C179" s="75">
        <f>IF($M179&gt;0,('Amounts Pivot Table'!G$166/$M179),0)</f>
        <v>0</v>
      </c>
      <c r="D179" s="75">
        <f>IF($M179&gt;0,('Amounts Pivot Table'!G$172/$M179),0)</f>
        <v>4688.9498118965257</v>
      </c>
      <c r="E179" s="75">
        <f>SUM(B179:D179)</f>
        <v>9167.2947808565405</v>
      </c>
      <c r="F179" s="116">
        <f t="shared" si="33"/>
        <v>7</v>
      </c>
      <c r="G179" s="107">
        <f t="shared" si="34"/>
        <v>0</v>
      </c>
      <c r="H179" s="107">
        <f t="shared" si="35"/>
        <v>10</v>
      </c>
      <c r="I179" s="107">
        <f t="shared" si="36"/>
        <v>10</v>
      </c>
      <c r="L179" s="169"/>
      <c r="M179" s="299">
        <f>+'[1]NEW-Tables 80-86'!F77</f>
        <v>21464.25</v>
      </c>
      <c r="N179" s="73"/>
      <c r="O179" s="73"/>
      <c r="P179" s="73"/>
      <c r="Q179" s="73"/>
    </row>
    <row r="180" spans="1:17" s="61" customFormat="1" ht="12.75" customHeight="1">
      <c r="A180" s="73" t="s">
        <v>454</v>
      </c>
      <c r="B180" s="75">
        <f>IF($M180&gt;0,('Amounts Pivot Table'!G$202/$M180),0)</f>
        <v>0</v>
      </c>
      <c r="C180" s="75">
        <f>IF($M180&gt;0,('Amounts Pivot Table'!G$205/$M180),0)</f>
        <v>0</v>
      </c>
      <c r="D180" s="75">
        <f>IF($M180&gt;0,('Amounts Pivot Table'!G$211/$M180),0)</f>
        <v>0</v>
      </c>
      <c r="E180" s="75">
        <f>SUM(B180:D180)</f>
        <v>0</v>
      </c>
      <c r="F180" s="116">
        <f t="shared" si="33"/>
        <v>0</v>
      </c>
      <c r="G180" s="107">
        <f t="shared" si="34"/>
        <v>0</v>
      </c>
      <c r="H180" s="107">
        <f t="shared" si="35"/>
        <v>0</v>
      </c>
      <c r="I180" s="107">
        <f t="shared" si="36"/>
        <v>0</v>
      </c>
      <c r="L180" s="169"/>
      <c r="M180" s="299">
        <f>+'[1]NEW-Tables 80-86'!F78</f>
        <v>0</v>
      </c>
      <c r="N180" s="73"/>
      <c r="O180" s="73"/>
      <c r="P180" s="73"/>
      <c r="Q180" s="73"/>
    </row>
    <row r="181" spans="1:17" s="61" customFormat="1" ht="12.75" customHeight="1">
      <c r="A181" s="73" t="s">
        <v>462</v>
      </c>
      <c r="B181" s="75">
        <f>IF($M181&gt;0,('Amounts Pivot Table'!G$241/$M181),0)</f>
        <v>0</v>
      </c>
      <c r="C181" s="75">
        <f>IF($M181&gt;0,('Amounts Pivot Table'!G$244/$M181),0)</f>
        <v>0</v>
      </c>
      <c r="D181" s="75">
        <f>IF($M181&gt;0,('Amounts Pivot Table'!G$250/$M181),0)</f>
        <v>0</v>
      </c>
      <c r="E181" s="75">
        <f>SUM(B181:D181)</f>
        <v>0</v>
      </c>
      <c r="F181" s="116">
        <f t="shared" si="33"/>
        <v>0</v>
      </c>
      <c r="G181" s="107">
        <f t="shared" si="34"/>
        <v>0</v>
      </c>
      <c r="H181" s="107">
        <f t="shared" si="35"/>
        <v>0</v>
      </c>
      <c r="I181" s="107">
        <f t="shared" si="36"/>
        <v>0</v>
      </c>
      <c r="L181" s="169"/>
      <c r="M181" s="299">
        <f>+'[1]NEW-Tables 80-86'!F79</f>
        <v>0</v>
      </c>
      <c r="N181" s="73"/>
      <c r="O181" s="73"/>
      <c r="P181" s="73"/>
      <c r="Q181" s="73"/>
    </row>
    <row r="182" spans="1:17" s="61" customFormat="1" ht="12.75" customHeight="1">
      <c r="A182" s="73" t="s">
        <v>465</v>
      </c>
      <c r="B182" s="75">
        <f>IF($M182&gt;0,('Amounts Pivot Table'!G$280/$M182),0)</f>
        <v>0</v>
      </c>
      <c r="C182" s="75">
        <f>IF($M182&gt;0,('Amounts Pivot Table'!G$283/$M182),0)</f>
        <v>0</v>
      </c>
      <c r="D182" s="75">
        <f>IF($M182&gt;0,('Amounts Pivot Table'!G$289/$M182),0)</f>
        <v>0</v>
      </c>
      <c r="E182" s="75">
        <f>SUM(B182:D182)</f>
        <v>0</v>
      </c>
      <c r="F182" s="116">
        <f t="shared" si="33"/>
        <v>0</v>
      </c>
      <c r="G182" s="107">
        <f t="shared" si="34"/>
        <v>0</v>
      </c>
      <c r="H182" s="107">
        <f t="shared" si="35"/>
        <v>0</v>
      </c>
      <c r="I182" s="107">
        <f t="shared" si="36"/>
        <v>0</v>
      </c>
      <c r="L182" s="169"/>
      <c r="M182" s="299">
        <f>+'[1]NEW-Tables 80-86'!F80</f>
        <v>0</v>
      </c>
      <c r="N182" s="73"/>
      <c r="O182" s="73"/>
      <c r="P182" s="73"/>
      <c r="Q182" s="73"/>
    </row>
    <row r="183" spans="1:17" s="61" customFormat="1" ht="9.75" customHeight="1">
      <c r="A183" s="73"/>
      <c r="B183" s="75"/>
      <c r="C183" s="75"/>
      <c r="D183" s="75"/>
      <c r="E183" s="75"/>
      <c r="F183" s="116"/>
      <c r="G183" s="107"/>
      <c r="H183" s="107"/>
      <c r="I183" s="107"/>
      <c r="L183" s="169"/>
      <c r="M183" s="299">
        <f>+'[1]NEW-Tables 80-86'!F81</f>
        <v>0</v>
      </c>
      <c r="N183" s="73"/>
      <c r="O183" s="73"/>
      <c r="P183" s="73"/>
      <c r="Q183" s="73"/>
    </row>
    <row r="184" spans="1:17" s="61" customFormat="1" ht="12.75" customHeight="1">
      <c r="A184" s="73" t="s">
        <v>455</v>
      </c>
      <c r="B184" s="75">
        <f>IF($M184&gt;0,('Amounts Pivot Table'!G$319/$M184),0)</f>
        <v>5284.4333414663461</v>
      </c>
      <c r="C184" s="75">
        <f>IF($M184&gt;0,('Amounts Pivot Table'!G$322/$M184),0)</f>
        <v>0</v>
      </c>
      <c r="D184" s="75">
        <f>IF($M184&gt;0,('Amounts Pivot Table'!G$328/$M184),0)</f>
        <v>5692.1408152191725</v>
      </c>
      <c r="E184" s="75">
        <f>SUM(B184:D184)</f>
        <v>10976.574156685518</v>
      </c>
      <c r="F184" s="116">
        <f t="shared" si="33"/>
        <v>4</v>
      </c>
      <c r="G184" s="107">
        <f t="shared" si="34"/>
        <v>0</v>
      </c>
      <c r="H184" s="107">
        <f t="shared" si="35"/>
        <v>4</v>
      </c>
      <c r="I184" s="107">
        <f t="shared" si="36"/>
        <v>5</v>
      </c>
      <c r="L184" s="169"/>
      <c r="M184" s="299">
        <f>+'[1]NEW-Tables 80-86'!F82</f>
        <v>2288.3416666666667</v>
      </c>
      <c r="N184" s="73"/>
      <c r="O184" s="73"/>
      <c r="P184" s="73"/>
      <c r="Q184" s="73"/>
    </row>
    <row r="185" spans="1:17" s="61" customFormat="1" ht="12.75" customHeight="1">
      <c r="A185" s="73" t="s">
        <v>456</v>
      </c>
      <c r="B185" s="75">
        <f>IF($M185&gt;0,('Amounts Pivot Table'!G$358/$M185),0)</f>
        <v>10191.204881764697</v>
      </c>
      <c r="C185" s="75">
        <f>IF($M185&gt;0,('Amounts Pivot Table'!G$361/$M185),0)</f>
        <v>0</v>
      </c>
      <c r="D185" s="75">
        <f>IF($M185&gt;0,('Amounts Pivot Table'!G$367/$M185),0)</f>
        <v>3540.3605406894767</v>
      </c>
      <c r="E185" s="75">
        <f>SUM(B185:D185)</f>
        <v>13731.565422454174</v>
      </c>
      <c r="F185" s="116">
        <f t="shared" si="33"/>
        <v>1</v>
      </c>
      <c r="G185" s="107">
        <f t="shared" si="34"/>
        <v>0</v>
      </c>
      <c r="H185" s="107">
        <f t="shared" si="35"/>
        <v>11</v>
      </c>
      <c r="I185" s="107">
        <f t="shared" si="36"/>
        <v>2</v>
      </c>
      <c r="L185" s="169"/>
      <c r="M185" s="299">
        <f>+'[1]NEW-Tables 80-86'!F83</f>
        <v>12339.8</v>
      </c>
      <c r="N185" s="73"/>
      <c r="O185" s="73"/>
      <c r="P185" s="73"/>
      <c r="Q185" s="73"/>
    </row>
    <row r="186" spans="1:17" s="61" customFormat="1" ht="12.75" customHeight="1">
      <c r="A186" s="73" t="s">
        <v>463</v>
      </c>
      <c r="B186" s="75">
        <f>IF($M186&gt;0,('Amounts Pivot Table'!G$397/$M186),0)</f>
        <v>4998.2237461192344</v>
      </c>
      <c r="C186" s="75">
        <f>IF($M186&gt;0,('Amounts Pivot Table'!G$400/$M186),0)</f>
        <v>0</v>
      </c>
      <c r="D186" s="75">
        <f>IF($M186&gt;0,('Amounts Pivot Table'!G$406/$M186),0)</f>
        <v>4915.4784451391315</v>
      </c>
      <c r="E186" s="75">
        <f>SUM(B186:D186)</f>
        <v>9913.7021912583659</v>
      </c>
      <c r="F186" s="116">
        <f t="shared" si="33"/>
        <v>5</v>
      </c>
      <c r="G186" s="107">
        <f t="shared" si="34"/>
        <v>0</v>
      </c>
      <c r="H186" s="107">
        <f t="shared" si="35"/>
        <v>9</v>
      </c>
      <c r="I186" s="107">
        <f t="shared" si="36"/>
        <v>7</v>
      </c>
      <c r="L186" s="169"/>
      <c r="M186" s="299">
        <f>+'[1]NEW-Tables 80-86'!F84</f>
        <v>21723.058333333334</v>
      </c>
      <c r="N186" s="73"/>
      <c r="O186" s="73"/>
      <c r="P186" s="73"/>
      <c r="Q186" s="73"/>
    </row>
    <row r="187" spans="1:17" s="61" customFormat="1" ht="12.75" customHeight="1">
      <c r="A187" s="73" t="s">
        <v>457</v>
      </c>
      <c r="B187" s="75">
        <f>IF($M187&gt;0,('Amounts Pivot Table'!G$436/$M187),0)</f>
        <v>1962.9437427960074</v>
      </c>
      <c r="C187" s="75">
        <f>IF($M187&gt;0,('Amounts Pivot Table'!G$439/$M187),0)</f>
        <v>410.79305866736036</v>
      </c>
      <c r="D187" s="75">
        <f>IF($M187&gt;0,('Amounts Pivot Table'!G$445/$M187),0)</f>
        <v>10959.174398052131</v>
      </c>
      <c r="E187" s="75">
        <f>SUM(B187:D187)</f>
        <v>13332.9111995155</v>
      </c>
      <c r="F187" s="116">
        <f t="shared" si="33"/>
        <v>11</v>
      </c>
      <c r="G187" s="107">
        <f t="shared" si="34"/>
        <v>2</v>
      </c>
      <c r="H187" s="107">
        <f t="shared" si="35"/>
        <v>1</v>
      </c>
      <c r="I187" s="107">
        <f t="shared" si="36"/>
        <v>3</v>
      </c>
      <c r="L187" s="169"/>
      <c r="M187" s="299">
        <f>+'[1]NEW-Tables 80-86'!F85</f>
        <v>16209.183333333334</v>
      </c>
      <c r="N187" s="73"/>
      <c r="O187" s="73"/>
      <c r="P187" s="73"/>
      <c r="Q187" s="73"/>
    </row>
    <row r="188" spans="1:17" s="61" customFormat="1" ht="9.75" customHeight="1">
      <c r="A188" s="73"/>
      <c r="B188" s="75"/>
      <c r="C188" s="75"/>
      <c r="D188" s="75"/>
      <c r="E188" s="75"/>
      <c r="F188" s="116"/>
      <c r="G188" s="107"/>
      <c r="H188" s="107"/>
      <c r="I188" s="107"/>
      <c r="L188" s="169"/>
      <c r="M188" s="299">
        <f>+'[1]NEW-Tables 80-86'!F86</f>
        <v>0</v>
      </c>
      <c r="N188" s="73"/>
      <c r="O188" s="73"/>
      <c r="P188" s="73"/>
      <c r="Q188" s="73"/>
    </row>
    <row r="189" spans="1:17" s="61" customFormat="1" ht="12.75" customHeight="1">
      <c r="A189" s="73" t="s">
        <v>130</v>
      </c>
      <c r="B189" s="75">
        <f>IF($M189&gt;0,('Amounts Pivot Table'!G$475/$M189),0)</f>
        <v>4770.642286177861</v>
      </c>
      <c r="C189" s="75">
        <f>IF($M189&gt;0,('Amounts Pivot Table'!G$478/$M189),0)</f>
        <v>0</v>
      </c>
      <c r="D189" s="75">
        <f>IF($M189&gt;0,('Amounts Pivot Table'!G$484/$M189),0)</f>
        <v>6081.0257713866595</v>
      </c>
      <c r="E189" s="75">
        <f>SUM(B189:D189)</f>
        <v>10851.66805756452</v>
      </c>
      <c r="F189" s="116">
        <f t="shared" si="33"/>
        <v>6</v>
      </c>
      <c r="G189" s="107">
        <f t="shared" si="34"/>
        <v>0</v>
      </c>
      <c r="H189" s="107">
        <f t="shared" si="35"/>
        <v>3</v>
      </c>
      <c r="I189" s="107">
        <f t="shared" si="36"/>
        <v>6</v>
      </c>
      <c r="L189" s="169"/>
      <c r="M189" s="299">
        <f>+'[1]NEW-Tables 80-86'!F87</f>
        <v>7146.4916666666668</v>
      </c>
      <c r="N189" s="73"/>
      <c r="O189" s="73"/>
      <c r="P189" s="73"/>
      <c r="Q189" s="73"/>
    </row>
    <row r="190" spans="1:17" s="76" customFormat="1" ht="12.75" customHeight="1">
      <c r="A190" s="73" t="s">
        <v>458</v>
      </c>
      <c r="B190" s="75">
        <f>IF($M190&gt;0,('Amounts Pivot Table'!G$514/$M190),0)</f>
        <v>4208.3576595256545</v>
      </c>
      <c r="C190" s="75">
        <f>IF($M190&gt;0,('Amounts Pivot Table'!G$517/$M190),0)</f>
        <v>111.94975174557277</v>
      </c>
      <c r="D190" s="75">
        <f>IF($M190&gt;0,('Amounts Pivot Table'!G$523/$M190),0)</f>
        <v>5338.1148593369207</v>
      </c>
      <c r="E190" s="75">
        <f>SUM(B190:D190)</f>
        <v>9658.4222706081491</v>
      </c>
      <c r="F190" s="116">
        <f t="shared" si="33"/>
        <v>9</v>
      </c>
      <c r="G190" s="107">
        <f t="shared" si="34"/>
        <v>4</v>
      </c>
      <c r="H190" s="107">
        <f t="shared" si="35"/>
        <v>7</v>
      </c>
      <c r="I190" s="107">
        <f t="shared" si="36"/>
        <v>9</v>
      </c>
      <c r="J190" s="61"/>
      <c r="K190" s="61"/>
      <c r="L190" s="170"/>
      <c r="M190" s="299">
        <f>+'[1]NEW-Tables 80-86'!F88</f>
        <v>9625.5416666666661</v>
      </c>
      <c r="N190" s="90"/>
      <c r="O190" s="90"/>
      <c r="P190" s="90"/>
      <c r="Q190" s="90"/>
    </row>
    <row r="191" spans="1:17" s="61" customFormat="1" ht="12.75" customHeight="1">
      <c r="A191" s="73" t="s">
        <v>459</v>
      </c>
      <c r="B191" s="75">
        <f>IF($M191&gt;0,('Amounts Pivot Table'!G$553/$M191),0)</f>
        <v>6864.9455603431879</v>
      </c>
      <c r="C191" s="75">
        <f>IF($M191&gt;0,('Amounts Pivot Table'!G$556/$M191),0)</f>
        <v>2.7859075406958458</v>
      </c>
      <c r="D191" s="75">
        <f>IF($M191&gt;0,('Amounts Pivot Table'!G$562/$M191),0)</f>
        <v>9326.7741523066434</v>
      </c>
      <c r="E191" s="75">
        <f>SUM(B191:D191)</f>
        <v>16194.505620190528</v>
      </c>
      <c r="F191" s="116">
        <f t="shared" si="33"/>
        <v>2</v>
      </c>
      <c r="G191" s="107">
        <f t="shared" si="34"/>
        <v>6</v>
      </c>
      <c r="H191" s="107">
        <f t="shared" si="35"/>
        <v>2</v>
      </c>
      <c r="I191" s="107">
        <f t="shared" si="36"/>
        <v>1</v>
      </c>
      <c r="J191" s="76"/>
      <c r="K191" s="76"/>
      <c r="L191" s="171"/>
      <c r="M191" s="299">
        <f>+'[1]NEW-Tables 80-86'!F89</f>
        <v>9646.7666666666682</v>
      </c>
      <c r="N191" s="73"/>
      <c r="O191" s="73"/>
      <c r="P191" s="73"/>
      <c r="Q191" s="73"/>
    </row>
    <row r="192" spans="1:17" s="61" customFormat="1" ht="15.75" customHeight="1">
      <c r="A192" s="74" t="s">
        <v>464</v>
      </c>
      <c r="B192" s="104">
        <f>IF($M192&gt;0,('Amounts Pivot Table'!G$592/$M192),0)</f>
        <v>3212.4394757099672</v>
      </c>
      <c r="C192" s="104">
        <f>IF($M192&gt;0,('Amounts Pivot Table'!G$595/$M192),0)</f>
        <v>12.51687169997893</v>
      </c>
      <c r="D192" s="104">
        <f>IF($M192&gt;0,('Amounts Pivot Table'!G$601/$M192),0)</f>
        <v>5404.1442110511452</v>
      </c>
      <c r="E192" s="105">
        <f>SUM(B192:D192)</f>
        <v>8629.1005584610903</v>
      </c>
      <c r="F192" s="117">
        <f t="shared" si="33"/>
        <v>10</v>
      </c>
      <c r="G192" s="118">
        <f t="shared" si="34"/>
        <v>5</v>
      </c>
      <c r="H192" s="118">
        <f t="shared" si="35"/>
        <v>6</v>
      </c>
      <c r="I192" s="118">
        <f t="shared" si="36"/>
        <v>11</v>
      </c>
      <c r="J192" s="76"/>
      <c r="K192" s="76"/>
      <c r="L192" s="172"/>
      <c r="M192" s="299">
        <f>+'[1]NEW-Tables 80-86'!F90</f>
        <v>7989.2166666666672</v>
      </c>
      <c r="N192" s="73"/>
      <c r="O192" s="73"/>
      <c r="P192" s="73"/>
      <c r="Q192" s="73"/>
    </row>
    <row r="193" spans="1:17" s="76" customFormat="1" ht="36.75" customHeight="1">
      <c r="A193" s="1405" t="s">
        <v>25</v>
      </c>
      <c r="B193" s="1443"/>
      <c r="C193" s="1443"/>
      <c r="D193" s="1443"/>
      <c r="E193" s="1443"/>
      <c r="F193" s="1443"/>
      <c r="G193" s="1444"/>
      <c r="H193" s="1444"/>
      <c r="I193" s="1444"/>
      <c r="L193" s="170"/>
      <c r="M193" s="303"/>
      <c r="N193" s="90"/>
      <c r="O193" s="90"/>
      <c r="P193" s="90"/>
      <c r="Q193" s="90"/>
    </row>
    <row r="194" spans="1:17" s="76" customFormat="1" ht="18">
      <c r="A194" s="1405" t="s">
        <v>80</v>
      </c>
      <c r="B194" s="1449"/>
      <c r="C194" s="1449"/>
      <c r="D194" s="1449"/>
      <c r="E194" s="1449"/>
      <c r="F194" s="1449"/>
      <c r="G194" s="1449"/>
      <c r="H194" s="1449"/>
      <c r="I194" s="1449"/>
      <c r="J194" s="106"/>
      <c r="L194" s="170"/>
      <c r="M194" s="299"/>
      <c r="N194" s="90"/>
      <c r="O194" s="90"/>
      <c r="P194" s="90"/>
      <c r="Q194" s="90"/>
    </row>
    <row r="195" spans="1:17" s="61" customFormat="1">
      <c r="A195" s="1405" t="s">
        <v>332</v>
      </c>
      <c r="B195" s="1443"/>
      <c r="C195" s="1443"/>
      <c r="D195" s="1443"/>
      <c r="E195" s="1443"/>
      <c r="F195" s="1443"/>
      <c r="G195" s="1444"/>
      <c r="H195" s="1444"/>
      <c r="I195" s="1444"/>
      <c r="J195" s="1444"/>
      <c r="K195" s="1444"/>
      <c r="L195" s="172"/>
      <c r="M195" s="299"/>
      <c r="N195" s="73"/>
      <c r="O195" s="73"/>
      <c r="P195" s="73"/>
      <c r="Q195" s="73"/>
    </row>
    <row r="196" spans="1:17" s="61" customFormat="1">
      <c r="A196" s="188"/>
      <c r="B196" s="106"/>
      <c r="C196" s="106"/>
      <c r="D196" s="106"/>
      <c r="E196" s="106"/>
      <c r="F196" s="106"/>
      <c r="G196" s="189"/>
      <c r="H196" s="189"/>
      <c r="I196" s="189"/>
      <c r="J196" s="189"/>
      <c r="K196" s="189"/>
      <c r="L196" s="172"/>
      <c r="M196" s="299"/>
      <c r="N196" s="73"/>
      <c r="O196" s="73"/>
      <c r="P196" s="73"/>
      <c r="Q196" s="73"/>
    </row>
    <row r="197" spans="1:17" s="61" customFormat="1">
      <c r="A197" s="188"/>
      <c r="B197" s="106"/>
      <c r="C197" s="106"/>
      <c r="D197" s="106"/>
      <c r="E197" s="106"/>
      <c r="F197" s="106"/>
      <c r="G197" s="189"/>
      <c r="H197" s="189"/>
      <c r="I197" s="1393" t="s">
        <v>2023</v>
      </c>
      <c r="J197" s="189"/>
      <c r="K197" s="189"/>
      <c r="L197" s="172"/>
      <c r="M197" s="299"/>
      <c r="N197" s="73"/>
      <c r="O197" s="73"/>
      <c r="P197" s="73"/>
      <c r="Q197" s="73"/>
    </row>
    <row r="198" spans="1:17" s="61" customFormat="1" ht="18">
      <c r="A198" s="135" t="s">
        <v>535</v>
      </c>
      <c r="B198" s="135"/>
      <c r="C198" s="135"/>
      <c r="D198" s="135"/>
      <c r="E198" s="135"/>
      <c r="F198" s="135"/>
      <c r="G198" s="135"/>
      <c r="H198" s="135"/>
      <c r="I198" s="135"/>
      <c r="J198" s="622" t="s">
        <v>131</v>
      </c>
      <c r="K198" s="101"/>
      <c r="L198" s="171"/>
      <c r="M198" s="299"/>
      <c r="N198" s="73"/>
      <c r="O198" s="73"/>
      <c r="P198" s="73"/>
      <c r="Q198" s="73"/>
    </row>
    <row r="199" spans="1:17" s="61" customFormat="1" ht="12" customHeight="1">
      <c r="A199" s="135"/>
      <c r="B199" s="135"/>
      <c r="C199" s="135"/>
      <c r="D199" s="135"/>
      <c r="E199" s="135"/>
      <c r="F199" s="135"/>
      <c r="G199" s="135"/>
      <c r="H199" s="135"/>
      <c r="I199" s="135"/>
      <c r="J199" s="622"/>
      <c r="K199" s="101"/>
      <c r="L199" s="171"/>
      <c r="M199" s="299"/>
      <c r="N199" s="73"/>
      <c r="O199" s="73"/>
      <c r="P199" s="73"/>
      <c r="Q199" s="73"/>
    </row>
    <row r="200" spans="1:17" s="61" customFormat="1" ht="18.75">
      <c r="A200" s="1429" t="s">
        <v>26</v>
      </c>
      <c r="B200" s="1429"/>
      <c r="C200" s="1429"/>
      <c r="D200" s="1429"/>
      <c r="E200" s="1429"/>
      <c r="F200" s="1429"/>
      <c r="G200" s="1429"/>
      <c r="H200" s="1429"/>
      <c r="I200" s="1429"/>
      <c r="J200" s="101"/>
      <c r="K200" s="101"/>
      <c r="L200" s="166"/>
      <c r="M200" s="299"/>
      <c r="N200" s="73"/>
      <c r="O200" s="73"/>
      <c r="P200" s="73"/>
      <c r="Q200" s="73"/>
    </row>
    <row r="201" spans="1:17" s="61" customFormat="1" ht="15.75">
      <c r="A201" s="1429" t="s">
        <v>2005</v>
      </c>
      <c r="B201" s="1429"/>
      <c r="C201" s="1429"/>
      <c r="D201" s="1429"/>
      <c r="E201" s="1429"/>
      <c r="F201" s="1429"/>
      <c r="G201" s="1429"/>
      <c r="H201" s="1429"/>
      <c r="I201" s="1429"/>
      <c r="J201" s="91"/>
      <c r="K201" s="91"/>
      <c r="L201" s="166"/>
      <c r="M201" s="299"/>
      <c r="N201" s="73"/>
      <c r="O201" s="73"/>
      <c r="P201" s="73"/>
      <c r="Q201" s="73"/>
    </row>
    <row r="202" spans="1:17" s="61" customFormat="1" ht="15.75" customHeight="1">
      <c r="A202" s="91"/>
      <c r="B202" s="91"/>
      <c r="C202" s="91"/>
      <c r="D202" s="91"/>
      <c r="E202" s="91"/>
      <c r="F202" s="91"/>
      <c r="G202" s="108"/>
      <c r="H202" s="91"/>
      <c r="I202" s="91"/>
      <c r="J202" s="91"/>
      <c r="K202" s="91"/>
      <c r="L202" s="166"/>
      <c r="M202" s="302"/>
      <c r="N202" s="73"/>
      <c r="O202" s="73"/>
      <c r="P202" s="73"/>
      <c r="Q202" s="73"/>
    </row>
    <row r="203" spans="1:17" s="61" customFormat="1" ht="15.75">
      <c r="A203" s="60"/>
      <c r="B203" s="623" t="s">
        <v>81</v>
      </c>
      <c r="C203" s="624"/>
      <c r="D203" s="624"/>
      <c r="E203" s="624"/>
      <c r="F203" s="625" t="s">
        <v>178</v>
      </c>
      <c r="G203" s="626"/>
      <c r="H203" s="626"/>
      <c r="I203" s="626"/>
      <c r="L203" s="174"/>
      <c r="M203" s="301"/>
      <c r="N203" s="73"/>
      <c r="O203" s="73"/>
      <c r="P203" s="73"/>
      <c r="Q203" s="73"/>
    </row>
    <row r="204" spans="1:17" s="6" customFormat="1" ht="48">
      <c r="A204" s="50"/>
      <c r="B204" s="606" t="s">
        <v>126</v>
      </c>
      <c r="C204" s="607" t="s">
        <v>128</v>
      </c>
      <c r="D204" s="607" t="s">
        <v>570</v>
      </c>
      <c r="E204" s="607" t="s">
        <v>138</v>
      </c>
      <c r="F204" s="608" t="s">
        <v>126</v>
      </c>
      <c r="G204" s="607" t="s">
        <v>128</v>
      </c>
      <c r="H204" s="607" t="s">
        <v>570</v>
      </c>
      <c r="I204" s="607" t="s">
        <v>138</v>
      </c>
      <c r="L204" s="168"/>
      <c r="M204" s="300" t="s">
        <v>388</v>
      </c>
      <c r="N204" s="7"/>
      <c r="O204" s="7"/>
      <c r="P204" s="7"/>
      <c r="Q204" s="7"/>
    </row>
    <row r="205" spans="1:17" s="61" customFormat="1" ht="14.25">
      <c r="A205" s="73" t="s">
        <v>82</v>
      </c>
      <c r="B205" s="102">
        <f>IF($M205&gt;0,('Amounts Pivot Table'!H$631/$M205),0)</f>
        <v>4924.8267466082507</v>
      </c>
      <c r="C205" s="102">
        <f>IF($M205&gt;0,('Amounts Pivot Table'!H$634/$M205),0)</f>
        <v>38.828051626386419</v>
      </c>
      <c r="D205" s="102">
        <f>IF($M205&gt;0,('Amounts Pivot Table'!H$640/$M205),0)</f>
        <v>5754.4254205263851</v>
      </c>
      <c r="E205" s="102">
        <f>SUM(B205:D205)</f>
        <v>10718.080218761022</v>
      </c>
      <c r="F205" s="114"/>
      <c r="G205" s="115"/>
      <c r="H205" s="115"/>
      <c r="I205" s="115"/>
      <c r="L205" s="169"/>
      <c r="M205" s="299">
        <f>+'[1]NEW-Tables 80-86'!G70</f>
        <v>67161.263333333336</v>
      </c>
      <c r="N205" s="73"/>
      <c r="O205" s="73"/>
      <c r="P205" s="73"/>
      <c r="Q205" s="73"/>
    </row>
    <row r="206" spans="1:17" s="112" customFormat="1">
      <c r="A206" s="110"/>
      <c r="B206" s="111"/>
      <c r="C206" s="111"/>
      <c r="D206" s="111"/>
      <c r="E206" s="111"/>
      <c r="F206" s="119"/>
      <c r="G206" s="120"/>
      <c r="H206" s="120"/>
      <c r="I206" s="120"/>
      <c r="L206" s="176"/>
      <c r="M206" s="299"/>
      <c r="N206" s="110"/>
      <c r="O206" s="110"/>
      <c r="P206" s="110"/>
      <c r="Q206" s="110"/>
    </row>
    <row r="207" spans="1:17" s="61" customFormat="1" ht="12.75" customHeight="1">
      <c r="A207" s="73" t="s">
        <v>452</v>
      </c>
      <c r="B207" s="75">
        <f>IF($M207&gt;0,('Amounts Pivot Table'!H$7/$M207),0)</f>
        <v>3635.3491422805246</v>
      </c>
      <c r="C207" s="75">
        <f>IF($M207&gt;0,('Amounts Pivot Table'!H$10/$M207),0)</f>
        <v>75.192061890346451</v>
      </c>
      <c r="D207" s="75">
        <f>IF($M207&gt;0,('Amounts Pivot Table'!H$16/$M207),0)</f>
        <v>5112.9566094853681</v>
      </c>
      <c r="E207" s="75">
        <f>SUM(B207:D207)</f>
        <v>8823.4978136562386</v>
      </c>
      <c r="F207" s="116">
        <f>IF(B207&gt;0,RANK(B207,$B$207:$B$225),)</f>
        <v>10</v>
      </c>
      <c r="G207" s="107">
        <f>IF(C207&gt;0,RANK(C207,$C$207:$C$225),)</f>
        <v>3</v>
      </c>
      <c r="H207" s="107">
        <f>IF(D207&gt;0,RANK(D207,$D$207:$D$225),)</f>
        <v>6</v>
      </c>
      <c r="I207" s="107">
        <f>IF(E207&gt;0,RANK(E207,$E$207:$E$225),)</f>
        <v>10</v>
      </c>
      <c r="L207" s="169"/>
      <c r="M207" s="299">
        <f>+'[1]NEW-Tables 80-86'!G72</f>
        <v>2973</v>
      </c>
      <c r="N207" s="73"/>
      <c r="O207" s="73"/>
      <c r="P207" s="73"/>
      <c r="Q207" s="73"/>
    </row>
    <row r="208" spans="1:17" s="61" customFormat="1" ht="12.75" customHeight="1">
      <c r="A208" s="73" t="s">
        <v>466</v>
      </c>
      <c r="B208" s="75">
        <f>IF($M208&gt;0,('Amounts Pivot Table'!H$46/$M208),0)</f>
        <v>5215.0952017482396</v>
      </c>
      <c r="C208" s="75">
        <f>IF($M208&gt;0,('Amounts Pivot Table'!H$49/$M208),0)</f>
        <v>0</v>
      </c>
      <c r="D208" s="75">
        <f>IF($M208&gt;0,('Amounts Pivot Table'!H$55/$M208),0)</f>
        <v>4583.2172021873912</v>
      </c>
      <c r="E208" s="75">
        <f>SUM(B208:D208)</f>
        <v>9798.3124039356298</v>
      </c>
      <c r="F208" s="116">
        <f>IF(B208&gt;0,RANK(B208,$B$207:$B$225),)</f>
        <v>6</v>
      </c>
      <c r="G208" s="107">
        <f t="shared" ref="G208:G225" si="37">IF(C208&gt;0,RANK(C208,$C$207:$C$225),)</f>
        <v>0</v>
      </c>
      <c r="H208" s="107">
        <f t="shared" ref="H208:H225" si="38">IF(D208&gt;0,RANK(D208,$D$207:$D$225),)</f>
        <v>8</v>
      </c>
      <c r="I208" s="107">
        <f t="shared" ref="I208:I225" si="39">IF(E208&gt;0,RANK(E208,$E$207:$E$225),)</f>
        <v>7</v>
      </c>
      <c r="L208" s="169"/>
      <c r="M208" s="299">
        <f>+'[1]NEW-Tables 80-86'!G73</f>
        <v>9563.9000000000015</v>
      </c>
      <c r="N208" s="73"/>
      <c r="O208" s="73"/>
      <c r="P208" s="73"/>
      <c r="Q208" s="73"/>
    </row>
    <row r="209" spans="1:17" s="61" customFormat="1" ht="12.75" customHeight="1">
      <c r="A209" s="73" t="s">
        <v>453</v>
      </c>
      <c r="B209" s="75">
        <f>IF($M209&gt;0,('Amounts Pivot Table'!H$85/$M209),0)</f>
        <v>0</v>
      </c>
      <c r="C209" s="75">
        <f>IF($M209&gt;0,('Amounts Pivot Table'!H$88/$M209),0)</f>
        <v>0</v>
      </c>
      <c r="D209" s="75">
        <f>IF($M209&gt;0,('Amounts Pivot Table'!H$94/$M209),0)</f>
        <v>0</v>
      </c>
      <c r="E209" s="75">
        <f>SUM(B209:D209)</f>
        <v>0</v>
      </c>
      <c r="F209" s="116">
        <f>IF(B209&gt;0,RANK(B209,$B$207:$B$225),)</f>
        <v>0</v>
      </c>
      <c r="G209" s="107">
        <f t="shared" si="37"/>
        <v>0</v>
      </c>
      <c r="H209" s="107">
        <f t="shared" si="38"/>
        <v>0</v>
      </c>
      <c r="I209" s="107">
        <f t="shared" si="39"/>
        <v>0</v>
      </c>
      <c r="L209" s="169"/>
      <c r="M209" s="299">
        <f>+'[1]NEW-Tables 80-86'!G74</f>
        <v>0</v>
      </c>
      <c r="N209" s="73"/>
      <c r="O209" s="73"/>
      <c r="P209" s="73"/>
      <c r="Q209" s="73"/>
    </row>
    <row r="210" spans="1:17" s="61" customFormat="1" ht="12.75" customHeight="1">
      <c r="A210" s="73" t="s">
        <v>460</v>
      </c>
      <c r="B210" s="75">
        <f>IF($M210&gt;0,('Amounts Pivot Table'!H$124/$M210),0)</f>
        <v>17475.354407514453</v>
      </c>
      <c r="C210" s="75">
        <f>IF($M210&gt;0,('Amounts Pivot Table'!H$127/$M210),0)</f>
        <v>838.05021676300578</v>
      </c>
      <c r="D210" s="75">
        <f>IF($M210&gt;0,('Amounts Pivot Table'!H$133/$M210),0)</f>
        <v>5498.7864884393066</v>
      </c>
      <c r="E210" s="75">
        <f>SUM(B210:D210)</f>
        <v>23812.191112716766</v>
      </c>
      <c r="F210" s="116">
        <f>IF(B210&gt;0,RANK(B210,$B$207:$B$225),)</f>
        <v>1</v>
      </c>
      <c r="G210" s="107">
        <f t="shared" si="37"/>
        <v>1</v>
      </c>
      <c r="H210" s="107">
        <f t="shared" si="38"/>
        <v>4</v>
      </c>
      <c r="I210" s="107">
        <f t="shared" si="39"/>
        <v>1</v>
      </c>
      <c r="L210" s="169"/>
      <c r="M210" s="299">
        <f>+'[1]NEW-Tables 80-86'!G75</f>
        <v>922.66666666666663</v>
      </c>
      <c r="N210" s="73"/>
      <c r="O210" s="73"/>
      <c r="P210" s="73"/>
      <c r="Q210" s="73"/>
    </row>
    <row r="211" spans="1:17" s="112" customFormat="1">
      <c r="A211" s="110"/>
      <c r="B211" s="111"/>
      <c r="C211" s="111"/>
      <c r="D211" s="111"/>
      <c r="E211" s="111"/>
      <c r="F211" s="119"/>
      <c r="G211" s="120"/>
      <c r="H211" s="120"/>
      <c r="I211" s="120"/>
      <c r="L211" s="176"/>
      <c r="M211" s="299">
        <f>+'[1]NEW-Tables 80-86'!G76</f>
        <v>0</v>
      </c>
      <c r="N211" s="110"/>
      <c r="O211" s="110"/>
      <c r="P211" s="110"/>
      <c r="Q211" s="110"/>
    </row>
    <row r="212" spans="1:17" s="61" customFormat="1" ht="12.75" customHeight="1">
      <c r="A212" s="73" t="s">
        <v>461</v>
      </c>
      <c r="B212" s="75">
        <f>IF($M212&gt;0,('Amounts Pivot Table'!H$163/$M212),0)</f>
        <v>3717.2573467169268</v>
      </c>
      <c r="C212" s="75">
        <f>IF($M212&gt;0,('Amounts Pivot Table'!H$166/$M212),0)</f>
        <v>0</v>
      </c>
      <c r="D212" s="75">
        <f>IF($M212&gt;0,('Amounts Pivot Table'!H$172/$M212),0)</f>
        <v>3734.8315514514147</v>
      </c>
      <c r="E212" s="75">
        <f>SUM(B212:D212)</f>
        <v>7452.088898168342</v>
      </c>
      <c r="F212" s="116">
        <f t="shared" ref="F212:F225" si="40">IF(B212&gt;0,RANK(B212,$B$207:$B$225),)</f>
        <v>9</v>
      </c>
      <c r="G212" s="107">
        <f t="shared" si="37"/>
        <v>0</v>
      </c>
      <c r="H212" s="107">
        <f t="shared" si="38"/>
        <v>11</v>
      </c>
      <c r="I212" s="107">
        <f t="shared" si="39"/>
        <v>11</v>
      </c>
      <c r="L212" s="169"/>
      <c r="M212" s="299">
        <f>+'[1]NEW-Tables 80-86'!G77</f>
        <v>11015.975</v>
      </c>
      <c r="N212" s="73"/>
      <c r="O212" s="73"/>
      <c r="P212" s="73"/>
      <c r="Q212" s="73"/>
    </row>
    <row r="213" spans="1:17" s="61" customFormat="1" ht="12.75" customHeight="1">
      <c r="A213" s="73" t="s">
        <v>454</v>
      </c>
      <c r="B213" s="75">
        <f>IF($M213&gt;0,('Amounts Pivot Table'!H$202/$M213),0)</f>
        <v>0</v>
      </c>
      <c r="C213" s="75">
        <f>IF($M213&gt;0,('Amounts Pivot Table'!H$205/$M213),0)</f>
        <v>0</v>
      </c>
      <c r="D213" s="75">
        <f>IF($M213&gt;0,('Amounts Pivot Table'!H$211/$M213),0)</f>
        <v>0</v>
      </c>
      <c r="E213" s="75">
        <f>SUM(B213:D213)</f>
        <v>0</v>
      </c>
      <c r="F213" s="116">
        <f t="shared" si="40"/>
        <v>0</v>
      </c>
      <c r="G213" s="107">
        <f t="shared" si="37"/>
        <v>0</v>
      </c>
      <c r="H213" s="107">
        <f t="shared" si="38"/>
        <v>0</v>
      </c>
      <c r="I213" s="107">
        <f t="shared" si="39"/>
        <v>0</v>
      </c>
      <c r="L213" s="169"/>
      <c r="M213" s="299">
        <f>+'[1]NEW-Tables 80-86'!G78</f>
        <v>0</v>
      </c>
      <c r="N213" s="73"/>
      <c r="O213" s="73"/>
      <c r="P213" s="73"/>
      <c r="Q213" s="73"/>
    </row>
    <row r="214" spans="1:17" s="61" customFormat="1" ht="12.75" customHeight="1">
      <c r="A214" s="73" t="s">
        <v>462</v>
      </c>
      <c r="B214" s="75">
        <f>IF($M214&gt;0,('Amounts Pivot Table'!H$241/$M214),0)</f>
        <v>0</v>
      </c>
      <c r="C214" s="75">
        <f>IF($M214&gt;0,('Amounts Pivot Table'!H$244/$M214),0)</f>
        <v>0</v>
      </c>
      <c r="D214" s="75">
        <f>IF($M214&gt;0,('Amounts Pivot Table'!H$250/$M214),0)</f>
        <v>0</v>
      </c>
      <c r="E214" s="75">
        <f>SUM(B214:D214)</f>
        <v>0</v>
      </c>
      <c r="F214" s="116">
        <f t="shared" si="40"/>
        <v>0</v>
      </c>
      <c r="G214" s="107">
        <f t="shared" si="37"/>
        <v>0</v>
      </c>
      <c r="H214" s="107">
        <f t="shared" si="38"/>
        <v>0</v>
      </c>
      <c r="I214" s="107">
        <f t="shared" si="39"/>
        <v>0</v>
      </c>
      <c r="L214" s="169"/>
      <c r="M214" s="299">
        <f>+'[1]NEW-Tables 80-86'!G79</f>
        <v>0</v>
      </c>
      <c r="N214" s="73"/>
      <c r="O214" s="73"/>
      <c r="P214" s="73"/>
      <c r="Q214" s="73"/>
    </row>
    <row r="215" spans="1:17" s="61" customFormat="1" ht="12.75" customHeight="1">
      <c r="A215" s="73" t="s">
        <v>465</v>
      </c>
      <c r="B215" s="75">
        <f>IF($M215&gt;0,('Amounts Pivot Table'!H$280/$M215),0)</f>
        <v>8053.4291614148951</v>
      </c>
      <c r="C215" s="75">
        <f>IF($M215&gt;0,('Amounts Pivot Table'!H$283/$M215),0)</f>
        <v>0</v>
      </c>
      <c r="D215" s="75">
        <f>IF($M215&gt;0,('Amounts Pivot Table'!H$289/$M215),0)</f>
        <v>13180.100144431717</v>
      </c>
      <c r="E215" s="75">
        <f>SUM(B215:D215)</f>
        <v>21233.529305846612</v>
      </c>
      <c r="F215" s="116">
        <f t="shared" si="40"/>
        <v>4</v>
      </c>
      <c r="G215" s="107">
        <f t="shared" si="37"/>
        <v>0</v>
      </c>
      <c r="H215" s="107">
        <f t="shared" si="38"/>
        <v>1</v>
      </c>
      <c r="I215" s="107">
        <f t="shared" si="39"/>
        <v>2</v>
      </c>
      <c r="L215" s="169"/>
      <c r="M215" s="299">
        <f>+'[1]NEW-Tables 80-86'!G80</f>
        <v>2175.1916666666666</v>
      </c>
      <c r="N215" s="73"/>
      <c r="O215" s="73"/>
      <c r="P215" s="73"/>
      <c r="Q215" s="73"/>
    </row>
    <row r="216" spans="1:17" s="112" customFormat="1">
      <c r="A216" s="110"/>
      <c r="B216" s="111"/>
      <c r="C216" s="111"/>
      <c r="D216" s="111"/>
      <c r="E216" s="111"/>
      <c r="F216" s="119"/>
      <c r="G216" s="120"/>
      <c r="H216" s="120"/>
      <c r="I216" s="120"/>
      <c r="L216" s="176"/>
      <c r="M216" s="299">
        <f>+'[1]NEW-Tables 80-86'!G81</f>
        <v>0</v>
      </c>
      <c r="N216" s="110"/>
      <c r="O216" s="110"/>
      <c r="P216" s="110"/>
      <c r="Q216" s="110"/>
    </row>
    <row r="217" spans="1:17" s="61" customFormat="1" ht="12.75" customHeight="1">
      <c r="A217" s="73" t="s">
        <v>455</v>
      </c>
      <c r="B217" s="75">
        <f>IF($M217&gt;0,('Amounts Pivot Table'!H$319/$M217),0)</f>
        <v>0</v>
      </c>
      <c r="C217" s="75">
        <f>IF($M217&gt;0,('Amounts Pivot Table'!H$322/$M217),0)</f>
        <v>0</v>
      </c>
      <c r="D217" s="75">
        <f>IF($M217&gt;0,('Amounts Pivot Table'!H$328/$M217),0)</f>
        <v>0</v>
      </c>
      <c r="E217" s="75">
        <f>SUM(B217:D217)</f>
        <v>0</v>
      </c>
      <c r="F217" s="116">
        <f t="shared" si="40"/>
        <v>0</v>
      </c>
      <c r="G217" s="107">
        <f t="shared" si="37"/>
        <v>0</v>
      </c>
      <c r="H217" s="107">
        <f t="shared" si="38"/>
        <v>0</v>
      </c>
      <c r="I217" s="107">
        <f t="shared" si="39"/>
        <v>0</v>
      </c>
      <c r="L217" s="169"/>
      <c r="M217" s="299">
        <f>+'[1]NEW-Tables 80-86'!G82</f>
        <v>0</v>
      </c>
      <c r="N217" s="73"/>
      <c r="O217" s="73"/>
      <c r="P217" s="73"/>
      <c r="Q217" s="73"/>
    </row>
    <row r="218" spans="1:17" s="61" customFormat="1" ht="12.75" customHeight="1">
      <c r="A218" s="73" t="s">
        <v>456</v>
      </c>
      <c r="B218" s="75">
        <f>IF($M218&gt;0,('Amounts Pivot Table'!H$358/$M218),0)</f>
        <v>10422.852949701526</v>
      </c>
      <c r="C218" s="75">
        <f>IF($M218&gt;0,('Amounts Pivot Table'!H$361/$M218),0)</f>
        <v>0</v>
      </c>
      <c r="D218" s="75">
        <f>IF($M218&gt;0,('Amounts Pivot Table'!H$367/$M218),0)</f>
        <v>4401.9765696947015</v>
      </c>
      <c r="E218" s="75">
        <f>SUM(B218:D218)</f>
        <v>14824.829519396228</v>
      </c>
      <c r="F218" s="116">
        <f t="shared" si="40"/>
        <v>2</v>
      </c>
      <c r="G218" s="107">
        <f t="shared" si="37"/>
        <v>0</v>
      </c>
      <c r="H218" s="107">
        <f t="shared" si="38"/>
        <v>9</v>
      </c>
      <c r="I218" s="107">
        <f t="shared" si="39"/>
        <v>4</v>
      </c>
      <c r="L218" s="169"/>
      <c r="M218" s="299">
        <f>+'[1]NEW-Tables 80-86'!G83</f>
        <v>6813.8249999999998</v>
      </c>
      <c r="N218" s="73"/>
      <c r="O218" s="73"/>
      <c r="P218" s="73"/>
      <c r="Q218" s="73"/>
    </row>
    <row r="219" spans="1:17" s="61" customFormat="1" ht="12.75" customHeight="1">
      <c r="A219" s="73" t="s">
        <v>463</v>
      </c>
      <c r="B219" s="75">
        <f>IF($M219&gt;0,('Amounts Pivot Table'!H$397/$M219),0)</f>
        <v>4935.6510698748116</v>
      </c>
      <c r="C219" s="75">
        <f>IF($M219&gt;0,('Amounts Pivot Table'!H$400/$M219),0)</f>
        <v>0</v>
      </c>
      <c r="D219" s="75">
        <f>IF($M219&gt;0,('Amounts Pivot Table'!H$406/$M219),0)</f>
        <v>4712.5462132646717</v>
      </c>
      <c r="E219" s="75">
        <f>SUM(B219:D219)</f>
        <v>9648.1972831394833</v>
      </c>
      <c r="F219" s="116">
        <f t="shared" si="40"/>
        <v>7</v>
      </c>
      <c r="G219" s="107">
        <f t="shared" si="37"/>
        <v>0</v>
      </c>
      <c r="H219" s="107">
        <f t="shared" si="38"/>
        <v>7</v>
      </c>
      <c r="I219" s="107">
        <f t="shared" si="39"/>
        <v>8</v>
      </c>
      <c r="L219" s="169"/>
      <c r="M219" s="299">
        <f>+'[1]NEW-Tables 80-86'!G84</f>
        <v>5631.5</v>
      </c>
      <c r="N219" s="73"/>
      <c r="O219" s="73"/>
      <c r="P219" s="73"/>
      <c r="Q219" s="73"/>
    </row>
    <row r="220" spans="1:17" s="61" customFormat="1" ht="12.75" customHeight="1">
      <c r="A220" s="73" t="s">
        <v>457</v>
      </c>
      <c r="B220" s="75">
        <f>IF($M220&gt;0,('Amounts Pivot Table'!H$436/$M220),0)</f>
        <v>1783.6128725633116</v>
      </c>
      <c r="C220" s="75">
        <f>IF($M220&gt;0,('Amounts Pivot Table'!H$439/$M220),0)</f>
        <v>86.811975408591465</v>
      </c>
      <c r="D220" s="75">
        <f>IF($M220&gt;0,('Amounts Pivot Table'!H$445/$M220),0)</f>
        <v>8855.1094309508844</v>
      </c>
      <c r="E220" s="75">
        <f>SUM(B220:D220)</f>
        <v>10725.534278922787</v>
      </c>
      <c r="F220" s="116">
        <f t="shared" si="40"/>
        <v>11</v>
      </c>
      <c r="G220" s="107">
        <f t="shared" si="37"/>
        <v>2</v>
      </c>
      <c r="H220" s="107">
        <f t="shared" si="38"/>
        <v>3</v>
      </c>
      <c r="I220" s="107">
        <f t="shared" si="39"/>
        <v>5</v>
      </c>
      <c r="L220" s="169"/>
      <c r="M220" s="299">
        <f>+'[1]NEW-Tables 80-86'!G85</f>
        <v>12238.691666666668</v>
      </c>
      <c r="N220" s="73"/>
      <c r="O220" s="73"/>
      <c r="P220" s="73"/>
      <c r="Q220" s="73"/>
    </row>
    <row r="221" spans="1:17" s="112" customFormat="1">
      <c r="A221" s="110"/>
      <c r="B221" s="111"/>
      <c r="C221" s="111"/>
      <c r="D221" s="111"/>
      <c r="E221" s="111"/>
      <c r="F221" s="119"/>
      <c r="G221" s="120"/>
      <c r="H221" s="120"/>
      <c r="I221" s="120"/>
      <c r="L221" s="176"/>
      <c r="M221" s="299">
        <f>+'[1]NEW-Tables 80-86'!G86</f>
        <v>0</v>
      </c>
      <c r="N221" s="110"/>
      <c r="O221" s="110"/>
      <c r="P221" s="110"/>
      <c r="Q221" s="110"/>
    </row>
    <row r="222" spans="1:17" s="61" customFormat="1" ht="12.75" customHeight="1">
      <c r="A222" s="73" t="s">
        <v>130</v>
      </c>
      <c r="B222" s="75">
        <f>IF($M222&gt;0,('Amounts Pivot Table'!H$475/$M222),0)</f>
        <v>0</v>
      </c>
      <c r="C222" s="75">
        <f>IF($M222&gt;0,('Amounts Pivot Table'!H$478/$M222),0)</f>
        <v>0</v>
      </c>
      <c r="D222" s="75">
        <f>IF($M222&gt;0,('Amounts Pivot Table'!H$484/$M222),0)</f>
        <v>0</v>
      </c>
      <c r="E222" s="75">
        <f>SUM(B222:D222)</f>
        <v>0</v>
      </c>
      <c r="F222" s="116">
        <f t="shared" si="40"/>
        <v>0</v>
      </c>
      <c r="G222" s="107">
        <f t="shared" si="37"/>
        <v>0</v>
      </c>
      <c r="H222" s="107">
        <f t="shared" si="38"/>
        <v>0</v>
      </c>
      <c r="I222" s="107">
        <f t="shared" si="39"/>
        <v>0</v>
      </c>
      <c r="L222" s="169"/>
      <c r="M222" s="299">
        <f>+'[1]NEW-Tables 80-86'!G87</f>
        <v>0</v>
      </c>
      <c r="N222" s="73"/>
      <c r="O222" s="73"/>
      <c r="P222" s="73"/>
      <c r="Q222" s="73"/>
    </row>
    <row r="223" spans="1:17" s="76" customFormat="1" ht="12.75" customHeight="1">
      <c r="A223" s="73" t="s">
        <v>458</v>
      </c>
      <c r="B223" s="75">
        <f>IF($M223&gt;0,('Amounts Pivot Table'!H$514/$M223),0)</f>
        <v>8498.1981626779179</v>
      </c>
      <c r="C223" s="75">
        <f>IF($M223&gt;0,('Amounts Pivot Table'!H$517/$M223),0)</f>
        <v>28.677009817450617</v>
      </c>
      <c r="D223" s="75">
        <f>IF($M223&gt;0,('Amounts Pivot Table'!H$523/$M223),0)</f>
        <v>8890.5224145408665</v>
      </c>
      <c r="E223" s="75">
        <f>SUM(B223:D223)</f>
        <v>17417.397587036234</v>
      </c>
      <c r="F223" s="116">
        <f t="shared" si="40"/>
        <v>3</v>
      </c>
      <c r="G223" s="107">
        <f t="shared" si="37"/>
        <v>5</v>
      </c>
      <c r="H223" s="107">
        <f t="shared" si="38"/>
        <v>2</v>
      </c>
      <c r="I223" s="107">
        <f t="shared" si="39"/>
        <v>3</v>
      </c>
      <c r="J223" s="61"/>
      <c r="K223" s="61"/>
      <c r="L223" s="170"/>
      <c r="M223" s="299">
        <f>+'[1]NEW-Tables 80-86'!G88</f>
        <v>1690.8666666666666</v>
      </c>
      <c r="N223" s="90"/>
      <c r="O223" s="90"/>
      <c r="P223" s="90"/>
      <c r="Q223" s="90"/>
    </row>
    <row r="224" spans="1:17" s="61" customFormat="1" ht="12.75" customHeight="1">
      <c r="A224" s="73" t="s">
        <v>459</v>
      </c>
      <c r="B224" s="75">
        <f>IF($M224&gt;0,('Amounts Pivot Table'!H$553/$M224),0)</f>
        <v>6814.0679723502308</v>
      </c>
      <c r="C224" s="75">
        <f>IF($M224&gt;0,('Amounts Pivot Table'!H$556/$M224),0)</f>
        <v>0</v>
      </c>
      <c r="D224" s="75">
        <f>IF($M224&gt;0,('Amounts Pivot Table'!H$562/$M224),0)</f>
        <v>3875.1877880184334</v>
      </c>
      <c r="E224" s="75">
        <f>SUM(B224:D224)</f>
        <v>10689.255760368664</v>
      </c>
      <c r="F224" s="116">
        <f t="shared" si="40"/>
        <v>5</v>
      </c>
      <c r="G224" s="107">
        <f t="shared" si="37"/>
        <v>0</v>
      </c>
      <c r="H224" s="107">
        <f t="shared" si="38"/>
        <v>10</v>
      </c>
      <c r="I224" s="107">
        <f t="shared" si="39"/>
        <v>6</v>
      </c>
      <c r="L224" s="171"/>
      <c r="M224" s="299">
        <f>+'[1]NEW-Tables 80-86'!G89</f>
        <v>1736</v>
      </c>
      <c r="N224" s="73"/>
      <c r="O224" s="73"/>
      <c r="P224" s="73"/>
      <c r="Q224" s="73"/>
    </row>
    <row r="225" spans="1:30" s="61" customFormat="1" ht="15" customHeight="1">
      <c r="A225" s="74" t="s">
        <v>464</v>
      </c>
      <c r="B225" s="104">
        <f>IF($M225&gt;0,('Amounts Pivot Table'!H$592/$M225),0)</f>
        <v>3922.6848399443643</v>
      </c>
      <c r="C225" s="104">
        <f>IF($M225&gt;0,('Amounts Pivot Table'!H$595/$M225),0)</f>
        <v>40.323729654662209</v>
      </c>
      <c r="D225" s="104">
        <f>IF($M225&gt;0,('Amounts Pivot Table'!H$601/$M225),0)</f>
        <v>5313.5915700823734</v>
      </c>
      <c r="E225" s="105">
        <f>SUM(B225:D225)</f>
        <v>9276.600139681399</v>
      </c>
      <c r="F225" s="117">
        <f t="shared" si="40"/>
        <v>8</v>
      </c>
      <c r="G225" s="118">
        <f t="shared" si="37"/>
        <v>4</v>
      </c>
      <c r="H225" s="118">
        <f t="shared" si="38"/>
        <v>5</v>
      </c>
      <c r="I225" s="118">
        <f t="shared" si="39"/>
        <v>9</v>
      </c>
      <c r="L225" s="171"/>
      <c r="M225" s="299">
        <f>+'[1]NEW-Tables 80-86'!G90</f>
        <v>12399.646666666666</v>
      </c>
      <c r="N225" s="73"/>
      <c r="O225" s="73"/>
      <c r="P225" s="73"/>
      <c r="Q225" s="73"/>
    </row>
    <row r="226" spans="1:30" s="76" customFormat="1" ht="36" customHeight="1">
      <c r="A226" s="1405" t="s">
        <v>25</v>
      </c>
      <c r="B226" s="1443"/>
      <c r="C226" s="1443"/>
      <c r="D226" s="1443"/>
      <c r="E226" s="1443"/>
      <c r="F226" s="1443"/>
      <c r="G226" s="1444"/>
      <c r="H226" s="1444"/>
      <c r="I226" s="1444"/>
      <c r="J226" s="61"/>
      <c r="K226" s="61"/>
      <c r="L226" s="170"/>
      <c r="M226" s="303"/>
      <c r="N226" s="90"/>
      <c r="O226" s="90"/>
      <c r="P226" s="90"/>
      <c r="Q226" s="90"/>
    </row>
    <row r="227" spans="1:30" s="76" customFormat="1" ht="18">
      <c r="A227" s="1405" t="s">
        <v>80</v>
      </c>
      <c r="B227" s="1449"/>
      <c r="C227" s="1449"/>
      <c r="D227" s="1449"/>
      <c r="E227" s="1449"/>
      <c r="F227" s="1449"/>
      <c r="G227" s="1449"/>
      <c r="H227" s="1449"/>
      <c r="I227" s="1449"/>
      <c r="J227" s="106"/>
      <c r="L227" s="170"/>
      <c r="M227" s="299"/>
      <c r="N227" s="90"/>
      <c r="O227" s="90"/>
      <c r="P227" s="90"/>
      <c r="Q227" s="90"/>
    </row>
    <row r="228" spans="1:30" s="61" customFormat="1">
      <c r="A228" s="190" t="s">
        <v>332</v>
      </c>
      <c r="B228" s="73"/>
      <c r="C228" s="73"/>
      <c r="D228" s="73"/>
      <c r="E228" s="73"/>
      <c r="F228" s="73"/>
      <c r="L228" s="172"/>
      <c r="M228" s="299"/>
      <c r="N228" s="73"/>
      <c r="O228" s="73"/>
      <c r="P228" s="73"/>
      <c r="Q228" s="73"/>
    </row>
    <row r="229" spans="1:30" s="61" customFormat="1">
      <c r="A229" s="188"/>
      <c r="B229" s="106"/>
      <c r="C229" s="106"/>
      <c r="D229" s="106"/>
      <c r="E229" s="106"/>
      <c r="F229" s="106"/>
      <c r="G229" s="189"/>
      <c r="H229" s="189"/>
      <c r="I229" s="1393" t="s">
        <v>2023</v>
      </c>
      <c r="J229" s="189"/>
      <c r="K229" s="189"/>
      <c r="L229" s="172"/>
      <c r="M229" s="299"/>
      <c r="N229" s="73"/>
      <c r="O229" s="73"/>
      <c r="P229" s="73"/>
      <c r="Q229" s="73"/>
    </row>
    <row r="230" spans="1:30" s="61" customFormat="1" ht="18">
      <c r="A230" s="135" t="s">
        <v>536</v>
      </c>
      <c r="B230" s="135"/>
      <c r="C230" s="135"/>
      <c r="D230" s="135"/>
      <c r="E230" s="135"/>
      <c r="F230" s="135"/>
      <c r="G230" s="135"/>
      <c r="H230" s="135"/>
      <c r="I230" s="135"/>
      <c r="J230" s="622"/>
      <c r="K230" s="135"/>
      <c r="L230" s="171"/>
      <c r="M230" s="299"/>
      <c r="N230" s="73"/>
      <c r="O230" s="73"/>
      <c r="P230" s="73"/>
      <c r="Q230" s="73"/>
    </row>
    <row r="231" spans="1:30" s="61" customFormat="1" ht="18">
      <c r="A231" s="135"/>
      <c r="B231" s="135"/>
      <c r="C231" s="135"/>
      <c r="D231" s="135"/>
      <c r="E231" s="135"/>
      <c r="F231" s="135"/>
      <c r="G231" s="135"/>
      <c r="H231" s="135"/>
      <c r="I231" s="135"/>
      <c r="J231" s="622"/>
      <c r="K231" s="135"/>
      <c r="L231" s="171"/>
      <c r="M231" s="299"/>
      <c r="N231" s="73"/>
      <c r="O231" s="73"/>
      <c r="P231" s="73"/>
      <c r="Q231" s="73"/>
    </row>
    <row r="232" spans="1:30" s="61" customFormat="1" ht="18.75">
      <c r="A232" s="1429" t="s">
        <v>26</v>
      </c>
      <c r="B232" s="1429"/>
      <c r="C232" s="1429"/>
      <c r="D232" s="1429"/>
      <c r="E232" s="1429"/>
      <c r="F232" s="1429"/>
      <c r="G232" s="1429"/>
      <c r="H232" s="1429"/>
      <c r="I232" s="1429"/>
      <c r="J232" s="1429"/>
      <c r="K232" s="1429"/>
      <c r="L232" s="166"/>
      <c r="M232" s="299"/>
      <c r="O232" s="73"/>
      <c r="P232" s="73"/>
      <c r="Q232" s="73"/>
    </row>
    <row r="233" spans="1:30" s="61" customFormat="1" ht="15.75">
      <c r="A233" s="1429" t="s">
        <v>2004</v>
      </c>
      <c r="B233" s="1429"/>
      <c r="C233" s="1429"/>
      <c r="D233" s="1429"/>
      <c r="E233" s="1429"/>
      <c r="F233" s="1429"/>
      <c r="G233" s="1429"/>
      <c r="H233" s="1429"/>
      <c r="I233" s="1429"/>
      <c r="J233" s="1429"/>
      <c r="K233" s="1429"/>
      <c r="L233" s="166"/>
      <c r="M233" s="299"/>
      <c r="N233" s="73"/>
      <c r="O233" s="73"/>
      <c r="P233" s="73"/>
      <c r="Q233" s="73"/>
    </row>
    <row r="234" spans="1:30" s="61" customFormat="1" ht="6.75" customHeight="1">
      <c r="A234" s="91"/>
      <c r="B234" s="91"/>
      <c r="C234" s="91"/>
      <c r="D234" s="91"/>
      <c r="E234" s="91"/>
      <c r="F234" s="91"/>
      <c r="G234" s="108"/>
      <c r="H234" s="91"/>
      <c r="I234" s="91"/>
      <c r="J234" s="91"/>
      <c r="K234" s="91"/>
      <c r="L234" s="166"/>
      <c r="M234" s="299"/>
      <c r="N234" s="73"/>
      <c r="O234" s="73"/>
      <c r="P234" s="73"/>
      <c r="Q234" s="73"/>
    </row>
    <row r="235" spans="1:30" s="61" customFormat="1" ht="15" customHeight="1">
      <c r="A235" s="60"/>
      <c r="B235" s="1451" t="s">
        <v>81</v>
      </c>
      <c r="C235" s="1452"/>
      <c r="D235" s="1452"/>
      <c r="E235" s="1452"/>
      <c r="F235" s="1452"/>
      <c r="G235" s="625" t="s">
        <v>178</v>
      </c>
      <c r="H235" s="626"/>
      <c r="I235" s="626"/>
      <c r="J235" s="626"/>
      <c r="K235" s="626"/>
      <c r="L235" s="174"/>
      <c r="M235" s="299"/>
      <c r="N235" s="73"/>
      <c r="O235" s="530" t="s">
        <v>556</v>
      </c>
      <c r="P235" s="530"/>
      <c r="Q235" s="531"/>
      <c r="R235" s="530" t="s">
        <v>557</v>
      </c>
      <c r="S235" s="530"/>
      <c r="T235" s="531"/>
      <c r="U235" s="530" t="s">
        <v>559</v>
      </c>
      <c r="V235" s="530"/>
      <c r="W235" s="531"/>
      <c r="Y235" s="540" t="s">
        <v>2021</v>
      </c>
    </row>
    <row r="236" spans="1:30" s="6" customFormat="1" ht="48">
      <c r="A236" s="50"/>
      <c r="B236" s="606" t="s">
        <v>126</v>
      </c>
      <c r="C236" s="607" t="s">
        <v>128</v>
      </c>
      <c r="D236" s="607" t="s">
        <v>127</v>
      </c>
      <c r="E236" s="607" t="s">
        <v>570</v>
      </c>
      <c r="F236" s="607" t="s">
        <v>138</v>
      </c>
      <c r="G236" s="608" t="s">
        <v>126</v>
      </c>
      <c r="H236" s="607" t="s">
        <v>128</v>
      </c>
      <c r="I236" s="607" t="s">
        <v>127</v>
      </c>
      <c r="J236" s="607" t="s">
        <v>570</v>
      </c>
      <c r="K236" s="607" t="s">
        <v>138</v>
      </c>
      <c r="L236" s="168"/>
      <c r="M236" s="301" t="s">
        <v>552</v>
      </c>
      <c r="N236" s="496" t="s">
        <v>553</v>
      </c>
      <c r="O236" s="532" t="s">
        <v>558</v>
      </c>
      <c r="P236" s="533" t="s">
        <v>555</v>
      </c>
      <c r="Q236" s="533" t="s">
        <v>138</v>
      </c>
      <c r="R236" s="532" t="s">
        <v>558</v>
      </c>
      <c r="S236" s="533" t="s">
        <v>555</v>
      </c>
      <c r="T236" s="533" t="s">
        <v>138</v>
      </c>
      <c r="U236" s="532" t="s">
        <v>558</v>
      </c>
      <c r="V236" s="533" t="s">
        <v>555</v>
      </c>
      <c r="W236" s="533" t="s">
        <v>138</v>
      </c>
      <c r="Y236" s="317"/>
      <c r="Z236" s="51" t="s">
        <v>126</v>
      </c>
      <c r="AA236" s="52" t="s">
        <v>128</v>
      </c>
      <c r="AB236" s="52" t="s">
        <v>127</v>
      </c>
      <c r="AC236" s="52" t="s">
        <v>438</v>
      </c>
      <c r="AD236" s="52" t="s">
        <v>138</v>
      </c>
    </row>
    <row r="237" spans="1:30" s="61" customFormat="1" ht="14.25">
      <c r="A237" s="73" t="s">
        <v>82</v>
      </c>
      <c r="B237" s="102">
        <f>IF($M237&gt;0,('Amounts Pivot Table'!O$631/$M237),0)</f>
        <v>2806.713232492064</v>
      </c>
      <c r="C237" s="102">
        <f>IF($M237&gt;0,('Amounts Pivot Table'!O$634/$M237),0)</f>
        <v>69.932963555016059</v>
      </c>
      <c r="D237" s="102">
        <f>IF($M237&gt;0,('Amounts Pivot Table'!O$637/$M237),0)</f>
        <v>1105.7306138616989</v>
      </c>
      <c r="E237" s="102">
        <f>IF($M237&gt;0,('Amounts Pivot Table'!O$640/$M237),0)</f>
        <v>2775.4030630779162</v>
      </c>
      <c r="F237" s="102">
        <f>SUM(B237:E237)</f>
        <v>6757.7798729866954</v>
      </c>
      <c r="G237" s="114"/>
      <c r="H237" s="115"/>
      <c r="I237" s="115"/>
      <c r="J237" s="115"/>
      <c r="K237" s="115"/>
      <c r="L237" s="169"/>
      <c r="M237" s="299">
        <f>+'[1]NEW-Tables 80-86'!AQ163</f>
        <v>1891038.6072222223</v>
      </c>
      <c r="N237" s="526">
        <f>+'[1]NEW-Tables 80-86'!AI163</f>
        <v>1715661.4627777778</v>
      </c>
      <c r="O237" s="638">
        <f>+B237+C237+D237</f>
        <v>3982.3768099087793</v>
      </c>
      <c r="P237" s="641">
        <f>+E237</f>
        <v>2775.4030630779162</v>
      </c>
      <c r="Q237" s="631">
        <f>+F237</f>
        <v>6757.7798729866954</v>
      </c>
      <c r="R237" s="537">
        <f>IF($N237&gt;0,(('Amounts Pivot Table'!O$630+'Amounts Pivot Table'!O$633++'Amounts Pivot Table'!O$636)/$N237),0)</f>
        <v>4350.0260827194861</v>
      </c>
      <c r="S237" s="538">
        <f>IF($N237&gt;0,('Amounts Pivot Table'!O$639/$N237),0)</f>
        <v>2703.2937377347453</v>
      </c>
      <c r="T237" s="538">
        <f>+S237+R237</f>
        <v>7053.3198204542314</v>
      </c>
      <c r="U237" s="635">
        <f>(O237-R237)/R237</f>
        <v>-8.4516567445697993E-2</v>
      </c>
      <c r="V237" s="639">
        <f>(P237-S237)/S237</f>
        <v>2.6674617092701032E-2</v>
      </c>
      <c r="W237" s="629">
        <f>(Q237-T237)/T237</f>
        <v>-4.1900828969996043E-2</v>
      </c>
      <c r="Y237" s="73" t="s">
        <v>82</v>
      </c>
      <c r="Z237" s="61">
        <f>B237*$M237</f>
        <v>5307603082.0439739</v>
      </c>
      <c r="AA237" s="61">
        <f>C237*$M237</f>
        <v>132245934</v>
      </c>
      <c r="AB237" s="61">
        <f>D237*$M237</f>
        <v>2090979280</v>
      </c>
      <c r="AC237" s="61">
        <f>E237*$M237</f>
        <v>5248394342.883152</v>
      </c>
      <c r="AD237" s="61">
        <f>F237*$M237</f>
        <v>12779222638.927126</v>
      </c>
    </row>
    <row r="238" spans="1:30" s="61" customFormat="1" ht="12.75" customHeight="1">
      <c r="A238" s="73"/>
      <c r="B238" s="102"/>
      <c r="C238" s="102"/>
      <c r="D238" s="102"/>
      <c r="E238" s="102"/>
      <c r="F238" s="102"/>
      <c r="G238" s="114"/>
      <c r="H238" s="115"/>
      <c r="I238" s="115"/>
      <c r="J238" s="115"/>
      <c r="K238" s="115"/>
      <c r="L238" s="169"/>
      <c r="M238" s="299"/>
      <c r="N238" s="526"/>
      <c r="O238" s="638">
        <f t="shared" ref="O238:O257" si="41">+B238+C238+D238</f>
        <v>0</v>
      </c>
      <c r="P238" s="641">
        <f t="shared" ref="P238:P257" si="42">+E238</f>
        <v>0</v>
      </c>
      <c r="Q238" s="631">
        <f t="shared" ref="Q238:Q257" si="43">+F238</f>
        <v>0</v>
      </c>
      <c r="R238" s="534"/>
      <c r="S238" s="536"/>
      <c r="T238" s="538">
        <f t="shared" ref="T238:T257" si="44">+S238+R238</f>
        <v>0</v>
      </c>
      <c r="U238" s="636"/>
      <c r="V238" s="640"/>
      <c r="W238" s="630"/>
      <c r="Y238" s="73"/>
    </row>
    <row r="239" spans="1:30" s="61" customFormat="1" ht="12.75" customHeight="1">
      <c r="A239" s="73" t="s">
        <v>452</v>
      </c>
      <c r="B239" s="75">
        <f>IF($M239&gt;0,('Amounts Pivot Table'!O$7/$M239),0)</f>
        <v>3240.4400586450938</v>
      </c>
      <c r="C239" s="75">
        <f>IF($M239&gt;0,('Amounts Pivot Table'!O$10/$M239),0)</f>
        <v>199.37148866387903</v>
      </c>
      <c r="D239" s="75">
        <f>IF($M239&gt;0,('Amounts Pivot Table'!O$13/$M239),0)</f>
        <v>19.741422160826215</v>
      </c>
      <c r="E239" s="75">
        <f>IF($M239&gt;0,('Amounts Pivot Table'!O$16/$M239),0)</f>
        <v>2941.4959037473554</v>
      </c>
      <c r="F239" s="75">
        <f t="shared" ref="F239:F257" si="45">SUM(B239:E239)</f>
        <v>6401.0488732171543</v>
      </c>
      <c r="G239" s="116">
        <f>IF(B239&gt;0,RANK(B239,$B$239:$B$257),)</f>
        <v>5</v>
      </c>
      <c r="H239" s="107">
        <f>IF(C239&gt;0,RANK(C239,$C$239:$C$257),)</f>
        <v>3</v>
      </c>
      <c r="I239" s="107">
        <f>IF(D239&gt;0,RANK(D239,$D$239:$D$257),)</f>
        <v>9</v>
      </c>
      <c r="J239" s="107">
        <f>IF(E239&gt;0,RANK(E239,$E$239:$E$257),)</f>
        <v>9</v>
      </c>
      <c r="K239" s="107">
        <f>IF(F239&gt;0,RANK(F239,$F$239:$F$257),)</f>
        <v>8</v>
      </c>
      <c r="L239" s="169"/>
      <c r="M239" s="299">
        <f>+'[1]NEW-Tables 80-86'!AQ165</f>
        <v>77119.266666666677</v>
      </c>
      <c r="N239" s="526">
        <f>+'[1]NEW-Tables 80-86'!AI165</f>
        <v>69548.733333333323</v>
      </c>
      <c r="O239" s="638">
        <f t="shared" si="41"/>
        <v>3459.5529694697989</v>
      </c>
      <c r="P239" s="641">
        <f t="shared" si="42"/>
        <v>2941.4959037473554</v>
      </c>
      <c r="Q239" s="631">
        <f t="shared" si="43"/>
        <v>6401.0488732171543</v>
      </c>
      <c r="R239" s="539">
        <f>IF($N239&gt;0,(('Amounts Pivot Table'!O$6+'Amounts Pivot Table'!O$9++'Amounts Pivot Table'!O$12)/$N239),0)</f>
        <v>3852.9081627654859</v>
      </c>
      <c r="S239" s="538">
        <f>IF($N239&gt;0,('Amounts Pivot Table'!O$15/$N239),0)</f>
        <v>3177.9444144681288</v>
      </c>
      <c r="T239" s="538">
        <f t="shared" si="44"/>
        <v>7030.8525772336143</v>
      </c>
      <c r="U239" s="637">
        <f t="shared" ref="U239:U257" si="46">(O239-R239)/R239</f>
        <v>-0.10209306235146548</v>
      </c>
      <c r="V239" s="639">
        <f>(P239-S239)/S239</f>
        <v>-7.4402972451091828E-2</v>
      </c>
      <c r="W239" s="629">
        <f t="shared" ref="W239:W257" si="47">(Q239-T239)/T239</f>
        <v>-8.9577145459685467E-2</v>
      </c>
      <c r="Y239" s="73" t="s">
        <v>452</v>
      </c>
      <c r="Z239" s="61">
        <f t="shared" ref="Z239:Z257" si="48">B239*$M239</f>
        <v>249900361</v>
      </c>
      <c r="AA239" s="61">
        <f t="shared" ref="AA239:AA257" si="49">C239*$M239</f>
        <v>15375383</v>
      </c>
      <c r="AB239" s="61">
        <f t="shared" ref="AB239:AB257" si="50">D239*$M239</f>
        <v>1522444</v>
      </c>
      <c r="AC239" s="61">
        <f t="shared" ref="AC239:AC257" si="51">E239*$M239</f>
        <v>226846007</v>
      </c>
      <c r="AD239" s="61">
        <f t="shared" ref="AD239:AD257" si="52">F239*$M239</f>
        <v>493644195</v>
      </c>
    </row>
    <row r="240" spans="1:30" s="61" customFormat="1" ht="12.75" customHeight="1">
      <c r="A240" s="73" t="s">
        <v>466</v>
      </c>
      <c r="B240" s="75">
        <f>IF($M240&gt;0,('Amounts Pivot Table'!O$46/$M240),0)</f>
        <v>3715.1852451490281</v>
      </c>
      <c r="C240" s="75">
        <f>IF($M240&gt;0,('Amounts Pivot Table'!O$49/$M240),0)</f>
        <v>47.240407284276181</v>
      </c>
      <c r="D240" s="75">
        <f>IF($M240&gt;0,('Amounts Pivot Table'!O$52/$M240),0)</f>
        <v>344.76334530228064</v>
      </c>
      <c r="E240" s="75">
        <f>IF($M240&gt;0,('Amounts Pivot Table'!O$55/$M240),0)</f>
        <v>2760.4893665625023</v>
      </c>
      <c r="F240" s="75">
        <f t="shared" si="45"/>
        <v>6867.6783642980872</v>
      </c>
      <c r="G240" s="116">
        <f>IF(B240&gt;0,RANK(B240,$B$239:$B$257),)</f>
        <v>3</v>
      </c>
      <c r="H240" s="107">
        <f>IF(C240&gt;0,RANK(C240,$C$239:$C$257),)</f>
        <v>5</v>
      </c>
      <c r="I240" s="107">
        <f>IF(D240&gt;0,RANK(D240,$D$239:$D$257),)</f>
        <v>7</v>
      </c>
      <c r="J240" s="107">
        <f>IF(E240&gt;0,RANK(E240,$E$239:$E$257),)</f>
        <v>10</v>
      </c>
      <c r="K240" s="107">
        <f>IF(F240&gt;0,RANK(F240,$F$239:$F$257),)</f>
        <v>6</v>
      </c>
      <c r="L240" s="169"/>
      <c r="M240" s="299">
        <f>+'[1]NEW-Tables 80-86'!AQ166</f>
        <v>45088.899999999994</v>
      </c>
      <c r="N240" s="526">
        <f>+'[1]NEW-Tables 80-86'!AI166</f>
        <v>40712.699999999997</v>
      </c>
      <c r="O240" s="638">
        <f t="shared" si="41"/>
        <v>4107.188997735585</v>
      </c>
      <c r="P240" s="641">
        <f t="shared" si="42"/>
        <v>2760.4893665625023</v>
      </c>
      <c r="Q240" s="631">
        <f t="shared" si="43"/>
        <v>6867.6783642980872</v>
      </c>
      <c r="R240" s="539">
        <f>IF($N240&gt;0,(('Amounts Pivot Table'!O$45+'Amounts Pivot Table'!O$48++'Amounts Pivot Table'!O$51)/$N240),0)</f>
        <v>4426.672174284683</v>
      </c>
      <c r="S240" s="538">
        <f>IF($N240&gt;0,('Amounts Pivot Table'!O$54/$N240),0)</f>
        <v>3038.8578691661328</v>
      </c>
      <c r="T240" s="538">
        <f t="shared" si="44"/>
        <v>7465.5300434508154</v>
      </c>
      <c r="U240" s="637">
        <f t="shared" si="46"/>
        <v>-7.2172314544779709E-2</v>
      </c>
      <c r="V240" s="639">
        <f t="shared" ref="V240:V257" si="53">(P240-S240)/S240</f>
        <v>-9.1603001715909557E-2</v>
      </c>
      <c r="W240" s="629">
        <f t="shared" si="47"/>
        <v>-8.0081611844452685E-2</v>
      </c>
      <c r="Y240" s="73" t="s">
        <v>466</v>
      </c>
      <c r="Z240" s="61">
        <f t="shared" si="48"/>
        <v>167513616</v>
      </c>
      <c r="AA240" s="61">
        <f t="shared" si="49"/>
        <v>2130018</v>
      </c>
      <c r="AB240" s="61">
        <f t="shared" si="50"/>
        <v>15545000</v>
      </c>
      <c r="AC240" s="61">
        <f t="shared" si="51"/>
        <v>124467428.99999999</v>
      </c>
      <c r="AD240" s="61">
        <f t="shared" si="52"/>
        <v>309656063</v>
      </c>
    </row>
    <row r="241" spans="1:30" s="61" customFormat="1" ht="12.75" customHeight="1">
      <c r="A241" s="73" t="s">
        <v>453</v>
      </c>
      <c r="B241" s="75">
        <f>IF($M241&gt;0,('Amounts Pivot Table'!O$85/$M241),0)</f>
        <v>4914.4509882124848</v>
      </c>
      <c r="C241" s="75">
        <f>IF($M241&gt;0,('Amounts Pivot Table'!O$88/$M241),0)</f>
        <v>0</v>
      </c>
      <c r="D241" s="75">
        <f>IF($M241&gt;0,('Amounts Pivot Table'!O$91/$M241),0)</f>
        <v>0</v>
      </c>
      <c r="E241" s="75">
        <f>IF($M241&gt;0,('Amounts Pivot Table'!O$94/$M241),0)</f>
        <v>3779.8450650511359</v>
      </c>
      <c r="F241" s="75">
        <f t="shared" si="45"/>
        <v>8694.2960532636207</v>
      </c>
      <c r="G241" s="116">
        <f>IF(B241&gt;0,RANK(B241,$B$239:$B$257),)</f>
        <v>1</v>
      </c>
      <c r="H241" s="107">
        <f>IF(C241&gt;0,RANK(C241,$C$239:$C$257),)</f>
        <v>0</v>
      </c>
      <c r="I241" s="107">
        <f>IF(D241&gt;0,RANK(D241,$D$239:$D$257),)</f>
        <v>0</v>
      </c>
      <c r="J241" s="107">
        <f>IF(E241&gt;0,RANK(E241,$E$239:$E$257),)</f>
        <v>4</v>
      </c>
      <c r="K241" s="107">
        <f>IF(F241&gt;0,RANK(F241,$F$239:$F$257),)</f>
        <v>2</v>
      </c>
      <c r="L241" s="169"/>
      <c r="M241" s="299">
        <f>+'[1]NEW-Tables 80-86'!AQ167</f>
        <v>11449.966666666665</v>
      </c>
      <c r="N241" s="526">
        <f>+'[1]NEW-Tables 80-86'!AI167</f>
        <v>10906.933333333334</v>
      </c>
      <c r="O241" s="638">
        <f t="shared" si="41"/>
        <v>4914.4509882124848</v>
      </c>
      <c r="P241" s="641">
        <f t="shared" si="42"/>
        <v>3779.8450650511359</v>
      </c>
      <c r="Q241" s="631">
        <f t="shared" si="43"/>
        <v>8694.2960532636207</v>
      </c>
      <c r="R241" s="539">
        <f>IF($N241&gt;0,(('Amounts Pivot Table'!O$84+'Amounts Pivot Table'!O$87++'Amounts Pivot Table'!O$90)/$N241),0)</f>
        <v>5463.2946015989828</v>
      </c>
      <c r="S241" s="538">
        <f>IF($N241&gt;0,('Amounts Pivot Table'!O$93/$N241),0)</f>
        <v>3696.3607246766578</v>
      </c>
      <c r="T241" s="538">
        <f t="shared" si="44"/>
        <v>9159.6553262756406</v>
      </c>
      <c r="U241" s="637">
        <f t="shared" si="46"/>
        <v>-0.10046018994213927</v>
      </c>
      <c r="V241" s="639">
        <f t="shared" si="53"/>
        <v>2.2585550110718947E-2</v>
      </c>
      <c r="W241" s="629">
        <f t="shared" si="47"/>
        <v>-5.0805325793982378E-2</v>
      </c>
      <c r="Y241" s="73" t="s">
        <v>453</v>
      </c>
      <c r="Z241" s="61">
        <f t="shared" si="48"/>
        <v>56270300.000000007</v>
      </c>
      <c r="AA241" s="61">
        <f t="shared" si="49"/>
        <v>0</v>
      </c>
      <c r="AB241" s="61">
        <f t="shared" si="50"/>
        <v>0</v>
      </c>
      <c r="AC241" s="61">
        <f t="shared" si="51"/>
        <v>43279100</v>
      </c>
      <c r="AD241" s="61">
        <f t="shared" si="52"/>
        <v>99549400</v>
      </c>
    </row>
    <row r="242" spans="1:30" s="61" customFormat="1" ht="12.75" customHeight="1">
      <c r="A242" s="73" t="s">
        <v>460</v>
      </c>
      <c r="B242" s="75">
        <f>IF($M242&gt;0,('Amounts Pivot Table'!O$124/$M242),0)</f>
        <v>2703.9113483656802</v>
      </c>
      <c r="C242" s="75">
        <f>IF($M242&gt;0,('Amounts Pivot Table'!O$127/$M242),0)</f>
        <v>0</v>
      </c>
      <c r="D242" s="75">
        <f>IF($M242&gt;0,('Amounts Pivot Table'!O$130/$M242),0)</f>
        <v>0</v>
      </c>
      <c r="E242" s="75">
        <f>IF($M242&gt;0,('Amounts Pivot Table'!O$133/$M242),0)</f>
        <v>2234.8890277635805</v>
      </c>
      <c r="F242" s="75">
        <f t="shared" si="45"/>
        <v>4938.8003761292603</v>
      </c>
      <c r="G242" s="116">
        <f>IF(B242&gt;0,RANK(B242,$B$239:$B$257),)</f>
        <v>10</v>
      </c>
      <c r="H242" s="107">
        <f>IF(C242&gt;0,RANK(C242,$C$239:$C$257),)</f>
        <v>0</v>
      </c>
      <c r="I242" s="107">
        <f>IF(D242&gt;0,RANK(D242,$D$239:$D$257),)</f>
        <v>0</v>
      </c>
      <c r="J242" s="107">
        <f>IF(E242&gt;0,RANK(E242,$E$239:$E$257),)</f>
        <v>15</v>
      </c>
      <c r="K242" s="107">
        <f>IF(F242&gt;0,RANK(F242,$F$239:$F$257),)</f>
        <v>16</v>
      </c>
      <c r="L242" s="169"/>
      <c r="M242" s="299">
        <f>+'[1]NEW-Tables 80-86'!AQ168</f>
        <v>375870.89222222217</v>
      </c>
      <c r="N242" s="526">
        <f>+'[1]NEW-Tables 80-86'!AI168</f>
        <v>352532.73666666669</v>
      </c>
      <c r="O242" s="638">
        <f t="shared" si="41"/>
        <v>2703.9113483656802</v>
      </c>
      <c r="P242" s="641">
        <f t="shared" si="42"/>
        <v>2234.8890277635805</v>
      </c>
      <c r="Q242" s="631">
        <f t="shared" si="43"/>
        <v>4938.8003761292603</v>
      </c>
      <c r="R242" s="539">
        <f>IF($N242&gt;0,(('Amounts Pivot Table'!O$123+'Amounts Pivot Table'!O$126++'Amounts Pivot Table'!O$129)/$N242),0)</f>
        <v>2703.9630305350079</v>
      </c>
      <c r="S242" s="538">
        <f>IF($N242&gt;0,('Amounts Pivot Table'!O$132/$N242),0)</f>
        <v>2256.3113131592759</v>
      </c>
      <c r="T242" s="538">
        <f t="shared" si="44"/>
        <v>4960.2743436942837</v>
      </c>
      <c r="U242" s="637">
        <f t="shared" si="46"/>
        <v>-1.9113489623961067E-5</v>
      </c>
      <c r="V242" s="639">
        <f t="shared" si="53"/>
        <v>-9.4943837185746983E-3</v>
      </c>
      <c r="W242" s="629">
        <f t="shared" si="47"/>
        <v>-4.3291894917711808E-3</v>
      </c>
      <c r="Y242" s="73" t="s">
        <v>460</v>
      </c>
      <c r="Z242" s="61">
        <f t="shared" si="48"/>
        <v>1016321571</v>
      </c>
      <c r="AA242" s="61">
        <f t="shared" si="49"/>
        <v>0</v>
      </c>
      <c r="AB242" s="61">
        <f t="shared" si="50"/>
        <v>0</v>
      </c>
      <c r="AC242" s="61">
        <f t="shared" si="51"/>
        <v>840029732.88315165</v>
      </c>
      <c r="AD242" s="61">
        <f t="shared" si="52"/>
        <v>1856351303.8831515</v>
      </c>
    </row>
    <row r="243" spans="1:30" s="61" customFormat="1" ht="12.75" customHeight="1">
      <c r="A243" s="73"/>
      <c r="B243" s="75"/>
      <c r="C243" s="75"/>
      <c r="D243" s="75"/>
      <c r="E243" s="75"/>
      <c r="F243" s="75"/>
      <c r="G243" s="116"/>
      <c r="H243" s="107"/>
      <c r="I243" s="107"/>
      <c r="J243" s="107"/>
      <c r="K243" s="107"/>
      <c r="L243" s="169"/>
      <c r="M243" s="299"/>
      <c r="N243" s="526"/>
      <c r="O243" s="638"/>
      <c r="P243" s="641"/>
      <c r="Q243" s="631"/>
      <c r="R243" s="539"/>
      <c r="S243" s="538"/>
      <c r="T243" s="538"/>
      <c r="U243" s="637"/>
      <c r="V243" s="639"/>
      <c r="W243" s="629"/>
      <c r="Y243" s="73"/>
    </row>
    <row r="244" spans="1:30" s="61" customFormat="1" ht="12.75" customHeight="1">
      <c r="A244" s="73" t="s">
        <v>461</v>
      </c>
      <c r="B244" s="75">
        <f>IF($M244&gt;0,('Amounts Pivot Table'!O$163/$M244),0)</f>
        <v>3084.3915684023791</v>
      </c>
      <c r="C244" s="75">
        <f>IF($M244&gt;0,('Amounts Pivot Table'!O$166/$M244),0)</f>
        <v>0</v>
      </c>
      <c r="D244" s="75">
        <f>IF($M244&gt;0,('Amounts Pivot Table'!O$169/$M244),0)</f>
        <v>0</v>
      </c>
      <c r="E244" s="75">
        <f>IF($M244&gt;0,('Amounts Pivot Table'!O$172/$M244),0)</f>
        <v>3062.4301471355525</v>
      </c>
      <c r="F244" s="75">
        <f t="shared" si="45"/>
        <v>6146.8217155379316</v>
      </c>
      <c r="G244" s="116">
        <f>IF(B244&gt;0,RANK(B244,$B$239:$B$257),)</f>
        <v>6</v>
      </c>
      <c r="H244" s="107">
        <f>IF(C244&gt;0,RANK(C244,$C$239:$C$257),)</f>
        <v>0</v>
      </c>
      <c r="I244" s="107">
        <f>IF(D244&gt;0,RANK(D244,$D$239:$D$257),)</f>
        <v>0</v>
      </c>
      <c r="J244" s="107">
        <f>IF(E244&gt;0,RANK(E244,$E$239:$E$257),)</f>
        <v>7</v>
      </c>
      <c r="K244" s="107">
        <f>IF(F244&gt;0,RANK(F244,$F$239:$F$257),)</f>
        <v>13</v>
      </c>
      <c r="L244" s="169"/>
      <c r="M244" s="299">
        <f>+'[1]NEW-Tables 80-86'!AQ170</f>
        <v>63886.666666666664</v>
      </c>
      <c r="N244" s="526">
        <f>+'[1]NEW-Tables 80-86'!AI170</f>
        <v>59262.566666666673</v>
      </c>
      <c r="O244" s="638">
        <f t="shared" si="41"/>
        <v>3084.3915684023791</v>
      </c>
      <c r="P244" s="641">
        <f t="shared" si="42"/>
        <v>3062.4301471355525</v>
      </c>
      <c r="Q244" s="631">
        <f t="shared" si="43"/>
        <v>6146.8217155379316</v>
      </c>
      <c r="R244" s="539">
        <f>IF($N244&gt;0,(('Amounts Pivot Table'!O$162+'Amounts Pivot Table'!O$165+'Amounts Pivot Table'!O$168)/$N244),0)</f>
        <v>2925.1410755637198</v>
      </c>
      <c r="S244" s="538">
        <f>IF($N244&gt;0,('Amounts Pivot Table'!O$171/$N244),0)</f>
        <v>2964.1750076073877</v>
      </c>
      <c r="T244" s="538">
        <f t="shared" si="44"/>
        <v>5889.3160831711075</v>
      </c>
      <c r="U244" s="637">
        <f t="shared" si="46"/>
        <v>5.4441987146882913E-2</v>
      </c>
      <c r="V244" s="639">
        <f t="shared" si="53"/>
        <v>3.314755008594248E-2</v>
      </c>
      <c r="W244" s="629">
        <f t="shared" si="47"/>
        <v>4.3724199674501078E-2</v>
      </c>
      <c r="Y244" s="73" t="s">
        <v>461</v>
      </c>
      <c r="Z244" s="61">
        <f t="shared" si="48"/>
        <v>197051496</v>
      </c>
      <c r="AA244" s="61">
        <f t="shared" si="49"/>
        <v>0</v>
      </c>
      <c r="AB244" s="61">
        <f t="shared" si="50"/>
        <v>0</v>
      </c>
      <c r="AC244" s="61">
        <f t="shared" si="51"/>
        <v>195648454</v>
      </c>
      <c r="AD244" s="61">
        <f t="shared" si="52"/>
        <v>392699950</v>
      </c>
    </row>
    <row r="245" spans="1:30" s="61" customFormat="1" ht="12.75" customHeight="1">
      <c r="A245" s="73" t="s">
        <v>454</v>
      </c>
      <c r="B245" s="75">
        <f>IF($M245&gt;0,('Amounts Pivot Table'!O$202/$M245),0)</f>
        <v>2737.711729024491</v>
      </c>
      <c r="C245" s="75">
        <f>IF($M245&gt;0,('Amounts Pivot Table'!O$205/$M245),0)</f>
        <v>0</v>
      </c>
      <c r="D245" s="75">
        <f>IF($M245&gt;0,('Amounts Pivot Table'!O$208/$M245),0)</f>
        <v>0</v>
      </c>
      <c r="E245" s="75">
        <f>IF($M245&gt;0,('Amounts Pivot Table'!O$211/$M245),0)</f>
        <v>3810.6756229421353</v>
      </c>
      <c r="F245" s="75">
        <f t="shared" si="45"/>
        <v>6548.3873519666267</v>
      </c>
      <c r="G245" s="116">
        <f>IF(B245&gt;0,RANK(B245,$B$239:$B$257),)</f>
        <v>9</v>
      </c>
      <c r="H245" s="107">
        <f>IF(C245&gt;0,RANK(C245,$C$239:$C$257),)</f>
        <v>0</v>
      </c>
      <c r="I245" s="107">
        <f>IF(D245&gt;0,RANK(D245,$D$239:$D$257),)</f>
        <v>0</v>
      </c>
      <c r="J245" s="107">
        <f>IF(E245&gt;0,RANK(E245,$E$239:$E$257),)</f>
        <v>3</v>
      </c>
      <c r="K245" s="107">
        <f>IF(F245&gt;0,RANK(F245,$F$239:$F$257),)</f>
        <v>7</v>
      </c>
      <c r="L245" s="169"/>
      <c r="M245" s="299">
        <f>+'[1]NEW-Tables 80-86'!AQ171</f>
        <v>56044.13</v>
      </c>
      <c r="N245" s="526">
        <f>+'[1]NEW-Tables 80-86'!AI171</f>
        <v>49733.433333333334</v>
      </c>
      <c r="O245" s="638">
        <f t="shared" si="41"/>
        <v>2737.711729024491</v>
      </c>
      <c r="P245" s="641">
        <f t="shared" si="42"/>
        <v>3810.6756229421353</v>
      </c>
      <c r="Q245" s="631">
        <f t="shared" si="43"/>
        <v>6548.3873519666267</v>
      </c>
      <c r="R245" s="539">
        <f>IF($N245&gt;0,(('Amounts Pivot Table'!O$201+'Amounts Pivot Table'!O$204++'Amounts Pivot Table'!O$207)/$N245),0)</f>
        <v>3067.2571502872311</v>
      </c>
      <c r="S245" s="538">
        <f>IF($N245&gt;0,('Amounts Pivot Table'!O$210/$N245),0)</f>
        <v>3447.0634442424043</v>
      </c>
      <c r="T245" s="538">
        <f t="shared" si="44"/>
        <v>6514.3205945296359</v>
      </c>
      <c r="U245" s="637">
        <f t="shared" si="46"/>
        <v>-0.10743977603308547</v>
      </c>
      <c r="V245" s="639">
        <f t="shared" si="53"/>
        <v>0.10548462033881877</v>
      </c>
      <c r="W245" s="629">
        <f t="shared" si="47"/>
        <v>5.229518096729573E-3</v>
      </c>
      <c r="Y245" s="73" t="s">
        <v>454</v>
      </c>
      <c r="Z245" s="61">
        <f t="shared" si="48"/>
        <v>153432672.04397333</v>
      </c>
      <c r="AA245" s="61">
        <f t="shared" si="49"/>
        <v>0</v>
      </c>
      <c r="AB245" s="61">
        <f t="shared" si="50"/>
        <v>0</v>
      </c>
      <c r="AC245" s="61">
        <f t="shared" si="51"/>
        <v>213566000</v>
      </c>
      <c r="AD245" s="61">
        <f t="shared" si="52"/>
        <v>366998672.04397339</v>
      </c>
    </row>
    <row r="246" spans="1:30" s="61" customFormat="1" ht="12.75" customHeight="1">
      <c r="A246" s="73" t="s">
        <v>462</v>
      </c>
      <c r="B246" s="75">
        <f>IF($M246&gt;0,('Amounts Pivot Table'!O$241/$M246),0)</f>
        <v>2632.7576848320309</v>
      </c>
      <c r="C246" s="75">
        <f>IF($M246&gt;0,('Amounts Pivot Table'!O$244/$M246),0)</f>
        <v>0</v>
      </c>
      <c r="D246" s="75">
        <f>IF($M246&gt;0,('Amounts Pivot Table'!O$247/$M246),0)</f>
        <v>0</v>
      </c>
      <c r="E246" s="75">
        <f>IF($M246&gt;0,('Amounts Pivot Table'!O$250/$M246),0)</f>
        <v>2558.4986530388628</v>
      </c>
      <c r="F246" s="75">
        <f t="shared" si="45"/>
        <v>5191.2563378708937</v>
      </c>
      <c r="G246" s="116">
        <f>IF(B246&gt;0,RANK(B246,$B$239:$B$257),)</f>
        <v>12</v>
      </c>
      <c r="H246" s="107">
        <f>IF(C246&gt;0,RANK(C246,$C$239:$C$257),)</f>
        <v>0</v>
      </c>
      <c r="I246" s="107">
        <f>IF(D246&gt;0,RANK(D246,$D$239:$D$257),)</f>
        <v>0</v>
      </c>
      <c r="J246" s="107">
        <f>IF(E246&gt;0,RANK(E246,$E$239:$E$257),)</f>
        <v>13</v>
      </c>
      <c r="K246" s="107">
        <f>IF(F246&gt;0,RANK(F246,$F$239:$F$257),)</f>
        <v>15</v>
      </c>
      <c r="L246" s="169"/>
      <c r="M246" s="299">
        <f>+'[1]NEW-Tables 80-86'!AQ172</f>
        <v>38209.466666666667</v>
      </c>
      <c r="N246" s="526">
        <f>+'[1]NEW-Tables 80-86'!AI172</f>
        <v>32153.353333333333</v>
      </c>
      <c r="O246" s="638">
        <f t="shared" si="41"/>
        <v>2632.7576848320309</v>
      </c>
      <c r="P246" s="641">
        <f t="shared" si="42"/>
        <v>2558.4986530388628</v>
      </c>
      <c r="Q246" s="631">
        <f t="shared" si="43"/>
        <v>5191.2563378708937</v>
      </c>
      <c r="R246" s="539">
        <f>IF($N246&gt;0,(('Amounts Pivot Table'!O$240+'Amounts Pivot Table'!O$243++'Amounts Pivot Table'!O$247)/$N246),0)</f>
        <v>2911.9711101154198</v>
      </c>
      <c r="S246" s="538">
        <f>IF($N246&gt;0,('Amounts Pivot Table'!O$249/$N246),0)</f>
        <v>2614.3133852498122</v>
      </c>
      <c r="T246" s="538">
        <f t="shared" si="44"/>
        <v>5526.284495365232</v>
      </c>
      <c r="U246" s="637">
        <f t="shared" si="46"/>
        <v>-9.58846824796699E-2</v>
      </c>
      <c r="V246" s="639">
        <f t="shared" si="53"/>
        <v>-2.1349671590965739E-2</v>
      </c>
      <c r="W246" s="629">
        <f t="shared" si="47"/>
        <v>-6.0624486085600324E-2</v>
      </c>
      <c r="Y246" s="73" t="s">
        <v>462</v>
      </c>
      <c r="Z246" s="61">
        <f t="shared" si="48"/>
        <v>100596266.99999999</v>
      </c>
      <c r="AA246" s="61">
        <f t="shared" si="49"/>
        <v>0</v>
      </c>
      <c r="AB246" s="61">
        <f t="shared" si="50"/>
        <v>0</v>
      </c>
      <c r="AC246" s="61">
        <f t="shared" si="51"/>
        <v>97758869</v>
      </c>
      <c r="AD246" s="61">
        <f t="shared" si="52"/>
        <v>198355136</v>
      </c>
    </row>
    <row r="247" spans="1:30" s="61" customFormat="1" ht="12.75" customHeight="1">
      <c r="A247" s="73" t="s">
        <v>465</v>
      </c>
      <c r="B247" s="75">
        <f>IF($M247&gt;0,('Amounts Pivot Table'!O$280/$M247),0)</f>
        <v>2386.5880998521739</v>
      </c>
      <c r="C247" s="75">
        <f>IF($M247&gt;0,('Amounts Pivot Table'!O$283/$M247),0)</f>
        <v>0</v>
      </c>
      <c r="D247" s="75">
        <f>IF($M247&gt;0,('Amounts Pivot Table'!O$286/$M247),0)</f>
        <v>3240.3295812833067</v>
      </c>
      <c r="E247" s="75">
        <f>IF($M247&gt;0,('Amounts Pivot Table'!O$289/$M247),0)</f>
        <v>4263.1179761050289</v>
      </c>
      <c r="F247" s="75">
        <f t="shared" si="45"/>
        <v>9890.0356572405108</v>
      </c>
      <c r="G247" s="116">
        <f>IF(B247&gt;0,RANK(B247,$B$239:$B$257),)</f>
        <v>14</v>
      </c>
      <c r="H247" s="107">
        <f>IF(C247&gt;0,RANK(C247,$C$239:$C$257),)</f>
        <v>0</v>
      </c>
      <c r="I247" s="107">
        <f>IF(D247&gt;0,RANK(D247,$D$239:$D$257),)</f>
        <v>1</v>
      </c>
      <c r="J247" s="107">
        <f>IF(E247&gt;0,RANK(E247,$E$239:$E$257),)</f>
        <v>1</v>
      </c>
      <c r="K247" s="107">
        <f>IF(F247&gt;0,RANK(F247,$F$239:$F$257),)</f>
        <v>1</v>
      </c>
      <c r="L247" s="169"/>
      <c r="M247" s="299">
        <f>+'[1]NEW-Tables 80-86'!AQ173</f>
        <v>98596.618333333332</v>
      </c>
      <c r="N247" s="526">
        <f>+'[1]NEW-Tables 80-86'!AI173</f>
        <v>89325.818333333329</v>
      </c>
      <c r="O247" s="638">
        <f t="shared" si="41"/>
        <v>5626.917681135481</v>
      </c>
      <c r="P247" s="641">
        <f t="shared" si="42"/>
        <v>4263.1179761050289</v>
      </c>
      <c r="Q247" s="631">
        <f t="shared" si="43"/>
        <v>9890.0356572405108</v>
      </c>
      <c r="R247" s="539">
        <f>IF($N247&gt;0,(('Amounts Pivot Table'!O$279+'Amounts Pivot Table'!O$282++'Amounts Pivot Table'!O$285)/$N247),0)</f>
        <v>6372.8935667367987</v>
      </c>
      <c r="S247" s="538">
        <f>IF($N247&gt;0,('Amounts Pivot Table'!O$288/$N247),0)</f>
        <v>4473.1081276967871</v>
      </c>
      <c r="T247" s="538">
        <f t="shared" si="44"/>
        <v>10846.001694433586</v>
      </c>
      <c r="U247" s="637">
        <f t="shared" si="46"/>
        <v>-0.11705450244688304</v>
      </c>
      <c r="V247" s="639">
        <f t="shared" si="53"/>
        <v>-4.6945020240295988E-2</v>
      </c>
      <c r="W247" s="629">
        <f t="shared" si="47"/>
        <v>-8.813994909144246E-2</v>
      </c>
      <c r="Y247" s="73" t="s">
        <v>465</v>
      </c>
      <c r="Z247" s="61">
        <f t="shared" si="48"/>
        <v>235309516</v>
      </c>
      <c r="AA247" s="61">
        <f t="shared" si="49"/>
        <v>0</v>
      </c>
      <c r="AB247" s="61">
        <f t="shared" si="50"/>
        <v>319485539</v>
      </c>
      <c r="AC247" s="61">
        <f t="shared" si="51"/>
        <v>420329016</v>
      </c>
      <c r="AD247" s="61">
        <f t="shared" si="52"/>
        <v>975124071.00000012</v>
      </c>
    </row>
    <row r="248" spans="1:30" s="61" customFormat="1" ht="12.75" customHeight="1">
      <c r="A248" s="73"/>
      <c r="B248" s="75"/>
      <c r="C248" s="75"/>
      <c r="D248" s="75"/>
      <c r="E248" s="75"/>
      <c r="F248" s="75"/>
      <c r="G248" s="116"/>
      <c r="H248" s="107"/>
      <c r="I248" s="107"/>
      <c r="J248" s="107"/>
      <c r="K248" s="107"/>
      <c r="L248" s="169"/>
      <c r="M248" s="299"/>
      <c r="N248" s="526"/>
      <c r="O248" s="638"/>
      <c r="P248" s="641"/>
      <c r="Q248" s="631"/>
      <c r="R248" s="539"/>
      <c r="S248" s="538"/>
      <c r="T248" s="538"/>
      <c r="U248" s="637"/>
      <c r="V248" s="639"/>
      <c r="W248" s="629"/>
      <c r="Y248" s="73"/>
    </row>
    <row r="249" spans="1:30" s="61" customFormat="1" ht="12.75" customHeight="1">
      <c r="A249" s="73" t="s">
        <v>455</v>
      </c>
      <c r="B249" s="75">
        <f>IF($M249&gt;0,('Amounts Pivot Table'!O$319/$M249),0)</f>
        <v>2686.344016483501</v>
      </c>
      <c r="C249" s="75">
        <f>IF($M249&gt;0,('Amounts Pivot Table'!O$322/$M249),0)</f>
        <v>361.56994807444607</v>
      </c>
      <c r="D249" s="75">
        <f>IF($M249&gt;0,('Amounts Pivot Table'!O$325/$M249),0)</f>
        <v>686.92405313153165</v>
      </c>
      <c r="E249" s="75">
        <f>IF($M249&gt;0,('Amounts Pivot Table'!O$328/$M249),0)</f>
        <v>2661.59629391612</v>
      </c>
      <c r="F249" s="75">
        <f t="shared" si="45"/>
        <v>6396.4343116055989</v>
      </c>
      <c r="G249" s="116">
        <f>IF(B249&gt;0,RANK(B249,$B$239:$B$257),)</f>
        <v>11</v>
      </c>
      <c r="H249" s="107">
        <f>IF(C249&gt;0,RANK(C249,$C$239:$C$257),)</f>
        <v>2</v>
      </c>
      <c r="I249" s="107">
        <f>IF(D249&gt;0,RANK(D249,$D$239:$D$257),)</f>
        <v>6</v>
      </c>
      <c r="J249" s="107">
        <f>IF(E249&gt;0,RANK(E249,$E$239:$E$257),)</f>
        <v>11</v>
      </c>
      <c r="K249" s="107">
        <f>IF(F249&gt;0,RANK(F249,$F$239:$F$257),)</f>
        <v>9</v>
      </c>
      <c r="L249" s="169"/>
      <c r="M249" s="299">
        <f>+'[1]NEW-Tables 80-86'!AQ175</f>
        <v>73964.866666666683</v>
      </c>
      <c r="N249" s="526">
        <f>+'[1]NEW-Tables 80-86'!AI175</f>
        <v>65068.500000000007</v>
      </c>
      <c r="O249" s="638">
        <f t="shared" si="41"/>
        <v>3734.8380176894789</v>
      </c>
      <c r="P249" s="641">
        <f t="shared" si="42"/>
        <v>2661.59629391612</v>
      </c>
      <c r="Q249" s="631">
        <f t="shared" si="43"/>
        <v>6396.4343116055989</v>
      </c>
      <c r="R249" s="539">
        <f>IF($N249&gt;0,(('Amounts Pivot Table'!O$318+'Amounts Pivot Table'!O$321++'Amounts Pivot Table'!O$324)/$N249),0)</f>
        <v>4412.8903847483798</v>
      </c>
      <c r="S249" s="538">
        <f>IF($N249&gt;0,('Amounts Pivot Table'!O$327/$N249),0)</f>
        <v>2652.9503215841764</v>
      </c>
      <c r="T249" s="538">
        <f t="shared" si="44"/>
        <v>7065.8407063325558</v>
      </c>
      <c r="U249" s="637">
        <f t="shared" si="46"/>
        <v>-0.15365266479365838</v>
      </c>
      <c r="V249" s="639">
        <f t="shared" si="53"/>
        <v>3.2590027267380959E-3</v>
      </c>
      <c r="W249" s="629">
        <f t="shared" si="47"/>
        <v>-9.4738393143652497E-2</v>
      </c>
      <c r="Y249" s="73" t="s">
        <v>455</v>
      </c>
      <c r="Z249" s="61">
        <f t="shared" si="48"/>
        <v>198695077</v>
      </c>
      <c r="AA249" s="61">
        <f t="shared" si="49"/>
        <v>26743473</v>
      </c>
      <c r="AB249" s="61">
        <f t="shared" si="50"/>
        <v>50808246</v>
      </c>
      <c r="AC249" s="61">
        <f t="shared" si="51"/>
        <v>196864615</v>
      </c>
      <c r="AD249" s="61">
        <f t="shared" si="52"/>
        <v>473111411</v>
      </c>
    </row>
    <row r="250" spans="1:30" s="61" customFormat="1" ht="12.75" customHeight="1">
      <c r="A250" s="73" t="s">
        <v>456</v>
      </c>
      <c r="B250" s="75">
        <f>IF($M250&gt;0,('Amounts Pivot Table'!O$358/$M250),0)</f>
        <v>4507.7719758341746</v>
      </c>
      <c r="C250" s="75">
        <f>IF($M250&gt;0,('Amounts Pivot Table'!O$361/$M250),0)</f>
        <v>443.27958390719573</v>
      </c>
      <c r="D250" s="75">
        <f>IF($M250&gt;0,('Amounts Pivot Table'!O$364/$M250),0)</f>
        <v>1094.4370878945128</v>
      </c>
      <c r="E250" s="75">
        <f>IF($M250&gt;0,('Amounts Pivot Table'!O$367/$M250),0)</f>
        <v>1744.5903284490387</v>
      </c>
      <c r="F250" s="75">
        <f t="shared" si="45"/>
        <v>7790.078976084922</v>
      </c>
      <c r="G250" s="116">
        <f>IF(B250&gt;0,RANK(B250,$B$239:$B$257),)</f>
        <v>2</v>
      </c>
      <c r="H250" s="107">
        <f>IF(C250&gt;0,RANK(C250,$C$239:$C$257),)</f>
        <v>1</v>
      </c>
      <c r="I250" s="107">
        <f>IF(D250&gt;0,RANK(D250,$D$239:$D$257),)</f>
        <v>3</v>
      </c>
      <c r="J250" s="107">
        <f>IF(E250&gt;0,RANK(E250,$E$239:$E$257),)</f>
        <v>16</v>
      </c>
      <c r="K250" s="107">
        <f>IF(F250&gt;0,RANK(F250,$F$239:$F$257),)</f>
        <v>3</v>
      </c>
      <c r="L250" s="169"/>
      <c r="M250" s="299">
        <f>+'[1]NEW-Tables 80-86'!AQ176</f>
        <v>181324.93333333332</v>
      </c>
      <c r="N250" s="526">
        <f>+'[1]NEW-Tables 80-86'!AI176</f>
        <v>164290.76666666666</v>
      </c>
      <c r="O250" s="638">
        <f t="shared" si="41"/>
        <v>6045.4886476358834</v>
      </c>
      <c r="P250" s="641">
        <f t="shared" si="42"/>
        <v>1744.5903284490387</v>
      </c>
      <c r="Q250" s="631">
        <f t="shared" si="43"/>
        <v>7790.078976084922</v>
      </c>
      <c r="R250" s="539">
        <f>IF($N250&gt;0,(('Amounts Pivot Table'!O$357+'Amounts Pivot Table'!O$360+'Amounts Pivot Table'!O$363)/$N250),0)</f>
        <v>6440.7770045100933</v>
      </c>
      <c r="S250" s="538">
        <f>IF($N250&gt;0,('Amounts Pivot Table'!O$366/$N250),0)</f>
        <v>1449.0591518330407</v>
      </c>
      <c r="T250" s="538">
        <f t="shared" si="44"/>
        <v>7889.8361563431336</v>
      </c>
      <c r="U250" s="637">
        <f t="shared" si="46"/>
        <v>-6.1372774837168409E-2</v>
      </c>
      <c r="V250" s="639">
        <f t="shared" si="53"/>
        <v>0.20394693773691361</v>
      </c>
      <c r="W250" s="629">
        <f t="shared" si="47"/>
        <v>-1.2643758156880161E-2</v>
      </c>
      <c r="Y250" s="73" t="s">
        <v>456</v>
      </c>
      <c r="Z250" s="61">
        <f t="shared" si="48"/>
        <v>817371452.99999988</v>
      </c>
      <c r="AA250" s="61">
        <f t="shared" si="49"/>
        <v>80377641</v>
      </c>
      <c r="AB250" s="61">
        <f t="shared" si="50"/>
        <v>198448732</v>
      </c>
      <c r="AC250" s="61">
        <f t="shared" si="51"/>
        <v>316337725</v>
      </c>
      <c r="AD250" s="61">
        <f t="shared" si="52"/>
        <v>1412535551</v>
      </c>
    </row>
    <row r="251" spans="1:30" s="61" customFormat="1" ht="12.75" customHeight="1">
      <c r="A251" s="73" t="s">
        <v>463</v>
      </c>
      <c r="B251" s="75">
        <f>IF($M251&gt;0,('Amounts Pivot Table'!O$397/$M251),0)</f>
        <v>2950.9760538256401</v>
      </c>
      <c r="C251" s="75">
        <f>IF($M251&gt;0,('Amounts Pivot Table'!O$400/$M251),0)</f>
        <v>0</v>
      </c>
      <c r="D251" s="75">
        <f>IF($M251&gt;0,('Amounts Pivot Table'!O$403/$M251),0)</f>
        <v>730.4077501686811</v>
      </c>
      <c r="E251" s="75">
        <f>IF($M251&gt;0,('Amounts Pivot Table'!O$406/$M251),0)</f>
        <v>2632.7744325828858</v>
      </c>
      <c r="F251" s="75">
        <f t="shared" si="45"/>
        <v>6314.1582365772065</v>
      </c>
      <c r="G251" s="116">
        <f>IF(B251&gt;0,RANK(B251,$B$239:$B$257),)</f>
        <v>8</v>
      </c>
      <c r="H251" s="107">
        <f>IF(C251&gt;0,RANK(C251,$C$239:$C$257),)</f>
        <v>0</v>
      </c>
      <c r="I251" s="107">
        <f>IF(D251&gt;0,RANK(D251,$D$239:$D$257),)</f>
        <v>5</v>
      </c>
      <c r="J251" s="107">
        <f>IF(E251&gt;0,RANK(E251,$E$239:$E$257),)</f>
        <v>12</v>
      </c>
      <c r="K251" s="107">
        <f>IF(F251&gt;0,RANK(F251,$F$239:$F$257),)</f>
        <v>10</v>
      </c>
      <c r="L251" s="169"/>
      <c r="M251" s="299">
        <f>+'[1]NEW-Tables 80-86'!AQ177</f>
        <v>56022.866666666669</v>
      </c>
      <c r="N251" s="526">
        <f>+'[1]NEW-Tables 80-86'!AI177</f>
        <v>50739.433333333334</v>
      </c>
      <c r="O251" s="638">
        <f t="shared" si="41"/>
        <v>3681.3838039943212</v>
      </c>
      <c r="P251" s="641">
        <f t="shared" si="42"/>
        <v>2632.7744325828858</v>
      </c>
      <c r="Q251" s="631">
        <f t="shared" si="43"/>
        <v>6314.1582365772065</v>
      </c>
      <c r="R251" s="539">
        <f>IF($N251&gt;0,(('Amounts Pivot Table'!O$396+'Amounts Pivot Table'!O$399++'Amounts Pivot Table'!O$402)/$N251),0)</f>
        <v>4221.3999039537293</v>
      </c>
      <c r="S251" s="538">
        <f>IF($N251&gt;0,('Amounts Pivot Table'!O$405/$N251),0)</f>
        <v>2491.6301522221702</v>
      </c>
      <c r="T251" s="538">
        <f t="shared" si="44"/>
        <v>6713.0300561758995</v>
      </c>
      <c r="U251" s="637">
        <f t="shared" si="46"/>
        <v>-0.12792346431183491</v>
      </c>
      <c r="V251" s="639">
        <f t="shared" si="53"/>
        <v>5.6647364069998714E-2</v>
      </c>
      <c r="W251" s="629">
        <f t="shared" si="47"/>
        <v>-5.9417553066328996E-2</v>
      </c>
      <c r="Y251" s="73" t="s">
        <v>463</v>
      </c>
      <c r="Z251" s="61">
        <f t="shared" si="48"/>
        <v>165322138</v>
      </c>
      <c r="AA251" s="61">
        <f t="shared" si="49"/>
        <v>0</v>
      </c>
      <c r="AB251" s="61">
        <f t="shared" si="50"/>
        <v>40919536</v>
      </c>
      <c r="AC251" s="61">
        <f t="shared" si="51"/>
        <v>147495571</v>
      </c>
      <c r="AD251" s="61">
        <f t="shared" si="52"/>
        <v>353737245</v>
      </c>
    </row>
    <row r="252" spans="1:30" s="61" customFormat="1" ht="12.75" customHeight="1">
      <c r="A252" s="73" t="s">
        <v>457</v>
      </c>
      <c r="B252" s="75">
        <f>IF($M252&gt;0,('Amounts Pivot Table'!O$436/$M252),0)</f>
        <v>1169.2965999728269</v>
      </c>
      <c r="C252" s="75">
        <f>IF($M252&gt;0,('Amounts Pivot Table'!O$439/$M252),0)</f>
        <v>82.363676087280808</v>
      </c>
      <c r="D252" s="75">
        <f>IF($M252&gt;0,('Amounts Pivot Table'!O$442/$M252),0)</f>
        <v>747.1349983496533</v>
      </c>
      <c r="E252" s="75">
        <f>IF($M252&gt;0,('Amounts Pivot Table'!O$445/$M252),0)</f>
        <v>4236.8855278113733</v>
      </c>
      <c r="F252" s="75">
        <f t="shared" si="45"/>
        <v>6235.6808022211344</v>
      </c>
      <c r="G252" s="116">
        <f>IF(B252&gt;0,RANK(B252,$B$239:$B$257),)</f>
        <v>16</v>
      </c>
      <c r="H252" s="107">
        <f>IF(C252&gt;0,RANK(C252,$C$239:$C$257),)</f>
        <v>4</v>
      </c>
      <c r="I252" s="107">
        <f>IF(D252&gt;0,RANK(D252,$D$239:$D$257),)</f>
        <v>4</v>
      </c>
      <c r="J252" s="107">
        <f>IF(E252&gt;0,RANK(E252,$E$239:$E$257),)</f>
        <v>2</v>
      </c>
      <c r="K252" s="107">
        <f>IF(F252&gt;0,RANK(F252,$F$239:$F$257),)</f>
        <v>12</v>
      </c>
      <c r="L252" s="169"/>
      <c r="M252" s="299">
        <f>+'[1]NEW-Tables 80-86'!AQ178</f>
        <v>85133.633333333346</v>
      </c>
      <c r="N252" s="526">
        <f>+'[1]NEW-Tables 80-86'!AI178</f>
        <v>76216.766666666663</v>
      </c>
      <c r="O252" s="638">
        <f t="shared" si="41"/>
        <v>1998.7952744097611</v>
      </c>
      <c r="P252" s="641">
        <f t="shared" si="42"/>
        <v>4236.8855278113733</v>
      </c>
      <c r="Q252" s="631">
        <f t="shared" si="43"/>
        <v>6235.6808022211344</v>
      </c>
      <c r="R252" s="539">
        <f>IF($N252&gt;0,(('Amounts Pivot Table'!O$435+'Amounts Pivot Table'!O$438++'Amounts Pivot Table'!O$441)/$N252),0)</f>
        <v>2508.7832948393248</v>
      </c>
      <c r="S252" s="538">
        <f>IF($N252&gt;0,('Amounts Pivot Table'!O$444/$N252),0)</f>
        <v>4930.1469799077458</v>
      </c>
      <c r="T252" s="538">
        <f t="shared" si="44"/>
        <v>7438.9302747470701</v>
      </c>
      <c r="U252" s="637">
        <f t="shared" si="46"/>
        <v>-0.2032810173276548</v>
      </c>
      <c r="V252" s="639">
        <f t="shared" si="53"/>
        <v>-0.14061679193778215</v>
      </c>
      <c r="W252" s="629">
        <f t="shared" si="47"/>
        <v>-0.1617503361485462</v>
      </c>
      <c r="Y252" s="73" t="s">
        <v>457</v>
      </c>
      <c r="Z252" s="61">
        <f t="shared" si="48"/>
        <v>99546468</v>
      </c>
      <c r="AA252" s="61">
        <f t="shared" si="49"/>
        <v>7011919</v>
      </c>
      <c r="AB252" s="61">
        <f t="shared" si="50"/>
        <v>63606317</v>
      </c>
      <c r="AC252" s="61">
        <f t="shared" si="51"/>
        <v>360701459</v>
      </c>
      <c r="AD252" s="61">
        <f t="shared" si="52"/>
        <v>530866163</v>
      </c>
    </row>
    <row r="253" spans="1:30" s="61" customFormat="1" ht="12.75" customHeight="1">
      <c r="A253" s="73"/>
      <c r="B253" s="75"/>
      <c r="C253" s="75"/>
      <c r="D253" s="75"/>
      <c r="E253" s="75"/>
      <c r="F253" s="75"/>
      <c r="G253" s="116"/>
      <c r="H253" s="107"/>
      <c r="I253" s="107"/>
      <c r="J253" s="107"/>
      <c r="K253" s="107"/>
      <c r="L253" s="169"/>
      <c r="M253" s="299"/>
      <c r="N253" s="526"/>
      <c r="O253" s="638"/>
      <c r="P253" s="641"/>
      <c r="Q253" s="631"/>
      <c r="R253" s="539"/>
      <c r="S253" s="538"/>
      <c r="T253" s="538"/>
      <c r="U253" s="637"/>
      <c r="V253" s="639"/>
      <c r="W253" s="629"/>
      <c r="Y253" s="73"/>
    </row>
    <row r="254" spans="1:30" s="61" customFormat="1" ht="12.75" customHeight="1">
      <c r="A254" s="73" t="s">
        <v>130</v>
      </c>
      <c r="B254" s="75">
        <f>IF($M254&gt;0,('Amounts Pivot Table'!O$475/$M254),0)</f>
        <v>3514.7441050088187</v>
      </c>
      <c r="C254" s="75">
        <f>IF($M254&gt;0,('Amounts Pivot Table'!O$478/$M254),0)</f>
        <v>0</v>
      </c>
      <c r="D254" s="75">
        <f>IF($M254&gt;0,('Amounts Pivot Table'!O$481/$M254),0)</f>
        <v>0</v>
      </c>
      <c r="E254" s="75">
        <f>IF($M254&gt;0,('Amounts Pivot Table'!O$484/$M254),0)</f>
        <v>3765.9892841435312</v>
      </c>
      <c r="F254" s="75">
        <f t="shared" si="45"/>
        <v>7280.7333891523504</v>
      </c>
      <c r="G254" s="116">
        <f>IF(B254&gt;0,RANK(B254,$B$239:$B$257),)</f>
        <v>4</v>
      </c>
      <c r="H254" s="107">
        <f>IF(C254&gt;0,RANK(C254,$C$239:$C$257),)</f>
        <v>0</v>
      </c>
      <c r="I254" s="107">
        <f>IF(D254&gt;0,RANK(D254,$D$239:$D$257),)</f>
        <v>0</v>
      </c>
      <c r="J254" s="107">
        <f>IF(E254&gt;0,RANK(E254,$E$239:$E$257),)</f>
        <v>5</v>
      </c>
      <c r="K254" s="107">
        <f>IF(F254&gt;0,RANK(F254,$F$239:$F$257),)</f>
        <v>5</v>
      </c>
      <c r="L254" s="169"/>
      <c r="M254" s="299">
        <f>+'[1]NEW-Tables 80-86'!AQ180</f>
        <v>66922.633333333331</v>
      </c>
      <c r="N254" s="526">
        <f>+'[1]NEW-Tables 80-86'!AI180</f>
        <v>60620.899999999994</v>
      </c>
      <c r="O254" s="638">
        <f t="shared" si="41"/>
        <v>3514.7441050088187</v>
      </c>
      <c r="P254" s="641">
        <f t="shared" si="42"/>
        <v>3765.9892841435312</v>
      </c>
      <c r="Q254" s="631">
        <f t="shared" si="43"/>
        <v>7280.7333891523504</v>
      </c>
      <c r="R254" s="539">
        <f>IF($N254&gt;0,(('Amounts Pivot Table'!O$474+'Amounts Pivot Table'!O$477++'Amounts Pivot Table'!O$481)/$N254),0)</f>
        <v>3422.0958712259308</v>
      </c>
      <c r="S254" s="538">
        <f>IF($N254&gt;0,('Amounts Pivot Table'!O$483/$N254),0)</f>
        <v>3612.3197610065181</v>
      </c>
      <c r="T254" s="538">
        <f t="shared" si="44"/>
        <v>7034.4156322324488</v>
      </c>
      <c r="U254" s="637">
        <f t="shared" si="46"/>
        <v>2.7073535420764717E-2</v>
      </c>
      <c r="V254" s="639">
        <f t="shared" si="53"/>
        <v>4.2540398775272166E-2</v>
      </c>
      <c r="W254" s="629">
        <f t="shared" si="47"/>
        <v>3.5016093702403231E-2</v>
      </c>
      <c r="Y254" s="73" t="s">
        <v>130</v>
      </c>
      <c r="Z254" s="61">
        <f t="shared" si="48"/>
        <v>235215931</v>
      </c>
      <c r="AA254" s="61">
        <f t="shared" si="49"/>
        <v>0</v>
      </c>
      <c r="AB254" s="61">
        <f t="shared" si="50"/>
        <v>0</v>
      </c>
      <c r="AC254" s="61">
        <f t="shared" si="51"/>
        <v>252029920</v>
      </c>
      <c r="AD254" s="61">
        <f t="shared" si="52"/>
        <v>487245851.00000006</v>
      </c>
    </row>
    <row r="255" spans="1:30" s="76" customFormat="1" ht="12.75" customHeight="1">
      <c r="A255" s="73" t="s">
        <v>458</v>
      </c>
      <c r="B255" s="75">
        <f>IF($M255&gt;0,('Amounts Pivot Table'!O$514/$M255),0)</f>
        <v>2382.0333649099907</v>
      </c>
      <c r="C255" s="75">
        <f>IF($M255&gt;0,('Amounts Pivot Table'!O$517/$M255),0)</f>
        <v>0</v>
      </c>
      <c r="D255" s="75">
        <f>IF($M255&gt;0,('Amounts Pivot Table'!O$520/$M255),0)</f>
        <v>2710.0042457781256</v>
      </c>
      <c r="E255" s="75">
        <f>IF($M255&gt;0,('Amounts Pivot Table'!O$523/$M255),0)</f>
        <v>2502.1417436248398</v>
      </c>
      <c r="F255" s="75">
        <f t="shared" si="45"/>
        <v>7594.1793543129552</v>
      </c>
      <c r="G255" s="116">
        <f>IF(B255&gt;0,RANK(B255,$B$239:$B$257),)</f>
        <v>15</v>
      </c>
      <c r="H255" s="107">
        <f>IF(C255&gt;0,RANK(C255,$C$239:$C$257),)</f>
        <v>0</v>
      </c>
      <c r="I255" s="107">
        <f>IF(D255&gt;0,RANK(D255,$D$239:$D$257),)</f>
        <v>2</v>
      </c>
      <c r="J255" s="107">
        <f>IF(E255&gt;0,RANK(E255,$E$239:$E$257),)</f>
        <v>14</v>
      </c>
      <c r="K255" s="107">
        <f>IF(F255&gt;0,RANK(F255,$F$239:$F$257),)</f>
        <v>4</v>
      </c>
      <c r="L255" s="170"/>
      <c r="M255" s="299">
        <f>+'[1]NEW-Tables 80-86'!AQ181</f>
        <v>514040.05000000005</v>
      </c>
      <c r="N255" s="526">
        <f>+'[1]NEW-Tables 80-86'!AI181</f>
        <v>459267.11777777778</v>
      </c>
      <c r="O255" s="638">
        <f t="shared" si="41"/>
        <v>5092.0376106881158</v>
      </c>
      <c r="P255" s="641">
        <f t="shared" si="42"/>
        <v>2502.1417436248398</v>
      </c>
      <c r="Q255" s="631">
        <f t="shared" si="43"/>
        <v>7594.1793543129552</v>
      </c>
      <c r="R255" s="539">
        <f>IF($N255&gt;0,(('Amounts Pivot Table'!O$513+'Amounts Pivot Table'!O$516++'Amounts Pivot Table'!O$519)/$N255),0)</f>
        <v>5756.7228431086414</v>
      </c>
      <c r="S255" s="538">
        <f>IF($N255&gt;0,('Amounts Pivot Table'!O$522/$N255),0)</f>
        <v>2363.4294509305728</v>
      </c>
      <c r="T255" s="538">
        <f t="shared" si="44"/>
        <v>8120.1522940392142</v>
      </c>
      <c r="U255" s="637">
        <f t="shared" si="46"/>
        <v>-0.11546243418965682</v>
      </c>
      <c r="V255" s="639">
        <f t="shared" si="53"/>
        <v>5.8691107805079898E-2</v>
      </c>
      <c r="W255" s="629">
        <f t="shared" si="47"/>
        <v>-6.4773777717489558E-2</v>
      </c>
      <c r="Y255" s="73" t="s">
        <v>458</v>
      </c>
      <c r="Z255" s="61">
        <f t="shared" si="48"/>
        <v>1224460550</v>
      </c>
      <c r="AA255" s="61">
        <f t="shared" si="49"/>
        <v>0</v>
      </c>
      <c r="AB255" s="61">
        <f t="shared" si="50"/>
        <v>1393050718</v>
      </c>
      <c r="AC255" s="61">
        <f t="shared" si="51"/>
        <v>1286201067</v>
      </c>
      <c r="AD255" s="61">
        <f t="shared" si="52"/>
        <v>3903712334.9999995</v>
      </c>
    </row>
    <row r="256" spans="1:30" s="61" customFormat="1" ht="12.75" customHeight="1">
      <c r="A256" s="73" t="s">
        <v>459</v>
      </c>
      <c r="B256" s="75">
        <f>IF($M256&gt;0,('Amounts Pivot Table'!O$553/$M256),0)</f>
        <v>2597.8268976283362</v>
      </c>
      <c r="C256" s="75">
        <f>IF($M256&gt;0,('Amounts Pivot Table'!O$556/$M256),0)</f>
        <v>0</v>
      </c>
      <c r="D256" s="75">
        <f>IF($M256&gt;0,('Amounts Pivot Table'!O$559/$M256),0)</f>
        <v>59.38348000463008</v>
      </c>
      <c r="E256" s="75">
        <f>IF($M256&gt;0,('Amounts Pivot Table'!O$562/$M256),0)</f>
        <v>3656.5039621584929</v>
      </c>
      <c r="F256" s="75">
        <f t="shared" si="45"/>
        <v>6313.7143397914588</v>
      </c>
      <c r="G256" s="116">
        <f>IF(B256&gt;0,RANK(B256,$B$239:$B$257),)</f>
        <v>13</v>
      </c>
      <c r="H256" s="107">
        <f>IF(C256&gt;0,RANK(C256,$C$239:$C$257),)</f>
        <v>0</v>
      </c>
      <c r="I256" s="107">
        <f>IF(D256&gt;0,RANK(D256,$D$239:$D$257),)</f>
        <v>8</v>
      </c>
      <c r="J256" s="107">
        <f>IF(E256&gt;0,RANK(E256,$E$239:$E$257),)</f>
        <v>6</v>
      </c>
      <c r="K256" s="107">
        <f>IF(F256&gt;0,RANK(F256,$F$239:$F$257),)</f>
        <v>11</v>
      </c>
      <c r="L256" s="171"/>
      <c r="M256" s="299">
        <f>+'[1]NEW-Tables 80-86'!AQ182</f>
        <v>127859.59999999999</v>
      </c>
      <c r="N256" s="526">
        <f>+'[1]NEW-Tables 80-86'!AI182</f>
        <v>117732.2</v>
      </c>
      <c r="O256" s="638">
        <f t="shared" si="41"/>
        <v>2657.2103776329664</v>
      </c>
      <c r="P256" s="641">
        <f t="shared" si="42"/>
        <v>3656.5039621584929</v>
      </c>
      <c r="Q256" s="631">
        <f t="shared" si="43"/>
        <v>6313.7143397914588</v>
      </c>
      <c r="R256" s="539">
        <f>IF($N256&gt;0,(('Amounts Pivot Table'!O$552+'Amounts Pivot Table'!O$555++'Amounts Pivot Table'!O$558)/$N256),0)</f>
        <v>2990.3530215183273</v>
      </c>
      <c r="S256" s="538">
        <f>IF($N256&gt;0,('Amounts Pivot Table'!O$561/$N256),0)</f>
        <v>2972.9143683716097</v>
      </c>
      <c r="T256" s="538">
        <f t="shared" si="44"/>
        <v>5963.2673898899375</v>
      </c>
      <c r="U256" s="637">
        <f t="shared" si="46"/>
        <v>-0.11140579105145602</v>
      </c>
      <c r="V256" s="639">
        <f t="shared" si="53"/>
        <v>0.22993921421332897</v>
      </c>
      <c r="W256" s="629">
        <f t="shared" si="47"/>
        <v>5.8767606244802213E-2</v>
      </c>
      <c r="Y256" s="73" t="s">
        <v>459</v>
      </c>
      <c r="Z256" s="61">
        <f t="shared" si="48"/>
        <v>332157108</v>
      </c>
      <c r="AA256" s="61">
        <f t="shared" si="49"/>
        <v>0</v>
      </c>
      <c r="AB256" s="61">
        <f t="shared" si="50"/>
        <v>7592748</v>
      </c>
      <c r="AC256" s="61">
        <f t="shared" si="51"/>
        <v>467519134</v>
      </c>
      <c r="AD256" s="61">
        <f t="shared" si="52"/>
        <v>807268990</v>
      </c>
    </row>
    <row r="257" spans="1:30" s="61" customFormat="1" ht="13.5" customHeight="1">
      <c r="A257" s="74" t="s">
        <v>464</v>
      </c>
      <c r="B257" s="104">
        <f>IF($M257&gt;0,('Amounts Pivot Table'!O$592/$M257),0)</f>
        <v>2996.2165935909252</v>
      </c>
      <c r="C257" s="104">
        <f>IF($M257&gt;0,('Amounts Pivot Table'!O$595/$M257),0)</f>
        <v>31.147270618937707</v>
      </c>
      <c r="D257" s="104">
        <f>IF($M257&gt;0,('Amounts Pivot Table'!O$598/$M257),0)</f>
        <v>0</v>
      </c>
      <c r="E257" s="104">
        <f>IF($M257&gt;0,('Amounts Pivot Table'!O$601/$M257),0)</f>
        <v>3041.421716953771</v>
      </c>
      <c r="F257" s="105">
        <f t="shared" si="45"/>
        <v>6068.7855811636346</v>
      </c>
      <c r="G257" s="117">
        <f>IF(B257&gt;0,RANK(B257,$B$239:$B$257),)</f>
        <v>7</v>
      </c>
      <c r="H257" s="118">
        <f>IF(C257&gt;0,RANK(C257,$C$239:$C$257),)</f>
        <v>6</v>
      </c>
      <c r="I257" s="118">
        <f>IF(D257&gt;0,RANK(D257,$D$239:$D$257),)</f>
        <v>0</v>
      </c>
      <c r="J257" s="118">
        <f>IF(E257&gt;0,RANK(E257,$E$239:$E$257),)</f>
        <v>8</v>
      </c>
      <c r="K257" s="118">
        <f>IF(F257&gt;0,RANK(F257,$F$239:$F$257),)</f>
        <v>14</v>
      </c>
      <c r="L257" s="172"/>
      <c r="M257" s="299">
        <f>+'[1]NEW-Tables 80-86'!AQ183</f>
        <v>19504.116666666669</v>
      </c>
      <c r="N257" s="526">
        <f>+'[1]NEW-Tables 80-86'!AI183</f>
        <v>17549.503333333334</v>
      </c>
      <c r="O257" s="638">
        <f t="shared" si="41"/>
        <v>3027.3638642098631</v>
      </c>
      <c r="P257" s="641">
        <f t="shared" si="42"/>
        <v>3041.421716953771</v>
      </c>
      <c r="Q257" s="631">
        <f t="shared" si="43"/>
        <v>6068.7855811636346</v>
      </c>
      <c r="R257" s="539">
        <f>IF($N257&gt;0,(('Amounts Pivot Table'!O$591+'Amounts Pivot Table'!O$594++'Amounts Pivot Table'!O$597)/$N257),0)</f>
        <v>3378.1007857582294</v>
      </c>
      <c r="S257" s="538">
        <f>IF($N257&gt;0,('Amounts Pivot Table'!O$600/$N257),0)</f>
        <v>3386.0643159701954</v>
      </c>
      <c r="T257" s="538">
        <f t="shared" si="44"/>
        <v>6764.1651017284248</v>
      </c>
      <c r="U257" s="637">
        <f t="shared" si="46"/>
        <v>-0.1038266599466309</v>
      </c>
      <c r="V257" s="639">
        <f t="shared" si="53"/>
        <v>-0.10178264996058567</v>
      </c>
      <c r="W257" s="629">
        <f t="shared" si="47"/>
        <v>-0.10280345173524848</v>
      </c>
      <c r="Y257" s="74" t="s">
        <v>464</v>
      </c>
      <c r="Z257" s="74">
        <f t="shared" si="48"/>
        <v>58438557.999999993</v>
      </c>
      <c r="AA257" s="74">
        <f t="shared" si="49"/>
        <v>607500</v>
      </c>
      <c r="AB257" s="74">
        <f t="shared" si="50"/>
        <v>0</v>
      </c>
      <c r="AC257" s="74">
        <f t="shared" si="51"/>
        <v>59320244</v>
      </c>
      <c r="AD257" s="74">
        <f t="shared" si="52"/>
        <v>118366302.00000001</v>
      </c>
    </row>
    <row r="258" spans="1:30" s="76" customFormat="1" ht="34.5" customHeight="1">
      <c r="A258" s="1405" t="s">
        <v>25</v>
      </c>
      <c r="B258" s="1450"/>
      <c r="C258" s="1450"/>
      <c r="D258" s="1450"/>
      <c r="E258" s="1450"/>
      <c r="F258" s="1450"/>
      <c r="G258" s="1450"/>
      <c r="H258" s="1450"/>
      <c r="I258" s="1450"/>
      <c r="J258" s="1450"/>
      <c r="K258" s="1450"/>
      <c r="L258" s="170"/>
      <c r="M258" s="299"/>
      <c r="N258" s="90"/>
      <c r="O258" s="90"/>
      <c r="P258" s="90"/>
      <c r="Q258" s="90"/>
      <c r="U258" s="61"/>
    </row>
    <row r="259" spans="1:30" s="207" customFormat="1" ht="13.5" customHeight="1">
      <c r="A259" s="1405" t="s">
        <v>80</v>
      </c>
      <c r="B259" s="1450"/>
      <c r="C259" s="1450"/>
      <c r="D259" s="1450"/>
      <c r="E259" s="1450"/>
      <c r="F259" s="1450"/>
      <c r="G259" s="1450"/>
      <c r="H259" s="1450"/>
      <c r="I259" s="1450"/>
      <c r="J259" s="1450"/>
      <c r="K259" s="1450"/>
      <c r="L259" s="206"/>
      <c r="M259" s="299"/>
      <c r="N259" s="208"/>
      <c r="O259" s="208"/>
      <c r="P259" s="208"/>
      <c r="Q259" s="208"/>
    </row>
    <row r="260" spans="1:30" s="61" customFormat="1" ht="13.5" customHeight="1">
      <c r="A260" s="1405" t="s">
        <v>332</v>
      </c>
      <c r="B260" s="1443"/>
      <c r="C260" s="1443"/>
      <c r="D260" s="1443"/>
      <c r="E260" s="1443"/>
      <c r="F260" s="1443"/>
      <c r="G260" s="1444"/>
      <c r="H260" s="1444"/>
      <c r="I260" s="1444"/>
      <c r="J260" s="1444"/>
      <c r="K260" s="1444"/>
      <c r="L260" s="172"/>
      <c r="M260" s="303"/>
      <c r="N260" s="73"/>
      <c r="O260" s="73"/>
      <c r="P260" s="73"/>
      <c r="Q260" s="73"/>
    </row>
    <row r="261" spans="1:30" s="61" customFormat="1" ht="13.5" customHeight="1">
      <c r="A261" s="188"/>
      <c r="B261" s="106"/>
      <c r="C261" s="106"/>
      <c r="D261" s="106"/>
      <c r="E261" s="106"/>
      <c r="F261" s="106"/>
      <c r="G261" s="189"/>
      <c r="H261" s="189"/>
      <c r="I261" s="189"/>
      <c r="J261" s="189"/>
      <c r="K261" s="189"/>
      <c r="L261" s="172"/>
      <c r="M261" s="303"/>
      <c r="N261" s="73"/>
      <c r="O261" s="73"/>
      <c r="P261" s="73"/>
      <c r="Q261" s="73"/>
    </row>
    <row r="262" spans="1:30" s="61" customFormat="1">
      <c r="A262" s="188"/>
      <c r="B262" s="106"/>
      <c r="C262" s="106"/>
      <c r="D262" s="106"/>
      <c r="E262" s="106"/>
      <c r="F262" s="106"/>
      <c r="G262" s="189"/>
      <c r="H262" s="189"/>
      <c r="I262" s="189"/>
      <c r="J262" s="189"/>
      <c r="K262" s="591" t="s">
        <v>2018</v>
      </c>
      <c r="L262" s="172"/>
      <c r="M262" s="303"/>
      <c r="N262" s="73"/>
      <c r="O262" s="73"/>
      <c r="P262" s="73"/>
      <c r="Q262" s="73"/>
    </row>
    <row r="263" spans="1:30" s="61" customFormat="1" ht="18">
      <c r="A263" s="135" t="s">
        <v>537</v>
      </c>
      <c r="B263" s="135"/>
      <c r="C263" s="135"/>
      <c r="D263" s="135"/>
      <c r="E263" s="135"/>
      <c r="F263" s="135"/>
      <c r="G263" s="135"/>
      <c r="H263" s="135"/>
      <c r="I263" s="135"/>
      <c r="J263" s="622"/>
      <c r="K263" s="135"/>
      <c r="L263" s="171"/>
      <c r="M263" s="303"/>
      <c r="N263" s="73"/>
      <c r="O263" s="73"/>
      <c r="P263" s="73"/>
      <c r="Q263" s="73"/>
    </row>
    <row r="264" spans="1:30" s="61" customFormat="1" ht="15" customHeight="1">
      <c r="A264" s="135"/>
      <c r="B264" s="135"/>
      <c r="C264" s="135"/>
      <c r="D264" s="135"/>
      <c r="E264" s="135"/>
      <c r="F264" s="135"/>
      <c r="G264" s="135"/>
      <c r="H264" s="135"/>
      <c r="I264" s="135"/>
      <c r="J264" s="622"/>
      <c r="K264" s="135"/>
      <c r="L264" s="171"/>
      <c r="M264" s="303"/>
      <c r="N264" s="73"/>
      <c r="O264" s="73"/>
      <c r="P264" s="73"/>
      <c r="Q264" s="73"/>
    </row>
    <row r="265" spans="1:30" s="61" customFormat="1" ht="18.75">
      <c r="A265" s="1429" t="s">
        <v>26</v>
      </c>
      <c r="B265" s="1429"/>
      <c r="C265" s="1429"/>
      <c r="D265" s="1429"/>
      <c r="E265" s="1429"/>
      <c r="F265" s="1429"/>
      <c r="G265" s="1429"/>
      <c r="H265" s="1429"/>
      <c r="I265" s="1429"/>
      <c r="J265" s="1429"/>
      <c r="K265" s="1429"/>
      <c r="L265" s="166"/>
      <c r="M265" s="303"/>
      <c r="N265" s="73"/>
      <c r="O265" s="73"/>
      <c r="P265" s="73"/>
      <c r="Q265" s="73"/>
    </row>
    <row r="266" spans="1:30" s="61" customFormat="1" ht="15.75">
      <c r="A266" s="1429" t="s">
        <v>2003</v>
      </c>
      <c r="B266" s="1429"/>
      <c r="C266" s="1429"/>
      <c r="D266" s="1429"/>
      <c r="E266" s="1429"/>
      <c r="F266" s="1429"/>
      <c r="G266" s="1429"/>
      <c r="H266" s="1429"/>
      <c r="I266" s="1429"/>
      <c r="J266" s="1429"/>
      <c r="K266" s="1429"/>
      <c r="L266" s="166"/>
      <c r="M266" s="299"/>
      <c r="N266" s="73"/>
      <c r="O266" s="73"/>
      <c r="P266" s="73"/>
      <c r="Q266" s="73"/>
    </row>
    <row r="267" spans="1:30" s="61" customFormat="1" ht="9.75" customHeight="1">
      <c r="A267" s="91"/>
      <c r="B267" s="91"/>
      <c r="C267" s="91"/>
      <c r="D267" s="91"/>
      <c r="E267" s="91"/>
      <c r="F267" s="91"/>
      <c r="G267" s="108"/>
      <c r="H267" s="91"/>
      <c r="I267" s="91"/>
      <c r="J267" s="91"/>
      <c r="K267" s="91"/>
      <c r="L267" s="166"/>
      <c r="M267" s="299"/>
      <c r="N267" s="73"/>
      <c r="O267" s="73"/>
      <c r="P267" s="73"/>
      <c r="Q267" s="73"/>
    </row>
    <row r="268" spans="1:30" s="59" customFormat="1" ht="13.5" customHeight="1">
      <c r="A268" s="56"/>
      <c r="B268" s="1451" t="s">
        <v>81</v>
      </c>
      <c r="C268" s="1452"/>
      <c r="D268" s="1452"/>
      <c r="E268" s="1452"/>
      <c r="F268" s="1452"/>
      <c r="G268" s="625" t="s">
        <v>178</v>
      </c>
      <c r="H268" s="626"/>
      <c r="I268" s="626"/>
      <c r="J268" s="626"/>
      <c r="K268" s="626"/>
      <c r="L268" s="174"/>
      <c r="M268" s="299"/>
      <c r="N268" s="89"/>
      <c r="O268" s="89"/>
      <c r="P268" s="89"/>
      <c r="Q268" s="89"/>
    </row>
    <row r="269" spans="1:30" s="6" customFormat="1" ht="48">
      <c r="A269" s="50"/>
      <c r="B269" s="606" t="s">
        <v>126</v>
      </c>
      <c r="C269" s="607" t="s">
        <v>128</v>
      </c>
      <c r="D269" s="607" t="s">
        <v>127</v>
      </c>
      <c r="E269" s="607" t="s">
        <v>570</v>
      </c>
      <c r="F269" s="607" t="s">
        <v>138</v>
      </c>
      <c r="G269" s="608" t="s">
        <v>126</v>
      </c>
      <c r="H269" s="607" t="s">
        <v>128</v>
      </c>
      <c r="I269" s="607" t="s">
        <v>127</v>
      </c>
      <c r="J269" s="607" t="s">
        <v>570</v>
      </c>
      <c r="K269" s="607" t="s">
        <v>138</v>
      </c>
      <c r="L269" s="168"/>
      <c r="M269" s="301" t="s">
        <v>388</v>
      </c>
      <c r="N269" s="7"/>
      <c r="O269" s="7"/>
      <c r="P269" s="7"/>
      <c r="Q269" s="7"/>
    </row>
    <row r="270" spans="1:30" s="61" customFormat="1" ht="14.25">
      <c r="A270" s="73" t="s">
        <v>82</v>
      </c>
      <c r="B270" s="102">
        <f>IF($M270&gt;0,('Amounts Pivot Table'!J$631/$M270),0)</f>
        <v>2750.3708027486769</v>
      </c>
      <c r="C270" s="102">
        <f>IF($M270&gt;0,('Amounts Pivot Table'!J$634/$M270),0)</f>
        <v>1.260601294059374</v>
      </c>
      <c r="D270" s="102">
        <f>IF($M270&gt;0,('Amounts Pivot Table'!J$637/$M270),0)</f>
        <v>466.3654206460464</v>
      </c>
      <c r="E270" s="102">
        <f>IF($M270&gt;0,('Amounts Pivot Table'!J$640/$M270),0)</f>
        <v>2541.8191133526188</v>
      </c>
      <c r="F270" s="102">
        <f>SUM(B270:E270)</f>
        <v>5759.8159380414018</v>
      </c>
      <c r="G270" s="114"/>
      <c r="H270" s="115"/>
      <c r="I270" s="115"/>
      <c r="J270" s="115"/>
      <c r="K270" s="115"/>
      <c r="L270" s="169"/>
      <c r="M270" s="299">
        <f>+'[1]NEW-Tables 80-86'!AL163</f>
        <v>164603.98777777774</v>
      </c>
      <c r="N270" s="73"/>
      <c r="O270" s="73"/>
      <c r="P270" s="73"/>
      <c r="Q270" s="73"/>
    </row>
    <row r="271" spans="1:30" s="61" customFormat="1" ht="12.75" customHeight="1">
      <c r="A271" s="73"/>
      <c r="B271" s="102"/>
      <c r="C271" s="102"/>
      <c r="D271" s="102"/>
      <c r="E271" s="102"/>
      <c r="F271" s="102"/>
      <c r="G271" s="114"/>
      <c r="H271" s="115"/>
      <c r="I271" s="115"/>
      <c r="J271" s="115"/>
      <c r="K271" s="115"/>
      <c r="L271" s="169"/>
      <c r="M271" s="299">
        <f>+'[1]NEW-Tables 80-86'!AL164</f>
        <v>0</v>
      </c>
      <c r="N271" s="73"/>
      <c r="O271" s="73"/>
      <c r="P271" s="73"/>
      <c r="Q271" s="73"/>
    </row>
    <row r="272" spans="1:30" s="61" customFormat="1" ht="12.75" customHeight="1">
      <c r="A272" s="73" t="s">
        <v>452</v>
      </c>
      <c r="B272" s="75">
        <f>IF($M272&gt;0,('Amounts Pivot Table'!J$7/$M272),0)</f>
        <v>0</v>
      </c>
      <c r="C272" s="75">
        <f>IF($M272&gt;0,('Amounts Pivot Table'!J$10/$M272),0)</f>
        <v>0</v>
      </c>
      <c r="D272" s="75">
        <f>IF($M272&gt;0,('Amounts Pivot Table'!J$13/$M272),0)</f>
        <v>0</v>
      </c>
      <c r="E272" s="75">
        <f>IF($M272&gt;0,('Amounts Pivot Table'!J$16/$M272),0)</f>
        <v>0</v>
      </c>
      <c r="F272" s="75">
        <f t="shared" ref="F272:F290" si="54">SUM(B272:E272)</f>
        <v>0</v>
      </c>
      <c r="G272" s="116">
        <f>IF(B272&gt;0,RANK(B272,$B$272:$B$290),)</f>
        <v>0</v>
      </c>
      <c r="H272" s="107">
        <f>IF(C272&gt;0,RANK(C272,$C$272:$C$290),)</f>
        <v>0</v>
      </c>
      <c r="I272" s="107">
        <f>IF(D272&gt;0,RANK(D272,$D$272:$D$290),)</f>
        <v>0</v>
      </c>
      <c r="J272" s="107">
        <f>IF(E272&gt;0,RANK(E272,$E$272:$E$290),)</f>
        <v>0</v>
      </c>
      <c r="K272" s="107">
        <f>IF(F272&gt;0,RANK(F272,$F$272:$F$290),)</f>
        <v>0</v>
      </c>
      <c r="L272" s="169"/>
      <c r="M272" s="299">
        <f>+'[1]NEW-Tables 80-86'!AL165</f>
        <v>0</v>
      </c>
      <c r="N272" s="73"/>
      <c r="O272" s="73"/>
      <c r="P272" s="73"/>
      <c r="Q272" s="73"/>
    </row>
    <row r="273" spans="1:17" s="61" customFormat="1" ht="12.75" customHeight="1">
      <c r="A273" s="73" t="s">
        <v>466</v>
      </c>
      <c r="B273" s="75">
        <f>IF($M273&gt;0,('Amounts Pivot Table'!J$46/$M273),0)</f>
        <v>0</v>
      </c>
      <c r="C273" s="75">
        <f>IF($M273&gt;0,('Amounts Pivot Table'!J$49/$M273),0)</f>
        <v>0</v>
      </c>
      <c r="D273" s="75">
        <f>IF($M273&gt;0,('Amounts Pivot Table'!J$52/$M273),0)</f>
        <v>0</v>
      </c>
      <c r="E273" s="75">
        <f>IF($M273&gt;0,('Amounts Pivot Table'!J$55/$M273),0)</f>
        <v>0</v>
      </c>
      <c r="F273" s="75">
        <f t="shared" si="54"/>
        <v>0</v>
      </c>
      <c r="G273" s="116">
        <f>IF(B273&gt;0,RANK(B273,$B$272:$B$290),)</f>
        <v>0</v>
      </c>
      <c r="H273" s="107">
        <f>IF(C273&gt;0,RANK(C273,$C$272:$C$290),)</f>
        <v>0</v>
      </c>
      <c r="I273" s="107">
        <f>IF(D273&gt;0,RANK(D273,$D$272:$D$290),)</f>
        <v>0</v>
      </c>
      <c r="J273" s="107">
        <f>IF(E273&gt;0,RANK(E273,$E$272:$E$290),)</f>
        <v>0</v>
      </c>
      <c r="K273" s="107">
        <f>IF(F273&gt;0,RANK(F273,$F$272:$F$290),)</f>
        <v>0</v>
      </c>
      <c r="L273" s="169"/>
      <c r="M273" s="299">
        <f>+'[1]NEW-Tables 80-86'!AL166</f>
        <v>0</v>
      </c>
      <c r="N273" s="73"/>
      <c r="O273" s="73"/>
      <c r="P273" s="73"/>
      <c r="Q273" s="73"/>
    </row>
    <row r="274" spans="1:17" s="61" customFormat="1" ht="12.75" customHeight="1">
      <c r="A274" s="73" t="s">
        <v>453</v>
      </c>
      <c r="B274" s="75">
        <f>IF($M274&gt;0,('Amounts Pivot Table'!J$85/$M274),0)</f>
        <v>0</v>
      </c>
      <c r="C274" s="75">
        <f>IF($M274&gt;0,('Amounts Pivot Table'!J$88/$M274),0)</f>
        <v>0</v>
      </c>
      <c r="D274" s="75">
        <f>IF($M274&gt;0,('Amounts Pivot Table'!J$91/$M274),0)</f>
        <v>0</v>
      </c>
      <c r="E274" s="75">
        <f>IF($M274&gt;0,('Amounts Pivot Table'!J$94/$M274),0)</f>
        <v>0</v>
      </c>
      <c r="F274" s="75">
        <f t="shared" si="54"/>
        <v>0</v>
      </c>
      <c r="G274" s="116">
        <f>IF(B274&gt;0,RANK(B274,$B$272:$B$290),)</f>
        <v>0</v>
      </c>
      <c r="H274" s="107">
        <f>IF(C274&gt;0,RANK(C274,$C$272:$C$290),)</f>
        <v>0</v>
      </c>
      <c r="I274" s="107">
        <f>IF(D274&gt;0,RANK(D274,$D$272:$D$290),)</f>
        <v>0</v>
      </c>
      <c r="J274" s="107">
        <f>IF(E274&gt;0,RANK(E274,$E$272:$E$290),)</f>
        <v>0</v>
      </c>
      <c r="K274" s="107">
        <f>IF(F274&gt;0,RANK(F274,$F$272:$F$290),)</f>
        <v>0</v>
      </c>
      <c r="L274" s="169"/>
      <c r="M274" s="299">
        <f>+'[1]NEW-Tables 80-86'!AL167</f>
        <v>0</v>
      </c>
      <c r="N274" s="73"/>
      <c r="O274" s="73"/>
      <c r="P274" s="73"/>
      <c r="Q274" s="73"/>
    </row>
    <row r="275" spans="1:17" s="61" customFormat="1" ht="12.75" customHeight="1">
      <c r="A275" s="73" t="s">
        <v>460</v>
      </c>
      <c r="B275" s="75">
        <f>IF($M275&gt;0,('Amounts Pivot Table'!J$124/$M275),0)</f>
        <v>2797.8671542752572</v>
      </c>
      <c r="C275" s="75">
        <f>IF($M275&gt;0,('Amounts Pivot Table'!J$127/$M275),0)</f>
        <v>0</v>
      </c>
      <c r="D275" s="75">
        <f>IF($M275&gt;0,('Amounts Pivot Table'!J$130/$M275),0)</f>
        <v>0</v>
      </c>
      <c r="E275" s="75">
        <f>IF($M275&gt;0,('Amounts Pivot Table'!J$133/$M275),0)</f>
        <v>2299.3306148137031</v>
      </c>
      <c r="F275" s="75">
        <f t="shared" si="54"/>
        <v>5097.1977690889598</v>
      </c>
      <c r="G275" s="116">
        <f>IF(B275&gt;0,RANK(B275,$B$272:$B$290),)</f>
        <v>3</v>
      </c>
      <c r="H275" s="107">
        <f>IF(C275&gt;0,RANK(C275,$C$272:$C$290),)</f>
        <v>0</v>
      </c>
      <c r="I275" s="107">
        <f>IF(D275&gt;0,RANK(D275,$D$272:$D$290),)</f>
        <v>0</v>
      </c>
      <c r="J275" s="107">
        <f>IF(E275&gt;0,RANK(E275,$E$272:$E$290),)</f>
        <v>6</v>
      </c>
      <c r="K275" s="107">
        <f>IF(F275&gt;0,RANK(F275,$F$272:$F$290),)</f>
        <v>6</v>
      </c>
      <c r="L275" s="169"/>
      <c r="M275" s="299">
        <f>+'[1]NEW-Tables 80-86'!AL168</f>
        <v>117349.73888888887</v>
      </c>
      <c r="N275" s="73"/>
      <c r="O275" s="73"/>
      <c r="P275" s="73"/>
      <c r="Q275" s="73"/>
    </row>
    <row r="276" spans="1:17" s="61" customFormat="1" ht="12.75" customHeight="1">
      <c r="A276" s="73"/>
      <c r="B276" s="75"/>
      <c r="C276" s="75"/>
      <c r="D276" s="75"/>
      <c r="E276" s="75"/>
      <c r="F276" s="75">
        <f t="shared" si="54"/>
        <v>0</v>
      </c>
      <c r="G276" s="116"/>
      <c r="H276" s="107"/>
      <c r="I276" s="107"/>
      <c r="J276" s="107"/>
      <c r="K276" s="107"/>
      <c r="L276" s="169"/>
      <c r="M276" s="299">
        <f>+'[1]NEW-Tables 80-86'!AL169</f>
        <v>0</v>
      </c>
      <c r="N276" s="73"/>
      <c r="O276" s="73"/>
      <c r="P276" s="73"/>
      <c r="Q276" s="73"/>
    </row>
    <row r="277" spans="1:17" s="61" customFormat="1" ht="12.75" customHeight="1">
      <c r="A277" s="73" t="s">
        <v>461</v>
      </c>
      <c r="B277" s="75">
        <f>IF($M277&gt;0,('Amounts Pivot Table'!J$163/$M277),0)</f>
        <v>2779.9115992116763</v>
      </c>
      <c r="C277" s="75">
        <f>IF($M277&gt;0,('Amounts Pivot Table'!J$166/$M277),0)</f>
        <v>0</v>
      </c>
      <c r="D277" s="75">
        <f>IF($M277&gt;0,('Amounts Pivot Table'!J$169/$M277),0)</f>
        <v>0</v>
      </c>
      <c r="E277" s="75">
        <f>IF($M277&gt;0,('Amounts Pivot Table'!J$172/$M277),0)</f>
        <v>3004.1255034132128</v>
      </c>
      <c r="F277" s="75">
        <f t="shared" si="54"/>
        <v>5784.0371026248886</v>
      </c>
      <c r="G277" s="116">
        <f>IF(B277&gt;0,RANK(B277,$B$272:$B$290),)</f>
        <v>4</v>
      </c>
      <c r="H277" s="107">
        <f>IF(C277&gt;0,RANK(C277,$C$272:$C$290),)</f>
        <v>0</v>
      </c>
      <c r="I277" s="107">
        <f>IF(D277&gt;0,RANK(D277,$D$272:$D$290),)</f>
        <v>0</v>
      </c>
      <c r="J277" s="107">
        <f>IF(E277&gt;0,RANK(E277,$E$272:$E$290),)</f>
        <v>4</v>
      </c>
      <c r="K277" s="107">
        <f>IF(F277&gt;0,RANK(F277,$F$272:$F$290),)</f>
        <v>4</v>
      </c>
      <c r="L277" s="169"/>
      <c r="M277" s="299">
        <f>+'[1]NEW-Tables 80-86'!AL170</f>
        <v>11670.333333333334</v>
      </c>
      <c r="N277" s="73"/>
      <c r="O277" s="73"/>
      <c r="P277" s="73"/>
      <c r="Q277" s="73"/>
    </row>
    <row r="278" spans="1:17" s="61" customFormat="1" ht="12.75" customHeight="1">
      <c r="A278" s="73" t="s">
        <v>454</v>
      </c>
      <c r="B278" s="75">
        <f>IF($M278&gt;0,('Amounts Pivot Table'!J$202/$M278),0)</f>
        <v>0</v>
      </c>
      <c r="C278" s="75">
        <f>IF($M278&gt;0,('Amounts Pivot Table'!J$205/$M278),0)</f>
        <v>0</v>
      </c>
      <c r="D278" s="75">
        <f>IF($M278&gt;0,('Amounts Pivot Table'!J$208/$M278),0)</f>
        <v>0</v>
      </c>
      <c r="E278" s="75">
        <f>IF($M278&gt;0,('Amounts Pivot Table'!J$211/$M278),0)</f>
        <v>0</v>
      </c>
      <c r="F278" s="75">
        <f t="shared" si="54"/>
        <v>0</v>
      </c>
      <c r="G278" s="116">
        <f>IF(B278&gt;0,RANK(B278,$B$272:$B$290),)</f>
        <v>0</v>
      </c>
      <c r="H278" s="107">
        <f>IF(C278&gt;0,RANK(C278,$C$272:$C$290),)</f>
        <v>0</v>
      </c>
      <c r="I278" s="107">
        <f>IF(D278&gt;0,RANK(D278,$D$272:$D$290),)</f>
        <v>0</v>
      </c>
      <c r="J278" s="107">
        <f>IF(E278&gt;0,RANK(E278,$E$272:$E$290),)</f>
        <v>0</v>
      </c>
      <c r="K278" s="107">
        <f>IF(F278&gt;0,RANK(F278,$F$272:$F$290),)</f>
        <v>0</v>
      </c>
      <c r="L278" s="169"/>
      <c r="M278" s="299">
        <f>+'[1]NEW-Tables 80-86'!AL171</f>
        <v>0</v>
      </c>
      <c r="N278" s="73"/>
      <c r="O278" s="73"/>
      <c r="P278" s="73"/>
      <c r="Q278" s="73"/>
    </row>
    <row r="279" spans="1:17" s="61" customFormat="1" ht="12.75" customHeight="1">
      <c r="A279" s="73" t="s">
        <v>462</v>
      </c>
      <c r="B279" s="75">
        <f>IF($M279&gt;0,('Amounts Pivot Table'!J$241/$M279),0)</f>
        <v>4443.1357072065694</v>
      </c>
      <c r="C279" s="75">
        <f>IF($M279&gt;0,('Amounts Pivot Table'!J$244/$M279),0)</f>
        <v>0</v>
      </c>
      <c r="D279" s="75">
        <f>IF($M279&gt;0,('Amounts Pivot Table'!J$247/$M279),0)</f>
        <v>0</v>
      </c>
      <c r="E279" s="75">
        <f>IF($M279&gt;0,('Amounts Pivot Table'!J$250/$M279),0)</f>
        <v>4372.1235664731703</v>
      </c>
      <c r="F279" s="75">
        <f t="shared" si="54"/>
        <v>8815.2592736797396</v>
      </c>
      <c r="G279" s="116">
        <f>IF(B279&gt;0,RANK(B279,$B$272:$B$290),)</f>
        <v>1</v>
      </c>
      <c r="H279" s="107">
        <f>IF(C279&gt;0,RANK(C279,$C$272:$C$290),)</f>
        <v>0</v>
      </c>
      <c r="I279" s="107">
        <f>IF(D279&gt;0,RANK(D279,$D$272:$D$290),)</f>
        <v>0</v>
      </c>
      <c r="J279" s="107">
        <f>IF(E279&gt;0,RANK(E279,$E$272:$E$290),)</f>
        <v>1</v>
      </c>
      <c r="K279" s="107">
        <f>IF(F279&gt;0,RANK(F279,$F$272:$F$290),)</f>
        <v>1</v>
      </c>
      <c r="L279" s="169"/>
      <c r="M279" s="299">
        <f>+'[1]NEW-Tables 80-86'!AL172</f>
        <v>1883.4666666666667</v>
      </c>
      <c r="N279" s="73"/>
      <c r="O279" s="73"/>
      <c r="P279" s="73"/>
      <c r="Q279" s="73"/>
    </row>
    <row r="280" spans="1:17" s="61" customFormat="1" ht="12.75" customHeight="1">
      <c r="A280" s="73" t="s">
        <v>465</v>
      </c>
      <c r="B280" s="75">
        <f>IF($M280&gt;0,('Amounts Pivot Table'!J$280/$M280),0)</f>
        <v>0</v>
      </c>
      <c r="C280" s="75">
        <f>IF($M280&gt;0,('Amounts Pivot Table'!J$283/$M280),0)</f>
        <v>0</v>
      </c>
      <c r="D280" s="75">
        <f>IF($M280&gt;0,('Amounts Pivot Table'!J$286/$M280),0)</f>
        <v>0</v>
      </c>
      <c r="E280" s="75">
        <f>IF($M280&gt;0,('Amounts Pivot Table'!J$289/$M280),0)</f>
        <v>0</v>
      </c>
      <c r="F280" s="75">
        <f t="shared" si="54"/>
        <v>0</v>
      </c>
      <c r="G280" s="116">
        <f>IF(B280&gt;0,RANK(B280,$B$272:$B$290),)</f>
        <v>0</v>
      </c>
      <c r="H280" s="107">
        <f>IF(C280&gt;0,RANK(C280,$C$272:$C$290),)</f>
        <v>0</v>
      </c>
      <c r="I280" s="107">
        <f>IF(D280&gt;0,RANK(D280,$D$272:$D$290),)</f>
        <v>0</v>
      </c>
      <c r="J280" s="107">
        <f>IF(E280&gt;0,RANK(E280,$E$272:$E$290),)</f>
        <v>0</v>
      </c>
      <c r="K280" s="107">
        <f>IF(F280&gt;0,RANK(F280,$F$272:$F$290),)</f>
        <v>0</v>
      </c>
      <c r="L280" s="169"/>
      <c r="M280" s="299">
        <f>+'[1]NEW-Tables 80-86'!AL173</f>
        <v>0</v>
      </c>
      <c r="N280" s="73"/>
      <c r="O280" s="73"/>
      <c r="P280" s="73"/>
      <c r="Q280" s="73"/>
    </row>
    <row r="281" spans="1:17" s="61" customFormat="1" ht="12.75" customHeight="1">
      <c r="A281" s="73"/>
      <c r="B281" s="75"/>
      <c r="C281" s="75"/>
      <c r="D281" s="75"/>
      <c r="E281" s="75"/>
      <c r="F281" s="75">
        <f t="shared" si="54"/>
        <v>0</v>
      </c>
      <c r="G281" s="116"/>
      <c r="H281" s="107"/>
      <c r="I281" s="107"/>
      <c r="J281" s="107"/>
      <c r="K281" s="107"/>
      <c r="L281" s="169"/>
      <c r="M281" s="299">
        <f>+'[1]NEW-Tables 80-86'!AL174</f>
        <v>0</v>
      </c>
      <c r="N281" s="73"/>
      <c r="O281" s="73"/>
      <c r="P281" s="73"/>
      <c r="Q281" s="73"/>
    </row>
    <row r="282" spans="1:17" s="61" customFormat="1" ht="12.75" customHeight="1">
      <c r="A282" s="73" t="s">
        <v>455</v>
      </c>
      <c r="B282" s="75">
        <f>IF($M282&gt;0,('Amounts Pivot Table'!J$319/$M282),0)</f>
        <v>0</v>
      </c>
      <c r="C282" s="75">
        <f>IF($M282&gt;0,('Amounts Pivot Table'!J$322/$M282),0)</f>
        <v>0</v>
      </c>
      <c r="D282" s="75">
        <f>IF($M282&gt;0,('Amounts Pivot Table'!J$325/$M282),0)</f>
        <v>0</v>
      </c>
      <c r="E282" s="75">
        <f>IF($M282&gt;0,('Amounts Pivot Table'!J$328/$M282),0)</f>
        <v>0</v>
      </c>
      <c r="F282" s="75">
        <f t="shared" si="54"/>
        <v>0</v>
      </c>
      <c r="G282" s="116">
        <f>IF(B282&gt;0,RANK(B282,$B$272:$B$290),)</f>
        <v>0</v>
      </c>
      <c r="H282" s="107">
        <f>IF(C282&gt;0,RANK(C282,$C$272:$C$290),)</f>
        <v>0</v>
      </c>
      <c r="I282" s="107">
        <f>IF(D282&gt;0,RANK(D282,$D$272:$D$290),)</f>
        <v>0</v>
      </c>
      <c r="J282" s="107">
        <f>IF(E282&gt;0,RANK(E282,$E$272:$E$290),)</f>
        <v>0</v>
      </c>
      <c r="K282" s="107">
        <f>IF(F282&gt;0,RANK(F282,$F$272:$F$290),)</f>
        <v>0</v>
      </c>
      <c r="L282" s="169"/>
      <c r="M282" s="299">
        <f>+'[1]NEW-Tables 80-86'!AL175</f>
        <v>0</v>
      </c>
      <c r="N282" s="73"/>
      <c r="O282" s="73"/>
      <c r="P282" s="73"/>
      <c r="Q282" s="73"/>
    </row>
    <row r="283" spans="1:17" s="61" customFormat="1" ht="12.75" customHeight="1">
      <c r="A283" s="73" t="s">
        <v>456</v>
      </c>
      <c r="B283" s="75">
        <f>IF($M283&gt;0,('Amounts Pivot Table'!J$358/$M283),0)</f>
        <v>0</v>
      </c>
      <c r="C283" s="75">
        <f>IF($M283&gt;0,('Amounts Pivot Table'!J$361/$M283),0)</f>
        <v>0</v>
      </c>
      <c r="D283" s="75">
        <f>IF($M283&gt;0,('Amounts Pivot Table'!J$364/$M283),0)</f>
        <v>0</v>
      </c>
      <c r="E283" s="75">
        <f>IF($M283&gt;0,('Amounts Pivot Table'!J$367/$M283),0)</f>
        <v>0</v>
      </c>
      <c r="F283" s="75">
        <f t="shared" si="54"/>
        <v>0</v>
      </c>
      <c r="G283" s="116">
        <f>IF(B283&gt;0,RANK(B283,$B$272:$B$290),)</f>
        <v>0</v>
      </c>
      <c r="H283" s="107">
        <f>IF(C283&gt;0,RANK(C283,$C$272:$C$290),)</f>
        <v>0</v>
      </c>
      <c r="I283" s="107">
        <f>IF(D283&gt;0,RANK(D283,$D$272:$D$290),)</f>
        <v>0</v>
      </c>
      <c r="J283" s="107">
        <f>IF(E283&gt;0,RANK(E283,$E$272:$E$290),)</f>
        <v>0</v>
      </c>
      <c r="K283" s="107">
        <f>IF(F283&gt;0,RANK(F283,$F$272:$F$290),)</f>
        <v>0</v>
      </c>
      <c r="L283" s="169"/>
      <c r="M283" s="299">
        <f>+'[1]NEW-Tables 80-86'!AL176</f>
        <v>0</v>
      </c>
      <c r="N283" s="73"/>
      <c r="O283" s="73"/>
      <c r="P283" s="73"/>
      <c r="Q283" s="73"/>
    </row>
    <row r="284" spans="1:17" s="61" customFormat="1" ht="12.75" customHeight="1">
      <c r="A284" s="73" t="s">
        <v>463</v>
      </c>
      <c r="B284" s="75">
        <f>IF($M284&gt;0,('Amounts Pivot Table'!J$397/$M284),0)</f>
        <v>4351.6630158500548</v>
      </c>
      <c r="C284" s="75">
        <f>IF($M284&gt;0,('Amounts Pivot Table'!J$400/$M284),0)</f>
        <v>0</v>
      </c>
      <c r="D284" s="75">
        <f>IF($M284&gt;0,('Amounts Pivot Table'!J$403/$M284),0)</f>
        <v>0</v>
      </c>
      <c r="E284" s="75">
        <f>IF($M284&gt;0,('Amounts Pivot Table'!J$406/$M284),0)</f>
        <v>3373.0257692546134</v>
      </c>
      <c r="F284" s="75">
        <f t="shared" si="54"/>
        <v>7724.6887851046686</v>
      </c>
      <c r="G284" s="116">
        <f>IF(B284&gt;0,RANK(B284,$B$272:$B$290),)</f>
        <v>2</v>
      </c>
      <c r="H284" s="107">
        <f>IF(C284&gt;0,RANK(C284,$C$272:$C$290),)</f>
        <v>0</v>
      </c>
      <c r="I284" s="107">
        <f>IF(D284&gt;0,RANK(D284,$D$272:$D$290),)</f>
        <v>0</v>
      </c>
      <c r="J284" s="107">
        <f>IF(E284&gt;0,RANK(E284,$E$272:$E$290),)</f>
        <v>2</v>
      </c>
      <c r="K284" s="107">
        <f>IF(F284&gt;0,RANK(F284,$F$272:$F$290),)</f>
        <v>3</v>
      </c>
      <c r="L284" s="169"/>
      <c r="M284" s="299">
        <f>+'[1]NEW-Tables 80-86'!AL177</f>
        <v>3226.0666666666666</v>
      </c>
      <c r="N284" s="73"/>
      <c r="O284" s="73"/>
      <c r="P284" s="73"/>
      <c r="Q284" s="73"/>
    </row>
    <row r="285" spans="1:17" s="61" customFormat="1" ht="12.75" customHeight="1">
      <c r="A285" s="73" t="s">
        <v>457</v>
      </c>
      <c r="B285" s="75">
        <f>IF($M285&gt;0,('Amounts Pivot Table'!J$436/$M285),0)</f>
        <v>0</v>
      </c>
      <c r="C285" s="75">
        <f>IF($M285&gt;0,('Amounts Pivot Table'!J$439/$M285),0)</f>
        <v>0</v>
      </c>
      <c r="D285" s="75">
        <f>IF($M285&gt;0,('Amounts Pivot Table'!J$442/$M285),0)</f>
        <v>0</v>
      </c>
      <c r="E285" s="75">
        <f>IF($M285&gt;0,('Amounts Pivot Table'!J$445/$M285),0)</f>
        <v>0</v>
      </c>
      <c r="F285" s="75">
        <f t="shared" si="54"/>
        <v>0</v>
      </c>
      <c r="G285" s="116">
        <f>IF(B285&gt;0,RANK(B285,$B$272:$B$290),)</f>
        <v>0</v>
      </c>
      <c r="H285" s="107">
        <f>IF(C285&gt;0,RANK(C285,$C$272:$C$290),)</f>
        <v>0</v>
      </c>
      <c r="I285" s="107">
        <f>IF(D285&gt;0,RANK(D285,$D$272:$D$290),)</f>
        <v>0</v>
      </c>
      <c r="J285" s="107">
        <f>IF(E285&gt;0,RANK(E285,$E$272:$E$290),)</f>
        <v>0</v>
      </c>
      <c r="K285" s="107">
        <f>IF(F285&gt;0,RANK(F285,$F$272:$F$290),)</f>
        <v>0</v>
      </c>
      <c r="L285" s="169"/>
      <c r="M285" s="299">
        <f>+'[1]NEW-Tables 80-86'!AL178</f>
        <v>0</v>
      </c>
      <c r="N285" s="73"/>
      <c r="O285" s="73"/>
      <c r="P285" s="73"/>
      <c r="Q285" s="73"/>
    </row>
    <row r="286" spans="1:17" s="61" customFormat="1" ht="12.75" customHeight="1">
      <c r="A286" s="73"/>
      <c r="B286" s="75"/>
      <c r="C286" s="75"/>
      <c r="D286" s="75"/>
      <c r="E286" s="75"/>
      <c r="F286" s="75">
        <f t="shared" si="54"/>
        <v>0</v>
      </c>
      <c r="G286" s="116"/>
      <c r="H286" s="107"/>
      <c r="I286" s="107"/>
      <c r="J286" s="107"/>
      <c r="K286" s="107"/>
      <c r="L286" s="169"/>
      <c r="M286" s="299">
        <f>+'[1]NEW-Tables 80-86'!AL179</f>
        <v>0</v>
      </c>
      <c r="N286" s="73"/>
      <c r="O286" s="73"/>
      <c r="P286" s="73"/>
      <c r="Q286" s="73"/>
    </row>
    <row r="287" spans="1:17" s="61" customFormat="1" ht="12.75" customHeight="1">
      <c r="A287" s="73" t="s">
        <v>130</v>
      </c>
      <c r="B287" s="75">
        <f>IF($M287&gt;0,('Amounts Pivot Table'!J$475/$M287),0)</f>
        <v>0</v>
      </c>
      <c r="C287" s="75">
        <f>IF($M287&gt;0,('Amounts Pivot Table'!J$478/$M287),0)</f>
        <v>0</v>
      </c>
      <c r="D287" s="75">
        <f>IF($M287&gt;0,('Amounts Pivot Table'!J$481/$M287),0)</f>
        <v>0</v>
      </c>
      <c r="E287" s="75">
        <f>IF($M287&gt;0,('Amounts Pivot Table'!J$484/$M287),0)</f>
        <v>0</v>
      </c>
      <c r="F287" s="75">
        <f t="shared" si="54"/>
        <v>0</v>
      </c>
      <c r="G287" s="116">
        <f>IF(B287&gt;0,RANK(B287,$B$272:$B$290),)</f>
        <v>0</v>
      </c>
      <c r="H287" s="107">
        <f>IF(C287&gt;0,RANK(C287,$C$272:$C$290),)</f>
        <v>0</v>
      </c>
      <c r="I287" s="107">
        <f>IF(D287&gt;0,RANK(D287,$D$272:$D$290),)</f>
        <v>0</v>
      </c>
      <c r="J287" s="107">
        <f>IF(E287&gt;0,RANK(E287,$E$272:$E$290),)</f>
        <v>0</v>
      </c>
      <c r="K287" s="107">
        <f>IF(F287&gt;0,RANK(F287,$F$272:$F$290),)</f>
        <v>0</v>
      </c>
      <c r="L287" s="169"/>
      <c r="M287" s="299">
        <f>+'[1]NEW-Tables 80-86'!AL180</f>
        <v>0</v>
      </c>
      <c r="N287" s="73"/>
      <c r="O287" s="73"/>
      <c r="P287" s="73"/>
      <c r="Q287" s="73"/>
    </row>
    <row r="288" spans="1:17" s="76" customFormat="1" ht="12.75" customHeight="1">
      <c r="A288" s="73" t="s">
        <v>458</v>
      </c>
      <c r="B288" s="75">
        <f>IF($M288&gt;0,('Amounts Pivot Table'!J$514/$M288),0)</f>
        <v>2221.1157363289767</v>
      </c>
      <c r="C288" s="75">
        <f>IF($M288&gt;0,('Amounts Pivot Table'!J$517/$M288),0)</f>
        <v>0</v>
      </c>
      <c r="D288" s="75">
        <f>IF($M288&gt;0,('Amounts Pivot Table'!J$520/$M288),0)</f>
        <v>3012.6194784560071</v>
      </c>
      <c r="E288" s="75">
        <f>IF($M288&gt;0,('Amounts Pivot Table'!J$523/$M288),0)</f>
        <v>3140.6103086989901</v>
      </c>
      <c r="F288" s="75">
        <f t="shared" si="54"/>
        <v>8374.345523483973</v>
      </c>
      <c r="G288" s="116">
        <f>IF(B288&gt;0,RANK(B288,$B$272:$B$290),)</f>
        <v>6</v>
      </c>
      <c r="H288" s="107">
        <f>IF(C288&gt;0,RANK(C288,$C$272:$C$290),)</f>
        <v>0</v>
      </c>
      <c r="I288" s="107">
        <f>IF(D288&gt;0,RANK(D288,$D$272:$D$290),)</f>
        <v>1</v>
      </c>
      <c r="J288" s="107">
        <f>IF(E288&gt;0,RANK(E288,$E$272:$E$290),)</f>
        <v>3</v>
      </c>
      <c r="K288" s="107">
        <f>IF(F288&gt;0,RANK(F288,$F$272:$F$290),)</f>
        <v>2</v>
      </c>
      <c r="L288" s="170"/>
      <c r="M288" s="299">
        <f>+'[1]NEW-Tables 80-86'!AL181</f>
        <v>25481.34888888889</v>
      </c>
      <c r="N288" s="90"/>
      <c r="O288" s="90"/>
      <c r="P288" s="90"/>
      <c r="Q288" s="90"/>
    </row>
    <row r="289" spans="1:17" s="61" customFormat="1" ht="12.75" customHeight="1">
      <c r="A289" s="73" t="s">
        <v>459</v>
      </c>
      <c r="B289" s="75">
        <f>IF($M289&gt;0,('Amounts Pivot Table'!J$553/$M289),0)</f>
        <v>0</v>
      </c>
      <c r="C289" s="75">
        <f>IF($M289&gt;0,('Amounts Pivot Table'!J$556/$M289),0)</f>
        <v>0</v>
      </c>
      <c r="D289" s="75">
        <f>IF($M289&gt;0,('Amounts Pivot Table'!J$559/$M289),0)</f>
        <v>0</v>
      </c>
      <c r="E289" s="75">
        <f>IF($M289&gt;0,('Amounts Pivot Table'!J$562/$M289),0)</f>
        <v>0</v>
      </c>
      <c r="F289" s="75">
        <f t="shared" si="54"/>
        <v>0</v>
      </c>
      <c r="G289" s="116">
        <f>IF(B289&gt;0,RANK(B289,$B$272:$B$290),)</f>
        <v>0</v>
      </c>
      <c r="H289" s="107">
        <f>IF(C289&gt;0,RANK(C289,$C$272:$C$290),)</f>
        <v>0</v>
      </c>
      <c r="I289" s="107">
        <f>IF(D289&gt;0,RANK(D289,$D$272:$D$290),)</f>
        <v>0</v>
      </c>
      <c r="J289" s="107">
        <f>IF(E289&gt;0,RANK(E289,$E$272:$E$290),)</f>
        <v>0</v>
      </c>
      <c r="K289" s="107">
        <f>IF(F289&gt;0,RANK(F289,$F$272:$F$290),)</f>
        <v>0</v>
      </c>
      <c r="L289" s="171"/>
      <c r="M289" s="299">
        <f>+'[1]NEW-Tables 80-86'!AL182</f>
        <v>0</v>
      </c>
      <c r="N289" s="73"/>
      <c r="O289" s="73"/>
      <c r="P289" s="73"/>
      <c r="Q289" s="73"/>
    </row>
    <row r="290" spans="1:17" s="61" customFormat="1" ht="15.75" customHeight="1">
      <c r="A290" s="74" t="s">
        <v>464</v>
      </c>
      <c r="B290" s="104">
        <f>IF($M290&gt;0,('Amounts Pivot Table'!J$592/$M290),0)</f>
        <v>2592.8625217803474</v>
      </c>
      <c r="C290" s="104">
        <f>IF($M290&gt;0,('Amounts Pivot Table'!J$595/$M290),0)</f>
        <v>41.557904012924681</v>
      </c>
      <c r="D290" s="104">
        <f>IF($M290&gt;0,('Amounts Pivot Table'!J$598/$M290),0)</f>
        <v>0</v>
      </c>
      <c r="E290" s="104">
        <f>IF($M290&gt;0,('Amounts Pivot Table'!J$601/$M290),0)</f>
        <v>2877.0540953728864</v>
      </c>
      <c r="F290" s="105">
        <f t="shared" si="54"/>
        <v>5511.4745211661584</v>
      </c>
      <c r="G290" s="117">
        <f>IF(B290&gt;0,RANK(B290,$B$272:$B$290),)</f>
        <v>5</v>
      </c>
      <c r="H290" s="118">
        <f>IF(C290&gt;0,RANK(C290,$C$272:$C$290),)</f>
        <v>1</v>
      </c>
      <c r="I290" s="118">
        <f>IF(D290&gt;0,RANK(D290,$D$272:$D$290),)</f>
        <v>0</v>
      </c>
      <c r="J290" s="118">
        <f>IF(E290&gt;0,RANK(E290,$E$272:$E$290),)</f>
        <v>5</v>
      </c>
      <c r="K290" s="118">
        <f>IF(F290&gt;0,RANK(F290,$F$272:$F$290),)</f>
        <v>5</v>
      </c>
      <c r="L290" s="171"/>
      <c r="M290" s="299">
        <f>+'[1]NEW-Tables 80-86'!AL183</f>
        <v>4993.0333333333328</v>
      </c>
      <c r="N290" s="73"/>
      <c r="O290" s="73"/>
      <c r="P290" s="73"/>
      <c r="Q290" s="73"/>
    </row>
    <row r="291" spans="1:17" s="76" customFormat="1" ht="34.5" customHeight="1">
      <c r="A291" s="1405" t="s">
        <v>25</v>
      </c>
      <c r="B291" s="1450"/>
      <c r="C291" s="1450"/>
      <c r="D291" s="1450"/>
      <c r="E291" s="1450"/>
      <c r="F291" s="1450"/>
      <c r="G291" s="1450"/>
      <c r="H291" s="1450"/>
      <c r="I291" s="1450"/>
      <c r="J291" s="1450"/>
      <c r="K291" s="1450"/>
      <c r="L291" s="170"/>
      <c r="M291" s="299"/>
      <c r="N291" s="90"/>
      <c r="O291" s="90"/>
      <c r="P291" s="90"/>
      <c r="Q291" s="90"/>
    </row>
    <row r="292" spans="1:17" s="207" customFormat="1" ht="13.5" customHeight="1">
      <c r="A292" s="1405" t="s">
        <v>80</v>
      </c>
      <c r="B292" s="1450"/>
      <c r="C292" s="1450"/>
      <c r="D292" s="1450"/>
      <c r="E292" s="1450"/>
      <c r="F292" s="1450"/>
      <c r="G292" s="1450"/>
      <c r="H292" s="1450"/>
      <c r="I292" s="1450"/>
      <c r="J292" s="1450"/>
      <c r="K292" s="1450"/>
      <c r="L292" s="206"/>
      <c r="M292" s="305"/>
      <c r="N292" s="208"/>
      <c r="O292" s="208"/>
      <c r="P292" s="208"/>
      <c r="Q292" s="208"/>
    </row>
    <row r="293" spans="1:17" s="61" customFormat="1" ht="13.5" customHeight="1">
      <c r="A293" s="1405" t="s">
        <v>332</v>
      </c>
      <c r="B293" s="1443"/>
      <c r="C293" s="1443"/>
      <c r="D293" s="1443"/>
      <c r="E293" s="1443"/>
      <c r="F293" s="1443"/>
      <c r="G293" s="1444"/>
      <c r="H293" s="1444"/>
      <c r="I293" s="1444"/>
      <c r="J293" s="1444"/>
      <c r="K293" s="1444"/>
      <c r="L293" s="172"/>
      <c r="M293" s="303"/>
      <c r="N293" s="73"/>
      <c r="O293" s="73"/>
      <c r="P293" s="73"/>
      <c r="Q293" s="73"/>
    </row>
    <row r="294" spans="1:17" s="61" customFormat="1" ht="13.5" customHeight="1">
      <c r="A294" s="188"/>
      <c r="B294" s="106"/>
      <c r="C294" s="106"/>
      <c r="D294" s="106"/>
      <c r="E294" s="106"/>
      <c r="F294" s="106"/>
      <c r="G294" s="189"/>
      <c r="H294" s="189"/>
      <c r="I294" s="189"/>
      <c r="J294" s="189"/>
      <c r="K294" s="189"/>
      <c r="L294" s="172"/>
      <c r="M294" s="303"/>
      <c r="N294" s="73"/>
      <c r="O294" s="73"/>
      <c r="P294" s="73"/>
      <c r="Q294" s="73"/>
    </row>
    <row r="295" spans="1:17" s="61" customFormat="1">
      <c r="A295" s="188"/>
      <c r="B295" s="106"/>
      <c r="C295" s="106"/>
      <c r="D295" s="106"/>
      <c r="E295" s="106"/>
      <c r="F295" s="106"/>
      <c r="G295" s="189"/>
      <c r="H295" s="189"/>
      <c r="I295" s="189"/>
      <c r="J295" s="189"/>
      <c r="K295" s="591" t="s">
        <v>2018</v>
      </c>
      <c r="L295" s="172"/>
      <c r="M295" s="306"/>
      <c r="N295" s="73"/>
      <c r="O295" s="73"/>
      <c r="P295" s="73"/>
      <c r="Q295" s="73"/>
    </row>
    <row r="296" spans="1:17" s="61" customFormat="1" ht="18">
      <c r="A296" s="135" t="s">
        <v>538</v>
      </c>
      <c r="B296" s="135"/>
      <c r="C296" s="135"/>
      <c r="D296" s="135"/>
      <c r="E296" s="135"/>
      <c r="F296" s="135"/>
      <c r="G296" s="135"/>
      <c r="H296" s="135"/>
      <c r="I296" s="135"/>
      <c r="J296" s="622"/>
      <c r="K296" s="135"/>
      <c r="L296" s="171"/>
      <c r="M296" s="299"/>
      <c r="N296" s="73"/>
      <c r="O296" s="73"/>
      <c r="P296" s="73"/>
      <c r="Q296" s="73"/>
    </row>
    <row r="297" spans="1:17" s="61" customFormat="1" ht="9.75" customHeight="1">
      <c r="A297" s="135"/>
      <c r="B297" s="135"/>
      <c r="C297" s="135"/>
      <c r="D297" s="135"/>
      <c r="E297" s="135"/>
      <c r="F297" s="135"/>
      <c r="G297" s="135"/>
      <c r="H297" s="135"/>
      <c r="I297" s="135"/>
      <c r="J297" s="622"/>
      <c r="K297" s="135"/>
      <c r="L297" s="171"/>
      <c r="M297" s="299"/>
      <c r="N297" s="73"/>
      <c r="O297" s="73"/>
      <c r="P297" s="73"/>
      <c r="Q297" s="73"/>
    </row>
    <row r="298" spans="1:17" s="61" customFormat="1" ht="18.75">
      <c r="A298" s="1429" t="s">
        <v>26</v>
      </c>
      <c r="B298" s="1429"/>
      <c r="C298" s="1429"/>
      <c r="D298" s="1429"/>
      <c r="E298" s="1429"/>
      <c r="F298" s="1429"/>
      <c r="G298" s="1429"/>
      <c r="H298" s="1429"/>
      <c r="I298" s="1429"/>
      <c r="J298" s="1429"/>
      <c r="K298" s="1429"/>
      <c r="L298" s="166"/>
      <c r="M298" s="299"/>
      <c r="N298" s="73"/>
      <c r="O298" s="73"/>
      <c r="P298" s="73"/>
      <c r="Q298" s="73"/>
    </row>
    <row r="299" spans="1:17" s="61" customFormat="1" ht="15.75">
      <c r="A299" s="1429" t="s">
        <v>2002</v>
      </c>
      <c r="B299" s="1429"/>
      <c r="C299" s="1429"/>
      <c r="D299" s="1429"/>
      <c r="E299" s="1429"/>
      <c r="F299" s="1429"/>
      <c r="G299" s="1429"/>
      <c r="H299" s="1429"/>
      <c r="I299" s="1429"/>
      <c r="J299" s="1429"/>
      <c r="K299" s="1429"/>
      <c r="L299" s="166"/>
      <c r="M299" s="302"/>
      <c r="N299" s="73"/>
      <c r="O299" s="73"/>
      <c r="P299" s="73"/>
      <c r="Q299" s="73"/>
    </row>
    <row r="300" spans="1:17" s="61" customFormat="1" ht="9" customHeight="1">
      <c r="A300" s="91"/>
      <c r="B300" s="91"/>
      <c r="C300" s="91"/>
      <c r="D300" s="91"/>
      <c r="E300" s="91"/>
      <c r="F300" s="91"/>
      <c r="G300" s="108"/>
      <c r="H300" s="91"/>
      <c r="I300" s="91"/>
      <c r="J300" s="91"/>
      <c r="K300" s="91"/>
      <c r="L300" s="166"/>
      <c r="M300" s="299"/>
      <c r="N300" s="73"/>
      <c r="O300" s="73"/>
      <c r="P300" s="73"/>
      <c r="Q300" s="73"/>
    </row>
    <row r="301" spans="1:17" s="61" customFormat="1" ht="16.5" customHeight="1">
      <c r="A301" s="60"/>
      <c r="B301" s="1451" t="s">
        <v>81</v>
      </c>
      <c r="C301" s="1452"/>
      <c r="D301" s="1452"/>
      <c r="E301" s="1452"/>
      <c r="F301" s="1452"/>
      <c r="G301" s="625" t="s">
        <v>178</v>
      </c>
      <c r="H301" s="626"/>
      <c r="I301" s="626"/>
      <c r="J301" s="626"/>
      <c r="K301" s="626"/>
      <c r="L301" s="174"/>
      <c r="M301" s="299"/>
      <c r="N301" s="73"/>
      <c r="O301" s="73"/>
      <c r="P301" s="73"/>
      <c r="Q301" s="73"/>
    </row>
    <row r="302" spans="1:17" s="6" customFormat="1" ht="48">
      <c r="A302" s="50"/>
      <c r="B302" s="606" t="s">
        <v>126</v>
      </c>
      <c r="C302" s="607" t="s">
        <v>128</v>
      </c>
      <c r="D302" s="607" t="s">
        <v>127</v>
      </c>
      <c r="E302" s="607" t="s">
        <v>570</v>
      </c>
      <c r="F302" s="607" t="s">
        <v>138</v>
      </c>
      <c r="G302" s="608" t="s">
        <v>126</v>
      </c>
      <c r="H302" s="607" t="s">
        <v>128</v>
      </c>
      <c r="I302" s="607" t="s">
        <v>127</v>
      </c>
      <c r="J302" s="607" t="s">
        <v>570</v>
      </c>
      <c r="K302" s="607" t="s">
        <v>138</v>
      </c>
      <c r="L302" s="168"/>
      <c r="M302" s="299" t="s">
        <v>388</v>
      </c>
      <c r="N302" s="7"/>
      <c r="O302" s="7"/>
      <c r="P302" s="7"/>
      <c r="Q302" s="7"/>
    </row>
    <row r="303" spans="1:17" s="61" customFormat="1" ht="14.25">
      <c r="A303" s="73" t="s">
        <v>82</v>
      </c>
      <c r="B303" s="102">
        <f>IF($M303&gt;0,('Amounts Pivot Table'!K$631/$M303),0)</f>
        <v>2453.1532308933079</v>
      </c>
      <c r="C303" s="102">
        <f>IF($M303&gt;0,('Amounts Pivot Table'!K$634/$M303),0)</f>
        <v>44.917233455630004</v>
      </c>
      <c r="D303" s="102">
        <f>IF($M303&gt;0,('Amounts Pivot Table'!K$637/$M303),0)</f>
        <v>1448.7549741015114</v>
      </c>
      <c r="E303" s="102">
        <f>IF($M303&gt;0,('Amounts Pivot Table'!K$640/$M303),0)</f>
        <v>2655.4812390309894</v>
      </c>
      <c r="F303" s="102">
        <f>SUM(B303:E303)</f>
        <v>6602.3066774814388</v>
      </c>
      <c r="G303" s="114"/>
      <c r="H303" s="115"/>
      <c r="I303" s="115"/>
      <c r="J303" s="115"/>
      <c r="K303" s="115"/>
      <c r="L303" s="169"/>
      <c r="M303" s="299">
        <f>+'[1]NEW-Tables 80-86'!AM163</f>
        <v>862617.26333333342</v>
      </c>
      <c r="N303" s="73"/>
      <c r="O303" s="73"/>
      <c r="P303" s="73"/>
      <c r="Q303" s="73"/>
    </row>
    <row r="304" spans="1:17" s="112" customFormat="1" ht="9.75" customHeight="1">
      <c r="A304" s="110"/>
      <c r="B304" s="111"/>
      <c r="C304" s="111"/>
      <c r="D304" s="111"/>
      <c r="E304" s="111"/>
      <c r="F304" s="111">
        <f>SUM(B304:E304)</f>
        <v>0</v>
      </c>
      <c r="G304" s="119"/>
      <c r="H304" s="120"/>
      <c r="I304" s="120"/>
      <c r="J304" s="120"/>
      <c r="K304" s="120"/>
      <c r="L304" s="176"/>
      <c r="M304" s="299">
        <f>+'[1]NEW-Tables 80-86'!AM164</f>
        <v>0</v>
      </c>
      <c r="N304" s="110"/>
      <c r="O304" s="110"/>
      <c r="P304" s="110"/>
      <c r="Q304" s="110"/>
    </row>
    <row r="305" spans="1:17" s="61" customFormat="1" ht="12.75" customHeight="1">
      <c r="A305" s="73" t="s">
        <v>452</v>
      </c>
      <c r="B305" s="75">
        <f>IF($M305&gt;0,('Amounts Pivot Table'!K$7/$M305),0)</f>
        <v>2562.5837989129841</v>
      </c>
      <c r="C305" s="75">
        <f>IF($M305&gt;0,('Amounts Pivot Table'!K$10/$M305),0)</f>
        <v>95.492031807678529</v>
      </c>
      <c r="D305" s="75">
        <f>IF($M305&gt;0,('Amounts Pivot Table'!K$13/$M305),0)</f>
        <v>2.046713459681706</v>
      </c>
      <c r="E305" s="75">
        <f>IF($M305&gt;0,('Amounts Pivot Table'!K$16/$M305),0)</f>
        <v>3084.9886633615029</v>
      </c>
      <c r="F305" s="75">
        <f t="shared" ref="F305:F323" si="55">SUM(B305:E305)</f>
        <v>5745.1112075418469</v>
      </c>
      <c r="G305" s="116">
        <f>IF(B305&gt;0,RANK(B305,$B$305:$B$323),)</f>
        <v>4</v>
      </c>
      <c r="H305" s="107">
        <f>IF(C305&gt;0,RANK(C305,$C$305:$C$323),)</f>
        <v>3</v>
      </c>
      <c r="I305" s="107">
        <f>IF(D305&gt;0,RANK(D305,$D$305:$D$323),)</f>
        <v>7</v>
      </c>
      <c r="J305" s="107">
        <f>IF(E305&gt;0,RANK(E305,$E$305:$E$323),)</f>
        <v>6</v>
      </c>
      <c r="K305" s="107">
        <f>IF(F305&gt;0,RANK(F305,$F$305:$F$323),)</f>
        <v>9</v>
      </c>
      <c r="L305" s="169"/>
      <c r="M305" s="299">
        <f>+'[1]NEW-Tables 80-86'!AM165</f>
        <v>15363.166666666668</v>
      </c>
      <c r="N305" s="73"/>
      <c r="O305" s="73"/>
      <c r="P305" s="73"/>
      <c r="Q305" s="73"/>
    </row>
    <row r="306" spans="1:17" s="61" customFormat="1" ht="12.75" customHeight="1">
      <c r="A306" s="73" t="s">
        <v>466</v>
      </c>
      <c r="B306" s="75">
        <f>IF($M306&gt;0,('Amounts Pivot Table'!K$46/$M306),0)</f>
        <v>2010.234542617515</v>
      </c>
      <c r="C306" s="75">
        <f>IF($M306&gt;0,('Amounts Pivot Table'!K$49/$M306),0)</f>
        <v>0</v>
      </c>
      <c r="D306" s="75">
        <f>IF($M306&gt;0,('Amounts Pivot Table'!K$52/$M306),0)</f>
        <v>0</v>
      </c>
      <c r="E306" s="75">
        <f>IF($M306&gt;0,('Amounts Pivot Table'!K$55/$M306),0)</f>
        <v>2917.9052077238148</v>
      </c>
      <c r="F306" s="75">
        <f t="shared" si="55"/>
        <v>4928.13975034133</v>
      </c>
      <c r="G306" s="116">
        <f>IF(B306&gt;0,RANK(B306,$B$305:$B$323),)</f>
        <v>10</v>
      </c>
      <c r="H306" s="107">
        <f>IF(C306&gt;0,RANK(C306,$C$305:$C$323),)</f>
        <v>0</v>
      </c>
      <c r="I306" s="107">
        <f>IF(D306&gt;0,RANK(D306,$D$305:$D$323),)</f>
        <v>0</v>
      </c>
      <c r="J306" s="107">
        <f>IF(E306&gt;0,RANK(E306,$E$305:$E$323),)</f>
        <v>7</v>
      </c>
      <c r="K306" s="107">
        <f>IF(F306&gt;0,RANK(F306,$F$305:$F$323),)</f>
        <v>12</v>
      </c>
      <c r="L306" s="169"/>
      <c r="M306" s="299">
        <f>+'[1]NEW-Tables 80-86'!AM166</f>
        <v>8203.2000000000007</v>
      </c>
      <c r="N306" s="73"/>
      <c r="O306" s="73"/>
      <c r="P306" s="73"/>
      <c r="Q306" s="73"/>
    </row>
    <row r="307" spans="1:17" s="61" customFormat="1" ht="12.75" customHeight="1">
      <c r="A307" s="73" t="s">
        <v>453</v>
      </c>
      <c r="B307" s="75">
        <f>IF($M307&gt;0,('Amounts Pivot Table'!K$85/$M307),0)</f>
        <v>0</v>
      </c>
      <c r="C307" s="75">
        <f>IF($M307&gt;0,('Amounts Pivot Table'!K$88/$M307),0)</f>
        <v>0</v>
      </c>
      <c r="D307" s="75">
        <f>IF($M307&gt;0,('Amounts Pivot Table'!K$91/$M307),0)</f>
        <v>0</v>
      </c>
      <c r="E307" s="75">
        <f>IF($M307&gt;0,('Amounts Pivot Table'!K$94/$M307),0)</f>
        <v>0</v>
      </c>
      <c r="F307" s="75">
        <f t="shared" si="55"/>
        <v>0</v>
      </c>
      <c r="G307" s="116">
        <f>IF(B307&gt;0,RANK(B307,$B$305:$B$323),)</f>
        <v>0</v>
      </c>
      <c r="H307" s="107">
        <f>IF(C307&gt;0,RANK(C307,$C$305:$C$323),)</f>
        <v>0</v>
      </c>
      <c r="I307" s="107">
        <f>IF(D307&gt;0,RANK(D307,$D$305:$D$323),)</f>
        <v>0</v>
      </c>
      <c r="J307" s="107">
        <f>IF(E307&gt;0,RANK(E307,$E$305:$E$323),)</f>
        <v>0</v>
      </c>
      <c r="K307" s="107">
        <f>IF(F307&gt;0,RANK(F307,$F$305:$F$323),)</f>
        <v>0</v>
      </c>
      <c r="L307" s="169"/>
      <c r="M307" s="299">
        <f>+'[1]NEW-Tables 80-86'!AM167</f>
        <v>0</v>
      </c>
      <c r="N307" s="73"/>
      <c r="O307" s="73"/>
      <c r="P307" s="73"/>
      <c r="Q307" s="73"/>
    </row>
    <row r="308" spans="1:17" s="61" customFormat="1" ht="12.75" customHeight="1">
      <c r="A308" s="73" t="s">
        <v>460</v>
      </c>
      <c r="B308" s="75">
        <f>IF($M308&gt;0,('Amounts Pivot Table'!K$124/$M308),0)</f>
        <v>2536.6036454224436</v>
      </c>
      <c r="C308" s="75">
        <f>IF($M308&gt;0,('Amounts Pivot Table'!K$127/$M308),0)</f>
        <v>0</v>
      </c>
      <c r="D308" s="75">
        <f>IF($M308&gt;0,('Amounts Pivot Table'!K$130/$M308),0)</f>
        <v>0</v>
      </c>
      <c r="E308" s="75">
        <f>IF($M308&gt;0,('Amounts Pivot Table'!K$133/$M308),0)</f>
        <v>2231.9630243202623</v>
      </c>
      <c r="F308" s="75">
        <f t="shared" si="55"/>
        <v>4768.5666697427059</v>
      </c>
      <c r="G308" s="116">
        <f>IF(B308&gt;0,RANK(B308,$B$305:$B$323),)</f>
        <v>7</v>
      </c>
      <c r="H308" s="107">
        <f>IF(C308&gt;0,RANK(C308,$C$305:$C$323),)</f>
        <v>0</v>
      </c>
      <c r="I308" s="107">
        <f>IF(D308&gt;0,RANK(D308,$D$305:$D$323),)</f>
        <v>0</v>
      </c>
      <c r="J308" s="107">
        <f>IF(E308&gt;0,RANK(E308,$E$305:$E$323),)</f>
        <v>12</v>
      </c>
      <c r="K308" s="107">
        <f>IF(F308&gt;0,RANK(F308,$F$305:$F$323),)</f>
        <v>13</v>
      </c>
      <c r="L308" s="169"/>
      <c r="M308" s="299">
        <f>+'[1]NEW-Tables 80-86'!AM168</f>
        <v>237882.68777777776</v>
      </c>
      <c r="N308" s="73"/>
      <c r="O308" s="73"/>
      <c r="P308" s="73"/>
      <c r="Q308" s="73"/>
    </row>
    <row r="309" spans="1:17" s="61" customFormat="1" ht="8.25" customHeight="1">
      <c r="A309" s="73"/>
      <c r="B309" s="75"/>
      <c r="C309" s="75"/>
      <c r="D309" s="75"/>
      <c r="E309" s="75"/>
      <c r="F309" s="75"/>
      <c r="G309" s="116"/>
      <c r="H309" s="107"/>
      <c r="I309" s="107"/>
      <c r="J309" s="107"/>
      <c r="K309" s="107"/>
      <c r="L309" s="169"/>
      <c r="M309" s="299">
        <f>+'[1]NEW-Tables 80-86'!AM169</f>
        <v>0</v>
      </c>
      <c r="N309" s="73"/>
      <c r="O309" s="73"/>
      <c r="P309" s="73"/>
      <c r="Q309" s="73"/>
    </row>
    <row r="310" spans="1:17" s="61" customFormat="1" ht="12.75" customHeight="1">
      <c r="A310" s="73" t="s">
        <v>461</v>
      </c>
      <c r="B310" s="75">
        <f>IF($M310&gt;0,('Amounts Pivot Table'!K$163/$M310),0)</f>
        <v>2733.0206920062533</v>
      </c>
      <c r="C310" s="75">
        <f>IF($M310&gt;0,('Amounts Pivot Table'!K$166/$M310),0)</f>
        <v>0</v>
      </c>
      <c r="D310" s="75">
        <f>IF($M310&gt;0,('Amounts Pivot Table'!K$169/$M310),0)</f>
        <v>0</v>
      </c>
      <c r="E310" s="75">
        <f>IF($M310&gt;0,('Amounts Pivot Table'!K$172/$M310),0)</f>
        <v>3332.9590705298169</v>
      </c>
      <c r="F310" s="75">
        <f t="shared" si="55"/>
        <v>6065.9797625360698</v>
      </c>
      <c r="G310" s="116">
        <f>IF(B310&gt;0,RANK(B310,$B$305:$B$323),)</f>
        <v>3</v>
      </c>
      <c r="H310" s="107">
        <f>IF(C310&gt;0,RANK(C310,$C$305:$C$323),)</f>
        <v>0</v>
      </c>
      <c r="I310" s="107">
        <f>IF(D310&gt;0,RANK(D310,$D$305:$D$323),)</f>
        <v>0</v>
      </c>
      <c r="J310" s="107">
        <f>IF(E310&gt;0,RANK(E310,$E$305:$E$323),)</f>
        <v>5</v>
      </c>
      <c r="K310" s="107">
        <f>IF(F310&gt;0,RANK(F310,$F$305:$F$323),)</f>
        <v>8</v>
      </c>
      <c r="L310" s="169"/>
      <c r="M310" s="299">
        <f>+'[1]NEW-Tables 80-86'!AM170</f>
        <v>19360.133333333335</v>
      </c>
      <c r="N310" s="73"/>
      <c r="O310" s="73"/>
      <c r="P310" s="73"/>
      <c r="Q310" s="73"/>
    </row>
    <row r="311" spans="1:17" s="61" customFormat="1" ht="12.75" customHeight="1">
      <c r="A311" s="73" t="s">
        <v>454</v>
      </c>
      <c r="B311" s="75">
        <f>IF($M311&gt;0,('Amounts Pivot Table'!K$202/$M311),0)</f>
        <v>1830.4063966852286</v>
      </c>
      <c r="C311" s="75">
        <f>IF($M311&gt;0,('Amounts Pivot Table'!K$205/$M311),0)</f>
        <v>0</v>
      </c>
      <c r="D311" s="75">
        <f>IF($M311&gt;0,('Amounts Pivot Table'!K$208/$M311),0)</f>
        <v>0</v>
      </c>
      <c r="E311" s="75">
        <f>IF($M311&gt;0,('Amounts Pivot Table'!K$211/$M311),0)</f>
        <v>3718.9539919956374</v>
      </c>
      <c r="F311" s="75">
        <f t="shared" si="55"/>
        <v>5549.360388680866</v>
      </c>
      <c r="G311" s="116">
        <f>IF(B311&gt;0,RANK(B311,$B$305:$B$323),)</f>
        <v>12</v>
      </c>
      <c r="H311" s="107">
        <f>IF(C311&gt;0,RANK(C311,$C$305:$C$323),)</f>
        <v>0</v>
      </c>
      <c r="I311" s="107">
        <f>IF(D311&gt;0,RANK(D311,$D$305:$D$323),)</f>
        <v>0</v>
      </c>
      <c r="J311" s="107">
        <f>IF(E311&gt;0,RANK(E311,$E$305:$E$323),)</f>
        <v>4</v>
      </c>
      <c r="K311" s="107">
        <f>IF(F311&gt;0,RANK(F311,$F$305:$F$323),)</f>
        <v>10</v>
      </c>
      <c r="L311" s="169"/>
      <c r="M311" s="299">
        <f>+'[1]NEW-Tables 80-86'!AM171</f>
        <v>18440.776666666665</v>
      </c>
      <c r="N311" s="73"/>
      <c r="O311" s="73"/>
      <c r="P311" s="73"/>
      <c r="Q311" s="73"/>
    </row>
    <row r="312" spans="1:17" s="61" customFormat="1" ht="12.75" customHeight="1">
      <c r="A312" s="73" t="s">
        <v>462</v>
      </c>
      <c r="B312" s="75">
        <f>IF($M312&gt;0,('Amounts Pivot Table'!K$241/$M312),0)</f>
        <v>2561.6835448335023</v>
      </c>
      <c r="C312" s="75">
        <f>IF($M312&gt;0,('Amounts Pivot Table'!K$244/$M312),0)</f>
        <v>0</v>
      </c>
      <c r="D312" s="75">
        <f>IF($M312&gt;0,('Amounts Pivot Table'!K$247/$M312),0)</f>
        <v>0</v>
      </c>
      <c r="E312" s="75">
        <f>IF($M312&gt;0,('Amounts Pivot Table'!K$250/$M312),0)</f>
        <v>2724.341960726877</v>
      </c>
      <c r="F312" s="75">
        <f t="shared" si="55"/>
        <v>5286.0255055603793</v>
      </c>
      <c r="G312" s="116">
        <f>IF(B312&gt;0,RANK(B312,$B$305:$B$323),)</f>
        <v>5</v>
      </c>
      <c r="H312" s="107">
        <f>IF(C312&gt;0,RANK(C312,$C$305:$C$323),)</f>
        <v>0</v>
      </c>
      <c r="I312" s="107">
        <f>IF(D312&gt;0,RANK(D312,$D$305:$D$323),)</f>
        <v>0</v>
      </c>
      <c r="J312" s="107">
        <f>IF(E312&gt;0,RANK(E312,$E$305:$E$323),)</f>
        <v>8</v>
      </c>
      <c r="K312" s="107">
        <f>IF(F312&gt;0,RANK(F312,$F$305:$F$323),)</f>
        <v>11</v>
      </c>
      <c r="L312" s="169"/>
      <c r="M312" s="299">
        <f>+'[1]NEW-Tables 80-86'!AM172</f>
        <v>19117.400000000001</v>
      </c>
      <c r="N312" s="73"/>
      <c r="O312" s="73"/>
      <c r="P312" s="73"/>
      <c r="Q312" s="73"/>
    </row>
    <row r="313" spans="1:17" s="61" customFormat="1" ht="12.75" customHeight="1">
      <c r="A313" s="73" t="s">
        <v>465</v>
      </c>
      <c r="B313" s="75">
        <f>IF($M313&gt;0,('Amounts Pivot Table'!K$280/$M313),0)</f>
        <v>1993.9464670295129</v>
      </c>
      <c r="C313" s="75">
        <f>IF($M313&gt;0,('Amounts Pivot Table'!K$283/$M313),0)</f>
        <v>0</v>
      </c>
      <c r="D313" s="75">
        <f>IF($M313&gt;0,('Amounts Pivot Table'!K$286/$M313),0)</f>
        <v>3450.9087888631534</v>
      </c>
      <c r="E313" s="75">
        <f>IF($M313&gt;0,('Amounts Pivot Table'!K$289/$M313),0)</f>
        <v>4019.219207836878</v>
      </c>
      <c r="F313" s="75">
        <f t="shared" si="55"/>
        <v>9464.0744637295429</v>
      </c>
      <c r="G313" s="116">
        <f>IF(B313&gt;0,RANK(B313,$B$305:$B$323),)</f>
        <v>11</v>
      </c>
      <c r="H313" s="107">
        <f>IF(C313&gt;0,RANK(C313,$C$305:$C$323),)</f>
        <v>0</v>
      </c>
      <c r="I313" s="107">
        <f>IF(D313&gt;0,RANK(D313,$D$305:$D$323),)</f>
        <v>1</v>
      </c>
      <c r="J313" s="107">
        <f>IF(E313&gt;0,RANK(E313,$E$305:$E$323),)</f>
        <v>2</v>
      </c>
      <c r="K313" s="107">
        <f>IF(F313&gt;0,RANK(F313,$F$305:$F$323),)</f>
        <v>1</v>
      </c>
      <c r="L313" s="169"/>
      <c r="M313" s="299">
        <f>+'[1]NEW-Tables 80-86'!AM173</f>
        <v>58570.26</v>
      </c>
      <c r="N313" s="73"/>
      <c r="O313" s="73"/>
      <c r="P313" s="73"/>
      <c r="Q313" s="73"/>
    </row>
    <row r="314" spans="1:17" s="61" customFormat="1" ht="7.5" customHeight="1">
      <c r="A314" s="73"/>
      <c r="B314" s="75"/>
      <c r="C314" s="75"/>
      <c r="D314" s="75"/>
      <c r="E314" s="75"/>
      <c r="F314" s="75"/>
      <c r="G314" s="116"/>
      <c r="H314" s="107"/>
      <c r="I314" s="107"/>
      <c r="J314" s="107"/>
      <c r="K314" s="107"/>
      <c r="L314" s="169"/>
      <c r="M314" s="299">
        <f>+'[1]NEW-Tables 80-86'!AM174</f>
        <v>0</v>
      </c>
      <c r="N314" s="73"/>
      <c r="O314" s="73"/>
      <c r="P314" s="73"/>
      <c r="Q314" s="73"/>
    </row>
    <row r="315" spans="1:17" s="61" customFormat="1" ht="12.75" customHeight="1">
      <c r="A315" s="73" t="s">
        <v>455</v>
      </c>
      <c r="B315" s="75">
        <f>IF($M315&gt;0,('Amounts Pivot Table'!K$319/$M315),0)</f>
        <v>2444.1928112317814</v>
      </c>
      <c r="C315" s="75">
        <f>IF($M315&gt;0,('Amounts Pivot Table'!K$322/$M315),0)</f>
        <v>339.7025442706144</v>
      </c>
      <c r="D315" s="75">
        <f>IF($M315&gt;0,('Amounts Pivot Table'!K$325/$M315),0)</f>
        <v>853.86711555069814</v>
      </c>
      <c r="E315" s="75">
        <f>IF($M315&gt;0,('Amounts Pivot Table'!K$328/$M315),0)</f>
        <v>2560.1830915677569</v>
      </c>
      <c r="F315" s="75">
        <f t="shared" si="55"/>
        <v>6197.945562620851</v>
      </c>
      <c r="G315" s="116">
        <f>IF(B315&gt;0,RANK(B315,$B$305:$B$323),)</f>
        <v>8</v>
      </c>
      <c r="H315" s="107">
        <f>IF(C315&gt;0,RANK(C315,$C$305:$C$323),)</f>
        <v>1</v>
      </c>
      <c r="I315" s="107">
        <f>IF(D315&gt;0,RANK(D315,$D$305:$D$323),)</f>
        <v>5</v>
      </c>
      <c r="J315" s="107">
        <f>IF(E315&gt;0,RANK(E315,$E$305:$E$323),)</f>
        <v>9</v>
      </c>
      <c r="K315" s="107">
        <f>IF(F315&gt;0,RANK(F315,$F$305:$F$323),)</f>
        <v>7</v>
      </c>
      <c r="L315" s="169"/>
      <c r="M315" s="299">
        <f>+'[1]NEW-Tables 80-86'!AM175</f>
        <v>34891.466666666667</v>
      </c>
      <c r="N315" s="73"/>
      <c r="O315" s="73"/>
      <c r="P315" s="73"/>
      <c r="Q315" s="73"/>
    </row>
    <row r="316" spans="1:17" s="61" customFormat="1" ht="12.75" customHeight="1">
      <c r="A316" s="73" t="s">
        <v>456</v>
      </c>
      <c r="B316" s="75">
        <f>IF($M316&gt;0,('Amounts Pivot Table'!K$358/$M316),0)</f>
        <v>3867.3129937811605</v>
      </c>
      <c r="C316" s="75">
        <f>IF($M316&gt;0,('Amounts Pivot Table'!K$361/$M316),0)</f>
        <v>286.85578457622205</v>
      </c>
      <c r="D316" s="75">
        <f>IF($M316&gt;0,('Amounts Pivot Table'!K$364/$M316),0)</f>
        <v>1187.4078756034189</v>
      </c>
      <c r="E316" s="75">
        <f>IF($M316&gt;0,('Amounts Pivot Table'!K$367/$M316),0)</f>
        <v>1796.502854698093</v>
      </c>
      <c r="F316" s="75">
        <f t="shared" si="55"/>
        <v>7138.0795086588942</v>
      </c>
      <c r="G316" s="116">
        <f>IF(B316&gt;0,RANK(B316,$B$305:$B$323),)</f>
        <v>1</v>
      </c>
      <c r="H316" s="107">
        <f>IF(C316&gt;0,RANK(C316,$C$305:$C$323),)</f>
        <v>2</v>
      </c>
      <c r="I316" s="107">
        <f>IF(D316&gt;0,RANK(D316,$D$305:$D$323),)</f>
        <v>4</v>
      </c>
      <c r="J316" s="107">
        <f>IF(E316&gt;0,RANK(E316,$E$305:$E$323),)</f>
        <v>13</v>
      </c>
      <c r="K316" s="107">
        <f>IF(F316&gt;0,RANK(F316,$F$305:$F$323),)</f>
        <v>4</v>
      </c>
      <c r="L316" s="169"/>
      <c r="M316" s="299">
        <f>+'[1]NEW-Tables 80-86'!AM176</f>
        <v>80872.533333333326</v>
      </c>
      <c r="N316" s="73"/>
      <c r="O316" s="73"/>
      <c r="P316" s="73"/>
      <c r="Q316" s="73"/>
    </row>
    <row r="317" spans="1:17" s="61" customFormat="1" ht="12.75" customHeight="1">
      <c r="A317" s="73" t="s">
        <v>463</v>
      </c>
      <c r="B317" s="75">
        <f>IF($M317&gt;0,('Amounts Pivot Table'!K$397/$M317),0)</f>
        <v>2553.0062751532282</v>
      </c>
      <c r="C317" s="75">
        <f>IF($M317&gt;0,('Amounts Pivot Table'!K$400/$M317),0)</f>
        <v>0</v>
      </c>
      <c r="D317" s="75">
        <f>IF($M317&gt;0,('Amounts Pivot Table'!K$403/$M317),0)</f>
        <v>1700.4134471250693</v>
      </c>
      <c r="E317" s="75">
        <f>IF($M317&gt;0,('Amounts Pivot Table'!K$406/$M317),0)</f>
        <v>2516.1006859287959</v>
      </c>
      <c r="F317" s="75">
        <f t="shared" si="55"/>
        <v>6769.5204082070941</v>
      </c>
      <c r="G317" s="116">
        <f>IF(B317&gt;0,RANK(B317,$B$305:$B$323),)</f>
        <v>6</v>
      </c>
      <c r="H317" s="107">
        <f>IF(C317&gt;0,RANK(C317,$C$305:$C$323),)</f>
        <v>0</v>
      </c>
      <c r="I317" s="107">
        <f>IF(D317&gt;0,RANK(D317,$D$305:$D$323),)</f>
        <v>3</v>
      </c>
      <c r="J317" s="107">
        <f>IF(E317&gt;0,RANK(E317,$E$305:$E$323),)</f>
        <v>10</v>
      </c>
      <c r="K317" s="107">
        <f>IF(F317&gt;0,RANK(F317,$F$305:$F$323),)</f>
        <v>5</v>
      </c>
      <c r="L317" s="169"/>
      <c r="M317" s="299">
        <f>+'[1]NEW-Tables 80-86'!AM177</f>
        <v>23282.3</v>
      </c>
      <c r="N317" s="73"/>
      <c r="O317" s="73"/>
      <c r="P317" s="73"/>
      <c r="Q317" s="73"/>
    </row>
    <row r="318" spans="1:17" s="61" customFormat="1" ht="12.75" customHeight="1">
      <c r="A318" s="73" t="s">
        <v>457</v>
      </c>
      <c r="B318" s="75">
        <f>IF($M318&gt;0,('Amounts Pivot Table'!K$436/$M318),0)</f>
        <v>1104.7326168076943</v>
      </c>
      <c r="C318" s="75">
        <f>IF($M318&gt;0,('Amounts Pivot Table'!K$439/$M318),0)</f>
        <v>62.726097875950721</v>
      </c>
      <c r="D318" s="75">
        <f>IF($M318&gt;0,('Amounts Pivot Table'!K$442/$M318),0)</f>
        <v>816.31530193934941</v>
      </c>
      <c r="E318" s="75">
        <f>IF($M318&gt;0,('Amounts Pivot Table'!K$445/$M318),0)</f>
        <v>4734.7332362282168</v>
      </c>
      <c r="F318" s="75">
        <f t="shared" si="55"/>
        <v>6718.507252851211</v>
      </c>
      <c r="G318" s="116">
        <f>IF(B318&gt;0,RANK(B318,$B$305:$B$323),)</f>
        <v>13</v>
      </c>
      <c r="H318" s="107">
        <f>IF(C318&gt;0,RANK(C318,$C$305:$C$323),)</f>
        <v>4</v>
      </c>
      <c r="I318" s="107">
        <f>IF(D318&gt;0,RANK(D318,$D$305:$D$323),)</f>
        <v>6</v>
      </c>
      <c r="J318" s="107">
        <f>IF(E318&gt;0,RANK(E318,$E$305:$E$323),)</f>
        <v>1</v>
      </c>
      <c r="K318" s="107">
        <f>IF(F318&gt;0,RANK(F318,$F$305:$F$323),)</f>
        <v>6</v>
      </c>
      <c r="L318" s="169"/>
      <c r="M318" s="299">
        <f>+'[1]NEW-Tables 80-86'!AM178</f>
        <v>35517.066666666666</v>
      </c>
      <c r="N318" s="73"/>
      <c r="O318" s="73"/>
      <c r="P318" s="73"/>
      <c r="Q318" s="73"/>
    </row>
    <row r="319" spans="1:17" s="61" customFormat="1" ht="9.75" customHeight="1">
      <c r="A319" s="73"/>
      <c r="B319" s="75"/>
      <c r="C319" s="75"/>
      <c r="D319" s="75"/>
      <c r="E319" s="75"/>
      <c r="F319" s="75"/>
      <c r="G319" s="116"/>
      <c r="H319" s="107"/>
      <c r="I319" s="107"/>
      <c r="J319" s="107"/>
      <c r="K319" s="107"/>
      <c r="L319" s="169"/>
      <c r="M319" s="299">
        <f>+'[1]NEW-Tables 80-86'!AM179</f>
        <v>0</v>
      </c>
      <c r="N319" s="73"/>
      <c r="O319" s="73"/>
      <c r="P319" s="73"/>
      <c r="Q319" s="73"/>
    </row>
    <row r="320" spans="1:17" s="61" customFormat="1" ht="12.75" customHeight="1">
      <c r="A320" s="73" t="s">
        <v>130</v>
      </c>
      <c r="B320" s="75">
        <f>IF($M320&gt;0,('Amounts Pivot Table'!K$475/$M320),0)</f>
        <v>3664.7930239301845</v>
      </c>
      <c r="C320" s="75">
        <f>IF($M320&gt;0,('Amounts Pivot Table'!K$478/$M320),0)</f>
        <v>0</v>
      </c>
      <c r="D320" s="75">
        <f>IF($M320&gt;0,('Amounts Pivot Table'!K$481/$M320),0)</f>
        <v>0</v>
      </c>
      <c r="E320" s="75">
        <f>IF($M320&gt;0,('Amounts Pivot Table'!K$484/$M320),0)</f>
        <v>3891.2136317817153</v>
      </c>
      <c r="F320" s="75">
        <f t="shared" si="55"/>
        <v>7556.0066557118998</v>
      </c>
      <c r="G320" s="116">
        <f>IF(B320&gt;0,RANK(B320,$B$305:$B$323),)</f>
        <v>2</v>
      </c>
      <c r="H320" s="107">
        <f>IF(C320&gt;0,RANK(C320,$C$305:$C$323),)</f>
        <v>0</v>
      </c>
      <c r="I320" s="107">
        <f>IF(D320&gt;0,RANK(D320,$D$305:$D$323),)</f>
        <v>0</v>
      </c>
      <c r="J320" s="107">
        <f>IF(E320&gt;0,RANK(E320,$E$305:$E$323),)</f>
        <v>3</v>
      </c>
      <c r="K320" s="107">
        <f>IF(F320&gt;0,RANK(F320,$F$305:$F$323),)</f>
        <v>3</v>
      </c>
      <c r="L320" s="169"/>
      <c r="M320" s="299">
        <f>+'[1]NEW-Tables 80-86'!AM180</f>
        <v>24139.666666666664</v>
      </c>
      <c r="N320" s="73"/>
      <c r="O320" s="73"/>
      <c r="P320" s="73"/>
      <c r="Q320" s="73"/>
    </row>
    <row r="321" spans="1:17" s="76" customFormat="1" ht="12.75" customHeight="1">
      <c r="A321" s="73" t="s">
        <v>238</v>
      </c>
      <c r="B321" s="75">
        <f>IF($M321&gt;0,('Amounts Pivot Table'!K$514/$M321),0)</f>
        <v>2157.8398308851692</v>
      </c>
      <c r="C321" s="75">
        <f>IF($M321&gt;0,('Amounts Pivot Table'!K$517/$M321),0)</f>
        <v>0</v>
      </c>
      <c r="D321" s="75">
        <f>IF($M321&gt;0,('Amounts Pivot Table'!K$520/$M321),0)</f>
        <v>2972.942551705095</v>
      </c>
      <c r="E321" s="75">
        <f>IF($M321&gt;0,('Amounts Pivot Table'!K$523/$M321),0)</f>
        <v>2482.7735752908543</v>
      </c>
      <c r="F321" s="75">
        <f t="shared" si="55"/>
        <v>7613.555957881119</v>
      </c>
      <c r="G321" s="116">
        <f>IF(B321&gt;0,RANK(B321,$B$305:$B$323),)</f>
        <v>9</v>
      </c>
      <c r="H321" s="107">
        <f>IF(C321&gt;0,RANK(C321,$C$305:$C$323),)</f>
        <v>0</v>
      </c>
      <c r="I321" s="107">
        <f>IF(D321&gt;0,RANK(D321,$D$305:$D$323),)</f>
        <v>2</v>
      </c>
      <c r="J321" s="107">
        <f>IF(E321&gt;0,RANK(E321,$E$305:$E$323),)</f>
        <v>11</v>
      </c>
      <c r="K321" s="107">
        <f>IF(F321&gt;0,RANK(F321,$F$305:$F$323),)</f>
        <v>2</v>
      </c>
      <c r="L321" s="170"/>
      <c r="M321" s="299">
        <f>+'[1]NEW-Tables 80-86'!AM181</f>
        <v>286976.60555555561</v>
      </c>
      <c r="N321" s="90"/>
      <c r="O321" s="90"/>
      <c r="P321" s="90"/>
      <c r="Q321" s="90"/>
    </row>
    <row r="322" spans="1:17" s="61" customFormat="1" ht="12.75" customHeight="1">
      <c r="A322" s="73" t="s">
        <v>459</v>
      </c>
      <c r="B322" s="75">
        <f>IF($M322&gt;0,('Amounts Pivot Table'!K$553/$M322),0)</f>
        <v>0</v>
      </c>
      <c r="C322" s="75">
        <f>IF($M322&gt;0,('Amounts Pivot Table'!K$556/$M322),0)</f>
        <v>0</v>
      </c>
      <c r="D322" s="75">
        <f>IF($M322&gt;0,('Amounts Pivot Table'!K$559/$M322),0)</f>
        <v>0</v>
      </c>
      <c r="E322" s="75">
        <f>IF($M322&gt;0,('Amounts Pivot Table'!K$562/$M322),0)</f>
        <v>0</v>
      </c>
      <c r="F322" s="75">
        <f t="shared" si="55"/>
        <v>0</v>
      </c>
      <c r="G322" s="116">
        <f>IF(B322&gt;0,RANK(B322,$B$305:$B$323),)</f>
        <v>0</v>
      </c>
      <c r="H322" s="107">
        <f>IF(C322&gt;0,RANK(C322,$C$305:$C$323),)</f>
        <v>0</v>
      </c>
      <c r="I322" s="107">
        <f>IF(D322&gt;0,RANK(D322,$D$305:$D$323),)</f>
        <v>0</v>
      </c>
      <c r="J322" s="107">
        <f>IF(E322&gt;0,RANK(E322,$E$305:$E$323),)</f>
        <v>0</v>
      </c>
      <c r="K322" s="107">
        <f>IF(F322&gt;0,RANK(F322,$F$305:$F$323),)</f>
        <v>0</v>
      </c>
      <c r="L322" s="171"/>
      <c r="M322" s="299">
        <f>+'[1]NEW-Tables 80-86'!AM182</f>
        <v>0</v>
      </c>
      <c r="N322" s="73"/>
      <c r="O322" s="73"/>
      <c r="P322" s="73"/>
      <c r="Q322" s="73"/>
    </row>
    <row r="323" spans="1:17" s="61" customFormat="1" ht="15.75" customHeight="1">
      <c r="A323" s="74" t="s">
        <v>464</v>
      </c>
      <c r="B323" s="104">
        <f>IF($M323&gt;0,('Amounts Pivot Table'!K$592/$M323),0)</f>
        <v>0</v>
      </c>
      <c r="C323" s="104">
        <f>IF($M323&gt;0,('Amounts Pivot Table'!K$595/$M323),0)</f>
        <v>0</v>
      </c>
      <c r="D323" s="104">
        <f>IF($M323&gt;0,('Amounts Pivot Table'!K$598/$M323),0)</f>
        <v>0</v>
      </c>
      <c r="E323" s="104">
        <f>IF($M323&gt;0,('Amounts Pivot Table'!K$601/$M323),0)</f>
        <v>0</v>
      </c>
      <c r="F323" s="105">
        <f t="shared" si="55"/>
        <v>0</v>
      </c>
      <c r="G323" s="117">
        <f>IF(B323&gt;0,RANK(B323,$B$305:$B$323),)</f>
        <v>0</v>
      </c>
      <c r="H323" s="118">
        <f>IF(C323&gt;0,RANK(C323,$C$305:$C$323),)</f>
        <v>0</v>
      </c>
      <c r="I323" s="118">
        <f>IF(D323&gt;0,RANK(D323,$D$305:$D$323),)</f>
        <v>0</v>
      </c>
      <c r="J323" s="118">
        <f>IF(E323&gt;0,RANK(E323,$E$305:$E$323),)</f>
        <v>0</v>
      </c>
      <c r="K323" s="118">
        <f>IF(F323&gt;0,RANK(F323,$F$305:$F$323),)</f>
        <v>0</v>
      </c>
      <c r="L323" s="172"/>
      <c r="M323" s="299">
        <f>+'[1]NEW-Tables 80-86'!AM183</f>
        <v>0</v>
      </c>
      <c r="N323" s="73"/>
      <c r="O323" s="73"/>
      <c r="P323" s="73"/>
      <c r="Q323" s="73"/>
    </row>
    <row r="324" spans="1:17" s="76" customFormat="1" ht="18">
      <c r="A324" s="1455" t="s">
        <v>275</v>
      </c>
      <c r="B324" s="1455"/>
      <c r="C324" s="1455"/>
      <c r="D324" s="1455"/>
      <c r="E324" s="1455"/>
      <c r="F324" s="1455"/>
      <c r="G324" s="1455"/>
      <c r="H324" s="1455"/>
      <c r="I324" s="1455"/>
      <c r="J324" s="1455"/>
      <c r="K324" s="1455"/>
      <c r="L324" s="170"/>
      <c r="M324" s="303"/>
      <c r="N324" s="90"/>
      <c r="O324" s="90"/>
      <c r="P324" s="90"/>
      <c r="Q324" s="90"/>
    </row>
    <row r="325" spans="1:17" s="76" customFormat="1" ht="32.25" customHeight="1">
      <c r="A325" s="1405" t="s">
        <v>25</v>
      </c>
      <c r="B325" s="1450"/>
      <c r="C325" s="1450"/>
      <c r="D325" s="1450"/>
      <c r="E325" s="1450"/>
      <c r="F325" s="1450"/>
      <c r="G325" s="1450"/>
      <c r="H325" s="1450"/>
      <c r="I325" s="1450"/>
      <c r="J325" s="1450"/>
      <c r="K325" s="1450"/>
      <c r="L325" s="170"/>
      <c r="M325" s="299"/>
      <c r="N325" s="90"/>
      <c r="O325" s="90"/>
      <c r="P325" s="90"/>
      <c r="Q325" s="90"/>
    </row>
    <row r="326" spans="1:17" s="207" customFormat="1" ht="13.5" customHeight="1">
      <c r="A326" s="1405" t="s">
        <v>80</v>
      </c>
      <c r="B326" s="1450"/>
      <c r="C326" s="1450"/>
      <c r="D326" s="1450"/>
      <c r="E326" s="1450"/>
      <c r="F326" s="1450"/>
      <c r="G326" s="1450"/>
      <c r="H326" s="1450"/>
      <c r="I326" s="1450"/>
      <c r="J326" s="1450"/>
      <c r="K326" s="1450"/>
      <c r="L326" s="206"/>
      <c r="M326" s="305"/>
      <c r="N326" s="208"/>
      <c r="O326" s="208"/>
      <c r="P326" s="208"/>
      <c r="Q326" s="208"/>
    </row>
    <row r="327" spans="1:17" s="61" customFormat="1" ht="13.5" customHeight="1">
      <c r="A327" s="1405" t="s">
        <v>332</v>
      </c>
      <c r="B327" s="1443"/>
      <c r="C327" s="1443"/>
      <c r="D327" s="1443"/>
      <c r="E327" s="1443"/>
      <c r="F327" s="1443"/>
      <c r="G327" s="1444"/>
      <c r="H327" s="1444"/>
      <c r="I327" s="1444"/>
      <c r="J327" s="1444"/>
      <c r="K327" s="1444"/>
      <c r="L327" s="172"/>
      <c r="M327" s="303"/>
      <c r="N327" s="73"/>
      <c r="O327" s="73"/>
      <c r="P327" s="73"/>
      <c r="Q327" s="73"/>
    </row>
    <row r="328" spans="1:17" s="61" customFormat="1" ht="13.5" customHeight="1">
      <c r="A328" s="188"/>
      <c r="B328" s="106"/>
      <c r="C328" s="106"/>
      <c r="D328" s="106"/>
      <c r="E328" s="106"/>
      <c r="F328" s="106"/>
      <c r="G328" s="189"/>
      <c r="H328" s="189"/>
      <c r="I328" s="189"/>
      <c r="J328" s="189"/>
      <c r="K328" s="189"/>
      <c r="L328" s="172"/>
      <c r="M328" s="303"/>
      <c r="N328" s="73"/>
      <c r="O328" s="73"/>
      <c r="P328" s="73"/>
      <c r="Q328" s="73"/>
    </row>
    <row r="329" spans="1:17" s="61" customFormat="1">
      <c r="A329" s="188"/>
      <c r="B329" s="106"/>
      <c r="C329" s="106"/>
      <c r="D329" s="106"/>
      <c r="E329" s="106"/>
      <c r="F329" s="106"/>
      <c r="G329" s="189"/>
      <c r="H329" s="189"/>
      <c r="I329" s="189"/>
      <c r="J329" s="189"/>
      <c r="K329" s="1393" t="s">
        <v>2023</v>
      </c>
      <c r="L329" s="194"/>
      <c r="M329" s="299"/>
      <c r="N329" s="73"/>
      <c r="O329" s="73"/>
      <c r="P329" s="73"/>
      <c r="Q329" s="73"/>
    </row>
    <row r="330" spans="1:17" s="61" customFormat="1" ht="18">
      <c r="A330" s="135" t="s">
        <v>539</v>
      </c>
      <c r="B330" s="135"/>
      <c r="C330" s="135"/>
      <c r="D330" s="135"/>
      <c r="E330" s="135"/>
      <c r="F330" s="135"/>
      <c r="G330" s="135"/>
      <c r="H330" s="135"/>
      <c r="I330" s="135"/>
      <c r="J330" s="622"/>
      <c r="K330" s="135"/>
      <c r="L330" s="171"/>
      <c r="M330" s="299"/>
      <c r="N330" s="73"/>
      <c r="O330" s="73"/>
      <c r="P330" s="73"/>
      <c r="Q330" s="73"/>
    </row>
    <row r="331" spans="1:17" s="61" customFormat="1" ht="12.75" customHeight="1">
      <c r="A331" s="135"/>
      <c r="B331" s="135"/>
      <c r="C331" s="135"/>
      <c r="D331" s="135"/>
      <c r="E331" s="135"/>
      <c r="F331" s="135"/>
      <c r="G331" s="135"/>
      <c r="H331" s="135"/>
      <c r="I331" s="135"/>
      <c r="J331" s="622"/>
      <c r="K331" s="135"/>
      <c r="L331" s="171"/>
      <c r="M331" s="299"/>
      <c r="N331" s="73"/>
      <c r="O331" s="73"/>
      <c r="P331" s="73"/>
      <c r="Q331" s="73"/>
    </row>
    <row r="332" spans="1:17" s="61" customFormat="1" ht="18.75">
      <c r="A332" s="1429" t="s">
        <v>26</v>
      </c>
      <c r="B332" s="1429"/>
      <c r="C332" s="1429"/>
      <c r="D332" s="1429"/>
      <c r="E332" s="1429"/>
      <c r="F332" s="1429"/>
      <c r="G332" s="1429"/>
      <c r="H332" s="1429"/>
      <c r="I332" s="1429"/>
      <c r="J332" s="1429"/>
      <c r="K332" s="1429"/>
      <c r="L332" s="166"/>
      <c r="M332" s="299"/>
      <c r="N332" s="73"/>
      <c r="O332" s="73"/>
      <c r="P332" s="73"/>
      <c r="Q332" s="73"/>
    </row>
    <row r="333" spans="1:17" s="61" customFormat="1" ht="15.75">
      <c r="A333" s="1429" t="s">
        <v>2001</v>
      </c>
      <c r="B333" s="1429"/>
      <c r="C333" s="1429"/>
      <c r="D333" s="1429"/>
      <c r="E333" s="1429"/>
      <c r="F333" s="1429"/>
      <c r="G333" s="1429"/>
      <c r="H333" s="1429"/>
      <c r="I333" s="1429"/>
      <c r="J333" s="1429"/>
      <c r="K333" s="1429"/>
      <c r="L333" s="166"/>
      <c r="M333" s="302"/>
      <c r="N333" s="73"/>
      <c r="O333" s="73"/>
      <c r="P333" s="73"/>
      <c r="Q333" s="73"/>
    </row>
    <row r="334" spans="1:17" s="61" customFormat="1" ht="9" customHeight="1">
      <c r="A334" s="91"/>
      <c r="B334" s="91"/>
      <c r="C334" s="91"/>
      <c r="D334" s="91"/>
      <c r="E334" s="91"/>
      <c r="F334" s="91"/>
      <c r="G334" s="108"/>
      <c r="H334" s="91"/>
      <c r="I334" s="91"/>
      <c r="J334" s="91"/>
      <c r="K334" s="91"/>
      <c r="L334" s="166"/>
      <c r="M334" s="302"/>
      <c r="N334" s="73"/>
      <c r="O334" s="73"/>
      <c r="P334" s="73"/>
      <c r="Q334" s="73"/>
    </row>
    <row r="335" spans="1:17" s="61" customFormat="1" ht="14.25" customHeight="1">
      <c r="A335" s="60"/>
      <c r="B335" s="1451" t="s">
        <v>81</v>
      </c>
      <c r="C335" s="1452"/>
      <c r="D335" s="1452"/>
      <c r="E335" s="1452"/>
      <c r="F335" s="1452"/>
      <c r="G335" s="625" t="s">
        <v>178</v>
      </c>
      <c r="H335" s="626"/>
      <c r="I335" s="626"/>
      <c r="J335" s="626"/>
      <c r="K335" s="626"/>
      <c r="L335" s="174"/>
      <c r="M335" s="299"/>
      <c r="N335" s="73"/>
      <c r="O335" s="73"/>
      <c r="P335" s="73"/>
      <c r="Q335" s="73"/>
    </row>
    <row r="336" spans="1:17" s="179" customFormat="1" ht="48" customHeight="1">
      <c r="A336" s="50"/>
      <c r="B336" s="606" t="s">
        <v>126</v>
      </c>
      <c r="C336" s="607" t="s">
        <v>128</v>
      </c>
      <c r="D336" s="607" t="s">
        <v>127</v>
      </c>
      <c r="E336" s="607" t="s">
        <v>570</v>
      </c>
      <c r="F336" s="607" t="s">
        <v>138</v>
      </c>
      <c r="G336" s="608" t="s">
        <v>126</v>
      </c>
      <c r="H336" s="607" t="s">
        <v>128</v>
      </c>
      <c r="I336" s="607" t="s">
        <v>127</v>
      </c>
      <c r="J336" s="607" t="s">
        <v>570</v>
      </c>
      <c r="K336" s="607" t="s">
        <v>138</v>
      </c>
      <c r="L336" s="177"/>
      <c r="M336" s="301" t="s">
        <v>388</v>
      </c>
      <c r="N336" s="178"/>
      <c r="O336" s="178"/>
      <c r="P336" s="178"/>
      <c r="Q336" s="178"/>
    </row>
    <row r="337" spans="1:17" s="61" customFormat="1" ht="14.25">
      <c r="A337" s="73" t="s">
        <v>82</v>
      </c>
      <c r="B337" s="102">
        <f>IF($M337&gt;0,('Amounts Pivot Table'!L$631/$M337),0)</f>
        <v>3202.7904944892834</v>
      </c>
      <c r="C337" s="102">
        <f>IF($M337&gt;0,('Amounts Pivot Table'!L$634/$M337),0)</f>
        <v>126.06319951299872</v>
      </c>
      <c r="D337" s="102">
        <f>IF($M337&gt;0,('Amounts Pivot Table'!L$637/$M337),0)</f>
        <v>767.07581156439767</v>
      </c>
      <c r="E337" s="102">
        <f>IF($M337&gt;0,('Amounts Pivot Table'!L$640/$M337),0)</f>
        <v>2950.5128064627579</v>
      </c>
      <c r="F337" s="102">
        <f>SUM(B337:E337)</f>
        <v>7046.4423120294377</v>
      </c>
      <c r="G337" s="114"/>
      <c r="H337" s="115"/>
      <c r="I337" s="115"/>
      <c r="J337" s="115"/>
      <c r="K337" s="115"/>
      <c r="L337" s="169"/>
      <c r="M337" s="299">
        <f>+'[1]NEW-Tables 80-86'!AN163</f>
        <v>481367.63333333324</v>
      </c>
      <c r="N337" s="73"/>
      <c r="O337" s="73"/>
      <c r="P337" s="73"/>
      <c r="Q337" s="73"/>
    </row>
    <row r="338" spans="1:17" s="61" customFormat="1" ht="10.5" customHeight="1">
      <c r="A338" s="73"/>
      <c r="B338" s="102"/>
      <c r="C338" s="102"/>
      <c r="D338" s="102"/>
      <c r="E338" s="102"/>
      <c r="F338" s="102"/>
      <c r="G338" s="114"/>
      <c r="H338" s="115"/>
      <c r="I338" s="115"/>
      <c r="J338" s="115"/>
      <c r="K338" s="115"/>
      <c r="L338" s="169"/>
      <c r="M338" s="299">
        <f>+'[1]NEW-Tables 80-86'!AN164</f>
        <v>0</v>
      </c>
      <c r="N338" s="73"/>
      <c r="O338" s="73"/>
      <c r="P338" s="73"/>
      <c r="Q338" s="73"/>
    </row>
    <row r="339" spans="1:17" s="61" customFormat="1" ht="12.75" customHeight="1">
      <c r="A339" s="73" t="s">
        <v>452</v>
      </c>
      <c r="B339" s="75">
        <f>IF($M339&gt;0,('Amounts Pivot Table'!L$7/$M339),0)</f>
        <v>3313.5682520363257</v>
      </c>
      <c r="C339" s="75">
        <f>IF($M339&gt;0,('Amounts Pivot Table'!L$10/$M339),0)</f>
        <v>188.139836242776</v>
      </c>
      <c r="D339" s="75">
        <f>IF($M339&gt;0,('Amounts Pivot Table'!L$13/$M339),0)</f>
        <v>27.789362589474933</v>
      </c>
      <c r="E339" s="75">
        <f>IF($M339&gt;0,('Amounts Pivot Table'!L$16/$M339),0)</f>
        <v>2861.9266369338925</v>
      </c>
      <c r="F339" s="75">
        <f t="shared" ref="F339:F357" si="56">SUM(B339:E339)</f>
        <v>6391.4240878024684</v>
      </c>
      <c r="G339" s="116">
        <f>IF(B339&gt;0,RANK(B339,$B$339:$B$357),)</f>
        <v>6</v>
      </c>
      <c r="H339" s="107">
        <f>IF(C339&gt;0,RANK(C339,$C$339:$C$357),)</f>
        <v>3</v>
      </c>
      <c r="I339" s="107">
        <f>IF(D339&gt;0,RANK(D339,$D$339:$D$357),)</f>
        <v>8</v>
      </c>
      <c r="J339" s="107">
        <f>IF(E339&gt;0,RANK(E339,$E$339:$E$357),)</f>
        <v>8</v>
      </c>
      <c r="K339" s="107">
        <f>IF(F339&gt;0,RANK(F339,$F$339:$F$357),)</f>
        <v>10</v>
      </c>
      <c r="L339" s="169"/>
      <c r="M339" s="299">
        <f>+'[1]NEW-Tables 80-86'!AN165</f>
        <v>46996.400000000009</v>
      </c>
      <c r="N339" s="73"/>
      <c r="O339" s="73"/>
      <c r="P339" s="73"/>
      <c r="Q339" s="73"/>
    </row>
    <row r="340" spans="1:17" s="61" customFormat="1" ht="12.75" customHeight="1">
      <c r="A340" s="73" t="s">
        <v>466</v>
      </c>
      <c r="B340" s="75">
        <f>IF($M340&gt;0,('Amounts Pivot Table'!L$46/$M340),0)</f>
        <v>2918.146662162942</v>
      </c>
      <c r="C340" s="75">
        <f>IF($M340&gt;0,('Amounts Pivot Table'!L$49/$M340),0)</f>
        <v>0</v>
      </c>
      <c r="D340" s="75">
        <f>IF($M340&gt;0,('Amounts Pivot Table'!L$52/$M340),0)</f>
        <v>667.32025605325384</v>
      </c>
      <c r="E340" s="75">
        <f>IF($M340&gt;0,('Amounts Pivot Table'!L$55/$M340),0)</f>
        <v>3249.151597037428</v>
      </c>
      <c r="F340" s="75">
        <f t="shared" si="56"/>
        <v>6834.6185152536236</v>
      </c>
      <c r="G340" s="116">
        <f>IF(B340&gt;0,RANK(B340,$B$339:$B$357),)</f>
        <v>10</v>
      </c>
      <c r="H340" s="107">
        <f>IF(C340&gt;0,RANK(C340,$C$339:$C$357),)</f>
        <v>0</v>
      </c>
      <c r="I340" s="107">
        <f>IF(D340&gt;0,RANK(D340,$D$339:$D$357),)</f>
        <v>5</v>
      </c>
      <c r="J340" s="107">
        <f>IF(E340&gt;0,RANK(E340,$E$339:$E$357),)</f>
        <v>5</v>
      </c>
      <c r="K340" s="107">
        <f>IF(F340&gt;0,RANK(F340,$F$339:$F$357),)</f>
        <v>7</v>
      </c>
      <c r="L340" s="169"/>
      <c r="M340" s="299">
        <f>+'[1]NEW-Tables 80-86'!AN166</f>
        <v>12138.099999999999</v>
      </c>
      <c r="N340" s="73"/>
      <c r="O340" s="73"/>
      <c r="P340" s="73"/>
      <c r="Q340" s="73"/>
    </row>
    <row r="341" spans="1:17" s="61" customFormat="1" ht="12.75" customHeight="1">
      <c r="A341" s="73" t="s">
        <v>453</v>
      </c>
      <c r="B341" s="75">
        <f>IF($M341&gt;0,('Amounts Pivot Table'!L$85/$M341),0)</f>
        <v>3978.3783941146849</v>
      </c>
      <c r="C341" s="75">
        <f>IF($M341&gt;0,('Amounts Pivot Table'!L$88/$M341),0)</f>
        <v>0</v>
      </c>
      <c r="D341" s="75">
        <f>IF($M341&gt;0,('Amounts Pivot Table'!L$91/$M341),0)</f>
        <v>0</v>
      </c>
      <c r="E341" s="75">
        <f>IF($M341&gt;0,('Amounts Pivot Table'!L$94/$M341),0)</f>
        <v>2984.4628368641543</v>
      </c>
      <c r="F341" s="75">
        <f t="shared" si="56"/>
        <v>6962.8412309788391</v>
      </c>
      <c r="G341" s="116">
        <f>IF(B341&gt;0,RANK(B341,$B$339:$B$357),)</f>
        <v>2</v>
      </c>
      <c r="H341" s="107">
        <f>IF(C341&gt;0,RANK(C341,$C$339:$C$357),)</f>
        <v>0</v>
      </c>
      <c r="I341" s="107">
        <f>IF(D341&gt;0,RANK(D341,$D$339:$D$357),)</f>
        <v>0</v>
      </c>
      <c r="J341" s="107">
        <f>IF(E341&gt;0,RANK(E341,$E$339:$E$357),)</f>
        <v>6</v>
      </c>
      <c r="K341" s="107">
        <f>IF(F341&gt;0,RANK(F341,$F$339:$F$357),)</f>
        <v>5</v>
      </c>
      <c r="L341" s="169"/>
      <c r="M341" s="299">
        <f>+'[1]NEW-Tables 80-86'!AN167</f>
        <v>11449.966666666665</v>
      </c>
      <c r="N341" s="73"/>
      <c r="O341" s="73"/>
      <c r="P341" s="73"/>
      <c r="Q341" s="73"/>
    </row>
    <row r="342" spans="1:17" s="61" customFormat="1" ht="12.75" customHeight="1">
      <c r="A342" s="73" t="s">
        <v>460</v>
      </c>
      <c r="B342" s="75">
        <f>IF($M342&gt;0,('Amounts Pivot Table'!L$124/$M342),0)</f>
        <v>3904.9336209748799</v>
      </c>
      <c r="C342" s="75">
        <f>IF($M342&gt;0,('Amounts Pivot Table'!L$127/$M342),0)</f>
        <v>0</v>
      </c>
      <c r="D342" s="75">
        <f>IF($M342&gt;0,('Amounts Pivot Table'!L$130/$M342),0)</f>
        <v>0</v>
      </c>
      <c r="E342" s="75">
        <f>IF($M342&gt;0,('Amounts Pivot Table'!L$133/$M342),0)</f>
        <v>1870.5489671041198</v>
      </c>
      <c r="F342" s="75">
        <f t="shared" si="56"/>
        <v>5775.4825880789995</v>
      </c>
      <c r="G342" s="116">
        <f>IF(B342&gt;0,RANK(B342,$B$339:$B$357),)</f>
        <v>3</v>
      </c>
      <c r="H342" s="107">
        <f>IF(C342&gt;0,RANK(C342,$C$339:$C$357),)</f>
        <v>0</v>
      </c>
      <c r="I342" s="107">
        <f>IF(D342&gt;0,RANK(D342,$D$339:$D$357),)</f>
        <v>0</v>
      </c>
      <c r="J342" s="107">
        <f>IF(E342&gt;0,RANK(E342,$E$339:$E$357),)</f>
        <v>13</v>
      </c>
      <c r="K342" s="107">
        <f>IF(F342&gt;0,RANK(F342,$F$339:$F$357),)</f>
        <v>11</v>
      </c>
      <c r="L342" s="169"/>
      <c r="M342" s="299">
        <f>+'[1]NEW-Tables 80-86'!AN168</f>
        <v>18608.036666666667</v>
      </c>
      <c r="N342" s="73"/>
      <c r="O342" s="73"/>
      <c r="P342" s="73"/>
      <c r="Q342" s="73"/>
    </row>
    <row r="343" spans="1:17" s="61" customFormat="1" ht="10.5" customHeight="1">
      <c r="A343" s="73"/>
      <c r="B343" s="75"/>
      <c r="C343" s="75"/>
      <c r="D343" s="75"/>
      <c r="E343" s="75"/>
      <c r="F343" s="75">
        <f t="shared" si="56"/>
        <v>0</v>
      </c>
      <c r="G343" s="116"/>
      <c r="H343" s="107"/>
      <c r="I343" s="107"/>
      <c r="J343" s="107"/>
      <c r="K343" s="107"/>
      <c r="L343" s="169"/>
      <c r="M343" s="299">
        <f>+'[1]NEW-Tables 80-86'!AN169</f>
        <v>0</v>
      </c>
      <c r="N343" s="73"/>
      <c r="O343" s="73"/>
      <c r="P343" s="73"/>
      <c r="Q343" s="73"/>
    </row>
    <row r="344" spans="1:17" s="61" customFormat="1" ht="12.75" customHeight="1">
      <c r="A344" s="73" t="s">
        <v>461</v>
      </c>
      <c r="B344" s="75">
        <f>IF($M344&gt;0,('Amounts Pivot Table'!L$163/$M344),0)</f>
        <v>3516.0881201699513</v>
      </c>
      <c r="C344" s="75">
        <f>IF($M344&gt;0,('Amounts Pivot Table'!L$166/$M344),0)</f>
        <v>0</v>
      </c>
      <c r="D344" s="75">
        <f>IF($M344&gt;0,('Amounts Pivot Table'!L$169/$M344),0)</f>
        <v>0</v>
      </c>
      <c r="E344" s="75">
        <f>IF($M344&gt;0,('Amounts Pivot Table'!L$172/$M344),0)</f>
        <v>2931.4131611521866</v>
      </c>
      <c r="F344" s="75">
        <f t="shared" si="56"/>
        <v>6447.5012813221383</v>
      </c>
      <c r="G344" s="116">
        <f>IF(B344&gt;0,RANK(B344,$B$339:$B$357),)</f>
        <v>4</v>
      </c>
      <c r="H344" s="107">
        <f>IF(C344&gt;0,RANK(C344,$C$339:$C$357),)</f>
        <v>0</v>
      </c>
      <c r="I344" s="107">
        <f>IF(D344&gt;0,RANK(D344,$D$339:$D$357),)</f>
        <v>0</v>
      </c>
      <c r="J344" s="107">
        <f>IF(E344&gt;0,RANK(E344,$E$339:$E$357),)</f>
        <v>7</v>
      </c>
      <c r="K344" s="107">
        <f>IF(F344&gt;0,RANK(F344,$F$339:$F$357),)</f>
        <v>9</v>
      </c>
      <c r="L344" s="169"/>
      <c r="M344" s="299">
        <f>+'[1]NEW-Tables 80-86'!AN170</f>
        <v>24909.166666666664</v>
      </c>
      <c r="N344" s="73"/>
      <c r="O344" s="73"/>
      <c r="P344" s="73"/>
      <c r="Q344" s="73"/>
    </row>
    <row r="345" spans="1:17" s="61" customFormat="1" ht="12.75" customHeight="1">
      <c r="A345" s="73" t="s">
        <v>454</v>
      </c>
      <c r="B345" s="75">
        <f>IF($M345&gt;0,('Amounts Pivot Table'!L$202/$M345),0)</f>
        <v>2998.5171127764106</v>
      </c>
      <c r="C345" s="75">
        <f>IF($M345&gt;0,('Amounts Pivot Table'!L$205/$M345),0)</f>
        <v>0</v>
      </c>
      <c r="D345" s="75">
        <f>IF($M345&gt;0,('Amounts Pivot Table'!L$208/$M345),0)</f>
        <v>0</v>
      </c>
      <c r="E345" s="75">
        <f>IF($M345&gt;0,('Amounts Pivot Table'!L$211/$M345),0)</f>
        <v>3871.2117446820494</v>
      </c>
      <c r="F345" s="75">
        <f t="shared" si="56"/>
        <v>6869.72885745846</v>
      </c>
      <c r="G345" s="116">
        <f>IF(B345&gt;0,RANK(B345,$B$339:$B$357),)</f>
        <v>7</v>
      </c>
      <c r="H345" s="107">
        <f>IF(C345&gt;0,RANK(C345,$C$339:$C$357),)</f>
        <v>0</v>
      </c>
      <c r="I345" s="107">
        <f>IF(D345&gt;0,RANK(D345,$D$339:$D$357),)</f>
        <v>0</v>
      </c>
      <c r="J345" s="107">
        <f>IF(E345&gt;0,RANK(E345,$E$339:$E$357),)</f>
        <v>2</v>
      </c>
      <c r="K345" s="107">
        <f>IF(F345&gt;0,RANK(F345,$F$339:$F$357),)</f>
        <v>6</v>
      </c>
      <c r="L345" s="169"/>
      <c r="M345" s="299">
        <f>+'[1]NEW-Tables 80-86'!AN171</f>
        <v>31252.953333333331</v>
      </c>
      <c r="N345" s="73"/>
      <c r="O345" s="73"/>
      <c r="P345" s="73"/>
      <c r="Q345" s="73"/>
    </row>
    <row r="346" spans="1:17" s="61" customFormat="1" ht="12.75" customHeight="1">
      <c r="A346" s="73" t="s">
        <v>462</v>
      </c>
      <c r="B346" s="75">
        <f>IF($M346&gt;0,('Amounts Pivot Table'!L$241/$M346),0)</f>
        <v>2424.4265016284826</v>
      </c>
      <c r="C346" s="75">
        <f>IF($M346&gt;0,('Amounts Pivot Table'!L$244/$M346),0)</f>
        <v>0</v>
      </c>
      <c r="D346" s="75">
        <f>IF($M346&gt;0,('Amounts Pivot Table'!L$247/$M346),0)</f>
        <v>0</v>
      </c>
      <c r="E346" s="75">
        <f>IF($M346&gt;0,('Amounts Pivot Table'!L$250/$M346),0)</f>
        <v>2482.8874809544445</v>
      </c>
      <c r="F346" s="75">
        <f t="shared" si="56"/>
        <v>4907.3139825829276</v>
      </c>
      <c r="G346" s="116">
        <f>IF(B346&gt;0,RANK(B346,$B$339:$B$357),)</f>
        <v>13</v>
      </c>
      <c r="H346" s="107">
        <f>IF(C346&gt;0,RANK(C346,$C$339:$C$357),)</f>
        <v>0</v>
      </c>
      <c r="I346" s="107">
        <f>IF(D346&gt;0,RANK(D346,$D$339:$D$357),)</f>
        <v>0</v>
      </c>
      <c r="J346" s="107">
        <f>IF(E346&gt;0,RANK(E346,$E$339:$E$357),)</f>
        <v>12</v>
      </c>
      <c r="K346" s="107">
        <f>IF(F346&gt;0,RANK(F346,$F$339:$F$357),)</f>
        <v>14</v>
      </c>
      <c r="L346" s="169"/>
      <c r="M346" s="299">
        <f>+'[1]NEW-Tables 80-86'!AN172</f>
        <v>9538.5333333333328</v>
      </c>
      <c r="N346" s="73"/>
      <c r="O346" s="73"/>
      <c r="P346" s="73"/>
      <c r="Q346" s="73"/>
    </row>
    <row r="347" spans="1:17" s="61" customFormat="1" ht="12.75" customHeight="1">
      <c r="A347" s="73" t="s">
        <v>465</v>
      </c>
      <c r="B347" s="75">
        <f>IF($M347&gt;0,('Amounts Pivot Table'!L$280/$M347),0)</f>
        <v>2957.5627452445819</v>
      </c>
      <c r="C347" s="75">
        <f>IF($M347&gt;0,('Amounts Pivot Table'!L$283/$M347),0)</f>
        <v>0</v>
      </c>
      <c r="D347" s="75">
        <f>IF($M347&gt;0,('Amounts Pivot Table'!L$286/$M347),0)</f>
        <v>2758.3805327850778</v>
      </c>
      <c r="E347" s="75">
        <f>IF($M347&gt;0,('Amounts Pivot Table'!L$289/$M347),0)</f>
        <v>4646.7692401961358</v>
      </c>
      <c r="F347" s="75">
        <f t="shared" si="56"/>
        <v>10362.712518225795</v>
      </c>
      <c r="G347" s="116">
        <f>IF(B347&gt;0,RANK(B347,$B$339:$B$357),)</f>
        <v>8</v>
      </c>
      <c r="H347" s="107">
        <f>IF(C347&gt;0,RANK(C347,$C$339:$C$357),)</f>
        <v>0</v>
      </c>
      <c r="I347" s="107">
        <f>IF(D347&gt;0,RANK(D347,$D$339:$D$357),)</f>
        <v>1</v>
      </c>
      <c r="J347" s="107">
        <f>IF(E347&gt;0,RANK(E347,$E$339:$E$357),)</f>
        <v>1</v>
      </c>
      <c r="K347" s="107">
        <f>IF(F347&gt;0,RANK(F347,$F$339:$F$357),)</f>
        <v>1</v>
      </c>
      <c r="L347" s="169"/>
      <c r="M347" s="299">
        <f>+'[1]NEW-Tables 80-86'!AN173</f>
        <v>35903.783333333333</v>
      </c>
      <c r="N347" s="73"/>
      <c r="O347" s="73"/>
      <c r="P347" s="73"/>
      <c r="Q347" s="73"/>
    </row>
    <row r="348" spans="1:17" s="61" customFormat="1" ht="10.5" customHeight="1">
      <c r="A348" s="73"/>
      <c r="B348" s="75"/>
      <c r="C348" s="75"/>
      <c r="D348" s="75"/>
      <c r="E348" s="75"/>
      <c r="F348" s="75">
        <f t="shared" si="56"/>
        <v>0</v>
      </c>
      <c r="G348" s="116"/>
      <c r="H348" s="107"/>
      <c r="I348" s="107"/>
      <c r="J348" s="107"/>
      <c r="K348" s="107"/>
      <c r="L348" s="169"/>
      <c r="M348" s="299">
        <f>+'[1]NEW-Tables 80-86'!AN174</f>
        <v>0</v>
      </c>
      <c r="N348" s="73"/>
      <c r="O348" s="73"/>
      <c r="P348" s="73"/>
      <c r="Q348" s="73"/>
    </row>
    <row r="349" spans="1:17" s="61" customFormat="1" ht="12.75" customHeight="1">
      <c r="A349" s="73" t="s">
        <v>455</v>
      </c>
      <c r="B349" s="75">
        <f>IF($M349&gt;0,('Amounts Pivot Table'!L$319/$M349),0)</f>
        <v>2854.8201276105942</v>
      </c>
      <c r="C349" s="75">
        <f>IF($M349&gt;0,('Amounts Pivot Table'!L$322/$M349),0)</f>
        <v>360.10125395991088</v>
      </c>
      <c r="D349" s="75">
        <f>IF($M349&gt;0,('Amounts Pivot Table'!L$325/$M349),0)</f>
        <v>526.64243275636409</v>
      </c>
      <c r="E349" s="75">
        <f>IF($M349&gt;0,('Amounts Pivot Table'!L$328/$M349),0)</f>
        <v>2757.885699838514</v>
      </c>
      <c r="F349" s="75">
        <f t="shared" si="56"/>
        <v>6499.4495141653833</v>
      </c>
      <c r="G349" s="116">
        <f>IF(B349&gt;0,RANK(B349,$B$339:$B$357),)</f>
        <v>11</v>
      </c>
      <c r="H349" s="107">
        <f>IF(C349&gt;0,RANK(C349,$C$339:$C$357),)</f>
        <v>2</v>
      </c>
      <c r="I349" s="107">
        <f>IF(D349&gt;0,RANK(D349,$D$339:$D$357),)</f>
        <v>6</v>
      </c>
      <c r="J349" s="107">
        <f>IF(E349&gt;0,RANK(E349,$E$339:$E$357),)</f>
        <v>9</v>
      </c>
      <c r="K349" s="107">
        <f>IF(F349&gt;0,RANK(F349,$F$339:$F$357),)</f>
        <v>8</v>
      </c>
      <c r="L349" s="169"/>
      <c r="M349" s="299">
        <f>+'[1]NEW-Tables 80-86'!AN175</f>
        <v>35070.233333333337</v>
      </c>
      <c r="N349" s="73"/>
      <c r="O349" s="73"/>
      <c r="P349" s="73"/>
      <c r="Q349" s="73"/>
    </row>
    <row r="350" spans="1:17" s="61" customFormat="1" ht="12.75" customHeight="1">
      <c r="A350" s="73" t="s">
        <v>456</v>
      </c>
      <c r="B350" s="75">
        <f>IF($M350&gt;0,('Amounts Pivot Table'!L$358/$M350),0)</f>
        <v>4741.1465229415471</v>
      </c>
      <c r="C350" s="75">
        <f>IF($M350&gt;0,('Amounts Pivot Table'!L$361/$M350),0)</f>
        <v>496.89364673202647</v>
      </c>
      <c r="D350" s="75">
        <f>IF($M350&gt;0,('Amounts Pivot Table'!L$364/$M350),0)</f>
        <v>986.16566948046398</v>
      </c>
      <c r="E350" s="75">
        <f>IF($M350&gt;0,('Amounts Pivot Table'!L$367/$M350),0)</f>
        <v>1699.251743862066</v>
      </c>
      <c r="F350" s="75">
        <f t="shared" si="56"/>
        <v>7923.4575830161039</v>
      </c>
      <c r="G350" s="116">
        <f>IF(B350&gt;0,RANK(B350,$B$339:$B$357),)</f>
        <v>1</v>
      </c>
      <c r="H350" s="107">
        <f>IF(C350&gt;0,RANK(C350,$C$339:$C$357),)</f>
        <v>1</v>
      </c>
      <c r="I350" s="107">
        <f>IF(D350&gt;0,RANK(D350,$D$339:$D$357),)</f>
        <v>3</v>
      </c>
      <c r="J350" s="107">
        <f>IF(E350&gt;0,RANK(E350,$E$339:$E$357),)</f>
        <v>14</v>
      </c>
      <c r="K350" s="107">
        <f>IF(F350&gt;0,RANK(F350,$F$339:$F$357),)</f>
        <v>2</v>
      </c>
      <c r="L350" s="169"/>
      <c r="M350" s="299">
        <f>+'[1]NEW-Tables 80-86'!AN176</f>
        <v>70944.066666666666</v>
      </c>
      <c r="N350" s="73"/>
      <c r="O350" s="73"/>
      <c r="P350" s="73"/>
      <c r="Q350" s="73"/>
    </row>
    <row r="351" spans="1:17" s="61" customFormat="1" ht="12.75" customHeight="1">
      <c r="A351" s="73" t="s">
        <v>463</v>
      </c>
      <c r="B351" s="75">
        <f>IF($M351&gt;0,('Amounts Pivot Table'!L$397/$M351),0)</f>
        <v>2784.4388496571487</v>
      </c>
      <c r="C351" s="75">
        <f>IF($M351&gt;0,('Amounts Pivot Table'!L$400/$M351),0)</f>
        <v>0</v>
      </c>
      <c r="D351" s="75">
        <f>IF($M351&gt;0,('Amounts Pivot Table'!L$403/$M351),0)</f>
        <v>90.74472077235356</v>
      </c>
      <c r="E351" s="75">
        <f>IF($M351&gt;0,('Amounts Pivot Table'!L$406/$M351),0)</f>
        <v>2745.9301333879166</v>
      </c>
      <c r="F351" s="75">
        <f t="shared" si="56"/>
        <v>5621.1137038174184</v>
      </c>
      <c r="G351" s="116">
        <f>IF(B351&gt;0,RANK(B351,$B$339:$B$357),)</f>
        <v>12</v>
      </c>
      <c r="H351" s="107">
        <f>IF(C351&gt;0,RANK(C351,$C$339:$C$357),)</f>
        <v>0</v>
      </c>
      <c r="I351" s="107">
        <f>IF(D351&gt;0,RANK(D351,$D$339:$D$357),)</f>
        <v>7</v>
      </c>
      <c r="J351" s="107">
        <f>IF(E351&gt;0,RANK(E351,$E$339:$E$357),)</f>
        <v>10</v>
      </c>
      <c r="K351" s="107">
        <f>IF(F351&gt;0,RANK(F351,$F$339:$F$357),)</f>
        <v>13</v>
      </c>
      <c r="L351" s="169"/>
      <c r="M351" s="299">
        <f>+'[1]NEW-Tables 80-86'!AN177</f>
        <v>14656.5</v>
      </c>
      <c r="N351" s="73"/>
      <c r="O351" s="73"/>
      <c r="P351" s="73"/>
      <c r="Q351" s="73"/>
    </row>
    <row r="352" spans="1:17" s="61" customFormat="1" ht="12.75" customHeight="1">
      <c r="A352" s="73" t="s">
        <v>457</v>
      </c>
      <c r="B352" s="75">
        <f>IF($M352&gt;0,('Amounts Pivot Table'!L$436/$M352),0)</f>
        <v>1121.2160500455773</v>
      </c>
      <c r="C352" s="75">
        <f>IF($M352&gt;0,('Amounts Pivot Table'!L$439/$M352),0)</f>
        <v>95.927208487983123</v>
      </c>
      <c r="D352" s="75">
        <f>IF($M352&gt;0,('Amounts Pivot Table'!L$442/$M352),0)</f>
        <v>749.42531232060674</v>
      </c>
      <c r="E352" s="75">
        <f>IF($M352&gt;0,('Amounts Pivot Table'!L$445/$M352),0)</f>
        <v>3805.0809534690129</v>
      </c>
      <c r="F352" s="75">
        <f t="shared" si="56"/>
        <v>5771.6495243231802</v>
      </c>
      <c r="G352" s="116">
        <f>IF(B352&gt;0,RANK(B352,$B$339:$B$357),)</f>
        <v>14</v>
      </c>
      <c r="H352" s="107">
        <f>IF(C352&gt;0,RANK(C352,$C$339:$C$357),)</f>
        <v>4</v>
      </c>
      <c r="I352" s="107">
        <f>IF(D352&gt;0,RANK(D352,$D$339:$D$357),)</f>
        <v>4</v>
      </c>
      <c r="J352" s="107">
        <f>IF(E352&gt;0,RANK(E352,$E$339:$E$357),)</f>
        <v>3</v>
      </c>
      <c r="K352" s="107">
        <f>IF(F352&gt;0,RANK(F352,$F$339:$F$357),)</f>
        <v>12</v>
      </c>
      <c r="L352" s="169"/>
      <c r="M352" s="299">
        <f>+'[1]NEW-Tables 80-86'!AN178</f>
        <v>41285.03333333334</v>
      </c>
      <c r="N352" s="73"/>
      <c r="O352" s="73"/>
      <c r="P352" s="73"/>
      <c r="Q352" s="73"/>
    </row>
    <row r="353" spans="1:17" s="61" customFormat="1" ht="10.5" customHeight="1">
      <c r="A353" s="73"/>
      <c r="B353" s="75"/>
      <c r="C353" s="75"/>
      <c r="D353" s="75"/>
      <c r="E353" s="75"/>
      <c r="F353" s="75">
        <f t="shared" si="56"/>
        <v>0</v>
      </c>
      <c r="G353" s="116"/>
      <c r="H353" s="107"/>
      <c r="I353" s="107"/>
      <c r="J353" s="107"/>
      <c r="K353" s="107"/>
      <c r="L353" s="169"/>
      <c r="M353" s="299">
        <f>+'[1]NEW-Tables 80-86'!AN179</f>
        <v>0</v>
      </c>
      <c r="N353" s="73"/>
      <c r="O353" s="73"/>
      <c r="P353" s="73"/>
      <c r="Q353" s="73"/>
    </row>
    <row r="354" spans="1:17" s="61" customFormat="1" ht="12.75" customHeight="1">
      <c r="A354" s="73" t="s">
        <v>130</v>
      </c>
      <c r="B354" s="75">
        <f>IF($M354&gt;0,('Amounts Pivot Table'!L$475/$M354),0)</f>
        <v>3441.4486379606819</v>
      </c>
      <c r="C354" s="75">
        <f>IF($M354&gt;0,('Amounts Pivot Table'!L$478/$M354),0)</f>
        <v>0</v>
      </c>
      <c r="D354" s="75">
        <f>IF($M354&gt;0,('Amounts Pivot Table'!L$481/$M354),0)</f>
        <v>0</v>
      </c>
      <c r="E354" s="75">
        <f>IF($M354&gt;0,('Amounts Pivot Table'!L$484/$M354),0)</f>
        <v>3694.4770135733147</v>
      </c>
      <c r="F354" s="75">
        <f t="shared" si="56"/>
        <v>7135.9256515339966</v>
      </c>
      <c r="G354" s="116">
        <f>IF(B354&gt;0,RANK(B354,$B$339:$B$357),)</f>
        <v>5</v>
      </c>
      <c r="H354" s="107">
        <f>IF(C354&gt;0,RANK(C354,$C$339:$C$357),)</f>
        <v>0</v>
      </c>
      <c r="I354" s="107">
        <f>IF(D354&gt;0,RANK(D354,$D$339:$D$357),)</f>
        <v>0</v>
      </c>
      <c r="J354" s="107">
        <f>IF(E354&gt;0,RANK(E354,$E$339:$E$357),)</f>
        <v>4</v>
      </c>
      <c r="K354" s="107">
        <f>IF(F354&gt;0,RANK(F354,$F$339:$F$357),)</f>
        <v>3</v>
      </c>
      <c r="L354" s="169"/>
      <c r="M354" s="299">
        <f>+'[1]NEW-Tables 80-86'!AN180</f>
        <v>40358.600000000006</v>
      </c>
      <c r="N354" s="73"/>
      <c r="O354" s="73"/>
      <c r="P354" s="73"/>
      <c r="Q354" s="73"/>
    </row>
    <row r="355" spans="1:17" s="76" customFormat="1" ht="12.75" customHeight="1">
      <c r="A355" s="73" t="s">
        <v>238</v>
      </c>
      <c r="B355" s="75">
        <f>IF($M355&gt;0,('Amounts Pivot Table'!L$514/$M355),0)</f>
        <v>2937.8329650497326</v>
      </c>
      <c r="C355" s="75">
        <f>IF($M355&gt;0,('Amounts Pivot Table'!L$517/$M355),0)</f>
        <v>0</v>
      </c>
      <c r="D355" s="75">
        <f>IF($M355&gt;0,('Amounts Pivot Table'!L$520/$M355),0)</f>
        <v>1587.4346590258872</v>
      </c>
      <c r="E355" s="75">
        <f>IF($M355&gt;0,('Amounts Pivot Table'!L$523/$M355),0)</f>
        <v>2596.1186662566497</v>
      </c>
      <c r="F355" s="75">
        <f t="shared" si="56"/>
        <v>7121.3862903322697</v>
      </c>
      <c r="G355" s="116">
        <f>IF(B355&gt;0,RANK(B355,$B$339:$B$357),)</f>
        <v>9</v>
      </c>
      <c r="H355" s="107">
        <f>IF(C355&gt;0,RANK(C355,$C$339:$C$357),)</f>
        <v>0</v>
      </c>
      <c r="I355" s="107">
        <f>IF(D355&gt;0,RANK(D355,$D$339:$D$357),)</f>
        <v>2</v>
      </c>
      <c r="J355" s="107">
        <f>IF(E355&gt;0,RANK(E355,$E$339:$E$357),)</f>
        <v>11</v>
      </c>
      <c r="K355" s="107">
        <f>IF(F355&gt;0,RANK(F355,$F$339:$F$357),)</f>
        <v>4</v>
      </c>
      <c r="L355" s="170"/>
      <c r="M355" s="299">
        <f>+'[1]NEW-Tables 80-86'!AN181</f>
        <v>88256.259999999966</v>
      </c>
      <c r="N355" s="90"/>
      <c r="O355" s="90"/>
      <c r="P355" s="90"/>
      <c r="Q355" s="90"/>
    </row>
    <row r="356" spans="1:17" s="61" customFormat="1" ht="12.75" customHeight="1">
      <c r="A356" s="73" t="s">
        <v>459</v>
      </c>
      <c r="B356" s="75">
        <f>IF($M356&gt;0,('Amounts Pivot Table'!L$553/$M356),0)</f>
        <v>0</v>
      </c>
      <c r="C356" s="75">
        <f>IF($M356&gt;0,('Amounts Pivot Table'!L$556/$M356),0)</f>
        <v>0</v>
      </c>
      <c r="D356" s="75">
        <f>IF($M356&gt;0,('Amounts Pivot Table'!L$559/$M356),0)</f>
        <v>0</v>
      </c>
      <c r="E356" s="75">
        <f>IF($M356&gt;0,('Amounts Pivot Table'!L$562/$M356),0)</f>
        <v>0</v>
      </c>
      <c r="F356" s="75">
        <f t="shared" si="56"/>
        <v>0</v>
      </c>
      <c r="G356" s="116">
        <f>IF(B356&gt;0,RANK(B356,$B$339:$B$357),)</f>
        <v>0</v>
      </c>
      <c r="H356" s="107">
        <f>IF(C356&gt;0,RANK(C356,$C$339:$C$357),)</f>
        <v>0</v>
      </c>
      <c r="I356" s="107">
        <f>IF(D356&gt;0,RANK(D356,$D$339:$D$357),)</f>
        <v>0</v>
      </c>
      <c r="J356" s="107">
        <f>IF(E356&gt;0,RANK(E356,$E$339:$E$357),)</f>
        <v>0</v>
      </c>
      <c r="K356" s="107">
        <f>IF(F356&gt;0,RANK(F356,$F$339:$F$357),)</f>
        <v>0</v>
      </c>
      <c r="L356" s="171"/>
      <c r="M356" s="299">
        <f>+'[1]NEW-Tables 80-86'!AN182</f>
        <v>0</v>
      </c>
      <c r="N356" s="73"/>
      <c r="O356" s="73"/>
      <c r="P356" s="73"/>
      <c r="Q356" s="73"/>
    </row>
    <row r="357" spans="1:17" s="61" customFormat="1" ht="15" customHeight="1">
      <c r="A357" s="74" t="s">
        <v>464</v>
      </c>
      <c r="B357" s="104">
        <f>IF($M357&gt;0,('Amounts Pivot Table'!L$592/$M357),0)</f>
        <v>0</v>
      </c>
      <c r="C357" s="104">
        <f>IF($M357&gt;0,('Amounts Pivot Table'!L$595/$M357),0)</f>
        <v>0</v>
      </c>
      <c r="D357" s="104">
        <f>IF($M357&gt;0,('Amounts Pivot Table'!L$598/$M357),0)</f>
        <v>0</v>
      </c>
      <c r="E357" s="104">
        <f>IF($M357&gt;0,('Amounts Pivot Table'!L$601/$M357),0)</f>
        <v>0</v>
      </c>
      <c r="F357" s="105">
        <f t="shared" si="56"/>
        <v>0</v>
      </c>
      <c r="G357" s="117">
        <f>IF(B357&gt;0,RANK(B357,$B$339:$B$357),)</f>
        <v>0</v>
      </c>
      <c r="H357" s="118">
        <f>IF(C357&gt;0,RANK(C357,$C$339:$C$357),)</f>
        <v>0</v>
      </c>
      <c r="I357" s="118">
        <f>IF(D357&gt;0,RANK(D357,$D$339:$D$357),)</f>
        <v>0</v>
      </c>
      <c r="J357" s="118">
        <f>IF(E357&gt;0,RANK(E357,$E$339:$E$357),)</f>
        <v>0</v>
      </c>
      <c r="K357" s="118">
        <f>IF(F357&gt;0,RANK(F357,$F$339:$F$357),)</f>
        <v>0</v>
      </c>
      <c r="L357" s="172"/>
      <c r="M357" s="299">
        <f>+'[1]NEW-Tables 80-86'!AN183</f>
        <v>0</v>
      </c>
      <c r="N357" s="73"/>
      <c r="O357" s="73"/>
      <c r="P357" s="73"/>
      <c r="Q357" s="73"/>
    </row>
    <row r="358" spans="1:17" s="76" customFormat="1" ht="24.75" customHeight="1">
      <c r="A358" s="1455" t="s">
        <v>275</v>
      </c>
      <c r="B358" s="1455"/>
      <c r="C358" s="1455"/>
      <c r="D358" s="1455"/>
      <c r="E358" s="1455"/>
      <c r="F358" s="1455"/>
      <c r="G358" s="1455"/>
      <c r="H358" s="1455"/>
      <c r="I358" s="1455"/>
      <c r="J358" s="1455"/>
      <c r="K358" s="1455"/>
      <c r="L358" s="170"/>
      <c r="M358" s="303"/>
      <c r="N358" s="90"/>
      <c r="O358" s="90"/>
      <c r="P358" s="90"/>
      <c r="Q358" s="90"/>
    </row>
    <row r="359" spans="1:17" s="76" customFormat="1" ht="34.5" customHeight="1">
      <c r="A359" s="1405" t="s">
        <v>25</v>
      </c>
      <c r="B359" s="1450"/>
      <c r="C359" s="1450"/>
      <c r="D359" s="1450"/>
      <c r="E359" s="1450"/>
      <c r="F359" s="1450"/>
      <c r="G359" s="1450"/>
      <c r="H359" s="1450"/>
      <c r="I359" s="1450"/>
      <c r="J359" s="1450"/>
      <c r="K359" s="1450"/>
      <c r="L359" s="170"/>
      <c r="M359" s="299"/>
      <c r="N359" s="90"/>
      <c r="O359" s="90"/>
      <c r="P359" s="90"/>
      <c r="Q359" s="90"/>
    </row>
    <row r="360" spans="1:17" s="207" customFormat="1" ht="13.5" customHeight="1">
      <c r="A360" s="1405" t="s">
        <v>80</v>
      </c>
      <c r="B360" s="1450"/>
      <c r="C360" s="1450"/>
      <c r="D360" s="1450"/>
      <c r="E360" s="1450"/>
      <c r="F360" s="1450"/>
      <c r="G360" s="1450"/>
      <c r="H360" s="1450"/>
      <c r="I360" s="1450"/>
      <c r="J360" s="1450"/>
      <c r="K360" s="1450"/>
      <c r="L360" s="206"/>
      <c r="M360" s="305"/>
      <c r="N360" s="208"/>
      <c r="O360" s="208"/>
      <c r="P360" s="208"/>
      <c r="Q360" s="208"/>
    </row>
    <row r="361" spans="1:17" s="61" customFormat="1" ht="13.5" customHeight="1">
      <c r="A361" s="1405" t="s">
        <v>332</v>
      </c>
      <c r="B361" s="1443"/>
      <c r="C361" s="1443"/>
      <c r="D361" s="1443"/>
      <c r="E361" s="1443"/>
      <c r="F361" s="1443"/>
      <c r="G361" s="1444"/>
      <c r="H361" s="1444"/>
      <c r="I361" s="1444"/>
      <c r="J361" s="1444"/>
      <c r="K361" s="1444"/>
      <c r="L361" s="172"/>
      <c r="M361" s="303"/>
      <c r="N361" s="73"/>
      <c r="O361" s="73"/>
      <c r="P361" s="73"/>
      <c r="Q361" s="73"/>
    </row>
    <row r="362" spans="1:17" s="61" customFormat="1">
      <c r="A362" s="188"/>
      <c r="B362" s="106"/>
      <c r="C362" s="106"/>
      <c r="D362" s="106"/>
      <c r="E362" s="106"/>
      <c r="F362" s="106"/>
      <c r="G362" s="189"/>
      <c r="H362" s="189"/>
      <c r="I362" s="189"/>
      <c r="J362" s="189"/>
      <c r="K362" s="1393" t="s">
        <v>2023</v>
      </c>
      <c r="L362" s="194"/>
      <c r="M362" s="299"/>
      <c r="N362" s="73"/>
      <c r="O362" s="73"/>
      <c r="P362" s="73"/>
      <c r="Q362" s="73"/>
    </row>
    <row r="363" spans="1:17" s="61" customFormat="1" ht="18">
      <c r="A363" s="135" t="s">
        <v>540</v>
      </c>
      <c r="B363" s="135"/>
      <c r="C363" s="135"/>
      <c r="D363" s="135"/>
      <c r="E363" s="135"/>
      <c r="F363" s="135"/>
      <c r="G363" s="135"/>
      <c r="H363" s="135"/>
      <c r="I363" s="135"/>
      <c r="J363" s="622"/>
      <c r="K363" s="135"/>
      <c r="L363" s="171"/>
      <c r="M363" s="299"/>
      <c r="N363" s="73"/>
      <c r="O363" s="73"/>
      <c r="P363" s="73"/>
      <c r="Q363" s="73"/>
    </row>
    <row r="364" spans="1:17" s="61" customFormat="1" ht="12" customHeight="1">
      <c r="A364" s="135"/>
      <c r="B364" s="135"/>
      <c r="C364" s="135"/>
      <c r="D364" s="135"/>
      <c r="E364" s="135"/>
      <c r="F364" s="135"/>
      <c r="G364" s="135"/>
      <c r="H364" s="135"/>
      <c r="I364" s="135"/>
      <c r="J364" s="622"/>
      <c r="K364" s="135"/>
      <c r="L364" s="171"/>
      <c r="M364" s="299"/>
      <c r="N364" s="73"/>
      <c r="O364" s="73"/>
      <c r="P364" s="73"/>
      <c r="Q364" s="73"/>
    </row>
    <row r="365" spans="1:17" s="61" customFormat="1" ht="18.75">
      <c r="A365" s="1429" t="s">
        <v>26</v>
      </c>
      <c r="B365" s="1429"/>
      <c r="C365" s="1429"/>
      <c r="D365" s="1429"/>
      <c r="E365" s="1429"/>
      <c r="F365" s="1429"/>
      <c r="G365" s="1429"/>
      <c r="H365" s="1429"/>
      <c r="I365" s="1429"/>
      <c r="J365" s="1429"/>
      <c r="K365" s="1429"/>
      <c r="L365" s="166"/>
      <c r="M365" s="299"/>
      <c r="N365" s="73"/>
      <c r="O365" s="73"/>
      <c r="P365" s="73"/>
      <c r="Q365" s="73"/>
    </row>
    <row r="366" spans="1:17" s="61" customFormat="1" ht="15.75">
      <c r="A366" s="1429" t="s">
        <v>2000</v>
      </c>
      <c r="B366" s="1429"/>
      <c r="C366" s="1429"/>
      <c r="D366" s="1429"/>
      <c r="E366" s="1429"/>
      <c r="F366" s="1429"/>
      <c r="G366" s="1429"/>
      <c r="H366" s="1429"/>
      <c r="I366" s="1429"/>
      <c r="J366" s="1429"/>
      <c r="K366" s="1429"/>
      <c r="L366" s="166"/>
      <c r="M366" s="302"/>
      <c r="N366" s="73"/>
      <c r="O366" s="73"/>
      <c r="P366" s="73"/>
      <c r="Q366" s="73"/>
    </row>
    <row r="367" spans="1:17" s="61" customFormat="1" ht="8.25" customHeight="1">
      <c r="A367" s="91"/>
      <c r="B367" s="91"/>
      <c r="C367" s="91"/>
      <c r="D367" s="91"/>
      <c r="E367" s="91"/>
      <c r="F367" s="91"/>
      <c r="G367" s="108"/>
      <c r="H367" s="91"/>
      <c r="I367" s="91"/>
      <c r="J367" s="91"/>
      <c r="K367" s="91"/>
      <c r="L367" s="166"/>
      <c r="M367" s="299"/>
      <c r="N367" s="73"/>
      <c r="O367" s="73"/>
      <c r="P367" s="73"/>
      <c r="Q367" s="73"/>
    </row>
    <row r="368" spans="1:17" s="61" customFormat="1" ht="17.25" customHeight="1">
      <c r="A368" s="60"/>
      <c r="B368" s="1451" t="s">
        <v>81</v>
      </c>
      <c r="C368" s="1452"/>
      <c r="D368" s="1452"/>
      <c r="E368" s="1452"/>
      <c r="F368" s="1452"/>
      <c r="G368" s="625" t="s">
        <v>178</v>
      </c>
      <c r="H368" s="626"/>
      <c r="I368" s="626"/>
      <c r="J368" s="626"/>
      <c r="K368" s="626"/>
      <c r="L368" s="174"/>
      <c r="M368" s="299"/>
      <c r="N368" s="73"/>
      <c r="O368" s="73"/>
      <c r="P368" s="73"/>
      <c r="Q368" s="73"/>
    </row>
    <row r="369" spans="1:17" s="6" customFormat="1" ht="48">
      <c r="A369" s="50"/>
      <c r="B369" s="606" t="s">
        <v>126</v>
      </c>
      <c r="C369" s="607" t="s">
        <v>128</v>
      </c>
      <c r="D369" s="607" t="s">
        <v>127</v>
      </c>
      <c r="E369" s="607" t="s">
        <v>570</v>
      </c>
      <c r="F369" s="607" t="s">
        <v>138</v>
      </c>
      <c r="G369" s="608" t="s">
        <v>126</v>
      </c>
      <c r="H369" s="607" t="s">
        <v>128</v>
      </c>
      <c r="I369" s="607" t="s">
        <v>127</v>
      </c>
      <c r="J369" s="607" t="s">
        <v>570</v>
      </c>
      <c r="K369" s="607" t="s">
        <v>138</v>
      </c>
      <c r="L369" s="168"/>
      <c r="M369" s="301" t="s">
        <v>388</v>
      </c>
      <c r="N369" s="7"/>
      <c r="O369" s="7"/>
      <c r="P369" s="7"/>
      <c r="Q369" s="7"/>
    </row>
    <row r="370" spans="1:17" s="61" customFormat="1" ht="14.25">
      <c r="A370" s="73" t="s">
        <v>82</v>
      </c>
      <c r="B370" s="102">
        <f>IF($M370&gt;0,('Amounts Pivot Table'!M$631/$M370),0)</f>
        <v>4102.8576634279743</v>
      </c>
      <c r="C370" s="102">
        <f>IF($M370&gt;0,('Amounts Pivot Table'!M$634/$M370),0)</f>
        <v>205.17665181165034</v>
      </c>
      <c r="D370" s="102">
        <f>IF($M370&gt;0,('Amounts Pivot Table'!M$637/$M370),0)</f>
        <v>557.5458615870117</v>
      </c>
      <c r="E370" s="102">
        <f>IF($M370&gt;0,('Amounts Pivot Table'!M$640/$M370),0)</f>
        <v>2766.432996294408</v>
      </c>
      <c r="F370" s="102">
        <f>SUM(B370:E370)</f>
        <v>7632.013173121044</v>
      </c>
      <c r="G370" s="114"/>
      <c r="H370" s="115"/>
      <c r="I370" s="115"/>
      <c r="J370" s="115"/>
      <c r="K370" s="115"/>
      <c r="L370" s="169"/>
      <c r="M370" s="299">
        <f>+'[1]NEW-Tables 80-86'!AO163</f>
        <v>158932.84500000003</v>
      </c>
      <c r="N370" s="73"/>
      <c r="O370" s="73"/>
      <c r="P370" s="73"/>
      <c r="Q370" s="73"/>
    </row>
    <row r="371" spans="1:17" s="112" customFormat="1" ht="9" customHeight="1">
      <c r="A371" s="110"/>
      <c r="B371" s="111"/>
      <c r="C371" s="111"/>
      <c r="D371" s="111"/>
      <c r="E371" s="111"/>
      <c r="F371" s="111">
        <f>SUM(B371:E371)</f>
        <v>0</v>
      </c>
      <c r="G371" s="119"/>
      <c r="H371" s="120"/>
      <c r="I371" s="120"/>
      <c r="J371" s="120"/>
      <c r="K371" s="120"/>
      <c r="L371" s="176"/>
      <c r="M371" s="299">
        <f>+'[1]NEW-Tables 80-86'!AO164</f>
        <v>0</v>
      </c>
      <c r="N371" s="110"/>
      <c r="O371" s="110"/>
      <c r="P371" s="110"/>
      <c r="Q371" s="110"/>
    </row>
    <row r="372" spans="1:17" s="61" customFormat="1" ht="12.75" customHeight="1">
      <c r="A372" s="73" t="s">
        <v>452</v>
      </c>
      <c r="B372" s="75">
        <f>IF($M372&gt;0,('Amounts Pivot Table'!M$7/$M372),0)</f>
        <v>3713.1635466845532</v>
      </c>
      <c r="C372" s="75">
        <f>IF($M372&gt;0,('Amounts Pivot Table'!M$10/$M372),0)</f>
        <v>343.26090638698616</v>
      </c>
      <c r="D372" s="75">
        <f>IF($M372&gt;0,('Amounts Pivot Table'!M$13/$M372),0)</f>
        <v>12.534130097495206</v>
      </c>
      <c r="E372" s="75">
        <f>IF($M372&gt;0,('Amounts Pivot Table'!M$16/$M372),0)</f>
        <v>3045.4929978251589</v>
      </c>
      <c r="F372" s="75">
        <f t="shared" ref="F372:F390" si="57">SUM(B372:E372)</f>
        <v>7114.4515809941931</v>
      </c>
      <c r="G372" s="116">
        <f>IF(B372&gt;0,RANK(B372,$B$372:$B$390),)</f>
        <v>7</v>
      </c>
      <c r="H372" s="107">
        <f>IF(C372&gt;0,RANK(C372,$C$372:$C$390),)</f>
        <v>3</v>
      </c>
      <c r="I372" s="107">
        <f>IF(D372&gt;0,RANK(D372,$D$372:$D$390),)</f>
        <v>7</v>
      </c>
      <c r="J372" s="107">
        <f>IF(E372&gt;0,RANK(E372,$E$372:$E$390),)</f>
        <v>7</v>
      </c>
      <c r="K372" s="107">
        <f>IF(F372&gt;0,RANK(F372,$F$372:$F$390),)</f>
        <v>9</v>
      </c>
      <c r="L372" s="169"/>
      <c r="M372" s="299">
        <f>+'[1]NEW-Tables 80-86'!AO165</f>
        <v>14759.7</v>
      </c>
      <c r="N372" s="73"/>
      <c r="O372" s="73"/>
      <c r="P372" s="73"/>
      <c r="Q372" s="73"/>
    </row>
    <row r="373" spans="1:17" s="61" customFormat="1" ht="12.75" customHeight="1">
      <c r="A373" s="73" t="s">
        <v>466</v>
      </c>
      <c r="B373" s="75">
        <f>IF($M373&gt;0,('Amounts Pivot Table'!M$46/$M373),0)</f>
        <v>4671.2612132085542</v>
      </c>
      <c r="C373" s="75">
        <f>IF($M373&gt;0,('Amounts Pivot Table'!M$49/$M373),0)</f>
        <v>86.069679484071187</v>
      </c>
      <c r="D373" s="75">
        <f>IF($M373&gt;0,('Amounts Pivot Table'!M$52/$M373),0)</f>
        <v>300.83725290533226</v>
      </c>
      <c r="E373" s="75">
        <f>IF($M373&gt;0,('Amounts Pivot Table'!M$55/$M373),0)</f>
        <v>2468.632998755435</v>
      </c>
      <c r="F373" s="75">
        <f t="shared" si="57"/>
        <v>7526.8011443533924</v>
      </c>
      <c r="G373" s="116">
        <f>IF(B373&gt;0,RANK(B373,$B$372:$B$390),)</f>
        <v>3</v>
      </c>
      <c r="H373" s="107">
        <f>IF(C373&gt;0,RANK(C373,$C$372:$C$390),)</f>
        <v>5</v>
      </c>
      <c r="I373" s="107">
        <f>IF(D373&gt;0,RANK(D373,$D$372:$D$390),)</f>
        <v>6</v>
      </c>
      <c r="J373" s="107">
        <f>IF(E373&gt;0,RANK(E373,$E$372:$E$390),)</f>
        <v>12</v>
      </c>
      <c r="K373" s="107">
        <f>IF(F373&gt;0,RANK(F373,$F$372:$F$390),)</f>
        <v>7</v>
      </c>
      <c r="L373" s="169"/>
      <c r="M373" s="299">
        <f>+'[1]NEW-Tables 80-86'!AO166</f>
        <v>24747.599999999999</v>
      </c>
      <c r="N373" s="73"/>
      <c r="O373" s="73"/>
      <c r="P373" s="73"/>
      <c r="Q373" s="73"/>
    </row>
    <row r="374" spans="1:17" s="61" customFormat="1" ht="12.75" customHeight="1">
      <c r="A374" s="73" t="s">
        <v>453</v>
      </c>
      <c r="B374" s="75">
        <f>IF($M374&gt;0,('Amounts Pivot Table'!M$85/$M374),0)</f>
        <v>0</v>
      </c>
      <c r="C374" s="75">
        <f>IF($M374&gt;0,('Amounts Pivot Table'!M$88/$M374),0)</f>
        <v>0</v>
      </c>
      <c r="D374" s="75">
        <f>IF($M374&gt;0,('Amounts Pivot Table'!M$91/$M374),0)</f>
        <v>0</v>
      </c>
      <c r="E374" s="75">
        <f>IF($M374&gt;0,('Amounts Pivot Table'!M$94/$M374),0)</f>
        <v>0</v>
      </c>
      <c r="F374" s="75">
        <f t="shared" si="57"/>
        <v>0</v>
      </c>
      <c r="G374" s="116">
        <f>IF(B374&gt;0,RANK(B374,$B$372:$B$390),)</f>
        <v>0</v>
      </c>
      <c r="H374" s="107">
        <f>IF(C374&gt;0,RANK(C374,$C$372:$C$390),)</f>
        <v>0</v>
      </c>
      <c r="I374" s="107">
        <f>IF(D374&gt;0,RANK(D374,$D$372:$D$390),)</f>
        <v>0</v>
      </c>
      <c r="J374" s="107">
        <f>IF(E374&gt;0,RANK(E374,$E$372:$E$390),)</f>
        <v>0</v>
      </c>
      <c r="K374" s="107">
        <f>IF(F374&gt;0,RANK(F374,$F$372:$F$390),)</f>
        <v>0</v>
      </c>
      <c r="L374" s="169"/>
      <c r="M374" s="299">
        <f>+'[1]NEW-Tables 80-86'!AO167</f>
        <v>0</v>
      </c>
      <c r="N374" s="73"/>
      <c r="O374" s="73"/>
      <c r="P374" s="73"/>
      <c r="Q374" s="73"/>
    </row>
    <row r="375" spans="1:17" s="61" customFormat="1" ht="12.75" customHeight="1">
      <c r="A375" s="73" t="s">
        <v>460</v>
      </c>
      <c r="B375" s="75">
        <f>IF($M375&gt;0,('Amounts Pivot Table'!M$124/$M375),0)</f>
        <v>5868.3906957807494</v>
      </c>
      <c r="C375" s="75">
        <f>IF($M375&gt;0,('Amounts Pivot Table'!M$127/$M375),0)</f>
        <v>0</v>
      </c>
      <c r="D375" s="75">
        <f>IF($M375&gt;0,('Amounts Pivot Table'!M$130/$M375),0)</f>
        <v>0</v>
      </c>
      <c r="E375" s="75">
        <f>IF($M375&gt;0,('Amounts Pivot Table'!M$133/$M375),0)</f>
        <v>2192.2849045851922</v>
      </c>
      <c r="F375" s="75">
        <f t="shared" si="57"/>
        <v>8060.6756003659411</v>
      </c>
      <c r="G375" s="116">
        <f>IF(B375&gt;0,RANK(B375,$B$372:$B$390),)</f>
        <v>1</v>
      </c>
      <c r="H375" s="107">
        <f>IF(C375&gt;0,RANK(C375,$C$372:$C$390),)</f>
        <v>0</v>
      </c>
      <c r="I375" s="107">
        <f>IF(D375&gt;0,RANK(D375,$D$372:$D$390),)</f>
        <v>0</v>
      </c>
      <c r="J375" s="107">
        <f>IF(E375&gt;0,RANK(E375,$E$372:$E$390),)</f>
        <v>13</v>
      </c>
      <c r="K375" s="107">
        <f>IF(F375&gt;0,RANK(F375,$F$372:$F$390),)</f>
        <v>4</v>
      </c>
      <c r="L375" s="169"/>
      <c r="M375" s="299">
        <f>+'[1]NEW-Tables 80-86'!AO168</f>
        <v>2030.4288888888887</v>
      </c>
      <c r="N375" s="73"/>
      <c r="O375" s="73"/>
      <c r="P375" s="73"/>
      <c r="Q375" s="73"/>
    </row>
    <row r="376" spans="1:17" s="112" customFormat="1" ht="9" customHeight="1">
      <c r="A376" s="110"/>
      <c r="B376" s="111"/>
      <c r="C376" s="111"/>
      <c r="D376" s="111"/>
      <c r="E376" s="111"/>
      <c r="F376" s="111">
        <f t="shared" si="57"/>
        <v>0</v>
      </c>
      <c r="G376" s="119"/>
      <c r="H376" s="120"/>
      <c r="I376" s="120"/>
      <c r="J376" s="120"/>
      <c r="K376" s="120"/>
      <c r="L376" s="176"/>
      <c r="M376" s="299">
        <f>+'[1]NEW-Tables 80-86'!AO169</f>
        <v>0</v>
      </c>
      <c r="N376" s="110"/>
      <c r="O376" s="110"/>
      <c r="P376" s="110"/>
      <c r="Q376" s="110"/>
    </row>
    <row r="377" spans="1:17" s="61" customFormat="1" ht="12.75" customHeight="1">
      <c r="A377" s="73" t="s">
        <v>461</v>
      </c>
      <c r="B377" s="75">
        <f>IF($M377&gt;0,('Amounts Pivot Table'!M$163/$M377),0)</f>
        <v>3034.4066758664662</v>
      </c>
      <c r="C377" s="75">
        <f>IF($M377&gt;0,('Amounts Pivot Table'!M$166/$M377),0)</f>
        <v>0</v>
      </c>
      <c r="D377" s="75">
        <f>IF($M377&gt;0,('Amounts Pivot Table'!M$169/$M377),0)</f>
        <v>0</v>
      </c>
      <c r="E377" s="75">
        <f>IF($M377&gt;0,('Amounts Pivot Table'!M$172/$M377),0)</f>
        <v>2899.6628091824623</v>
      </c>
      <c r="F377" s="75">
        <f t="shared" si="57"/>
        <v>5934.069485048929</v>
      </c>
      <c r="G377" s="116">
        <f>IF(B377&gt;0,RANK(B377,$B$372:$B$390),)</f>
        <v>12</v>
      </c>
      <c r="H377" s="107">
        <f>IF(C377&gt;0,RANK(C377,$C$372:$C$390),)</f>
        <v>0</v>
      </c>
      <c r="I377" s="107">
        <f>IF(D377&gt;0,RANK(D377,$D$372:$D$390),)</f>
        <v>0</v>
      </c>
      <c r="J377" s="107">
        <f>IF(E377&gt;0,RANK(E377,$E$372:$E$390),)</f>
        <v>9</v>
      </c>
      <c r="K377" s="107">
        <f>IF(F377&gt;0,RANK(F377,$F$372:$F$390),)</f>
        <v>14</v>
      </c>
      <c r="L377" s="169"/>
      <c r="M377" s="299">
        <f>+'[1]NEW-Tables 80-86'!AO170</f>
        <v>7947.0333333333328</v>
      </c>
      <c r="N377" s="73"/>
      <c r="O377" s="73"/>
      <c r="P377" s="73"/>
      <c r="Q377" s="73"/>
    </row>
    <row r="378" spans="1:17" s="61" customFormat="1" ht="12.75" customHeight="1">
      <c r="A378" s="73" t="s">
        <v>454</v>
      </c>
      <c r="B378" s="75">
        <f>IF($M378&gt;0,('Amounts Pivot Table'!M$202/$M378),0)</f>
        <v>4088.8827599301485</v>
      </c>
      <c r="C378" s="75">
        <f>IF($M378&gt;0,('Amounts Pivot Table'!M$205/$M378),0)</f>
        <v>0</v>
      </c>
      <c r="D378" s="75">
        <f>IF($M378&gt;0,('Amounts Pivot Table'!M$208/$M378),0)</f>
        <v>0</v>
      </c>
      <c r="E378" s="75">
        <f>IF($M378&gt;0,('Amounts Pivot Table'!M$211/$M378),0)</f>
        <v>3779.1005291005295</v>
      </c>
      <c r="F378" s="75">
        <f t="shared" si="57"/>
        <v>7867.983289030678</v>
      </c>
      <c r="G378" s="116">
        <f>IF(B378&gt;0,RANK(B378,$B$372:$B$390),)</f>
        <v>6</v>
      </c>
      <c r="H378" s="107">
        <f>IF(C378&gt;0,RANK(C378,$C$372:$C$390),)</f>
        <v>0</v>
      </c>
      <c r="I378" s="107">
        <f>IF(D378&gt;0,RANK(D378,$D$372:$D$390),)</f>
        <v>0</v>
      </c>
      <c r="J378" s="107">
        <f>IF(E378&gt;0,RANK(E378,$E$372:$E$390),)</f>
        <v>3</v>
      </c>
      <c r="K378" s="107">
        <f>IF(F378&gt;0,RANK(F378,$F$372:$F$390),)</f>
        <v>5</v>
      </c>
      <c r="L378" s="169"/>
      <c r="M378" s="299">
        <f>+'[1]NEW-Tables 80-86'!AO171</f>
        <v>6350.4</v>
      </c>
      <c r="N378" s="73"/>
      <c r="O378" s="73"/>
      <c r="P378" s="73"/>
      <c r="Q378" s="73"/>
    </row>
    <row r="379" spans="1:17" s="61" customFormat="1" ht="12.75" customHeight="1">
      <c r="A379" s="73" t="s">
        <v>462</v>
      </c>
      <c r="B379" s="75">
        <f>IF($M379&gt;0,('Amounts Pivot Table'!M$241/$M379),0)</f>
        <v>2624.4318171941136</v>
      </c>
      <c r="C379" s="75">
        <f>IF($M379&gt;0,('Amounts Pivot Table'!M$244/$M379),0)</f>
        <v>0</v>
      </c>
      <c r="D379" s="75">
        <f>IF($M379&gt;0,('Amounts Pivot Table'!M$247/$M379),0)</f>
        <v>0</v>
      </c>
      <c r="E379" s="75">
        <f>IF($M379&gt;0,('Amounts Pivot Table'!M$250/$M379),0)</f>
        <v>1793.8149168629561</v>
      </c>
      <c r="F379" s="75">
        <f t="shared" si="57"/>
        <v>4418.2467340570693</v>
      </c>
      <c r="G379" s="116">
        <f>IF(B379&gt;0,RANK(B379,$B$372:$B$390),)</f>
        <v>14</v>
      </c>
      <c r="H379" s="107">
        <f>IF(C379&gt;0,RANK(C379,$C$372:$C$390),)</f>
        <v>0</v>
      </c>
      <c r="I379" s="107">
        <f>IF(D379&gt;0,RANK(D379,$D$372:$D$390),)</f>
        <v>0</v>
      </c>
      <c r="J379" s="107">
        <f>IF(E379&gt;0,RANK(E379,$E$372:$E$390),)</f>
        <v>14</v>
      </c>
      <c r="K379" s="107">
        <f>IF(F379&gt;0,RANK(F379,$F$372:$F$390),)</f>
        <v>15</v>
      </c>
      <c r="L379" s="169"/>
      <c r="M379" s="299">
        <f>+'[1]NEW-Tables 80-86'!AO172</f>
        <v>7670.0666666666675</v>
      </c>
      <c r="N379" s="73"/>
      <c r="O379" s="73"/>
      <c r="P379" s="73"/>
      <c r="Q379" s="73"/>
    </row>
    <row r="380" spans="1:17" s="61" customFormat="1" ht="12.75" customHeight="1">
      <c r="A380" s="73" t="s">
        <v>465</v>
      </c>
      <c r="B380" s="75">
        <f>IF($M380&gt;0,('Amounts Pivot Table'!M$280/$M380),0)</f>
        <v>2992.2708501361408</v>
      </c>
      <c r="C380" s="75">
        <f>IF($M380&gt;0,('Amounts Pivot Table'!M$283/$M380),0)</f>
        <v>0</v>
      </c>
      <c r="D380" s="75">
        <f>IF($M380&gt;0,('Amounts Pivot Table'!M$286/$M380),0)</f>
        <v>4445.9147498832644</v>
      </c>
      <c r="E380" s="75">
        <f>IF($M380&gt;0,('Amounts Pivot Table'!M$289/$M380),0)</f>
        <v>4386.9925956471379</v>
      </c>
      <c r="F380" s="75">
        <f t="shared" si="57"/>
        <v>11825.178195666544</v>
      </c>
      <c r="G380" s="116">
        <f>IF(B380&gt;0,RANK(B380,$B$372:$B$390),)</f>
        <v>13</v>
      </c>
      <c r="H380" s="107">
        <f>IF(C380&gt;0,RANK(C380,$C$372:$C$390),)</f>
        <v>0</v>
      </c>
      <c r="I380" s="107">
        <f>IF(D380&gt;0,RANK(D380,$D$372:$D$390),)</f>
        <v>1</v>
      </c>
      <c r="J380" s="107">
        <f>IF(E380&gt;0,RANK(E380,$E$372:$E$390),)</f>
        <v>1</v>
      </c>
      <c r="K380" s="107">
        <f>IF(F380&gt;0,RANK(F380,$F$372:$F$390),)</f>
        <v>1</v>
      </c>
      <c r="L380" s="169"/>
      <c r="M380" s="299">
        <f>+'[1]NEW-Tables 80-86'!AO173</f>
        <v>4122.5749999999998</v>
      </c>
      <c r="N380" s="73"/>
      <c r="O380" s="73"/>
      <c r="P380" s="73"/>
      <c r="Q380" s="73"/>
    </row>
    <row r="381" spans="1:17" s="112" customFormat="1" ht="8.25" customHeight="1">
      <c r="A381" s="110"/>
      <c r="B381" s="111"/>
      <c r="C381" s="111"/>
      <c r="D381" s="111"/>
      <c r="E381" s="111"/>
      <c r="F381" s="111">
        <f t="shared" si="57"/>
        <v>0</v>
      </c>
      <c r="G381" s="119"/>
      <c r="H381" s="120"/>
      <c r="I381" s="120"/>
      <c r="J381" s="120"/>
      <c r="K381" s="120"/>
      <c r="L381" s="176"/>
      <c r="M381" s="299">
        <f>+'[1]NEW-Tables 80-86'!AO174</f>
        <v>0</v>
      </c>
      <c r="N381" s="110"/>
      <c r="O381" s="110"/>
      <c r="P381" s="110"/>
      <c r="Q381" s="110"/>
    </row>
    <row r="382" spans="1:17" s="61" customFormat="1" ht="12.75" customHeight="1">
      <c r="A382" s="73" t="s">
        <v>455</v>
      </c>
      <c r="B382" s="75">
        <f>IF($M382&gt;0,('Amounts Pivot Table'!M$319/$M382),0)</f>
        <v>3320.9701486323329</v>
      </c>
      <c r="C382" s="75">
        <f>IF($M382&gt;0,('Amounts Pivot Table'!M$322/$M382),0)</f>
        <v>565.03218285523963</v>
      </c>
      <c r="D382" s="75">
        <f>IF($M382&gt;0,('Amounts Pivot Table'!M$325/$M382),0)</f>
        <v>636.02073358591122</v>
      </c>
      <c r="E382" s="75">
        <f>IF($M382&gt;0,('Amounts Pivot Table'!M$328/$M382),0)</f>
        <v>2701.9552021316458</v>
      </c>
      <c r="F382" s="75">
        <f t="shared" si="57"/>
        <v>7223.9782672051297</v>
      </c>
      <c r="G382" s="116">
        <f>IF(B382&gt;0,RANK(B382,$B$372:$B$390),)</f>
        <v>9</v>
      </c>
      <c r="H382" s="107">
        <f>IF(C382&gt;0,RANK(C382,$C$372:$C$390),)</f>
        <v>2</v>
      </c>
      <c r="I382" s="107">
        <f>IF(D382&gt;0,RANK(D382,$D$372:$D$390),)</f>
        <v>4</v>
      </c>
      <c r="J382" s="107">
        <f>IF(E382&gt;0,RANK(E382,$E$372:$E$390),)</f>
        <v>10</v>
      </c>
      <c r="K382" s="107">
        <f>IF(F382&gt;0,RANK(F382,$F$372:$F$390),)</f>
        <v>8</v>
      </c>
      <c r="L382" s="169"/>
      <c r="M382" s="299">
        <f>+'[1]NEW-Tables 80-86'!AO175</f>
        <v>4003.1666666666665</v>
      </c>
      <c r="N382" s="73"/>
      <c r="O382" s="73"/>
      <c r="P382" s="73"/>
      <c r="Q382" s="73"/>
    </row>
    <row r="383" spans="1:17" s="61" customFormat="1" ht="12.75" customHeight="1">
      <c r="A383" s="73" t="s">
        <v>456</v>
      </c>
      <c r="B383" s="75">
        <f>IF($M383&gt;0,('Amounts Pivot Table'!M$358/$M383),0)</f>
        <v>5701.9770347359499</v>
      </c>
      <c r="C383" s="75">
        <f>IF($M383&gt;0,('Amounts Pivot Table'!M$361/$M383),0)</f>
        <v>743.08605478678328</v>
      </c>
      <c r="D383" s="75">
        <f>IF($M383&gt;0,('Amounts Pivot Table'!M$364/$M383),0)</f>
        <v>1099.9416887884777</v>
      </c>
      <c r="E383" s="75">
        <f>IF($M383&gt;0,('Amounts Pivot Table'!M$367/$M383),0)</f>
        <v>1711.3185766732561</v>
      </c>
      <c r="F383" s="75">
        <f t="shared" si="57"/>
        <v>9256.3233549844681</v>
      </c>
      <c r="G383" s="116">
        <f>IF(B383&gt;0,RANK(B383,$B$372:$B$390),)</f>
        <v>2</v>
      </c>
      <c r="H383" s="107">
        <f>IF(C383&gt;0,RANK(C383,$C$372:$C$390),)</f>
        <v>1</v>
      </c>
      <c r="I383" s="107">
        <f>IF(D383&gt;0,RANK(D383,$D$372:$D$390),)</f>
        <v>3</v>
      </c>
      <c r="J383" s="107">
        <f>IF(E383&gt;0,RANK(E383,$E$372:$E$390),)</f>
        <v>15</v>
      </c>
      <c r="K383" s="107">
        <f>IF(F383&gt;0,RANK(F383,$F$372:$F$390),)</f>
        <v>2</v>
      </c>
      <c r="L383" s="169"/>
      <c r="M383" s="299">
        <f>+'[1]NEW-Tables 80-86'!AO176</f>
        <v>29508.333333333336</v>
      </c>
      <c r="N383" s="73"/>
      <c r="O383" s="73"/>
      <c r="P383" s="73"/>
      <c r="Q383" s="73"/>
    </row>
    <row r="384" spans="1:17" s="61" customFormat="1" ht="12.75" customHeight="1">
      <c r="A384" s="73" t="s">
        <v>463</v>
      </c>
      <c r="B384" s="75">
        <f>IF($M384&gt;0,('Amounts Pivot Table'!M$397/$M384),0)</f>
        <v>3434.7420244985865</v>
      </c>
      <c r="C384" s="75">
        <f>IF($M384&gt;0,('Amounts Pivot Table'!M$400/$M384),0)</f>
        <v>0</v>
      </c>
      <c r="D384" s="75">
        <f>IF($M384&gt;0,('Amounts Pivot Table'!M$403/$M384),0)</f>
        <v>0</v>
      </c>
      <c r="E384" s="75">
        <f>IF($M384&gt;0,('Amounts Pivot Table'!M$406/$M384),0)</f>
        <v>2543.2513797280926</v>
      </c>
      <c r="F384" s="75">
        <f t="shared" si="57"/>
        <v>5977.9934042266796</v>
      </c>
      <c r="G384" s="116">
        <f>IF(B384&gt;0,RANK(B384,$B$372:$B$390),)</f>
        <v>8</v>
      </c>
      <c r="H384" s="107">
        <f>IF(C384&gt;0,RANK(C384,$C$372:$C$390),)</f>
        <v>0</v>
      </c>
      <c r="I384" s="107">
        <f>IF(D384&gt;0,RANK(D384,$D$372:$D$390),)</f>
        <v>0</v>
      </c>
      <c r="J384" s="107">
        <f>IF(E384&gt;0,RANK(E384,$E$372:$E$390),)</f>
        <v>11</v>
      </c>
      <c r="K384" s="107">
        <f>IF(F384&gt;0,RANK(F384,$F$372:$F$390),)</f>
        <v>13</v>
      </c>
      <c r="L384" s="169"/>
      <c r="M384" s="299">
        <f>+'[1]NEW-Tables 80-86'!AO177</f>
        <v>14858</v>
      </c>
      <c r="N384" s="73"/>
      <c r="O384" s="73"/>
      <c r="P384" s="73"/>
      <c r="Q384" s="73"/>
    </row>
    <row r="385" spans="1:17" s="61" customFormat="1" ht="12.75" customHeight="1">
      <c r="A385" s="73" t="s">
        <v>457</v>
      </c>
      <c r="B385" s="75">
        <f>IF($M385&gt;0,('Amounts Pivot Table'!M$436/$M385),0)</f>
        <v>1682.783161162811</v>
      </c>
      <c r="C385" s="75">
        <f>IF($M385&gt;0,('Amounts Pivot Table'!M$439/$M385),0)</f>
        <v>98.867035279620382</v>
      </c>
      <c r="D385" s="75">
        <f>IF($M385&gt;0,('Amounts Pivot Table'!M$442/$M385),0)</f>
        <v>440.87238843590211</v>
      </c>
      <c r="E385" s="75">
        <f>IF($M385&gt;0,('Amounts Pivot Table'!M$445/$M385),0)</f>
        <v>4254.286405863666</v>
      </c>
      <c r="F385" s="75">
        <f t="shared" si="57"/>
        <v>6476.8089907419999</v>
      </c>
      <c r="G385" s="116">
        <f>IF(B385&gt;0,RANK(B385,$B$372:$B$390),)</f>
        <v>15</v>
      </c>
      <c r="H385" s="107">
        <f>IF(C385&gt;0,RANK(C385,$C$372:$C$390),)</f>
        <v>4</v>
      </c>
      <c r="I385" s="107">
        <f>IF(D385&gt;0,RANK(D385,$D$372:$D$390),)</f>
        <v>5</v>
      </c>
      <c r="J385" s="107">
        <f>IF(E385&gt;0,RANK(E385,$E$372:$E$390),)</f>
        <v>2</v>
      </c>
      <c r="K385" s="107">
        <f>IF(F385&gt;0,RANK(F385,$F$372:$F$390),)</f>
        <v>11</v>
      </c>
      <c r="L385" s="169"/>
      <c r="M385" s="299">
        <f>+'[1]NEW-Tables 80-86'!AO178</f>
        <v>8331.5333333333347</v>
      </c>
      <c r="N385" s="73"/>
      <c r="O385" s="73"/>
      <c r="P385" s="73"/>
      <c r="Q385" s="73"/>
    </row>
    <row r="386" spans="1:17" s="112" customFormat="1" ht="7.5" customHeight="1">
      <c r="A386" s="110"/>
      <c r="B386" s="111"/>
      <c r="C386" s="111"/>
      <c r="D386" s="111"/>
      <c r="E386" s="111"/>
      <c r="F386" s="111">
        <f t="shared" si="57"/>
        <v>0</v>
      </c>
      <c r="G386" s="119"/>
      <c r="H386" s="120"/>
      <c r="I386" s="120"/>
      <c r="J386" s="120"/>
      <c r="K386" s="120"/>
      <c r="L386" s="176"/>
      <c r="M386" s="299">
        <f>+'[1]NEW-Tables 80-86'!AO179</f>
        <v>0</v>
      </c>
      <c r="N386" s="110"/>
      <c r="O386" s="110"/>
      <c r="P386" s="110"/>
      <c r="Q386" s="110"/>
    </row>
    <row r="387" spans="1:17" s="61" customFormat="1" ht="12.75" customHeight="1">
      <c r="A387" s="73" t="s">
        <v>130</v>
      </c>
      <c r="B387" s="75">
        <f>IF($M387&gt;0,('Amounts Pivot Table'!M$475/$M387),0)</f>
        <v>3240.8464066216607</v>
      </c>
      <c r="C387" s="75">
        <f>IF($M387&gt;0,('Amounts Pivot Table'!M$478/$M387),0)</f>
        <v>0</v>
      </c>
      <c r="D387" s="75">
        <f>IF($M387&gt;0,('Amounts Pivot Table'!M$481/$M387),0)</f>
        <v>0</v>
      </c>
      <c r="E387" s="75">
        <f>IF($M387&gt;0,('Amounts Pivot Table'!M$484/$M387),0)</f>
        <v>3709.587383646588</v>
      </c>
      <c r="F387" s="75">
        <f t="shared" si="57"/>
        <v>6950.4337902682491</v>
      </c>
      <c r="G387" s="116">
        <f>IF(B387&gt;0,RANK(B387,$B$372:$B$390),)</f>
        <v>10</v>
      </c>
      <c r="H387" s="107">
        <f>IF(C387&gt;0,RANK(C387,$C$372:$C$390),)</f>
        <v>0</v>
      </c>
      <c r="I387" s="107">
        <f>IF(D387&gt;0,RANK(D387,$D$372:$D$390),)</f>
        <v>0</v>
      </c>
      <c r="J387" s="107">
        <f>IF(E387&gt;0,RANK(E387,$E$372:$E$390),)</f>
        <v>4</v>
      </c>
      <c r="K387" s="107">
        <f>IF(F387&gt;0,RANK(F387,$F$372:$F$390),)</f>
        <v>10</v>
      </c>
      <c r="L387" s="169"/>
      <c r="M387" s="299">
        <f>+'[1]NEW-Tables 80-86'!AO180</f>
        <v>2424.3666666666668</v>
      </c>
      <c r="N387" s="73"/>
      <c r="O387" s="73"/>
      <c r="P387" s="73"/>
      <c r="Q387" s="73"/>
    </row>
    <row r="388" spans="1:17" s="76" customFormat="1" ht="12.75" customHeight="1">
      <c r="A388" s="73" t="s">
        <v>238</v>
      </c>
      <c r="B388" s="75">
        <f>IF($M388&gt;0,('Amounts Pivot Table'!M$514/$M388),0)</f>
        <v>4345.921812285882</v>
      </c>
      <c r="C388" s="75">
        <f>IF($M388&gt;0,('Amounts Pivot Table'!M$517/$M388),0)</f>
        <v>0</v>
      </c>
      <c r="D388" s="75">
        <f>IF($M388&gt;0,('Amounts Pivot Table'!M$520/$M388),0)</f>
        <v>1461.3802120650566</v>
      </c>
      <c r="E388" s="75">
        <f>IF($M388&gt;0,('Amounts Pivot Table'!M$523/$M388),0)</f>
        <v>2946.0780384564646</v>
      </c>
      <c r="F388" s="75">
        <f t="shared" si="57"/>
        <v>8753.3800628074023</v>
      </c>
      <c r="G388" s="116">
        <f>IF(B388&gt;0,RANK(B388,$B$372:$B$390),)</f>
        <v>4</v>
      </c>
      <c r="H388" s="107">
        <f>IF(C388&gt;0,RANK(C388,$C$372:$C$390),)</f>
        <v>0</v>
      </c>
      <c r="I388" s="107">
        <f>IF(D388&gt;0,RANK(D388,$D$372:$D$390),)</f>
        <v>2</v>
      </c>
      <c r="J388" s="107">
        <f>IF(E388&gt;0,RANK(E388,$E$372:$E$390),)</f>
        <v>8</v>
      </c>
      <c r="K388" s="107">
        <f>IF(F388&gt;0,RANK(F388,$F$372:$F$390),)</f>
        <v>3</v>
      </c>
      <c r="L388" s="170"/>
      <c r="M388" s="299">
        <f>+'[1]NEW-Tables 80-86'!AO181</f>
        <v>16407.124444444446</v>
      </c>
      <c r="N388" s="90"/>
      <c r="O388" s="90"/>
      <c r="P388" s="90"/>
      <c r="Q388" s="90"/>
    </row>
    <row r="389" spans="1:17" s="61" customFormat="1" ht="12.75" customHeight="1">
      <c r="A389" s="73" t="s">
        <v>43</v>
      </c>
      <c r="B389" s="75">
        <f>IF($M389&gt;0,('Amounts Pivot Table'!M$553/$M389),0)</f>
        <v>4149.7405068308535</v>
      </c>
      <c r="C389" s="75">
        <f>IF($M389&gt;0,('Amounts Pivot Table'!M$556/$M389),0)</f>
        <v>0</v>
      </c>
      <c r="D389" s="75">
        <f>IF($M389&gt;0,('Amounts Pivot Table'!M$559/$M389),0)</f>
        <v>0</v>
      </c>
      <c r="E389" s="75">
        <f>IF($M389&gt;0,('Amounts Pivot Table'!M$562/$M389),0)</f>
        <v>3453.610971646011</v>
      </c>
      <c r="F389" s="75">
        <f>SUM(B389:E389)</f>
        <v>7603.3514784768649</v>
      </c>
      <c r="G389" s="116">
        <f>IF(B389&gt;0,RANK(B389,$B$372:$B$390),)</f>
        <v>5</v>
      </c>
      <c r="H389" s="107">
        <f>IF(C389&gt;0,RANK(C389,$C$372:$C$390),)</f>
        <v>0</v>
      </c>
      <c r="I389" s="107">
        <f>IF(D389&gt;0,RANK(D389,$D$372:$D$390),)</f>
        <v>0</v>
      </c>
      <c r="J389" s="107">
        <f>IF(E389&gt;0,RANK(E389,$E$372:$E$390),)</f>
        <v>5</v>
      </c>
      <c r="K389" s="107">
        <f>IF(F389&gt;0,RANK(F389,$F$372:$F$390),)</f>
        <v>6</v>
      </c>
      <c r="L389" s="171"/>
      <c r="M389" s="299">
        <f>+'[1]NEW-Tables 80-86'!AO182</f>
        <v>1261.4333333333334</v>
      </c>
      <c r="N389" s="73"/>
      <c r="O389" s="73"/>
      <c r="P389" s="73"/>
      <c r="Q389" s="73"/>
    </row>
    <row r="390" spans="1:17" s="61" customFormat="1" ht="13.5" customHeight="1">
      <c r="A390" s="74" t="s">
        <v>464</v>
      </c>
      <c r="B390" s="104">
        <f>IF($M390&gt;0,('Amounts Pivot Table'!M$592/$M390),0)</f>
        <v>3135.0043242808656</v>
      </c>
      <c r="C390" s="104">
        <f>IF($M390&gt;0,('Amounts Pivot Table'!M$595/$M390),0)</f>
        <v>27.565136992988116</v>
      </c>
      <c r="D390" s="104">
        <f>IF($M390&gt;0,('Amounts Pivot Table'!M$598/$M390),0)</f>
        <v>0</v>
      </c>
      <c r="E390" s="104">
        <f>IF($M390&gt;0,('Amounts Pivot Table'!M$601/$M390),0)</f>
        <v>3097.9780053177742</v>
      </c>
      <c r="F390" s="105">
        <f t="shared" si="57"/>
        <v>6260.5474665916281</v>
      </c>
      <c r="G390" s="117">
        <f>IF(B390&gt;0,RANK(B390,$B$372:$B$390),)</f>
        <v>11</v>
      </c>
      <c r="H390" s="118">
        <f>IF(C390&gt;0,RANK(C390,$C$372:$C$390),)</f>
        <v>6</v>
      </c>
      <c r="I390" s="118">
        <f>IF(D390&gt;0,RANK(D390,$D$372:$D$390),)</f>
        <v>0</v>
      </c>
      <c r="J390" s="118">
        <f>IF(E390&gt;0,RANK(E390,$E$372:$E$390),)</f>
        <v>6</v>
      </c>
      <c r="K390" s="118">
        <f>IF(F390&gt;0,RANK(F390,$F$372:$F$390),)</f>
        <v>12</v>
      </c>
      <c r="L390" s="172"/>
      <c r="M390" s="299">
        <f>+'[1]NEW-Tables 80-86'!AO183</f>
        <v>14511.083333333334</v>
      </c>
      <c r="N390" s="73"/>
      <c r="O390" s="73"/>
      <c r="P390" s="73"/>
      <c r="Q390" s="73"/>
    </row>
    <row r="391" spans="1:17" s="76" customFormat="1" ht="15" customHeight="1">
      <c r="A391" s="1455" t="s">
        <v>275</v>
      </c>
      <c r="B391" s="1455"/>
      <c r="C391" s="1455"/>
      <c r="D391" s="1455"/>
      <c r="E391" s="1455"/>
      <c r="F391" s="1455"/>
      <c r="G391" s="1455"/>
      <c r="H391" s="1455"/>
      <c r="I391" s="1455"/>
      <c r="J391" s="1455"/>
      <c r="K391" s="1455"/>
      <c r="L391" s="170"/>
      <c r="M391" s="303"/>
      <c r="N391" s="90"/>
      <c r="O391" s="90"/>
      <c r="P391" s="90"/>
      <c r="Q391" s="90"/>
    </row>
    <row r="392" spans="1:17" s="76" customFormat="1" ht="14.25" customHeight="1">
      <c r="A392" s="99" t="s">
        <v>254</v>
      </c>
      <c r="B392" s="113"/>
      <c r="C392" s="113"/>
      <c r="D392" s="113"/>
      <c r="E392" s="113"/>
      <c r="F392" s="113"/>
      <c r="G392" s="113"/>
      <c r="H392" s="113"/>
      <c r="I392" s="113"/>
      <c r="J392" s="113"/>
      <c r="K392" s="113"/>
      <c r="L392" s="170"/>
      <c r="M392" s="303"/>
      <c r="N392" s="90"/>
      <c r="O392" s="90"/>
      <c r="P392" s="90"/>
      <c r="Q392" s="90"/>
    </row>
    <row r="393" spans="1:17" s="76" customFormat="1" ht="24.75" customHeight="1">
      <c r="A393" s="1405" t="s">
        <v>25</v>
      </c>
      <c r="B393" s="1450"/>
      <c r="C393" s="1450"/>
      <c r="D393" s="1450"/>
      <c r="E393" s="1450"/>
      <c r="F393" s="1450"/>
      <c r="G393" s="1450"/>
      <c r="H393" s="1450"/>
      <c r="I393" s="1450"/>
      <c r="J393" s="1450"/>
      <c r="K393" s="1450"/>
      <c r="L393" s="170"/>
      <c r="M393" s="299"/>
      <c r="N393" s="90"/>
      <c r="O393" s="90"/>
      <c r="P393" s="90"/>
      <c r="Q393" s="90"/>
    </row>
    <row r="394" spans="1:17" s="207" customFormat="1" ht="13.5" customHeight="1">
      <c r="A394" s="1405" t="s">
        <v>80</v>
      </c>
      <c r="B394" s="1450"/>
      <c r="C394" s="1450"/>
      <c r="D394" s="1450"/>
      <c r="E394" s="1450"/>
      <c r="F394" s="1450"/>
      <c r="G394" s="1450"/>
      <c r="H394" s="1450"/>
      <c r="I394" s="1450"/>
      <c r="J394" s="1450"/>
      <c r="K394" s="1450"/>
      <c r="L394" s="206"/>
      <c r="M394" s="305"/>
      <c r="N394" s="208"/>
      <c r="O394" s="208"/>
      <c r="P394" s="208"/>
      <c r="Q394" s="208"/>
    </row>
    <row r="395" spans="1:17" s="61" customFormat="1" ht="13.5" customHeight="1">
      <c r="A395" s="1405" t="s">
        <v>332</v>
      </c>
      <c r="B395" s="1443"/>
      <c r="C395" s="1443"/>
      <c r="D395" s="1443"/>
      <c r="E395" s="1443"/>
      <c r="F395" s="1443"/>
      <c r="G395" s="1444"/>
      <c r="H395" s="1444"/>
      <c r="I395" s="1444"/>
      <c r="J395" s="1444"/>
      <c r="K395" s="1444"/>
      <c r="L395" s="172"/>
      <c r="M395" s="303"/>
      <c r="N395" s="73"/>
      <c r="O395" s="73"/>
      <c r="P395" s="73"/>
      <c r="Q395" s="73"/>
    </row>
    <row r="396" spans="1:17" s="61" customFormat="1">
      <c r="A396" s="188"/>
      <c r="B396" s="106"/>
      <c r="C396" s="106"/>
      <c r="D396" s="106"/>
      <c r="E396" s="106"/>
      <c r="F396" s="106"/>
      <c r="G396" s="189"/>
      <c r="H396" s="189"/>
      <c r="I396" s="189"/>
      <c r="J396" s="189"/>
      <c r="K396" s="1393" t="s">
        <v>2023</v>
      </c>
      <c r="L396" s="172"/>
      <c r="M396" s="306"/>
      <c r="N396" s="73"/>
      <c r="O396" s="73"/>
      <c r="P396" s="73"/>
      <c r="Q396" s="73"/>
    </row>
    <row r="397" spans="1:17" s="61" customFormat="1" ht="18">
      <c r="A397" s="135" t="s">
        <v>541</v>
      </c>
      <c r="B397" s="135"/>
      <c r="C397" s="135"/>
      <c r="D397" s="135"/>
      <c r="E397" s="135"/>
      <c r="F397" s="135"/>
      <c r="G397" s="135"/>
      <c r="H397" s="135"/>
      <c r="I397" s="135"/>
      <c r="J397" s="622"/>
      <c r="K397" s="135"/>
      <c r="M397" s="307"/>
      <c r="N397" s="73"/>
      <c r="O397" s="73"/>
      <c r="P397" s="73"/>
      <c r="Q397" s="73"/>
    </row>
    <row r="398" spans="1:17" s="61" customFormat="1" ht="12" customHeight="1">
      <c r="A398" s="135"/>
      <c r="B398" s="135"/>
      <c r="C398" s="135"/>
      <c r="D398" s="135"/>
      <c r="E398" s="135"/>
      <c r="F398" s="135"/>
      <c r="G398" s="135"/>
      <c r="H398" s="135"/>
      <c r="I398" s="135"/>
      <c r="J398" s="622"/>
      <c r="K398" s="135"/>
      <c r="M398" s="307"/>
      <c r="N398" s="73"/>
      <c r="O398" s="73"/>
      <c r="P398" s="73"/>
      <c r="Q398" s="73"/>
    </row>
    <row r="399" spans="1:17" s="61" customFormat="1" ht="18.75">
      <c r="A399" s="1429" t="s">
        <v>26</v>
      </c>
      <c r="B399" s="1429"/>
      <c r="C399" s="1429"/>
      <c r="D399" s="1429"/>
      <c r="E399" s="1429"/>
      <c r="F399" s="1429"/>
      <c r="G399" s="1429"/>
      <c r="H399" s="1429"/>
      <c r="I399" s="1429"/>
      <c r="J399" s="1429"/>
      <c r="K399" s="1429"/>
      <c r="L399" s="166"/>
      <c r="M399" s="299"/>
      <c r="N399" s="73"/>
      <c r="O399" s="73"/>
      <c r="P399" s="73"/>
      <c r="Q399" s="73"/>
    </row>
    <row r="400" spans="1:17" s="61" customFormat="1" ht="15.75">
      <c r="A400" s="1429" t="s">
        <v>1999</v>
      </c>
      <c r="B400" s="1429"/>
      <c r="C400" s="1429"/>
      <c r="D400" s="1429"/>
      <c r="E400" s="1429"/>
      <c r="F400" s="1429"/>
      <c r="G400" s="1429"/>
      <c r="H400" s="1429"/>
      <c r="I400" s="1429"/>
      <c r="J400" s="1429"/>
      <c r="K400" s="1429"/>
      <c r="L400" s="166"/>
      <c r="M400" s="302"/>
      <c r="N400" s="73"/>
      <c r="O400" s="73"/>
      <c r="P400" s="73"/>
      <c r="Q400" s="73"/>
    </row>
    <row r="401" spans="1:17" s="61" customFormat="1" ht="10.5" customHeight="1">
      <c r="A401" s="91"/>
      <c r="B401" s="91"/>
      <c r="C401" s="91"/>
      <c r="D401" s="91"/>
      <c r="E401" s="91"/>
      <c r="F401" s="91"/>
      <c r="G401" s="108"/>
      <c r="H401" s="91"/>
      <c r="I401" s="91"/>
      <c r="J401" s="91"/>
      <c r="K401" s="91"/>
      <c r="L401" s="166"/>
      <c r="M401" s="299"/>
      <c r="N401" s="73"/>
      <c r="O401" s="73"/>
      <c r="P401" s="73"/>
      <c r="Q401" s="73"/>
    </row>
    <row r="402" spans="1:17" s="61" customFormat="1" ht="17.25" customHeight="1">
      <c r="A402" s="60"/>
      <c r="B402" s="1451" t="s">
        <v>81</v>
      </c>
      <c r="C402" s="1452"/>
      <c r="D402" s="1452"/>
      <c r="E402" s="1452"/>
      <c r="F402" s="1452"/>
      <c r="G402" s="625" t="s">
        <v>178</v>
      </c>
      <c r="H402" s="626"/>
      <c r="I402" s="626"/>
      <c r="J402" s="626"/>
      <c r="K402" s="626"/>
      <c r="L402" s="174"/>
      <c r="M402" s="299"/>
      <c r="N402" s="73"/>
      <c r="O402" s="73"/>
      <c r="P402" s="73"/>
      <c r="Q402" s="73"/>
    </row>
    <row r="403" spans="1:17" s="6" customFormat="1" ht="48">
      <c r="A403" s="50"/>
      <c r="B403" s="606" t="s">
        <v>126</v>
      </c>
      <c r="C403" s="607" t="s">
        <v>128</v>
      </c>
      <c r="D403" s="607" t="s">
        <v>127</v>
      </c>
      <c r="E403" s="607" t="s">
        <v>570</v>
      </c>
      <c r="F403" s="607" t="s">
        <v>138</v>
      </c>
      <c r="G403" s="608" t="s">
        <v>126</v>
      </c>
      <c r="H403" s="607" t="s">
        <v>128</v>
      </c>
      <c r="I403" s="607" t="s">
        <v>127</v>
      </c>
      <c r="J403" s="607" t="s">
        <v>570</v>
      </c>
      <c r="K403" s="607" t="s">
        <v>138</v>
      </c>
      <c r="L403" s="168"/>
      <c r="M403" s="301" t="s">
        <v>388</v>
      </c>
      <c r="N403" s="7"/>
      <c r="O403" s="7"/>
      <c r="P403" s="7"/>
      <c r="Q403" s="7"/>
    </row>
    <row r="404" spans="1:17" s="61" customFormat="1" ht="14.25">
      <c r="A404" s="73" t="s">
        <v>82</v>
      </c>
      <c r="B404" s="102">
        <f>IF($M404&gt;0,('Amounts Pivot Table'!N$631/$M404),0)</f>
        <v>2438.0719586723726</v>
      </c>
      <c r="C404" s="102">
        <f>IF($M404&gt;0,('Amounts Pivot Table'!N$634/$M404),0)</f>
        <v>0</v>
      </c>
      <c r="D404" s="102">
        <f>IF($M404&gt;0,('Amounts Pivot Table'!N$637/$M404),0)</f>
        <v>1371.8642012566886</v>
      </c>
      <c r="E404" s="102">
        <f>IF($M404&gt;0,('Amounts Pivot Table'!N$640/$M404),0)</f>
        <v>3039.4948012625841</v>
      </c>
      <c r="F404" s="102">
        <f>SUM(B404:E404)</f>
        <v>6849.4309611916451</v>
      </c>
      <c r="G404" s="114"/>
      <c r="H404" s="115"/>
      <c r="I404" s="115"/>
      <c r="J404" s="115"/>
      <c r="K404" s="115"/>
      <c r="L404" s="169"/>
      <c r="M404" s="299">
        <f>+'[1]NEW-Tables 80-86'!AP163</f>
        <v>223516.87777777779</v>
      </c>
      <c r="N404" s="73"/>
      <c r="O404" s="73"/>
      <c r="P404" s="73"/>
      <c r="Q404" s="73"/>
    </row>
    <row r="405" spans="1:17" s="112" customFormat="1" ht="9.75" customHeight="1">
      <c r="A405" s="110"/>
      <c r="B405" s="111"/>
      <c r="C405" s="111"/>
      <c r="D405" s="111"/>
      <c r="E405" s="111"/>
      <c r="F405" s="111">
        <f>SUM(B405:E405)</f>
        <v>0</v>
      </c>
      <c r="G405" s="119">
        <f t="shared" ref="G405:G424" si="58">IF(B405&gt;0,RANK(B405,$B$406:$B$424),)</f>
        <v>0</v>
      </c>
      <c r="H405" s="120">
        <f t="shared" ref="H405:H424" si="59">IF(C405&gt;0,RANK(C405,$C$406:$C$424),)</f>
        <v>0</v>
      </c>
      <c r="I405" s="120">
        <f t="shared" ref="I405:I424" si="60">IF(D405&gt;0,RANK(D405,$D$406:$D$424),)</f>
        <v>0</v>
      </c>
      <c r="J405" s="120">
        <f t="shared" ref="J405:J424" si="61">IF(E405&gt;0,RANK(E405,$E$406:$E$424),)</f>
        <v>0</v>
      </c>
      <c r="K405" s="120">
        <f t="shared" ref="K405:K424" si="62">IF(F405&gt;0,RANK(F405,$F$406:$F$424),)</f>
        <v>0</v>
      </c>
      <c r="L405" s="176"/>
      <c r="M405" s="299">
        <f>+'[1]NEW-Tables 80-86'!AP164</f>
        <v>0</v>
      </c>
      <c r="N405" s="110"/>
      <c r="O405" s="110"/>
      <c r="P405" s="110"/>
      <c r="Q405" s="110"/>
    </row>
    <row r="406" spans="1:17" s="61" customFormat="1" ht="12.75" customHeight="1">
      <c r="A406" s="73" t="s">
        <v>452</v>
      </c>
      <c r="B406" s="75">
        <f>IF($M406&gt;0,('Amounts Pivot Table'!N$7/$M406),0)</f>
        <v>0</v>
      </c>
      <c r="C406" s="75">
        <f>IF($M406&gt;0,('Amounts Pivot Table'!N$10/$M406),0)</f>
        <v>0</v>
      </c>
      <c r="D406" s="75">
        <f>IF($M406&gt;0,('Amounts Pivot Table'!N$13/$M406),0)</f>
        <v>0</v>
      </c>
      <c r="E406" s="75">
        <f>IF($M406&gt;0,('Amounts Pivot Table'!N$16/$M406),0)</f>
        <v>0</v>
      </c>
      <c r="F406" s="75">
        <f t="shared" ref="F406:F424" si="63">SUM(B406:E406)</f>
        <v>0</v>
      </c>
      <c r="G406" s="116">
        <f t="shared" si="58"/>
        <v>0</v>
      </c>
      <c r="H406" s="107">
        <f t="shared" si="59"/>
        <v>0</v>
      </c>
      <c r="I406" s="107">
        <f t="shared" si="60"/>
        <v>0</v>
      </c>
      <c r="J406" s="107">
        <f t="shared" si="61"/>
        <v>0</v>
      </c>
      <c r="K406" s="107">
        <f t="shared" si="62"/>
        <v>0</v>
      </c>
      <c r="L406" s="169"/>
      <c r="M406" s="299">
        <f>+'[1]NEW-Tables 80-86'!AP165</f>
        <v>0</v>
      </c>
      <c r="N406" s="73"/>
      <c r="O406" s="73"/>
      <c r="P406" s="73"/>
      <c r="Q406" s="73"/>
    </row>
    <row r="407" spans="1:17" s="61" customFormat="1" ht="12.75" customHeight="1">
      <c r="A407" s="73" t="s">
        <v>466</v>
      </c>
      <c r="B407" s="75">
        <f>IF($M407&gt;0,('Amounts Pivot Table'!N$46/$M407),0)</f>
        <v>0</v>
      </c>
      <c r="C407" s="75">
        <f>IF($M407&gt;0,('Amounts Pivot Table'!N$49/$M407),0)</f>
        <v>0</v>
      </c>
      <c r="D407" s="75">
        <f>IF($M407&gt;0,('Amounts Pivot Table'!N$52/$M407),0)</f>
        <v>0</v>
      </c>
      <c r="E407" s="75">
        <f>IF($M407&gt;0,('Amounts Pivot Table'!N$55/$M407),0)</f>
        <v>0</v>
      </c>
      <c r="F407" s="75">
        <f t="shared" si="63"/>
        <v>0</v>
      </c>
      <c r="G407" s="116">
        <f t="shared" si="58"/>
        <v>0</v>
      </c>
      <c r="H407" s="107">
        <f t="shared" si="59"/>
        <v>0</v>
      </c>
      <c r="I407" s="107">
        <f t="shared" si="60"/>
        <v>0</v>
      </c>
      <c r="J407" s="107">
        <f t="shared" si="61"/>
        <v>0</v>
      </c>
      <c r="K407" s="107">
        <f t="shared" si="62"/>
        <v>0</v>
      </c>
      <c r="L407" s="169"/>
      <c r="M407" s="299">
        <f>+'[1]NEW-Tables 80-86'!AP166</f>
        <v>0</v>
      </c>
      <c r="N407" s="73"/>
      <c r="O407" s="73"/>
      <c r="P407" s="73"/>
      <c r="Q407" s="73"/>
    </row>
    <row r="408" spans="1:17" s="61" customFormat="1" ht="12.75" customHeight="1">
      <c r="A408" s="73" t="s">
        <v>453</v>
      </c>
      <c r="B408" s="75">
        <f>IF($M408&gt;0,('Amounts Pivot Table'!N$85/$M408),0)</f>
        <v>0</v>
      </c>
      <c r="C408" s="75">
        <f>IF($M408&gt;0,('Amounts Pivot Table'!N$88/$M408),0)</f>
        <v>0</v>
      </c>
      <c r="D408" s="75">
        <f>IF($M408&gt;0,('Amounts Pivot Table'!N$91/$M408),0)</f>
        <v>0</v>
      </c>
      <c r="E408" s="75">
        <f>IF($M408&gt;0,('Amounts Pivot Table'!N$94/$M408),0)</f>
        <v>0</v>
      </c>
      <c r="F408" s="75">
        <f t="shared" si="63"/>
        <v>0</v>
      </c>
      <c r="G408" s="116">
        <f t="shared" si="58"/>
        <v>0</v>
      </c>
      <c r="H408" s="107">
        <f t="shared" si="59"/>
        <v>0</v>
      </c>
      <c r="I408" s="107">
        <f t="shared" si="60"/>
        <v>0</v>
      </c>
      <c r="J408" s="107">
        <f t="shared" si="61"/>
        <v>0</v>
      </c>
      <c r="K408" s="107">
        <f t="shared" si="62"/>
        <v>0</v>
      </c>
      <c r="L408" s="169"/>
      <c r="M408" s="299">
        <f>+'[1]NEW-Tables 80-86'!AP167</f>
        <v>0</v>
      </c>
      <c r="N408" s="73"/>
      <c r="O408" s="73"/>
      <c r="P408" s="73"/>
      <c r="Q408" s="73"/>
    </row>
    <row r="409" spans="1:17" s="61" customFormat="1" ht="12.75" customHeight="1">
      <c r="A409" s="73" t="s">
        <v>460</v>
      </c>
      <c r="B409" s="75">
        <f>IF($M409&gt;0,('Amounts Pivot Table'!N$124/$M409),0)</f>
        <v>0</v>
      </c>
      <c r="C409" s="75">
        <f>IF($M409&gt;0,('Amounts Pivot Table'!N$127/$M409),0)</f>
        <v>0</v>
      </c>
      <c r="D409" s="75">
        <f>IF($M409&gt;0,('Amounts Pivot Table'!N$130/$M409),0)</f>
        <v>0</v>
      </c>
      <c r="E409" s="75">
        <f>IF($M409&gt;0,('Amounts Pivot Table'!N$133/$M409),0)</f>
        <v>0</v>
      </c>
      <c r="F409" s="75">
        <f t="shared" si="63"/>
        <v>0</v>
      </c>
      <c r="G409" s="116">
        <f t="shared" si="58"/>
        <v>0</v>
      </c>
      <c r="H409" s="107">
        <f t="shared" si="59"/>
        <v>0</v>
      </c>
      <c r="I409" s="107">
        <f t="shared" si="60"/>
        <v>0</v>
      </c>
      <c r="J409" s="107">
        <f t="shared" si="61"/>
        <v>0</v>
      </c>
      <c r="K409" s="107">
        <f t="shared" si="62"/>
        <v>0</v>
      </c>
      <c r="L409" s="169"/>
      <c r="M409" s="299">
        <f>+'[1]NEW-Tables 80-86'!AP168</f>
        <v>0</v>
      </c>
      <c r="N409" s="73"/>
      <c r="O409" s="73"/>
      <c r="P409" s="73"/>
      <c r="Q409" s="73"/>
    </row>
    <row r="410" spans="1:17" s="112" customFormat="1">
      <c r="A410" s="110"/>
      <c r="B410" s="111"/>
      <c r="C410" s="111"/>
      <c r="D410" s="111"/>
      <c r="E410" s="111"/>
      <c r="F410" s="111">
        <f>SUM(B410:E410)</f>
        <v>0</v>
      </c>
      <c r="G410" s="119">
        <f t="shared" si="58"/>
        <v>0</v>
      </c>
      <c r="H410" s="120">
        <f t="shared" si="59"/>
        <v>0</v>
      </c>
      <c r="I410" s="120">
        <f t="shared" si="60"/>
        <v>0</v>
      </c>
      <c r="J410" s="120">
        <f t="shared" si="61"/>
        <v>0</v>
      </c>
      <c r="K410" s="120">
        <f t="shared" si="62"/>
        <v>0</v>
      </c>
      <c r="L410" s="176"/>
      <c r="M410" s="299">
        <f>+'[1]NEW-Tables 80-86'!AP169</f>
        <v>0</v>
      </c>
      <c r="N410" s="110"/>
      <c r="O410" s="110"/>
      <c r="P410" s="110"/>
      <c r="Q410" s="110"/>
    </row>
    <row r="411" spans="1:17" s="61" customFormat="1" ht="12.75" customHeight="1">
      <c r="A411" s="73" t="s">
        <v>461</v>
      </c>
      <c r="B411" s="75">
        <f>IF($M411&gt;0,('Amounts Pivot Table'!N$163/$M411),0)</f>
        <v>0</v>
      </c>
      <c r="C411" s="75">
        <f>IF($M411&gt;0,('Amounts Pivot Table'!N$166/$M411),0)</f>
        <v>0</v>
      </c>
      <c r="D411" s="75">
        <f>IF($M411&gt;0,('Amounts Pivot Table'!N$169/$M411),0)</f>
        <v>0</v>
      </c>
      <c r="E411" s="75">
        <f>IF($M411&gt;0,('Amounts Pivot Table'!N$172/$M411),0)</f>
        <v>0</v>
      </c>
      <c r="F411" s="75">
        <f t="shared" si="63"/>
        <v>0</v>
      </c>
      <c r="G411" s="116">
        <f t="shared" si="58"/>
        <v>0</v>
      </c>
      <c r="H411" s="107">
        <f t="shared" si="59"/>
        <v>0</v>
      </c>
      <c r="I411" s="107">
        <f t="shared" si="60"/>
        <v>0</v>
      </c>
      <c r="J411" s="107">
        <f t="shared" si="61"/>
        <v>0</v>
      </c>
      <c r="K411" s="107">
        <f t="shared" si="62"/>
        <v>0</v>
      </c>
      <c r="L411" s="169"/>
      <c r="M411" s="299">
        <f>+'[1]NEW-Tables 80-86'!AP170</f>
        <v>0</v>
      </c>
      <c r="N411" s="73"/>
      <c r="O411" s="73"/>
      <c r="P411" s="73"/>
      <c r="Q411" s="73"/>
    </row>
    <row r="412" spans="1:17" s="61" customFormat="1" ht="12.75" customHeight="1">
      <c r="A412" s="73" t="s">
        <v>454</v>
      </c>
      <c r="B412" s="75">
        <f>IF($M412&gt;0,('Amounts Pivot Table'!N$202/$M412),0)</f>
        <v>0</v>
      </c>
      <c r="C412" s="75">
        <f>IF($M412&gt;0,('Amounts Pivot Table'!N$205/$M412),0)</f>
        <v>0</v>
      </c>
      <c r="D412" s="75">
        <f>IF($M412&gt;0,('Amounts Pivot Table'!N$208/$M412),0)</f>
        <v>0</v>
      </c>
      <c r="E412" s="75">
        <f>IF($M412&gt;0,('Amounts Pivot Table'!N$211/$M412),0)</f>
        <v>0</v>
      </c>
      <c r="F412" s="75">
        <f t="shared" si="63"/>
        <v>0</v>
      </c>
      <c r="G412" s="116">
        <f t="shared" si="58"/>
        <v>0</v>
      </c>
      <c r="H412" s="107">
        <f t="shared" si="59"/>
        <v>0</v>
      </c>
      <c r="I412" s="107">
        <f t="shared" si="60"/>
        <v>0</v>
      </c>
      <c r="J412" s="107">
        <f t="shared" si="61"/>
        <v>0</v>
      </c>
      <c r="K412" s="107">
        <f t="shared" si="62"/>
        <v>0</v>
      </c>
      <c r="L412" s="169"/>
      <c r="M412" s="299">
        <f>+'[1]NEW-Tables 80-86'!AP171</f>
        <v>0</v>
      </c>
      <c r="N412" s="73"/>
      <c r="O412" s="73"/>
      <c r="P412" s="73"/>
      <c r="Q412" s="73"/>
    </row>
    <row r="413" spans="1:17" s="61" customFormat="1" ht="12.75" customHeight="1">
      <c r="A413" s="73" t="s">
        <v>462</v>
      </c>
      <c r="B413" s="75">
        <f>IF($M413&gt;0,('Amounts Pivot Table'!N$241/$M413),0)</f>
        <v>0</v>
      </c>
      <c r="C413" s="75">
        <f>IF($M413&gt;0,('Amounts Pivot Table'!N$244/$M413),0)</f>
        <v>0</v>
      </c>
      <c r="D413" s="75">
        <f>IF($M413&gt;0,('Amounts Pivot Table'!N$247/$M413),0)</f>
        <v>0</v>
      </c>
      <c r="E413" s="75">
        <f>IF($M413&gt;0,('Amounts Pivot Table'!N$250/$M413),0)</f>
        <v>0</v>
      </c>
      <c r="F413" s="75">
        <f t="shared" si="63"/>
        <v>0</v>
      </c>
      <c r="G413" s="116">
        <f t="shared" si="58"/>
        <v>0</v>
      </c>
      <c r="H413" s="107">
        <f t="shared" si="59"/>
        <v>0</v>
      </c>
      <c r="I413" s="107">
        <f t="shared" si="60"/>
        <v>0</v>
      </c>
      <c r="J413" s="107">
        <f t="shared" si="61"/>
        <v>0</v>
      </c>
      <c r="K413" s="107">
        <f t="shared" si="62"/>
        <v>0</v>
      </c>
      <c r="L413" s="169"/>
      <c r="M413" s="299">
        <f>+'[1]NEW-Tables 80-86'!AP172</f>
        <v>0</v>
      </c>
      <c r="N413" s="73"/>
      <c r="O413" s="73"/>
      <c r="P413" s="73"/>
      <c r="Q413" s="73"/>
    </row>
    <row r="414" spans="1:17" s="61" customFormat="1" ht="12.75" customHeight="1">
      <c r="A414" s="73" t="s">
        <v>465</v>
      </c>
      <c r="B414" s="75">
        <f>IF($M414&gt;0,('Amounts Pivot Table'!N$280/$M414),0)</f>
        <v>0</v>
      </c>
      <c r="C414" s="75">
        <f>IF($M414&gt;0,('Amounts Pivot Table'!N$283/$M414),0)</f>
        <v>0</v>
      </c>
      <c r="D414" s="75">
        <f>IF($M414&gt;0,('Amounts Pivot Table'!N$286/$M414),0)</f>
        <v>0</v>
      </c>
      <c r="E414" s="75">
        <f>IF($M414&gt;0,('Amounts Pivot Table'!N$289/$M414),0)</f>
        <v>0</v>
      </c>
      <c r="F414" s="75">
        <f t="shared" si="63"/>
        <v>0</v>
      </c>
      <c r="G414" s="116">
        <f t="shared" si="58"/>
        <v>0</v>
      </c>
      <c r="H414" s="107">
        <f t="shared" si="59"/>
        <v>0</v>
      </c>
      <c r="I414" s="107">
        <f t="shared" si="60"/>
        <v>0</v>
      </c>
      <c r="J414" s="107">
        <f t="shared" si="61"/>
        <v>0</v>
      </c>
      <c r="K414" s="107">
        <f t="shared" si="62"/>
        <v>0</v>
      </c>
      <c r="L414" s="169"/>
      <c r="M414" s="299">
        <f>+'[1]NEW-Tables 80-86'!AP173</f>
        <v>0</v>
      </c>
      <c r="N414" s="73"/>
      <c r="O414" s="73"/>
      <c r="P414" s="73"/>
      <c r="Q414" s="73"/>
    </row>
    <row r="415" spans="1:17" s="112" customFormat="1">
      <c r="A415" s="110"/>
      <c r="B415" s="111"/>
      <c r="C415" s="111"/>
      <c r="D415" s="111"/>
      <c r="E415" s="111"/>
      <c r="F415" s="111">
        <f>SUM(B415:E415)</f>
        <v>0</v>
      </c>
      <c r="G415" s="119">
        <f t="shared" si="58"/>
        <v>0</v>
      </c>
      <c r="H415" s="120">
        <f t="shared" si="59"/>
        <v>0</v>
      </c>
      <c r="I415" s="120">
        <f t="shared" si="60"/>
        <v>0</v>
      </c>
      <c r="J415" s="120">
        <f t="shared" si="61"/>
        <v>0</v>
      </c>
      <c r="K415" s="120">
        <f t="shared" si="62"/>
        <v>0</v>
      </c>
      <c r="L415" s="176"/>
      <c r="M415" s="299">
        <f>+'[1]NEW-Tables 80-86'!AP174</f>
        <v>0</v>
      </c>
      <c r="N415" s="110"/>
      <c r="O415" s="110"/>
      <c r="P415" s="110"/>
      <c r="Q415" s="110"/>
    </row>
    <row r="416" spans="1:17" s="61" customFormat="1" ht="12.75" customHeight="1">
      <c r="A416" s="73" t="s">
        <v>455</v>
      </c>
      <c r="B416" s="75">
        <f>IF($M416&gt;0,('Amounts Pivot Table'!N$319/$M416),0)</f>
        <v>0</v>
      </c>
      <c r="C416" s="75">
        <f>IF($M416&gt;0,('Amounts Pivot Table'!N$322/$M416),0)</f>
        <v>0</v>
      </c>
      <c r="D416" s="75">
        <f>IF($M416&gt;0,('Amounts Pivot Table'!N$325/$M416),0)</f>
        <v>0</v>
      </c>
      <c r="E416" s="75">
        <f>IF($M416&gt;0,('Amounts Pivot Table'!N$328/$M416),0)</f>
        <v>0</v>
      </c>
      <c r="F416" s="75">
        <f t="shared" si="63"/>
        <v>0</v>
      </c>
      <c r="G416" s="116">
        <f t="shared" si="58"/>
        <v>0</v>
      </c>
      <c r="H416" s="107">
        <f t="shared" si="59"/>
        <v>0</v>
      </c>
      <c r="I416" s="107">
        <f t="shared" si="60"/>
        <v>0</v>
      </c>
      <c r="J416" s="107">
        <f t="shared" si="61"/>
        <v>0</v>
      </c>
      <c r="K416" s="107">
        <f t="shared" si="62"/>
        <v>0</v>
      </c>
      <c r="L416" s="169"/>
      <c r="M416" s="299">
        <f>+'[1]NEW-Tables 80-86'!AP175</f>
        <v>0</v>
      </c>
      <c r="N416" s="73"/>
      <c r="O416" s="73"/>
      <c r="P416" s="73"/>
      <c r="Q416" s="73"/>
    </row>
    <row r="417" spans="1:17" s="61" customFormat="1" ht="12.75" customHeight="1">
      <c r="A417" s="73" t="s">
        <v>456</v>
      </c>
      <c r="B417" s="75">
        <f>IF($M417&gt;0,('Amounts Pivot Table'!N$358/$M417),0)</f>
        <v>0</v>
      </c>
      <c r="C417" s="75">
        <f>IF($M417&gt;0,('Amounts Pivot Table'!N$361/$M417),0)</f>
        <v>0</v>
      </c>
      <c r="D417" s="75">
        <f>IF($M417&gt;0,('Amounts Pivot Table'!N$364/$M417),0)</f>
        <v>0</v>
      </c>
      <c r="E417" s="75">
        <f>IF($M417&gt;0,('Amounts Pivot Table'!N$367/$M417),0)</f>
        <v>0</v>
      </c>
      <c r="F417" s="75">
        <f t="shared" si="63"/>
        <v>0</v>
      </c>
      <c r="G417" s="116">
        <f t="shared" si="58"/>
        <v>0</v>
      </c>
      <c r="H417" s="107">
        <f t="shared" si="59"/>
        <v>0</v>
      </c>
      <c r="I417" s="107">
        <f t="shared" si="60"/>
        <v>0</v>
      </c>
      <c r="J417" s="107">
        <f t="shared" si="61"/>
        <v>0</v>
      </c>
      <c r="K417" s="107">
        <f t="shared" si="62"/>
        <v>0</v>
      </c>
      <c r="L417" s="169"/>
      <c r="M417" s="299">
        <f>+'[1]NEW-Tables 80-86'!AP176</f>
        <v>0</v>
      </c>
      <c r="N417" s="73"/>
      <c r="O417" s="73"/>
      <c r="P417" s="73"/>
      <c r="Q417" s="73"/>
    </row>
    <row r="418" spans="1:17" s="61" customFormat="1" ht="12.75" customHeight="1">
      <c r="A418" s="73" t="s">
        <v>463</v>
      </c>
      <c r="B418" s="75">
        <f>IF($M418&gt;0,('Amounts Pivot Table'!N$397/$M418),0)</f>
        <v>0</v>
      </c>
      <c r="C418" s="75">
        <f>IF($M418&gt;0,('Amounts Pivot Table'!N$400/$M418),0)</f>
        <v>0</v>
      </c>
      <c r="D418" s="75">
        <f>IF($M418&gt;0,('Amounts Pivot Table'!N$403/$M418),0)</f>
        <v>0</v>
      </c>
      <c r="E418" s="75">
        <f>IF($M418&gt;0,('Amounts Pivot Table'!N$406/$M418),0)</f>
        <v>0</v>
      </c>
      <c r="F418" s="75">
        <f t="shared" si="63"/>
        <v>0</v>
      </c>
      <c r="G418" s="116">
        <f t="shared" si="58"/>
        <v>0</v>
      </c>
      <c r="H418" s="107">
        <f t="shared" si="59"/>
        <v>0</v>
      </c>
      <c r="I418" s="107">
        <f t="shared" si="60"/>
        <v>0</v>
      </c>
      <c r="J418" s="107">
        <f t="shared" si="61"/>
        <v>0</v>
      </c>
      <c r="K418" s="107">
        <f t="shared" si="62"/>
        <v>0</v>
      </c>
      <c r="L418" s="169"/>
      <c r="M418" s="299">
        <f>+'[1]NEW-Tables 80-86'!AP177</f>
        <v>0</v>
      </c>
      <c r="N418" s="73"/>
      <c r="O418" s="73"/>
      <c r="P418" s="73"/>
      <c r="Q418" s="73"/>
    </row>
    <row r="419" spans="1:17" s="61" customFormat="1" ht="12.75" customHeight="1">
      <c r="A419" s="73" t="s">
        <v>457</v>
      </c>
      <c r="B419" s="75">
        <f>IF($M419&gt;0,('Amounts Pivot Table'!N$436/$M419),0)</f>
        <v>0</v>
      </c>
      <c r="C419" s="75">
        <f>IF($M419&gt;0,('Amounts Pivot Table'!N$439/$M419),0)</f>
        <v>0</v>
      </c>
      <c r="D419" s="75">
        <f>IF($M419&gt;0,('Amounts Pivot Table'!N$442/$M419),0)</f>
        <v>0</v>
      </c>
      <c r="E419" s="75">
        <f>IF($M419&gt;0,('Amounts Pivot Table'!N$445/$M419),0)</f>
        <v>0</v>
      </c>
      <c r="F419" s="75">
        <f t="shared" si="63"/>
        <v>0</v>
      </c>
      <c r="G419" s="116">
        <f t="shared" si="58"/>
        <v>0</v>
      </c>
      <c r="H419" s="107">
        <f t="shared" si="59"/>
        <v>0</v>
      </c>
      <c r="I419" s="107">
        <f t="shared" si="60"/>
        <v>0</v>
      </c>
      <c r="J419" s="107">
        <f t="shared" si="61"/>
        <v>0</v>
      </c>
      <c r="K419" s="107">
        <f t="shared" si="62"/>
        <v>0</v>
      </c>
      <c r="L419" s="169"/>
      <c r="M419" s="299">
        <f>+'[1]NEW-Tables 80-86'!AP178</f>
        <v>0</v>
      </c>
      <c r="N419" s="73"/>
      <c r="O419" s="73"/>
      <c r="P419" s="73"/>
      <c r="Q419" s="73"/>
    </row>
    <row r="420" spans="1:17" s="112" customFormat="1">
      <c r="A420" s="110"/>
      <c r="B420" s="111"/>
      <c r="C420" s="111"/>
      <c r="D420" s="111"/>
      <c r="E420" s="111"/>
      <c r="F420" s="111">
        <f t="shared" si="63"/>
        <v>0</v>
      </c>
      <c r="G420" s="119">
        <f t="shared" si="58"/>
        <v>0</v>
      </c>
      <c r="H420" s="120">
        <f t="shared" si="59"/>
        <v>0</v>
      </c>
      <c r="I420" s="120">
        <f t="shared" si="60"/>
        <v>0</v>
      </c>
      <c r="J420" s="120">
        <f t="shared" si="61"/>
        <v>0</v>
      </c>
      <c r="K420" s="120">
        <f t="shared" si="62"/>
        <v>0</v>
      </c>
      <c r="L420" s="176"/>
      <c r="M420" s="299">
        <f>+'[1]NEW-Tables 80-86'!AP179</f>
        <v>0</v>
      </c>
      <c r="N420" s="110"/>
      <c r="O420" s="110"/>
      <c r="P420" s="110"/>
      <c r="Q420" s="110"/>
    </row>
    <row r="421" spans="1:17" s="61" customFormat="1" ht="12.75" customHeight="1">
      <c r="A421" s="73" t="s">
        <v>130</v>
      </c>
      <c r="B421" s="75">
        <f>IF($M421&gt;0,('Amounts Pivot Table'!N$475/$M421),0)</f>
        <v>0</v>
      </c>
      <c r="C421" s="75">
        <f>IF($M421&gt;0,('Amounts Pivot Table'!N$478/$M421),0)</f>
        <v>0</v>
      </c>
      <c r="D421" s="75">
        <f>IF($M421&gt;0,('Amounts Pivot Table'!N$481/$M421),0)</f>
        <v>0</v>
      </c>
      <c r="E421" s="75">
        <f>IF($M421&gt;0,('Amounts Pivot Table'!N$484/$M421),0)</f>
        <v>0</v>
      </c>
      <c r="F421" s="75">
        <f t="shared" si="63"/>
        <v>0</v>
      </c>
      <c r="G421" s="116">
        <f t="shared" si="58"/>
        <v>0</v>
      </c>
      <c r="H421" s="107">
        <f t="shared" si="59"/>
        <v>0</v>
      </c>
      <c r="I421" s="107">
        <f t="shared" si="60"/>
        <v>0</v>
      </c>
      <c r="J421" s="107">
        <f t="shared" si="61"/>
        <v>0</v>
      </c>
      <c r="K421" s="107">
        <f t="shared" si="62"/>
        <v>0</v>
      </c>
      <c r="L421" s="169"/>
      <c r="M421" s="299">
        <f>+'[1]NEW-Tables 80-86'!AP180</f>
        <v>0</v>
      </c>
      <c r="N421" s="73"/>
      <c r="O421" s="73"/>
      <c r="P421" s="73"/>
      <c r="Q421" s="73"/>
    </row>
    <row r="422" spans="1:17" s="76" customFormat="1" ht="12.75" customHeight="1">
      <c r="A422" s="73" t="s">
        <v>458</v>
      </c>
      <c r="B422" s="75">
        <f>IF($M422&gt;0,('Amounts Pivot Table'!N$514/$M422),0)</f>
        <v>2249.5939380585151</v>
      </c>
      <c r="C422" s="75">
        <f>IF($M422&gt;0,('Amounts Pivot Table'!N$517/$M422),0)</f>
        <v>0</v>
      </c>
      <c r="D422" s="75">
        <f>IF($M422&gt;0,('Amounts Pivot Table'!N$520/$M422),0)</f>
        <v>3085.493518967327</v>
      </c>
      <c r="E422" s="75">
        <f>IF($M422&gt;0,('Amounts Pivot Table'!N$523/$M422),0)</f>
        <v>2230.8979506766495</v>
      </c>
      <c r="F422" s="75">
        <f t="shared" si="63"/>
        <v>7565.985407702492</v>
      </c>
      <c r="G422" s="116">
        <f t="shared" si="58"/>
        <v>2</v>
      </c>
      <c r="H422" s="107">
        <f t="shared" si="59"/>
        <v>0</v>
      </c>
      <c r="I422" s="107">
        <f t="shared" si="60"/>
        <v>1</v>
      </c>
      <c r="J422" s="107">
        <f t="shared" si="61"/>
        <v>2</v>
      </c>
      <c r="K422" s="107">
        <f t="shared" si="62"/>
        <v>1</v>
      </c>
      <c r="L422" s="170"/>
      <c r="M422" s="299">
        <f>+'[1]NEW-Tables 80-86'!AP181</f>
        <v>96918.711111111115</v>
      </c>
      <c r="N422" s="90"/>
      <c r="O422" s="90"/>
      <c r="P422" s="90"/>
      <c r="Q422" s="90"/>
    </row>
    <row r="423" spans="1:17" s="61" customFormat="1" ht="12.75" customHeight="1">
      <c r="A423" s="73" t="s">
        <v>239</v>
      </c>
      <c r="B423" s="75">
        <f>IF($M423&gt;0,('Amounts Pivot Table'!N$553/$M423),0)</f>
        <v>2582.3635176391444</v>
      </c>
      <c r="C423" s="75">
        <f>IF($M423&gt;0,('Amounts Pivot Table'!N$556/$M423),0)</f>
        <v>0</v>
      </c>
      <c r="D423" s="75">
        <f>IF($M423&gt;0,('Amounts Pivot Table'!N$559/$M423),0)</f>
        <v>59.975181315158594</v>
      </c>
      <c r="E423" s="75">
        <f>IF($M423&gt;0,('Amounts Pivot Table'!N$562/$M423),0)</f>
        <v>3658.5256026614393</v>
      </c>
      <c r="F423" s="75">
        <f t="shared" si="63"/>
        <v>6300.8643016157421</v>
      </c>
      <c r="G423" s="116">
        <f t="shared" si="58"/>
        <v>1</v>
      </c>
      <c r="H423" s="107">
        <f t="shared" si="59"/>
        <v>0</v>
      </c>
      <c r="I423" s="107">
        <f t="shared" si="60"/>
        <v>2</v>
      </c>
      <c r="J423" s="107">
        <f t="shared" si="61"/>
        <v>1</v>
      </c>
      <c r="K423" s="107">
        <f t="shared" si="62"/>
        <v>2</v>
      </c>
      <c r="L423" s="171"/>
      <c r="M423" s="299">
        <f>+'[1]NEW-Tables 80-86'!AP182</f>
        <v>126598.16666666667</v>
      </c>
      <c r="N423" s="73"/>
      <c r="O423" s="73"/>
      <c r="P423" s="73"/>
      <c r="Q423" s="73"/>
    </row>
    <row r="424" spans="1:17" s="61" customFormat="1" ht="13.5" customHeight="1">
      <c r="A424" s="74" t="s">
        <v>464</v>
      </c>
      <c r="B424" s="104">
        <f>IF($M424&gt;0,('Amounts Pivot Table'!N$592/$M424),0)</f>
        <v>0</v>
      </c>
      <c r="C424" s="104">
        <f>IF($M424&gt;0,('Amounts Pivot Table'!N$595/$M424),0)</f>
        <v>0</v>
      </c>
      <c r="D424" s="104">
        <f>IF($M424&gt;0,('Amounts Pivot Table'!N$598/$M424),0)</f>
        <v>0</v>
      </c>
      <c r="E424" s="104">
        <f>IF($M424&gt;0,('Amounts Pivot Table'!N$601/$M424),0)</f>
        <v>0</v>
      </c>
      <c r="F424" s="105">
        <f t="shared" si="63"/>
        <v>0</v>
      </c>
      <c r="G424" s="117">
        <f t="shared" si="58"/>
        <v>0</v>
      </c>
      <c r="H424" s="118">
        <f t="shared" si="59"/>
        <v>0</v>
      </c>
      <c r="I424" s="118">
        <f t="shared" si="60"/>
        <v>0</v>
      </c>
      <c r="J424" s="118">
        <f t="shared" si="61"/>
        <v>0</v>
      </c>
      <c r="K424" s="118">
        <f t="shared" si="62"/>
        <v>0</v>
      </c>
      <c r="L424" s="172"/>
      <c r="M424" s="299">
        <f>+'[1]NEW-Tables 80-86'!AP183</f>
        <v>0</v>
      </c>
      <c r="N424" s="73"/>
      <c r="O424" s="73"/>
      <c r="P424" s="73"/>
      <c r="Q424" s="73"/>
    </row>
    <row r="425" spans="1:17" s="76" customFormat="1" ht="17.25" customHeight="1">
      <c r="A425" s="1455" t="s">
        <v>341</v>
      </c>
      <c r="B425" s="1455"/>
      <c r="C425" s="1455"/>
      <c r="D425" s="1455"/>
      <c r="E425" s="1455"/>
      <c r="F425" s="1455"/>
      <c r="G425" s="1455"/>
      <c r="H425" s="1455"/>
      <c r="I425" s="1455"/>
      <c r="J425" s="1455"/>
      <c r="K425" s="1455"/>
      <c r="L425" s="170"/>
      <c r="M425" s="303"/>
      <c r="N425" s="90"/>
      <c r="O425" s="90"/>
      <c r="P425" s="90"/>
      <c r="Q425" s="90"/>
    </row>
    <row r="426" spans="1:17" s="76" customFormat="1" ht="34.5" customHeight="1">
      <c r="A426" s="1405" t="s">
        <v>25</v>
      </c>
      <c r="B426" s="1450"/>
      <c r="C426" s="1450"/>
      <c r="D426" s="1450"/>
      <c r="E426" s="1450"/>
      <c r="F426" s="1450"/>
      <c r="G426" s="1450"/>
      <c r="H426" s="1450"/>
      <c r="I426" s="1450"/>
      <c r="J426" s="1450"/>
      <c r="K426" s="1450"/>
      <c r="L426" s="170"/>
      <c r="M426" s="299"/>
      <c r="N426" s="90"/>
      <c r="O426" s="90"/>
      <c r="P426" s="90"/>
      <c r="Q426" s="90"/>
    </row>
    <row r="427" spans="1:17" s="207" customFormat="1" ht="13.5" customHeight="1">
      <c r="A427" s="1405" t="s">
        <v>80</v>
      </c>
      <c r="B427" s="1450"/>
      <c r="C427" s="1450"/>
      <c r="D427" s="1450"/>
      <c r="E427" s="1450"/>
      <c r="F427" s="1450"/>
      <c r="G427" s="1450"/>
      <c r="H427" s="1450"/>
      <c r="I427" s="1450"/>
      <c r="J427" s="1450"/>
      <c r="K427" s="1450"/>
      <c r="L427" s="206"/>
      <c r="M427" s="305"/>
      <c r="N427" s="208"/>
      <c r="O427" s="208"/>
      <c r="P427" s="208"/>
      <c r="Q427" s="208"/>
    </row>
    <row r="428" spans="1:17" s="61" customFormat="1" ht="13.5" customHeight="1">
      <c r="A428" s="1405" t="s">
        <v>332</v>
      </c>
      <c r="B428" s="1443"/>
      <c r="C428" s="1443"/>
      <c r="D428" s="1443"/>
      <c r="E428" s="1443"/>
      <c r="F428" s="1443"/>
      <c r="G428" s="1444"/>
      <c r="H428" s="1444"/>
      <c r="I428" s="1444"/>
      <c r="J428" s="1444"/>
      <c r="K428" s="1444"/>
      <c r="L428" s="172"/>
      <c r="M428" s="303"/>
      <c r="N428" s="73"/>
      <c r="O428" s="73"/>
      <c r="P428" s="73"/>
      <c r="Q428" s="73"/>
    </row>
    <row r="429" spans="1:17" s="61" customFormat="1">
      <c r="A429" s="188"/>
      <c r="B429" s="106"/>
      <c r="C429" s="106"/>
      <c r="D429" s="106"/>
      <c r="E429" s="106"/>
      <c r="F429" s="106"/>
      <c r="G429" s="189"/>
      <c r="H429" s="189"/>
      <c r="I429" s="189"/>
      <c r="J429" s="189"/>
      <c r="K429" s="591" t="s">
        <v>2018</v>
      </c>
      <c r="L429" s="172"/>
      <c r="M429" s="306"/>
      <c r="N429" s="73"/>
      <c r="O429" s="73"/>
      <c r="P429" s="73"/>
      <c r="Q429" s="73"/>
    </row>
    <row r="430" spans="1:17" s="61" customFormat="1" ht="18.75" customHeight="1">
      <c r="A430" s="135" t="s">
        <v>542</v>
      </c>
      <c r="B430" s="135"/>
      <c r="C430" s="135"/>
      <c r="D430" s="135"/>
      <c r="E430" s="135"/>
      <c r="F430" s="135"/>
      <c r="G430" s="135"/>
      <c r="H430" s="135"/>
      <c r="I430" s="135"/>
      <c r="J430" s="622"/>
      <c r="K430" s="135"/>
      <c r="L430" s="171"/>
      <c r="M430" s="299"/>
      <c r="N430" s="73"/>
      <c r="O430" s="73"/>
      <c r="P430" s="73"/>
      <c r="Q430" s="73"/>
    </row>
    <row r="431" spans="1:17" s="61" customFormat="1" ht="11.25" customHeight="1">
      <c r="A431" s="135"/>
      <c r="B431" s="135"/>
      <c r="C431" s="135"/>
      <c r="D431" s="135"/>
      <c r="E431" s="135"/>
      <c r="F431" s="135"/>
      <c r="G431" s="135"/>
      <c r="H431" s="135"/>
      <c r="I431" s="135"/>
      <c r="J431" s="622"/>
      <c r="K431" s="135"/>
      <c r="L431" s="171"/>
      <c r="M431" s="299"/>
      <c r="N431" s="73"/>
      <c r="O431" s="73"/>
      <c r="P431" s="73"/>
      <c r="Q431" s="73"/>
    </row>
    <row r="432" spans="1:17" s="61" customFormat="1" ht="18.75">
      <c r="A432" s="1429" t="s">
        <v>26</v>
      </c>
      <c r="B432" s="1429"/>
      <c r="C432" s="1429"/>
      <c r="D432" s="1429"/>
      <c r="E432" s="1429"/>
      <c r="F432" s="1429"/>
      <c r="G432" s="1429"/>
      <c r="H432" s="1429"/>
      <c r="I432" s="1429"/>
      <c r="J432" s="1429"/>
      <c r="K432" s="1429"/>
      <c r="L432" s="166"/>
      <c r="M432" s="299"/>
      <c r="N432" s="73"/>
      <c r="O432" s="73"/>
      <c r="P432" s="73"/>
      <c r="Q432" s="73"/>
    </row>
    <row r="433" spans="1:30" s="61" customFormat="1" ht="15.75" customHeight="1">
      <c r="A433" s="1429" t="s">
        <v>1998</v>
      </c>
      <c r="B433" s="1429"/>
      <c r="C433" s="1429"/>
      <c r="D433" s="1429"/>
      <c r="E433" s="1429"/>
      <c r="F433" s="1429"/>
      <c r="G433" s="1429"/>
      <c r="H433" s="1429"/>
      <c r="I433" s="1429"/>
      <c r="J433" s="1429"/>
      <c r="K433" s="1429"/>
      <c r="L433" s="226"/>
      <c r="M433" s="308"/>
      <c r="N433" s="73"/>
      <c r="O433" s="73"/>
      <c r="P433" s="73"/>
      <c r="Q433" s="73"/>
    </row>
    <row r="434" spans="1:30" s="61" customFormat="1" ht="15.75" customHeight="1">
      <c r="A434" s="91"/>
      <c r="B434" s="91"/>
      <c r="C434" s="91"/>
      <c r="D434" s="91"/>
      <c r="E434" s="91"/>
      <c r="F434" s="91"/>
      <c r="G434" s="108"/>
      <c r="H434" s="91"/>
      <c r="I434" s="91"/>
      <c r="J434" s="91"/>
      <c r="K434" s="91"/>
      <c r="L434" s="166"/>
      <c r="M434" s="299"/>
      <c r="N434" s="73"/>
      <c r="O434" s="427" t="s">
        <v>560</v>
      </c>
      <c r="P434" s="73"/>
      <c r="Y434" s="427" t="s">
        <v>2022</v>
      </c>
    </row>
    <row r="435" spans="1:30" s="61" customFormat="1" ht="12" customHeight="1">
      <c r="A435" s="60"/>
      <c r="B435" s="1451" t="s">
        <v>81</v>
      </c>
      <c r="C435" s="1452"/>
      <c r="D435" s="1452"/>
      <c r="E435" s="1452"/>
      <c r="F435" s="1452"/>
      <c r="G435" s="625" t="s">
        <v>178</v>
      </c>
      <c r="H435" s="626"/>
      <c r="I435" s="626"/>
      <c r="J435" s="626"/>
      <c r="K435" s="626"/>
      <c r="L435" s="174"/>
      <c r="M435" s="299"/>
      <c r="N435" s="73"/>
      <c r="O435" s="530" t="s">
        <v>556</v>
      </c>
      <c r="P435" s="530"/>
      <c r="Q435" s="531"/>
      <c r="R435" s="530" t="s">
        <v>557</v>
      </c>
      <c r="S435" s="530"/>
      <c r="T435" s="531"/>
      <c r="U435" s="530" t="s">
        <v>559</v>
      </c>
      <c r="V435" s="530"/>
      <c r="W435" s="531"/>
      <c r="Y435" s="73"/>
    </row>
    <row r="436" spans="1:30" s="6" customFormat="1" ht="48">
      <c r="A436" s="50"/>
      <c r="B436" s="606" t="s">
        <v>126</v>
      </c>
      <c r="C436" s="607" t="s">
        <v>128</v>
      </c>
      <c r="D436" s="607" t="s">
        <v>127</v>
      </c>
      <c r="E436" s="607" t="s">
        <v>570</v>
      </c>
      <c r="F436" s="607" t="s">
        <v>138</v>
      </c>
      <c r="G436" s="608" t="s">
        <v>126</v>
      </c>
      <c r="H436" s="607" t="s">
        <v>128</v>
      </c>
      <c r="I436" s="607" t="s">
        <v>127</v>
      </c>
      <c r="J436" s="607" t="s">
        <v>570</v>
      </c>
      <c r="K436" s="607" t="s">
        <v>138</v>
      </c>
      <c r="L436" s="168"/>
      <c r="M436" s="301" t="s">
        <v>552</v>
      </c>
      <c r="N436" s="496" t="s">
        <v>553</v>
      </c>
      <c r="O436" s="532" t="s">
        <v>558</v>
      </c>
      <c r="P436" s="533" t="s">
        <v>555</v>
      </c>
      <c r="Q436" s="533" t="s">
        <v>138</v>
      </c>
      <c r="R436" s="532" t="s">
        <v>558</v>
      </c>
      <c r="S436" s="533" t="s">
        <v>555</v>
      </c>
      <c r="T436" s="533" t="s">
        <v>138</v>
      </c>
      <c r="U436" s="532" t="s">
        <v>558</v>
      </c>
      <c r="V436" s="533" t="s">
        <v>555</v>
      </c>
      <c r="W436" s="533" t="s">
        <v>138</v>
      </c>
      <c r="Y436" s="7"/>
      <c r="Z436" s="53" t="s">
        <v>126</v>
      </c>
      <c r="AA436" s="52" t="s">
        <v>128</v>
      </c>
      <c r="AB436" s="52" t="s">
        <v>127</v>
      </c>
      <c r="AC436" s="52" t="s">
        <v>438</v>
      </c>
      <c r="AD436" s="52" t="s">
        <v>138</v>
      </c>
    </row>
    <row r="437" spans="1:30" s="61" customFormat="1" ht="14.25">
      <c r="A437" s="73" t="s">
        <v>82</v>
      </c>
      <c r="B437" s="102">
        <f>IF(M437&gt;0,('Amounts Pivot Table'!S$631/M437),0)</f>
        <v>3040.4110028488958</v>
      </c>
      <c r="C437" s="102">
        <f>IF(M437&gt;0,('Amounts Pivot Table'!S$10/M437),0)</f>
        <v>3.8934593692433679</v>
      </c>
      <c r="D437" s="180">
        <f>IF(M437&gt;0,('Amounts Pivot Table'!S$637/M437),0)</f>
        <v>0</v>
      </c>
      <c r="E437" s="102">
        <f>IF(M437&gt;0,('Amounts Pivot Table'!S$640/M437),0)</f>
        <v>2057.5474928119429</v>
      </c>
      <c r="F437" s="102">
        <f>SUM(B437:E437)</f>
        <v>5101.8519550300825</v>
      </c>
      <c r="G437" s="114"/>
      <c r="H437" s="115"/>
      <c r="I437" s="115"/>
      <c r="J437" s="115"/>
      <c r="K437" s="115"/>
      <c r="L437" s="169"/>
      <c r="M437" s="299">
        <f>+'[1]NEW-Tables 80-86'!AP193</f>
        <v>173183.26353333335</v>
      </c>
      <c r="N437" s="163">
        <f>+'[1]OLD Tables'!H193</f>
        <v>153663.70944444445</v>
      </c>
      <c r="O437" s="642">
        <f>+B437+C437+D437</f>
        <v>3044.3044622181392</v>
      </c>
      <c r="P437" s="643">
        <f>+E437</f>
        <v>2057.5474928119429</v>
      </c>
      <c r="Q437" s="631">
        <f>+F437</f>
        <v>5101.8519550300825</v>
      </c>
      <c r="R437" s="539">
        <f>IF($N437&gt;0,(('Amounts Pivot Table'!S$6+'Amounts Pivot Table'!S$630+'Amounts Pivot Table'!S$633)/$N437),0)</f>
        <v>3817.0913329543214</v>
      </c>
      <c r="S437" s="538">
        <f>IF($N437&gt;0,('Amounts Pivot Table'!S$639/$N437),0)</f>
        <v>2260.5741496186452</v>
      </c>
      <c r="T437" s="538">
        <f t="shared" ref="T437:T457" si="64">+S437+R437</f>
        <v>6077.6654825729665</v>
      </c>
      <c r="U437" s="632">
        <f>(O437-R437)/R437</f>
        <v>-0.20245438301788468</v>
      </c>
      <c r="V437" s="627">
        <f>(P437-S437)/S437</f>
        <v>-8.9811987295772847E-2</v>
      </c>
      <c r="W437" s="629">
        <f>(Q437-T437)/T437</f>
        <v>-0.16055729462915019</v>
      </c>
      <c r="Y437" s="73" t="s">
        <v>82</v>
      </c>
      <c r="Z437" s="61">
        <f>B437*$M437</f>
        <v>526548299.95602661</v>
      </c>
      <c r="AA437" s="61">
        <f>C437*$M437</f>
        <v>674282</v>
      </c>
      <c r="AB437" s="61">
        <f>D437*$M437</f>
        <v>0</v>
      </c>
      <c r="AC437" s="61">
        <f>E437*$M437</f>
        <v>356332789.68000001</v>
      </c>
      <c r="AD437" s="61">
        <f>F437*$M437</f>
        <v>883555371.63602674</v>
      </c>
    </row>
    <row r="438" spans="1:30" s="61" customFormat="1" ht="12.75" customHeight="1">
      <c r="A438" s="73"/>
      <c r="B438" s="102"/>
      <c r="C438" s="102"/>
      <c r="D438" s="102"/>
      <c r="E438" s="102"/>
      <c r="F438" s="102"/>
      <c r="G438" s="114"/>
      <c r="H438" s="115"/>
      <c r="I438" s="115"/>
      <c r="J438" s="115"/>
      <c r="K438" s="115"/>
      <c r="L438" s="169"/>
      <c r="M438" s="299">
        <f>+'[1]NEW-Tables 80-86'!AP194</f>
        <v>0</v>
      </c>
      <c r="N438" s="163" t="str">
        <f>+'[1]OLD Tables'!H194</f>
        <v xml:space="preserve"> </v>
      </c>
      <c r="O438" s="642">
        <f t="shared" ref="O438:O457" si="65">+B438+C438+D438</f>
        <v>0</v>
      </c>
      <c r="P438" s="643">
        <f t="shared" ref="P438:P457" si="66">+E438</f>
        <v>0</v>
      </c>
      <c r="Q438" s="631">
        <f t="shared" ref="Q438:Q457" si="67">+F438</f>
        <v>0</v>
      </c>
      <c r="R438" s="534"/>
      <c r="S438" s="536"/>
      <c r="T438" s="538">
        <f t="shared" si="64"/>
        <v>0</v>
      </c>
      <c r="U438" s="633"/>
      <c r="V438" s="628"/>
      <c r="W438" s="630"/>
      <c r="Y438" s="73"/>
    </row>
    <row r="439" spans="1:30" s="61" customFormat="1" ht="12.75" customHeight="1">
      <c r="A439" s="73" t="s">
        <v>452</v>
      </c>
      <c r="B439" s="75">
        <f>IF($M439&gt;0,('Amounts Pivot Table'!S$7/$M439),0)</f>
        <v>5468.107662027709</v>
      </c>
      <c r="C439" s="75">
        <f>IF($M439&gt;0,('Amounts Pivot Table'!S$10/$M439),0)</f>
        <v>156.74658277283575</v>
      </c>
      <c r="D439" s="75">
        <f>IF($M439&gt;0,('Amounts Pivot Table'!S$13/$M439),0)</f>
        <v>0</v>
      </c>
      <c r="E439" s="75">
        <f>IF($M439&gt;0,('Amounts Pivot Table'!S$16/$M439),0)</f>
        <v>2975.2453274648979</v>
      </c>
      <c r="F439" s="75">
        <f t="shared" ref="F439:F457" si="68">SUM(B439:E439)</f>
        <v>8600.0995722654425</v>
      </c>
      <c r="G439" s="116">
        <f>IF(B439&gt;0,RANK(B439,$B$439:$B$457),)</f>
        <v>1</v>
      </c>
      <c r="H439" s="107">
        <f>IF(C439&gt;0,RANK(C439,$C$439:$C$457),)</f>
        <v>1</v>
      </c>
      <c r="I439" s="107">
        <f>IF(D439&gt;0,RANK(D439,$D$439:$D$457),)</f>
        <v>0</v>
      </c>
      <c r="J439" s="107">
        <f>IF(E439&gt;0,RANK(E439,$E$439:$E$457),)</f>
        <v>2</v>
      </c>
      <c r="K439" s="107">
        <f>IF(F439&gt;0,RANK(F439,$F$439:$F$457),)</f>
        <v>1</v>
      </c>
      <c r="L439" s="169"/>
      <c r="M439" s="299">
        <f>+'[1]NEW-Tables 80-86'!AP195</f>
        <v>4301.7333333333336</v>
      </c>
      <c r="N439" s="163">
        <f>+'[1]OLD Tables'!H195</f>
        <v>3883.0333333333328</v>
      </c>
      <c r="O439" s="642">
        <f t="shared" si="65"/>
        <v>5624.8542448005446</v>
      </c>
      <c r="P439" s="643">
        <f t="shared" si="66"/>
        <v>2975.2453274648979</v>
      </c>
      <c r="Q439" s="631">
        <f t="shared" si="67"/>
        <v>8600.0995722654425</v>
      </c>
      <c r="R439" s="539">
        <f>IF($N439&gt;0,(('Amounts Pivot Table'!S$6+'Amounts Pivot Table'!S$9+'Amounts Pivot Table'!S$12)/$N439),0)</f>
        <v>6337.6789219768061</v>
      </c>
      <c r="S439" s="538">
        <f>IF($N439&gt;0,('Amounts Pivot Table'!S$15/$N439),0)</f>
        <v>3235.1315071550598</v>
      </c>
      <c r="T439" s="538">
        <f t="shared" si="64"/>
        <v>9572.8104291318668</v>
      </c>
      <c r="U439" s="634">
        <f t="shared" ref="U439:U457" si="69">(O439-R439)/R439</f>
        <v>-0.11247409121728148</v>
      </c>
      <c r="V439" s="627">
        <f t="shared" ref="V439:V457" si="70">(P439-S439)/S439</f>
        <v>-8.0332493166159757E-2</v>
      </c>
      <c r="W439" s="629">
        <f t="shared" ref="W439:W457" si="71">(Q439-T439)/T439</f>
        <v>-0.10161183740840431</v>
      </c>
      <c r="Y439" s="73" t="s">
        <v>452</v>
      </c>
      <c r="Z439" s="61">
        <f t="shared" ref="Z439:Z457" si="72">B439*$M439</f>
        <v>23522340.999999996</v>
      </c>
      <c r="AA439" s="61">
        <f t="shared" ref="AA439:AA457" si="73">C439*$M439</f>
        <v>674282</v>
      </c>
      <c r="AB439" s="61">
        <f t="shared" ref="AB439:AB457" si="74">D439*$M439</f>
        <v>0</v>
      </c>
      <c r="AC439" s="61">
        <f t="shared" ref="AC439:AC457" si="75">E439*$M439</f>
        <v>12798712</v>
      </c>
      <c r="AD439" s="61">
        <f t="shared" ref="AD439:AD457" si="76">F439*$M439</f>
        <v>36995335</v>
      </c>
    </row>
    <row r="440" spans="1:30" s="61" customFormat="1" ht="12.75" customHeight="1">
      <c r="A440" s="73" t="s">
        <v>466</v>
      </c>
      <c r="B440" s="75">
        <f>IF($M440&gt;0,('Amounts Pivot Table'!S$46/$M440),0)</f>
        <v>0</v>
      </c>
      <c r="C440" s="75">
        <f>IF($M440&gt;0,('Amounts Pivot Table'!S$49/$M440),0)</f>
        <v>0</v>
      </c>
      <c r="D440" s="75">
        <f>IF($M440&gt;0,('Amounts Pivot Table'!S$52/$M440),0)</f>
        <v>0</v>
      </c>
      <c r="E440" s="75">
        <f>IF($M440&gt;0,('Amounts Pivot Table'!S$55/$M440),0)</f>
        <v>0</v>
      </c>
      <c r="F440" s="75">
        <f t="shared" si="68"/>
        <v>0</v>
      </c>
      <c r="G440" s="116">
        <f>IF(B440&gt;0,RANK(B440,$B$439:$B$457),)</f>
        <v>0</v>
      </c>
      <c r="H440" s="107">
        <f>IF(C440&gt;0,RANK(C440,$C$439:$C$457),)</f>
        <v>0</v>
      </c>
      <c r="I440" s="107">
        <f>IF(D440&gt;0,RANK(D440,$D$439:$D$457),)</f>
        <v>0</v>
      </c>
      <c r="J440" s="107">
        <f>IF(E440&gt;0,RANK(E440,$E$439:$E$457),)</f>
        <v>0</v>
      </c>
      <c r="K440" s="107">
        <f>IF(F440&gt;0,RANK(F440,$F$439:$F$457),)</f>
        <v>0</v>
      </c>
      <c r="L440" s="169"/>
      <c r="M440" s="299">
        <f>+'[1]NEW-Tables 80-86'!AP196</f>
        <v>0</v>
      </c>
      <c r="N440" s="163">
        <f>+'[1]OLD Tables'!H196</f>
        <v>0</v>
      </c>
      <c r="O440" s="642">
        <f t="shared" si="65"/>
        <v>0</v>
      </c>
      <c r="P440" s="643">
        <f t="shared" si="66"/>
        <v>0</v>
      </c>
      <c r="Q440" s="631">
        <f t="shared" si="67"/>
        <v>0</v>
      </c>
      <c r="R440" s="539">
        <f>IF($N440&gt;0,(('Amounts Pivot Table'!S$45+'Amounts Pivot Table'!S$48++'Amounts Pivot Table'!S$51)/$N440),0)</f>
        <v>0</v>
      </c>
      <c r="S440" s="538">
        <f>IF($N440&gt;0,('Amounts Pivot Table'!S$54/$N440),0)</f>
        <v>0</v>
      </c>
      <c r="T440" s="538">
        <f t="shared" si="64"/>
        <v>0</v>
      </c>
      <c r="U440" s="634" t="e">
        <f t="shared" si="69"/>
        <v>#DIV/0!</v>
      </c>
      <c r="V440" s="627" t="e">
        <f t="shared" si="70"/>
        <v>#DIV/0!</v>
      </c>
      <c r="W440" s="629" t="e">
        <f t="shared" si="71"/>
        <v>#DIV/0!</v>
      </c>
      <c r="Y440" s="73" t="s">
        <v>466</v>
      </c>
      <c r="Z440" s="61">
        <f t="shared" si="72"/>
        <v>0</v>
      </c>
      <c r="AA440" s="61">
        <f t="shared" si="73"/>
        <v>0</v>
      </c>
      <c r="AB440" s="61">
        <f t="shared" si="74"/>
        <v>0</v>
      </c>
      <c r="AC440" s="61">
        <f t="shared" si="75"/>
        <v>0</v>
      </c>
      <c r="AD440" s="61">
        <f t="shared" si="76"/>
        <v>0</v>
      </c>
    </row>
    <row r="441" spans="1:30" s="61" customFormat="1" ht="12.75" customHeight="1">
      <c r="A441" s="73" t="s">
        <v>453</v>
      </c>
      <c r="B441" s="75">
        <f>IF($M441&gt;0,('Amounts Pivot Table'!S$85/$M441),0)</f>
        <v>0</v>
      </c>
      <c r="C441" s="75">
        <f>IF($M441&gt;0,('Amounts Pivot Table'!S$88/$M441),0)</f>
        <v>0</v>
      </c>
      <c r="D441" s="75">
        <f>IF($M441&gt;0,('Amounts Pivot Table'!S$91/$M441),0)</f>
        <v>0</v>
      </c>
      <c r="E441" s="75">
        <f>IF($M441&gt;0,('Amounts Pivot Table'!S$94/$M441),0)</f>
        <v>0</v>
      </c>
      <c r="F441" s="75">
        <f t="shared" si="68"/>
        <v>0</v>
      </c>
      <c r="G441" s="116">
        <f>IF(B441&gt;0,RANK(B441,$B$439:$B$457),)</f>
        <v>0</v>
      </c>
      <c r="H441" s="107">
        <f>IF(C441&gt;0,RANK(C441,$C$439:$C$457),)</f>
        <v>0</v>
      </c>
      <c r="I441" s="107">
        <f>IF(D441&gt;0,RANK(D441,$D$439:$D$457),)</f>
        <v>0</v>
      </c>
      <c r="J441" s="107">
        <f>IF(E441&gt;0,RANK(E441,$E$439:$E$457),)</f>
        <v>0</v>
      </c>
      <c r="K441" s="107">
        <f>IF(F441&gt;0,RANK(F441,$F$439:$F$457),)</f>
        <v>0</v>
      </c>
      <c r="L441" s="169"/>
      <c r="M441" s="299">
        <f>+'[1]NEW-Tables 80-86'!AP197</f>
        <v>0</v>
      </c>
      <c r="N441" s="163">
        <f>+'[1]OLD Tables'!H197</f>
        <v>0</v>
      </c>
      <c r="O441" s="642">
        <f t="shared" si="65"/>
        <v>0</v>
      </c>
      <c r="P441" s="643">
        <f t="shared" si="66"/>
        <v>0</v>
      </c>
      <c r="Q441" s="631">
        <f t="shared" si="67"/>
        <v>0</v>
      </c>
      <c r="R441" s="539">
        <f>IF($N441&gt;0,(('Amounts Pivot Table'!S$84+'Amounts Pivot Table'!S$87++'Amounts Pivot Table'!S$90)/$N441),0)</f>
        <v>0</v>
      </c>
      <c r="S441" s="538">
        <f>IF($N441&gt;0,('Amounts Pivot Table'!S$93/$N441),0)</f>
        <v>0</v>
      </c>
      <c r="T441" s="538">
        <f t="shared" si="64"/>
        <v>0</v>
      </c>
      <c r="U441" s="634" t="e">
        <f t="shared" si="69"/>
        <v>#DIV/0!</v>
      </c>
      <c r="V441" s="627" t="e">
        <f t="shared" si="70"/>
        <v>#DIV/0!</v>
      </c>
      <c r="W441" s="629" t="e">
        <f t="shared" si="71"/>
        <v>#DIV/0!</v>
      </c>
      <c r="Y441" s="73" t="s">
        <v>453</v>
      </c>
      <c r="Z441" s="61">
        <f t="shared" si="72"/>
        <v>0</v>
      </c>
      <c r="AA441" s="61">
        <f t="shared" si="73"/>
        <v>0</v>
      </c>
      <c r="AB441" s="61">
        <f t="shared" si="74"/>
        <v>0</v>
      </c>
      <c r="AC441" s="61">
        <f t="shared" si="75"/>
        <v>0</v>
      </c>
      <c r="AD441" s="61">
        <f t="shared" si="76"/>
        <v>0</v>
      </c>
    </row>
    <row r="442" spans="1:30" s="61" customFormat="1" ht="12.75" customHeight="1">
      <c r="A442" s="73" t="s">
        <v>460</v>
      </c>
      <c r="B442" s="75">
        <f>IF($M442&gt;0,('Amounts Pivot Table'!S$124/$M442),0)</f>
        <v>0</v>
      </c>
      <c r="C442" s="75">
        <f>IF($M442&gt;0,('Amounts Pivot Table'!S$127/$M442),0)</f>
        <v>0</v>
      </c>
      <c r="D442" s="75">
        <f>IF($M442&gt;0,('Amounts Pivot Table'!S$130/$M442),0)</f>
        <v>0</v>
      </c>
      <c r="E442" s="75">
        <f>IF($M442&gt;0,('Amounts Pivot Table'!S$133/$M442),0)</f>
        <v>0</v>
      </c>
      <c r="F442" s="75">
        <f t="shared" si="68"/>
        <v>0</v>
      </c>
      <c r="G442" s="116">
        <f>IF(B442&gt;0,RANK(B442,$B$439:$B$457),)</f>
        <v>0</v>
      </c>
      <c r="H442" s="107">
        <f>IF(C442&gt;0,RANK(C442,$C$439:$C$457),)</f>
        <v>0</v>
      </c>
      <c r="I442" s="107">
        <f>IF(D442&gt;0,RANK(D442,$D$439:$D$457),)</f>
        <v>0</v>
      </c>
      <c r="J442" s="107">
        <f>IF(E442&gt;0,RANK(E442,$E$439:$E$457),)</f>
        <v>0</v>
      </c>
      <c r="K442" s="107">
        <f>IF(F442&gt;0,RANK(F442,$F$439:$F$457),)</f>
        <v>0</v>
      </c>
      <c r="L442" s="169"/>
      <c r="M442" s="299">
        <f>+'[1]NEW-Tables 80-86'!AP198</f>
        <v>0</v>
      </c>
      <c r="N442" s="163">
        <f>+'[1]OLD Tables'!H198</f>
        <v>0</v>
      </c>
      <c r="O442" s="642">
        <f t="shared" si="65"/>
        <v>0</v>
      </c>
      <c r="P442" s="643">
        <f t="shared" si="66"/>
        <v>0</v>
      </c>
      <c r="Q442" s="631">
        <f t="shared" si="67"/>
        <v>0</v>
      </c>
      <c r="R442" s="539">
        <f>IF($N442&gt;0,(('Amounts Pivot Table'!S$123+'Amounts Pivot Table'!S$126++'Amounts Pivot Table'!S$129)/$N442),0)</f>
        <v>0</v>
      </c>
      <c r="S442" s="538">
        <f>IF($N442&gt;0,('Amounts Pivot Table'!S$132/$N442),0)</f>
        <v>0</v>
      </c>
      <c r="T442" s="538">
        <f t="shared" si="64"/>
        <v>0</v>
      </c>
      <c r="U442" s="634" t="e">
        <f t="shared" si="69"/>
        <v>#DIV/0!</v>
      </c>
      <c r="V442" s="627" t="e">
        <f t="shared" si="70"/>
        <v>#DIV/0!</v>
      </c>
      <c r="W442" s="629" t="e">
        <f t="shared" si="71"/>
        <v>#DIV/0!</v>
      </c>
      <c r="Y442" s="73" t="s">
        <v>460</v>
      </c>
      <c r="Z442" s="61">
        <f t="shared" si="72"/>
        <v>0</v>
      </c>
      <c r="AA442" s="61">
        <f t="shared" si="73"/>
        <v>0</v>
      </c>
      <c r="AB442" s="61">
        <f t="shared" si="74"/>
        <v>0</v>
      </c>
      <c r="AC442" s="61">
        <f t="shared" si="75"/>
        <v>0</v>
      </c>
      <c r="AD442" s="61">
        <f t="shared" si="76"/>
        <v>0</v>
      </c>
    </row>
    <row r="443" spans="1:30" s="61" customFormat="1" ht="12.75" customHeight="1">
      <c r="A443" s="73"/>
      <c r="B443" s="75"/>
      <c r="C443" s="75"/>
      <c r="D443" s="75"/>
      <c r="E443" s="75"/>
      <c r="F443" s="75"/>
      <c r="G443" s="116"/>
      <c r="H443" s="107"/>
      <c r="I443" s="107"/>
      <c r="J443" s="107"/>
      <c r="K443" s="107"/>
      <c r="L443" s="169"/>
      <c r="M443" s="299">
        <f>+'[1]NEW-Tables 80-86'!AP199</f>
        <v>0</v>
      </c>
      <c r="N443" s="163">
        <f>+'[1]OLD Tables'!H199</f>
        <v>0</v>
      </c>
      <c r="O443" s="642"/>
      <c r="P443" s="643"/>
      <c r="Q443" s="631"/>
      <c r="R443" s="539"/>
      <c r="S443" s="538"/>
      <c r="T443" s="538"/>
      <c r="U443" s="634"/>
      <c r="V443" s="627"/>
      <c r="W443" s="629"/>
      <c r="Y443" s="73"/>
    </row>
    <row r="444" spans="1:30" s="61" customFormat="1" ht="12.75" customHeight="1">
      <c r="A444" s="73" t="s">
        <v>461</v>
      </c>
      <c r="B444" s="75">
        <f>IF($M444&gt;0,('Amounts Pivot Table'!S$163/$M444),0)</f>
        <v>2546.2242104359461</v>
      </c>
      <c r="C444" s="75">
        <f>IF($M444&gt;0,('Amounts Pivot Table'!S$166/$M444),0)</f>
        <v>0</v>
      </c>
      <c r="D444" s="75">
        <f>IF($M444&gt;0,('Amounts Pivot Table'!S$169/$M444),0)</f>
        <v>0</v>
      </c>
      <c r="E444" s="75">
        <f>IF($M444&gt;0,('Amounts Pivot Table'!S$172/$M444),0)</f>
        <v>2503.2885340660682</v>
      </c>
      <c r="F444" s="75">
        <f t="shared" si="68"/>
        <v>5049.5127445020144</v>
      </c>
      <c r="G444" s="116">
        <f>IF(B444&gt;0,RANK(B444,$B$439:$B$457),)</f>
        <v>6</v>
      </c>
      <c r="H444" s="107">
        <f>IF(C444&gt;0,RANK(C444,$C$439:$C$457),)</f>
        <v>0</v>
      </c>
      <c r="I444" s="107">
        <f>IF(D444&gt;0,RANK(D444,$D$439:$D$457),)</f>
        <v>0</v>
      </c>
      <c r="J444" s="107">
        <f>IF(E444&gt;0,RANK(E444,$E$439:$E$457),)</f>
        <v>3</v>
      </c>
      <c r="K444" s="121">
        <f>IF(F444&gt;0,RANK(F444,$F$439:$F$457),)</f>
        <v>4</v>
      </c>
      <c r="L444" s="169"/>
      <c r="M444" s="299">
        <f>+'[1]NEW-Tables 80-86'!AP200</f>
        <v>103046.52666666667</v>
      </c>
      <c r="N444" s="163">
        <f>+'[1]OLD Tables'!H200</f>
        <v>87173.848888888897</v>
      </c>
      <c r="O444" s="642">
        <f t="shared" si="65"/>
        <v>2546.2242104359461</v>
      </c>
      <c r="P444" s="643">
        <f t="shared" si="66"/>
        <v>2503.2885340660682</v>
      </c>
      <c r="Q444" s="631">
        <f t="shared" si="67"/>
        <v>5049.5127445020144</v>
      </c>
      <c r="R444" s="539">
        <f>IF($N444&gt;0,(('Amounts Pivot Table'!S$162+'Amounts Pivot Table'!S$165+'Amounts Pivot Table'!S$168)/$N444),0)</f>
        <v>3412.9996758457019</v>
      </c>
      <c r="S444" s="538">
        <f>IF($N444&gt;0,('Amounts Pivot Table'!S$171/$N444),0)</f>
        <v>2925.5187590151904</v>
      </c>
      <c r="T444" s="538">
        <f t="shared" si="64"/>
        <v>6338.5184348608927</v>
      </c>
      <c r="U444" s="634">
        <f t="shared" si="69"/>
        <v>-0.25396294981920231</v>
      </c>
      <c r="V444" s="627">
        <f t="shared" si="70"/>
        <v>-0.14432661682581602</v>
      </c>
      <c r="W444" s="629">
        <f t="shared" si="71"/>
        <v>-0.20336072279439024</v>
      </c>
      <c r="Y444" s="73" t="s">
        <v>461</v>
      </c>
      <c r="Z444" s="61">
        <f t="shared" si="72"/>
        <v>262379561.00000003</v>
      </c>
      <c r="AA444" s="61">
        <f t="shared" si="73"/>
        <v>0</v>
      </c>
      <c r="AB444" s="61">
        <f t="shared" si="74"/>
        <v>0</v>
      </c>
      <c r="AC444" s="61">
        <f t="shared" si="75"/>
        <v>257955188.68000001</v>
      </c>
      <c r="AD444" s="61">
        <f t="shared" si="76"/>
        <v>520334749.68000001</v>
      </c>
    </row>
    <row r="445" spans="1:30" s="61" customFormat="1" ht="12.75" customHeight="1">
      <c r="A445" s="73" t="s">
        <v>454</v>
      </c>
      <c r="B445" s="75">
        <f>IF($M445&gt;0,('Amounts Pivot Table'!S$202/$M445),0)</f>
        <v>3620.7062833518717</v>
      </c>
      <c r="C445" s="75">
        <f>IF($M445&gt;0,('Amounts Pivot Table'!S$205/$M445),0)</f>
        <v>0</v>
      </c>
      <c r="D445" s="75">
        <f>IF($M445&gt;0,('Amounts Pivot Table'!S$208/$M445),0)</f>
        <v>0</v>
      </c>
      <c r="E445" s="75">
        <f>IF($M445&gt;0,('Amounts Pivot Table'!S$211/$M445),0)</f>
        <v>3917.0247573344968</v>
      </c>
      <c r="F445" s="75">
        <f t="shared" si="68"/>
        <v>7537.7310406863689</v>
      </c>
      <c r="G445" s="116">
        <f>IF(B445&gt;0,RANK(B445,$B$439:$B$457),)</f>
        <v>4</v>
      </c>
      <c r="H445" s="107">
        <f>IF(C445&gt;0,RANK(C445,$C$439:$C$457),)</f>
        <v>0</v>
      </c>
      <c r="I445" s="107">
        <f>IF(D445&gt;0,RANK(D445,$D$439:$D$457),)</f>
        <v>0</v>
      </c>
      <c r="J445" s="107">
        <f>IF(E445&gt;0,RANK(E445,$E$439:$E$457),)</f>
        <v>1</v>
      </c>
      <c r="K445" s="107">
        <f>IF(F445&gt;0,RANK(F445,$F$439:$F$457),)</f>
        <v>2</v>
      </c>
      <c r="L445" s="169"/>
      <c r="M445" s="299">
        <f>+'[1]NEW-Tables 80-86'!AP201</f>
        <v>4584.5</v>
      </c>
      <c r="N445" s="163">
        <f>+'[1]OLD Tables'!H201</f>
        <v>3683.1666666666665</v>
      </c>
      <c r="O445" s="642">
        <f t="shared" si="65"/>
        <v>3620.7062833518717</v>
      </c>
      <c r="P445" s="643">
        <f t="shared" si="66"/>
        <v>3917.0247573344968</v>
      </c>
      <c r="Q445" s="631">
        <f t="shared" si="67"/>
        <v>7537.7310406863689</v>
      </c>
      <c r="R445" s="539">
        <f>IF($N445&gt;0,(('Amounts Pivot Table'!S$201+'Amounts Pivot Table'!S$204++'Amounts Pivot Table'!S$207)/$N445),0)</f>
        <v>4289.4265803882527</v>
      </c>
      <c r="S445" s="538">
        <f>IF($N445&gt;0,('Amounts Pivot Table'!S$210/$N445),0)</f>
        <v>3308.3759446128784</v>
      </c>
      <c r="T445" s="538">
        <f t="shared" si="64"/>
        <v>7597.8025250011306</v>
      </c>
      <c r="U445" s="634">
        <f t="shared" si="69"/>
        <v>-0.1558996953331353</v>
      </c>
      <c r="V445" s="627">
        <f t="shared" si="70"/>
        <v>0.18397208265061243</v>
      </c>
      <c r="W445" s="629">
        <f t="shared" si="71"/>
        <v>-7.906428749245846E-3</v>
      </c>
      <c r="Y445" s="73" t="s">
        <v>454</v>
      </c>
      <c r="Z445" s="61">
        <f t="shared" si="72"/>
        <v>16599127.956026657</v>
      </c>
      <c r="AA445" s="61">
        <f t="shared" si="73"/>
        <v>0</v>
      </c>
      <c r="AB445" s="61">
        <f t="shared" si="74"/>
        <v>0</v>
      </c>
      <c r="AC445" s="61">
        <f t="shared" si="75"/>
        <v>17957600</v>
      </c>
      <c r="AD445" s="61">
        <f t="shared" si="76"/>
        <v>34556727.956026658</v>
      </c>
    </row>
    <row r="446" spans="1:30" s="61" customFormat="1" ht="12.75" customHeight="1">
      <c r="A446" s="73" t="s">
        <v>462</v>
      </c>
      <c r="B446" s="75">
        <f>IF($M446&gt;0,('Amounts Pivot Table'!S$241/$M446),0)</f>
        <v>3214.1581642086576</v>
      </c>
      <c r="C446" s="75">
        <f>IF($M446&gt;0,('Amounts Pivot Table'!S$244/$M446),0)</f>
        <v>0</v>
      </c>
      <c r="D446" s="75">
        <f>IF($M446&gt;0,('Amounts Pivot Table'!S$247/$M446),0)</f>
        <v>0</v>
      </c>
      <c r="E446" s="75">
        <f>IF($M446&gt;0,('Amounts Pivot Table'!S$250/$M446),0)</f>
        <v>800.1011890554455</v>
      </c>
      <c r="F446" s="75">
        <f t="shared" si="68"/>
        <v>4014.2593532641031</v>
      </c>
      <c r="G446" s="116">
        <f>IF(B446&gt;0,RANK(B446,$B$439:$B$457),)</f>
        <v>5</v>
      </c>
      <c r="H446" s="107">
        <f>IF(C446&gt;0,RANK(C446,$C$439:$C$457),)</f>
        <v>0</v>
      </c>
      <c r="I446" s="107">
        <f>IF(D446&gt;0,RANK(D446,$D$439:$D$457),)</f>
        <v>0</v>
      </c>
      <c r="J446" s="107">
        <f>IF(E446&gt;0,RANK(E446,$E$439:$E$457),)</f>
        <v>6</v>
      </c>
      <c r="K446" s="107">
        <f>IF(F446&gt;0,RANK(F446,$F$439:$F$457),)</f>
        <v>6</v>
      </c>
      <c r="L446" s="169"/>
      <c r="M446" s="299">
        <f>+'[1]NEW-Tables 80-86'!AP202</f>
        <v>19830.866666666669</v>
      </c>
      <c r="N446" s="163">
        <f>+'[1]OLD Tables'!H202</f>
        <v>19607.000555555554</v>
      </c>
      <c r="O446" s="642">
        <f t="shared" si="65"/>
        <v>3214.1581642086576</v>
      </c>
      <c r="P446" s="643">
        <f t="shared" si="66"/>
        <v>800.1011890554455</v>
      </c>
      <c r="Q446" s="631">
        <f t="shared" si="67"/>
        <v>4014.2593532641031</v>
      </c>
      <c r="R446" s="539">
        <f>IF($N446&gt;0,(('Amounts Pivot Table'!S$240+'Amounts Pivot Table'!S$243++'Amounts Pivot Table'!S$247)/$N446),0)</f>
        <v>3494.4251062708586</v>
      </c>
      <c r="S446" s="538">
        <f>IF($N446&gt;0,('Amounts Pivot Table'!S$249/$N446),0)</f>
        <v>945.4916853535392</v>
      </c>
      <c r="T446" s="538">
        <f t="shared" si="64"/>
        <v>4439.9167916243978</v>
      </c>
      <c r="U446" s="634">
        <f t="shared" si="69"/>
        <v>-8.0204020271962023E-2</v>
      </c>
      <c r="V446" s="627">
        <f t="shared" si="70"/>
        <v>-0.15377236896983301</v>
      </c>
      <c r="W446" s="629">
        <f t="shared" si="71"/>
        <v>-9.5870589098261613E-2</v>
      </c>
      <c r="Y446" s="73" t="s">
        <v>462</v>
      </c>
      <c r="Z446" s="61">
        <f t="shared" si="72"/>
        <v>63739542</v>
      </c>
      <c r="AA446" s="61">
        <f t="shared" si="73"/>
        <v>0</v>
      </c>
      <c r="AB446" s="61">
        <f t="shared" si="74"/>
        <v>0</v>
      </c>
      <c r="AC446" s="61">
        <f t="shared" si="75"/>
        <v>15866700</v>
      </c>
      <c r="AD446" s="61">
        <f t="shared" si="76"/>
        <v>79606242</v>
      </c>
    </row>
    <row r="447" spans="1:30" s="61" customFormat="1" ht="12.75" customHeight="1">
      <c r="A447" s="73" t="s">
        <v>465</v>
      </c>
      <c r="B447" s="75">
        <f>IF($M447&gt;0,('Amounts Pivot Table'!S$280/$M447),0)</f>
        <v>0</v>
      </c>
      <c r="C447" s="75">
        <f>IF($M447&gt;0,('Amounts Pivot Table'!S$283/$M447),0)</f>
        <v>0</v>
      </c>
      <c r="D447" s="75">
        <f>IF($M447&gt;0,('Amounts Pivot Table'!S$286/$M447),0)</f>
        <v>0</v>
      </c>
      <c r="E447" s="75">
        <f>IF($M447&gt;0,('Amounts Pivot Table'!S$289/$M447),0)</f>
        <v>0</v>
      </c>
      <c r="F447" s="75">
        <f t="shared" si="68"/>
        <v>0</v>
      </c>
      <c r="G447" s="116">
        <f>IF(B447&gt;0,RANK(B447,$B$439:$B$457),)</f>
        <v>0</v>
      </c>
      <c r="H447" s="107">
        <f>IF(C447&gt;0,RANK(C447,$C$439:$C$457),)</f>
        <v>0</v>
      </c>
      <c r="I447" s="107">
        <f>IF(D447&gt;0,RANK(D447,$D$439:$D$457),)</f>
        <v>0</v>
      </c>
      <c r="J447" s="107">
        <f>IF(E447&gt;0,RANK(E447,$E$439:$E$457),)</f>
        <v>0</v>
      </c>
      <c r="K447" s="107">
        <f>IF(F447&gt;0,RANK(F447,$F$439:$F$457),)</f>
        <v>0</v>
      </c>
      <c r="L447" s="169"/>
      <c r="M447" s="299">
        <f>+'[1]NEW-Tables 80-86'!AP203</f>
        <v>0</v>
      </c>
      <c r="N447" s="163">
        <f>+'[1]OLD Tables'!H203</f>
        <v>0</v>
      </c>
      <c r="O447" s="642">
        <f t="shared" si="65"/>
        <v>0</v>
      </c>
      <c r="P447" s="643">
        <f t="shared" si="66"/>
        <v>0</v>
      </c>
      <c r="Q447" s="631">
        <f t="shared" si="67"/>
        <v>0</v>
      </c>
      <c r="R447" s="539">
        <f>IF($N447&gt;0,(('Amounts Pivot Table'!S$279+'Amounts Pivot Table'!S$282++'Amounts Pivot Table'!S$285)/$N447),0)</f>
        <v>0</v>
      </c>
      <c r="S447" s="538">
        <f>IF($N447&gt;0,('Amounts Pivot Table'!S$288/$N447),0)</f>
        <v>0</v>
      </c>
      <c r="T447" s="538">
        <f t="shared" si="64"/>
        <v>0</v>
      </c>
      <c r="U447" s="634" t="e">
        <f t="shared" si="69"/>
        <v>#DIV/0!</v>
      </c>
      <c r="V447" s="627" t="e">
        <f t="shared" si="70"/>
        <v>#DIV/0!</v>
      </c>
      <c r="W447" s="629" t="e">
        <f t="shared" si="71"/>
        <v>#DIV/0!</v>
      </c>
      <c r="Y447" s="73" t="s">
        <v>465</v>
      </c>
      <c r="Z447" s="61">
        <f t="shared" si="72"/>
        <v>0</v>
      </c>
      <c r="AA447" s="61">
        <f t="shared" si="73"/>
        <v>0</v>
      </c>
      <c r="AB447" s="61">
        <f t="shared" si="74"/>
        <v>0</v>
      </c>
      <c r="AC447" s="61">
        <f t="shared" si="75"/>
        <v>0</v>
      </c>
      <c r="AD447" s="61">
        <f t="shared" si="76"/>
        <v>0</v>
      </c>
    </row>
    <row r="448" spans="1:30" s="61" customFormat="1" ht="12.75" customHeight="1">
      <c r="A448" s="73"/>
      <c r="B448" s="75"/>
      <c r="C448" s="75"/>
      <c r="D448" s="75"/>
      <c r="E448" s="75"/>
      <c r="F448" s="75"/>
      <c r="G448" s="116"/>
      <c r="H448" s="107"/>
      <c r="I448" s="107"/>
      <c r="J448" s="107"/>
      <c r="K448" s="107"/>
      <c r="L448" s="169"/>
      <c r="M448" s="299">
        <f>+'[1]NEW-Tables 80-86'!AP204</f>
        <v>0</v>
      </c>
      <c r="N448" s="163">
        <f>+'[1]OLD Tables'!H204</f>
        <v>0</v>
      </c>
      <c r="O448" s="642"/>
      <c r="P448" s="643"/>
      <c r="Q448" s="631"/>
      <c r="R448" s="539"/>
      <c r="S448" s="538"/>
      <c r="T448" s="538"/>
      <c r="U448" s="634"/>
      <c r="V448" s="627"/>
      <c r="W448" s="629"/>
      <c r="Y448" s="73"/>
    </row>
    <row r="449" spans="1:30" s="61" customFormat="1" ht="12.75" customHeight="1">
      <c r="A449" s="73" t="s">
        <v>455</v>
      </c>
      <c r="B449" s="75">
        <f>IF($M449&gt;0,('Amounts Pivot Table'!S$319/$M449),0)</f>
        <v>0</v>
      </c>
      <c r="C449" s="75">
        <f>IF($M449&gt;0,('Amounts Pivot Table'!S$322/$M449),0)</f>
        <v>0</v>
      </c>
      <c r="D449" s="75">
        <f>IF($M449&gt;0,('Amounts Pivot Table'!S$325/$M449),0)</f>
        <v>0</v>
      </c>
      <c r="E449" s="75">
        <f>IF($M449&gt;0,('Amounts Pivot Table'!S$328/$M449),0)</f>
        <v>0</v>
      </c>
      <c r="F449" s="75">
        <f t="shared" si="68"/>
        <v>0</v>
      </c>
      <c r="G449" s="116">
        <f>IF(B449&gt;0,RANK(B449,$B$439:$B$457),)</f>
        <v>0</v>
      </c>
      <c r="H449" s="107">
        <f>IF(C449&gt;0,RANK(C449,$C$439:$C$457),)</f>
        <v>0</v>
      </c>
      <c r="I449" s="107">
        <f>IF(D449&gt;0,RANK(D449,$D$439:$D$457),)</f>
        <v>0</v>
      </c>
      <c r="J449" s="107">
        <f>IF(E449&gt;0,RANK(E449,$E$439:$E$457),)</f>
        <v>0</v>
      </c>
      <c r="K449" s="107">
        <f>IF(F449&gt;0,RANK(F449,$F$439:$F$457),)</f>
        <v>0</v>
      </c>
      <c r="L449" s="169"/>
      <c r="M449" s="299">
        <f>+'[1]NEW-Tables 80-86'!AP205</f>
        <v>0</v>
      </c>
      <c r="N449" s="163">
        <f>+'[1]OLD Tables'!H205</f>
        <v>0</v>
      </c>
      <c r="O449" s="642">
        <f t="shared" si="65"/>
        <v>0</v>
      </c>
      <c r="P449" s="643">
        <f t="shared" si="66"/>
        <v>0</v>
      </c>
      <c r="Q449" s="631">
        <f t="shared" si="67"/>
        <v>0</v>
      </c>
      <c r="R449" s="539">
        <f>IF($N449&gt;0,(('Amounts Pivot Table'!S$318+'Amounts Pivot Table'!S$321++'Amounts Pivot Table'!S$324)/$N449),0)</f>
        <v>0</v>
      </c>
      <c r="S449" s="538">
        <f>IF($N449&gt;0,('Amounts Pivot Table'!S$327/$N449),0)</f>
        <v>0</v>
      </c>
      <c r="T449" s="538">
        <f t="shared" si="64"/>
        <v>0</v>
      </c>
      <c r="U449" s="634" t="e">
        <f t="shared" si="69"/>
        <v>#DIV/0!</v>
      </c>
      <c r="V449" s="627" t="e">
        <f t="shared" si="70"/>
        <v>#DIV/0!</v>
      </c>
      <c r="W449" s="629" t="e">
        <f t="shared" si="71"/>
        <v>#DIV/0!</v>
      </c>
      <c r="Y449" s="73" t="s">
        <v>455</v>
      </c>
      <c r="Z449" s="61">
        <f t="shared" si="72"/>
        <v>0</v>
      </c>
      <c r="AA449" s="61">
        <f t="shared" si="73"/>
        <v>0</v>
      </c>
      <c r="AB449" s="61">
        <f t="shared" si="74"/>
        <v>0</v>
      </c>
      <c r="AC449" s="61">
        <f t="shared" si="75"/>
        <v>0</v>
      </c>
      <c r="AD449" s="61">
        <f t="shared" si="76"/>
        <v>0</v>
      </c>
    </row>
    <row r="450" spans="1:30" s="61" customFormat="1" ht="12.75" customHeight="1">
      <c r="A450" s="73" t="s">
        <v>456</v>
      </c>
      <c r="B450" s="75">
        <f>IF($M450&gt;0,('Amounts Pivot Table'!S$358/$M450),0)</f>
        <v>0</v>
      </c>
      <c r="C450" s="75">
        <f>IF($M450&gt;0,('Amounts Pivot Table'!S$361/$M450),0)</f>
        <v>0</v>
      </c>
      <c r="D450" s="75">
        <f>IF($M450&gt;0,('Amounts Pivot Table'!S$364/$M450),0)</f>
        <v>0</v>
      </c>
      <c r="E450" s="75">
        <f>IF($M450&gt;0,('Amounts Pivot Table'!S$367/$M450),0)</f>
        <v>0</v>
      </c>
      <c r="F450" s="75">
        <f t="shared" si="68"/>
        <v>0</v>
      </c>
      <c r="G450" s="116">
        <f>IF(B450&gt;0,RANK(B450,$B$439:$B$457),)</f>
        <v>0</v>
      </c>
      <c r="H450" s="107">
        <f>IF(C450&gt;0,RANK(C450,$C$439:$C$457),)</f>
        <v>0</v>
      </c>
      <c r="I450" s="107">
        <f>IF(D450&gt;0,RANK(D450,$D$439:$D$457),)</f>
        <v>0</v>
      </c>
      <c r="J450" s="107">
        <f>IF(E450&gt;0,RANK(E450,$E$439:$E$457),)</f>
        <v>0</v>
      </c>
      <c r="K450" s="107">
        <f>IF(F450&gt;0,RANK(F450,$F$439:$F$457),)</f>
        <v>0</v>
      </c>
      <c r="L450" s="169"/>
      <c r="M450" s="299">
        <f>+'[1]NEW-Tables 80-86'!AP206</f>
        <v>0</v>
      </c>
      <c r="N450" s="163">
        <f>+'[1]OLD Tables'!H206</f>
        <v>0</v>
      </c>
      <c r="O450" s="642">
        <f t="shared" si="65"/>
        <v>0</v>
      </c>
      <c r="P450" s="643">
        <f t="shared" si="66"/>
        <v>0</v>
      </c>
      <c r="Q450" s="631">
        <f t="shared" si="67"/>
        <v>0</v>
      </c>
      <c r="R450" s="539">
        <f>IF($N450&gt;0,(('Amounts Pivot Table'!S$357+'Amounts Pivot Table'!S$360+'Amounts Pivot Table'!S$363)/$N450),0)</f>
        <v>0</v>
      </c>
      <c r="S450" s="538">
        <f>IF($N450&gt;0,('Amounts Pivot Table'!S$366/$N450),0)</f>
        <v>0</v>
      </c>
      <c r="T450" s="538">
        <f t="shared" si="64"/>
        <v>0</v>
      </c>
      <c r="U450" s="634" t="e">
        <f t="shared" si="69"/>
        <v>#DIV/0!</v>
      </c>
      <c r="V450" s="627" t="e">
        <f t="shared" si="70"/>
        <v>#DIV/0!</v>
      </c>
      <c r="W450" s="629" t="e">
        <f t="shared" si="71"/>
        <v>#DIV/0!</v>
      </c>
      <c r="Y450" s="73" t="s">
        <v>456</v>
      </c>
      <c r="Z450" s="61">
        <f t="shared" si="72"/>
        <v>0</v>
      </c>
      <c r="AA450" s="61">
        <f t="shared" si="73"/>
        <v>0</v>
      </c>
      <c r="AB450" s="61">
        <f t="shared" si="74"/>
        <v>0</v>
      </c>
      <c r="AC450" s="61">
        <f t="shared" si="75"/>
        <v>0</v>
      </c>
      <c r="AD450" s="61">
        <f t="shared" si="76"/>
        <v>0</v>
      </c>
    </row>
    <row r="451" spans="1:30" s="61" customFormat="1" ht="12.75" customHeight="1">
      <c r="A451" s="73" t="s">
        <v>463</v>
      </c>
      <c r="B451" s="75">
        <f>IF($M451&gt;0,('Amounts Pivot Table'!S$397/$M451),0)</f>
        <v>3761.4310169490996</v>
      </c>
      <c r="C451" s="75">
        <f>IF($M451&gt;0,('Amounts Pivot Table'!S$400/$M451),0)</f>
        <v>0</v>
      </c>
      <c r="D451" s="75">
        <f>IF($M451&gt;0,('Amounts Pivot Table'!S$403/$M451),0)</f>
        <v>0</v>
      </c>
      <c r="E451" s="75">
        <f>IF($M451&gt;0,('Amounts Pivot Table'!S$406/$M451),0)</f>
        <v>946.71322847082661</v>
      </c>
      <c r="F451" s="75">
        <f t="shared" si="68"/>
        <v>4708.1442454199259</v>
      </c>
      <c r="G451" s="116">
        <f>IF(B451&gt;0,RANK(B451,$B$439:$B$457),)</f>
        <v>3</v>
      </c>
      <c r="H451" s="107">
        <f>IF(C451&gt;0,RANK(C451,$C$439:$C$457),)</f>
        <v>0</v>
      </c>
      <c r="I451" s="107">
        <f>IF(D451&gt;0,RANK(D451,$D$439:$D$457),)</f>
        <v>0</v>
      </c>
      <c r="J451" s="107">
        <f>IF(E451&gt;0,RANK(E451,$E$439:$E$457),)</f>
        <v>5</v>
      </c>
      <c r="K451" s="107">
        <f>IF(F451&gt;0,RANK(F451,$F$439:$F$457),)</f>
        <v>5</v>
      </c>
      <c r="L451" s="169"/>
      <c r="M451" s="299">
        <f>+'[1]NEW-Tables 80-86'!AP207</f>
        <v>28142.195755555564</v>
      </c>
      <c r="N451" s="163">
        <f>+'[1]OLD Tables'!H207</f>
        <v>26479.661111111109</v>
      </c>
      <c r="O451" s="642">
        <f t="shared" si="65"/>
        <v>3761.4310169490996</v>
      </c>
      <c r="P451" s="643">
        <f t="shared" si="66"/>
        <v>946.71322847082661</v>
      </c>
      <c r="Q451" s="631">
        <f t="shared" si="67"/>
        <v>4708.1442454199259</v>
      </c>
      <c r="R451" s="539">
        <f>IF($N451&gt;0,(('Amounts Pivot Table'!S$396+'Amounts Pivot Table'!S$399++'Amounts Pivot Table'!S$402)/$N451),0)</f>
        <v>4031.9100970367408</v>
      </c>
      <c r="S451" s="538">
        <f>IF($N451&gt;0,('Amounts Pivot Table'!S$405/$N451),0)</f>
        <v>1016.5999061334077</v>
      </c>
      <c r="T451" s="538">
        <f t="shared" si="64"/>
        <v>5048.5100031701486</v>
      </c>
      <c r="U451" s="634">
        <f t="shared" si="69"/>
        <v>-6.7084600990094084E-2</v>
      </c>
      <c r="V451" s="627">
        <f t="shared" si="70"/>
        <v>-6.874550867154014E-2</v>
      </c>
      <c r="W451" s="629">
        <f t="shared" si="71"/>
        <v>-6.741905186609401E-2</v>
      </c>
      <c r="Y451" s="73" t="s">
        <v>463</v>
      </c>
      <c r="Z451" s="61">
        <f t="shared" si="72"/>
        <v>105854928</v>
      </c>
      <c r="AA451" s="61">
        <f t="shared" si="73"/>
        <v>0</v>
      </c>
      <c r="AB451" s="61">
        <f t="shared" si="74"/>
        <v>0</v>
      </c>
      <c r="AC451" s="61">
        <f t="shared" si="75"/>
        <v>26642589</v>
      </c>
      <c r="AD451" s="61">
        <f t="shared" si="76"/>
        <v>132497516.99999999</v>
      </c>
    </row>
    <row r="452" spans="1:30" s="61" customFormat="1" ht="12.75" customHeight="1">
      <c r="A452" s="73" t="s">
        <v>457</v>
      </c>
      <c r="B452" s="75">
        <f>IF($M452&gt;0,('Amounts Pivot Table'!S$436/$M452),0)</f>
        <v>0</v>
      </c>
      <c r="C452" s="75">
        <f>IF($M452&gt;0,('Amounts Pivot Table'!S$439/$M452),0)</f>
        <v>0</v>
      </c>
      <c r="D452" s="75">
        <f>IF($M452&gt;0,('Amounts Pivot Table'!S$442/$M452),0)</f>
        <v>0</v>
      </c>
      <c r="E452" s="75">
        <f>IF($M452&gt;0,('Amounts Pivot Table'!S$445/$M452),0)</f>
        <v>0</v>
      </c>
      <c r="F452" s="75">
        <f t="shared" si="68"/>
        <v>0</v>
      </c>
      <c r="G452" s="116">
        <f>IF(B452&gt;0,RANK(B452,$B$439:$B$457),)</f>
        <v>0</v>
      </c>
      <c r="H452" s="107">
        <f>IF(C452&gt;0,RANK(C452,$C$439:$C$457),)</f>
        <v>0</v>
      </c>
      <c r="I452" s="107">
        <f>IF(D452&gt;0,RANK(D452,$D$439:$D$457),)</f>
        <v>0</v>
      </c>
      <c r="J452" s="107">
        <f>IF(E452&gt;0,RANK(E452,$E$439:$E$457),)</f>
        <v>0</v>
      </c>
      <c r="K452" s="107">
        <f>IF(F452&gt;0,RANK(F452,$F$439:$F$457),)</f>
        <v>0</v>
      </c>
      <c r="L452" s="169"/>
      <c r="M452" s="299">
        <f>+'[1]NEW-Tables 80-86'!AP208</f>
        <v>0</v>
      </c>
      <c r="N452" s="163">
        <f>+'[1]OLD Tables'!H208</f>
        <v>0</v>
      </c>
      <c r="O452" s="642">
        <f t="shared" si="65"/>
        <v>0</v>
      </c>
      <c r="P452" s="643">
        <f t="shared" si="66"/>
        <v>0</v>
      </c>
      <c r="Q452" s="631">
        <f t="shared" si="67"/>
        <v>0</v>
      </c>
      <c r="R452" s="539">
        <f>IF($N452&gt;0,(('Amounts Pivot Table'!S$435+'Amounts Pivot Table'!S$438++'Amounts Pivot Table'!S$441)/$N452),0)</f>
        <v>0</v>
      </c>
      <c r="S452" s="538">
        <f>IF($N452&gt;0,('Amounts Pivot Table'!S$444/$N452),0)</f>
        <v>0</v>
      </c>
      <c r="T452" s="538">
        <f t="shared" si="64"/>
        <v>0</v>
      </c>
      <c r="U452" s="634" t="e">
        <f t="shared" si="69"/>
        <v>#DIV/0!</v>
      </c>
      <c r="V452" s="627" t="e">
        <f t="shared" si="70"/>
        <v>#DIV/0!</v>
      </c>
      <c r="W452" s="629" t="e">
        <f t="shared" si="71"/>
        <v>#DIV/0!</v>
      </c>
      <c r="Y452" s="73" t="s">
        <v>457</v>
      </c>
      <c r="Z452" s="61">
        <f t="shared" si="72"/>
        <v>0</v>
      </c>
      <c r="AA452" s="61">
        <f t="shared" si="73"/>
        <v>0</v>
      </c>
      <c r="AB452" s="61">
        <f t="shared" si="74"/>
        <v>0</v>
      </c>
      <c r="AC452" s="61">
        <f t="shared" si="75"/>
        <v>0</v>
      </c>
      <c r="AD452" s="61">
        <f t="shared" si="76"/>
        <v>0</v>
      </c>
    </row>
    <row r="453" spans="1:30" s="61" customFormat="1" ht="12.75" customHeight="1">
      <c r="A453" s="73"/>
      <c r="B453" s="75"/>
      <c r="C453" s="75"/>
      <c r="D453" s="75"/>
      <c r="E453" s="75"/>
      <c r="F453" s="75"/>
      <c r="G453" s="116"/>
      <c r="H453" s="107"/>
      <c r="I453" s="107"/>
      <c r="J453" s="107"/>
      <c r="K453" s="107"/>
      <c r="L453" s="169"/>
      <c r="M453" s="299">
        <f>+'[1]NEW-Tables 80-86'!AP209</f>
        <v>0</v>
      </c>
      <c r="N453" s="163">
        <f>+'[1]OLD Tables'!H209</f>
        <v>0</v>
      </c>
      <c r="O453" s="642"/>
      <c r="P453" s="643"/>
      <c r="Q453" s="631"/>
      <c r="R453" s="539"/>
      <c r="S453" s="538"/>
      <c r="T453" s="538"/>
      <c r="U453" s="634"/>
      <c r="V453" s="627"/>
      <c r="W453" s="629"/>
      <c r="Y453" s="73"/>
    </row>
    <row r="454" spans="1:30" s="61" customFormat="1" ht="12.75" customHeight="1">
      <c r="A454" s="73" t="s">
        <v>130</v>
      </c>
      <c r="B454" s="75">
        <f>IF($M454&gt;0,('Amounts Pivot Table'!S$475/$M454),0)</f>
        <v>4101.1516861055152</v>
      </c>
      <c r="C454" s="75">
        <f>IF($M454&gt;0,('Amounts Pivot Table'!S$478/$M454),0)</f>
        <v>0</v>
      </c>
      <c r="D454" s="75">
        <f>IF($M454&gt;0,('Amounts Pivot Table'!S$481/$M454),0)</f>
        <v>0</v>
      </c>
      <c r="E454" s="75">
        <f>IF($M454&gt;0,('Amounts Pivot Table'!S$484/$M454),0)</f>
        <v>1891.3282905834353</v>
      </c>
      <c r="F454" s="75">
        <f t="shared" si="68"/>
        <v>5992.47997668895</v>
      </c>
      <c r="G454" s="116">
        <f>IF(B454&gt;0,RANK(B454,$B$439:$B$457),)</f>
        <v>2</v>
      </c>
      <c r="H454" s="107">
        <f>IF(C454&gt;0,RANK(C454,$C$439:$C$457),)</f>
        <v>0</v>
      </c>
      <c r="I454" s="107">
        <f>IF(D454&gt;0,RANK(D454,$D$439:$D$457),)</f>
        <v>0</v>
      </c>
      <c r="J454" s="107">
        <f>IF(E454&gt;0,RANK(E454,$E$439:$E$457),)</f>
        <v>4</v>
      </c>
      <c r="K454" s="107">
        <f>IF(F454&gt;0,RANK(F454,$F$439:$F$457),)</f>
        <v>3</v>
      </c>
      <c r="L454" s="169"/>
      <c r="M454" s="299">
        <f>+'[1]NEW-Tables 80-86'!AP210</f>
        <v>13277.441111111108</v>
      </c>
      <c r="N454" s="163">
        <f>+'[1]OLD Tables'!H210</f>
        <v>12836.998888888886</v>
      </c>
      <c r="O454" s="642">
        <f t="shared" si="65"/>
        <v>4101.1516861055152</v>
      </c>
      <c r="P454" s="643">
        <f t="shared" si="66"/>
        <v>1891.3282905834353</v>
      </c>
      <c r="Q454" s="631">
        <f t="shared" si="67"/>
        <v>5992.47997668895</v>
      </c>
      <c r="R454" s="539">
        <f>IF($N454&gt;0,(('Amounts Pivot Table'!S$474+'Amounts Pivot Table'!S$477++'Amounts Pivot Table'!S$481)/$N454),0)</f>
        <v>3868.2951077436851</v>
      </c>
      <c r="S454" s="538">
        <f>IF($N454&gt;0,('Amounts Pivot Table'!S$483/$N454),0)</f>
        <v>1724.2798567023588</v>
      </c>
      <c r="T454" s="538">
        <f t="shared" si="64"/>
        <v>5592.5749644460439</v>
      </c>
      <c r="U454" s="634">
        <f t="shared" si="69"/>
        <v>6.0196177353607237E-2</v>
      </c>
      <c r="V454" s="627">
        <f t="shared" si="70"/>
        <v>9.6880116781363101E-2</v>
      </c>
      <c r="W454" s="629">
        <f t="shared" si="71"/>
        <v>7.1506419634111709E-2</v>
      </c>
      <c r="Y454" s="73" t="s">
        <v>130</v>
      </c>
      <c r="Z454" s="61">
        <f t="shared" si="72"/>
        <v>54452800.000000007</v>
      </c>
      <c r="AA454" s="61">
        <f t="shared" si="73"/>
        <v>0</v>
      </c>
      <c r="AB454" s="61">
        <f t="shared" si="74"/>
        <v>0</v>
      </c>
      <c r="AC454" s="61">
        <f t="shared" si="75"/>
        <v>25112000</v>
      </c>
      <c r="AD454" s="61">
        <f t="shared" si="76"/>
        <v>79564800</v>
      </c>
    </row>
    <row r="455" spans="1:30" s="76" customFormat="1" ht="12.75" customHeight="1">
      <c r="A455" s="73" t="s">
        <v>458</v>
      </c>
      <c r="B455" s="75">
        <f>IF($M455&gt;0,('Amounts Pivot Table'!S$514/$M455),0)</f>
        <v>0</v>
      </c>
      <c r="C455" s="75">
        <f>IF($M455&gt;0,('Amounts Pivot Table'!S$517/$M455),0)</f>
        <v>0</v>
      </c>
      <c r="D455" s="75">
        <f>IF($M455&gt;0,('Amounts Pivot Table'!S$520/$M455),0)</f>
        <v>0</v>
      </c>
      <c r="E455" s="75">
        <f>IF($M455&gt;0,('Amounts Pivot Table'!S$523/$M455),0)</f>
        <v>0</v>
      </c>
      <c r="F455" s="75">
        <f t="shared" si="68"/>
        <v>0</v>
      </c>
      <c r="G455" s="116">
        <f>IF(B455&gt;0,RANK(B455,$B$439:$B$457),)</f>
        <v>0</v>
      </c>
      <c r="H455" s="107">
        <f>IF(C455&gt;0,RANK(C455,$C$439:$C$457),)</f>
        <v>0</v>
      </c>
      <c r="I455" s="107">
        <f>IF(D455&gt;0,RANK(D455,$D$439:$D$457),)</f>
        <v>0</v>
      </c>
      <c r="J455" s="107">
        <f>IF(E455&gt;0,RANK(E455,$E$439:$E$457),)</f>
        <v>0</v>
      </c>
      <c r="K455" s="107">
        <f>IF(F455&gt;0,RANK(F455,$F$439:$F$457),)</f>
        <v>0</v>
      </c>
      <c r="L455" s="170"/>
      <c r="M455" s="299">
        <f>+'[1]NEW-Tables 80-86'!AP211</f>
        <v>0</v>
      </c>
      <c r="N455" s="163">
        <f>+'[1]OLD Tables'!H211</f>
        <v>0</v>
      </c>
      <c r="O455" s="534">
        <f t="shared" si="65"/>
        <v>0</v>
      </c>
      <c r="P455" s="535">
        <f t="shared" si="66"/>
        <v>0</v>
      </c>
      <c r="Q455" s="536">
        <f t="shared" si="67"/>
        <v>0</v>
      </c>
      <c r="R455" s="539">
        <f>IF($N455&gt;0,(('Amounts Pivot Table'!S$513+'Amounts Pivot Table'!S$516++'Amounts Pivot Table'!S$519)/$N455),0)</f>
        <v>0</v>
      </c>
      <c r="S455" s="538">
        <f>IF($N455&gt;0,('Amounts Pivot Table'!S$522/$N455),0)</f>
        <v>0</v>
      </c>
      <c r="T455" s="538">
        <f t="shared" si="64"/>
        <v>0</v>
      </c>
      <c r="U455" s="541" t="e">
        <f t="shared" si="69"/>
        <v>#DIV/0!</v>
      </c>
      <c r="V455" s="543" t="e">
        <f t="shared" si="70"/>
        <v>#DIV/0!</v>
      </c>
      <c r="W455" s="543" t="e">
        <f t="shared" si="71"/>
        <v>#DIV/0!</v>
      </c>
      <c r="Y455" s="73" t="s">
        <v>458</v>
      </c>
      <c r="Z455" s="61">
        <f t="shared" si="72"/>
        <v>0</v>
      </c>
      <c r="AA455" s="61">
        <f t="shared" si="73"/>
        <v>0</v>
      </c>
      <c r="AB455" s="61">
        <f t="shared" si="74"/>
        <v>0</v>
      </c>
      <c r="AC455" s="61">
        <f t="shared" si="75"/>
        <v>0</v>
      </c>
      <c r="AD455" s="61">
        <f t="shared" si="76"/>
        <v>0</v>
      </c>
    </row>
    <row r="456" spans="1:30" s="61" customFormat="1" ht="12.75" customHeight="1">
      <c r="A456" s="73" t="s">
        <v>459</v>
      </c>
      <c r="B456" s="75">
        <f>IF($M456&gt;0,('Amounts Pivot Table'!S$553/$M456),0)</f>
        <v>0</v>
      </c>
      <c r="C456" s="75">
        <f>IF($M456&gt;0,('Amounts Pivot Table'!S$556/$M456),0)</f>
        <v>0</v>
      </c>
      <c r="D456" s="75">
        <f>IF($M456&gt;0,('Amounts Pivot Table'!S$559/$M456),0)</f>
        <v>0</v>
      </c>
      <c r="E456" s="75">
        <f>IF($M456&gt;0,('Amounts Pivot Table'!S$562/$M456),0)</f>
        <v>0</v>
      </c>
      <c r="F456" s="75">
        <f t="shared" si="68"/>
        <v>0</v>
      </c>
      <c r="G456" s="116">
        <f>IF(B456&gt;0,RANK(B456,$B$439:$B$457),)</f>
        <v>0</v>
      </c>
      <c r="H456" s="107">
        <f>IF(C456&gt;0,RANK(C456,$C$439:$C$457),)</f>
        <v>0</v>
      </c>
      <c r="I456" s="107">
        <f>IF(D456&gt;0,RANK(D456,$D$439:$D$457),)</f>
        <v>0</v>
      </c>
      <c r="J456" s="107">
        <f>IF(E456&gt;0,RANK(E456,$E$439:$E$457),)</f>
        <v>0</v>
      </c>
      <c r="K456" s="107">
        <f>IF(F456&gt;0,RANK(F456,$F$439:$F$457),)</f>
        <v>0</v>
      </c>
      <c r="L456" s="171"/>
      <c r="M456" s="299">
        <f>+'[1]NEW-Tables 80-86'!AP212</f>
        <v>0</v>
      </c>
      <c r="N456" s="163">
        <f>+'[1]OLD Tables'!H212</f>
        <v>0</v>
      </c>
      <c r="O456" s="534">
        <f t="shared" si="65"/>
        <v>0</v>
      </c>
      <c r="P456" s="535">
        <f t="shared" si="66"/>
        <v>0</v>
      </c>
      <c r="Q456" s="536">
        <f t="shared" si="67"/>
        <v>0</v>
      </c>
      <c r="R456" s="539">
        <f>IF($N456&gt;0,(('Amounts Pivot Table'!S$552+'Amounts Pivot Table'!S$555++'Amounts Pivot Table'!S$558)/$N456),0)</f>
        <v>0</v>
      </c>
      <c r="S456" s="538">
        <f>IF($N456&gt;0,('Amounts Pivot Table'!S$561/$N456),0)</f>
        <v>0</v>
      </c>
      <c r="T456" s="538">
        <f t="shared" si="64"/>
        <v>0</v>
      </c>
      <c r="U456" s="541" t="e">
        <f t="shared" si="69"/>
        <v>#DIV/0!</v>
      </c>
      <c r="V456" s="543" t="e">
        <f t="shared" si="70"/>
        <v>#DIV/0!</v>
      </c>
      <c r="W456" s="543" t="e">
        <f t="shared" si="71"/>
        <v>#DIV/0!</v>
      </c>
      <c r="Y456" s="73" t="s">
        <v>459</v>
      </c>
      <c r="Z456" s="61">
        <f t="shared" si="72"/>
        <v>0</v>
      </c>
      <c r="AA456" s="61">
        <f t="shared" si="73"/>
        <v>0</v>
      </c>
      <c r="AB456" s="61">
        <f t="shared" si="74"/>
        <v>0</v>
      </c>
      <c r="AC456" s="61">
        <f t="shared" si="75"/>
        <v>0</v>
      </c>
      <c r="AD456" s="61">
        <f t="shared" si="76"/>
        <v>0</v>
      </c>
    </row>
    <row r="457" spans="1:30" s="61" customFormat="1" ht="15" customHeight="1">
      <c r="A457" s="74" t="s">
        <v>464</v>
      </c>
      <c r="B457" s="104">
        <f>IF($M457&gt;0,('Amounts Pivot Table'!S$592/$M457),0)</f>
        <v>0</v>
      </c>
      <c r="C457" s="104">
        <f>IF($M457&gt;0,('Amounts Pivot Table'!S$595/$M457),0)</f>
        <v>0</v>
      </c>
      <c r="D457" s="104">
        <f>IF($M457&gt;0,('Amounts Pivot Table'!S$598/$M457),0)</f>
        <v>0</v>
      </c>
      <c r="E457" s="104">
        <f>IF($M457&gt;0,('Amounts Pivot Table'!S$601/$M457),0)</f>
        <v>0</v>
      </c>
      <c r="F457" s="105">
        <f t="shared" si="68"/>
        <v>0</v>
      </c>
      <c r="G457" s="117">
        <f>IF(B457&gt;0,RANK(B457,$B$439:$B$457),)</f>
        <v>0</v>
      </c>
      <c r="H457" s="118">
        <f>IF(C457&gt;0,RANK(C457,$C$439:$C$457),)</f>
        <v>0</v>
      </c>
      <c r="I457" s="118">
        <f>IF(D457&gt;0,RANK(D457,$D$439:$D$457),)</f>
        <v>0</v>
      </c>
      <c r="J457" s="118">
        <f>IF(E457&gt;0,RANK(E457,$E$439:$E$457),)</f>
        <v>0</v>
      </c>
      <c r="K457" s="118">
        <f>IF(F457&gt;0,RANK(F457,$F$439:$F$457),)</f>
        <v>0</v>
      </c>
      <c r="L457" s="172"/>
      <c r="M457" s="299">
        <f>+'[1]NEW-Tables 80-86'!AP213</f>
        <v>0</v>
      </c>
      <c r="N457" s="163">
        <f>+'[1]OLD Tables'!H213</f>
        <v>0</v>
      </c>
      <c r="O457" s="534">
        <f t="shared" si="65"/>
        <v>0</v>
      </c>
      <c r="P457" s="535">
        <f t="shared" si="66"/>
        <v>0</v>
      </c>
      <c r="Q457" s="536">
        <f t="shared" si="67"/>
        <v>0</v>
      </c>
      <c r="R457" s="539">
        <f>IF($N457&gt;0,(('Amounts Pivot Table'!S$591+'Amounts Pivot Table'!S$594++'Amounts Pivot Table'!S$597)/$N457),0)</f>
        <v>0</v>
      </c>
      <c r="S457" s="538">
        <f>IF($N457&gt;0,('Amounts Pivot Table'!S$600/$N457),0)</f>
        <v>0</v>
      </c>
      <c r="T457" s="538">
        <f t="shared" si="64"/>
        <v>0</v>
      </c>
      <c r="U457" s="541" t="e">
        <f t="shared" si="69"/>
        <v>#DIV/0!</v>
      </c>
      <c r="V457" s="543" t="e">
        <f t="shared" si="70"/>
        <v>#DIV/0!</v>
      </c>
      <c r="W457" s="543" t="e">
        <f t="shared" si="71"/>
        <v>#DIV/0!</v>
      </c>
      <c r="Y457" s="74" t="s">
        <v>464</v>
      </c>
      <c r="Z457" s="61">
        <f t="shared" si="72"/>
        <v>0</v>
      </c>
      <c r="AA457" s="61">
        <f t="shared" si="73"/>
        <v>0</v>
      </c>
      <c r="AB457" s="61">
        <f t="shared" si="74"/>
        <v>0</v>
      </c>
      <c r="AC457" s="61">
        <f t="shared" si="75"/>
        <v>0</v>
      </c>
      <c r="AD457" s="61">
        <f t="shared" si="76"/>
        <v>0</v>
      </c>
    </row>
    <row r="458" spans="1:30" s="76" customFormat="1" ht="34.5" customHeight="1">
      <c r="A458" s="1405" t="s">
        <v>25</v>
      </c>
      <c r="B458" s="1450"/>
      <c r="C458" s="1450"/>
      <c r="D458" s="1450"/>
      <c r="E458" s="1450"/>
      <c r="F458" s="1450"/>
      <c r="G458" s="1450"/>
      <c r="H458" s="1450"/>
      <c r="I458" s="1450"/>
      <c r="J458" s="1450"/>
      <c r="K458" s="1450"/>
      <c r="L458" s="170"/>
      <c r="M458" s="299"/>
      <c r="N458" s="90"/>
      <c r="O458" s="90"/>
      <c r="P458" s="90"/>
      <c r="Q458" s="90"/>
    </row>
    <row r="459" spans="1:30" s="207" customFormat="1" ht="13.5" customHeight="1">
      <c r="A459" s="1405" t="s">
        <v>80</v>
      </c>
      <c r="B459" s="1450"/>
      <c r="C459" s="1450"/>
      <c r="D459" s="1450"/>
      <c r="E459" s="1450"/>
      <c r="F459" s="1450"/>
      <c r="G459" s="1450"/>
      <c r="H459" s="1450"/>
      <c r="I459" s="1450"/>
      <c r="J459" s="1450"/>
      <c r="K459" s="1450"/>
      <c r="L459" s="206"/>
      <c r="M459" s="305"/>
      <c r="N459" s="208"/>
      <c r="O459" s="208"/>
      <c r="P459" s="208"/>
      <c r="Q459" s="208"/>
    </row>
    <row r="460" spans="1:30" s="61" customFormat="1" ht="13.5" customHeight="1">
      <c r="A460" s="1405" t="s">
        <v>332</v>
      </c>
      <c r="B460" s="1443"/>
      <c r="C460" s="1443"/>
      <c r="D460" s="1443"/>
      <c r="E460" s="1443"/>
      <c r="F460" s="1443"/>
      <c r="G460" s="1444"/>
      <c r="H460" s="1444"/>
      <c r="I460" s="1444"/>
      <c r="J460" s="1444"/>
      <c r="K460" s="1444"/>
      <c r="L460" s="172"/>
      <c r="M460" s="303"/>
      <c r="N460" s="73"/>
      <c r="O460" s="73"/>
      <c r="P460" s="73"/>
      <c r="Q460" s="73"/>
    </row>
    <row r="461" spans="1:30" s="61" customFormat="1">
      <c r="A461" s="188"/>
      <c r="B461" s="106"/>
      <c r="C461" s="106"/>
      <c r="D461" s="106"/>
      <c r="E461" s="106"/>
      <c r="F461" s="106"/>
      <c r="G461" s="189"/>
      <c r="H461" s="189"/>
      <c r="I461" s="189"/>
      <c r="J461" s="189"/>
      <c r="K461" s="591" t="s">
        <v>2018</v>
      </c>
      <c r="L461" s="73"/>
      <c r="M461" s="306"/>
      <c r="N461" s="73"/>
      <c r="O461" s="73"/>
      <c r="P461" s="73"/>
      <c r="Q461" s="73"/>
    </row>
    <row r="462" spans="1:30" s="61" customFormat="1" ht="18.75" customHeight="1">
      <c r="A462" s="135" t="s">
        <v>543</v>
      </c>
      <c r="B462" s="135"/>
      <c r="C462" s="135"/>
      <c r="D462" s="135"/>
      <c r="E462" s="135"/>
      <c r="F462" s="135"/>
      <c r="G462" s="135"/>
      <c r="H462" s="135"/>
      <c r="I462" s="135"/>
      <c r="J462" s="622"/>
      <c r="K462" s="135"/>
      <c r="L462" s="171"/>
      <c r="M462" s="299"/>
      <c r="N462" s="73"/>
      <c r="O462" s="73"/>
      <c r="P462" s="73"/>
      <c r="Q462" s="73"/>
    </row>
    <row r="463" spans="1:30" s="61" customFormat="1" ht="18.75" customHeight="1">
      <c r="A463" s="135"/>
      <c r="B463" s="135"/>
      <c r="C463" s="135"/>
      <c r="D463" s="135"/>
      <c r="E463" s="135"/>
      <c r="F463" s="135"/>
      <c r="G463" s="135"/>
      <c r="H463" s="135"/>
      <c r="I463" s="135"/>
      <c r="J463" s="622"/>
      <c r="K463" s="135"/>
      <c r="L463" s="171"/>
      <c r="M463" s="299"/>
      <c r="N463" s="73"/>
      <c r="O463" s="73"/>
      <c r="P463" s="73"/>
      <c r="Q463" s="73"/>
    </row>
    <row r="464" spans="1:30" s="61" customFormat="1" ht="18.75">
      <c r="A464" s="1429" t="s">
        <v>26</v>
      </c>
      <c r="B464" s="1429"/>
      <c r="C464" s="1429"/>
      <c r="D464" s="1429"/>
      <c r="E464" s="1429"/>
      <c r="F464" s="1429"/>
      <c r="G464" s="1429"/>
      <c r="H464" s="1429"/>
      <c r="I464" s="1429"/>
      <c r="J464" s="1429"/>
      <c r="K464" s="1429"/>
      <c r="L464" s="166"/>
      <c r="M464" s="299"/>
      <c r="N464" s="73"/>
      <c r="O464" s="73"/>
      <c r="P464" s="73"/>
      <c r="Q464" s="73"/>
    </row>
    <row r="465" spans="1:17" s="61" customFormat="1" ht="15.75" customHeight="1">
      <c r="A465" s="1429" t="s">
        <v>1997</v>
      </c>
      <c r="B465" s="1429"/>
      <c r="C465" s="1429"/>
      <c r="D465" s="1429"/>
      <c r="E465" s="1429"/>
      <c r="F465" s="1429"/>
      <c r="G465" s="1429"/>
      <c r="H465" s="1429"/>
      <c r="I465" s="1429"/>
      <c r="J465" s="1429"/>
      <c r="K465" s="1429"/>
      <c r="L465" s="166"/>
      <c r="M465" s="302"/>
      <c r="N465" s="73"/>
      <c r="O465" s="73"/>
      <c r="P465" s="73"/>
      <c r="Q465" s="73"/>
    </row>
    <row r="466" spans="1:17" s="112" customFormat="1" ht="8.25">
      <c r="A466" s="195"/>
      <c r="B466" s="195"/>
      <c r="C466" s="195"/>
      <c r="D466" s="195"/>
      <c r="E466" s="195"/>
      <c r="F466" s="195"/>
      <c r="G466" s="196"/>
      <c r="H466" s="195"/>
      <c r="I466" s="195"/>
      <c r="J466" s="195"/>
      <c r="K466" s="195"/>
      <c r="L466" s="197"/>
      <c r="M466" s="309"/>
      <c r="N466" s="110"/>
      <c r="O466" s="110"/>
      <c r="P466" s="110"/>
      <c r="Q466" s="110"/>
    </row>
    <row r="467" spans="1:17" s="61" customFormat="1" ht="14.25" customHeight="1">
      <c r="A467" s="60"/>
      <c r="B467" s="1451" t="s">
        <v>81</v>
      </c>
      <c r="C467" s="1452"/>
      <c r="D467" s="1452"/>
      <c r="E467" s="1452"/>
      <c r="F467" s="1452"/>
      <c r="G467" s="625" t="s">
        <v>178</v>
      </c>
      <c r="H467" s="626"/>
      <c r="I467" s="626"/>
      <c r="J467" s="626"/>
      <c r="K467" s="626"/>
      <c r="L467" s="174"/>
      <c r="M467" s="299"/>
      <c r="N467" s="73"/>
      <c r="O467" s="73"/>
      <c r="P467" s="73"/>
      <c r="Q467" s="73"/>
    </row>
    <row r="468" spans="1:17" s="6" customFormat="1" ht="48">
      <c r="A468" s="50"/>
      <c r="B468" s="606" t="s">
        <v>126</v>
      </c>
      <c r="C468" s="607" t="s">
        <v>128</v>
      </c>
      <c r="D468" s="607" t="s">
        <v>127</v>
      </c>
      <c r="E468" s="607" t="s">
        <v>570</v>
      </c>
      <c r="F468" s="607" t="s">
        <v>138</v>
      </c>
      <c r="G468" s="608" t="s">
        <v>126</v>
      </c>
      <c r="H468" s="607" t="s">
        <v>128</v>
      </c>
      <c r="I468" s="607" t="s">
        <v>127</v>
      </c>
      <c r="J468" s="607" t="s">
        <v>570</v>
      </c>
      <c r="K468" s="607" t="s">
        <v>138</v>
      </c>
      <c r="L468" s="168"/>
      <c r="M468" s="301" t="s">
        <v>388</v>
      </c>
      <c r="N468" s="7"/>
      <c r="O468" s="7"/>
      <c r="P468" s="7"/>
      <c r="Q468" s="7"/>
    </row>
    <row r="469" spans="1:17" s="61" customFormat="1" ht="14.25">
      <c r="A469" s="73" t="s">
        <v>82</v>
      </c>
      <c r="B469" s="102">
        <f>IF($M469&gt;0,('Amounts Pivot Table'!P$631/$M469),0)</f>
        <v>2757.1289130844993</v>
      </c>
      <c r="C469" s="102">
        <f>IF($M469&gt;0,('Amounts Pivot Table'!P$634/$M469),0)</f>
        <v>1.0895772052700126</v>
      </c>
      <c r="D469" s="102">
        <f>IF($M469&gt;0,('Amounts Pivot Table'!P$637/$M469),0)</f>
        <v>0</v>
      </c>
      <c r="E469" s="102">
        <f>IF($M469&gt;0,('Amounts Pivot Table'!P$640/$M469),0)</f>
        <v>2239.6214770192987</v>
      </c>
      <c r="F469" s="102">
        <f>SUM(B469:E469)</f>
        <v>4997.839967309068</v>
      </c>
      <c r="G469" s="198"/>
      <c r="H469" s="115"/>
      <c r="I469" s="115"/>
      <c r="J469" s="115"/>
      <c r="K469" s="115"/>
      <c r="L469" s="169"/>
      <c r="M469" s="299">
        <f>+'[1]NEW-Tables 80-86'!AM193</f>
        <v>133255.3574888889</v>
      </c>
      <c r="N469" s="73"/>
      <c r="O469" s="73"/>
      <c r="P469" s="73"/>
      <c r="Q469" s="73"/>
    </row>
    <row r="470" spans="1:17" s="112" customFormat="1">
      <c r="A470" s="195"/>
      <c r="B470" s="195"/>
      <c r="C470" s="195"/>
      <c r="D470" s="195"/>
      <c r="E470" s="195"/>
      <c r="F470" s="195"/>
      <c r="G470" s="199"/>
      <c r="H470" s="195"/>
      <c r="I470" s="195"/>
      <c r="J470" s="195"/>
      <c r="K470" s="195"/>
      <c r="L470" s="197"/>
      <c r="M470" s="299">
        <f>+'[1]NEW-Tables 80-86'!AM194</f>
        <v>0</v>
      </c>
      <c r="N470" s="110"/>
      <c r="O470" s="110"/>
      <c r="P470" s="110"/>
      <c r="Q470" s="110"/>
    </row>
    <row r="471" spans="1:17" s="61" customFormat="1" ht="12.75" customHeight="1">
      <c r="A471" s="73" t="s">
        <v>452</v>
      </c>
      <c r="B471" s="75">
        <f>IF($M471&gt;0,('Amounts Pivot Table'!P$7/$M471),0)</f>
        <v>5786.9630106402237</v>
      </c>
      <c r="C471" s="75">
        <f>IF($M471&gt;0,('Amounts Pivot Table'!P$10/$M471),0)</f>
        <v>87.611078705472977</v>
      </c>
      <c r="D471" s="75">
        <f>IF($M471&gt;0,('Amounts Pivot Table'!P$13/$M471),0)</f>
        <v>0</v>
      </c>
      <c r="E471" s="75">
        <f>IF($M471&gt;0,('Amounts Pivot Table'!P$16/$M471),0)</f>
        <v>2939.3652070720277</v>
      </c>
      <c r="F471" s="75">
        <f t="shared" ref="F471:F489" si="77">SUM(B471:E471)</f>
        <v>8813.9392964177241</v>
      </c>
      <c r="G471" s="116">
        <f>IF(B471&gt;0,RANK(B471,$B$471:$B$489),)</f>
        <v>1</v>
      </c>
      <c r="H471" s="107">
        <f>IF(C471&gt;0,RANK(C471,$C$471:$C$489),)</f>
        <v>1</v>
      </c>
      <c r="I471" s="107">
        <f>IF(D471&gt;0,RANK(D471,$D$471:$D$489),)</f>
        <v>0</v>
      </c>
      <c r="J471" s="107">
        <f>IF(E471&gt;0,RANK(E471,$E$471:$E$489),)</f>
        <v>2</v>
      </c>
      <c r="K471" s="107">
        <f>IF(F471&gt;0,RANK(F471,$F$471:$F$489),)</f>
        <v>1</v>
      </c>
      <c r="L471" s="169"/>
      <c r="M471" s="299">
        <f>+'[1]NEW-Tables 80-86'!AM195</f>
        <v>1657.2333333333333</v>
      </c>
      <c r="N471" s="73"/>
      <c r="O471" s="73"/>
      <c r="P471" s="73"/>
      <c r="Q471" s="73"/>
    </row>
    <row r="472" spans="1:17" s="61" customFormat="1" ht="12.75" customHeight="1">
      <c r="A472" s="73" t="s">
        <v>466</v>
      </c>
      <c r="B472" s="75">
        <f>IF($M472&gt;0,('Amounts Pivot Table'!P$46/$M472),0)</f>
        <v>0</v>
      </c>
      <c r="C472" s="75">
        <f>IF($M472&gt;0,('Amounts Pivot Table'!P$49/$M472),0)</f>
        <v>0</v>
      </c>
      <c r="D472" s="75">
        <f>IF($M472&gt;0,('Amounts Pivot Table'!P$52/$M472),0)</f>
        <v>0</v>
      </c>
      <c r="E472" s="75">
        <f>IF($M472&gt;0,('Amounts Pivot Table'!P$55/$M472),0)</f>
        <v>0</v>
      </c>
      <c r="F472" s="75">
        <f t="shared" si="77"/>
        <v>0</v>
      </c>
      <c r="G472" s="116">
        <f>IF(B472&gt;0,RANK(B472,$B$471:$B$489),)</f>
        <v>0</v>
      </c>
      <c r="H472" s="107">
        <f>IF(C472&gt;0,RANK(C472,$C$471:$C$489),)</f>
        <v>0</v>
      </c>
      <c r="I472" s="107">
        <f>IF(D472&gt;0,RANK(D472,$D$471:$D$489),)</f>
        <v>0</v>
      </c>
      <c r="J472" s="107">
        <f>IF(E472&gt;0,RANK(E472,$E$471:$E$489),)</f>
        <v>0</v>
      </c>
      <c r="K472" s="107">
        <f>IF(F472&gt;0,RANK(F472,$F$471:$F$489),)</f>
        <v>0</v>
      </c>
      <c r="L472" s="169"/>
      <c r="M472" s="299">
        <f>+'[1]NEW-Tables 80-86'!AM196</f>
        <v>0</v>
      </c>
      <c r="N472" s="73"/>
      <c r="O472" s="73"/>
      <c r="P472" s="73"/>
      <c r="Q472" s="73"/>
    </row>
    <row r="473" spans="1:17" s="61" customFormat="1" ht="12.75" customHeight="1">
      <c r="A473" s="73" t="s">
        <v>453</v>
      </c>
      <c r="B473" s="75">
        <f>IF($M473&gt;0,('Amounts Pivot Table'!P$85/$M473),0)</f>
        <v>0</v>
      </c>
      <c r="C473" s="75">
        <f>IF($M473&gt;0,('Amounts Pivot Table'!P$88/$M473),0)</f>
        <v>0</v>
      </c>
      <c r="D473" s="75">
        <f>IF($M473&gt;0,('Amounts Pivot Table'!P$91/$M473),0)</f>
        <v>0</v>
      </c>
      <c r="E473" s="75">
        <f>IF($M473&gt;0,('Amounts Pivot Table'!P$94/$M473),0)</f>
        <v>0</v>
      </c>
      <c r="F473" s="75">
        <f t="shared" si="77"/>
        <v>0</v>
      </c>
      <c r="G473" s="116">
        <f>IF(B473&gt;0,RANK(B473,$B$471:$B$489),)</f>
        <v>0</v>
      </c>
      <c r="H473" s="107">
        <f>IF(C473&gt;0,RANK(C473,$C$471:$C$489),)</f>
        <v>0</v>
      </c>
      <c r="I473" s="107">
        <f>IF(D473&gt;0,RANK(D473,$D$471:$D$489),)</f>
        <v>0</v>
      </c>
      <c r="J473" s="107">
        <f>IF(E473&gt;0,RANK(E473,$E$471:$E$489),)</f>
        <v>0</v>
      </c>
      <c r="K473" s="107">
        <f>IF(F473&gt;0,RANK(F473,$F$471:$F$489),)</f>
        <v>0</v>
      </c>
      <c r="L473" s="176"/>
      <c r="M473" s="299">
        <f>+'[1]NEW-Tables 80-86'!AM197</f>
        <v>0</v>
      </c>
      <c r="N473" s="73"/>
      <c r="O473" s="73"/>
      <c r="P473" s="73"/>
      <c r="Q473" s="73"/>
    </row>
    <row r="474" spans="1:17" s="61" customFormat="1" ht="12.75" customHeight="1">
      <c r="A474" s="73" t="s">
        <v>460</v>
      </c>
      <c r="B474" s="75">
        <f>IF($M474&gt;0,('Amounts Pivot Table'!P$124/$M474),0)</f>
        <v>0</v>
      </c>
      <c r="C474" s="75">
        <f>IF($M474&gt;0,('Amounts Pivot Table'!P$127/$M474),0)</f>
        <v>0</v>
      </c>
      <c r="D474" s="75">
        <f>IF($M474&gt;0,('Amounts Pivot Table'!P$130/$M474),0)</f>
        <v>0</v>
      </c>
      <c r="E474" s="75">
        <f>IF($M474&gt;0,('Amounts Pivot Table'!P$133/$M474),0)</f>
        <v>0</v>
      </c>
      <c r="F474" s="75">
        <f t="shared" si="77"/>
        <v>0</v>
      </c>
      <c r="G474" s="116">
        <f>IF(B474&gt;0,RANK(B474,$B$471:$B$489),)</f>
        <v>0</v>
      </c>
      <c r="H474" s="107">
        <f>IF(C474&gt;0,RANK(C474,$C$471:$C$489),)</f>
        <v>0</v>
      </c>
      <c r="I474" s="107">
        <f>IF(D474&gt;0,RANK(D474,$D$471:$D$489),)</f>
        <v>0</v>
      </c>
      <c r="J474" s="107">
        <f>IF(E474&gt;0,RANK(E474,$E$471:$E$489),)</f>
        <v>0</v>
      </c>
      <c r="K474" s="107">
        <f>IF(F474&gt;0,RANK(F474,$F$471:$F$489),)</f>
        <v>0</v>
      </c>
      <c r="L474" s="169"/>
      <c r="M474" s="299">
        <f>+'[1]NEW-Tables 80-86'!AM198</f>
        <v>0</v>
      </c>
      <c r="N474" s="73"/>
      <c r="O474" s="73"/>
      <c r="P474" s="73"/>
      <c r="Q474" s="73"/>
    </row>
    <row r="475" spans="1:17" s="112" customFormat="1">
      <c r="A475" s="195"/>
      <c r="B475" s="195"/>
      <c r="C475" s="195"/>
      <c r="D475" s="195"/>
      <c r="E475" s="195"/>
      <c r="F475" s="195"/>
      <c r="G475" s="199"/>
      <c r="H475" s="195"/>
      <c r="I475" s="195"/>
      <c r="J475" s="195"/>
      <c r="K475" s="195"/>
      <c r="L475" s="197"/>
      <c r="M475" s="299">
        <f>+'[1]NEW-Tables 80-86'!AM199</f>
        <v>0</v>
      </c>
      <c r="N475" s="110"/>
      <c r="O475" s="110"/>
      <c r="P475" s="110"/>
      <c r="Q475" s="110"/>
    </row>
    <row r="476" spans="1:17" s="61" customFormat="1" ht="12.75" customHeight="1">
      <c r="A476" s="73" t="s">
        <v>461</v>
      </c>
      <c r="B476" s="75">
        <f>IF($M476&gt;0,('Amounts Pivot Table'!P$163/$M476),0)</f>
        <v>2532.1287627311808</v>
      </c>
      <c r="C476" s="75">
        <f>IF($M476&gt;0,('Amounts Pivot Table'!P$166/$M476),0)</f>
        <v>0</v>
      </c>
      <c r="D476" s="75">
        <f>IF($M476&gt;0,('Amounts Pivot Table'!P$169/$M476),0)</f>
        <v>0</v>
      </c>
      <c r="E476" s="75">
        <f>IF($M476&gt;0,('Amounts Pivot Table'!P$172/$M476),0)</f>
        <v>2497.559038791203</v>
      </c>
      <c r="F476" s="75">
        <f t="shared" si="77"/>
        <v>5029.6878015223838</v>
      </c>
      <c r="G476" s="116">
        <f>IF(B476&gt;0,RANK(B476,$B$471:$B$489),)</f>
        <v>5</v>
      </c>
      <c r="H476" s="107">
        <f>IF(C476&gt;0,RANK(C476,$C$471:$C$489),)</f>
        <v>0</v>
      </c>
      <c r="I476" s="107">
        <f>IF(D476&gt;0,RANK(D476,$D$471:$D$489),)</f>
        <v>0</v>
      </c>
      <c r="J476" s="107">
        <f>IF(E476&gt;0,RANK(E476,$E$471:$E$489),)</f>
        <v>3</v>
      </c>
      <c r="K476" s="107">
        <f>IF(F476&gt;0,RANK(F476,$F$471:$F$489),)</f>
        <v>3</v>
      </c>
      <c r="L476" s="176"/>
      <c r="M476" s="299">
        <f>+'[1]NEW-Tables 80-86'!AM200</f>
        <v>102216.01555555555</v>
      </c>
      <c r="N476" s="73"/>
      <c r="O476" s="73"/>
      <c r="P476" s="73"/>
      <c r="Q476" s="73"/>
    </row>
    <row r="477" spans="1:17" s="61" customFormat="1" ht="12.75" customHeight="1">
      <c r="A477" s="73" t="s">
        <v>454</v>
      </c>
      <c r="B477" s="75">
        <f>IF($M477&gt;0,('Amounts Pivot Table'!P$202/$M477),0)</f>
        <v>3620.7062833518717</v>
      </c>
      <c r="C477" s="75">
        <f>IF($M477&gt;0,('Amounts Pivot Table'!P$205/$M477),0)</f>
        <v>0</v>
      </c>
      <c r="D477" s="75">
        <f>IF($M477&gt;0,('Amounts Pivot Table'!P$208/$M477),0)</f>
        <v>0</v>
      </c>
      <c r="E477" s="75">
        <f>IF($M477&gt;0,('Amounts Pivot Table'!P$211/$M477),0)</f>
        <v>3917.0247573344968</v>
      </c>
      <c r="F477" s="75">
        <f t="shared" si="77"/>
        <v>7537.7310406863689</v>
      </c>
      <c r="G477" s="116">
        <f>IF(B477&gt;0,RANK(B477,$B$471:$B$489),)</f>
        <v>2</v>
      </c>
      <c r="H477" s="107">
        <f>IF(C477&gt;0,RANK(C477,$C$471:$C$489),)</f>
        <v>0</v>
      </c>
      <c r="I477" s="107">
        <f>IF(D477&gt;0,RANK(D477,$D$471:$D$489),)</f>
        <v>0</v>
      </c>
      <c r="J477" s="107">
        <f>IF(E477&gt;0,RANK(E477,$E$471:$E$489),)</f>
        <v>1</v>
      </c>
      <c r="K477" s="107">
        <f>IF(F477&gt;0,RANK(F477,$F$471:$F$489),)</f>
        <v>2</v>
      </c>
      <c r="L477" s="169"/>
      <c r="M477" s="299">
        <f>+'[1]NEW-Tables 80-86'!AM201</f>
        <v>4584.5</v>
      </c>
      <c r="N477" s="73"/>
      <c r="O477" s="73"/>
      <c r="P477" s="73"/>
      <c r="Q477" s="73"/>
    </row>
    <row r="478" spans="1:17" s="61" customFormat="1" ht="12.75" customHeight="1">
      <c r="A478" s="73" t="s">
        <v>462</v>
      </c>
      <c r="B478" s="75">
        <f>IF($M478&gt;0,('Amounts Pivot Table'!P$241/$M478),0)</f>
        <v>3257.8570835529304</v>
      </c>
      <c r="C478" s="75">
        <f>IF($M478&gt;0,('Amounts Pivot Table'!P$244/$M478),0)</f>
        <v>0</v>
      </c>
      <c r="D478" s="75">
        <f>IF($M478&gt;0,('Amounts Pivot Table'!P$247/$M478),0)</f>
        <v>0</v>
      </c>
      <c r="E478" s="75">
        <f>IF($M478&gt;0,('Amounts Pivot Table'!P$250/$M478),0)</f>
        <v>691.24836655572471</v>
      </c>
      <c r="F478" s="75">
        <f t="shared" si="77"/>
        <v>3949.1054501086551</v>
      </c>
      <c r="G478" s="116">
        <f>IF(B478&gt;0,RANK(B478,$B$471:$B$489),)</f>
        <v>4</v>
      </c>
      <c r="H478" s="107">
        <f>IF(C478&gt;0,RANK(C478,$C$471:$C$489),)</f>
        <v>0</v>
      </c>
      <c r="I478" s="107">
        <f>IF(D478&gt;0,RANK(D478,$D$471:$D$489),)</f>
        <v>0</v>
      </c>
      <c r="J478" s="107">
        <f>IF(E478&gt;0,RANK(E478,$E$471:$E$489),)</f>
        <v>5</v>
      </c>
      <c r="K478" s="107">
        <f>IF(F478&gt;0,RANK(F478,$F$471:$F$489),)</f>
        <v>5</v>
      </c>
      <c r="L478" s="169"/>
      <c r="M478" s="299">
        <f>+'[1]NEW-Tables 80-86'!AM202</f>
        <v>18468.133333333335</v>
      </c>
      <c r="N478" s="73"/>
      <c r="O478" s="73"/>
      <c r="P478" s="73"/>
      <c r="Q478" s="73"/>
    </row>
    <row r="479" spans="1:17" s="61" customFormat="1" ht="12.75" customHeight="1">
      <c r="A479" s="73" t="s">
        <v>465</v>
      </c>
      <c r="B479" s="75">
        <f>IF($M479&gt;0,('Amounts Pivot Table'!P$280/$M479),0)</f>
        <v>0</v>
      </c>
      <c r="C479" s="75">
        <f>IF($M479&gt;0,('Amounts Pivot Table'!P$283/$M479),0)</f>
        <v>0</v>
      </c>
      <c r="D479" s="75">
        <f>IF($M479&gt;0,('Amounts Pivot Table'!P$286/$M479),0)</f>
        <v>0</v>
      </c>
      <c r="E479" s="75">
        <f>IF($M479&gt;0,('Amounts Pivot Table'!P$289/$M479),0)</f>
        <v>0</v>
      </c>
      <c r="F479" s="75">
        <f t="shared" si="77"/>
        <v>0</v>
      </c>
      <c r="G479" s="116">
        <f>IF(B479&gt;0,RANK(B479,$B$471:$B$489),)</f>
        <v>0</v>
      </c>
      <c r="H479" s="107">
        <f>IF(C479&gt;0,RANK(C479,$C$471:$C$489),)</f>
        <v>0</v>
      </c>
      <c r="I479" s="107">
        <f>IF(D479&gt;0,RANK(D479,$D$471:$D$489),)</f>
        <v>0</v>
      </c>
      <c r="J479" s="107">
        <f>IF(E479&gt;0,RANK(E479,$E$471:$E$489),)</f>
        <v>0</v>
      </c>
      <c r="K479" s="107">
        <f>IF(F479&gt;0,RANK(F479,$F$471:$F$489),)</f>
        <v>0</v>
      </c>
      <c r="L479" s="176"/>
      <c r="M479" s="299">
        <f>+'[1]NEW-Tables 80-86'!AM203</f>
        <v>0</v>
      </c>
      <c r="N479" s="73"/>
      <c r="O479" s="73"/>
      <c r="P479" s="73"/>
      <c r="Q479" s="73"/>
    </row>
    <row r="480" spans="1:17" s="112" customFormat="1">
      <c r="A480" s="195"/>
      <c r="B480" s="195"/>
      <c r="C480" s="195"/>
      <c r="D480" s="195"/>
      <c r="E480" s="195"/>
      <c r="F480" s="195"/>
      <c r="G480" s="199"/>
      <c r="H480" s="195"/>
      <c r="I480" s="195"/>
      <c r="J480" s="195"/>
      <c r="K480" s="195"/>
      <c r="L480" s="197"/>
      <c r="M480" s="299">
        <f>+'[1]NEW-Tables 80-86'!AM204</f>
        <v>0</v>
      </c>
      <c r="N480" s="110"/>
      <c r="O480" s="110"/>
      <c r="P480" s="110"/>
      <c r="Q480" s="110"/>
    </row>
    <row r="481" spans="1:17" s="61" customFormat="1" ht="12.75" customHeight="1">
      <c r="A481" s="73" t="s">
        <v>455</v>
      </c>
      <c r="B481" s="75">
        <f>IF($M481&gt;0,('Amounts Pivot Table'!P$319/$M481),0)</f>
        <v>0</v>
      </c>
      <c r="C481" s="75">
        <f>IF($M481&gt;0,('Amounts Pivot Table'!P$322/$M481),0)</f>
        <v>0</v>
      </c>
      <c r="D481" s="75">
        <f>IF($M481&gt;0,('Amounts Pivot Table'!P$325/$M481),0)</f>
        <v>0</v>
      </c>
      <c r="E481" s="75">
        <f>IF($M481&gt;0,('Amounts Pivot Table'!P$328/$M481),0)</f>
        <v>0</v>
      </c>
      <c r="F481" s="75">
        <f t="shared" si="77"/>
        <v>0</v>
      </c>
      <c r="G481" s="116">
        <f>IF(B481&gt;0,RANK(B481,$B$471:$B$489),)</f>
        <v>0</v>
      </c>
      <c r="H481" s="107">
        <f>IF(C481&gt;0,RANK(C481,$C$471:$C$489),)</f>
        <v>0</v>
      </c>
      <c r="I481" s="107">
        <f>IF(D481&gt;0,RANK(D481,$D$471:$D$489),)</f>
        <v>0</v>
      </c>
      <c r="J481" s="107">
        <f>IF(E481&gt;0,RANK(E481,$E$471:$E$489),)</f>
        <v>0</v>
      </c>
      <c r="K481" s="107">
        <f>IF(F481&gt;0,RANK(F481,$F$471:$F$489),)</f>
        <v>0</v>
      </c>
      <c r="L481" s="169"/>
      <c r="M481" s="299">
        <f>+'[1]NEW-Tables 80-86'!AM205</f>
        <v>0</v>
      </c>
      <c r="N481" s="73"/>
      <c r="O481" s="73"/>
      <c r="P481" s="73"/>
      <c r="Q481" s="73"/>
    </row>
    <row r="482" spans="1:17" s="61" customFormat="1" ht="12.75" customHeight="1">
      <c r="A482" s="73" t="s">
        <v>456</v>
      </c>
      <c r="B482" s="75">
        <f>IF($M482&gt;0,('Amounts Pivot Table'!P$358/$M482),0)</f>
        <v>0</v>
      </c>
      <c r="C482" s="75">
        <f>IF($M482&gt;0,('Amounts Pivot Table'!P$361/$M482),0)</f>
        <v>0</v>
      </c>
      <c r="D482" s="75">
        <f>IF($M482&gt;0,('Amounts Pivot Table'!P$364/$M482),0)</f>
        <v>0</v>
      </c>
      <c r="E482" s="75">
        <f>IF($M482&gt;0,('Amounts Pivot Table'!P$367/$M482),0)</f>
        <v>0</v>
      </c>
      <c r="F482" s="75">
        <f t="shared" si="77"/>
        <v>0</v>
      </c>
      <c r="G482" s="116">
        <f>IF(B482&gt;0,RANK(B482,$B$471:$B$489),)</f>
        <v>0</v>
      </c>
      <c r="H482" s="107">
        <f>IF(C482&gt;0,RANK(C482,$C$471:$C$489),)</f>
        <v>0</v>
      </c>
      <c r="I482" s="107">
        <f>IF(D482&gt;0,RANK(D482,$D$471:$D$489),)</f>
        <v>0</v>
      </c>
      <c r="J482" s="107">
        <f>IF(E482&gt;0,RANK(E482,$E$471:$E$489),)</f>
        <v>0</v>
      </c>
      <c r="K482" s="107">
        <f>IF(F482&gt;0,RANK(F482,$F$471:$F$489),)</f>
        <v>0</v>
      </c>
      <c r="L482" s="176"/>
      <c r="M482" s="299">
        <f>+'[1]NEW-Tables 80-86'!AM206</f>
        <v>0</v>
      </c>
      <c r="N482" s="73"/>
      <c r="O482" s="73"/>
      <c r="P482" s="73"/>
      <c r="Q482" s="73"/>
    </row>
    <row r="483" spans="1:17" s="61" customFormat="1" ht="12.75" customHeight="1">
      <c r="A483" s="73" t="s">
        <v>463</v>
      </c>
      <c r="B483" s="75">
        <f>IF($M483&gt;0,('Amounts Pivot Table'!P$397/$M483),0)</f>
        <v>3510.8867739841817</v>
      </c>
      <c r="C483" s="75">
        <f>IF($M483&gt;0,('Amounts Pivot Table'!P$400/$M483),0)</f>
        <v>0</v>
      </c>
      <c r="D483" s="75">
        <f>IF($M483&gt;0,('Amounts Pivot Table'!P$403/$M483),0)</f>
        <v>0</v>
      </c>
      <c r="E483" s="75">
        <f>IF($M483&gt;0,('Amounts Pivot Table'!P$406/$M483),0)</f>
        <v>1193.8029112450176</v>
      </c>
      <c r="F483" s="75">
        <f t="shared" si="77"/>
        <v>4704.6896852291993</v>
      </c>
      <c r="G483" s="116">
        <f>IF(B483&gt;0,RANK(B483,$B$471:$B$489),)</f>
        <v>3</v>
      </c>
      <c r="H483" s="107">
        <f>IF(C483&gt;0,RANK(C483,$C$471:$C$489),)</f>
        <v>0</v>
      </c>
      <c r="I483" s="107">
        <f>IF(D483&gt;0,RANK(D483,$D$471:$D$489),)</f>
        <v>0</v>
      </c>
      <c r="J483" s="107">
        <f>IF(E483&gt;0,RANK(E483,$E$471:$E$489),)</f>
        <v>4</v>
      </c>
      <c r="K483" s="107">
        <f>IF(F483&gt;0,RANK(F483,$F$471:$F$489),)</f>
        <v>4</v>
      </c>
      <c r="L483" s="169"/>
      <c r="M483" s="299">
        <f>+'[1]NEW-Tables 80-86'!AM207</f>
        <v>6329.4752666666664</v>
      </c>
      <c r="N483" s="73"/>
      <c r="O483" s="73"/>
      <c r="P483" s="73"/>
      <c r="Q483" s="73"/>
    </row>
    <row r="484" spans="1:17" s="61" customFormat="1" ht="12.75" customHeight="1">
      <c r="A484" s="73" t="s">
        <v>457</v>
      </c>
      <c r="B484" s="75">
        <f>IF($M484&gt;0,('Amounts Pivot Table'!P$436/$M484),0)</f>
        <v>0</v>
      </c>
      <c r="C484" s="75">
        <f>IF($M484&gt;0,('Amounts Pivot Table'!P$439/$M484),0)</f>
        <v>0</v>
      </c>
      <c r="D484" s="75">
        <f>IF($M484&gt;0,('Amounts Pivot Table'!P$442/$M484),0)</f>
        <v>0</v>
      </c>
      <c r="E484" s="75">
        <f>IF($M484&gt;0,('Amounts Pivot Table'!P$445/$M484),0)</f>
        <v>0</v>
      </c>
      <c r="F484" s="75">
        <f t="shared" si="77"/>
        <v>0</v>
      </c>
      <c r="G484" s="116">
        <f>IF(B484&gt;0,RANK(B484,$B$471:$B$489),)</f>
        <v>0</v>
      </c>
      <c r="H484" s="107">
        <f>IF(C484&gt;0,RANK(C484,$C$471:$C$489),)</f>
        <v>0</v>
      </c>
      <c r="I484" s="107">
        <f>IF(D484&gt;0,RANK(D484,$D$471:$D$489),)</f>
        <v>0</v>
      </c>
      <c r="J484" s="107">
        <f>IF(E484&gt;0,RANK(E484,$E$471:$E$489),)</f>
        <v>0</v>
      </c>
      <c r="K484" s="107">
        <f>IF(F484&gt;0,RANK(F484,$F$471:$F$489),)</f>
        <v>0</v>
      </c>
      <c r="L484" s="169"/>
      <c r="M484" s="299">
        <f>+'[1]NEW-Tables 80-86'!AM208</f>
        <v>0</v>
      </c>
      <c r="N484" s="73"/>
      <c r="O484" s="73"/>
      <c r="P484" s="73"/>
      <c r="Q484" s="73"/>
    </row>
    <row r="485" spans="1:17" s="112" customFormat="1">
      <c r="A485" s="195"/>
      <c r="B485" s="195"/>
      <c r="C485" s="195"/>
      <c r="D485" s="195"/>
      <c r="E485" s="195"/>
      <c r="F485" s="195"/>
      <c r="G485" s="199"/>
      <c r="H485" s="195"/>
      <c r="I485" s="195"/>
      <c r="J485" s="195"/>
      <c r="K485" s="195"/>
      <c r="L485" s="197"/>
      <c r="M485" s="299">
        <f>+'[1]NEW-Tables 80-86'!AM209</f>
        <v>0</v>
      </c>
      <c r="N485" s="110"/>
      <c r="O485" s="110"/>
      <c r="P485" s="110"/>
      <c r="Q485" s="110"/>
    </row>
    <row r="486" spans="1:17" s="61" customFormat="1" ht="12.75" customHeight="1">
      <c r="A486" s="73" t="s">
        <v>130</v>
      </c>
      <c r="B486" s="75">
        <f>IF($M486&gt;0,('Amounts Pivot Table'!P$475/$M486),0)</f>
        <v>0</v>
      </c>
      <c r="C486" s="75">
        <f>IF($M486&gt;0,('Amounts Pivot Table'!P$478/$M486),0)</f>
        <v>0</v>
      </c>
      <c r="D486" s="75">
        <f>IF($M486&gt;0,('Amounts Pivot Table'!P$481/$M486),0)</f>
        <v>0</v>
      </c>
      <c r="E486" s="75">
        <f>IF($M486&gt;0,('Amounts Pivot Table'!P$484/$M486),0)</f>
        <v>0</v>
      </c>
      <c r="F486" s="75">
        <f t="shared" si="77"/>
        <v>0</v>
      </c>
      <c r="G486" s="116">
        <f>IF(B486&gt;0,RANK(B486,$B$471:$B$489),)</f>
        <v>0</v>
      </c>
      <c r="H486" s="107">
        <f>IF(C486&gt;0,RANK(C486,$C$471:$C$489),)</f>
        <v>0</v>
      </c>
      <c r="I486" s="107">
        <f>IF(D486&gt;0,RANK(D486,$D$471:$D$489),)</f>
        <v>0</v>
      </c>
      <c r="J486" s="107">
        <f>IF(E486&gt;0,RANK(E486,$E$471:$E$489),)</f>
        <v>0</v>
      </c>
      <c r="K486" s="107">
        <f>IF(F486&gt;0,RANK(F486,$F$471:$F$489),)</f>
        <v>0</v>
      </c>
      <c r="L486" s="169"/>
      <c r="M486" s="299">
        <f>+'[1]NEW-Tables 80-86'!AM210</f>
        <v>0</v>
      </c>
      <c r="N486" s="73"/>
      <c r="O486" s="73"/>
      <c r="P486" s="73"/>
      <c r="Q486" s="73"/>
    </row>
    <row r="487" spans="1:17" s="76" customFormat="1" ht="12.75" customHeight="1">
      <c r="A487" s="73" t="s">
        <v>458</v>
      </c>
      <c r="B487" s="75">
        <f>IF($M487&gt;0,('Amounts Pivot Table'!P$514/$M487),0)</f>
        <v>0</v>
      </c>
      <c r="C487" s="75">
        <f>IF($M487&gt;0,('Amounts Pivot Table'!P$517/$M487),0)</f>
        <v>0</v>
      </c>
      <c r="D487" s="75">
        <f>IF($M487&gt;0,('Amounts Pivot Table'!P$520/$M487),0)</f>
        <v>0</v>
      </c>
      <c r="E487" s="75">
        <f>IF($M487&gt;0,('Amounts Pivot Table'!P$523/$M487),0)</f>
        <v>0</v>
      </c>
      <c r="F487" s="75">
        <f t="shared" si="77"/>
        <v>0</v>
      </c>
      <c r="G487" s="116">
        <f>IF(B487&gt;0,RANK(B487,$B$471:$B$489),)</f>
        <v>0</v>
      </c>
      <c r="H487" s="107">
        <f>IF(C487&gt;0,RANK(C487,$C$471:$C$489),)</f>
        <v>0</v>
      </c>
      <c r="I487" s="107">
        <f>IF(D487&gt;0,RANK(D487,$D$471:$D$489),)</f>
        <v>0</v>
      </c>
      <c r="J487" s="107">
        <f>IF(E487&gt;0,RANK(E487,$E$471:$E$489),)</f>
        <v>0</v>
      </c>
      <c r="K487" s="107">
        <f>IF(F487&gt;0,RANK(F487,$F$471:$F$489),)</f>
        <v>0</v>
      </c>
      <c r="L487" s="169"/>
      <c r="M487" s="299">
        <f>+'[1]NEW-Tables 80-86'!AM211</f>
        <v>0</v>
      </c>
      <c r="N487" s="90"/>
      <c r="O487" s="90"/>
      <c r="P487" s="90"/>
      <c r="Q487" s="90"/>
    </row>
    <row r="488" spans="1:17" s="61" customFormat="1" ht="12.75" customHeight="1">
      <c r="A488" s="73" t="s">
        <v>459</v>
      </c>
      <c r="B488" s="75">
        <f>IF($M488&gt;0,('Amounts Pivot Table'!P$553/$M488),0)</f>
        <v>0</v>
      </c>
      <c r="C488" s="75">
        <f>IF($M488&gt;0,('Amounts Pivot Table'!P$556/$M488),0)</f>
        <v>0</v>
      </c>
      <c r="D488" s="75">
        <f>IF($M488&gt;0,('Amounts Pivot Table'!P$559/$M488),0)</f>
        <v>0</v>
      </c>
      <c r="E488" s="75">
        <f>IF($M488&gt;0,('Amounts Pivot Table'!P$562/$M488),0)</f>
        <v>0</v>
      </c>
      <c r="F488" s="75">
        <f t="shared" si="77"/>
        <v>0</v>
      </c>
      <c r="G488" s="116">
        <f>IF(B488&gt;0,RANK(B488,$B$471:$B$489),)</f>
        <v>0</v>
      </c>
      <c r="H488" s="107">
        <f>IF(C488&gt;0,RANK(C488,$C$471:$C$489),)</f>
        <v>0</v>
      </c>
      <c r="I488" s="107">
        <f>IF(D488&gt;0,RANK(D488,$D$471:$D$489),)</f>
        <v>0</v>
      </c>
      <c r="J488" s="107">
        <f>IF(E488&gt;0,RANK(E488,$E$471:$E$489),)</f>
        <v>0</v>
      </c>
      <c r="K488" s="107">
        <f>IF(F488&gt;0,RANK(F488,$F$471:$F$489),)</f>
        <v>0</v>
      </c>
      <c r="L488" s="176"/>
      <c r="M488" s="299">
        <f>+'[1]NEW-Tables 80-86'!AM212</f>
        <v>0</v>
      </c>
      <c r="N488" s="73"/>
      <c r="O488" s="73"/>
      <c r="P488" s="73"/>
      <c r="Q488" s="73"/>
    </row>
    <row r="489" spans="1:17" s="61" customFormat="1" ht="17.25" customHeight="1">
      <c r="A489" s="74" t="s">
        <v>464</v>
      </c>
      <c r="B489" s="104">
        <f>IF($M489&gt;0,('Amounts Pivot Table'!P$592/$M489),0)</f>
        <v>0</v>
      </c>
      <c r="C489" s="104">
        <f>IF($M489&gt;0,('Amounts Pivot Table'!P$595/$M489),0)</f>
        <v>0</v>
      </c>
      <c r="D489" s="104">
        <f>IF($M489&gt;0,('Amounts Pivot Table'!P$598/$M489),0)</f>
        <v>0</v>
      </c>
      <c r="E489" s="104">
        <f>IF($M489&gt;0,('Amounts Pivot Table'!P$601/$M489),0)</f>
        <v>0</v>
      </c>
      <c r="F489" s="105">
        <f t="shared" si="77"/>
        <v>0</v>
      </c>
      <c r="G489" s="117">
        <f>IF(B489&gt;0,RANK(B489,$B$471:$B$489),)</f>
        <v>0</v>
      </c>
      <c r="H489" s="118">
        <f>IF(C489&gt;0,RANK(C489,$C$471:$C$489),)</f>
        <v>0</v>
      </c>
      <c r="I489" s="118">
        <f>IF(D489&gt;0,RANK(D489,$D$471:$D$489),)</f>
        <v>0</v>
      </c>
      <c r="J489" s="118">
        <f>IF(E489&gt;0,RANK(E489,$E$471:$E$489),)</f>
        <v>0</v>
      </c>
      <c r="K489" s="118">
        <f>IF(F489&gt;0,RANK(F489,$F$471:$F$489),)</f>
        <v>0</v>
      </c>
      <c r="L489" s="169"/>
      <c r="M489" s="299">
        <f>+'[1]NEW-Tables 80-86'!AM213</f>
        <v>0</v>
      </c>
      <c r="N489" s="73"/>
      <c r="O489" s="73"/>
      <c r="P489" s="73"/>
      <c r="Q489" s="73"/>
    </row>
    <row r="490" spans="1:17" s="76" customFormat="1" ht="34.5" customHeight="1">
      <c r="A490" s="1405" t="s">
        <v>25</v>
      </c>
      <c r="B490" s="1450"/>
      <c r="C490" s="1450"/>
      <c r="D490" s="1450"/>
      <c r="E490" s="1450"/>
      <c r="F490" s="1450"/>
      <c r="G490" s="1450"/>
      <c r="H490" s="1450"/>
      <c r="I490" s="1450"/>
      <c r="J490" s="1450"/>
      <c r="K490" s="1450"/>
      <c r="L490" s="170"/>
      <c r="M490" s="299"/>
      <c r="N490" s="90"/>
      <c r="O490" s="90"/>
      <c r="P490" s="90"/>
      <c r="Q490" s="90"/>
    </row>
    <row r="491" spans="1:17" s="207" customFormat="1" ht="13.5" customHeight="1">
      <c r="A491" s="1405" t="s">
        <v>80</v>
      </c>
      <c r="B491" s="1450"/>
      <c r="C491" s="1450"/>
      <c r="D491" s="1450"/>
      <c r="E491" s="1450"/>
      <c r="F491" s="1450"/>
      <c r="G491" s="1450"/>
      <c r="H491" s="1450"/>
      <c r="I491" s="1450"/>
      <c r="J491" s="1450"/>
      <c r="K491" s="1450"/>
      <c r="L491" s="206"/>
      <c r="M491" s="305"/>
      <c r="N491" s="208"/>
      <c r="O491" s="208"/>
      <c r="P491" s="208"/>
      <c r="Q491" s="208"/>
    </row>
    <row r="492" spans="1:17" s="61" customFormat="1" ht="13.5" customHeight="1">
      <c r="A492" s="1405" t="s">
        <v>332</v>
      </c>
      <c r="B492" s="1443"/>
      <c r="C492" s="1443"/>
      <c r="D492" s="1443"/>
      <c r="E492" s="1443"/>
      <c r="F492" s="1443"/>
      <c r="G492" s="1444"/>
      <c r="H492" s="1444"/>
      <c r="I492" s="1444"/>
      <c r="J492" s="1444"/>
      <c r="K492" s="1444"/>
      <c r="L492" s="172"/>
      <c r="M492" s="303"/>
      <c r="N492" s="73"/>
      <c r="O492" s="73"/>
      <c r="P492" s="73"/>
      <c r="Q492" s="73"/>
    </row>
    <row r="493" spans="1:17" s="61" customFormat="1">
      <c r="A493" s="188"/>
      <c r="B493" s="106"/>
      <c r="C493" s="106"/>
      <c r="D493" s="106"/>
      <c r="E493" s="106"/>
      <c r="F493" s="106"/>
      <c r="G493" s="189"/>
      <c r="H493" s="189"/>
      <c r="I493" s="189"/>
      <c r="J493" s="189"/>
      <c r="K493" s="591" t="s">
        <v>2018</v>
      </c>
      <c r="L493" s="172"/>
      <c r="M493" s="306"/>
      <c r="N493" s="73"/>
      <c r="O493" s="73"/>
      <c r="P493" s="73"/>
      <c r="Q493" s="73"/>
    </row>
    <row r="494" spans="1:17" s="61" customFormat="1" ht="18.75" customHeight="1">
      <c r="A494" s="135" t="s">
        <v>544</v>
      </c>
      <c r="B494" s="135"/>
      <c r="C494" s="135"/>
      <c r="D494" s="135"/>
      <c r="E494" s="135"/>
      <c r="F494" s="135"/>
      <c r="G494" s="135"/>
      <c r="H494" s="135"/>
      <c r="I494" s="135"/>
      <c r="J494" s="622"/>
      <c r="K494" s="135"/>
      <c r="L494" s="171"/>
      <c r="M494" s="299"/>
      <c r="N494" s="73"/>
      <c r="O494" s="73"/>
      <c r="P494" s="73"/>
      <c r="Q494" s="73"/>
    </row>
    <row r="495" spans="1:17" s="61" customFormat="1" ht="18.75" customHeight="1">
      <c r="A495" s="135"/>
      <c r="B495" s="135"/>
      <c r="C495" s="135"/>
      <c r="D495" s="135"/>
      <c r="E495" s="135"/>
      <c r="F495" s="135"/>
      <c r="G495" s="135"/>
      <c r="H495" s="135"/>
      <c r="I495" s="135"/>
      <c r="J495" s="622"/>
      <c r="K495" s="135"/>
      <c r="L495" s="171"/>
      <c r="M495" s="299"/>
      <c r="N495" s="73"/>
      <c r="O495" s="73"/>
      <c r="P495" s="73"/>
      <c r="Q495" s="73"/>
    </row>
    <row r="496" spans="1:17" s="61" customFormat="1" ht="18.75">
      <c r="A496" s="1429" t="s">
        <v>26</v>
      </c>
      <c r="B496" s="1429"/>
      <c r="C496" s="1429"/>
      <c r="D496" s="1429"/>
      <c r="E496" s="1429"/>
      <c r="F496" s="1429"/>
      <c r="G496" s="1429"/>
      <c r="H496" s="1429"/>
      <c r="I496" s="1429"/>
      <c r="J496" s="1429"/>
      <c r="K496" s="1429"/>
      <c r="L496" s="166"/>
      <c r="M496" s="299"/>
      <c r="N496" s="73"/>
      <c r="O496" s="73"/>
      <c r="P496" s="73"/>
      <c r="Q496" s="73"/>
    </row>
    <row r="497" spans="1:17" s="61" customFormat="1" ht="15.75" customHeight="1">
      <c r="A497" s="1429" t="s">
        <v>1996</v>
      </c>
      <c r="B497" s="1429"/>
      <c r="C497" s="1429"/>
      <c r="D497" s="1429"/>
      <c r="E497" s="1429"/>
      <c r="F497" s="1429"/>
      <c r="G497" s="1429"/>
      <c r="H497" s="1429"/>
      <c r="I497" s="1429"/>
      <c r="J497" s="1429"/>
      <c r="K497" s="1429"/>
      <c r="L497" s="166"/>
      <c r="M497" s="310"/>
      <c r="N497" s="73"/>
      <c r="O497" s="73"/>
      <c r="P497" s="73"/>
      <c r="Q497" s="73"/>
    </row>
    <row r="498" spans="1:17" s="61" customFormat="1" ht="9.75" customHeight="1">
      <c r="A498" s="91"/>
      <c r="B498" s="91"/>
      <c r="C498" s="91"/>
      <c r="D498" s="91"/>
      <c r="E498" s="91"/>
      <c r="F498" s="91"/>
      <c r="G498" s="108"/>
      <c r="H498" s="91"/>
      <c r="I498" s="91"/>
      <c r="J498" s="91"/>
      <c r="K498" s="91"/>
      <c r="L498" s="166"/>
      <c r="M498" s="299"/>
      <c r="N498" s="73"/>
      <c r="O498" s="73"/>
      <c r="P498" s="73"/>
      <c r="Q498" s="73"/>
    </row>
    <row r="499" spans="1:17" s="59" customFormat="1" ht="15.75" customHeight="1">
      <c r="A499" s="56"/>
      <c r="B499" s="1451" t="s">
        <v>81</v>
      </c>
      <c r="C499" s="1452"/>
      <c r="D499" s="1452"/>
      <c r="E499" s="1452"/>
      <c r="F499" s="1452"/>
      <c r="G499" s="1453" t="s">
        <v>178</v>
      </c>
      <c r="H499" s="1454"/>
      <c r="I499" s="1454"/>
      <c r="J499" s="1454"/>
      <c r="K499" s="1454"/>
      <c r="L499" s="174"/>
      <c r="M499" s="299"/>
      <c r="N499" s="89"/>
      <c r="O499" s="89"/>
      <c r="P499" s="89"/>
      <c r="Q499" s="89"/>
    </row>
    <row r="500" spans="1:17" s="6" customFormat="1" ht="47.25" customHeight="1">
      <c r="A500" s="50"/>
      <c r="B500" s="606" t="s">
        <v>126</v>
      </c>
      <c r="C500" s="607" t="s">
        <v>128</v>
      </c>
      <c r="D500" s="607" t="s">
        <v>127</v>
      </c>
      <c r="E500" s="607" t="s">
        <v>570</v>
      </c>
      <c r="F500" s="607" t="s">
        <v>138</v>
      </c>
      <c r="G500" s="608" t="s">
        <v>126</v>
      </c>
      <c r="H500" s="607" t="s">
        <v>128</v>
      </c>
      <c r="I500" s="607" t="s">
        <v>127</v>
      </c>
      <c r="J500" s="607" t="s">
        <v>570</v>
      </c>
      <c r="K500" s="607" t="s">
        <v>138</v>
      </c>
      <c r="L500" s="168"/>
      <c r="M500" s="299" t="s">
        <v>388</v>
      </c>
      <c r="N500" s="7"/>
      <c r="O500" s="7"/>
      <c r="P500" s="7"/>
      <c r="Q500" s="7"/>
    </row>
    <row r="501" spans="1:17" s="61" customFormat="1" ht="16.5" customHeight="1">
      <c r="A501" s="73" t="s">
        <v>82</v>
      </c>
      <c r="B501" s="102">
        <f>IF($M501&gt;0,('Amounts Pivot Table'!Q$631/$M501),0)</f>
        <v>3985.8363927938444</v>
      </c>
      <c r="C501" s="102">
        <f>IF($M501&gt;0,('Amounts Pivot Table'!Q$634/$M501),0)</f>
        <v>13.251133165136702</v>
      </c>
      <c r="D501" s="102">
        <f>IF($M501&gt;0,('Amounts Pivot Table'!Q$637/$M501),0)</f>
        <v>0</v>
      </c>
      <c r="E501" s="102">
        <f>IF($M501&gt;0,('Amounts Pivot Table'!Q$640/$M501),0)</f>
        <v>1449.8939427366981</v>
      </c>
      <c r="F501" s="102">
        <f>SUM(B501:E501)</f>
        <v>5448.9814686956797</v>
      </c>
      <c r="G501" s="114"/>
      <c r="H501" s="115"/>
      <c r="I501" s="115"/>
      <c r="J501" s="115"/>
      <c r="K501" s="115"/>
      <c r="L501" s="169"/>
      <c r="M501" s="299">
        <f>+'[1]NEW-Tables 80-86'!AN193</f>
        <v>39927.906044444448</v>
      </c>
      <c r="N501" s="73"/>
      <c r="O501" s="73"/>
      <c r="P501" s="73"/>
      <c r="Q501" s="73"/>
    </row>
    <row r="502" spans="1:17" s="112" customFormat="1">
      <c r="A502" s="110"/>
      <c r="B502" s="191"/>
      <c r="C502" s="191"/>
      <c r="D502" s="191"/>
      <c r="E502" s="191"/>
      <c r="F502" s="191"/>
      <c r="G502" s="192"/>
      <c r="H502" s="193"/>
      <c r="I502" s="193"/>
      <c r="J502" s="193"/>
      <c r="K502" s="193"/>
      <c r="L502" s="176"/>
      <c r="M502" s="299">
        <f>+'[1]NEW-Tables 80-86'!AN194</f>
        <v>0</v>
      </c>
      <c r="N502" s="110"/>
      <c r="O502" s="110"/>
      <c r="P502" s="110"/>
      <c r="Q502" s="110"/>
    </row>
    <row r="503" spans="1:17" s="61" customFormat="1" ht="12.75" customHeight="1">
      <c r="A503" s="73" t="s">
        <v>452</v>
      </c>
      <c r="B503" s="75">
        <f>IF($M503&gt;0,('Amounts Pivot Table'!Q$7/$M503),0)</f>
        <v>5268.2900359236146</v>
      </c>
      <c r="C503" s="75">
        <f>IF($M503&gt;0,('Amounts Pivot Table'!Q$10/$M503),0)</f>
        <v>200.07184723010022</v>
      </c>
      <c r="D503" s="75">
        <f>IF($M503&gt;0,('Amounts Pivot Table'!Q$13/$M503),0)</f>
        <v>0</v>
      </c>
      <c r="E503" s="75">
        <f>IF($M503&gt;0,('Amounts Pivot Table'!Q$16/$M503),0)</f>
        <v>2997.7303838154662</v>
      </c>
      <c r="F503" s="75">
        <f t="shared" ref="F503:F521" si="78">SUM(B503:E503)</f>
        <v>8466.0922669691809</v>
      </c>
      <c r="G503" s="116">
        <f>IF(B503&gt;0,RANK(B503,$B$503:$B$521),)</f>
        <v>1</v>
      </c>
      <c r="H503" s="107">
        <f>IF(C503&gt;0,RANK(C503,$C$503:$C$521),)</f>
        <v>1</v>
      </c>
      <c r="I503" s="107">
        <f>IF(D503&gt;0,RANK(D503,$D$503:$D$521),)</f>
        <v>0</v>
      </c>
      <c r="J503" s="107">
        <f>IF(E503&gt;0,RANK(E503,$E$503:$E$521),)</f>
        <v>2</v>
      </c>
      <c r="K503" s="107">
        <f>IF(F503&gt;0,RANK(F503,$F$503:$F$521),)</f>
        <v>1</v>
      </c>
      <c r="L503" s="169"/>
      <c r="M503" s="299">
        <f>+'[1]NEW-Tables 80-86'!AN195</f>
        <v>2644.5</v>
      </c>
      <c r="N503" s="73"/>
      <c r="O503" s="73"/>
      <c r="P503" s="73"/>
      <c r="Q503" s="73"/>
    </row>
    <row r="504" spans="1:17" s="61" customFormat="1" ht="12.75" customHeight="1">
      <c r="A504" s="73" t="s">
        <v>466</v>
      </c>
      <c r="B504" s="75">
        <f>IF($M504&gt;0,('Amounts Pivot Table'!Q$46/$M504),0)</f>
        <v>0</v>
      </c>
      <c r="C504" s="75">
        <f>IF($M504&gt;0,('Amounts Pivot Table'!Q$49/$M504),0)</f>
        <v>0</v>
      </c>
      <c r="D504" s="75">
        <f>IF($M504&gt;0,('Amounts Pivot Table'!Q$52/$M504),0)</f>
        <v>0</v>
      </c>
      <c r="E504" s="75">
        <f>IF($M504&gt;0,('Amounts Pivot Table'!Q$55/$M504),0)</f>
        <v>0</v>
      </c>
      <c r="F504" s="75">
        <f t="shared" si="78"/>
        <v>0</v>
      </c>
      <c r="G504" s="116">
        <f>IF(B504&gt;0,RANK(B504,$B$503:$B$521),)</f>
        <v>0</v>
      </c>
      <c r="H504" s="107">
        <f>IF(C504&gt;0,RANK(C504,$C$503:$C$521),)</f>
        <v>0</v>
      </c>
      <c r="I504" s="107">
        <f>IF(D504&gt;0,RANK(D504,$D$503:$D$521),)</f>
        <v>0</v>
      </c>
      <c r="J504" s="107">
        <f>IF(E504&gt;0,RANK(E504,$E$503:$E$521),)</f>
        <v>0</v>
      </c>
      <c r="K504" s="107">
        <f>IF(F504&gt;0,RANK(F504,$F$503:$F$521),)</f>
        <v>0</v>
      </c>
      <c r="L504" s="169"/>
      <c r="M504" s="299">
        <f>+'[1]NEW-Tables 80-86'!AN196</f>
        <v>0</v>
      </c>
      <c r="N504" s="73"/>
      <c r="O504" s="73"/>
      <c r="P504" s="73"/>
      <c r="Q504" s="73"/>
    </row>
    <row r="505" spans="1:17" s="61" customFormat="1" ht="12.75" customHeight="1">
      <c r="A505" s="73" t="s">
        <v>453</v>
      </c>
      <c r="B505" s="75">
        <f>IF($M505&gt;0,('Amounts Pivot Table'!Q$85/$M505),0)</f>
        <v>0</v>
      </c>
      <c r="C505" s="75">
        <f>IF($M505&gt;0,('Amounts Pivot Table'!Q$88/$M505),0)</f>
        <v>0</v>
      </c>
      <c r="D505" s="75">
        <f>IF($M505&gt;0,('Amounts Pivot Table'!Q$91/$M505),0)</f>
        <v>0</v>
      </c>
      <c r="E505" s="75">
        <f>IF($M505&gt;0,('Amounts Pivot Table'!Q$94/$M505),0)</f>
        <v>0</v>
      </c>
      <c r="F505" s="75">
        <f t="shared" si="78"/>
        <v>0</v>
      </c>
      <c r="G505" s="116">
        <f>IF(B505&gt;0,RANK(B505,$B$503:$B$521),)</f>
        <v>0</v>
      </c>
      <c r="H505" s="107">
        <f>IF(C505&gt;0,RANK(C505,$C$503:$C$521),)</f>
        <v>0</v>
      </c>
      <c r="I505" s="107">
        <f>IF(D505&gt;0,RANK(D505,$D$503:$D$521),)</f>
        <v>0</v>
      </c>
      <c r="J505" s="107">
        <f>IF(E505&gt;0,RANK(E505,$E$503:$E$521),)</f>
        <v>0</v>
      </c>
      <c r="K505" s="107">
        <f>IF(F505&gt;0,RANK(F505,$F$503:$F$521),)</f>
        <v>0</v>
      </c>
      <c r="L505" s="169"/>
      <c r="M505" s="299">
        <f>+'[1]NEW-Tables 80-86'!AN197</f>
        <v>0</v>
      </c>
      <c r="N505" s="73"/>
      <c r="O505" s="73"/>
      <c r="P505" s="73"/>
      <c r="Q505" s="73"/>
    </row>
    <row r="506" spans="1:17" s="61" customFormat="1" ht="12.75" customHeight="1">
      <c r="A506" s="73" t="s">
        <v>460</v>
      </c>
      <c r="B506" s="75">
        <f>IF($M506&gt;0,('Amounts Pivot Table'!Q$124/$M506),0)</f>
        <v>0</v>
      </c>
      <c r="C506" s="75">
        <f>IF($M506&gt;0,('Amounts Pivot Table'!Q$127/$M506),0)</f>
        <v>0</v>
      </c>
      <c r="D506" s="75">
        <f>IF($M506&gt;0,('Amounts Pivot Table'!Q$130/$M506),0)</f>
        <v>0</v>
      </c>
      <c r="E506" s="75">
        <f>IF($M506&gt;0,('Amounts Pivot Table'!Q$133/$M506),0)</f>
        <v>0</v>
      </c>
      <c r="F506" s="75">
        <f t="shared" si="78"/>
        <v>0</v>
      </c>
      <c r="G506" s="116">
        <f>IF(B506&gt;0,RANK(B506,$B$503:$B$521),)</f>
        <v>0</v>
      </c>
      <c r="H506" s="107">
        <f>IF(C506&gt;0,RANK(C506,$C$503:$C$521),)</f>
        <v>0</v>
      </c>
      <c r="I506" s="107">
        <f>IF(D506&gt;0,RANK(D506,$D$503:$D$521),)</f>
        <v>0</v>
      </c>
      <c r="J506" s="107">
        <f>IF(E506&gt;0,RANK(E506,$E$503:$E$521),)</f>
        <v>0</v>
      </c>
      <c r="K506" s="107">
        <f>IF(F506&gt;0,RANK(F506,$F$503:$F$521),)</f>
        <v>0</v>
      </c>
      <c r="L506" s="169"/>
      <c r="M506" s="299">
        <f>+'[1]NEW-Tables 80-86'!AN198</f>
        <v>0</v>
      </c>
      <c r="N506" s="73"/>
      <c r="O506" s="73"/>
      <c r="P506" s="73"/>
      <c r="Q506" s="73"/>
    </row>
    <row r="507" spans="1:17" s="112" customFormat="1">
      <c r="A507" s="110"/>
      <c r="B507" s="111"/>
      <c r="C507" s="111"/>
      <c r="D507" s="111"/>
      <c r="E507" s="111"/>
      <c r="F507" s="111">
        <f t="shared" si="78"/>
        <v>0</v>
      </c>
      <c r="G507" s="119"/>
      <c r="H507" s="120"/>
      <c r="I507" s="120"/>
      <c r="J507" s="120"/>
      <c r="K507" s="120"/>
      <c r="L507" s="176"/>
      <c r="M507" s="299">
        <f>+'[1]NEW-Tables 80-86'!AN199</f>
        <v>0</v>
      </c>
      <c r="N507" s="110"/>
      <c r="O507" s="110"/>
      <c r="P507" s="110"/>
      <c r="Q507" s="110"/>
    </row>
    <row r="508" spans="1:17" s="61" customFormat="1" ht="12.75" customHeight="1">
      <c r="A508" s="73" t="s">
        <v>461</v>
      </c>
      <c r="B508" s="75">
        <f>IF($M508&gt;0,('Amounts Pivot Table'!Q$163/$M508),0)</f>
        <v>4281.036042062452</v>
      </c>
      <c r="C508" s="75">
        <f>IF($M508&gt;0,('Amounts Pivot Table'!Q$166/$M508),0)</f>
        <v>0</v>
      </c>
      <c r="D508" s="75">
        <f>IF($M508&gt;0,('Amounts Pivot Table'!Q$169/$M508),0)</f>
        <v>0</v>
      </c>
      <c r="E508" s="75">
        <f>IF($M508&gt;0,('Amounts Pivot Table'!Q$172/$M508),0)</f>
        <v>3208.4521017847114</v>
      </c>
      <c r="F508" s="75">
        <f t="shared" si="78"/>
        <v>7489.4881438471639</v>
      </c>
      <c r="G508" s="116">
        <f>IF(B508&gt;0,RANK(B508,$B$503:$B$521),)</f>
        <v>2</v>
      </c>
      <c r="H508" s="107">
        <f>IF(C508&gt;0,RANK(C508,$C$503:$C$521),)</f>
        <v>0</v>
      </c>
      <c r="I508" s="107">
        <f>IF(D508&gt;0,RANK(D508,$D$503:$D$521),)</f>
        <v>0</v>
      </c>
      <c r="J508" s="107">
        <f>IF(E508&gt;0,RANK(E508,$E$503:$E$521),)</f>
        <v>1</v>
      </c>
      <c r="K508" s="107">
        <f>IF(F508&gt;0,RANK(F508,$F$503:$F$521),)</f>
        <v>2</v>
      </c>
      <c r="L508" s="169"/>
      <c r="M508" s="299">
        <f>+'[1]NEW-Tables 80-86'!AN200</f>
        <v>830.51111111111106</v>
      </c>
      <c r="N508" s="73"/>
      <c r="O508" s="73"/>
      <c r="P508" s="73"/>
      <c r="Q508" s="73"/>
    </row>
    <row r="509" spans="1:17" s="61" customFormat="1" ht="12.75" customHeight="1">
      <c r="A509" s="73" t="s">
        <v>454</v>
      </c>
      <c r="B509" s="75">
        <f>IF($M509&gt;0,('Amounts Pivot Table'!Q$202/$M509),0)</f>
        <v>0</v>
      </c>
      <c r="C509" s="75">
        <f>IF($M509&gt;0,('Amounts Pivot Table'!Q$205/$M509),0)</f>
        <v>0</v>
      </c>
      <c r="D509" s="75">
        <f>IF($M509&gt;0,('Amounts Pivot Table'!Q$208/$M509),0)</f>
        <v>0</v>
      </c>
      <c r="E509" s="75">
        <f>IF($M509&gt;0,('Amounts Pivot Table'!Q$211/$M509),0)</f>
        <v>0</v>
      </c>
      <c r="F509" s="75">
        <f t="shared" si="78"/>
        <v>0</v>
      </c>
      <c r="G509" s="116">
        <f>IF(B509&gt;0,RANK(B509,$B$503:$B$521),)</f>
        <v>0</v>
      </c>
      <c r="H509" s="107">
        <f>IF(C509&gt;0,RANK(C509,$C$503:$C$521),)</f>
        <v>0</v>
      </c>
      <c r="I509" s="107">
        <f>IF(D509&gt;0,RANK(D509,$D$503:$D$521),)</f>
        <v>0</v>
      </c>
      <c r="J509" s="107">
        <f>IF(E509&gt;0,RANK(E509,$E$503:$E$521),)</f>
        <v>0</v>
      </c>
      <c r="K509" s="107">
        <f>IF(F509&gt;0,RANK(F509,$F$503:$F$521),)</f>
        <v>0</v>
      </c>
      <c r="L509" s="169"/>
      <c r="M509" s="299">
        <f>+'[1]NEW-Tables 80-86'!AN201</f>
        <v>0</v>
      </c>
      <c r="N509" s="73"/>
      <c r="O509" s="73"/>
      <c r="P509" s="73"/>
      <c r="Q509" s="73"/>
    </row>
    <row r="510" spans="1:17" s="61" customFormat="1" ht="12.75" customHeight="1">
      <c r="A510" s="73" t="s">
        <v>462</v>
      </c>
      <c r="B510" s="75">
        <f>IF($M510&gt;0,('Amounts Pivot Table'!Q$241/$M510),0)</f>
        <v>2621.938505943936</v>
      </c>
      <c r="C510" s="75">
        <f>IF($M510&gt;0,('Amounts Pivot Table'!Q$244/$M510),0)</f>
        <v>0</v>
      </c>
      <c r="D510" s="75">
        <f>IF($M510&gt;0,('Amounts Pivot Table'!Q$247/$M510),0)</f>
        <v>0</v>
      </c>
      <c r="E510" s="75">
        <f>IF($M510&gt;0,('Amounts Pivot Table'!Q$250/$M510),0)</f>
        <v>2275.3042903967516</v>
      </c>
      <c r="F510" s="75">
        <f t="shared" si="78"/>
        <v>4897.2427963406881</v>
      </c>
      <c r="G510" s="116">
        <f>IF(B510&gt;0,RANK(B510,$B$503:$B$521),)</f>
        <v>5</v>
      </c>
      <c r="H510" s="107">
        <f>IF(C510&gt;0,RANK(C510,$C$503:$C$521),)</f>
        <v>0</v>
      </c>
      <c r="I510" s="107">
        <f>IF(D510&gt;0,RANK(D510,$D$503:$D$521),)</f>
        <v>0</v>
      </c>
      <c r="J510" s="107">
        <f>IF(E510&gt;0,RANK(E510,$E$503:$E$521),)</f>
        <v>3</v>
      </c>
      <c r="K510" s="107">
        <f>IF(F510&gt;0,RANK(F510,$F$503:$F$521),)</f>
        <v>4</v>
      </c>
      <c r="L510" s="169"/>
      <c r="M510" s="299">
        <f>+'[1]NEW-Tables 80-86'!AN202</f>
        <v>1362.7333333333333</v>
      </c>
      <c r="N510" s="73"/>
      <c r="O510" s="73"/>
      <c r="P510" s="73"/>
      <c r="Q510" s="73"/>
    </row>
    <row r="511" spans="1:17" s="61" customFormat="1" ht="12.75" customHeight="1">
      <c r="A511" s="73" t="s">
        <v>465</v>
      </c>
      <c r="B511" s="75">
        <f>IF($M511&gt;0,('Amounts Pivot Table'!Q$280/$M511),0)</f>
        <v>0</v>
      </c>
      <c r="C511" s="75">
        <f>IF($M511&gt;0,('Amounts Pivot Table'!Q$283/$M511),0)</f>
        <v>0</v>
      </c>
      <c r="D511" s="75">
        <f>IF($M511&gt;0,('Amounts Pivot Table'!Q$286/$M511),0)</f>
        <v>0</v>
      </c>
      <c r="E511" s="75">
        <f>IF($M511&gt;0,('Amounts Pivot Table'!Q$289/$M511),0)</f>
        <v>0</v>
      </c>
      <c r="F511" s="75">
        <f t="shared" si="78"/>
        <v>0</v>
      </c>
      <c r="G511" s="116">
        <f>IF(B511&gt;0,RANK(B511,$B$503:$B$521),)</f>
        <v>0</v>
      </c>
      <c r="H511" s="107">
        <f>IF(C511&gt;0,RANK(C511,$C$503:$C$521),)</f>
        <v>0</v>
      </c>
      <c r="I511" s="107">
        <f>IF(D511&gt;0,RANK(D511,$D$503:$D$521),)</f>
        <v>0</v>
      </c>
      <c r="J511" s="107">
        <f>IF(E511&gt;0,RANK(E511,$E$503:$E$521),)</f>
        <v>0</v>
      </c>
      <c r="K511" s="107">
        <f>IF(F511&gt;0,RANK(F511,$F$503:$F$521),)</f>
        <v>0</v>
      </c>
      <c r="L511" s="169"/>
      <c r="M511" s="299">
        <f>+'[1]NEW-Tables 80-86'!AN203</f>
        <v>0</v>
      </c>
      <c r="N511" s="73"/>
      <c r="O511" s="73"/>
      <c r="P511" s="73"/>
      <c r="Q511" s="73"/>
    </row>
    <row r="512" spans="1:17" s="112" customFormat="1">
      <c r="A512" s="110"/>
      <c r="B512" s="111"/>
      <c r="C512" s="111"/>
      <c r="D512" s="111"/>
      <c r="E512" s="111"/>
      <c r="F512" s="111">
        <f t="shared" si="78"/>
        <v>0</v>
      </c>
      <c r="G512" s="119"/>
      <c r="H512" s="120"/>
      <c r="I512" s="120"/>
      <c r="J512" s="120"/>
      <c r="K512" s="120"/>
      <c r="L512" s="176"/>
      <c r="M512" s="299">
        <f>+'[1]NEW-Tables 80-86'!AN204</f>
        <v>0</v>
      </c>
      <c r="N512" s="110"/>
      <c r="O512" s="110"/>
      <c r="P512" s="110"/>
      <c r="Q512" s="110"/>
    </row>
    <row r="513" spans="1:17" s="61" customFormat="1" ht="12.75" customHeight="1">
      <c r="A513" s="73" t="s">
        <v>455</v>
      </c>
      <c r="B513" s="75">
        <f>IF($M513&gt;0,('Amounts Pivot Table'!Q$319/$M513),0)</f>
        <v>0</v>
      </c>
      <c r="C513" s="75">
        <f>IF($M513&gt;0,('Amounts Pivot Table'!Q$322/$M513),0)</f>
        <v>0</v>
      </c>
      <c r="D513" s="75">
        <f>IF($M513&gt;0,('Amounts Pivot Table'!Q$325/$M513),0)</f>
        <v>0</v>
      </c>
      <c r="E513" s="75">
        <f>IF($M513&gt;0,('Amounts Pivot Table'!Q$328/$M513),0)</f>
        <v>0</v>
      </c>
      <c r="F513" s="75">
        <f t="shared" si="78"/>
        <v>0</v>
      </c>
      <c r="G513" s="116">
        <f>IF(B513&gt;0,RANK(B513,$B$503:$B$521),)</f>
        <v>0</v>
      </c>
      <c r="H513" s="107">
        <f>IF(C513&gt;0,RANK(C513,$C$503:$C$521),)</f>
        <v>0</v>
      </c>
      <c r="I513" s="107">
        <f>IF(D513&gt;0,RANK(D513,$D$503:$D$521),)</f>
        <v>0</v>
      </c>
      <c r="J513" s="107">
        <f>IF(E513&gt;0,RANK(E513,$E$503:$E$521),)</f>
        <v>0</v>
      </c>
      <c r="K513" s="107">
        <f>IF(F513&gt;0,RANK(F513,$F$503:$F$521),)</f>
        <v>0</v>
      </c>
      <c r="L513" s="169"/>
      <c r="M513" s="299">
        <f>+'[1]NEW-Tables 80-86'!AN205</f>
        <v>0</v>
      </c>
      <c r="N513" s="73"/>
      <c r="O513" s="73"/>
      <c r="P513" s="73"/>
      <c r="Q513" s="73"/>
    </row>
    <row r="514" spans="1:17" s="61" customFormat="1" ht="12.75" customHeight="1">
      <c r="A514" s="73" t="s">
        <v>456</v>
      </c>
      <c r="B514" s="75">
        <f>IF($M514&gt;0,('Amounts Pivot Table'!Q$358/$M514),0)</f>
        <v>0</v>
      </c>
      <c r="C514" s="75">
        <f>IF($M514&gt;0,('Amounts Pivot Table'!Q$361/$M514),0)</f>
        <v>0</v>
      </c>
      <c r="D514" s="75">
        <f>IF($M514&gt;0,('Amounts Pivot Table'!Q$364/$M514),0)</f>
        <v>0</v>
      </c>
      <c r="E514" s="75">
        <f>IF($M514&gt;0,('Amounts Pivot Table'!Q$367/$M514),0)</f>
        <v>0</v>
      </c>
      <c r="F514" s="75">
        <f t="shared" si="78"/>
        <v>0</v>
      </c>
      <c r="G514" s="116">
        <f>IF(B514&gt;0,RANK(B514,$B$503:$B$521),)</f>
        <v>0</v>
      </c>
      <c r="H514" s="107">
        <f>IF(C514&gt;0,RANK(C514,$C$503:$C$521),)</f>
        <v>0</v>
      </c>
      <c r="I514" s="107">
        <f>IF(D514&gt;0,RANK(D514,$D$503:$D$521),)</f>
        <v>0</v>
      </c>
      <c r="J514" s="107">
        <f>IF(E514&gt;0,RANK(E514,$E$503:$E$521),)</f>
        <v>0</v>
      </c>
      <c r="K514" s="107">
        <f>IF(F514&gt;0,RANK(F514,$F$503:$F$521),)</f>
        <v>0</v>
      </c>
      <c r="L514" s="169"/>
      <c r="M514" s="299">
        <f>+'[1]NEW-Tables 80-86'!AN206</f>
        <v>0</v>
      </c>
      <c r="N514" s="73"/>
      <c r="O514" s="73"/>
      <c r="P514" s="73"/>
      <c r="Q514" s="73"/>
    </row>
    <row r="515" spans="1:17" s="61" customFormat="1" ht="12.75" customHeight="1">
      <c r="A515" s="73" t="s">
        <v>463</v>
      </c>
      <c r="B515" s="75">
        <f>IF($M515&gt;0,('Amounts Pivot Table'!Q$397/$M515),0)</f>
        <v>3834.132337715575</v>
      </c>
      <c r="C515" s="75">
        <f>IF($M515&gt;0,('Amounts Pivot Table'!Q$400/$M515),0)</f>
        <v>0</v>
      </c>
      <c r="D515" s="75">
        <f>IF($M515&gt;0,('Amounts Pivot Table'!Q$403/$M515),0)</f>
        <v>0</v>
      </c>
      <c r="E515" s="75">
        <f>IF($M515&gt;0,('Amounts Pivot Table'!Q$406/$M515),0)</f>
        <v>875.01432981376058</v>
      </c>
      <c r="F515" s="75">
        <f t="shared" si="78"/>
        <v>4709.1466675293359</v>
      </c>
      <c r="G515" s="116">
        <f>IF(B515&gt;0,RANK(B515,$B$503:$B$521),)</f>
        <v>4</v>
      </c>
      <c r="H515" s="107">
        <f>IF(C515&gt;0,RANK(C515,$C$503:$C$521),)</f>
        <v>0</v>
      </c>
      <c r="I515" s="107">
        <f>IF(D515&gt;0,RANK(D515,$D$503:$D$521),)</f>
        <v>0</v>
      </c>
      <c r="J515" s="107">
        <f>IF(E515&gt;0,RANK(E515,$E$503:$E$521),)</f>
        <v>5</v>
      </c>
      <c r="K515" s="107">
        <f>IF(F515&gt;0,RANK(F515,$F$503:$F$521),)</f>
        <v>5</v>
      </c>
      <c r="L515" s="169"/>
      <c r="M515" s="299">
        <f>+'[1]NEW-Tables 80-86'!AN207</f>
        <v>21812.720488888895</v>
      </c>
      <c r="N515" s="73"/>
      <c r="O515" s="73"/>
      <c r="P515" s="73"/>
      <c r="Q515" s="73"/>
    </row>
    <row r="516" spans="1:17" s="61" customFormat="1" ht="12.75" customHeight="1">
      <c r="A516" s="73" t="s">
        <v>457</v>
      </c>
      <c r="B516" s="75">
        <f>IF($M516&gt;0,('Amounts Pivot Table'!Q$436/$M516),0)</f>
        <v>0</v>
      </c>
      <c r="C516" s="75">
        <f>IF($M516&gt;0,('Amounts Pivot Table'!Q$439/$M516),0)</f>
        <v>0</v>
      </c>
      <c r="D516" s="75">
        <f>IF($M516&gt;0,('Amounts Pivot Table'!Q$442/$M516),0)</f>
        <v>0</v>
      </c>
      <c r="E516" s="75">
        <f>IF($M516&gt;0,('Amounts Pivot Table'!Q$445/$M516),0)</f>
        <v>0</v>
      </c>
      <c r="F516" s="75">
        <f t="shared" si="78"/>
        <v>0</v>
      </c>
      <c r="G516" s="116">
        <f>IF(B516&gt;0,RANK(B516,$B$503:$B$521),)</f>
        <v>0</v>
      </c>
      <c r="H516" s="107">
        <f>IF(C516&gt;0,RANK(C516,$C$503:$C$521),)</f>
        <v>0</v>
      </c>
      <c r="I516" s="107">
        <f>IF(D516&gt;0,RANK(D516,$D$503:$D$521),)</f>
        <v>0</v>
      </c>
      <c r="J516" s="107">
        <f>IF(E516&gt;0,RANK(E516,$E$503:$E$521),)</f>
        <v>0</v>
      </c>
      <c r="K516" s="107">
        <f>IF(F516&gt;0,RANK(F516,$F$503:$F$521),)</f>
        <v>0</v>
      </c>
      <c r="L516" s="169"/>
      <c r="M516" s="299">
        <f>+'[1]NEW-Tables 80-86'!AN208</f>
        <v>0</v>
      </c>
      <c r="N516" s="73"/>
      <c r="O516" s="73"/>
      <c r="P516" s="73"/>
      <c r="Q516" s="73"/>
    </row>
    <row r="517" spans="1:17" s="112" customFormat="1">
      <c r="A517" s="110"/>
      <c r="B517" s="111"/>
      <c r="C517" s="111"/>
      <c r="D517" s="111"/>
      <c r="E517" s="111"/>
      <c r="F517" s="111">
        <f t="shared" si="78"/>
        <v>0</v>
      </c>
      <c r="G517" s="119"/>
      <c r="H517" s="120"/>
      <c r="I517" s="120"/>
      <c r="J517" s="120"/>
      <c r="K517" s="120"/>
      <c r="L517" s="176"/>
      <c r="M517" s="299">
        <f>+'[1]NEW-Tables 80-86'!AN209</f>
        <v>0</v>
      </c>
      <c r="N517" s="110"/>
      <c r="O517" s="110"/>
      <c r="P517" s="110"/>
      <c r="Q517" s="110"/>
    </row>
    <row r="518" spans="1:17" s="61" customFormat="1" ht="12.75" customHeight="1">
      <c r="A518" s="73" t="s">
        <v>130</v>
      </c>
      <c r="B518" s="75">
        <f>IF($M518&gt;0,('Amounts Pivot Table'!Q$475/$M518),0)</f>
        <v>4101.1516861055152</v>
      </c>
      <c r="C518" s="75">
        <f>IF($M518&gt;0,('Amounts Pivot Table'!Q$478/$M518),0)</f>
        <v>0</v>
      </c>
      <c r="D518" s="75">
        <f>IF($M518&gt;0,('Amounts Pivot Table'!Q$481/$M518),0)</f>
        <v>0</v>
      </c>
      <c r="E518" s="75">
        <f>IF($M518&gt;0,('Amounts Pivot Table'!Q$484/$M518),0)</f>
        <v>1891.3282905834353</v>
      </c>
      <c r="F518" s="75">
        <f t="shared" si="78"/>
        <v>5992.47997668895</v>
      </c>
      <c r="G518" s="116">
        <f>IF(B518&gt;0,RANK(B518,$B$503:$B$521),)</f>
        <v>3</v>
      </c>
      <c r="H518" s="107">
        <f>IF(C518&gt;0,RANK(C518,$C$503:$C$521),)</f>
        <v>0</v>
      </c>
      <c r="I518" s="107">
        <f>IF(D518&gt;0,RANK(D518,$D$503:$D$521),)</f>
        <v>0</v>
      </c>
      <c r="J518" s="107">
        <f>IF(E518&gt;0,RANK(E518,$E$503:$E$521),)</f>
        <v>4</v>
      </c>
      <c r="K518" s="107">
        <f>IF(F518&gt;0,RANK(F518,$F$503:$F$521),)</f>
        <v>3</v>
      </c>
      <c r="L518" s="169"/>
      <c r="M518" s="299">
        <f>+'[1]NEW-Tables 80-86'!AN210</f>
        <v>13277.441111111108</v>
      </c>
      <c r="N518" s="73"/>
      <c r="O518" s="73"/>
      <c r="P518" s="73"/>
      <c r="Q518" s="73"/>
    </row>
    <row r="519" spans="1:17" s="61" customFormat="1" ht="12.75" customHeight="1">
      <c r="A519" s="73" t="s">
        <v>458</v>
      </c>
      <c r="B519" s="75">
        <f>IF($M519&gt;0,('Amounts Pivot Table'!Q$514/$M519),0)</f>
        <v>0</v>
      </c>
      <c r="C519" s="75">
        <f>IF($M519&gt;0,('Amounts Pivot Table'!Q$517/$M519),0)</f>
        <v>0</v>
      </c>
      <c r="D519" s="75">
        <f>IF($M519&gt;0,('Amounts Pivot Table'!Q$520/$M519),0)</f>
        <v>0</v>
      </c>
      <c r="E519" s="75">
        <f>IF($M519&gt;0,('Amounts Pivot Table'!Q$523/$M519),0)</f>
        <v>0</v>
      </c>
      <c r="F519" s="75">
        <f t="shared" si="78"/>
        <v>0</v>
      </c>
      <c r="G519" s="116">
        <f>IF(B519&gt;0,RANK(B519,$B$503:$B$521),)</f>
        <v>0</v>
      </c>
      <c r="H519" s="107">
        <f>IF(C519&gt;0,RANK(C519,$C$503:$C$521),)</f>
        <v>0</v>
      </c>
      <c r="I519" s="107">
        <f>IF(D519&gt;0,RANK(D519,$D$503:$D$521),)</f>
        <v>0</v>
      </c>
      <c r="J519" s="107">
        <f>IF(E519&gt;0,RANK(E519,$E$503:$E$521),)</f>
        <v>0</v>
      </c>
      <c r="K519" s="107">
        <f>IF(F519&gt;0,RANK(F519,$F$503:$F$521),)</f>
        <v>0</v>
      </c>
      <c r="L519" s="169"/>
      <c r="M519" s="299">
        <f>+'[1]NEW-Tables 80-86'!AN211</f>
        <v>0</v>
      </c>
      <c r="N519" s="73"/>
      <c r="O519" s="73"/>
      <c r="P519" s="73"/>
      <c r="Q519" s="73"/>
    </row>
    <row r="520" spans="1:17" s="61" customFormat="1" ht="12.75" customHeight="1">
      <c r="A520" s="73" t="s">
        <v>459</v>
      </c>
      <c r="B520" s="75">
        <f>IF($M520&gt;0,('Amounts Pivot Table'!Q$553/$M520),0)</f>
        <v>0</v>
      </c>
      <c r="C520" s="75">
        <f>IF($M520&gt;0,('Amounts Pivot Table'!Q$556/$M520),0)</f>
        <v>0</v>
      </c>
      <c r="D520" s="75">
        <f>IF($M520&gt;0,('Amounts Pivot Table'!Q$559/$M520),0)</f>
        <v>0</v>
      </c>
      <c r="E520" s="75">
        <f>IF($M520&gt;0,('Amounts Pivot Table'!Q$562/$M520),0)</f>
        <v>0</v>
      </c>
      <c r="F520" s="75">
        <f t="shared" si="78"/>
        <v>0</v>
      </c>
      <c r="G520" s="116">
        <f>IF(B520&gt;0,RANK(B520,$B$503:$B$521),)</f>
        <v>0</v>
      </c>
      <c r="H520" s="107">
        <f>IF(C520&gt;0,RANK(C520,$C$503:$C$521),)</f>
        <v>0</v>
      </c>
      <c r="I520" s="107">
        <f>IF(D520&gt;0,RANK(D520,$D$503:$D$521),)</f>
        <v>0</v>
      </c>
      <c r="J520" s="107">
        <f>IF(E520&gt;0,RANK(E520,$E$503:$E$521),)</f>
        <v>0</v>
      </c>
      <c r="K520" s="107">
        <f>IF(F520&gt;0,RANK(F520,$F$503:$F$521),)</f>
        <v>0</v>
      </c>
      <c r="L520" s="169"/>
      <c r="M520" s="299">
        <f>+'[1]NEW-Tables 80-86'!AN212</f>
        <v>0</v>
      </c>
      <c r="N520" s="73"/>
      <c r="O520" s="73"/>
      <c r="P520" s="73"/>
      <c r="Q520" s="73"/>
    </row>
    <row r="521" spans="1:17" s="61" customFormat="1" ht="12.75" customHeight="1">
      <c r="A521" s="74" t="s">
        <v>464</v>
      </c>
      <c r="B521" s="104">
        <f>IF($M521&gt;0,('Amounts Pivot Table'!Q$592/$M521),0)</f>
        <v>0</v>
      </c>
      <c r="C521" s="104">
        <f>IF($M521&gt;0,('Amounts Pivot Table'!Q$595/$M521),0)</f>
        <v>0</v>
      </c>
      <c r="D521" s="104">
        <f>IF($M521&gt;0,('Amounts Pivot Table'!Q$598/$M521),0)</f>
        <v>0</v>
      </c>
      <c r="E521" s="104">
        <f>IF($M521&gt;0,('Amounts Pivot Table'!Q$601/$M521),0)</f>
        <v>0</v>
      </c>
      <c r="F521" s="104">
        <f t="shared" si="78"/>
        <v>0</v>
      </c>
      <c r="G521" s="117">
        <f>IF(B521&gt;0,RANK(B521,$B$503:$B$521),)</f>
        <v>0</v>
      </c>
      <c r="H521" s="118">
        <f>IF(C521&gt;0,RANK(C521,$C$503:$C$521),)</f>
        <v>0</v>
      </c>
      <c r="I521" s="118">
        <f>IF(D521&gt;0,RANK(D521,$D$503:$D$521),)</f>
        <v>0</v>
      </c>
      <c r="J521" s="118">
        <f>IF(E521&gt;0,RANK(E521,$E$503:$E$521),)</f>
        <v>0</v>
      </c>
      <c r="K521" s="118">
        <f>IF(F521&gt;0,RANK(F521,$F$503:$F$521),)</f>
        <v>0</v>
      </c>
      <c r="L521" s="169"/>
      <c r="M521" s="299">
        <f>+'[1]NEW-Tables 80-86'!AN213</f>
        <v>0</v>
      </c>
      <c r="N521" s="73"/>
      <c r="O521" s="73"/>
      <c r="P521" s="73"/>
      <c r="Q521" s="73"/>
    </row>
    <row r="522" spans="1:17" s="76" customFormat="1" ht="34.5" customHeight="1">
      <c r="A522" s="1405" t="s">
        <v>25</v>
      </c>
      <c r="B522" s="1450"/>
      <c r="C522" s="1450"/>
      <c r="D522" s="1450"/>
      <c r="E522" s="1450"/>
      <c r="F522" s="1450"/>
      <c r="G522" s="1450"/>
      <c r="H522" s="1450"/>
      <c r="I522" s="1450"/>
      <c r="J522" s="1450"/>
      <c r="K522" s="1450"/>
      <c r="L522" s="170"/>
      <c r="M522" s="299"/>
      <c r="N522" s="90"/>
      <c r="O522" s="90"/>
      <c r="P522" s="90"/>
      <c r="Q522" s="90"/>
    </row>
    <row r="523" spans="1:17" s="207" customFormat="1" ht="13.5" customHeight="1">
      <c r="A523" s="1405" t="s">
        <v>80</v>
      </c>
      <c r="B523" s="1450"/>
      <c r="C523" s="1450"/>
      <c r="D523" s="1450"/>
      <c r="E523" s="1450"/>
      <c r="F523" s="1450"/>
      <c r="G523" s="1450"/>
      <c r="H523" s="1450"/>
      <c r="I523" s="1450"/>
      <c r="J523" s="1450"/>
      <c r="K523" s="1450"/>
      <c r="L523" s="206"/>
      <c r="M523" s="305"/>
      <c r="N523" s="208"/>
      <c r="O523" s="208"/>
      <c r="P523" s="208"/>
      <c r="Q523" s="208"/>
    </row>
    <row r="524" spans="1:17" s="61" customFormat="1" ht="13.5" customHeight="1">
      <c r="A524" s="1405" t="s">
        <v>332</v>
      </c>
      <c r="B524" s="1443"/>
      <c r="C524" s="1443"/>
      <c r="D524" s="1443"/>
      <c r="E524" s="1443"/>
      <c r="F524" s="1443"/>
      <c r="G524" s="1444"/>
      <c r="H524" s="1444"/>
      <c r="I524" s="1444"/>
      <c r="J524" s="1444"/>
      <c r="K524" s="1444"/>
      <c r="L524" s="172"/>
      <c r="M524" s="303"/>
      <c r="N524" s="73"/>
      <c r="O524" s="73"/>
      <c r="P524" s="73"/>
      <c r="Q524" s="73"/>
    </row>
    <row r="525" spans="1:17" s="61" customFormat="1">
      <c r="A525" s="188"/>
      <c r="B525" s="106"/>
      <c r="C525" s="106"/>
      <c r="D525" s="106"/>
      <c r="E525" s="106"/>
      <c r="F525" s="106"/>
      <c r="G525" s="189"/>
      <c r="H525" s="189"/>
      <c r="I525" s="189"/>
      <c r="J525" s="189"/>
      <c r="K525" s="591" t="s">
        <v>2018</v>
      </c>
      <c r="L525" s="172"/>
      <c r="M525" s="306"/>
      <c r="N525" s="73"/>
      <c r="O525" s="73"/>
      <c r="P525" s="73"/>
      <c r="Q525" s="73"/>
    </row>
    <row r="526" spans="1:17" s="61" customFormat="1" ht="18.75" customHeight="1">
      <c r="A526" s="135" t="s">
        <v>545</v>
      </c>
      <c r="B526" s="135"/>
      <c r="C526" s="135"/>
      <c r="D526" s="135"/>
      <c r="E526" s="135"/>
      <c r="F526" s="135"/>
      <c r="G526" s="135"/>
      <c r="H526" s="135"/>
      <c r="I526" s="135"/>
      <c r="J526" s="622"/>
      <c r="K526" s="135"/>
      <c r="L526" s="171"/>
      <c r="M526" s="299"/>
      <c r="N526" s="73"/>
      <c r="O526" s="73"/>
      <c r="P526" s="73"/>
      <c r="Q526" s="73"/>
    </row>
    <row r="527" spans="1:17" s="61" customFormat="1" ht="16.5" customHeight="1">
      <c r="A527" s="135"/>
      <c r="B527" s="135"/>
      <c r="C527" s="135"/>
      <c r="D527" s="135"/>
      <c r="E527" s="135"/>
      <c r="F527" s="135"/>
      <c r="G527" s="135"/>
      <c r="H527" s="135"/>
      <c r="I527" s="135"/>
      <c r="J527" s="622"/>
      <c r="K527" s="135"/>
      <c r="L527" s="171"/>
      <c r="M527" s="299"/>
      <c r="N527" s="73"/>
      <c r="O527" s="73"/>
      <c r="P527" s="73"/>
      <c r="Q527" s="73"/>
    </row>
    <row r="528" spans="1:17" s="61" customFormat="1" ht="18.75">
      <c r="A528" s="1429" t="s">
        <v>26</v>
      </c>
      <c r="B528" s="1429"/>
      <c r="C528" s="1429"/>
      <c r="D528" s="1429"/>
      <c r="E528" s="1429"/>
      <c r="F528" s="1429"/>
      <c r="G528" s="1429"/>
      <c r="H528" s="1429"/>
      <c r="I528" s="1429"/>
      <c r="J528" s="1429"/>
      <c r="K528" s="1429"/>
      <c r="L528" s="166"/>
      <c r="M528" s="299"/>
      <c r="N528" s="73"/>
      <c r="O528" s="73"/>
      <c r="P528" s="73"/>
      <c r="Q528" s="73"/>
    </row>
    <row r="529" spans="1:17" s="61" customFormat="1" ht="15.75" customHeight="1">
      <c r="A529" s="1429" t="s">
        <v>1995</v>
      </c>
      <c r="B529" s="1429"/>
      <c r="C529" s="1429"/>
      <c r="D529" s="1429"/>
      <c r="E529" s="1429"/>
      <c r="F529" s="1429"/>
      <c r="G529" s="1429"/>
      <c r="H529" s="1429"/>
      <c r="I529" s="1429"/>
      <c r="J529" s="1429"/>
      <c r="K529" s="1429"/>
      <c r="L529" s="166"/>
      <c r="M529" s="302"/>
      <c r="N529" s="73"/>
      <c r="O529" s="73"/>
      <c r="P529" s="73"/>
      <c r="Q529" s="73"/>
    </row>
    <row r="530" spans="1:17" s="61" customFormat="1" ht="15.75" customHeight="1">
      <c r="A530" s="91"/>
      <c r="B530" s="91"/>
      <c r="C530" s="91"/>
      <c r="D530" s="91"/>
      <c r="E530" s="91"/>
      <c r="F530" s="91"/>
      <c r="G530" s="108"/>
      <c r="H530" s="91"/>
      <c r="I530" s="91"/>
      <c r="J530" s="91"/>
      <c r="K530" s="91"/>
      <c r="L530" s="166"/>
      <c r="M530" s="299"/>
      <c r="N530" s="73"/>
      <c r="O530" s="73"/>
      <c r="P530" s="73"/>
      <c r="Q530" s="73"/>
    </row>
    <row r="531" spans="1:17" s="59" customFormat="1" ht="15.75" customHeight="1">
      <c r="A531" s="56"/>
      <c r="B531" s="1451" t="s">
        <v>81</v>
      </c>
      <c r="C531" s="1452"/>
      <c r="D531" s="1452"/>
      <c r="E531" s="1452"/>
      <c r="F531" s="1452"/>
      <c r="G531" s="1453" t="s">
        <v>178</v>
      </c>
      <c r="H531" s="1454"/>
      <c r="I531" s="1454"/>
      <c r="J531" s="1454"/>
      <c r="K531" s="1454"/>
      <c r="L531" s="174"/>
      <c r="M531" s="299"/>
      <c r="N531" s="89"/>
      <c r="O531" s="89"/>
      <c r="P531" s="89"/>
      <c r="Q531" s="89"/>
    </row>
    <row r="532" spans="1:17" s="6" customFormat="1" ht="47.25" customHeight="1">
      <c r="A532" s="50"/>
      <c r="B532" s="606" t="s">
        <v>126</v>
      </c>
      <c r="C532" s="607" t="s">
        <v>128</v>
      </c>
      <c r="D532" s="607" t="s">
        <v>127</v>
      </c>
      <c r="E532" s="607" t="s">
        <v>570</v>
      </c>
      <c r="F532" s="607" t="s">
        <v>138</v>
      </c>
      <c r="G532" s="608" t="s">
        <v>126</v>
      </c>
      <c r="H532" s="607" t="s">
        <v>128</v>
      </c>
      <c r="I532" s="607" t="s">
        <v>127</v>
      </c>
      <c r="J532" s="607" t="s">
        <v>570</v>
      </c>
      <c r="K532" s="607" t="s">
        <v>138</v>
      </c>
      <c r="L532" s="168"/>
      <c r="M532" s="301" t="s">
        <v>388</v>
      </c>
      <c r="N532" s="7"/>
      <c r="O532" s="7"/>
      <c r="P532" s="7"/>
      <c r="Q532" s="7"/>
    </row>
    <row r="533" spans="1:17" s="61" customFormat="1" ht="14.25">
      <c r="A533" s="73" t="s">
        <v>82</v>
      </c>
      <c r="B533" s="102">
        <f>IF($M533&gt;0,('Amounts Pivot Table'!R$631/$M533),0)</f>
        <v>0</v>
      </c>
      <c r="C533" s="102">
        <f>IF($M533&gt;0,('Amounts Pivot Table'!R$634/$M533),0)</f>
        <v>0</v>
      </c>
      <c r="D533" s="102">
        <f>IF($M533&gt;0,('Amounts Pivot Table'!R$637/$M533),0)</f>
        <v>0</v>
      </c>
      <c r="E533" s="102">
        <f>IF($M533&gt;0,('Amounts Pivot Table'!R$640/$M533),0)</f>
        <v>0</v>
      </c>
      <c r="F533" s="102">
        <f>SUM(B533:E533)</f>
        <v>0</v>
      </c>
      <c r="G533" s="114"/>
      <c r="H533" s="115"/>
      <c r="I533" s="115"/>
      <c r="J533" s="115"/>
      <c r="K533" s="115"/>
      <c r="L533" s="169"/>
      <c r="M533" s="299">
        <f>+'[1]NEW-Tables 80-86'!AO193</f>
        <v>0</v>
      </c>
      <c r="N533" s="73"/>
      <c r="O533" s="73"/>
      <c r="P533" s="73"/>
      <c r="Q533" s="73"/>
    </row>
    <row r="534" spans="1:17" s="112" customFormat="1">
      <c r="A534" s="110"/>
      <c r="B534" s="111"/>
      <c r="C534" s="111"/>
      <c r="D534" s="111"/>
      <c r="E534" s="111"/>
      <c r="F534" s="111">
        <f>SUM(B534:E534)</f>
        <v>0</v>
      </c>
      <c r="G534" s="119"/>
      <c r="H534" s="120"/>
      <c r="I534" s="120"/>
      <c r="J534" s="120"/>
      <c r="K534" s="120"/>
      <c r="L534" s="176"/>
      <c r="M534" s="299">
        <f>+'[1]NEW-Tables 80-86'!AO194</f>
        <v>0</v>
      </c>
      <c r="N534" s="110"/>
      <c r="O534" s="110"/>
      <c r="P534" s="110"/>
      <c r="Q534" s="110"/>
    </row>
    <row r="535" spans="1:17" s="61" customFormat="1" ht="12.75" customHeight="1">
      <c r="A535" s="73" t="s">
        <v>452</v>
      </c>
      <c r="B535" s="75">
        <f>IF($M535&gt;0,('Amounts Pivot Table'!R$7/$M535),0)</f>
        <v>0</v>
      </c>
      <c r="C535" s="75">
        <f>IF($M535&gt;0,('Amounts Pivot Table'!R$10/$M535),0)</f>
        <v>0</v>
      </c>
      <c r="D535" s="75">
        <f>IF($M535&gt;0,('Amounts Pivot Table'!R$13/$M535),0)</f>
        <v>0</v>
      </c>
      <c r="E535" s="75">
        <f>IF($M535&gt;0,('Amounts Pivot Table'!R$16/$M535),0)</f>
        <v>0</v>
      </c>
      <c r="F535" s="75">
        <f t="shared" ref="F535:F553" si="79">SUM(B535:E535)</f>
        <v>0</v>
      </c>
      <c r="G535" s="116">
        <f>IF(B535&gt;0,RANK(B535,$B$535:$B$553),)</f>
        <v>0</v>
      </c>
      <c r="H535" s="107">
        <f>IF(C535&gt;0,RANK(C535,$C$535:$C$553),)</f>
        <v>0</v>
      </c>
      <c r="I535" s="107">
        <f>IF(D535&gt;0,RANK(D535,$D$535:$D$553),)</f>
        <v>0</v>
      </c>
      <c r="J535" s="107">
        <f>IF(E535&gt;0,RANK(E535,$E$535:$E$553),)</f>
        <v>0</v>
      </c>
      <c r="K535" s="107">
        <f>IF(F535&gt;0,RANK(F535,$F$535:$F$553),)</f>
        <v>0</v>
      </c>
      <c r="L535" s="169"/>
      <c r="M535" s="299">
        <f>+'[1]NEW-Tables 80-86'!AO195</f>
        <v>0</v>
      </c>
      <c r="N535" s="73"/>
      <c r="O535" s="73"/>
      <c r="P535" s="73"/>
      <c r="Q535" s="73"/>
    </row>
    <row r="536" spans="1:17" s="61" customFormat="1" ht="12.75" customHeight="1">
      <c r="A536" s="73" t="s">
        <v>466</v>
      </c>
      <c r="B536" s="75">
        <f>IF($M536&gt;0,('Amounts Pivot Table'!R$46/$M536),0)</f>
        <v>0</v>
      </c>
      <c r="C536" s="75">
        <f>IF($M536&gt;0,('Amounts Pivot Table'!R$49/$M536),0)</f>
        <v>0</v>
      </c>
      <c r="D536" s="75">
        <f>IF($M536&gt;0,('Amounts Pivot Table'!R$52/$M536),0)</f>
        <v>0</v>
      </c>
      <c r="E536" s="75">
        <f>IF($M536&gt;0,('Amounts Pivot Table'!R$55/$M536),0)</f>
        <v>0</v>
      </c>
      <c r="F536" s="75">
        <f t="shared" si="79"/>
        <v>0</v>
      </c>
      <c r="G536" s="116">
        <f>IF(B536&gt;0,RANK(B536,$B$535:$B$553),)</f>
        <v>0</v>
      </c>
      <c r="H536" s="107">
        <f>IF(C536&gt;0,RANK(C536,$C$535:$C$553),)</f>
        <v>0</v>
      </c>
      <c r="I536" s="107">
        <f>IF(D536&gt;0,RANK(D536,$D$535:$D$553),)</f>
        <v>0</v>
      </c>
      <c r="J536" s="107">
        <f>IF(E536&gt;0,RANK(E536,$E$535:$E$553),)</f>
        <v>0</v>
      </c>
      <c r="K536" s="107">
        <f>IF(F536&gt;0,RANK(F536,$F$535:$F$553),)</f>
        <v>0</v>
      </c>
      <c r="L536" s="169"/>
      <c r="M536" s="299">
        <f>+'[1]NEW-Tables 80-86'!AO196</f>
        <v>0</v>
      </c>
      <c r="N536" s="73"/>
      <c r="O536" s="73"/>
      <c r="P536" s="73"/>
      <c r="Q536" s="73"/>
    </row>
    <row r="537" spans="1:17" s="61" customFormat="1" ht="12.75" customHeight="1">
      <c r="A537" s="73" t="s">
        <v>453</v>
      </c>
      <c r="B537" s="75">
        <f>IF($M537&gt;0,('Amounts Pivot Table'!R$85/$M537),0)</f>
        <v>0</v>
      </c>
      <c r="C537" s="75">
        <f>IF($M537&gt;0,('Amounts Pivot Table'!R$88/$M537),0)</f>
        <v>0</v>
      </c>
      <c r="D537" s="75">
        <f>IF($M537&gt;0,('Amounts Pivot Table'!R$91/$M537),0)</f>
        <v>0</v>
      </c>
      <c r="E537" s="75">
        <f>IF($M537&gt;0,('Amounts Pivot Table'!R$94/$M537),0)</f>
        <v>0</v>
      </c>
      <c r="F537" s="75">
        <f t="shared" si="79"/>
        <v>0</v>
      </c>
      <c r="G537" s="116">
        <f>IF(B537&gt;0,RANK(B537,$B$535:$B$553),)</f>
        <v>0</v>
      </c>
      <c r="H537" s="107">
        <f>IF(C537&gt;0,RANK(C537,$C$535:$C$553),)</f>
        <v>0</v>
      </c>
      <c r="I537" s="107">
        <f>IF(D537&gt;0,RANK(D537,$D$535:$D$553),)</f>
        <v>0</v>
      </c>
      <c r="J537" s="107">
        <f>IF(E537&gt;0,RANK(E537,$E$535:$E$553),)</f>
        <v>0</v>
      </c>
      <c r="K537" s="107">
        <f>IF(F537&gt;0,RANK(F537,$F$535:$F$553),)</f>
        <v>0</v>
      </c>
      <c r="L537" s="169"/>
      <c r="M537" s="299">
        <f>+'[1]NEW-Tables 80-86'!AO197</f>
        <v>0</v>
      </c>
      <c r="N537" s="73"/>
      <c r="O537" s="73"/>
      <c r="P537" s="73"/>
      <c r="Q537" s="73"/>
    </row>
    <row r="538" spans="1:17" s="61" customFormat="1" ht="12.75" customHeight="1">
      <c r="A538" s="73" t="s">
        <v>460</v>
      </c>
      <c r="B538" s="75">
        <f>IF($M538&gt;0,('Amounts Pivot Table'!R$124/$M538),0)</f>
        <v>0</v>
      </c>
      <c r="C538" s="75">
        <f>IF($M538&gt;0,('Amounts Pivot Table'!R$127/$M538),0)</f>
        <v>0</v>
      </c>
      <c r="D538" s="75">
        <f>IF($M538&gt;0,('Amounts Pivot Table'!R$130/$M538),0)</f>
        <v>0</v>
      </c>
      <c r="E538" s="75">
        <f>IF($M538&gt;0,('Amounts Pivot Table'!R$133/$M538),0)</f>
        <v>0</v>
      </c>
      <c r="F538" s="75">
        <f t="shared" si="79"/>
        <v>0</v>
      </c>
      <c r="G538" s="116">
        <f>IF(B538&gt;0,RANK(B538,$B$535:$B$553),)</f>
        <v>0</v>
      </c>
      <c r="H538" s="107">
        <f>IF(C538&gt;0,RANK(C538,$C$535:$C$553),)</f>
        <v>0</v>
      </c>
      <c r="I538" s="107">
        <f>IF(D538&gt;0,RANK(D538,$D$535:$D$553),)</f>
        <v>0</v>
      </c>
      <c r="J538" s="107">
        <f>IF(E538&gt;0,RANK(E538,$E$535:$E$553),)</f>
        <v>0</v>
      </c>
      <c r="K538" s="107">
        <f>IF(F538&gt;0,RANK(F538,$F$535:$F$553),)</f>
        <v>0</v>
      </c>
      <c r="L538" s="169"/>
      <c r="M538" s="299">
        <f>+'[1]NEW-Tables 80-86'!AO198</f>
        <v>0</v>
      </c>
      <c r="N538" s="73"/>
      <c r="O538" s="73"/>
      <c r="P538" s="73"/>
      <c r="Q538" s="73"/>
    </row>
    <row r="539" spans="1:17" s="112" customFormat="1">
      <c r="A539" s="110"/>
      <c r="B539" s="111"/>
      <c r="C539" s="111"/>
      <c r="D539" s="111"/>
      <c r="E539" s="111"/>
      <c r="F539" s="111">
        <f t="shared" si="79"/>
        <v>0</v>
      </c>
      <c r="G539" s="119"/>
      <c r="H539" s="120"/>
      <c r="I539" s="120"/>
      <c r="J539" s="120"/>
      <c r="K539" s="120"/>
      <c r="L539" s="176"/>
      <c r="M539" s="299">
        <f>+'[1]NEW-Tables 80-86'!AO199</f>
        <v>0</v>
      </c>
      <c r="N539" s="110"/>
      <c r="O539" s="110"/>
      <c r="P539" s="110"/>
      <c r="Q539" s="110"/>
    </row>
    <row r="540" spans="1:17" s="61" customFormat="1" ht="12.75" customHeight="1">
      <c r="A540" s="73" t="s">
        <v>461</v>
      </c>
      <c r="B540" s="75">
        <f>IF($M540&gt;0,('Amounts Pivot Table'!R$163/$M540),0)</f>
        <v>0</v>
      </c>
      <c r="C540" s="75">
        <f>IF($M540&gt;0,('Amounts Pivot Table'!R$166/$M540),0)</f>
        <v>0</v>
      </c>
      <c r="D540" s="75">
        <f>IF($M540&gt;0,('Amounts Pivot Table'!R$169/$M540),0)</f>
        <v>0</v>
      </c>
      <c r="E540" s="75">
        <f>IF($M540&gt;0,('Amounts Pivot Table'!R$172/$M540),0)</f>
        <v>0</v>
      </c>
      <c r="F540" s="75">
        <f t="shared" si="79"/>
        <v>0</v>
      </c>
      <c r="G540" s="116">
        <f>IF(B540&gt;0,RANK(B540,$B$535:$B$553),)</f>
        <v>0</v>
      </c>
      <c r="H540" s="107">
        <f>IF(C540&gt;0,RANK(C540,$C$535:$C$553),)</f>
        <v>0</v>
      </c>
      <c r="I540" s="107">
        <f>IF(D540&gt;0,RANK(D540,$D$535:$D$553),)</f>
        <v>0</v>
      </c>
      <c r="J540" s="107">
        <f>IF(E540&gt;0,RANK(E540,$E$535:$E$553),)</f>
        <v>0</v>
      </c>
      <c r="K540" s="107">
        <f>IF(F540&gt;0,RANK(F540,$F$535:$F$553),)</f>
        <v>0</v>
      </c>
      <c r="L540" s="169"/>
      <c r="M540" s="299">
        <f>+'[1]NEW-Tables 80-86'!AO200</f>
        <v>0</v>
      </c>
      <c r="N540" s="73"/>
      <c r="O540" s="73"/>
      <c r="P540" s="73"/>
      <c r="Q540" s="73"/>
    </row>
    <row r="541" spans="1:17" s="61" customFormat="1" ht="12.75" customHeight="1">
      <c r="A541" s="73" t="s">
        <v>454</v>
      </c>
      <c r="B541" s="75">
        <f>IF($M541&gt;0,('Amounts Pivot Table'!R$202/$M541),0)</f>
        <v>0</v>
      </c>
      <c r="C541" s="75">
        <f>IF($M541&gt;0,('Amounts Pivot Table'!R$205/$M541),0)</f>
        <v>0</v>
      </c>
      <c r="D541" s="75">
        <f>IF($M541&gt;0,('Amounts Pivot Table'!R$208/$M541),0)</f>
        <v>0</v>
      </c>
      <c r="E541" s="75">
        <f>IF($M541&gt;0,('Amounts Pivot Table'!R$211/$M541),0)</f>
        <v>0</v>
      </c>
      <c r="F541" s="75">
        <f t="shared" si="79"/>
        <v>0</v>
      </c>
      <c r="G541" s="116">
        <f>IF(B541&gt;0,RANK(B541,$B$535:$B$553),)</f>
        <v>0</v>
      </c>
      <c r="H541" s="107">
        <f>IF(C541&gt;0,RANK(C541,$C$535:$C$553),)</f>
        <v>0</v>
      </c>
      <c r="I541" s="107">
        <f>IF(D541&gt;0,RANK(D541,$D$535:$D$553),)</f>
        <v>0</v>
      </c>
      <c r="J541" s="107">
        <f>IF(E541&gt;0,RANK(E541,$E$535:$E$553),)</f>
        <v>0</v>
      </c>
      <c r="K541" s="107">
        <f>IF(F541&gt;0,RANK(F541,$F$535:$F$553),)</f>
        <v>0</v>
      </c>
      <c r="L541" s="169"/>
      <c r="M541" s="299">
        <f>+'[1]NEW-Tables 80-86'!AO201</f>
        <v>0</v>
      </c>
      <c r="N541" s="73"/>
      <c r="O541" s="73"/>
      <c r="P541" s="73"/>
      <c r="Q541" s="73"/>
    </row>
    <row r="542" spans="1:17" s="61" customFormat="1" ht="12.75" customHeight="1">
      <c r="A542" s="73" t="s">
        <v>462</v>
      </c>
      <c r="B542" s="75">
        <f>IF($M542&gt;0,('Amounts Pivot Table'!R$241/$M542),0)</f>
        <v>0</v>
      </c>
      <c r="C542" s="75">
        <f>IF($M542&gt;0,('Amounts Pivot Table'!R$244/$M542),0)</f>
        <v>0</v>
      </c>
      <c r="D542" s="75">
        <f>IF($M542&gt;0,('Amounts Pivot Table'!R$247/$M542),0)</f>
        <v>0</v>
      </c>
      <c r="E542" s="75">
        <f>IF($M542&gt;0,('Amounts Pivot Table'!R$250/$M542),0)</f>
        <v>0</v>
      </c>
      <c r="F542" s="75">
        <f t="shared" si="79"/>
        <v>0</v>
      </c>
      <c r="G542" s="116">
        <f>IF(B542&gt;0,RANK(B542,$B$535:$B$553),)</f>
        <v>0</v>
      </c>
      <c r="H542" s="107">
        <f>IF(C542&gt;0,RANK(C542,$C$535:$C$553),)</f>
        <v>0</v>
      </c>
      <c r="I542" s="107">
        <f>IF(D542&gt;0,RANK(D542,$D$535:$D$553),)</f>
        <v>0</v>
      </c>
      <c r="J542" s="107">
        <f>IF(E542&gt;0,RANK(E542,$E$535:$E$553),)</f>
        <v>0</v>
      </c>
      <c r="K542" s="107">
        <f>IF(F542&gt;0,RANK(F542,$F$535:$F$553),)</f>
        <v>0</v>
      </c>
      <c r="L542" s="169"/>
      <c r="M542" s="299">
        <f>+'[1]NEW-Tables 80-86'!AO202</f>
        <v>0</v>
      </c>
      <c r="N542" s="73"/>
      <c r="O542" s="73"/>
      <c r="P542" s="73"/>
      <c r="Q542" s="73"/>
    </row>
    <row r="543" spans="1:17" s="61" customFormat="1" ht="12.75" customHeight="1">
      <c r="A543" s="73" t="s">
        <v>465</v>
      </c>
      <c r="B543" s="75">
        <f>IF($M543&gt;0,('Amounts Pivot Table'!R$280/$M543),0)</f>
        <v>0</v>
      </c>
      <c r="C543" s="75">
        <f>IF($M543&gt;0,('Amounts Pivot Table'!R$283/$M543),0)</f>
        <v>0</v>
      </c>
      <c r="D543" s="75">
        <f>IF($M543&gt;0,('Amounts Pivot Table'!R$286/$M543),0)</f>
        <v>0</v>
      </c>
      <c r="E543" s="75">
        <f>IF($M543&gt;0,('Amounts Pivot Table'!R$289/$M543),0)</f>
        <v>0</v>
      </c>
      <c r="F543" s="75">
        <f t="shared" si="79"/>
        <v>0</v>
      </c>
      <c r="G543" s="116">
        <f>IF(B543&gt;0,RANK(B543,$B$535:$B$553),)</f>
        <v>0</v>
      </c>
      <c r="H543" s="107">
        <f>IF(C543&gt;0,RANK(C543,$C$535:$C$553),)</f>
        <v>0</v>
      </c>
      <c r="I543" s="107">
        <f>IF(D543&gt;0,RANK(D543,$D$535:$D$553),)</f>
        <v>0</v>
      </c>
      <c r="J543" s="107">
        <f>IF(E543&gt;0,RANK(E543,$E$535:$E$553),)</f>
        <v>0</v>
      </c>
      <c r="K543" s="107">
        <f>IF(F543&gt;0,RANK(F543,$F$535:$F$553),)</f>
        <v>0</v>
      </c>
      <c r="L543" s="169"/>
      <c r="M543" s="299">
        <f>+'[1]NEW-Tables 80-86'!AO203</f>
        <v>0</v>
      </c>
      <c r="N543" s="73"/>
      <c r="O543" s="73"/>
      <c r="P543" s="73"/>
      <c r="Q543" s="73"/>
    </row>
    <row r="544" spans="1:17" s="112" customFormat="1">
      <c r="A544" s="110"/>
      <c r="B544" s="111"/>
      <c r="C544" s="111"/>
      <c r="D544" s="111"/>
      <c r="E544" s="111"/>
      <c r="F544" s="111">
        <f>SUM(B544:E544)</f>
        <v>0</v>
      </c>
      <c r="G544" s="119"/>
      <c r="H544" s="120"/>
      <c r="I544" s="120"/>
      <c r="J544" s="120"/>
      <c r="K544" s="120"/>
      <c r="L544" s="176"/>
      <c r="M544" s="299">
        <f>+'[1]NEW-Tables 80-86'!AO204</f>
        <v>0</v>
      </c>
      <c r="N544" s="110"/>
      <c r="O544" s="110"/>
      <c r="P544" s="110"/>
      <c r="Q544" s="110"/>
    </row>
    <row r="545" spans="1:17" s="61" customFormat="1" ht="12.75" customHeight="1">
      <c r="A545" s="73" t="s">
        <v>455</v>
      </c>
      <c r="B545" s="75">
        <f>IF($M545&gt;0,('Amounts Pivot Table'!R$319/$M545),0)</f>
        <v>0</v>
      </c>
      <c r="C545" s="75">
        <f>IF($M545&gt;0,('Amounts Pivot Table'!R$322/$M545),0)</f>
        <v>0</v>
      </c>
      <c r="D545" s="75">
        <f>IF($M545&gt;0,('Amounts Pivot Table'!R$325/$M545),0)</f>
        <v>0</v>
      </c>
      <c r="E545" s="75">
        <f>IF($M545&gt;0,('Amounts Pivot Table'!R$328/$M545),0)</f>
        <v>0</v>
      </c>
      <c r="F545" s="75">
        <f t="shared" si="79"/>
        <v>0</v>
      </c>
      <c r="G545" s="116">
        <f>IF(B545&gt;0,RANK(B545,$B$535:$B$553),)</f>
        <v>0</v>
      </c>
      <c r="H545" s="107">
        <f>IF(C545&gt;0,RANK(C545,$C$535:$C$553),)</f>
        <v>0</v>
      </c>
      <c r="I545" s="107">
        <f>IF(D545&gt;0,RANK(D545,$D$535:$D$553),)</f>
        <v>0</v>
      </c>
      <c r="J545" s="107">
        <f>IF(E545&gt;0,RANK(E545,$E$535:$E$553),)</f>
        <v>0</v>
      </c>
      <c r="K545" s="107">
        <f>IF(F545&gt;0,RANK(F545,$F$535:$F$553),)</f>
        <v>0</v>
      </c>
      <c r="L545" s="169"/>
      <c r="M545" s="299">
        <f>+'[1]NEW-Tables 80-86'!AO205</f>
        <v>0</v>
      </c>
      <c r="N545" s="73"/>
      <c r="O545" s="73"/>
      <c r="P545" s="73"/>
      <c r="Q545" s="73"/>
    </row>
    <row r="546" spans="1:17" s="61" customFormat="1" ht="12.75" customHeight="1">
      <c r="A546" s="73" t="s">
        <v>456</v>
      </c>
      <c r="B546" s="75">
        <f>IF($M546&gt;0,('Amounts Pivot Table'!R$358/$M546),0)</f>
        <v>0</v>
      </c>
      <c r="C546" s="75">
        <f>IF($M546&gt;0,('Amounts Pivot Table'!R$361/$M546),0)</f>
        <v>0</v>
      </c>
      <c r="D546" s="75">
        <f>IF($M546&gt;0,('Amounts Pivot Table'!R$364/$M546),0)</f>
        <v>0</v>
      </c>
      <c r="E546" s="75">
        <f>IF($M546&gt;0,('Amounts Pivot Table'!R$367/$M546),0)</f>
        <v>0</v>
      </c>
      <c r="F546" s="75">
        <f t="shared" si="79"/>
        <v>0</v>
      </c>
      <c r="G546" s="116">
        <f>IF(B546&gt;0,RANK(B546,$B$535:$B$553),)</f>
        <v>0</v>
      </c>
      <c r="H546" s="107">
        <f>IF(C546&gt;0,RANK(C546,$C$535:$C$553),)</f>
        <v>0</v>
      </c>
      <c r="I546" s="107">
        <f>IF(D546&gt;0,RANK(D546,$D$535:$D$553),)</f>
        <v>0</v>
      </c>
      <c r="J546" s="107">
        <f>IF(E546&gt;0,RANK(E546,$E$535:$E$553),)</f>
        <v>0</v>
      </c>
      <c r="K546" s="107">
        <f>IF(F546&gt;0,RANK(F546,$F$535:$F$553),)</f>
        <v>0</v>
      </c>
      <c r="L546" s="169"/>
      <c r="M546" s="299">
        <f>+'[1]NEW-Tables 80-86'!AO206</f>
        <v>0</v>
      </c>
      <c r="N546" s="73"/>
      <c r="O546" s="73"/>
      <c r="P546" s="73"/>
      <c r="Q546" s="73"/>
    </row>
    <row r="547" spans="1:17" s="61" customFormat="1" ht="12.75" customHeight="1">
      <c r="A547" s="73" t="s">
        <v>463</v>
      </c>
      <c r="B547" s="75">
        <f>IF($M547&gt;0,('Amounts Pivot Table'!R$397/$M547),0)</f>
        <v>0</v>
      </c>
      <c r="C547" s="75">
        <f>IF($M547&gt;0,('Amounts Pivot Table'!R$400/$M547),0)</f>
        <v>0</v>
      </c>
      <c r="D547" s="75">
        <f>IF($M547&gt;0,('Amounts Pivot Table'!R$403/$M547),0)</f>
        <v>0</v>
      </c>
      <c r="E547" s="75">
        <f>IF($M547&gt;0,('Amounts Pivot Table'!R$406/$M547),0)</f>
        <v>0</v>
      </c>
      <c r="F547" s="75">
        <f t="shared" si="79"/>
        <v>0</v>
      </c>
      <c r="G547" s="116">
        <f>IF(B547&gt;0,RANK(B547,$B$535:$B$553),)</f>
        <v>0</v>
      </c>
      <c r="H547" s="107">
        <f>IF(C547&gt;0,RANK(C547,$C$535:$C$553),)</f>
        <v>0</v>
      </c>
      <c r="I547" s="107">
        <f>IF(D547&gt;0,RANK(D547,$D$535:$D$553),)</f>
        <v>0</v>
      </c>
      <c r="J547" s="107">
        <f>IF(E547&gt;0,RANK(E547,$E$535:$E$553),)</f>
        <v>0</v>
      </c>
      <c r="K547" s="107">
        <f>IF(F547&gt;0,RANK(F547,$F$535:$F$553),)</f>
        <v>0</v>
      </c>
      <c r="L547" s="169"/>
      <c r="M547" s="299">
        <f>+'[1]NEW-Tables 80-86'!AO207</f>
        <v>0</v>
      </c>
      <c r="N547" s="73"/>
      <c r="O547" s="73"/>
      <c r="P547" s="73"/>
      <c r="Q547" s="73"/>
    </row>
    <row r="548" spans="1:17" s="61" customFormat="1" ht="12.75" customHeight="1">
      <c r="A548" s="73" t="s">
        <v>457</v>
      </c>
      <c r="B548" s="75">
        <f>IF($M548&gt;0,('Amounts Pivot Table'!R$436/$M548),0)</f>
        <v>0</v>
      </c>
      <c r="C548" s="75">
        <f>IF($M548&gt;0,('Amounts Pivot Table'!R$439/$M548),0)</f>
        <v>0</v>
      </c>
      <c r="D548" s="75">
        <f>IF($M548&gt;0,('Amounts Pivot Table'!R$442/$M548),0)</f>
        <v>0</v>
      </c>
      <c r="E548" s="75">
        <f>IF($M548&gt;0,('Amounts Pivot Table'!R$445/$M548),0)</f>
        <v>0</v>
      </c>
      <c r="F548" s="75">
        <f t="shared" si="79"/>
        <v>0</v>
      </c>
      <c r="G548" s="116">
        <f>IF(B548&gt;0,RANK(B548,$B$535:$B$553),)</f>
        <v>0</v>
      </c>
      <c r="H548" s="107">
        <f>IF(C548&gt;0,RANK(C548,$C$535:$C$553),)</f>
        <v>0</v>
      </c>
      <c r="I548" s="107">
        <f>IF(D548&gt;0,RANK(D548,$D$535:$D$553),)</f>
        <v>0</v>
      </c>
      <c r="J548" s="107">
        <f>IF(E548&gt;0,RANK(E548,$E$535:$E$553),)</f>
        <v>0</v>
      </c>
      <c r="K548" s="107">
        <f>IF(F548&gt;0,RANK(F548,$F$535:$F$553),)</f>
        <v>0</v>
      </c>
      <c r="L548" s="169"/>
      <c r="M548" s="299">
        <f>+'[1]NEW-Tables 80-86'!AO208</f>
        <v>0</v>
      </c>
      <c r="N548" s="73"/>
      <c r="O548" s="73"/>
      <c r="P548" s="73"/>
      <c r="Q548" s="73"/>
    </row>
    <row r="549" spans="1:17" s="112" customFormat="1">
      <c r="A549" s="110"/>
      <c r="B549" s="111"/>
      <c r="C549" s="111"/>
      <c r="D549" s="111"/>
      <c r="E549" s="111"/>
      <c r="F549" s="111">
        <f>SUM(B549:E549)</f>
        <v>0</v>
      </c>
      <c r="G549" s="119"/>
      <c r="H549" s="120"/>
      <c r="I549" s="120"/>
      <c r="J549" s="120"/>
      <c r="K549" s="120"/>
      <c r="L549" s="176"/>
      <c r="M549" s="299">
        <f>+'[1]NEW-Tables 80-86'!AO209</f>
        <v>0</v>
      </c>
      <c r="N549" s="110"/>
      <c r="O549" s="110"/>
      <c r="P549" s="110"/>
      <c r="Q549" s="110"/>
    </row>
    <row r="550" spans="1:17" s="61" customFormat="1" ht="12.75" customHeight="1">
      <c r="A550" s="73" t="s">
        <v>130</v>
      </c>
      <c r="B550" s="75">
        <f>IF($M550&gt;0,('Amounts Pivot Table'!R$475/$M550),0)</f>
        <v>0</v>
      </c>
      <c r="C550" s="75">
        <f>IF($M550&gt;0,('Amounts Pivot Table'!R$478/$M550),0)</f>
        <v>0</v>
      </c>
      <c r="D550" s="75">
        <f>IF($M550&gt;0,('Amounts Pivot Table'!R$481/$M550),0)</f>
        <v>0</v>
      </c>
      <c r="E550" s="75">
        <f>IF($M550&gt;0,('Amounts Pivot Table'!R$484/$M550),0)</f>
        <v>0</v>
      </c>
      <c r="F550" s="75">
        <f t="shared" si="79"/>
        <v>0</v>
      </c>
      <c r="G550" s="116">
        <f>IF(B550&gt;0,RANK(B550,$B$535:$B$553),)</f>
        <v>0</v>
      </c>
      <c r="H550" s="107">
        <f>IF(C550&gt;0,RANK(C550,$C$535:$C$553),)</f>
        <v>0</v>
      </c>
      <c r="I550" s="107">
        <f>IF(D550&gt;0,RANK(D550,$D$535:$D$553),)</f>
        <v>0</v>
      </c>
      <c r="J550" s="107">
        <f>IF(E550&gt;0,RANK(E550,$E$535:$E$553),)</f>
        <v>0</v>
      </c>
      <c r="K550" s="107">
        <f>IF(F550&gt;0,RANK(F550,$F$535:$F$553),)</f>
        <v>0</v>
      </c>
      <c r="L550" s="169"/>
      <c r="M550" s="299">
        <f>+'[1]NEW-Tables 80-86'!AO210</f>
        <v>0</v>
      </c>
      <c r="N550" s="73"/>
      <c r="O550" s="73"/>
      <c r="P550" s="73"/>
      <c r="Q550" s="73"/>
    </row>
    <row r="551" spans="1:17" s="76" customFormat="1" ht="12.75" customHeight="1">
      <c r="A551" s="73" t="s">
        <v>458</v>
      </c>
      <c r="B551" s="75">
        <f>IF($M551&gt;0,('Amounts Pivot Table'!R$514/$M551),0)</f>
        <v>0</v>
      </c>
      <c r="C551" s="75">
        <f>IF($M551&gt;0,('Amounts Pivot Table'!R$517/$M551),0)</f>
        <v>0</v>
      </c>
      <c r="D551" s="75">
        <f>IF($M551&gt;0,('Amounts Pivot Table'!R$520/$M551),0)</f>
        <v>0</v>
      </c>
      <c r="E551" s="75">
        <f>IF($M551&gt;0,('Amounts Pivot Table'!R$523/$M551),0)</f>
        <v>0</v>
      </c>
      <c r="F551" s="75">
        <f t="shared" si="79"/>
        <v>0</v>
      </c>
      <c r="G551" s="116">
        <f>IF(B551&gt;0,RANK(B551,$B$535:$B$553),)</f>
        <v>0</v>
      </c>
      <c r="H551" s="107">
        <f>IF(C551&gt;0,RANK(C551,$C$535:$C$553),)</f>
        <v>0</v>
      </c>
      <c r="I551" s="107">
        <f>IF(D551&gt;0,RANK(D551,$D$535:$D$553),)</f>
        <v>0</v>
      </c>
      <c r="J551" s="107">
        <f>IF(E551&gt;0,RANK(E551,$E$535:$E$553),)</f>
        <v>0</v>
      </c>
      <c r="K551" s="107">
        <f>IF(F551&gt;0,RANK(F551,$F$535:$F$553),)</f>
        <v>0</v>
      </c>
      <c r="L551" s="170"/>
      <c r="M551" s="299">
        <f>+'[1]NEW-Tables 80-86'!AO211</f>
        <v>0</v>
      </c>
      <c r="N551" s="90"/>
      <c r="O551" s="90"/>
      <c r="P551" s="90"/>
      <c r="Q551" s="90"/>
    </row>
    <row r="552" spans="1:17" s="61" customFormat="1" ht="12.75" customHeight="1">
      <c r="A552" s="73" t="s">
        <v>459</v>
      </c>
      <c r="B552" s="75">
        <f>IF($M552&gt;0,('Amounts Pivot Table'!R$553/$M552),0)</f>
        <v>0</v>
      </c>
      <c r="C552" s="75">
        <f>IF($M552&gt;0,('Amounts Pivot Table'!R$556/$M552),0)</f>
        <v>0</v>
      </c>
      <c r="D552" s="75">
        <f>IF($M552&gt;0,('Amounts Pivot Table'!R$559/$M552),0)</f>
        <v>0</v>
      </c>
      <c r="E552" s="75">
        <f>IF($M552&gt;0,('Amounts Pivot Table'!R$562/$M552),0)</f>
        <v>0</v>
      </c>
      <c r="F552" s="75">
        <f t="shared" si="79"/>
        <v>0</v>
      </c>
      <c r="G552" s="116">
        <f>IF(B552&gt;0,RANK(B552,$B$535:$B$553),)</f>
        <v>0</v>
      </c>
      <c r="H552" s="107">
        <f>IF(C552&gt;0,RANK(C552,$C$535:$C$553),)</f>
        <v>0</v>
      </c>
      <c r="I552" s="107">
        <f>IF(D552&gt;0,RANK(D552,$D$535:$D$553),)</f>
        <v>0</v>
      </c>
      <c r="J552" s="107">
        <f>IF(E552&gt;0,RANK(E552,$E$535:$E$553),)</f>
        <v>0</v>
      </c>
      <c r="K552" s="107">
        <f>IF(F552&gt;0,RANK(F552,$F$535:$F$553),)</f>
        <v>0</v>
      </c>
      <c r="L552" s="171"/>
      <c r="M552" s="299">
        <f>+'[1]NEW-Tables 80-86'!AO212</f>
        <v>0</v>
      </c>
      <c r="N552" s="73"/>
      <c r="O552" s="73"/>
      <c r="P552" s="73"/>
      <c r="Q552" s="73"/>
    </row>
    <row r="553" spans="1:17" s="61" customFormat="1" ht="15" customHeight="1">
      <c r="A553" s="74" t="s">
        <v>464</v>
      </c>
      <c r="B553" s="104">
        <f>IF($M553&gt;0,('Amounts Pivot Table'!R$592/$M553),0)</f>
        <v>0</v>
      </c>
      <c r="C553" s="104">
        <f>IF($M553&gt;0,('Amounts Pivot Table'!R$595/$M553),0)</f>
        <v>0</v>
      </c>
      <c r="D553" s="104">
        <f>IF($M553&gt;0,('Amounts Pivot Table'!R$598/$M553),0)</f>
        <v>0</v>
      </c>
      <c r="E553" s="104">
        <f>IF($M553&gt;0,('Amounts Pivot Table'!R$601/$M553),0)</f>
        <v>0</v>
      </c>
      <c r="F553" s="105">
        <f t="shared" si="79"/>
        <v>0</v>
      </c>
      <c r="G553" s="117">
        <f>IF(B553&gt;0,RANK(B553,$B$535:$B$553),)</f>
        <v>0</v>
      </c>
      <c r="H553" s="118">
        <f>IF(C553&gt;0,RANK(C553,$C$535:$C$553),)</f>
        <v>0</v>
      </c>
      <c r="I553" s="118">
        <f>IF(D553&gt;0,RANK(D553,$D$535:$D$553),)</f>
        <v>0</v>
      </c>
      <c r="J553" s="118">
        <f>IF(E553&gt;0,RANK(E553,$E$535:$E$553),)</f>
        <v>0</v>
      </c>
      <c r="K553" s="118">
        <f>IF(F553&gt;0,RANK(F553,$F$535:$F$553),)</f>
        <v>0</v>
      </c>
      <c r="L553" s="172"/>
      <c r="M553" s="299">
        <f>+'[1]NEW-Tables 80-86'!AO213</f>
        <v>0</v>
      </c>
      <c r="N553" s="73"/>
      <c r="O553" s="73"/>
      <c r="P553" s="73"/>
      <c r="Q553" s="73"/>
    </row>
    <row r="554" spans="1:17" s="76" customFormat="1" ht="34.5" customHeight="1">
      <c r="A554" s="1405" t="s">
        <v>25</v>
      </c>
      <c r="B554" s="1450"/>
      <c r="C554" s="1450"/>
      <c r="D554" s="1450"/>
      <c r="E554" s="1450"/>
      <c r="F554" s="1450"/>
      <c r="G554" s="1450"/>
      <c r="H554" s="1450"/>
      <c r="I554" s="1450"/>
      <c r="J554" s="1450"/>
      <c r="K554" s="1450"/>
      <c r="L554" s="170"/>
      <c r="M554" s="299"/>
      <c r="N554" s="90"/>
      <c r="O554" s="90"/>
      <c r="P554" s="90"/>
      <c r="Q554" s="90"/>
    </row>
    <row r="555" spans="1:17" s="207" customFormat="1" ht="13.5" customHeight="1">
      <c r="A555" s="1405" t="s">
        <v>80</v>
      </c>
      <c r="B555" s="1450"/>
      <c r="C555" s="1450"/>
      <c r="D555" s="1450"/>
      <c r="E555" s="1450"/>
      <c r="F555" s="1450"/>
      <c r="G555" s="1450"/>
      <c r="H555" s="1450"/>
      <c r="I555" s="1450"/>
      <c r="J555" s="1450"/>
      <c r="K555" s="1450"/>
      <c r="L555" s="206"/>
      <c r="M555" s="305"/>
      <c r="N555" s="208"/>
      <c r="O555" s="208"/>
      <c r="P555" s="208"/>
      <c r="Q555" s="208"/>
    </row>
    <row r="556" spans="1:17" s="61" customFormat="1" ht="13.5" customHeight="1">
      <c r="A556" s="1405" t="s">
        <v>332</v>
      </c>
      <c r="B556" s="1443"/>
      <c r="C556" s="1443"/>
      <c r="D556" s="1443"/>
      <c r="E556" s="1443"/>
      <c r="F556" s="1443"/>
      <c r="G556" s="1444"/>
      <c r="H556" s="1444"/>
      <c r="I556" s="1444"/>
      <c r="J556" s="1444"/>
      <c r="K556" s="1444"/>
      <c r="L556" s="172"/>
      <c r="M556" s="303"/>
      <c r="N556" s="73"/>
      <c r="O556" s="73"/>
      <c r="P556" s="73"/>
      <c r="Q556" s="73"/>
    </row>
    <row r="557" spans="1:17">
      <c r="K557" s="591" t="s">
        <v>2018</v>
      </c>
    </row>
  </sheetData>
  <mergeCells count="99">
    <mergeCell ref="B301:F301"/>
    <mergeCell ref="A325:K325"/>
    <mergeCell ref="A332:K332"/>
    <mergeCell ref="A361:K361"/>
    <mergeCell ref="A394:K394"/>
    <mergeCell ref="A326:K326"/>
    <mergeCell ref="A324:K324"/>
    <mergeCell ref="A366:K366"/>
    <mergeCell ref="A393:K393"/>
    <mergeCell ref="A358:K358"/>
    <mergeCell ref="A360:K360"/>
    <mergeCell ref="A365:K365"/>
    <mergeCell ref="A200:I200"/>
    <mergeCell ref="A556:K556"/>
    <mergeCell ref="A428:K428"/>
    <mergeCell ref="A460:K460"/>
    <mergeCell ref="A492:K492"/>
    <mergeCell ref="A496:K496"/>
    <mergeCell ref="B467:F467"/>
    <mergeCell ref="A490:K490"/>
    <mergeCell ref="A299:K299"/>
    <mergeCell ref="B335:F335"/>
    <mergeCell ref="A327:K327"/>
    <mergeCell ref="A391:K391"/>
    <mergeCell ref="A359:K359"/>
    <mergeCell ref="B368:F368"/>
    <mergeCell ref="A333:K333"/>
    <mergeCell ref="A395:K395"/>
    <mergeCell ref="A260:K260"/>
    <mergeCell ref="A298:K298"/>
    <mergeCell ref="A232:K232"/>
    <mergeCell ref="A291:K291"/>
    <mergeCell ref="A265:K265"/>
    <mergeCell ref="A259:K259"/>
    <mergeCell ref="B235:F235"/>
    <mergeCell ref="A266:K266"/>
    <mergeCell ref="B268:F268"/>
    <mergeCell ref="A292:K292"/>
    <mergeCell ref="A293:K293"/>
    <mergeCell ref="A258:K258"/>
    <mergeCell ref="A233:K233"/>
    <mergeCell ref="A62:I62"/>
    <mergeCell ref="A103:I103"/>
    <mergeCell ref="A64:K64"/>
    <mergeCell ref="A102:I102"/>
    <mergeCell ref="A69:I69"/>
    <mergeCell ref="A96:I96"/>
    <mergeCell ref="A63:I63"/>
    <mergeCell ref="A70:I70"/>
    <mergeCell ref="A227:I227"/>
    <mergeCell ref="A95:I95"/>
    <mergeCell ref="A128:I128"/>
    <mergeCell ref="A129:I129"/>
    <mergeCell ref="A168:I168"/>
    <mergeCell ref="A167:I167"/>
    <mergeCell ref="A134:I134"/>
    <mergeCell ref="A135:I135"/>
    <mergeCell ref="A161:I161"/>
    <mergeCell ref="A201:I201"/>
    <mergeCell ref="A162:I162"/>
    <mergeCell ref="A194:I194"/>
    <mergeCell ref="A193:I193"/>
    <mergeCell ref="A195:K195"/>
    <mergeCell ref="A163:I163"/>
    <mergeCell ref="A226:I226"/>
    <mergeCell ref="A427:K427"/>
    <mergeCell ref="A399:K399"/>
    <mergeCell ref="A400:K400"/>
    <mergeCell ref="B402:F402"/>
    <mergeCell ref="A425:K425"/>
    <mergeCell ref="A426:K426"/>
    <mergeCell ref="A524:K524"/>
    <mergeCell ref="A432:K432"/>
    <mergeCell ref="A491:K491"/>
    <mergeCell ref="A458:K458"/>
    <mergeCell ref="A464:K464"/>
    <mergeCell ref="A465:K465"/>
    <mergeCell ref="A459:K459"/>
    <mergeCell ref="A433:K433"/>
    <mergeCell ref="B435:F435"/>
    <mergeCell ref="A497:K497"/>
    <mergeCell ref="B499:F499"/>
    <mergeCell ref="A522:K522"/>
    <mergeCell ref="G499:K499"/>
    <mergeCell ref="A523:K523"/>
    <mergeCell ref="A555:K555"/>
    <mergeCell ref="A528:K528"/>
    <mergeCell ref="A529:K529"/>
    <mergeCell ref="B531:F531"/>
    <mergeCell ref="A554:K554"/>
    <mergeCell ref="G531:K531"/>
    <mergeCell ref="A3:I3"/>
    <mergeCell ref="A36:I36"/>
    <mergeCell ref="A37:I37"/>
    <mergeCell ref="A30:I30"/>
    <mergeCell ref="B6:E6"/>
    <mergeCell ref="F6:I6"/>
    <mergeCell ref="A31:I31"/>
    <mergeCell ref="A32:I32"/>
  </mergeCells>
  <phoneticPr fontId="6" type="noConversion"/>
  <pageMargins left="0.5" right="0.5" top="0.75" bottom="0.67" header="0.5" footer="0.5"/>
  <pageSetup scale="94" firstPageNumber="126" orientation="landscape" useFirstPageNumber="1" r:id="rId1"/>
  <headerFooter alignWithMargins="0">
    <oddHeader>&amp;R&amp;"Arial,Regular"&amp;8SREB-State Data Exchange</oddHeader>
    <oddFooter>&amp;C&amp;"Arial,Regular"&amp;P</oddFooter>
  </headerFooter>
  <rowBreaks count="16" manualBreakCount="16">
    <brk id="33" max="10" man="1"/>
    <brk id="66" max="10" man="1"/>
    <brk id="99" max="10" man="1"/>
    <brk id="131" max="10" man="1"/>
    <brk id="164" max="10" man="1"/>
    <brk id="197" max="10" man="1"/>
    <brk id="229" max="10" man="1"/>
    <brk id="262" max="10" man="1"/>
    <brk id="295" max="10" man="1"/>
    <brk id="329" max="10" man="1"/>
    <brk id="362" max="10" man="1"/>
    <brk id="396" max="10" man="1"/>
    <brk id="429" max="10" man="1"/>
    <brk id="461" max="10" man="1"/>
    <brk id="493" max="10" man="1"/>
    <brk id="525" max="10" man="1"/>
  </rowBreaks>
</worksheet>
</file>

<file path=xl/worksheets/sheet8.xml><?xml version="1.0" encoding="utf-8"?>
<worksheet xmlns="http://schemas.openxmlformats.org/spreadsheetml/2006/main" xmlns:r="http://schemas.openxmlformats.org/officeDocument/2006/relationships">
  <sheetPr>
    <tabColor theme="5" tint="0.59999389629810485"/>
  </sheetPr>
  <dimension ref="A1:U549"/>
  <sheetViews>
    <sheetView showGridLines="0" showZeros="0" view="pageBreakPreview" zoomScaleNormal="90" zoomScaleSheetLayoutView="100" workbookViewId="0">
      <selection activeCell="K388" sqref="K388"/>
    </sheetView>
  </sheetViews>
  <sheetFormatPr defaultColWidth="8.875" defaultRowHeight="12.75"/>
  <cols>
    <col min="1" max="1" width="12.125" style="427" customWidth="1"/>
    <col min="2" max="3" width="11.375" style="427" customWidth="1"/>
    <col min="4" max="4" width="9.125" style="427" customWidth="1"/>
    <col min="5" max="5" width="10" style="427" customWidth="1"/>
    <col min="6" max="6" width="9.25" style="427" customWidth="1"/>
    <col min="7" max="7" width="10.25" style="427" customWidth="1"/>
    <col min="8" max="8" width="10.375" style="427" customWidth="1"/>
    <col min="9" max="9" width="10.875" style="427" customWidth="1"/>
    <col min="10" max="10" width="9.25" style="427" customWidth="1"/>
    <col min="11" max="11" width="8.625" style="427" customWidth="1"/>
    <col min="12" max="12" width="2.5" style="427" customWidth="1"/>
    <col min="13" max="13" width="8.75" style="1169" customWidth="1"/>
    <col min="14" max="16384" width="8.875" style="427"/>
  </cols>
  <sheetData>
    <row r="1" spans="1:18" s="94" customFormat="1" ht="18">
      <c r="A1" s="135" t="s">
        <v>529</v>
      </c>
      <c r="B1" s="92"/>
      <c r="C1" s="92"/>
      <c r="D1" s="92"/>
      <c r="E1" s="92"/>
      <c r="F1" s="92"/>
      <c r="G1" s="92"/>
      <c r="H1" s="92"/>
      <c r="I1" s="92"/>
      <c r="J1" s="92" t="s">
        <v>131</v>
      </c>
      <c r="K1" s="92"/>
      <c r="L1" s="164"/>
      <c r="M1" s="1169"/>
    </row>
    <row r="2" spans="1:18" s="94" customFormat="1" ht="18.75">
      <c r="A2" s="1429" t="s">
        <v>26</v>
      </c>
      <c r="B2" s="1429"/>
      <c r="C2" s="1429"/>
      <c r="D2" s="1429"/>
      <c r="E2" s="1429"/>
      <c r="F2" s="1429"/>
      <c r="G2" s="1429"/>
      <c r="H2" s="1429"/>
      <c r="I2" s="1429"/>
      <c r="J2" s="92"/>
      <c r="K2" s="92"/>
      <c r="L2" s="164"/>
      <c r="M2" s="1169"/>
    </row>
    <row r="3" spans="1:18" s="94" customFormat="1" ht="15.75">
      <c r="A3" s="91" t="s">
        <v>501</v>
      </c>
      <c r="B3" s="91"/>
      <c r="C3" s="91"/>
      <c r="D3" s="91"/>
      <c r="E3" s="91"/>
      <c r="F3" s="91"/>
      <c r="G3" s="91"/>
      <c r="H3" s="91"/>
      <c r="I3" s="91"/>
      <c r="J3" s="92" t="s">
        <v>131</v>
      </c>
      <c r="K3" s="91"/>
      <c r="L3" s="165"/>
      <c r="M3" s="1170"/>
    </row>
    <row r="4" spans="1:18" s="100" customFormat="1" ht="17.25" customHeight="1">
      <c r="A4" s="96"/>
      <c r="B4" s="96"/>
      <c r="C4" s="96"/>
      <c r="D4" s="96"/>
      <c r="E4" s="96"/>
      <c r="F4" s="96"/>
      <c r="G4" s="97"/>
      <c r="H4" s="96"/>
      <c r="I4" s="96"/>
      <c r="J4" s="98"/>
      <c r="K4" s="96"/>
      <c r="L4" s="166"/>
      <c r="M4" s="1171" t="s">
        <v>553</v>
      </c>
    </row>
    <row r="5" spans="1:18" s="547" customFormat="1" ht="15.75">
      <c r="A5" s="60"/>
      <c r="B5" s="1459" t="s">
        <v>81</v>
      </c>
      <c r="C5" s="1459"/>
      <c r="D5" s="1459"/>
      <c r="E5" s="1460"/>
      <c r="F5" s="1461" t="s">
        <v>178</v>
      </c>
      <c r="G5" s="1462"/>
      <c r="H5" s="1462"/>
      <c r="I5" s="1462"/>
      <c r="J5" s="427" t="s">
        <v>131</v>
      </c>
      <c r="K5" s="427"/>
      <c r="L5" s="167"/>
      <c r="M5" s="1172">
        <f>+'[1]NEW-Tables 80-86'!W65</f>
        <v>0</v>
      </c>
    </row>
    <row r="6" spans="1:18" s="393" customFormat="1" ht="50.25" customHeight="1">
      <c r="A6" s="1173"/>
      <c r="B6" s="51" t="s">
        <v>126</v>
      </c>
      <c r="C6" s="52" t="s">
        <v>128</v>
      </c>
      <c r="D6" s="52" t="s">
        <v>438</v>
      </c>
      <c r="E6" s="52" t="s">
        <v>138</v>
      </c>
      <c r="F6" s="53" t="s">
        <v>126</v>
      </c>
      <c r="G6" s="52" t="s">
        <v>128</v>
      </c>
      <c r="H6" s="52" t="s">
        <v>438</v>
      </c>
      <c r="I6" s="52" t="s">
        <v>138</v>
      </c>
      <c r="J6" s="1174"/>
      <c r="K6" s="394"/>
      <c r="L6" s="1175"/>
      <c r="M6" s="1172">
        <f>+'[1]NEW-Tables 80-86'!W66</f>
        <v>0</v>
      </c>
      <c r="N6" s="547" t="s">
        <v>131</v>
      </c>
      <c r="O6" s="547"/>
      <c r="P6" s="547"/>
      <c r="Q6" s="547"/>
      <c r="R6" s="547"/>
    </row>
    <row r="7" spans="1:18" s="547" customFormat="1" ht="16.5" customHeight="1">
      <c r="A7" s="427" t="s">
        <v>82</v>
      </c>
      <c r="B7" s="1176">
        <f>IF($M7&gt;0,('Amounts Pivot Table'!I$630/$M7),0)</f>
        <v>6100.9811547336376</v>
      </c>
      <c r="C7" s="609">
        <f>IF($M7&gt;0,('Amounts Pivot Table'!I$633/$M7),0)</f>
        <v>664.73303028196699</v>
      </c>
      <c r="D7" s="609">
        <f>IF($M7&gt;0,('Amounts Pivot Table'!I$639/$M7),0)</f>
        <v>7069.469688829271</v>
      </c>
      <c r="E7" s="609">
        <f>SUM(B7:D7)</f>
        <v>13835.183873844875</v>
      </c>
      <c r="F7" s="610"/>
      <c r="G7" s="611"/>
      <c r="H7" s="611"/>
      <c r="I7" s="611"/>
      <c r="J7" s="622"/>
      <c r="K7" s="427"/>
      <c r="L7" s="1177"/>
      <c r="M7" s="1172">
        <f>+'[1]NEW-Tables 80-86'!W70</f>
        <v>2241442.6561111114</v>
      </c>
    </row>
    <row r="8" spans="1:18" s="547" customFormat="1" ht="9" customHeight="1">
      <c r="A8" s="427"/>
      <c r="B8" s="609"/>
      <c r="C8" s="609"/>
      <c r="D8" s="609"/>
      <c r="E8" s="609"/>
      <c r="F8" s="610"/>
      <c r="G8" s="611"/>
      <c r="H8" s="611"/>
      <c r="I8" s="611"/>
      <c r="J8" s="622"/>
      <c r="K8" s="427"/>
      <c r="L8" s="1177"/>
      <c r="M8" s="1172">
        <f>+'[1]NEW-Tables 80-86'!W71</f>
        <v>0</v>
      </c>
    </row>
    <row r="9" spans="1:18" s="547" customFormat="1">
      <c r="A9" s="427" t="s">
        <v>452</v>
      </c>
      <c r="B9" s="615">
        <f>IF($M9&gt;0,('Amounts Pivot Table'!I$6/$M9),0)</f>
        <v>4861.8050168499085</v>
      </c>
      <c r="C9" s="612">
        <f>IF($M9&gt;0,('Amounts Pivot Table'!I$9/$M9),0)</f>
        <v>613.4795066294414</v>
      </c>
      <c r="D9" s="612">
        <f>IF($M9&gt;0,('Amounts Pivot Table'!I$15/$M9),0)</f>
        <v>8612.6139889033857</v>
      </c>
      <c r="E9" s="612">
        <f>SUM(B9:D9)</f>
        <v>14087.898512382735</v>
      </c>
      <c r="F9" s="613">
        <f t="shared" ref="F9:I12" si="0">IF(B9&gt;0,RANK(B9,B$9:B$27),)</f>
        <v>12</v>
      </c>
      <c r="G9" s="614">
        <f t="shared" si="0"/>
        <v>10</v>
      </c>
      <c r="H9" s="614">
        <f t="shared" si="0"/>
        <v>5</v>
      </c>
      <c r="I9" s="614">
        <f t="shared" si="0"/>
        <v>8</v>
      </c>
      <c r="J9" s="612"/>
      <c r="K9" s="427"/>
      <c r="L9" s="1177"/>
      <c r="M9" s="1172">
        <f>+'[1]NEW-Tables 80-86'!W72</f>
        <v>126106.02499999999</v>
      </c>
    </row>
    <row r="10" spans="1:18" s="547" customFormat="1">
      <c r="A10" s="427" t="s">
        <v>466</v>
      </c>
      <c r="B10" s="615">
        <f>IF($M10&gt;0,('Amounts Pivot Table'!I$45/$M10),0)</f>
        <v>5742.703687205867</v>
      </c>
      <c r="C10" s="612">
        <f>IF($M10&gt;0,('Amounts Pivot Table'!I$48/$M10),0)</f>
        <v>1250.4958863162117</v>
      </c>
      <c r="D10" s="612">
        <f>IF($M10&gt;0,('Amounts Pivot Table'!I$54/$M10),0)</f>
        <v>6499.1908157174712</v>
      </c>
      <c r="E10" s="612">
        <f t="shared" ref="E10:E27" si="1">SUM(B10:D10)</f>
        <v>13492.39038923955</v>
      </c>
      <c r="F10" s="613">
        <f t="shared" si="0"/>
        <v>8</v>
      </c>
      <c r="G10" s="614">
        <f t="shared" si="0"/>
        <v>2</v>
      </c>
      <c r="H10" s="614">
        <f t="shared" si="0"/>
        <v>12</v>
      </c>
      <c r="I10" s="614">
        <f t="shared" si="0"/>
        <v>9</v>
      </c>
      <c r="J10" s="612"/>
      <c r="K10" s="427"/>
      <c r="L10" s="1177"/>
      <c r="M10" s="1172">
        <f>+'[1]NEW-Tables 80-86'!W73</f>
        <v>73298.05</v>
      </c>
    </row>
    <row r="11" spans="1:18" s="547" customFormat="1">
      <c r="A11" s="427" t="s">
        <v>453</v>
      </c>
      <c r="B11" s="615">
        <f>IF($M11&gt;0,('Amounts Pivot Table'!I$84/$M11),0)</f>
        <v>6980.8156621952066</v>
      </c>
      <c r="C11" s="615">
        <f>IF($M11&gt;0,('Amounts Pivot Table'!I$87/$M11),0)</f>
        <v>401.18176137985301</v>
      </c>
      <c r="D11" s="615">
        <f>IF($M11&gt;0,('Amounts Pivot Table'!I$93/$M11),0)</f>
        <v>17636.963697533443</v>
      </c>
      <c r="E11" s="615">
        <f>SUM(B11:D11)</f>
        <v>25018.961121108503</v>
      </c>
      <c r="F11" s="616">
        <f t="shared" si="0"/>
        <v>3</v>
      </c>
      <c r="G11" s="617">
        <f t="shared" si="0"/>
        <v>16</v>
      </c>
      <c r="H11" s="617">
        <f t="shared" si="0"/>
        <v>1</v>
      </c>
      <c r="I11" s="617">
        <f t="shared" si="0"/>
        <v>1</v>
      </c>
      <c r="J11" s="612"/>
      <c r="K11" s="427"/>
      <c r="L11" s="1177"/>
      <c r="M11" s="1172">
        <f>+'[1]NEW-Tables 80-86'!W74</f>
        <v>22686.474999999999</v>
      </c>
    </row>
    <row r="12" spans="1:18" s="547" customFormat="1">
      <c r="A12" s="427" t="s">
        <v>460</v>
      </c>
      <c r="B12" s="612">
        <f>IF($M12&gt;0,('Amounts Pivot Table'!I$123/$M12),0)</f>
        <v>6045.2722455117691</v>
      </c>
      <c r="C12" s="612">
        <f>IF($M12&gt;0,('Amounts Pivot Table'!I$126/$M12),0)</f>
        <v>755.82907781719211</v>
      </c>
      <c r="D12" s="612">
        <f>IF($M12&gt;0,('Amounts Pivot Table'!I$132/$M12),0)</f>
        <v>3950.9835428888</v>
      </c>
      <c r="E12" s="612">
        <f t="shared" si="1"/>
        <v>10752.084866217761</v>
      </c>
      <c r="F12" s="613">
        <f t="shared" si="0"/>
        <v>6</v>
      </c>
      <c r="G12" s="614">
        <f t="shared" si="0"/>
        <v>4</v>
      </c>
      <c r="H12" s="614">
        <f t="shared" si="0"/>
        <v>16</v>
      </c>
      <c r="I12" s="614">
        <f t="shared" si="0"/>
        <v>15</v>
      </c>
      <c r="J12" s="612"/>
      <c r="K12" s="427"/>
      <c r="L12" s="1177"/>
      <c r="M12" s="1172">
        <f>+'[1]NEW-Tables 80-86'!W75</f>
        <v>275268.54166666669</v>
      </c>
    </row>
    <row r="13" spans="1:18" s="547" customFormat="1">
      <c r="A13" s="427"/>
      <c r="B13" s="612"/>
      <c r="C13" s="612"/>
      <c r="D13" s="612"/>
      <c r="E13" s="612"/>
      <c r="F13" s="613"/>
      <c r="G13" s="614"/>
      <c r="H13" s="614"/>
      <c r="I13" s="614"/>
      <c r="J13" s="612"/>
      <c r="K13" s="427"/>
      <c r="L13" s="1177"/>
      <c r="M13" s="1172">
        <f>+'[1]NEW-Tables 80-86'!W76</f>
        <v>0</v>
      </c>
    </row>
    <row r="14" spans="1:18" s="547" customFormat="1">
      <c r="A14" s="427" t="s">
        <v>461</v>
      </c>
      <c r="B14" s="612">
        <f>IF($M14&gt;0,('Amounts Pivot Table'!I$162/$M14),0)</f>
        <v>5480.0797595122222</v>
      </c>
      <c r="C14" s="612">
        <f>IF($M14&gt;0,('Amounts Pivot Table'!I$165/$M14),0)</f>
        <v>466.62365967931186</v>
      </c>
      <c r="D14" s="612">
        <f>IF($M14&gt;0,('Amounts Pivot Table'!I$171/$M14),0)</f>
        <v>5598.7060971562059</v>
      </c>
      <c r="E14" s="612">
        <f t="shared" si="1"/>
        <v>11545.40951634774</v>
      </c>
      <c r="F14" s="613">
        <f t="shared" ref="F14:I17" si="2">IF(B14&gt;0,RANK(B14,B$9:B$27),)</f>
        <v>10</v>
      </c>
      <c r="G14" s="614">
        <f t="shared" si="2"/>
        <v>15</v>
      </c>
      <c r="H14" s="614">
        <f t="shared" si="2"/>
        <v>13</v>
      </c>
      <c r="I14" s="614">
        <f t="shared" si="2"/>
        <v>14</v>
      </c>
      <c r="J14" s="612"/>
      <c r="K14" s="427"/>
      <c r="L14" s="1177"/>
      <c r="M14" s="1172">
        <f>+'[1]NEW-Tables 80-86'!W77</f>
        <v>198471.625</v>
      </c>
    </row>
    <row r="15" spans="1:18" s="547" customFormat="1">
      <c r="A15" s="427" t="s">
        <v>454</v>
      </c>
      <c r="B15" s="612">
        <f>IF($M15&gt;0,('Amounts Pivot Table'!I$201/$M15),0)</f>
        <v>5730.297684579813</v>
      </c>
      <c r="C15" s="612">
        <f>IF($M15&gt;0,('Amounts Pivot Table'!I$204/$M15),0)</f>
        <v>951.03806287089014</v>
      </c>
      <c r="D15" s="612">
        <f>IF($M15&gt;0,('Amounts Pivot Table'!I$210/$M15),0)</f>
        <v>9608.1436496075294</v>
      </c>
      <c r="E15" s="612">
        <f t="shared" si="1"/>
        <v>16289.479397058232</v>
      </c>
      <c r="F15" s="613">
        <f t="shared" si="2"/>
        <v>9</v>
      </c>
      <c r="G15" s="614">
        <f t="shared" si="2"/>
        <v>3</v>
      </c>
      <c r="H15" s="614">
        <f t="shared" si="2"/>
        <v>3</v>
      </c>
      <c r="I15" s="614">
        <f t="shared" si="2"/>
        <v>4</v>
      </c>
      <c r="J15" s="612"/>
      <c r="K15" s="427"/>
      <c r="L15" s="1177"/>
      <c r="M15" s="1172">
        <f>+'[1]NEW-Tables 80-86'!W78</f>
        <v>98711.024999999994</v>
      </c>
    </row>
    <row r="16" spans="1:18" s="547" customFormat="1">
      <c r="A16" s="427" t="s">
        <v>462</v>
      </c>
      <c r="B16" s="612">
        <f>IF($M16&gt;0,('Amounts Pivot Table'!I$240/$M16),0)</f>
        <v>4833.8518309450137</v>
      </c>
      <c r="C16" s="612">
        <f>IF($M16&gt;0,('Amounts Pivot Table'!I$243/$M16),0)</f>
        <v>696.97830238240851</v>
      </c>
      <c r="D16" s="612">
        <f>IF($M16&gt;0,('Amounts Pivot Table'!I$249/$M16),0)</f>
        <v>4577.8632299194505</v>
      </c>
      <c r="E16" s="612">
        <f t="shared" si="1"/>
        <v>10108.693363246872</v>
      </c>
      <c r="F16" s="613">
        <f t="shared" si="2"/>
        <v>13</v>
      </c>
      <c r="G16" s="614">
        <f t="shared" si="2"/>
        <v>7</v>
      </c>
      <c r="H16" s="614">
        <f t="shared" si="2"/>
        <v>15</v>
      </c>
      <c r="I16" s="614">
        <f t="shared" si="2"/>
        <v>16</v>
      </c>
      <c r="J16" s="612"/>
      <c r="K16" s="427"/>
      <c r="L16" s="1177"/>
      <c r="M16" s="1172">
        <f>+'[1]NEW-Tables 80-86'!W79</f>
        <v>120178.45277777778</v>
      </c>
    </row>
    <row r="17" spans="1:21" s="547" customFormat="1">
      <c r="A17" s="427" t="s">
        <v>465</v>
      </c>
      <c r="B17" s="612">
        <f>IF($M17&gt;0,('Amounts Pivot Table'!I$279/$M17),0)</f>
        <v>8548.7203783360783</v>
      </c>
      <c r="C17" s="612">
        <f>IF($M17&gt;0,('Amounts Pivot Table'!I$282/$M17),0)</f>
        <v>716.70219010461801</v>
      </c>
      <c r="D17" s="612">
        <f>IF($M17&gt;0,('Amounts Pivot Table'!I$288/$M17),0)</f>
        <v>9521.9043962257583</v>
      </c>
      <c r="E17" s="612">
        <f t="shared" si="1"/>
        <v>18787.326964666456</v>
      </c>
      <c r="F17" s="613">
        <f t="shared" si="2"/>
        <v>2</v>
      </c>
      <c r="G17" s="614">
        <f t="shared" si="2"/>
        <v>6</v>
      </c>
      <c r="H17" s="614">
        <f t="shared" si="2"/>
        <v>4</v>
      </c>
      <c r="I17" s="614">
        <f t="shared" si="2"/>
        <v>2</v>
      </c>
      <c r="J17" s="612"/>
      <c r="K17" s="427"/>
      <c r="L17" s="1177"/>
      <c r="M17" s="1172">
        <f>+'[1]NEW-Tables 80-86'!W80</f>
        <v>99948.878333333327</v>
      </c>
    </row>
    <row r="18" spans="1:21" s="547" customFormat="1">
      <c r="A18" s="427"/>
      <c r="B18" s="612"/>
      <c r="C18" s="612"/>
      <c r="D18" s="612"/>
      <c r="E18" s="612"/>
      <c r="F18" s="613"/>
      <c r="G18" s="614"/>
      <c r="H18" s="614"/>
      <c r="I18" s="614"/>
      <c r="J18" s="612"/>
      <c r="K18" s="427"/>
      <c r="L18" s="1177"/>
      <c r="M18" s="1172">
        <f>+'[1]NEW-Tables 80-86'!W81</f>
        <v>0</v>
      </c>
    </row>
    <row r="19" spans="1:21" s="547" customFormat="1">
      <c r="A19" s="427" t="s">
        <v>455</v>
      </c>
      <c r="B19" s="612">
        <f>IF($M19&gt;0,('Amounts Pivot Table'!I$318/$M19),0)</f>
        <v>6351.7583718172191</v>
      </c>
      <c r="C19" s="612">
        <f>IF($M19&gt;0,('Amounts Pivot Table'!I$321/$M19),0)</f>
        <v>1293.2711170641403</v>
      </c>
      <c r="D19" s="612">
        <f>IF($M19&gt;0,('Amounts Pivot Table'!I$327/$M19),0)</f>
        <v>6700.9128499211174</v>
      </c>
      <c r="E19" s="612">
        <f t="shared" si="1"/>
        <v>14345.942338802477</v>
      </c>
      <c r="F19" s="613">
        <f t="shared" ref="F19:I22" si="3">IF(B19&gt;0,RANK(B19,B$9:B$27),)</f>
        <v>5</v>
      </c>
      <c r="G19" s="614">
        <f t="shared" si="3"/>
        <v>1</v>
      </c>
      <c r="H19" s="614">
        <f t="shared" si="3"/>
        <v>9</v>
      </c>
      <c r="I19" s="614">
        <f t="shared" si="3"/>
        <v>7</v>
      </c>
      <c r="J19" s="612"/>
      <c r="K19" s="427"/>
      <c r="L19" s="1177"/>
      <c r="M19" s="1172">
        <f>+'[1]NEW-Tables 80-86'!W82</f>
        <v>61954.14166666667</v>
      </c>
    </row>
    <row r="20" spans="1:21" s="547" customFormat="1">
      <c r="A20" s="427" t="s">
        <v>456</v>
      </c>
      <c r="B20" s="612">
        <f>IF($M20&gt;0,('Amounts Pivot Table'!I$357/$M20),0)</f>
        <v>9532.4116749474761</v>
      </c>
      <c r="C20" s="612">
        <f>IF($M20&gt;0,('Amounts Pivot Table'!I$360/$M20),0)</f>
        <v>514.89806108260655</v>
      </c>
      <c r="D20" s="612">
        <f>IF($M20&gt;0,('Amounts Pivot Table'!I$366/$M20),0)</f>
        <v>5020.9618283287209</v>
      </c>
      <c r="E20" s="612">
        <f t="shared" si="1"/>
        <v>15068.271564358802</v>
      </c>
      <c r="F20" s="613">
        <f t="shared" si="3"/>
        <v>1</v>
      </c>
      <c r="G20" s="614">
        <f t="shared" si="3"/>
        <v>13</v>
      </c>
      <c r="H20" s="614">
        <f t="shared" si="3"/>
        <v>14</v>
      </c>
      <c r="I20" s="614">
        <f t="shared" si="3"/>
        <v>6</v>
      </c>
      <c r="J20" s="612"/>
      <c r="K20" s="427"/>
      <c r="L20" s="1177"/>
      <c r="M20" s="1172">
        <f>+'[1]NEW-Tables 80-86'!W83</f>
        <v>193719.35833333331</v>
      </c>
    </row>
    <row r="21" spans="1:21" s="547" customFormat="1">
      <c r="A21" s="427" t="s">
        <v>463</v>
      </c>
      <c r="B21" s="612">
        <f>IF($M21&gt;0,('Amounts Pivot Table'!I$396/$M21),0)</f>
        <v>6044.1503137230384</v>
      </c>
      <c r="C21" s="612">
        <f>IF($M21&gt;0,('Amounts Pivot Table'!I$399/$M21),0)</f>
        <v>659.05918653203366</v>
      </c>
      <c r="D21" s="612">
        <f>IF($M21&gt;0,('Amounts Pivot Table'!I$405/$M21),0)</f>
        <v>6593.3518917015808</v>
      </c>
      <c r="E21" s="612">
        <f t="shared" si="1"/>
        <v>13296.561391956653</v>
      </c>
      <c r="F21" s="613">
        <f t="shared" si="3"/>
        <v>7</v>
      </c>
      <c r="G21" s="614">
        <f t="shared" si="3"/>
        <v>8</v>
      </c>
      <c r="H21" s="614">
        <f t="shared" si="3"/>
        <v>11</v>
      </c>
      <c r="I21" s="614">
        <f t="shared" si="3"/>
        <v>10</v>
      </c>
      <c r="J21" s="612"/>
      <c r="K21" s="427"/>
      <c r="L21" s="1177"/>
      <c r="M21" s="1172">
        <f>+'[1]NEW-Tables 80-86'!W84</f>
        <v>86462.941666666651</v>
      </c>
    </row>
    <row r="22" spans="1:21" s="547" customFormat="1">
      <c r="A22" s="427" t="s">
        <v>457</v>
      </c>
      <c r="B22" s="612">
        <f>IF($M22&gt;0,('Amounts Pivot Table'!I$435/$M22),0)</f>
        <v>3422.6786413684495</v>
      </c>
      <c r="C22" s="612">
        <f>IF($M22&gt;0,('Amounts Pivot Table'!I$438/$M22),0)</f>
        <v>592.10677562615774</v>
      </c>
      <c r="D22" s="612">
        <f>IF($M22&gt;0,('Amounts Pivot Table'!I$444/$M22),0)</f>
        <v>12622.826178960368</v>
      </c>
      <c r="E22" s="612">
        <f t="shared" si="1"/>
        <v>16637.611595954975</v>
      </c>
      <c r="F22" s="613">
        <f t="shared" si="3"/>
        <v>15</v>
      </c>
      <c r="G22" s="614">
        <f t="shared" si="3"/>
        <v>11</v>
      </c>
      <c r="H22" s="614">
        <f t="shared" si="3"/>
        <v>2</v>
      </c>
      <c r="I22" s="614">
        <f t="shared" si="3"/>
        <v>3</v>
      </c>
      <c r="J22" s="612"/>
      <c r="K22" s="427"/>
      <c r="L22" s="1177"/>
      <c r="M22" s="1172">
        <f>+'[1]NEW-Tables 80-86'!W85</f>
        <v>89362.46666666666</v>
      </c>
    </row>
    <row r="23" spans="1:21" s="547" customFormat="1">
      <c r="A23" s="427"/>
      <c r="B23" s="612"/>
      <c r="C23" s="612"/>
      <c r="D23" s="612"/>
      <c r="E23" s="612"/>
      <c r="F23" s="613"/>
      <c r="G23" s="614"/>
      <c r="H23" s="614"/>
      <c r="I23" s="614"/>
      <c r="J23" s="612"/>
      <c r="K23" s="427"/>
      <c r="L23" s="1177"/>
      <c r="M23" s="1172">
        <f>+'[1]NEW-Tables 80-86'!W86</f>
        <v>0</v>
      </c>
    </row>
    <row r="24" spans="1:21" s="547" customFormat="1">
      <c r="A24" s="427" t="s">
        <v>130</v>
      </c>
      <c r="B24" s="612">
        <f>IF($M24&gt;0,('Amounts Pivot Table'!I$474/$M24),0)</f>
        <v>5212.1344071273043</v>
      </c>
      <c r="C24" s="612">
        <f>IF($M24&gt;0,('Amounts Pivot Table'!I$477/$M24),0)</f>
        <v>579.07067565663829</v>
      </c>
      <c r="D24" s="612">
        <f>IF($M24&gt;0,('Amounts Pivot Table'!I$483/$M24),0)</f>
        <v>6602.6838410551154</v>
      </c>
      <c r="E24" s="612">
        <f t="shared" si="1"/>
        <v>12393.888923839058</v>
      </c>
      <c r="F24" s="613">
        <f t="shared" ref="F24:I27" si="4">IF(B24&gt;0,RANK(B24,B$9:B$27),)</f>
        <v>11</v>
      </c>
      <c r="G24" s="614">
        <f t="shared" si="4"/>
        <v>12</v>
      </c>
      <c r="H24" s="614">
        <f t="shared" si="4"/>
        <v>10</v>
      </c>
      <c r="I24" s="614">
        <f t="shared" si="4"/>
        <v>12</v>
      </c>
      <c r="J24" s="612"/>
      <c r="K24" s="427"/>
      <c r="L24" s="1177"/>
      <c r="M24" s="1172">
        <f>+'[1]NEW-Tables 80-86'!W87</f>
        <v>116827.70833333333</v>
      </c>
    </row>
    <row r="25" spans="1:21" s="547" customFormat="1">
      <c r="A25" s="427" t="s">
        <v>458</v>
      </c>
      <c r="B25" s="612">
        <f>IF($M25&gt;0,('Amounts Pivot Table'!I$513/$M25),0)</f>
        <v>6918.5024955943509</v>
      </c>
      <c r="C25" s="612">
        <f>IF($M25&gt;0,('Amounts Pivot Table'!I$516/$M25),0)</f>
        <v>619.41171060193233</v>
      </c>
      <c r="D25" s="612">
        <f>IF($M25&gt;0,('Amounts Pivot Table'!I$522/$M25),0)</f>
        <v>7930.9917418724726</v>
      </c>
      <c r="E25" s="612">
        <f t="shared" si="1"/>
        <v>15468.905948068756</v>
      </c>
      <c r="F25" s="613">
        <f t="shared" si="4"/>
        <v>4</v>
      </c>
      <c r="G25" s="614">
        <f t="shared" si="4"/>
        <v>9</v>
      </c>
      <c r="H25" s="614">
        <f t="shared" si="4"/>
        <v>7</v>
      </c>
      <c r="I25" s="614">
        <f t="shared" si="4"/>
        <v>5</v>
      </c>
      <c r="J25" s="612"/>
      <c r="K25" s="427"/>
      <c r="L25" s="1177"/>
      <c r="M25" s="1172">
        <f>+'[1]NEW-Tables 80-86'!W88</f>
        <v>431902.79166666663</v>
      </c>
    </row>
    <row r="26" spans="1:21" s="76" customFormat="1" ht="12.75" customHeight="1">
      <c r="A26" s="427" t="s">
        <v>459</v>
      </c>
      <c r="B26" s="612">
        <f>IF($M26&gt;0,('Amounts Pivot Table'!I$552/$M26),0)</f>
        <v>4622.8976296061537</v>
      </c>
      <c r="C26" s="612">
        <f>IF($M26&gt;0,('Amounts Pivot Table'!I$555/$M26),0)</f>
        <v>503.92352567155598</v>
      </c>
      <c r="D26" s="612">
        <f>IF($M26&gt;0,('Amounts Pivot Table'!I$561/$M26),0)</f>
        <v>8001.5955659869996</v>
      </c>
      <c r="E26" s="612">
        <f t="shared" si="1"/>
        <v>13128.416721264708</v>
      </c>
      <c r="F26" s="613">
        <f t="shared" si="4"/>
        <v>14</v>
      </c>
      <c r="G26" s="614">
        <f t="shared" si="4"/>
        <v>14</v>
      </c>
      <c r="H26" s="614">
        <f t="shared" si="4"/>
        <v>6</v>
      </c>
      <c r="I26" s="614">
        <f t="shared" si="4"/>
        <v>11</v>
      </c>
      <c r="J26" s="612"/>
      <c r="L26" s="170"/>
      <c r="M26" s="1172">
        <f>+'[1]NEW-Tables 80-86'!W89</f>
        <v>189579.95833333331</v>
      </c>
      <c r="P26" s="547"/>
      <c r="Q26" s="547"/>
      <c r="R26" s="547"/>
      <c r="S26" s="547"/>
      <c r="T26" s="547"/>
      <c r="U26" s="547"/>
    </row>
    <row r="27" spans="1:21" s="547" customFormat="1">
      <c r="A27" s="428" t="s">
        <v>464</v>
      </c>
      <c r="B27" s="618">
        <f>IF($M27&gt;0,('Amounts Pivot Table'!I$591/$M27),0)</f>
        <v>3297.5959293743763</v>
      </c>
      <c r="C27" s="618">
        <f>IF($M27&gt;0,('Amounts Pivot Table'!I$594/$M27),0)</f>
        <v>727.12115471320737</v>
      </c>
      <c r="D27" s="618">
        <f>IF($M27&gt;0,('Amounts Pivot Table'!I$600/$M27),0)</f>
        <v>7627.94381150974</v>
      </c>
      <c r="E27" s="619">
        <f t="shared" si="1"/>
        <v>11652.660895597324</v>
      </c>
      <c r="F27" s="620">
        <f t="shared" si="4"/>
        <v>16</v>
      </c>
      <c r="G27" s="621">
        <f t="shared" si="4"/>
        <v>5</v>
      </c>
      <c r="H27" s="621">
        <f t="shared" si="4"/>
        <v>8</v>
      </c>
      <c r="I27" s="621">
        <f t="shared" si="4"/>
        <v>13</v>
      </c>
      <c r="J27" s="612"/>
      <c r="K27" s="427"/>
      <c r="L27" s="1178"/>
      <c r="M27" s="1172">
        <f>+'[1]NEW-Tables 80-86'!W90</f>
        <v>56964.216666666667</v>
      </c>
    </row>
    <row r="28" spans="1:21" s="547" customFormat="1" ht="13.5" customHeight="1">
      <c r="A28" s="99" t="s">
        <v>469</v>
      </c>
      <c r="B28" s="612"/>
      <c r="C28" s="612"/>
      <c r="D28" s="612"/>
      <c r="E28" s="612"/>
      <c r="F28" s="614"/>
      <c r="G28" s="614"/>
      <c r="H28" s="614"/>
      <c r="I28" s="614"/>
      <c r="J28" s="612"/>
      <c r="K28" s="612"/>
      <c r="L28" s="1179"/>
      <c r="M28" s="1172"/>
    </row>
    <row r="29" spans="1:21" s="547" customFormat="1" ht="40.5" customHeight="1">
      <c r="A29" s="1405" t="s">
        <v>25</v>
      </c>
      <c r="B29" s="1456"/>
      <c r="C29" s="1456"/>
      <c r="D29" s="1456"/>
      <c r="E29" s="1456"/>
      <c r="F29" s="1456"/>
      <c r="G29" s="1457"/>
      <c r="H29" s="1457"/>
      <c r="I29" s="1457"/>
      <c r="J29" s="1180"/>
      <c r="K29" s="1180"/>
      <c r="L29" s="1181"/>
      <c r="M29" s="1172"/>
    </row>
    <row r="30" spans="1:21" s="76" customFormat="1" ht="21" customHeight="1">
      <c r="A30" s="1405" t="s">
        <v>80</v>
      </c>
      <c r="B30" s="1458"/>
      <c r="C30" s="1458"/>
      <c r="D30" s="1458"/>
      <c r="E30" s="1458"/>
      <c r="F30" s="1458"/>
      <c r="G30" s="1458"/>
      <c r="H30" s="1458"/>
      <c r="I30" s="1458"/>
      <c r="J30" s="1180"/>
      <c r="L30" s="170"/>
      <c r="M30" s="1172"/>
      <c r="P30" s="547"/>
      <c r="Q30" s="547"/>
      <c r="R30" s="547"/>
      <c r="S30" s="547"/>
      <c r="T30" s="547"/>
      <c r="U30" s="547"/>
    </row>
    <row r="31" spans="1:21" s="547" customFormat="1" ht="19.5" customHeight="1">
      <c r="A31" s="1405" t="s">
        <v>561</v>
      </c>
      <c r="B31" s="1456"/>
      <c r="C31" s="1456"/>
      <c r="D31" s="1456"/>
      <c r="E31" s="1456"/>
      <c r="F31" s="1456"/>
      <c r="G31" s="1457"/>
      <c r="H31" s="1457"/>
      <c r="I31" s="1457"/>
      <c r="J31" s="1182"/>
      <c r="K31" s="1182"/>
      <c r="L31" s="1181"/>
      <c r="M31" s="1172"/>
    </row>
    <row r="32" spans="1:21" s="547" customFormat="1">
      <c r="A32" s="1167"/>
      <c r="B32" s="1180"/>
      <c r="C32" s="1180"/>
      <c r="D32" s="1180"/>
      <c r="E32" s="1180"/>
      <c r="F32" s="1180"/>
      <c r="G32" s="1182"/>
      <c r="H32" s="1182"/>
      <c r="I32" s="591" t="s">
        <v>2018</v>
      </c>
      <c r="J32" s="1182"/>
      <c r="K32" s="1182"/>
      <c r="L32" s="1181"/>
      <c r="M32" s="1172"/>
    </row>
    <row r="33" spans="1:13" s="547" customFormat="1" ht="15.75">
      <c r="A33" s="1429" t="s">
        <v>530</v>
      </c>
      <c r="B33" s="1429"/>
      <c r="C33" s="1429"/>
      <c r="D33" s="1429"/>
      <c r="E33" s="1429"/>
      <c r="F33" s="1429"/>
      <c r="G33" s="1429"/>
      <c r="H33" s="1429"/>
      <c r="I33" s="1429"/>
      <c r="J33" s="95"/>
      <c r="K33" s="95"/>
      <c r="L33" s="1178"/>
      <c r="M33" s="1183"/>
    </row>
    <row r="34" spans="1:13" s="547" customFormat="1" ht="18.75">
      <c r="A34" s="1429" t="s">
        <v>26</v>
      </c>
      <c r="B34" s="1429"/>
      <c r="C34" s="1429"/>
      <c r="D34" s="1429"/>
      <c r="E34" s="1429"/>
      <c r="F34" s="1429"/>
      <c r="G34" s="1429"/>
      <c r="H34" s="1429"/>
      <c r="I34" s="1429"/>
      <c r="J34" s="95"/>
      <c r="K34" s="95"/>
      <c r="L34" s="1178"/>
      <c r="M34" s="1184" t="s">
        <v>388</v>
      </c>
    </row>
    <row r="35" spans="1:13" s="547" customFormat="1" ht="15.75">
      <c r="A35" s="1429" t="s">
        <v>502</v>
      </c>
      <c r="B35" s="1429"/>
      <c r="C35" s="1429"/>
      <c r="D35" s="1429"/>
      <c r="E35" s="1429"/>
      <c r="F35" s="1429"/>
      <c r="G35" s="1429"/>
      <c r="H35" s="1429"/>
      <c r="I35" s="1429"/>
      <c r="J35" s="95"/>
      <c r="K35" s="95"/>
      <c r="L35" s="166"/>
      <c r="M35" s="1172">
        <f>+'[1]NEW-Tables 80-86'!Q66</f>
        <v>0</v>
      </c>
    </row>
    <row r="36" spans="1:13" s="547" customFormat="1" ht="9.75" customHeight="1">
      <c r="A36" s="91"/>
      <c r="B36" s="91"/>
      <c r="C36" s="91"/>
      <c r="D36" s="91"/>
      <c r="E36" s="91"/>
      <c r="F36" s="91"/>
      <c r="G36" s="108"/>
      <c r="H36" s="91"/>
      <c r="I36" s="91"/>
      <c r="J36" s="91"/>
      <c r="K36" s="91"/>
      <c r="L36" s="166"/>
      <c r="M36" s="1172" t="str">
        <f>+'[1]NEW-Tables 80-86'!Q67</f>
        <v>OLD</v>
      </c>
    </row>
    <row r="37" spans="1:13" s="547" customFormat="1" ht="17.25" customHeight="1">
      <c r="A37" s="60"/>
      <c r="B37" s="109" t="s">
        <v>81</v>
      </c>
      <c r="C37" s="1185"/>
      <c r="D37" s="1185"/>
      <c r="E37" s="1185"/>
      <c r="F37" s="57" t="s">
        <v>178</v>
      </c>
      <c r="G37" s="58"/>
      <c r="H37" s="58"/>
      <c r="I37" s="58"/>
      <c r="L37" s="166"/>
      <c r="M37" s="1172" t="str">
        <f>+'[1]NEW-Tables 80-86'!Q68</f>
        <v>Four-Year</v>
      </c>
    </row>
    <row r="38" spans="1:13" s="393" customFormat="1" ht="45">
      <c r="A38" s="1173"/>
      <c r="B38" s="51" t="s">
        <v>126</v>
      </c>
      <c r="C38" s="52" t="s">
        <v>128</v>
      </c>
      <c r="D38" s="52" t="s">
        <v>438</v>
      </c>
      <c r="E38" s="52" t="s">
        <v>138</v>
      </c>
      <c r="F38" s="53" t="s">
        <v>126</v>
      </c>
      <c r="G38" s="52" t="s">
        <v>128</v>
      </c>
      <c r="H38" s="52" t="s">
        <v>438</v>
      </c>
      <c r="I38" s="52" t="s">
        <v>138</v>
      </c>
      <c r="L38" s="173"/>
      <c r="M38" s="1172"/>
    </row>
    <row r="39" spans="1:13" s="547" customFormat="1" ht="16.5" customHeight="1">
      <c r="A39" s="427" t="s">
        <v>82</v>
      </c>
      <c r="B39" s="609">
        <f>IF($M39&gt;0,('Amounts Pivot Table'!C$630/$M39),0)</f>
        <v>6682.8644279770915</v>
      </c>
      <c r="C39" s="609">
        <f>IF($M39&gt;0,('Amounts Pivot Table'!C$633/$M39),0)</f>
        <v>1302.6369761509559</v>
      </c>
      <c r="D39" s="609">
        <f>IF($M39&gt;0,('Amounts Pivot Table'!C$639/$M39),0)</f>
        <v>8445.7982025218225</v>
      </c>
      <c r="E39" s="609">
        <f>SUM(B39:D39)</f>
        <v>16431.299606649871</v>
      </c>
      <c r="F39" s="610"/>
      <c r="G39" s="611"/>
      <c r="H39" s="611"/>
      <c r="I39" s="611"/>
      <c r="J39" s="612"/>
      <c r="L39" s="1177"/>
      <c r="M39" s="1172">
        <f>+'[1]NEW-Tables 80-86'!Q70</f>
        <v>1009777.3033333333</v>
      </c>
    </row>
    <row r="40" spans="1:13" s="112" customFormat="1">
      <c r="A40" s="110"/>
      <c r="B40" s="191"/>
      <c r="C40" s="191"/>
      <c r="D40" s="191"/>
      <c r="E40" s="191"/>
      <c r="F40" s="192"/>
      <c r="G40" s="193"/>
      <c r="H40" s="193"/>
      <c r="I40" s="193"/>
      <c r="J40" s="111"/>
      <c r="L40" s="176"/>
      <c r="M40" s="1172">
        <f>+'[1]NEW-Tables 80-86'!Q71</f>
        <v>0</v>
      </c>
    </row>
    <row r="41" spans="1:13" s="547" customFormat="1" ht="12.75" customHeight="1">
      <c r="A41" s="427" t="s">
        <v>452</v>
      </c>
      <c r="B41" s="612">
        <f>IF($M41&gt;0,('Amounts Pivot Table'!C$6/$M41),0)</f>
        <v>5171.9373903803435</v>
      </c>
      <c r="C41" s="612">
        <f>IF($M41&gt;0,('Amounts Pivot Table'!C$9/$M41),0)</f>
        <v>1048.2701482294544</v>
      </c>
      <c r="D41" s="612">
        <f>IF($M41&gt;0,('Amounts Pivot Table'!C$15/$M41),0)</f>
        <v>11528.620415519972</v>
      </c>
      <c r="E41" s="612">
        <f>SUM(B41:D41)</f>
        <v>17748.827954129771</v>
      </c>
      <c r="F41" s="613">
        <f>IF(B41&gt;0,RANK(B41,$B$41:$B$59),)</f>
        <v>13</v>
      </c>
      <c r="G41" s="614">
        <f>IF(C41&gt;0,RANK(C41,C$41:C$59),)</f>
        <v>12</v>
      </c>
      <c r="H41" s="614">
        <f>IF(D41&gt;0,RANK(D41,D$41:D$59),)</f>
        <v>4</v>
      </c>
      <c r="I41" s="614">
        <f>IF(E41&gt;0,RANK(E41,E$41:E$59),)</f>
        <v>8</v>
      </c>
      <c r="J41" s="612"/>
      <c r="L41" s="1177"/>
      <c r="M41" s="1172">
        <f>+'[1]NEW-Tables 80-86'!Q72</f>
        <v>59476.48333333333</v>
      </c>
    </row>
    <row r="42" spans="1:13" s="547" customFormat="1" ht="12.75" customHeight="1">
      <c r="A42" s="427" t="s">
        <v>466</v>
      </c>
      <c r="B42" s="612">
        <f>IF($M42&gt;0,('Amounts Pivot Table'!C$45/$M42),0)</f>
        <v>6698.349545451978</v>
      </c>
      <c r="C42" s="612">
        <f>IF($M42&gt;0,('Amounts Pivot Table'!C$48/$M42),0)</f>
        <v>4572.1155073448708</v>
      </c>
      <c r="D42" s="612">
        <f>IF($M42&gt;0,('Amounts Pivot Table'!C$54/$M42),0)</f>
        <v>7476.5213757113788</v>
      </c>
      <c r="E42" s="612">
        <f>SUM(B42:D42)</f>
        <v>18746.986428508226</v>
      </c>
      <c r="F42" s="613">
        <f t="shared" ref="F42:F59" si="5">IF(B42&gt;0,RANK(B42,$B$41:$B$59),)</f>
        <v>7</v>
      </c>
      <c r="G42" s="614">
        <f t="shared" ref="G42:I59" si="6">IF(C42&gt;0,RANK(C42,C$41:C$59),)</f>
        <v>1</v>
      </c>
      <c r="H42" s="614">
        <f t="shared" si="6"/>
        <v>11</v>
      </c>
      <c r="I42" s="614">
        <f t="shared" si="6"/>
        <v>7</v>
      </c>
      <c r="J42" s="612"/>
      <c r="L42" s="1177"/>
      <c r="M42" s="1172">
        <f>+'[1]NEW-Tables 80-86'!Q73</f>
        <v>17706.233333333334</v>
      </c>
    </row>
    <row r="43" spans="1:13" s="547" customFormat="1" ht="12.75" customHeight="1">
      <c r="A43" s="427" t="s">
        <v>453</v>
      </c>
      <c r="B43" s="612">
        <f>IF($M43&gt;0,('Amounts Pivot Table'!C$85/$M43),0)</f>
        <v>5992.1037983750221</v>
      </c>
      <c r="C43" s="612">
        <f>IF($M43&gt;0,('Amounts Pivot Table'!C$88/$M43),0)</f>
        <v>471.87700910867852</v>
      </c>
      <c r="D43" s="612">
        <f>IF($M43&gt;0,('Amounts Pivot Table'!C$94/$M43),0)</f>
        <v>21392.740292634098</v>
      </c>
      <c r="E43" s="612">
        <f>SUM(B43:D43)</f>
        <v>27856.7211001178</v>
      </c>
      <c r="F43" s="613">
        <f t="shared" si="5"/>
        <v>10</v>
      </c>
      <c r="G43" s="614">
        <f t="shared" si="6"/>
        <v>16</v>
      </c>
      <c r="H43" s="614">
        <f t="shared" si="6"/>
        <v>1</v>
      </c>
      <c r="I43" s="614">
        <f t="shared" si="6"/>
        <v>1</v>
      </c>
      <c r="J43" s="612"/>
      <c r="L43" s="1177"/>
      <c r="M43" s="1172">
        <f>+'[1]NEW-Tables 80-86'!Q74</f>
        <v>19313.083333333332</v>
      </c>
    </row>
    <row r="44" spans="1:13" s="547" customFormat="1" ht="12.75" customHeight="1">
      <c r="A44" s="427" t="s">
        <v>460</v>
      </c>
      <c r="B44" s="612">
        <f>IF($M44&gt;0,('Amounts Pivot Table'!C$123/$M44),0)</f>
        <v>5866.2777652840196</v>
      </c>
      <c r="C44" s="612">
        <f>IF($M44&gt;0,('Amounts Pivot Table'!C$126/$M44),0)</f>
        <v>864.41961235397093</v>
      </c>
      <c r="D44" s="612">
        <f>IF($M44&gt;0,('Amounts Pivot Table'!C$132/$M44),0)</f>
        <v>3975.2975959260543</v>
      </c>
      <c r="E44" s="612">
        <f>SUM(B44:D44)</f>
        <v>10705.994973564046</v>
      </c>
      <c r="F44" s="613">
        <f t="shared" si="5"/>
        <v>11</v>
      </c>
      <c r="G44" s="614">
        <f t="shared" si="6"/>
        <v>14</v>
      </c>
      <c r="H44" s="614">
        <f t="shared" si="6"/>
        <v>16</v>
      </c>
      <c r="I44" s="614">
        <f t="shared" si="6"/>
        <v>16</v>
      </c>
      <c r="J44" s="612"/>
      <c r="L44" s="1177"/>
      <c r="M44" s="1172">
        <f>+'[1]NEW-Tables 80-86'!Q75</f>
        <v>209104.42500000002</v>
      </c>
    </row>
    <row r="45" spans="1:13" s="112" customFormat="1">
      <c r="A45" s="110"/>
      <c r="B45" s="191"/>
      <c r="C45" s="191"/>
      <c r="D45" s="191"/>
      <c r="E45" s="191"/>
      <c r="F45" s="613">
        <f t="shared" si="5"/>
        <v>0</v>
      </c>
      <c r="G45" s="614">
        <f t="shared" si="6"/>
        <v>0</v>
      </c>
      <c r="H45" s="614">
        <f t="shared" si="6"/>
        <v>0</v>
      </c>
      <c r="I45" s="614">
        <f t="shared" si="6"/>
        <v>0</v>
      </c>
      <c r="J45" s="111"/>
      <c r="L45" s="176"/>
      <c r="M45" s="1172">
        <f>+'[1]NEW-Tables 80-86'!Q76</f>
        <v>0</v>
      </c>
    </row>
    <row r="46" spans="1:13" s="547" customFormat="1" ht="12.75" customHeight="1">
      <c r="A46" s="427" t="s">
        <v>461</v>
      </c>
      <c r="B46" s="612">
        <f>IF($M46&gt;0,('Amounts Pivot Table'!C$162/$M46),0)</f>
        <v>7152.1570841865005</v>
      </c>
      <c r="C46" s="612">
        <f>IF($M46&gt;0,('Amounts Pivot Table'!C$165/$M46),0)</f>
        <v>1218.1430262696783</v>
      </c>
      <c r="D46" s="612">
        <f>IF($M46&gt;0,('Amounts Pivot Table'!C$171/$M46),0)</f>
        <v>6409.2630174811966</v>
      </c>
      <c r="E46" s="612">
        <f>SUM(B46:D46)</f>
        <v>14779.563127937376</v>
      </c>
      <c r="F46" s="613">
        <f t="shared" si="5"/>
        <v>5</v>
      </c>
      <c r="G46" s="614">
        <f t="shared" si="6"/>
        <v>10</v>
      </c>
      <c r="H46" s="614">
        <f t="shared" si="6"/>
        <v>14</v>
      </c>
      <c r="I46" s="614">
        <f t="shared" si="6"/>
        <v>12</v>
      </c>
      <c r="J46" s="612"/>
      <c r="L46" s="1177"/>
      <c r="M46" s="1172">
        <f>+'[1]NEW-Tables 80-86'!Q77</f>
        <v>63871.483333333337</v>
      </c>
    </row>
    <row r="47" spans="1:13" s="547" customFormat="1" ht="12.75" customHeight="1">
      <c r="A47" s="427" t="s">
        <v>454</v>
      </c>
      <c r="B47" s="612">
        <f>IF($M47&gt;0,('Amounts Pivot Table'!C$201/$M47),0)</f>
        <v>7430.0389256126491</v>
      </c>
      <c r="C47" s="612">
        <f>IF($M47&gt;0,('Amounts Pivot Table'!C$204/$M47),0)</f>
        <v>2164.8853093052771</v>
      </c>
      <c r="D47" s="612">
        <f>IF($M47&gt;0,('Amounts Pivot Table'!C$210/$M47),0)</f>
        <v>11413.340343313794</v>
      </c>
      <c r="E47" s="612">
        <f>SUM(B47:D47)</f>
        <v>21008.264578231719</v>
      </c>
      <c r="F47" s="613">
        <f t="shared" si="5"/>
        <v>4</v>
      </c>
      <c r="G47" s="614">
        <f t="shared" si="6"/>
        <v>5</v>
      </c>
      <c r="H47" s="614">
        <f t="shared" si="6"/>
        <v>5</v>
      </c>
      <c r="I47" s="614">
        <f t="shared" si="6"/>
        <v>3</v>
      </c>
      <c r="J47" s="612"/>
      <c r="L47" s="1177"/>
      <c r="M47" s="1172">
        <f>+'[1]NEW-Tables 80-86'!Q78</f>
        <v>37089.974999999999</v>
      </c>
    </row>
    <row r="48" spans="1:13" s="547" customFormat="1" ht="12.75" customHeight="1">
      <c r="A48" s="427" t="s">
        <v>462</v>
      </c>
      <c r="B48" s="612">
        <f>IF($M48&gt;0,('Amounts Pivot Table'!C$240/$M48),0)</f>
        <v>5439.7674334773756</v>
      </c>
      <c r="C48" s="612">
        <f>IF($M48&gt;0,('Amounts Pivot Table'!C$243/$M48),0)</f>
        <v>2784.5769323761756</v>
      </c>
      <c r="D48" s="612">
        <f>IF($M48&gt;0,('Amounts Pivot Table'!C$249/$M48),0)</f>
        <v>6228.7212797664843</v>
      </c>
      <c r="E48" s="612">
        <f>SUM(B48:D48)</f>
        <v>14453.065645620034</v>
      </c>
      <c r="F48" s="613">
        <f t="shared" si="5"/>
        <v>12</v>
      </c>
      <c r="G48" s="614">
        <f t="shared" si="6"/>
        <v>2</v>
      </c>
      <c r="H48" s="614">
        <f t="shared" si="6"/>
        <v>15</v>
      </c>
      <c r="I48" s="614">
        <f t="shared" si="6"/>
        <v>13</v>
      </c>
      <c r="J48" s="612"/>
      <c r="L48" s="1177"/>
      <c r="M48" s="1172">
        <f>+'[1]NEW-Tables 80-86'!Q79</f>
        <v>28434.875</v>
      </c>
    </row>
    <row r="49" spans="1:13" s="547" customFormat="1" ht="12.75" customHeight="1">
      <c r="A49" s="427" t="s">
        <v>465</v>
      </c>
      <c r="B49" s="612">
        <f>IF($M49&gt;0,('Amounts Pivot Table'!C$279/$M49),0)</f>
        <v>11581.777016837983</v>
      </c>
      <c r="C49" s="612">
        <f>IF($M49&gt;0,('Amounts Pivot Table'!C$282/$M49),0)</f>
        <v>2181.4524698012237</v>
      </c>
      <c r="D49" s="612">
        <f>IF($M49&gt;0,('Amounts Pivot Table'!C$288/$M49),0)</f>
        <v>12755.663658949099</v>
      </c>
      <c r="E49" s="612">
        <f>SUM(B49:D49)</f>
        <v>26518.893145588307</v>
      </c>
      <c r="F49" s="613">
        <f t="shared" si="5"/>
        <v>1</v>
      </c>
      <c r="G49" s="614">
        <f t="shared" si="6"/>
        <v>4</v>
      </c>
      <c r="H49" s="614">
        <f t="shared" si="6"/>
        <v>3</v>
      </c>
      <c r="I49" s="614">
        <f t="shared" si="6"/>
        <v>2</v>
      </c>
      <c r="J49" s="612"/>
      <c r="L49" s="1177"/>
      <c r="M49" s="1172">
        <f>+'[1]NEW-Tables 80-86'!Q80</f>
        <v>32837.561666666668</v>
      </c>
    </row>
    <row r="50" spans="1:13" s="112" customFormat="1">
      <c r="A50" s="110"/>
      <c r="B50" s="191"/>
      <c r="C50" s="191"/>
      <c r="D50" s="191"/>
      <c r="E50" s="191"/>
      <c r="F50" s="613">
        <f t="shared" si="5"/>
        <v>0</v>
      </c>
      <c r="G50" s="614">
        <f t="shared" si="6"/>
        <v>0</v>
      </c>
      <c r="H50" s="614">
        <f t="shared" si="6"/>
        <v>0</v>
      </c>
      <c r="I50" s="614">
        <f t="shared" si="6"/>
        <v>0</v>
      </c>
      <c r="J50" s="111"/>
      <c r="L50" s="176"/>
      <c r="M50" s="1172">
        <f>+'[1]NEW-Tables 80-86'!Q81</f>
        <v>0</v>
      </c>
    </row>
    <row r="51" spans="1:13" s="547" customFormat="1" ht="12.75" customHeight="1">
      <c r="A51" s="427" t="s">
        <v>455</v>
      </c>
      <c r="B51" s="612">
        <f>IF($M51&gt;0,('Amounts Pivot Table'!C$318/$M51),0)</f>
        <v>6116.3400513840334</v>
      </c>
      <c r="C51" s="612">
        <f>IF($M51&gt;0,('Amounts Pivot Table'!C$321/$M51),0)</f>
        <v>2266.1601092319411</v>
      </c>
      <c r="D51" s="612">
        <f>IF($M51&gt;0,('Amounts Pivot Table'!C$327/$M51),0)</f>
        <v>6462.4215413361544</v>
      </c>
      <c r="E51" s="612">
        <f>SUM(B51:D51)</f>
        <v>14844.921701952129</v>
      </c>
      <c r="F51" s="613">
        <f t="shared" si="5"/>
        <v>9</v>
      </c>
      <c r="G51" s="614">
        <f t="shared" si="6"/>
        <v>3</v>
      </c>
      <c r="H51" s="614">
        <f t="shared" si="6"/>
        <v>13</v>
      </c>
      <c r="I51" s="614">
        <f t="shared" si="6"/>
        <v>11</v>
      </c>
      <c r="J51" s="612"/>
      <c r="L51" s="1177"/>
      <c r="M51" s="1172">
        <f>+'[1]NEW-Tables 80-86'!Q82</f>
        <v>29765.408333333333</v>
      </c>
    </row>
    <row r="52" spans="1:13" s="547" customFormat="1" ht="12.75" customHeight="1">
      <c r="A52" s="427" t="s">
        <v>456</v>
      </c>
      <c r="B52" s="612">
        <f>IF($M52&gt;0,('Amounts Pivot Table'!C$357/$M52),0)</f>
        <v>11193.177386284757</v>
      </c>
      <c r="C52" s="612">
        <f>IF($M52&gt;0,('Amounts Pivot Table'!C$360/$M52),0)</f>
        <v>1847.5373123615732</v>
      </c>
      <c r="D52" s="612">
        <f>IF($M52&gt;0,('Amounts Pivot Table'!C$366/$M52),0)</f>
        <v>7317.6166661495799</v>
      </c>
      <c r="E52" s="612">
        <f>SUM(B52:D52)</f>
        <v>20358.331364795911</v>
      </c>
      <c r="F52" s="613">
        <f t="shared" si="5"/>
        <v>2</v>
      </c>
      <c r="G52" s="614">
        <f t="shared" si="6"/>
        <v>6</v>
      </c>
      <c r="H52" s="614">
        <f t="shared" si="6"/>
        <v>12</v>
      </c>
      <c r="I52" s="614">
        <f t="shared" si="6"/>
        <v>4</v>
      </c>
      <c r="J52" s="612"/>
      <c r="L52" s="1177"/>
      <c r="M52" s="1172">
        <f>+'[1]NEW-Tables 80-86'!Q83</f>
        <v>53988.475000000006</v>
      </c>
    </row>
    <row r="53" spans="1:13" s="547" customFormat="1" ht="12.75" customHeight="1">
      <c r="A53" s="427" t="s">
        <v>463</v>
      </c>
      <c r="B53" s="612">
        <f>IF($M53&gt;0,('Amounts Pivot Table'!C$396/$M53),0)</f>
        <v>7080.8923497084234</v>
      </c>
      <c r="C53" s="612">
        <f>IF($M53&gt;0,('Amounts Pivot Table'!C$399/$M53),0)</f>
        <v>1400.3588534187652</v>
      </c>
      <c r="D53" s="612">
        <f>IF($M53&gt;0,('Amounts Pivot Table'!C$405/$M53),0)</f>
        <v>8883.0873697653224</v>
      </c>
      <c r="E53" s="612">
        <f>SUM(B53:D53)</f>
        <v>17364.338572892513</v>
      </c>
      <c r="F53" s="613">
        <f t="shared" si="5"/>
        <v>6</v>
      </c>
      <c r="G53" s="614">
        <f t="shared" si="6"/>
        <v>9</v>
      </c>
      <c r="H53" s="614">
        <f t="shared" si="6"/>
        <v>9</v>
      </c>
      <c r="I53" s="614">
        <f t="shared" si="6"/>
        <v>9</v>
      </c>
      <c r="J53" s="612"/>
      <c r="L53" s="1177"/>
      <c r="M53" s="1172">
        <f>+'[1]NEW-Tables 80-86'!Q84</f>
        <v>40692.566666666666</v>
      </c>
    </row>
    <row r="54" spans="1:13" s="547" customFormat="1" ht="12.75" customHeight="1">
      <c r="A54" s="427" t="s">
        <v>457</v>
      </c>
      <c r="B54" s="612">
        <f>IF($M54&gt;0,('Amounts Pivot Table'!C$435/$M54),0)</f>
        <v>4377.8374594672041</v>
      </c>
      <c r="C54" s="612">
        <f>IF($M54&gt;0,('Amounts Pivot Table'!C$438/$M54),0)</f>
        <v>899.91023575540851</v>
      </c>
      <c r="D54" s="612">
        <f>IF($M54&gt;0,('Amounts Pivot Table'!C$444/$M54),0)</f>
        <v>14799.932352261796</v>
      </c>
      <c r="E54" s="612">
        <f>SUM(B54:D54)</f>
        <v>20077.680047484409</v>
      </c>
      <c r="F54" s="613">
        <f t="shared" si="5"/>
        <v>15</v>
      </c>
      <c r="G54" s="614">
        <f t="shared" si="6"/>
        <v>13</v>
      </c>
      <c r="H54" s="614">
        <f t="shared" si="6"/>
        <v>2</v>
      </c>
      <c r="I54" s="614">
        <f t="shared" si="6"/>
        <v>5</v>
      </c>
      <c r="J54" s="612"/>
      <c r="L54" s="1177"/>
      <c r="M54" s="1172">
        <f>+'[1]NEW-Tables 80-86'!Q85</f>
        <v>42750.875</v>
      </c>
    </row>
    <row r="55" spans="1:13" s="112" customFormat="1">
      <c r="A55" s="110"/>
      <c r="B55" s="191"/>
      <c r="C55" s="191"/>
      <c r="D55" s="191"/>
      <c r="E55" s="191"/>
      <c r="F55" s="613">
        <f t="shared" si="5"/>
        <v>0</v>
      </c>
      <c r="G55" s="614">
        <f t="shared" si="6"/>
        <v>0</v>
      </c>
      <c r="H55" s="614">
        <f t="shared" si="6"/>
        <v>0</v>
      </c>
      <c r="I55" s="614">
        <f t="shared" si="6"/>
        <v>0</v>
      </c>
      <c r="J55" s="111"/>
      <c r="L55" s="176"/>
      <c r="M55" s="1172">
        <f>+'[1]NEW-Tables 80-86'!Q86</f>
        <v>0</v>
      </c>
    </row>
    <row r="56" spans="1:13" s="547" customFormat="1" ht="12.75" customHeight="1">
      <c r="A56" s="427" t="s">
        <v>130</v>
      </c>
      <c r="B56" s="612">
        <f>IF($M56&gt;0,('Amounts Pivot Table'!C$474/$M56),0)</f>
        <v>6669.1806821401415</v>
      </c>
      <c r="C56" s="612">
        <f>IF($M56&gt;0,('Amounts Pivot Table'!C$477/$M56),0)</f>
        <v>1456.5143692233696</v>
      </c>
      <c r="D56" s="612">
        <f>IF($M56&gt;0,('Amounts Pivot Table'!C$483/$M56),0)</f>
        <v>7570.0544080320042</v>
      </c>
      <c r="E56" s="612">
        <f>SUM(B56:D56)</f>
        <v>15695.749459395516</v>
      </c>
      <c r="F56" s="613">
        <f t="shared" si="5"/>
        <v>8</v>
      </c>
      <c r="G56" s="614">
        <f t="shared" si="6"/>
        <v>7</v>
      </c>
      <c r="H56" s="614">
        <f t="shared" si="6"/>
        <v>10</v>
      </c>
      <c r="I56" s="614">
        <f t="shared" si="6"/>
        <v>10</v>
      </c>
      <c r="J56" s="612"/>
      <c r="K56" s="622"/>
      <c r="L56" s="1177"/>
      <c r="M56" s="1172">
        <f>+'[1]NEW-Tables 80-86'!Q87</f>
        <v>42795.458333333336</v>
      </c>
    </row>
    <row r="57" spans="1:13" s="547" customFormat="1" ht="12.75" customHeight="1">
      <c r="A57" s="427" t="s">
        <v>458</v>
      </c>
      <c r="B57" s="612">
        <f>IF($M57&gt;0,('Amounts Pivot Table'!C$513/$M57),0)</f>
        <v>7939.9171385260115</v>
      </c>
      <c r="C57" s="612">
        <f>IF($M57&gt;0,('Amounts Pivot Table'!C$516/$M57),0)</f>
        <v>1160.2713061532418</v>
      </c>
      <c r="D57" s="612">
        <f>IF($M57&gt;0,('Amounts Pivot Table'!C$522/$M57),0)</f>
        <v>9771.5146063814227</v>
      </c>
      <c r="E57" s="612">
        <f>SUM(B57:D57)</f>
        <v>18871.703051060678</v>
      </c>
      <c r="F57" s="613">
        <f t="shared" si="5"/>
        <v>3</v>
      </c>
      <c r="G57" s="614">
        <f t="shared" si="6"/>
        <v>11</v>
      </c>
      <c r="H57" s="614">
        <f t="shared" si="6"/>
        <v>7</v>
      </c>
      <c r="I57" s="614">
        <f t="shared" si="6"/>
        <v>6</v>
      </c>
      <c r="J57" s="612"/>
      <c r="K57" s="622"/>
      <c r="L57" s="1177"/>
      <c r="M57" s="1172">
        <f>+'[1]NEW-Tables 80-86'!Q88</f>
        <v>206945.79166666666</v>
      </c>
    </row>
    <row r="58" spans="1:13" s="76" customFormat="1" ht="12.75" customHeight="1">
      <c r="A58" s="427" t="s">
        <v>459</v>
      </c>
      <c r="B58" s="612">
        <f>IF($M58&gt;0,('Amounts Pivot Table'!C$552/$M58),0)</f>
        <v>4497.8719320807077</v>
      </c>
      <c r="C58" s="612">
        <f>IF($M58&gt;0,('Amounts Pivot Table'!C$555/$M58),0)</f>
        <v>710.01772807992938</v>
      </c>
      <c r="D58" s="612">
        <f>IF($M58&gt;0,('Amounts Pivot Table'!C$561/$M58),0)</f>
        <v>9023.3452701280348</v>
      </c>
      <c r="E58" s="612">
        <f>SUM(B58:D58)</f>
        <v>14231.234930288672</v>
      </c>
      <c r="F58" s="613">
        <f t="shared" si="5"/>
        <v>14</v>
      </c>
      <c r="G58" s="614">
        <f t="shared" si="6"/>
        <v>15</v>
      </c>
      <c r="H58" s="614">
        <f t="shared" si="6"/>
        <v>8</v>
      </c>
      <c r="I58" s="614">
        <f t="shared" si="6"/>
        <v>14</v>
      </c>
      <c r="J58" s="612"/>
      <c r="K58" s="622"/>
      <c r="L58" s="170"/>
      <c r="M58" s="1172">
        <f>+'[1]NEW-Tables 80-86'!Q89</f>
        <v>98807.466666666645</v>
      </c>
    </row>
    <row r="59" spans="1:13" s="547" customFormat="1" ht="12.75" customHeight="1">
      <c r="A59" s="428" t="s">
        <v>464</v>
      </c>
      <c r="B59" s="618">
        <f>IF($M59&gt;0,('Amounts Pivot Table'!C$591/$M59),0)</f>
        <v>2705.2078773224944</v>
      </c>
      <c r="C59" s="618">
        <f>IF($M59&gt;0,('Amounts Pivot Table'!C$594/$M59),0)</f>
        <v>1452.3391324180723</v>
      </c>
      <c r="D59" s="618">
        <f>IF($M59&gt;0,('Amounts Pivot Table'!C$600/$M59),0)</f>
        <v>9902.2764124712085</v>
      </c>
      <c r="E59" s="619">
        <f>SUM(B59:D59)</f>
        <v>14059.823422211775</v>
      </c>
      <c r="F59" s="620">
        <f t="shared" si="5"/>
        <v>16</v>
      </c>
      <c r="G59" s="621">
        <f t="shared" si="6"/>
        <v>8</v>
      </c>
      <c r="H59" s="621">
        <f t="shared" si="6"/>
        <v>6</v>
      </c>
      <c r="I59" s="621">
        <f t="shared" si="6"/>
        <v>15</v>
      </c>
      <c r="J59" s="612"/>
      <c r="K59" s="622"/>
      <c r="L59" s="1178"/>
      <c r="M59" s="1172">
        <f>+'[1]NEW-Tables 80-86'!Q90</f>
        <v>26197.141666666666</v>
      </c>
    </row>
    <row r="60" spans="1:13" s="547" customFormat="1" ht="39.75" customHeight="1">
      <c r="A60" s="1405" t="s">
        <v>25</v>
      </c>
      <c r="B60" s="1456"/>
      <c r="C60" s="1456"/>
      <c r="D60" s="1456"/>
      <c r="E60" s="1456"/>
      <c r="F60" s="1456"/>
      <c r="G60" s="1457"/>
      <c r="H60" s="1457"/>
      <c r="I60" s="1457"/>
      <c r="J60" s="622"/>
      <c r="K60" s="622"/>
      <c r="L60" s="1181"/>
      <c r="M60" s="1186"/>
    </row>
    <row r="61" spans="1:13" s="76" customFormat="1" ht="22.5" customHeight="1">
      <c r="A61" s="1405" t="s">
        <v>80</v>
      </c>
      <c r="B61" s="1458"/>
      <c r="C61" s="1458"/>
      <c r="D61" s="1458"/>
      <c r="E61" s="1458"/>
      <c r="F61" s="1458"/>
      <c r="G61" s="1458"/>
      <c r="H61" s="1458"/>
      <c r="I61" s="1458"/>
      <c r="J61" s="1180"/>
      <c r="L61" s="170"/>
      <c r="M61" s="1172"/>
    </row>
    <row r="62" spans="1:13" s="547" customFormat="1">
      <c r="A62" s="1405" t="s">
        <v>332</v>
      </c>
      <c r="B62" s="1456"/>
      <c r="C62" s="1456"/>
      <c r="D62" s="1456"/>
      <c r="E62" s="1456"/>
      <c r="F62" s="1456"/>
      <c r="G62" s="1457"/>
      <c r="H62" s="1457"/>
      <c r="I62" s="1457"/>
      <c r="J62" s="1457"/>
      <c r="K62" s="1457"/>
      <c r="L62" s="1181"/>
      <c r="M62" s="1172"/>
    </row>
    <row r="63" spans="1:13" s="547" customFormat="1">
      <c r="A63" s="1167"/>
      <c r="B63" s="1180"/>
      <c r="C63" s="1180"/>
      <c r="D63" s="1180"/>
      <c r="E63" s="1180"/>
      <c r="F63" s="1180"/>
      <c r="G63" s="1182"/>
      <c r="H63" s="1182"/>
      <c r="I63" s="1182"/>
      <c r="J63" s="1182"/>
      <c r="K63" s="1182"/>
      <c r="L63" s="1181"/>
      <c r="M63" s="1172"/>
    </row>
    <row r="64" spans="1:13" s="547" customFormat="1">
      <c r="A64" s="1167"/>
      <c r="B64" s="1180"/>
      <c r="C64" s="1180"/>
      <c r="D64" s="1180"/>
      <c r="E64" s="1180"/>
      <c r="F64" s="1180"/>
      <c r="G64" s="1182"/>
      <c r="H64" s="1182"/>
      <c r="I64" s="1393" t="s">
        <v>2023</v>
      </c>
      <c r="J64" s="1182"/>
      <c r="K64" s="1182"/>
      <c r="L64" s="1181"/>
      <c r="M64" s="1172"/>
    </row>
    <row r="65" spans="1:13" s="547" customFormat="1" ht="15.75">
      <c r="A65" s="1429" t="s">
        <v>531</v>
      </c>
      <c r="B65" s="1429"/>
      <c r="C65" s="1429"/>
      <c r="D65" s="1429"/>
      <c r="E65" s="1429"/>
      <c r="F65" s="1429"/>
      <c r="G65" s="1429"/>
      <c r="H65" s="1429"/>
      <c r="I65" s="1429"/>
      <c r="J65" s="95"/>
      <c r="L65" s="1178"/>
      <c r="M65" s="1172" t="s">
        <v>388</v>
      </c>
    </row>
    <row r="66" spans="1:13" s="547" customFormat="1" ht="18.75">
      <c r="A66" s="1429" t="s">
        <v>26</v>
      </c>
      <c r="B66" s="1429"/>
      <c r="C66" s="1429"/>
      <c r="D66" s="1429"/>
      <c r="E66" s="1429"/>
      <c r="F66" s="1429"/>
      <c r="G66" s="1429"/>
      <c r="H66" s="1429"/>
      <c r="I66" s="1429"/>
      <c r="J66" s="95"/>
      <c r="K66" s="95"/>
      <c r="L66" s="1178"/>
      <c r="M66" s="1187" t="str">
        <f>+'[1]NEW-Tables 80-86'!R67</f>
        <v>for use in Highlights and Fact Book</v>
      </c>
    </row>
    <row r="67" spans="1:13" s="547" customFormat="1" ht="15.75">
      <c r="A67" s="1429" t="s">
        <v>503</v>
      </c>
      <c r="B67" s="1429"/>
      <c r="C67" s="1429"/>
      <c r="D67" s="1429"/>
      <c r="E67" s="1429"/>
      <c r="F67" s="1429"/>
      <c r="G67" s="1429"/>
      <c r="H67" s="1429"/>
      <c r="I67" s="1429"/>
      <c r="J67" s="95"/>
      <c r="K67" s="95"/>
      <c r="L67" s="166"/>
      <c r="M67" s="1172"/>
    </row>
    <row r="68" spans="1:13" s="547" customFormat="1" ht="6.75" customHeight="1">
      <c r="A68" s="91"/>
      <c r="B68" s="91"/>
      <c r="C68" s="91"/>
      <c r="D68" s="91"/>
      <c r="E68" s="91"/>
      <c r="F68" s="91"/>
      <c r="G68" s="108" t="s">
        <v>131</v>
      </c>
      <c r="H68" s="91"/>
      <c r="I68" s="91"/>
      <c r="J68" s="91"/>
      <c r="K68" s="91"/>
      <c r="L68" s="166"/>
      <c r="M68" s="1172"/>
    </row>
    <row r="69" spans="1:13" s="547" customFormat="1" ht="15.75" customHeight="1">
      <c r="A69" s="60"/>
      <c r="B69" s="109" t="s">
        <v>81</v>
      </c>
      <c r="C69" s="1185"/>
      <c r="D69" s="1185"/>
      <c r="E69" s="1185"/>
      <c r="F69" s="57" t="s">
        <v>178</v>
      </c>
      <c r="G69" s="58"/>
      <c r="H69" s="58"/>
      <c r="I69" s="58"/>
      <c r="L69" s="166"/>
      <c r="M69" s="1172"/>
    </row>
    <row r="70" spans="1:13" s="393" customFormat="1" ht="45">
      <c r="A70" s="1173"/>
      <c r="B70" s="51" t="s">
        <v>126</v>
      </c>
      <c r="C70" s="52" t="s">
        <v>128</v>
      </c>
      <c r="D70" s="52" t="s">
        <v>438</v>
      </c>
      <c r="E70" s="52" t="s">
        <v>138</v>
      </c>
      <c r="F70" s="53" t="s">
        <v>126</v>
      </c>
      <c r="G70" s="52" t="s">
        <v>128</v>
      </c>
      <c r="H70" s="52" t="s">
        <v>438</v>
      </c>
      <c r="I70" s="52" t="s">
        <v>138</v>
      </c>
      <c r="L70" s="173"/>
    </row>
    <row r="71" spans="1:13" s="547" customFormat="1" ht="16.5" customHeight="1">
      <c r="A71" s="427" t="s">
        <v>82</v>
      </c>
      <c r="B71" s="609">
        <f>IF($M66&gt;0,('Amounts Pivot Table'!D$630/$M71),0)</f>
        <v>6595.5688888128989</v>
      </c>
      <c r="C71" s="609">
        <f>IF($M66&gt;0,('Amounts Pivot Table'!D$633/$M71),0)</f>
        <v>294.10126542684168</v>
      </c>
      <c r="D71" s="609">
        <f>IF($M66&gt;0,('Amounts Pivot Table'!D$639/$M71),0)</f>
        <v>6621.9123475038105</v>
      </c>
      <c r="E71" s="609">
        <f>SUM(B71:D71)</f>
        <v>13511.582501743551</v>
      </c>
      <c r="F71" s="610"/>
      <c r="G71" s="611"/>
      <c r="H71" s="611"/>
      <c r="I71" s="611"/>
      <c r="J71" s="609"/>
      <c r="L71" s="1177"/>
      <c r="M71" s="1172">
        <f>+'[1]NEW-Tables 80-86'!R70</f>
        <v>234090.09444444446</v>
      </c>
    </row>
    <row r="72" spans="1:13" s="547" customFormat="1" ht="10.5" customHeight="1">
      <c r="A72" s="427"/>
      <c r="B72" s="609"/>
      <c r="C72" s="609"/>
      <c r="D72" s="609"/>
      <c r="E72" s="609"/>
      <c r="F72" s="610"/>
      <c r="G72" s="611"/>
      <c r="H72" s="611"/>
      <c r="I72" s="611"/>
      <c r="J72" s="609"/>
      <c r="L72" s="1177"/>
      <c r="M72" s="1172">
        <f>+'[1]NEW-Tables 80-86'!R71</f>
        <v>0</v>
      </c>
    </row>
    <row r="73" spans="1:13" s="547" customFormat="1">
      <c r="A73" s="427" t="s">
        <v>452</v>
      </c>
      <c r="B73" s="612">
        <f>IF($M73&gt;0,('Amounts Pivot Table'!D$6/$M73),0)</f>
        <v>7010.7370971045375</v>
      </c>
      <c r="C73" s="612">
        <f>IF($M73&gt;0,('Amounts Pivot Table'!D$9/$M73),0)</f>
        <v>0</v>
      </c>
      <c r="D73" s="612">
        <f>IF($M73&gt;0,('Amounts Pivot Table'!D$15/$M73),0)</f>
        <v>9365.4462962033595</v>
      </c>
      <c r="E73" s="612">
        <f>SUM(B73:D73)</f>
        <v>16376.183393307896</v>
      </c>
      <c r="F73" s="613">
        <f>IF(B73&gt;0,RANK(B73,$B$73:$B$91),)</f>
        <v>5</v>
      </c>
      <c r="G73" s="614">
        <f>IF(C73&gt;0,RANK(C73,$C$73:$C$91),)</f>
        <v>0</v>
      </c>
      <c r="H73" s="614">
        <f>IF(D73&gt;0,RANK(D73,$D$73:$D$91),)</f>
        <v>1</v>
      </c>
      <c r="I73" s="614">
        <f>IF(E73&gt;0,RANK(E73,$E$73:$E$91),)</f>
        <v>3</v>
      </c>
      <c r="J73" s="612"/>
      <c r="L73" s="1177"/>
      <c r="M73" s="1172">
        <f>+'[1]NEW-Tables 80-86'!R72</f>
        <v>6143.8083333333334</v>
      </c>
    </row>
    <row r="74" spans="1:13" s="547" customFormat="1">
      <c r="A74" s="427" t="s">
        <v>466</v>
      </c>
      <c r="B74" s="612">
        <f>IF($M74&gt;0,('Amounts Pivot Table'!D$45/$M74),0)</f>
        <v>0</v>
      </c>
      <c r="C74" s="612">
        <f>IF($M74&gt;0,('Amounts Pivot Table'!D$48/$M74),0)</f>
        <v>0</v>
      </c>
      <c r="D74" s="612">
        <f>IF($M74&gt;0,('Amounts Pivot Table'!D$54/$M74),0)</f>
        <v>0</v>
      </c>
      <c r="E74" s="612">
        <f>SUM(B74:D74)</f>
        <v>0</v>
      </c>
      <c r="F74" s="613">
        <f t="shared" ref="F74:F91" si="7">IF(B74&gt;0,RANK(B74,$B$73:$B$91),)</f>
        <v>0</v>
      </c>
      <c r="G74" s="614">
        <f t="shared" ref="G74:G91" si="8">IF(C74&gt;0,RANK(C74,$C$73:$C$91),)</f>
        <v>0</v>
      </c>
      <c r="H74" s="614">
        <f t="shared" ref="H74:H91" si="9">IF(D74&gt;0,RANK(D74,$D$73:$D$91),)</f>
        <v>0</v>
      </c>
      <c r="I74" s="614">
        <f t="shared" ref="I74:I91" si="10">IF(E74&gt;0,RANK(E74,$E$73:$E$91),)</f>
        <v>0</v>
      </c>
      <c r="J74" s="612"/>
      <c r="L74" s="1177"/>
      <c r="M74" s="1172">
        <f>+'[1]NEW-Tables 80-86'!R73</f>
        <v>0</v>
      </c>
    </row>
    <row r="75" spans="1:13" s="547" customFormat="1">
      <c r="A75" s="427" t="s">
        <v>453</v>
      </c>
      <c r="B75" s="612">
        <f>IF($M75&gt;0,('Amounts Pivot Table'!D$84/$M75),0)</f>
        <v>0</v>
      </c>
      <c r="C75" s="612">
        <f>IF($M75&gt;0,('Amounts Pivot Table'!D$87/$M75),0)</f>
        <v>0</v>
      </c>
      <c r="D75" s="612">
        <f>IF($M75&gt;0,('Amounts Pivot Table'!D$93/$M75),0)</f>
        <v>0</v>
      </c>
      <c r="E75" s="612">
        <f>SUM(B75:D75)</f>
        <v>0</v>
      </c>
      <c r="F75" s="613">
        <f t="shared" si="7"/>
        <v>0</v>
      </c>
      <c r="G75" s="614">
        <f t="shared" si="8"/>
        <v>0</v>
      </c>
      <c r="H75" s="614">
        <f t="shared" si="9"/>
        <v>0</v>
      </c>
      <c r="I75" s="614">
        <f t="shared" si="10"/>
        <v>0</v>
      </c>
      <c r="J75" s="612"/>
      <c r="L75" s="1177"/>
      <c r="M75" s="1172">
        <f>+'[1]NEW-Tables 80-86'!R74</f>
        <v>0</v>
      </c>
    </row>
    <row r="76" spans="1:13" s="547" customFormat="1">
      <c r="A76" s="427" t="s">
        <v>460</v>
      </c>
      <c r="B76" s="612">
        <f>IF($M76&gt;0,('Amounts Pivot Table'!D$123/$M76),0)</f>
        <v>7096.8694740038154</v>
      </c>
      <c r="C76" s="612">
        <f>IF($M76&gt;0,('Amounts Pivot Table'!D$126/$M76),0)</f>
        <v>803.9221544319181</v>
      </c>
      <c r="D76" s="612">
        <f>IF($M76&gt;0,('Amounts Pivot Table'!D$132/$M76),0)</f>
        <v>3810.322842333735</v>
      </c>
      <c r="E76" s="612">
        <f>SUM(B76:D76)</f>
        <v>11711.114470769469</v>
      </c>
      <c r="F76" s="613">
        <f t="shared" si="7"/>
        <v>4</v>
      </c>
      <c r="G76" s="614">
        <f t="shared" si="8"/>
        <v>1</v>
      </c>
      <c r="H76" s="614">
        <f t="shared" si="9"/>
        <v>9</v>
      </c>
      <c r="I76" s="614">
        <f t="shared" si="10"/>
        <v>8</v>
      </c>
      <c r="J76" s="612"/>
      <c r="L76" s="1177"/>
      <c r="M76" s="1172">
        <f>+'[1]NEW-Tables 80-86'!R75</f>
        <v>21243.341666666667</v>
      </c>
    </row>
    <row r="77" spans="1:13" s="547" customFormat="1" ht="7.5" customHeight="1">
      <c r="A77" s="427"/>
      <c r="B77" s="612"/>
      <c r="C77" s="612"/>
      <c r="D77" s="612"/>
      <c r="E77" s="612"/>
      <c r="F77" s="613">
        <f t="shared" si="7"/>
        <v>0</v>
      </c>
      <c r="G77" s="614">
        <f t="shared" si="8"/>
        <v>0</v>
      </c>
      <c r="H77" s="614">
        <f t="shared" si="9"/>
        <v>0</v>
      </c>
      <c r="I77" s="614">
        <f t="shared" si="10"/>
        <v>0</v>
      </c>
      <c r="J77" s="612"/>
      <c r="L77" s="1177"/>
      <c r="M77" s="1172">
        <f>+'[1]NEW-Tables 80-86'!R76</f>
        <v>0</v>
      </c>
    </row>
    <row r="78" spans="1:13" s="547" customFormat="1">
      <c r="A78" s="427" t="s">
        <v>461</v>
      </c>
      <c r="B78" s="612">
        <f>IF($M78&gt;0,('Amounts Pivot Table'!D$162/$M78),0)</f>
        <v>8516.6640054568288</v>
      </c>
      <c r="C78" s="612">
        <f>IF($M78&gt;0,('Amounts Pivot Table'!D$165/$M78),0)</f>
        <v>653.71374162914606</v>
      </c>
      <c r="D78" s="612">
        <f>IF($M78&gt;0,('Amounts Pivot Table'!D$171/$M78),0)</f>
        <v>9061.6353710842504</v>
      </c>
      <c r="E78" s="612">
        <f>SUM(B78:D78)</f>
        <v>18232.013118170224</v>
      </c>
      <c r="F78" s="613">
        <f t="shared" si="7"/>
        <v>2</v>
      </c>
      <c r="G78" s="614">
        <f t="shared" si="8"/>
        <v>2</v>
      </c>
      <c r="H78" s="614">
        <f t="shared" si="9"/>
        <v>2</v>
      </c>
      <c r="I78" s="614">
        <f t="shared" si="10"/>
        <v>1</v>
      </c>
      <c r="J78" s="612"/>
      <c r="L78" s="1177"/>
      <c r="M78" s="1172">
        <f>+'[1]NEW-Tables 80-86'!R77</f>
        <v>22650.516666666666</v>
      </c>
    </row>
    <row r="79" spans="1:13" s="547" customFormat="1">
      <c r="A79" s="427" t="s">
        <v>454</v>
      </c>
      <c r="B79" s="612">
        <f>IF($M79&gt;0,('Amounts Pivot Table'!D$201/$M79),0)</f>
        <v>0</v>
      </c>
      <c r="C79" s="612">
        <f>IF($M79&gt;0,('Amounts Pivot Table'!D$204/$M79),0)</f>
        <v>0</v>
      </c>
      <c r="D79" s="612">
        <f>IF($M79&gt;0,('Amounts Pivot Table'!D$210/$M79),0)</f>
        <v>0</v>
      </c>
      <c r="E79" s="612">
        <f>SUM(B79:D79)</f>
        <v>0</v>
      </c>
      <c r="F79" s="613">
        <f t="shared" si="7"/>
        <v>0</v>
      </c>
      <c r="G79" s="614">
        <f t="shared" si="8"/>
        <v>0</v>
      </c>
      <c r="H79" s="614">
        <f t="shared" si="9"/>
        <v>0</v>
      </c>
      <c r="I79" s="614">
        <f t="shared" si="10"/>
        <v>0</v>
      </c>
      <c r="J79" s="612"/>
      <c r="L79" s="1177"/>
      <c r="M79" s="1172">
        <f>+'[1]NEW-Tables 80-86'!R78</f>
        <v>0</v>
      </c>
    </row>
    <row r="80" spans="1:13" s="547" customFormat="1">
      <c r="A80" s="427" t="s">
        <v>462</v>
      </c>
      <c r="B80" s="612">
        <f>IF($M80&gt;0,('Amounts Pivot Table'!D$240/$M80),0)</f>
        <v>5395.9558711257187</v>
      </c>
      <c r="C80" s="612">
        <f>IF($M80&gt;0,('Amounts Pivot Table'!D$243/$M80),0)</f>
        <v>0</v>
      </c>
      <c r="D80" s="612">
        <f>IF($M80&gt;0,('Amounts Pivot Table'!D$249/$M80),0)</f>
        <v>4535.3663413472541</v>
      </c>
      <c r="E80" s="612">
        <f>SUM(B80:D80)</f>
        <v>9931.3222124729728</v>
      </c>
      <c r="F80" s="613">
        <f t="shared" si="7"/>
        <v>8</v>
      </c>
      <c r="G80" s="614">
        <f t="shared" si="8"/>
        <v>0</v>
      </c>
      <c r="H80" s="614">
        <f t="shared" si="9"/>
        <v>7</v>
      </c>
      <c r="I80" s="614">
        <f t="shared" si="10"/>
        <v>9</v>
      </c>
      <c r="J80" s="612"/>
      <c r="L80" s="1177"/>
      <c r="M80" s="1172">
        <f>+'[1]NEW-Tables 80-86'!R79</f>
        <v>29780.702777777777</v>
      </c>
    </row>
    <row r="81" spans="1:13" s="547" customFormat="1">
      <c r="A81" s="427" t="s">
        <v>465</v>
      </c>
      <c r="B81" s="612">
        <f>IF($M81&gt;0,('Amounts Pivot Table'!D$279/$M81),0)</f>
        <v>8338.610197522974</v>
      </c>
      <c r="C81" s="612">
        <f>IF($M81&gt;0,('Amounts Pivot Table'!D$282/$M81),0)</f>
        <v>0</v>
      </c>
      <c r="D81" s="612">
        <f>IF($M81&gt;0,('Amounts Pivot Table'!D$288/$M81),0)</f>
        <v>8864.13914939202</v>
      </c>
      <c r="E81" s="612">
        <f>SUM(B81:D81)</f>
        <v>17202.749346914992</v>
      </c>
      <c r="F81" s="613">
        <f t="shared" si="7"/>
        <v>3</v>
      </c>
      <c r="G81" s="614">
        <f t="shared" si="8"/>
        <v>0</v>
      </c>
      <c r="H81" s="614">
        <f t="shared" si="9"/>
        <v>3</v>
      </c>
      <c r="I81" s="614">
        <f t="shared" si="10"/>
        <v>2</v>
      </c>
      <c r="J81" s="612"/>
      <c r="L81" s="1177"/>
      <c r="M81" s="1172">
        <f>+'[1]NEW-Tables 80-86'!R80</f>
        <v>10641.800000000001</v>
      </c>
    </row>
    <row r="82" spans="1:13" s="547" customFormat="1" ht="6.75" customHeight="1">
      <c r="A82" s="427"/>
      <c r="B82" s="612"/>
      <c r="C82" s="612"/>
      <c r="D82" s="612"/>
      <c r="E82" s="612"/>
      <c r="F82" s="613">
        <f t="shared" si="7"/>
        <v>0</v>
      </c>
      <c r="G82" s="614">
        <f t="shared" si="8"/>
        <v>0</v>
      </c>
      <c r="H82" s="614">
        <f t="shared" si="9"/>
        <v>0</v>
      </c>
      <c r="I82" s="614">
        <f t="shared" si="10"/>
        <v>0</v>
      </c>
      <c r="J82" s="612"/>
      <c r="L82" s="1177"/>
      <c r="M82" s="1172">
        <f>+'[1]NEW-Tables 80-86'!R81</f>
        <v>0</v>
      </c>
    </row>
    <row r="83" spans="1:13" s="547" customFormat="1">
      <c r="A83" s="427" t="s">
        <v>455</v>
      </c>
      <c r="B83" s="612">
        <f>IF($M83&gt;0,('Amounts Pivot Table'!D$318/$M83),0)</f>
        <v>6119.738053439879</v>
      </c>
      <c r="C83" s="612">
        <f>IF($M83&gt;0,('Amounts Pivot Table'!D$321/$M83),0)</f>
        <v>345.18803395367604</v>
      </c>
      <c r="D83" s="612">
        <f>IF($M83&gt;0,('Amounts Pivot Table'!D$327/$M83),0)</f>
        <v>7519.237021571631</v>
      </c>
      <c r="E83" s="612">
        <f>SUM(B83:D83)</f>
        <v>13984.163108965186</v>
      </c>
      <c r="F83" s="613">
        <f t="shared" si="7"/>
        <v>6</v>
      </c>
      <c r="G83" s="614">
        <f t="shared" si="8"/>
        <v>4</v>
      </c>
      <c r="H83" s="614">
        <f t="shared" si="9"/>
        <v>5</v>
      </c>
      <c r="I83" s="614">
        <f t="shared" si="10"/>
        <v>4</v>
      </c>
      <c r="J83" s="612"/>
      <c r="L83" s="1177"/>
      <c r="M83" s="1172">
        <f>+'[1]NEW-Tables 80-86'!R82</f>
        <v>21274.083333333332</v>
      </c>
    </row>
    <row r="84" spans="1:13" s="547" customFormat="1">
      <c r="A84" s="427" t="s">
        <v>456</v>
      </c>
      <c r="B84" s="612">
        <f>IF($M84&gt;0,('Amounts Pivot Table'!D$357/$M84),0)</f>
        <v>8835.5904529115869</v>
      </c>
      <c r="C84" s="612">
        <f>IF($M84&gt;0,('Amounts Pivot Table'!D$360/$M84),0)</f>
        <v>0</v>
      </c>
      <c r="D84" s="612">
        <f>IF($M84&gt;0,('Amounts Pivot Table'!D$366/$M84),0)</f>
        <v>4459.4249368877536</v>
      </c>
      <c r="E84" s="612">
        <f>SUM(B84:D84)</f>
        <v>13295.01538979934</v>
      </c>
      <c r="F84" s="613">
        <f t="shared" si="7"/>
        <v>1</v>
      </c>
      <c r="G84" s="614">
        <f t="shared" si="8"/>
        <v>0</v>
      </c>
      <c r="H84" s="614">
        <f t="shared" si="9"/>
        <v>8</v>
      </c>
      <c r="I84" s="614">
        <f t="shared" si="10"/>
        <v>6</v>
      </c>
      <c r="J84" s="612"/>
      <c r="L84" s="1177"/>
      <c r="M84" s="1172">
        <f>+'[1]NEW-Tables 80-86'!R83</f>
        <v>37195.633333333331</v>
      </c>
    </row>
    <row r="85" spans="1:13" s="547" customFormat="1">
      <c r="A85" s="427" t="s">
        <v>463</v>
      </c>
      <c r="B85" s="612">
        <f>IF($M85&gt;0,('Amounts Pivot Table'!D$396/$M85),0)</f>
        <v>0</v>
      </c>
      <c r="C85" s="612">
        <f>IF($M85&gt;0,('Amounts Pivot Table'!D$399/$M85),0)</f>
        <v>0</v>
      </c>
      <c r="D85" s="612">
        <f>IF($M85&gt;0,('Amounts Pivot Table'!D$405/$M85),0)</f>
        <v>0</v>
      </c>
      <c r="E85" s="612">
        <f>SUM(B85:D85)</f>
        <v>0</v>
      </c>
      <c r="F85" s="613">
        <f t="shared" si="7"/>
        <v>0</v>
      </c>
      <c r="G85" s="614">
        <f t="shared" si="8"/>
        <v>0</v>
      </c>
      <c r="H85" s="614">
        <f t="shared" si="9"/>
        <v>0</v>
      </c>
      <c r="I85" s="614">
        <f t="shared" si="10"/>
        <v>0</v>
      </c>
      <c r="J85" s="612"/>
      <c r="L85" s="1177"/>
      <c r="M85" s="1172">
        <f>+'[1]NEW-Tables 80-86'!R84</f>
        <v>0</v>
      </c>
    </row>
    <row r="86" spans="1:13" s="547" customFormat="1">
      <c r="A86" s="427" t="s">
        <v>457</v>
      </c>
      <c r="B86" s="612">
        <f>IF($M86&gt;0,('Amounts Pivot Table'!D$435/$M86),0)</f>
        <v>0</v>
      </c>
      <c r="C86" s="612">
        <f>IF($M86&gt;0,('Amounts Pivot Table'!D$438/$M86),0)</f>
        <v>0</v>
      </c>
      <c r="D86" s="612">
        <f>IF($M86&gt;0,('Amounts Pivot Table'!D$444/$M86),0)</f>
        <v>0</v>
      </c>
      <c r="E86" s="612">
        <f>SUM(B86:D86)</f>
        <v>0</v>
      </c>
      <c r="F86" s="613">
        <f t="shared" si="7"/>
        <v>0</v>
      </c>
      <c r="G86" s="614">
        <f t="shared" si="8"/>
        <v>0</v>
      </c>
      <c r="H86" s="614">
        <f t="shared" si="9"/>
        <v>0</v>
      </c>
      <c r="I86" s="614">
        <f t="shared" si="10"/>
        <v>0</v>
      </c>
      <c r="J86" s="612"/>
      <c r="L86" s="1177"/>
      <c r="M86" s="1172">
        <f>+'[1]NEW-Tables 80-86'!R85</f>
        <v>0</v>
      </c>
    </row>
    <row r="87" spans="1:13" s="547" customFormat="1" ht="7.5" customHeight="1">
      <c r="A87" s="427"/>
      <c r="B87" s="612"/>
      <c r="C87" s="612"/>
      <c r="D87" s="612"/>
      <c r="E87" s="612"/>
      <c r="F87" s="613">
        <f t="shared" si="7"/>
        <v>0</v>
      </c>
      <c r="G87" s="614">
        <f t="shared" si="8"/>
        <v>0</v>
      </c>
      <c r="H87" s="614">
        <f t="shared" si="9"/>
        <v>0</v>
      </c>
      <c r="I87" s="614">
        <f t="shared" si="10"/>
        <v>0</v>
      </c>
      <c r="J87" s="622"/>
      <c r="K87" s="622"/>
      <c r="L87" s="1177"/>
      <c r="M87" s="1172">
        <f>+'[1]NEW-Tables 80-86'!R86</f>
        <v>0</v>
      </c>
    </row>
    <row r="88" spans="1:13" s="547" customFormat="1">
      <c r="A88" s="427" t="s">
        <v>130</v>
      </c>
      <c r="B88" s="612">
        <f>IF($M88&gt;0,('Amounts Pivot Table'!D$474/$M88),0)</f>
        <v>0</v>
      </c>
      <c r="C88" s="612">
        <f>IF($M88&gt;0,('Amounts Pivot Table'!D$477/$M88),0)</f>
        <v>0</v>
      </c>
      <c r="D88" s="612">
        <f>IF($M88&gt;0,('Amounts Pivot Table'!D$483/$M88),0)</f>
        <v>0</v>
      </c>
      <c r="E88" s="612">
        <f>SUM(B88:D88)</f>
        <v>0</v>
      </c>
      <c r="F88" s="613">
        <f t="shared" si="7"/>
        <v>0</v>
      </c>
      <c r="G88" s="614">
        <f t="shared" si="8"/>
        <v>0</v>
      </c>
      <c r="H88" s="614">
        <f t="shared" si="9"/>
        <v>0</v>
      </c>
      <c r="I88" s="614">
        <f t="shared" si="10"/>
        <v>0</v>
      </c>
      <c r="J88" s="622"/>
      <c r="K88" s="622"/>
      <c r="L88" s="1177"/>
      <c r="M88" s="1172">
        <f>+'[1]NEW-Tables 80-86'!R87</f>
        <v>0</v>
      </c>
    </row>
    <row r="89" spans="1:13" s="547" customFormat="1">
      <c r="A89" s="427" t="s">
        <v>458</v>
      </c>
      <c r="B89" s="612">
        <f>IF($M89&gt;0,('Amounts Pivot Table'!D$513/$M89),0)</f>
        <v>5581.8248891219073</v>
      </c>
      <c r="C89" s="612">
        <f>IF($M89&gt;0,('Amounts Pivot Table'!D$516/$M89),0)</f>
        <v>189.00117787586163</v>
      </c>
      <c r="D89" s="612">
        <f>IF($M89&gt;0,('Amounts Pivot Table'!D$522/$M89),0)</f>
        <v>7376.9244578441267</v>
      </c>
      <c r="E89" s="612">
        <f>SUM(B89:D89)</f>
        <v>13147.750524841897</v>
      </c>
      <c r="F89" s="613">
        <f t="shared" si="7"/>
        <v>7</v>
      </c>
      <c r="G89" s="614">
        <f t="shared" si="8"/>
        <v>5</v>
      </c>
      <c r="H89" s="614">
        <f t="shared" si="9"/>
        <v>6</v>
      </c>
      <c r="I89" s="614">
        <f t="shared" si="10"/>
        <v>7</v>
      </c>
      <c r="J89" s="622"/>
      <c r="K89" s="622"/>
      <c r="L89" s="1177"/>
      <c r="M89" s="1172">
        <f>+'[1]NEW-Tables 80-86'!R88</f>
        <v>49177.508333333331</v>
      </c>
    </row>
    <row r="90" spans="1:13" s="76" customFormat="1" ht="14.25" customHeight="1">
      <c r="A90" s="427" t="s">
        <v>459</v>
      </c>
      <c r="B90" s="612">
        <f>IF($M90&gt;0,('Amounts Pivot Table'!D$552/$M90),0)</f>
        <v>4848.0529810158778</v>
      </c>
      <c r="C90" s="612">
        <f>IF($M90&gt;0,('Amounts Pivot Table'!D$555/$M90),0)</f>
        <v>564.80141845942637</v>
      </c>
      <c r="D90" s="612">
        <f>IF($M90&gt;0,('Amounts Pivot Table'!D$561/$M90),0)</f>
        <v>8014.3596784010097</v>
      </c>
      <c r="E90" s="612">
        <f>SUM(B90:D90)</f>
        <v>13427.214077876313</v>
      </c>
      <c r="F90" s="613">
        <f t="shared" si="7"/>
        <v>9</v>
      </c>
      <c r="G90" s="614">
        <f t="shared" si="8"/>
        <v>3</v>
      </c>
      <c r="H90" s="614">
        <f t="shared" si="9"/>
        <v>4</v>
      </c>
      <c r="I90" s="614">
        <f t="shared" si="10"/>
        <v>5</v>
      </c>
      <c r="J90" s="622"/>
      <c r="K90" s="622"/>
      <c r="L90" s="170"/>
      <c r="M90" s="1172">
        <f>+'[1]NEW-Tables 80-86'!R89</f>
        <v>35982.699999999997</v>
      </c>
    </row>
    <row r="91" spans="1:13" s="547" customFormat="1">
      <c r="A91" s="428" t="s">
        <v>464</v>
      </c>
      <c r="B91" s="618">
        <f>IF($M91&gt;0,('Amounts Pivot Table'!D$591/$M91),0)</f>
        <v>0</v>
      </c>
      <c r="C91" s="618">
        <f>IF($M91&gt;0,('Amounts Pivot Table'!D$594/$M91),0)</f>
        <v>0</v>
      </c>
      <c r="D91" s="618">
        <f>IF($M91&gt;0,('Amounts Pivot Table'!D$600/$M91),0)</f>
        <v>0</v>
      </c>
      <c r="E91" s="619">
        <f>SUM(B91:D91)</f>
        <v>0</v>
      </c>
      <c r="F91" s="620">
        <f t="shared" si="7"/>
        <v>0</v>
      </c>
      <c r="G91" s="621">
        <f t="shared" si="8"/>
        <v>0</v>
      </c>
      <c r="H91" s="621">
        <f t="shared" si="9"/>
        <v>0</v>
      </c>
      <c r="I91" s="621">
        <f t="shared" si="10"/>
        <v>0</v>
      </c>
      <c r="J91" s="622"/>
      <c r="K91" s="622"/>
      <c r="L91" s="1178"/>
      <c r="M91" s="1172">
        <f>+'[1]NEW-Tables 80-86'!R90</f>
        <v>0</v>
      </c>
    </row>
    <row r="92" spans="1:13" s="547" customFormat="1" ht="39" customHeight="1">
      <c r="A92" s="1405" t="s">
        <v>25</v>
      </c>
      <c r="B92" s="1456"/>
      <c r="C92" s="1456"/>
      <c r="D92" s="1456"/>
      <c r="E92" s="1456"/>
      <c r="F92" s="1456"/>
      <c r="G92" s="1457"/>
      <c r="H92" s="1457"/>
      <c r="I92" s="1457"/>
      <c r="J92" s="622"/>
      <c r="K92" s="622"/>
      <c r="L92" s="1181"/>
      <c r="M92" s="1186"/>
    </row>
    <row r="93" spans="1:13" s="76" customFormat="1" ht="22.5" customHeight="1">
      <c r="A93" s="1405" t="s">
        <v>80</v>
      </c>
      <c r="B93" s="1458"/>
      <c r="C93" s="1458"/>
      <c r="D93" s="1458"/>
      <c r="E93" s="1458"/>
      <c r="F93" s="1458"/>
      <c r="G93" s="1458"/>
      <c r="H93" s="1458"/>
      <c r="I93" s="1458"/>
      <c r="J93" s="1180"/>
      <c r="L93" s="170"/>
      <c r="M93" s="1172"/>
    </row>
    <row r="94" spans="1:13" s="547" customFormat="1">
      <c r="A94" s="190" t="s">
        <v>332</v>
      </c>
      <c r="B94" s="427"/>
      <c r="C94" s="427"/>
      <c r="D94" s="427"/>
      <c r="E94" s="427"/>
      <c r="F94" s="427"/>
      <c r="L94" s="1181"/>
      <c r="M94" s="1172"/>
    </row>
    <row r="95" spans="1:13" s="547" customFormat="1">
      <c r="A95" s="190"/>
      <c r="B95" s="427"/>
      <c r="C95" s="427"/>
      <c r="D95" s="427"/>
      <c r="E95" s="427"/>
      <c r="F95" s="427"/>
      <c r="L95" s="1181"/>
      <c r="M95" s="1172"/>
    </row>
    <row r="96" spans="1:13" s="547" customFormat="1">
      <c r="A96" s="190"/>
      <c r="B96" s="427"/>
      <c r="C96" s="427"/>
      <c r="D96" s="427"/>
      <c r="E96" s="427"/>
      <c r="F96" s="427"/>
      <c r="I96" s="591" t="s">
        <v>2018</v>
      </c>
      <c r="L96" s="1181"/>
      <c r="M96" s="1172"/>
    </row>
    <row r="97" spans="1:13" s="547" customFormat="1" ht="15.75">
      <c r="A97" s="1429" t="s">
        <v>532</v>
      </c>
      <c r="B97" s="1429"/>
      <c r="C97" s="1429"/>
      <c r="D97" s="1429"/>
      <c r="E97" s="1429"/>
      <c r="F97" s="1429"/>
      <c r="G97" s="1429"/>
      <c r="H97" s="1429"/>
      <c r="I97" s="1429"/>
      <c r="J97" s="622"/>
      <c r="K97" s="622"/>
      <c r="L97" s="1178"/>
      <c r="M97" s="1172"/>
    </row>
    <row r="98" spans="1:13" s="547" customFormat="1" ht="18.75">
      <c r="A98" s="1429" t="s">
        <v>26</v>
      </c>
      <c r="B98" s="1429"/>
      <c r="C98" s="1429"/>
      <c r="D98" s="1429"/>
      <c r="E98" s="1429"/>
      <c r="F98" s="1429"/>
      <c r="G98" s="1429"/>
      <c r="H98" s="1429"/>
      <c r="I98" s="1429"/>
      <c r="J98" s="622"/>
      <c r="K98" s="622"/>
      <c r="L98" s="1178"/>
      <c r="M98" s="1172"/>
    </row>
    <row r="99" spans="1:13" s="547" customFormat="1" ht="15.75">
      <c r="A99" s="1429" t="s">
        <v>504</v>
      </c>
      <c r="B99" s="1429"/>
      <c r="C99" s="1429"/>
      <c r="D99" s="1429"/>
      <c r="E99" s="1429"/>
      <c r="F99" s="1429"/>
      <c r="G99" s="1429"/>
      <c r="H99" s="1429"/>
      <c r="I99" s="1429"/>
      <c r="J99" s="91"/>
      <c r="K99" s="91"/>
      <c r="L99" s="166"/>
      <c r="M99" s="1172"/>
    </row>
    <row r="100" spans="1:13" s="547" customFormat="1" ht="9" customHeight="1">
      <c r="A100" s="91"/>
      <c r="B100" s="91"/>
      <c r="C100" s="91"/>
      <c r="D100" s="91"/>
      <c r="E100" s="91"/>
      <c r="F100" s="91"/>
      <c r="G100" s="108"/>
      <c r="H100" s="91"/>
      <c r="I100" s="91"/>
      <c r="J100" s="91"/>
      <c r="K100" s="91"/>
      <c r="L100" s="166"/>
      <c r="M100" s="1172"/>
    </row>
    <row r="101" spans="1:13" s="547" customFormat="1" ht="15.75" customHeight="1">
      <c r="A101" s="60"/>
      <c r="B101" s="109" t="s">
        <v>81</v>
      </c>
      <c r="C101" s="1185"/>
      <c r="D101" s="1185"/>
      <c r="E101" s="1185"/>
      <c r="F101" s="57" t="s">
        <v>178</v>
      </c>
      <c r="G101" s="58"/>
      <c r="H101" s="58"/>
      <c r="I101" s="58"/>
      <c r="L101" s="166"/>
      <c r="M101" s="1172"/>
    </row>
    <row r="102" spans="1:13" s="393" customFormat="1" ht="45">
      <c r="A102" s="1188"/>
      <c r="B102" s="51" t="s">
        <v>126</v>
      </c>
      <c r="C102" s="52" t="s">
        <v>128</v>
      </c>
      <c r="D102" s="52" t="s">
        <v>438</v>
      </c>
      <c r="E102" s="52" t="s">
        <v>138</v>
      </c>
      <c r="F102" s="53" t="s">
        <v>126</v>
      </c>
      <c r="G102" s="52" t="s">
        <v>128</v>
      </c>
      <c r="H102" s="52" t="s">
        <v>438</v>
      </c>
      <c r="I102" s="52" t="s">
        <v>138</v>
      </c>
      <c r="L102" s="173"/>
      <c r="M102" s="1172" t="s">
        <v>388</v>
      </c>
    </row>
    <row r="103" spans="1:13" s="547" customFormat="1" ht="16.5" customHeight="1">
      <c r="A103" s="427" t="s">
        <v>82</v>
      </c>
      <c r="B103" s="609">
        <f>IF($M103&gt;0,('Amounts Pivot Table'!E$630/$M103),0)</f>
        <v>5556.6261648033424</v>
      </c>
      <c r="C103" s="609">
        <f>IF($M103&gt;0,('Amounts Pivot Table'!E$633/$M103),0)</f>
        <v>96.023705668437074</v>
      </c>
      <c r="D103" s="609">
        <f>IF($M103&gt;0,('Amounts Pivot Table'!E$639/$M103),0)</f>
        <v>5867.8500454060986</v>
      </c>
      <c r="E103" s="609">
        <f>SUM(B103:D103)</f>
        <v>11520.499915877877</v>
      </c>
      <c r="F103" s="610"/>
      <c r="G103" s="611"/>
      <c r="H103" s="611"/>
      <c r="I103" s="611"/>
      <c r="J103" s="609"/>
      <c r="L103" s="1177"/>
      <c r="M103" s="1172">
        <f>+'[1]NEW-Tables 80-86'!S70</f>
        <v>616249.23333333328</v>
      </c>
    </row>
    <row r="104" spans="1:13" s="112" customFormat="1">
      <c r="A104" s="110"/>
      <c r="B104" s="111"/>
      <c r="C104" s="111"/>
      <c r="D104" s="111"/>
      <c r="E104" s="111"/>
      <c r="F104" s="119"/>
      <c r="G104" s="120"/>
      <c r="H104" s="120"/>
      <c r="I104" s="120"/>
      <c r="J104" s="111"/>
      <c r="L104" s="176"/>
      <c r="M104" s="1172">
        <f>+'[1]NEW-Tables 80-86'!S71</f>
        <v>0</v>
      </c>
    </row>
    <row r="105" spans="1:13" s="547" customFormat="1" ht="12.75" customHeight="1">
      <c r="A105" s="427" t="s">
        <v>452</v>
      </c>
      <c r="B105" s="612">
        <f>IF($M105&gt;0,('Amounts Pivot Table'!E$6/$M105),0)</f>
        <v>3918.8081835958856</v>
      </c>
      <c r="C105" s="612">
        <f>IF($M105&gt;0,('Amounts Pivot Table'!E$9/$M105),0)</f>
        <v>282.71777788491272</v>
      </c>
      <c r="D105" s="612">
        <f>IF($M105&gt;0,('Amounts Pivot Table'!E$15/$M105),0)</f>
        <v>5493.787536466717</v>
      </c>
      <c r="E105" s="612">
        <f>SUM(B105:D105)</f>
        <v>9695.3134979475144</v>
      </c>
      <c r="F105" s="613">
        <f>IF(B105&gt;0,RANK(B105,$B$105:$B$123),)</f>
        <v>13</v>
      </c>
      <c r="G105" s="614">
        <f>IF(C105&gt;0,RANK(C105,$C$105:$C$123),)</f>
        <v>1</v>
      </c>
      <c r="H105" s="614">
        <f>IF(D105&gt;0,RANK(D105,$D$105:$D$123),)</f>
        <v>9</v>
      </c>
      <c r="I105" s="614">
        <f>IF(E105&gt;0,RANK(E105,$E$105:$E$123),)</f>
        <v>11</v>
      </c>
      <c r="J105" s="612"/>
      <c r="L105" s="1177"/>
      <c r="M105" s="1172">
        <f>+'[1]NEW-Tables 80-86'!S72</f>
        <v>35434.708333333336</v>
      </c>
    </row>
    <row r="106" spans="1:13" s="547" customFormat="1" ht="12.75" customHeight="1">
      <c r="A106" s="427" t="s">
        <v>466</v>
      </c>
      <c r="B106" s="612">
        <f>IF($M106&gt;0,('Amounts Pivot Table'!E$45/$M106),0)</f>
        <v>5565.0240219114548</v>
      </c>
      <c r="C106" s="612">
        <f>IF($M106&gt;0,('Amounts Pivot Table'!E$48/$M106),0)</f>
        <v>112.47034832977124</v>
      </c>
      <c r="D106" s="612">
        <f>IF($M106&gt;0,('Amounts Pivot Table'!E$54/$M106),0)</f>
        <v>6651.6137689192301</v>
      </c>
      <c r="E106" s="612">
        <f>SUM(B106:D106)</f>
        <v>12329.108139160457</v>
      </c>
      <c r="F106" s="613">
        <f t="shared" ref="F106:F123" si="11">IF(B106&gt;0,RANK(B106,$B$105:$B$123),)</f>
        <v>5</v>
      </c>
      <c r="G106" s="614">
        <f t="shared" ref="G106:G123" si="12">IF(C106&gt;0,RANK(C106,$C$105:$C$123),)</f>
        <v>7</v>
      </c>
      <c r="H106" s="614">
        <f t="shared" ref="H106:H123" si="13">IF(D106&gt;0,RANK(D106,$D$105:$D$123),)</f>
        <v>5</v>
      </c>
      <c r="I106" s="614">
        <f t="shared" ref="I106:I123" si="14">IF(E106&gt;0,RANK(E106,$E$105:$E$123),)</f>
        <v>5</v>
      </c>
      <c r="J106" s="612"/>
      <c r="L106" s="1177"/>
      <c r="M106" s="1172">
        <f>+'[1]NEW-Tables 80-86'!S73</f>
        <v>31107.01666666667</v>
      </c>
    </row>
    <row r="107" spans="1:13" s="547" customFormat="1" ht="12.75" customHeight="1">
      <c r="A107" s="427" t="s">
        <v>453</v>
      </c>
      <c r="B107" s="612">
        <f>IF($M107&gt;0,('Amounts Pivot Table'!E$84/$M107),0)</f>
        <v>0</v>
      </c>
      <c r="C107" s="612">
        <f>IF($M107&gt;0,('Amounts Pivot Table'!E$87/$M107),0)</f>
        <v>0</v>
      </c>
      <c r="D107" s="612">
        <f>IF($M107&gt;0,('Amounts Pivot Table'!E$93/$M107),0)</f>
        <v>0</v>
      </c>
      <c r="E107" s="612">
        <f>SUM(B107:D107)</f>
        <v>0</v>
      </c>
      <c r="F107" s="613">
        <f t="shared" si="11"/>
        <v>0</v>
      </c>
      <c r="G107" s="614">
        <f t="shared" si="12"/>
        <v>0</v>
      </c>
      <c r="H107" s="614">
        <f t="shared" si="13"/>
        <v>0</v>
      </c>
      <c r="I107" s="614">
        <f t="shared" si="14"/>
        <v>0</v>
      </c>
      <c r="J107" s="612"/>
      <c r="L107" s="1177"/>
      <c r="M107" s="1172">
        <f>+'[1]NEW-Tables 80-86'!S74</f>
        <v>0</v>
      </c>
    </row>
    <row r="108" spans="1:13" s="547" customFormat="1" ht="12.75" customHeight="1">
      <c r="A108" s="427" t="s">
        <v>460</v>
      </c>
      <c r="B108" s="612">
        <f>IF($M108&gt;0,('Amounts Pivot Table'!E$123/$M108),0)</f>
        <v>6510.1255349043404</v>
      </c>
      <c r="C108" s="612">
        <f>IF($M108&gt;0,('Amounts Pivot Table'!E$126/$M108),0)</f>
        <v>241.91459569043002</v>
      </c>
      <c r="D108" s="612">
        <f>IF($M108&gt;0,('Amounts Pivot Table'!E$132/$M108),0)</f>
        <v>3929.9047525175524</v>
      </c>
      <c r="E108" s="612">
        <f>SUM(B108:D108)</f>
        <v>10681.944883112323</v>
      </c>
      <c r="F108" s="613">
        <f t="shared" si="11"/>
        <v>2</v>
      </c>
      <c r="G108" s="614">
        <f t="shared" si="12"/>
        <v>3</v>
      </c>
      <c r="H108" s="614">
        <f t="shared" si="13"/>
        <v>13</v>
      </c>
      <c r="I108" s="614">
        <f t="shared" si="14"/>
        <v>8</v>
      </c>
      <c r="J108" s="612"/>
      <c r="L108" s="1177"/>
      <c r="M108" s="1172">
        <f>+'[1]NEW-Tables 80-86'!S75</f>
        <v>34832.941666666666</v>
      </c>
    </row>
    <row r="109" spans="1:13" s="112" customFormat="1">
      <c r="A109" s="110"/>
      <c r="B109" s="111"/>
      <c r="C109" s="111"/>
      <c r="D109" s="111"/>
      <c r="E109" s="111"/>
      <c r="F109" s="613">
        <f t="shared" si="11"/>
        <v>0</v>
      </c>
      <c r="G109" s="614">
        <f t="shared" si="12"/>
        <v>0</v>
      </c>
      <c r="H109" s="614">
        <f t="shared" si="13"/>
        <v>0</v>
      </c>
      <c r="I109" s="614">
        <f t="shared" si="14"/>
        <v>0</v>
      </c>
      <c r="J109" s="111"/>
      <c r="L109" s="176"/>
      <c r="M109" s="1172">
        <f>+'[1]NEW-Tables 80-86'!S76</f>
        <v>0</v>
      </c>
    </row>
    <row r="110" spans="1:13" s="547" customFormat="1" ht="12.75" customHeight="1">
      <c r="A110" s="427" t="s">
        <v>461</v>
      </c>
      <c r="B110" s="612">
        <f>IF($M110&gt;0,('Amounts Pivot Table'!E$162/$M110),0)</f>
        <v>3931.4835188917646</v>
      </c>
      <c r="C110" s="612">
        <f>IF($M110&gt;0,('Amounts Pivot Table'!E$165/$M110),0)</f>
        <v>0</v>
      </c>
      <c r="D110" s="612">
        <f>IF($M110&gt;0,('Amounts Pivot Table'!E$171/$M110),0)</f>
        <v>4545.1302310763431</v>
      </c>
      <c r="E110" s="612">
        <f>SUM(B110:D110)</f>
        <v>8476.6137499681081</v>
      </c>
      <c r="F110" s="613">
        <f t="shared" si="11"/>
        <v>12</v>
      </c>
      <c r="G110" s="614">
        <f t="shared" si="12"/>
        <v>0</v>
      </c>
      <c r="H110" s="614">
        <f t="shared" si="13"/>
        <v>10</v>
      </c>
      <c r="I110" s="614">
        <f t="shared" si="14"/>
        <v>14</v>
      </c>
      <c r="J110" s="612"/>
      <c r="L110" s="1177"/>
      <c r="M110" s="1172">
        <f>+'[1]NEW-Tables 80-86'!S77</f>
        <v>38215.725000000006</v>
      </c>
    </row>
    <row r="111" spans="1:13" s="547" customFormat="1" ht="12.75" customHeight="1">
      <c r="A111" s="427" t="s">
        <v>454</v>
      </c>
      <c r="B111" s="612">
        <f>IF($M111&gt;0,('Amounts Pivot Table'!E$201/$M111),0)</f>
        <v>4830.0788624430979</v>
      </c>
      <c r="C111" s="612">
        <f>IF($M111&gt;0,('Amounts Pivot Table'!E$204/$M111),0)</f>
        <v>133.60665664560344</v>
      </c>
      <c r="D111" s="612">
        <f>IF($M111&gt;0,('Amounts Pivot Table'!E$210/$M111),0)</f>
        <v>8385.885973598537</v>
      </c>
      <c r="E111" s="612">
        <f>SUM(B111:D111)</f>
        <v>13349.571492687239</v>
      </c>
      <c r="F111" s="613">
        <f t="shared" si="11"/>
        <v>6</v>
      </c>
      <c r="G111" s="614">
        <f t="shared" si="12"/>
        <v>5</v>
      </c>
      <c r="H111" s="614">
        <f t="shared" si="13"/>
        <v>2</v>
      </c>
      <c r="I111" s="614">
        <f t="shared" si="14"/>
        <v>3</v>
      </c>
      <c r="J111" s="612"/>
      <c r="L111" s="1177"/>
      <c r="M111" s="1172">
        <f>+'[1]NEW-Tables 80-86'!S78</f>
        <v>46790.333333333328</v>
      </c>
    </row>
    <row r="112" spans="1:13" s="547" customFormat="1" ht="12.75" customHeight="1">
      <c r="A112" s="427" t="s">
        <v>462</v>
      </c>
      <c r="B112" s="612">
        <f>IF($M112&gt;0,('Amounts Pivot Table'!E$240/$M112),0)</f>
        <v>4626.5613049132808</v>
      </c>
      <c r="C112" s="612">
        <f>IF($M112&gt;0,('Amounts Pivot Table'!E$243/$M112),0)</f>
        <v>157.56735034903301</v>
      </c>
      <c r="D112" s="612">
        <f>IF($M112&gt;0,('Amounts Pivot Table'!E$249/$M112),0)</f>
        <v>3860.7182146151176</v>
      </c>
      <c r="E112" s="612">
        <f>SUM(B112:D112)</f>
        <v>8644.8468698774323</v>
      </c>
      <c r="F112" s="613">
        <f t="shared" si="11"/>
        <v>7</v>
      </c>
      <c r="G112" s="614">
        <f t="shared" si="12"/>
        <v>4</v>
      </c>
      <c r="H112" s="614">
        <f t="shared" si="13"/>
        <v>14</v>
      </c>
      <c r="I112" s="614">
        <f t="shared" si="14"/>
        <v>13</v>
      </c>
      <c r="J112" s="612"/>
      <c r="L112" s="1177"/>
      <c r="M112" s="1172">
        <f>+'[1]NEW-Tables 80-86'!S79</f>
        <v>29083.925000000003</v>
      </c>
    </row>
    <row r="113" spans="1:13" s="547" customFormat="1" ht="12.75" customHeight="1">
      <c r="A113" s="427" t="s">
        <v>465</v>
      </c>
      <c r="B113" s="612">
        <f>IF($M113&gt;0,('Amounts Pivot Table'!E$279/$M113),0)</f>
        <v>6391.1551308331527</v>
      </c>
      <c r="C113" s="612">
        <f>IF($M113&gt;0,('Amounts Pivot Table'!E$282/$M113),0)</f>
        <v>0</v>
      </c>
      <c r="D113" s="612">
        <f>IF($M113&gt;0,('Amounts Pivot Table'!E$288/$M113),0)</f>
        <v>7823.9840693626556</v>
      </c>
      <c r="E113" s="612">
        <f>SUM(B113:D113)</f>
        <v>14215.139200195808</v>
      </c>
      <c r="F113" s="613">
        <f t="shared" si="11"/>
        <v>3</v>
      </c>
      <c r="G113" s="614">
        <f t="shared" si="12"/>
        <v>0</v>
      </c>
      <c r="H113" s="614">
        <f t="shared" si="13"/>
        <v>3</v>
      </c>
      <c r="I113" s="614">
        <f t="shared" si="14"/>
        <v>2</v>
      </c>
      <c r="J113" s="612"/>
      <c r="L113" s="1177"/>
      <c r="M113" s="1172">
        <f>+'[1]NEW-Tables 80-86'!S80</f>
        <v>25058.633333333331</v>
      </c>
    </row>
    <row r="114" spans="1:13" s="112" customFormat="1">
      <c r="A114" s="110"/>
      <c r="B114" s="111"/>
      <c r="C114" s="111"/>
      <c r="D114" s="111"/>
      <c r="E114" s="111"/>
      <c r="F114" s="613">
        <f t="shared" si="11"/>
        <v>0</v>
      </c>
      <c r="G114" s="614">
        <f t="shared" si="12"/>
        <v>0</v>
      </c>
      <c r="H114" s="614">
        <f t="shared" si="13"/>
        <v>0</v>
      </c>
      <c r="I114" s="614">
        <f t="shared" si="14"/>
        <v>0</v>
      </c>
      <c r="J114" s="111"/>
      <c r="L114" s="176"/>
      <c r="M114" s="1172">
        <f>+'[1]NEW-Tables 80-86'!S81</f>
        <v>0</v>
      </c>
    </row>
    <row r="115" spans="1:13" s="547" customFormat="1" ht="12.75" customHeight="1">
      <c r="A115" s="427" t="s">
        <v>455</v>
      </c>
      <c r="B115" s="612">
        <f>IF($M115&gt;0,('Amounts Pivot Table'!E$318/$M115),0)</f>
        <v>0</v>
      </c>
      <c r="C115" s="612">
        <f>IF($M115&gt;0,('Amounts Pivot Table'!E$321/$M115),0)</f>
        <v>0</v>
      </c>
      <c r="D115" s="612">
        <f>IF($M115&gt;0,('Amounts Pivot Table'!E$327/$M115),0)</f>
        <v>0</v>
      </c>
      <c r="E115" s="612">
        <f>SUM(B115:D115)</f>
        <v>0</v>
      </c>
      <c r="F115" s="613">
        <f t="shared" si="11"/>
        <v>0</v>
      </c>
      <c r="G115" s="614">
        <f t="shared" si="12"/>
        <v>0</v>
      </c>
      <c r="H115" s="614">
        <f t="shared" si="13"/>
        <v>0</v>
      </c>
      <c r="I115" s="614">
        <f t="shared" si="14"/>
        <v>0</v>
      </c>
      <c r="J115" s="612"/>
      <c r="L115" s="1177"/>
      <c r="M115" s="1172">
        <f>+'[1]NEW-Tables 80-86'!S82</f>
        <v>0</v>
      </c>
    </row>
    <row r="116" spans="1:13" s="547" customFormat="1" ht="12.75" customHeight="1">
      <c r="A116" s="427" t="s">
        <v>456</v>
      </c>
      <c r="B116" s="612">
        <f>IF($M116&gt;0,('Amounts Pivot Table'!E$357/$M116),0)</f>
        <v>8651.3693207568249</v>
      </c>
      <c r="C116" s="612">
        <f>IF($M116&gt;0,('Amounts Pivot Table'!E$360/$M116),0)</f>
        <v>0</v>
      </c>
      <c r="D116" s="612">
        <f>IF($M116&gt;0,('Amounts Pivot Table'!E$366/$M116),0)</f>
        <v>4297.9245666867664</v>
      </c>
      <c r="E116" s="612">
        <f>SUM(B116:D116)</f>
        <v>12949.293887443591</v>
      </c>
      <c r="F116" s="613">
        <f t="shared" si="11"/>
        <v>1</v>
      </c>
      <c r="G116" s="614">
        <f t="shared" si="12"/>
        <v>0</v>
      </c>
      <c r="H116" s="614">
        <f t="shared" si="13"/>
        <v>12</v>
      </c>
      <c r="I116" s="614">
        <f t="shared" si="14"/>
        <v>4</v>
      </c>
      <c r="J116" s="612"/>
      <c r="L116" s="1177"/>
      <c r="M116" s="1172">
        <f>+'[1]NEW-Tables 80-86'!S83</f>
        <v>78431.041666666657</v>
      </c>
    </row>
    <row r="117" spans="1:13" s="547" customFormat="1" ht="12.75" customHeight="1">
      <c r="A117" s="427" t="s">
        <v>463</v>
      </c>
      <c r="B117" s="612">
        <f>IF($M117&gt;0,('Amounts Pivot Table'!E$396/$M117),0)</f>
        <v>4607.9567962231931</v>
      </c>
      <c r="C117" s="612">
        <f>IF($M117&gt;0,('Amounts Pivot Table'!E$399/$M117),0)</f>
        <v>0</v>
      </c>
      <c r="D117" s="612">
        <f>IF($M117&gt;0,('Amounts Pivot Table'!E$405/$M117),0)</f>
        <v>4447.9156929095952</v>
      </c>
      <c r="E117" s="612">
        <f>SUM(B117:D117)</f>
        <v>9055.8724891327875</v>
      </c>
      <c r="F117" s="613">
        <f t="shared" si="11"/>
        <v>8</v>
      </c>
      <c r="G117" s="614">
        <f t="shared" si="12"/>
        <v>0</v>
      </c>
      <c r="H117" s="614">
        <f t="shared" si="13"/>
        <v>11</v>
      </c>
      <c r="I117" s="614">
        <f t="shared" si="14"/>
        <v>12</v>
      </c>
      <c r="J117" s="612"/>
      <c r="L117" s="1177"/>
      <c r="M117" s="1172">
        <f>+'[1]NEW-Tables 80-86'!S84</f>
        <v>19868.633333333331</v>
      </c>
    </row>
    <row r="118" spans="1:13" s="547" customFormat="1" ht="12.75" customHeight="1">
      <c r="A118" s="427" t="s">
        <v>457</v>
      </c>
      <c r="B118" s="612">
        <f>IF($M118&gt;0,('Amounts Pivot Table'!E$435/$M118),0)</f>
        <v>2506.9652505459703</v>
      </c>
      <c r="C118" s="612">
        <f>IF($M118&gt;0,('Amounts Pivot Table'!E$438/$M118),0)</f>
        <v>116.92299820872644</v>
      </c>
      <c r="D118" s="1200">
        <f>IF($M118&gt;0,('Amounts Pivot Table'!E$444/$M118),0)</f>
        <v>11670.411449311439</v>
      </c>
      <c r="E118" s="612">
        <f>SUM(B118:D118)</f>
        <v>14294.299698066136</v>
      </c>
      <c r="F118" s="613">
        <f t="shared" si="11"/>
        <v>14</v>
      </c>
      <c r="G118" s="614">
        <f t="shared" si="12"/>
        <v>6</v>
      </c>
      <c r="H118" s="614">
        <f t="shared" si="13"/>
        <v>1</v>
      </c>
      <c r="I118" s="614">
        <f t="shared" si="14"/>
        <v>1</v>
      </c>
      <c r="J118" s="612"/>
      <c r="L118" s="1177"/>
      <c r="M118" s="1172">
        <f>+'[1]NEW-Tables 80-86'!S85</f>
        <v>15961.641666666666</v>
      </c>
    </row>
    <row r="119" spans="1:13" s="112" customFormat="1">
      <c r="A119" s="110"/>
      <c r="B119" s="111"/>
      <c r="C119" s="111"/>
      <c r="D119" s="111"/>
      <c r="E119" s="111"/>
      <c r="F119" s="613">
        <f t="shared" si="11"/>
        <v>0</v>
      </c>
      <c r="G119" s="614">
        <f t="shared" si="12"/>
        <v>0</v>
      </c>
      <c r="H119" s="614">
        <f t="shared" si="13"/>
        <v>0</v>
      </c>
      <c r="I119" s="614">
        <f t="shared" si="14"/>
        <v>0</v>
      </c>
      <c r="J119" s="111"/>
      <c r="L119" s="176"/>
      <c r="M119" s="1172">
        <f>+'[1]NEW-Tables 80-86'!S86</f>
        <v>0</v>
      </c>
    </row>
    <row r="120" spans="1:13" s="547" customFormat="1" ht="12.75" customHeight="1">
      <c r="A120" s="427" t="s">
        <v>130</v>
      </c>
      <c r="B120" s="612">
        <f>IF($M120&gt;0,('Amounts Pivot Table'!E$474/$M120),0)</f>
        <v>4377.7358859318438</v>
      </c>
      <c r="C120" s="612">
        <f>IF($M120&gt;0,('Amounts Pivot Table'!E$477/$M120),0)</f>
        <v>79.098946422990679</v>
      </c>
      <c r="D120" s="612">
        <f>IF($M120&gt;0,('Amounts Pivot Table'!E$483/$M120),0)</f>
        <v>6068.0812437219956</v>
      </c>
      <c r="E120" s="612">
        <f>SUM(B120:D120)</f>
        <v>10524.91607607683</v>
      </c>
      <c r="F120" s="613">
        <f t="shared" si="11"/>
        <v>9</v>
      </c>
      <c r="G120" s="614">
        <f t="shared" si="12"/>
        <v>9</v>
      </c>
      <c r="H120" s="614">
        <f t="shared" si="13"/>
        <v>6</v>
      </c>
      <c r="I120" s="614">
        <f t="shared" si="14"/>
        <v>9</v>
      </c>
      <c r="J120" s="612"/>
      <c r="L120" s="1177"/>
      <c r="M120" s="1172">
        <f>+'[1]NEW-Tables 80-86'!S87</f>
        <v>67248.683333333334</v>
      </c>
    </row>
    <row r="121" spans="1:13" s="547" customFormat="1" ht="12.75" customHeight="1">
      <c r="A121" s="427" t="s">
        <v>458</v>
      </c>
      <c r="B121" s="612">
        <f>IF($M121&gt;0,('Amounts Pivot Table'!E$513/$M121),0)</f>
        <v>6067.5479619883899</v>
      </c>
      <c r="C121" s="612">
        <f>IF($M121&gt;0,('Amounts Pivot Table'!E$516/$M121),0)</f>
        <v>102.52506416976742</v>
      </c>
      <c r="D121" s="612">
        <f>IF($M121&gt;0,('Amounts Pivot Table'!E$522/$M121),0)</f>
        <v>5987.0924426623278</v>
      </c>
      <c r="E121" s="612">
        <f>SUM(B121:D121)</f>
        <v>12157.165468820485</v>
      </c>
      <c r="F121" s="613">
        <f t="shared" si="11"/>
        <v>4</v>
      </c>
      <c r="G121" s="614">
        <f t="shared" si="12"/>
        <v>8</v>
      </c>
      <c r="H121" s="614">
        <f t="shared" si="13"/>
        <v>7</v>
      </c>
      <c r="I121" s="614">
        <f t="shared" si="14"/>
        <v>6</v>
      </c>
      <c r="J121" s="612"/>
      <c r="K121" s="612"/>
      <c r="L121" s="1177"/>
      <c r="M121" s="1172">
        <f>+'[1]NEW-Tables 80-86'!S88</f>
        <v>158388.45000000001</v>
      </c>
    </row>
    <row r="122" spans="1:13" s="76" customFormat="1" ht="12.75" customHeight="1">
      <c r="A122" s="427" t="s">
        <v>459</v>
      </c>
      <c r="B122" s="612">
        <f>IF($M122&gt;0,('Amounts Pivot Table'!E$552/$M122),0)</f>
        <v>4224.2178280756489</v>
      </c>
      <c r="C122" s="612">
        <f>IF($M122&gt;0,('Amounts Pivot Table'!E$554/$M122),0)</f>
        <v>-5.7766273042685394E-5</v>
      </c>
      <c r="D122" s="612">
        <f>IF($M122&gt;0,('Amounts Pivot Table'!E$561/$M122),0)</f>
        <v>6903.065432391696</v>
      </c>
      <c r="E122" s="612">
        <f>SUM(B122:D122)</f>
        <v>11127.283202701072</v>
      </c>
      <c r="F122" s="613">
        <f t="shared" si="11"/>
        <v>10</v>
      </c>
      <c r="G122" s="614">
        <f t="shared" si="12"/>
        <v>0</v>
      </c>
      <c r="H122" s="614">
        <f t="shared" si="13"/>
        <v>4</v>
      </c>
      <c r="I122" s="614">
        <f t="shared" si="14"/>
        <v>7</v>
      </c>
      <c r="J122" s="612"/>
      <c r="K122" s="612"/>
      <c r="L122" s="170"/>
      <c r="M122" s="1172">
        <f>+'[1]NEW-Tables 80-86'!S89</f>
        <v>24830.591666666671</v>
      </c>
    </row>
    <row r="123" spans="1:13" s="547" customFormat="1" ht="12.75" customHeight="1">
      <c r="A123" s="428" t="s">
        <v>464</v>
      </c>
      <c r="B123" s="618">
        <f>IF($M123&gt;0,('Amounts Pivot Table'!E$591/$M123),0)</f>
        <v>4014.5547877471627</v>
      </c>
      <c r="C123" s="618">
        <f>IF($M123&gt;0,('Amounts Pivot Table'!E$594/$M123),0)</f>
        <v>270.32625078715307</v>
      </c>
      <c r="D123" s="618">
        <f>IF($M123&gt;0,('Amounts Pivot Table'!E$600/$M123),0)</f>
        <v>5788.9632313324428</v>
      </c>
      <c r="E123" s="619">
        <f>SUM(B123:D123)</f>
        <v>10073.844269866759</v>
      </c>
      <c r="F123" s="620">
        <f t="shared" si="11"/>
        <v>11</v>
      </c>
      <c r="G123" s="621">
        <f t="shared" si="12"/>
        <v>2</v>
      </c>
      <c r="H123" s="621">
        <f t="shared" si="13"/>
        <v>8</v>
      </c>
      <c r="I123" s="621">
        <f t="shared" si="14"/>
        <v>10</v>
      </c>
      <c r="J123" s="612"/>
      <c r="K123" s="612"/>
      <c r="L123" s="1178"/>
      <c r="M123" s="1172">
        <f>+'[1]NEW-Tables 80-86'!S90</f>
        <v>10996.908333333333</v>
      </c>
    </row>
    <row r="124" spans="1:13" s="547" customFormat="1" ht="41.25" customHeight="1">
      <c r="A124" s="1405" t="s">
        <v>25</v>
      </c>
      <c r="B124" s="1456"/>
      <c r="C124" s="1456"/>
      <c r="D124" s="1456"/>
      <c r="E124" s="1456"/>
      <c r="F124" s="1456"/>
      <c r="G124" s="1457"/>
      <c r="H124" s="1457"/>
      <c r="I124" s="1457"/>
      <c r="J124" s="612"/>
      <c r="K124" s="612"/>
      <c r="L124" s="1181"/>
      <c r="M124" s="1186"/>
    </row>
    <row r="125" spans="1:13" s="76" customFormat="1" ht="22.5" customHeight="1">
      <c r="A125" s="1405" t="s">
        <v>80</v>
      </c>
      <c r="B125" s="1458"/>
      <c r="C125" s="1458"/>
      <c r="D125" s="1458"/>
      <c r="E125" s="1458"/>
      <c r="F125" s="1458"/>
      <c r="G125" s="1458"/>
      <c r="H125" s="1458"/>
      <c r="I125" s="1458"/>
      <c r="J125" s="1180"/>
      <c r="L125" s="170"/>
      <c r="M125" s="1172"/>
    </row>
    <row r="126" spans="1:13" s="547" customFormat="1">
      <c r="A126" s="190" t="s">
        <v>332</v>
      </c>
      <c r="B126" s="427"/>
      <c r="C126" s="427"/>
      <c r="D126" s="427"/>
      <c r="E126" s="427"/>
      <c r="F126" s="427"/>
      <c r="L126" s="1181"/>
      <c r="M126" s="1172"/>
    </row>
    <row r="127" spans="1:13" s="547" customFormat="1">
      <c r="A127" s="190"/>
      <c r="B127" s="427"/>
      <c r="C127" s="427"/>
      <c r="D127" s="427"/>
      <c r="E127" s="427"/>
      <c r="F127" s="427"/>
      <c r="L127" s="1181"/>
      <c r="M127" s="1172"/>
    </row>
    <row r="128" spans="1:13" s="547" customFormat="1" ht="17.25" customHeight="1">
      <c r="A128" s="1167"/>
      <c r="B128" s="1180"/>
      <c r="C128" s="1180"/>
      <c r="D128" s="1180"/>
      <c r="E128" s="1180"/>
      <c r="F128" s="1180"/>
      <c r="G128" s="1182"/>
      <c r="H128" s="1182"/>
      <c r="I128" s="1393" t="s">
        <v>2023</v>
      </c>
      <c r="J128" s="1182"/>
      <c r="K128" s="1182"/>
      <c r="L128" s="1181"/>
      <c r="M128" s="1172"/>
    </row>
    <row r="129" spans="1:13" s="547" customFormat="1" ht="15.75">
      <c r="A129" s="1429" t="s">
        <v>533</v>
      </c>
      <c r="B129" s="1429"/>
      <c r="C129" s="1429"/>
      <c r="D129" s="1429"/>
      <c r="E129" s="1429"/>
      <c r="F129" s="1429"/>
      <c r="G129" s="1429"/>
      <c r="H129" s="1429"/>
      <c r="I129" s="1429"/>
      <c r="J129" s="622"/>
      <c r="K129" s="622"/>
      <c r="L129" s="1178"/>
      <c r="M129" s="1172"/>
    </row>
    <row r="130" spans="1:13" s="547" customFormat="1" ht="18.75">
      <c r="A130" s="1429" t="s">
        <v>26</v>
      </c>
      <c r="B130" s="1429"/>
      <c r="C130" s="1429"/>
      <c r="D130" s="1429"/>
      <c r="E130" s="1429"/>
      <c r="F130" s="1429"/>
      <c r="G130" s="1429"/>
      <c r="H130" s="1429"/>
      <c r="I130" s="1429"/>
      <c r="J130" s="622"/>
      <c r="K130" s="622"/>
      <c r="L130" s="166"/>
      <c r="M130" s="1172"/>
    </row>
    <row r="131" spans="1:13" s="547" customFormat="1" ht="15.75">
      <c r="A131" s="1429" t="s">
        <v>505</v>
      </c>
      <c r="B131" s="1429"/>
      <c r="C131" s="1429"/>
      <c r="D131" s="1429"/>
      <c r="E131" s="1429"/>
      <c r="F131" s="1429"/>
      <c r="G131" s="1429"/>
      <c r="H131" s="1429"/>
      <c r="I131" s="1429"/>
      <c r="J131" s="91"/>
      <c r="K131" s="91"/>
      <c r="L131" s="166"/>
      <c r="M131" s="1172"/>
    </row>
    <row r="132" spans="1:13" s="547" customFormat="1" ht="15" customHeight="1">
      <c r="A132" s="91"/>
      <c r="B132" s="91"/>
      <c r="C132" s="91"/>
      <c r="D132" s="91"/>
      <c r="E132" s="91"/>
      <c r="F132" s="91"/>
      <c r="G132" s="108"/>
      <c r="H132" s="91"/>
      <c r="I132" s="91"/>
      <c r="J132" s="91"/>
      <c r="K132" s="91"/>
      <c r="L132" s="166"/>
      <c r="M132" s="1183"/>
    </row>
    <row r="133" spans="1:13" s="547" customFormat="1" ht="15.75">
      <c r="A133" s="60"/>
      <c r="B133" s="109" t="s">
        <v>81</v>
      </c>
      <c r="C133" s="1185"/>
      <c r="D133" s="1185"/>
      <c r="E133" s="1185"/>
      <c r="F133" s="57" t="s">
        <v>178</v>
      </c>
      <c r="G133" s="58"/>
      <c r="H133" s="58"/>
      <c r="I133" s="58"/>
      <c r="L133" s="174"/>
      <c r="M133" s="1172"/>
    </row>
    <row r="134" spans="1:13" s="393" customFormat="1" ht="45">
      <c r="A134" s="1173"/>
      <c r="B134" s="51" t="s">
        <v>126</v>
      </c>
      <c r="C134" s="52" t="s">
        <v>128</v>
      </c>
      <c r="D134" s="52" t="s">
        <v>438</v>
      </c>
      <c r="E134" s="52" t="s">
        <v>138</v>
      </c>
      <c r="F134" s="53" t="s">
        <v>126</v>
      </c>
      <c r="G134" s="52" t="s">
        <v>128</v>
      </c>
      <c r="H134" s="52" t="s">
        <v>438</v>
      </c>
      <c r="I134" s="52" t="s">
        <v>138</v>
      </c>
      <c r="L134" s="1175"/>
      <c r="M134" s="1184" t="s">
        <v>388</v>
      </c>
    </row>
    <row r="135" spans="1:13" s="547" customFormat="1" ht="14.25">
      <c r="A135" s="427" t="s">
        <v>82</v>
      </c>
      <c r="B135" s="609">
        <f>IF($M135&gt;0,('Amounts Pivot Table'!F$630/$M135),0)</f>
        <v>5154.1509367770814</v>
      </c>
      <c r="C135" s="609">
        <f>IF($M135&gt;0,('Amounts Pivot Table'!F$633/$M135),0)</f>
        <v>129.35085375985787</v>
      </c>
      <c r="D135" s="609">
        <f>IF($M135&gt;0,('Amounts Pivot Table'!F$639/$M135),0)</f>
        <v>5516.4059799697734</v>
      </c>
      <c r="E135" s="609">
        <f>SUM(B135:D135)</f>
        <v>10799.907770506714</v>
      </c>
      <c r="F135" s="610"/>
      <c r="G135" s="611"/>
      <c r="H135" s="611"/>
      <c r="I135" s="611"/>
      <c r="J135" s="609"/>
      <c r="L135" s="1177"/>
      <c r="M135" s="1172">
        <f>+'[1]NEW-Tables 80-86'!T70</f>
        <v>201213.39166666663</v>
      </c>
    </row>
    <row r="136" spans="1:13" s="547" customFormat="1" ht="9.75" customHeight="1">
      <c r="A136" s="427"/>
      <c r="B136" s="609"/>
      <c r="C136" s="609"/>
      <c r="D136" s="609"/>
      <c r="E136" s="609"/>
      <c r="F136" s="610"/>
      <c r="G136" s="611"/>
      <c r="H136" s="611"/>
      <c r="I136" s="611"/>
      <c r="J136" s="609"/>
      <c r="L136" s="1177"/>
      <c r="M136" s="1172">
        <f>+'[1]NEW-Tables 80-86'!T71</f>
        <v>0</v>
      </c>
    </row>
    <row r="137" spans="1:13" s="547" customFormat="1" ht="12.75" customHeight="1">
      <c r="A137" s="427" t="s">
        <v>452</v>
      </c>
      <c r="B137" s="612">
        <f>IF($M137&gt;0,('Amounts Pivot Table'!F$6/$M137),0)</f>
        <v>5329.9844333220226</v>
      </c>
      <c r="C137" s="612">
        <f>IF($M137&gt;0,('Amounts Pivot Table'!F$9/$M137),0)</f>
        <v>207.5021208008144</v>
      </c>
      <c r="D137" s="612">
        <f>IF($M137&gt;0,('Amounts Pivot Table'!F$15/$M137),0)</f>
        <v>6587.8600907702757</v>
      </c>
      <c r="E137" s="612">
        <f>SUM(B137:D137)</f>
        <v>12125.346644893114</v>
      </c>
      <c r="F137" s="613">
        <f>IF(B137&gt;0,RANK(B137,$B$137:$B$155),)</f>
        <v>6</v>
      </c>
      <c r="G137" s="614">
        <f>IF(C137&gt;0,RANK(C137,$C$137:$C$155),)</f>
        <v>5</v>
      </c>
      <c r="H137" s="614">
        <f>IF(D137&gt;0,RANK(D137,$D$137:$D$155),)</f>
        <v>5</v>
      </c>
      <c r="I137" s="614">
        <f>IF(E137&gt;0,RANK(E137,$E$137:$E$155),)</f>
        <v>7</v>
      </c>
      <c r="J137" s="612"/>
      <c r="L137" s="1177"/>
      <c r="M137" s="1172">
        <f>+'[1]NEW-Tables 80-86'!T72</f>
        <v>15717.333333333332</v>
      </c>
    </row>
    <row r="138" spans="1:13" s="547" customFormat="1" ht="12.75" customHeight="1">
      <c r="A138" s="427" t="s">
        <v>466</v>
      </c>
      <c r="B138" s="612">
        <f>IF($M138&gt;0,('Amounts Pivot Table'!F$45/$M138),0)</f>
        <v>4998.2417112724706</v>
      </c>
      <c r="C138" s="612">
        <f>IF($M138&gt;0,('Amounts Pivot Table'!F$48/$M138),0)</f>
        <v>320.51578722410255</v>
      </c>
      <c r="D138" s="612">
        <f>IF($M138&gt;0,('Amounts Pivot Table'!F$54/$M138),0)</f>
        <v>6081.5513376771187</v>
      </c>
      <c r="E138" s="612">
        <f>SUM(B138:D138)</f>
        <v>11400.308836173692</v>
      </c>
      <c r="F138" s="613">
        <f t="shared" ref="F138:F155" si="15">IF(B138&gt;0,RANK(B138,$B$137:$B$155),)</f>
        <v>7</v>
      </c>
      <c r="G138" s="614">
        <f t="shared" ref="G138:G155" si="16">IF(C138&gt;0,RANK(C138,$C$137:$C$155),)</f>
        <v>3</v>
      </c>
      <c r="H138" s="614">
        <f t="shared" ref="H138:H155" si="17">IF(D138&gt;0,RANK(D138,$D$137:$D$155),)</f>
        <v>6</v>
      </c>
      <c r="I138" s="614">
        <f t="shared" ref="I138:I155" si="18">IF(E138&gt;0,RANK(E138,$E$137:$E$155),)</f>
        <v>9</v>
      </c>
      <c r="J138" s="612"/>
      <c r="L138" s="1177"/>
      <c r="M138" s="1172">
        <f>+'[1]NEW-Tables 80-86'!T73</f>
        <v>10060.35</v>
      </c>
    </row>
    <row r="139" spans="1:13" s="547" customFormat="1" ht="12.75" customHeight="1">
      <c r="A139" s="427" t="s">
        <v>453</v>
      </c>
      <c r="B139" s="612">
        <f>IF($M139&gt;0,('Amounts Pivot Table'!F$84/$M139),0)</f>
        <v>10649.667619384052</v>
      </c>
      <c r="C139" s="612">
        <f>IF($M139&gt;0,('Amounts Pivot Table'!F$87/$M139),0)</f>
        <v>0</v>
      </c>
      <c r="D139" s="612">
        <f>IF($M139&gt;0,('Amounts Pivot Table'!F$93/$M139),0)</f>
        <v>8436.6313823624587</v>
      </c>
      <c r="E139" s="612">
        <f>SUM(B139:D139)</f>
        <v>19086.299001746513</v>
      </c>
      <c r="F139" s="613">
        <f>IF(B139&gt;0,RANK(B139,$B$137:$B$155),)</f>
        <v>1</v>
      </c>
      <c r="G139" s="614">
        <f>IF(C139&gt;0,RANK(C139,$C$137:$C$155),)</f>
        <v>0</v>
      </c>
      <c r="H139" s="614">
        <f>IF(D139&gt;0,RANK(D139,$D$137:$D$155),)</f>
        <v>3</v>
      </c>
      <c r="I139" s="614">
        <f>IF(E139&gt;0,RANK(E139,$E$137:$E$155),)</f>
        <v>1</v>
      </c>
      <c r="J139" s="612"/>
      <c r="L139" s="1177"/>
      <c r="M139" s="1172">
        <f>+'[1]NEW-Tables 80-86'!T74</f>
        <v>3373.3916666666669</v>
      </c>
    </row>
    <row r="140" spans="1:13" s="547" customFormat="1" ht="12.75" customHeight="1">
      <c r="A140" s="427" t="s">
        <v>460</v>
      </c>
      <c r="B140" s="612">
        <f>IF($M140&gt;0,('Amounts Pivot Table'!F$123/$M140),0)</f>
        <v>4940.7145794739472</v>
      </c>
      <c r="C140" s="612">
        <f>IF($M140&gt;0,('Amounts Pivot Table'!F$126/$M140),0)</f>
        <v>110.4985023456579</v>
      </c>
      <c r="D140" s="612">
        <f>IF($M140&gt;0,('Amounts Pivot Table'!F$132/$M140),0)</f>
        <v>3610.4011821096728</v>
      </c>
      <c r="E140" s="612">
        <f>SUM(B140:D140)</f>
        <v>8661.6142639292775</v>
      </c>
      <c r="F140" s="613">
        <f t="shared" si="15"/>
        <v>8</v>
      </c>
      <c r="G140" s="614">
        <f t="shared" si="16"/>
        <v>7</v>
      </c>
      <c r="H140" s="614">
        <f t="shared" si="17"/>
        <v>12</v>
      </c>
      <c r="I140" s="614">
        <f t="shared" si="18"/>
        <v>10</v>
      </c>
      <c r="J140" s="612"/>
      <c r="L140" s="1177"/>
      <c r="M140" s="1172">
        <f>+'[1]NEW-Tables 80-86'!T75</f>
        <v>9158.7666666666664</v>
      </c>
    </row>
    <row r="141" spans="1:13" s="547" customFormat="1" ht="9.75" customHeight="1">
      <c r="A141" s="427"/>
      <c r="B141" s="612"/>
      <c r="C141" s="612"/>
      <c r="D141" s="612"/>
      <c r="E141" s="612"/>
      <c r="F141" s="613"/>
      <c r="G141" s="614"/>
      <c r="H141" s="614"/>
      <c r="I141" s="614"/>
      <c r="J141" s="612"/>
      <c r="L141" s="1177"/>
      <c r="M141" s="1172">
        <f>+'[1]NEW-Tables 80-86'!T76</f>
        <v>0</v>
      </c>
    </row>
    <row r="142" spans="1:13" s="547" customFormat="1" ht="12.75" customHeight="1">
      <c r="A142" s="427" t="s">
        <v>461</v>
      </c>
      <c r="B142" s="612">
        <f>IF($M142&gt;0,('Amounts Pivot Table'!F$162/$M142),0)</f>
        <v>3825.2971538263582</v>
      </c>
      <c r="C142" s="612">
        <f>IF($M142&gt;0,('Amounts Pivot Table'!F$165/$M142),0)</f>
        <v>0</v>
      </c>
      <c r="D142" s="612">
        <f>IF($M142&gt;0,('Amounts Pivot Table'!F$171/$M142),0)</f>
        <v>4594.2460583073398</v>
      </c>
      <c r="E142" s="612">
        <f>SUM(B142:D142)</f>
        <v>8419.543212133698</v>
      </c>
      <c r="F142" s="613">
        <f t="shared" si="15"/>
        <v>12</v>
      </c>
      <c r="G142" s="614">
        <f t="shared" si="16"/>
        <v>0</v>
      </c>
      <c r="H142" s="614">
        <f t="shared" si="17"/>
        <v>9</v>
      </c>
      <c r="I142" s="614">
        <f t="shared" si="18"/>
        <v>11</v>
      </c>
      <c r="J142" s="612"/>
      <c r="L142" s="1177"/>
      <c r="M142" s="1172">
        <f>+'[1]NEW-Tables 80-86'!T77</f>
        <v>43164.09166666666</v>
      </c>
    </row>
    <row r="143" spans="1:13" s="547" customFormat="1" ht="12.75" customHeight="1">
      <c r="A143" s="427" t="s">
        <v>454</v>
      </c>
      <c r="B143" s="612">
        <f>IF($M143&gt;0,('Amounts Pivot Table'!F$201/$M143),0)</f>
        <v>4319.5889611987732</v>
      </c>
      <c r="C143" s="612">
        <f>IF($M143&gt;0,('Amounts Pivot Table'!F$204/$M143),0)</f>
        <v>494.30517518258836</v>
      </c>
      <c r="D143" s="612">
        <f>IF($M143&gt;0,('Amounts Pivot Table'!F$210/$M143),0)</f>
        <v>8949.7225915133349</v>
      </c>
      <c r="E143" s="612">
        <f>SUM(B143:D143)</f>
        <v>13763.616727894696</v>
      </c>
      <c r="F143" s="613">
        <f t="shared" si="15"/>
        <v>9</v>
      </c>
      <c r="G143" s="614">
        <f t="shared" si="16"/>
        <v>2</v>
      </c>
      <c r="H143" s="614">
        <f t="shared" si="17"/>
        <v>2</v>
      </c>
      <c r="I143" s="614">
        <f t="shared" si="18"/>
        <v>5</v>
      </c>
      <c r="J143" s="612"/>
      <c r="L143" s="1177"/>
      <c r="M143" s="1172">
        <f>+'[1]NEW-Tables 80-86'!T78</f>
        <v>14830.716666666667</v>
      </c>
    </row>
    <row r="144" spans="1:13" s="547" customFormat="1" ht="12.75" customHeight="1">
      <c r="A144" s="427" t="s">
        <v>462</v>
      </c>
      <c r="B144" s="612">
        <f>IF($M144&gt;0,('Amounts Pivot Table'!F$240/$M144),0)</f>
        <v>3984.0629642978261</v>
      </c>
      <c r="C144" s="612">
        <f>IF($M144&gt;0,('Amounts Pivot Table'!F$243/$M144),0)</f>
        <v>0</v>
      </c>
      <c r="D144" s="612">
        <f>IF($M144&gt;0,('Amounts Pivot Table'!F$249/$M144),0)</f>
        <v>3823.0044755078861</v>
      </c>
      <c r="E144" s="612">
        <f>SUM(B144:D144)</f>
        <v>7807.0674398057126</v>
      </c>
      <c r="F144" s="613">
        <f t="shared" si="15"/>
        <v>10</v>
      </c>
      <c r="G144" s="614">
        <f t="shared" si="16"/>
        <v>0</v>
      </c>
      <c r="H144" s="614">
        <f t="shared" si="17"/>
        <v>11</v>
      </c>
      <c r="I144" s="614">
        <f t="shared" si="18"/>
        <v>13</v>
      </c>
      <c r="J144" s="612"/>
      <c r="L144" s="1177"/>
      <c r="M144" s="1172">
        <f>+'[1]NEW-Tables 80-86'!T79</f>
        <v>32878.949999999997</v>
      </c>
    </row>
    <row r="145" spans="1:13" s="547" customFormat="1" ht="12.75" customHeight="1">
      <c r="A145" s="427" t="s">
        <v>465</v>
      </c>
      <c r="B145" s="612">
        <f>IF($M145&gt;0,('Amounts Pivot Table'!F$279/$M145),0)</f>
        <v>7110.110234802979</v>
      </c>
      <c r="C145" s="612">
        <f>IF($M145&gt;0,('Amounts Pivot Table'!F$282/$M145),0)</f>
        <v>0</v>
      </c>
      <c r="D145" s="612">
        <f>IF($M145&gt;0,('Amounts Pivot Table'!F$288/$M145),0)</f>
        <v>7311.3575572651289</v>
      </c>
      <c r="E145" s="612">
        <f>SUM(B145:D145)</f>
        <v>14421.467792068108</v>
      </c>
      <c r="F145" s="613">
        <f t="shared" si="15"/>
        <v>5</v>
      </c>
      <c r="G145" s="614">
        <f t="shared" si="16"/>
        <v>0</v>
      </c>
      <c r="H145" s="614">
        <f t="shared" si="17"/>
        <v>4</v>
      </c>
      <c r="I145" s="614">
        <f t="shared" si="18"/>
        <v>3</v>
      </c>
      <c r="J145" s="612"/>
      <c r="L145" s="1177"/>
      <c r="M145" s="1172">
        <f>+'[1]NEW-Tables 80-86'!T80</f>
        <v>29255.733333333334</v>
      </c>
    </row>
    <row r="146" spans="1:13" s="547" customFormat="1" ht="9.75" customHeight="1">
      <c r="A146" s="427"/>
      <c r="B146" s="612"/>
      <c r="C146" s="612"/>
      <c r="D146" s="612"/>
      <c r="E146" s="612"/>
      <c r="F146" s="613"/>
      <c r="G146" s="614"/>
      <c r="H146" s="614"/>
      <c r="I146" s="614"/>
      <c r="J146" s="612"/>
      <c r="L146" s="1177"/>
      <c r="M146" s="1172">
        <f>+'[1]NEW-Tables 80-86'!T81</f>
        <v>0</v>
      </c>
    </row>
    <row r="147" spans="1:13" s="547" customFormat="1" ht="12.75" customHeight="1">
      <c r="A147" s="427" t="s">
        <v>455</v>
      </c>
      <c r="B147" s="612">
        <f>IF($M147&gt;0,('Amounts Pivot Table'!F$318/$M147),0)</f>
        <v>7510.9120438033569</v>
      </c>
      <c r="C147" s="612">
        <f>IF($M147&gt;0,('Amounts Pivot Table'!F$321/$M147),0)</f>
        <v>605.0405640633918</v>
      </c>
      <c r="D147" s="612">
        <f>IF($M147&gt;0,('Amounts Pivot Table'!F$327/$M147),0)</f>
        <v>5761.5095454042066</v>
      </c>
      <c r="E147" s="612">
        <f>SUM(B147:D147)</f>
        <v>13877.462153270955</v>
      </c>
      <c r="F147" s="613">
        <f t="shared" si="15"/>
        <v>4</v>
      </c>
      <c r="G147" s="614">
        <f t="shared" si="16"/>
        <v>1</v>
      </c>
      <c r="H147" s="614">
        <f t="shared" si="17"/>
        <v>7</v>
      </c>
      <c r="I147" s="614">
        <f t="shared" si="18"/>
        <v>4</v>
      </c>
      <c r="J147" s="612"/>
      <c r="L147" s="1177"/>
      <c r="M147" s="1172">
        <f>+'[1]NEW-Tables 80-86'!T82</f>
        <v>8803.9750000000004</v>
      </c>
    </row>
    <row r="148" spans="1:13" s="547" customFormat="1" ht="12.75" customHeight="1">
      <c r="A148" s="427" t="s">
        <v>456</v>
      </c>
      <c r="B148" s="612">
        <f>IF($M148&gt;0,('Amounts Pivot Table'!F$357/$M148),0)</f>
        <v>9279.4248693175705</v>
      </c>
      <c r="C148" s="612">
        <f>IF($M148&gt;0,('Amounts Pivot Table'!F$360/$M148),0)</f>
        <v>0</v>
      </c>
      <c r="D148" s="612">
        <f>IF($M148&gt;0,('Amounts Pivot Table'!F$366/$M148),0)</f>
        <v>2809.8161505461626</v>
      </c>
      <c r="E148" s="612">
        <f>SUM(B148:D148)</f>
        <v>12089.241019863734</v>
      </c>
      <c r="F148" s="613">
        <f t="shared" si="15"/>
        <v>2</v>
      </c>
      <c r="G148" s="614">
        <f t="shared" si="16"/>
        <v>0</v>
      </c>
      <c r="H148" s="614">
        <f t="shared" si="17"/>
        <v>13</v>
      </c>
      <c r="I148" s="614">
        <f t="shared" si="18"/>
        <v>8</v>
      </c>
      <c r="J148" s="612"/>
      <c r="L148" s="1177"/>
      <c r="M148" s="1172">
        <f>+'[1]NEW-Tables 80-86'!T83</f>
        <v>5547.7999999999993</v>
      </c>
    </row>
    <row r="149" spans="1:13" s="547" customFormat="1" ht="12.75" customHeight="1">
      <c r="A149" s="427" t="s">
        <v>463</v>
      </c>
      <c r="B149" s="612">
        <f>IF($M149&gt;0,('Amounts Pivot Table'!F$396/$M149),0)</f>
        <v>0</v>
      </c>
      <c r="C149" s="612">
        <f>IF($M149&gt;0,('Amounts Pivot Table'!F$399/$M149),0)</f>
        <v>0</v>
      </c>
      <c r="D149" s="612">
        <f>IF($M149&gt;0,('Amounts Pivot Table'!F$405/$M149),0)</f>
        <v>0</v>
      </c>
      <c r="E149" s="612">
        <f>SUM(B149:D149)</f>
        <v>0</v>
      </c>
      <c r="F149" s="613">
        <f t="shared" si="15"/>
        <v>0</v>
      </c>
      <c r="G149" s="614">
        <f t="shared" si="16"/>
        <v>0</v>
      </c>
      <c r="H149" s="614">
        <f t="shared" si="17"/>
        <v>0</v>
      </c>
      <c r="I149" s="614">
        <f t="shared" si="18"/>
        <v>0</v>
      </c>
      <c r="J149" s="612"/>
      <c r="L149" s="1177"/>
      <c r="M149" s="1172">
        <f>+'[1]NEW-Tables 80-86'!T84</f>
        <v>0</v>
      </c>
    </row>
    <row r="150" spans="1:13" s="547" customFormat="1" ht="12.75" customHeight="1">
      <c r="A150" s="427" t="s">
        <v>457</v>
      </c>
      <c r="B150" s="612">
        <f>IF($M150&gt;0,('Amounts Pivot Table'!F$435/$M150),0)</f>
        <v>3276.5554547527445</v>
      </c>
      <c r="C150" s="612">
        <f>IF($M150&gt;0,('Amounts Pivot Table'!F$438/$M150),0)</f>
        <v>154.85258801783399</v>
      </c>
      <c r="D150" s="612">
        <f>IF($M150&gt;0,('Amounts Pivot Table'!F$444/$M150),0)</f>
        <v>11047.805824677498</v>
      </c>
      <c r="E150" s="612">
        <f>SUM(B150:D150)</f>
        <v>14479.213867448078</v>
      </c>
      <c r="F150" s="613">
        <f>IF(B150&gt;0,RANK(B150,$B$137:$B$155),)</f>
        <v>13</v>
      </c>
      <c r="G150" s="614">
        <f t="shared" si="16"/>
        <v>6</v>
      </c>
      <c r="H150" s="614">
        <f t="shared" si="17"/>
        <v>1</v>
      </c>
      <c r="I150" s="614">
        <f t="shared" si="18"/>
        <v>2</v>
      </c>
      <c r="J150" s="612"/>
      <c r="L150" s="1177"/>
      <c r="M150" s="1172">
        <f>+'[1]NEW-Tables 80-86'!T85</f>
        <v>3435.3833333333337</v>
      </c>
    </row>
    <row r="151" spans="1:13" s="547" customFormat="1" ht="9.75" customHeight="1">
      <c r="A151" s="427"/>
      <c r="B151" s="612"/>
      <c r="C151" s="612"/>
      <c r="D151" s="612"/>
      <c r="E151" s="612"/>
      <c r="F151" s="613"/>
      <c r="G151" s="614"/>
      <c r="H151" s="614"/>
      <c r="I151" s="614"/>
      <c r="J151" s="612"/>
      <c r="L151" s="1177"/>
      <c r="M151" s="1172">
        <f>+'[1]NEW-Tables 80-86'!T86</f>
        <v>0</v>
      </c>
    </row>
    <row r="152" spans="1:13" s="547" customFormat="1" ht="12.75" customHeight="1">
      <c r="A152" s="427" t="s">
        <v>130</v>
      </c>
      <c r="B152" s="612">
        <f>IF($M152&gt;0,('Amounts Pivot Table'!F$474/$M152),0)</f>
        <v>0</v>
      </c>
      <c r="C152" s="612">
        <f>IF($M152&gt;0,('Amounts Pivot Table'!F$477/$M152),0)</f>
        <v>0</v>
      </c>
      <c r="D152" s="612">
        <f>IF($M152&gt;0,('Amounts Pivot Table'!F$483/$M152),0)</f>
        <v>0</v>
      </c>
      <c r="E152" s="612">
        <f>SUM(B152:D152)</f>
        <v>0</v>
      </c>
      <c r="F152" s="613">
        <f t="shared" si="15"/>
        <v>0</v>
      </c>
      <c r="G152" s="614">
        <f t="shared" si="16"/>
        <v>0</v>
      </c>
      <c r="H152" s="614">
        <f t="shared" si="17"/>
        <v>0</v>
      </c>
      <c r="I152" s="614">
        <f t="shared" si="18"/>
        <v>0</v>
      </c>
      <c r="J152" s="612"/>
      <c r="L152" s="1179"/>
      <c r="M152" s="1172">
        <f>+'[1]NEW-Tables 80-86'!T87</f>
        <v>0</v>
      </c>
    </row>
    <row r="153" spans="1:13" s="76" customFormat="1" ht="12.75" customHeight="1">
      <c r="A153" s="427" t="s">
        <v>458</v>
      </c>
      <c r="B153" s="612">
        <f>IF($M153&gt;0,('Amounts Pivot Table'!F$513/$M153),0)</f>
        <v>8226.5996692634144</v>
      </c>
      <c r="C153" s="612">
        <f>IF($M153&gt;0,('Amounts Pivot Table'!F$516/$M153),0)</f>
        <v>103.03122073678549</v>
      </c>
      <c r="D153" s="612">
        <f>IF($M153&gt;0,('Amounts Pivot Table'!F$522/$M153),0)</f>
        <v>4979.6467095694443</v>
      </c>
      <c r="E153" s="612">
        <f>SUM(B153:D153)</f>
        <v>13309.277599569645</v>
      </c>
      <c r="F153" s="613">
        <f t="shared" si="15"/>
        <v>3</v>
      </c>
      <c r="G153" s="614">
        <f t="shared" si="16"/>
        <v>8</v>
      </c>
      <c r="H153" s="614">
        <f t="shared" si="17"/>
        <v>8</v>
      </c>
      <c r="I153" s="614">
        <f t="shared" si="18"/>
        <v>6</v>
      </c>
      <c r="J153" s="612"/>
      <c r="K153" s="612"/>
      <c r="L153" s="1179"/>
      <c r="M153" s="1172">
        <f>+'[1]NEW-Tables 80-86'!T88</f>
        <v>6273.875</v>
      </c>
    </row>
    <row r="154" spans="1:13" s="547" customFormat="1" ht="12.75" customHeight="1">
      <c r="A154" s="427" t="s">
        <v>459</v>
      </c>
      <c r="B154" s="612">
        <f>IF($M154&gt;0,('Amounts Pivot Table'!F$552/$M154),0)</f>
        <v>3911.3989320272908</v>
      </c>
      <c r="C154" s="612">
        <f>IF($M154&gt;0,('Amounts Pivot Table'!F$555/$M154),0)</f>
        <v>250.79686475062155</v>
      </c>
      <c r="D154" s="612">
        <f>IF($M154&gt;0,('Amounts Pivot Table'!F$561/$M154),0)</f>
        <v>4145.8488940190055</v>
      </c>
      <c r="E154" s="612">
        <f>SUM(B154:D154)</f>
        <v>8308.0446907969181</v>
      </c>
      <c r="F154" s="613">
        <f t="shared" si="15"/>
        <v>11</v>
      </c>
      <c r="G154" s="614">
        <f t="shared" si="16"/>
        <v>4</v>
      </c>
      <c r="H154" s="614">
        <f t="shared" si="17"/>
        <v>10</v>
      </c>
      <c r="I154" s="614">
        <f t="shared" si="18"/>
        <v>12</v>
      </c>
      <c r="J154" s="612"/>
      <c r="K154" s="612"/>
      <c r="L154" s="1179"/>
      <c r="M154" s="1172">
        <f>+'[1]NEW-Tables 80-86'!T89</f>
        <v>18713.025000000001</v>
      </c>
    </row>
    <row r="155" spans="1:13" s="547" customFormat="1" ht="13.5" customHeight="1">
      <c r="A155" s="428" t="s">
        <v>464</v>
      </c>
      <c r="B155" s="618">
        <f>IF($M155&gt;0,('Amounts Pivot Table'!F$591/$M155),0)</f>
        <v>0</v>
      </c>
      <c r="C155" s="618">
        <f>IF($M155&gt;0,('Amounts Pivot Table'!F$594/$M155),0)</f>
        <v>0</v>
      </c>
      <c r="D155" s="618">
        <f>IF($M155&gt;0,('Amounts Pivot Table'!F$600/$M155),0)</f>
        <v>0</v>
      </c>
      <c r="E155" s="619">
        <f>SUM(B155:D155)</f>
        <v>0</v>
      </c>
      <c r="F155" s="620">
        <f t="shared" si="15"/>
        <v>0</v>
      </c>
      <c r="G155" s="621">
        <f t="shared" si="16"/>
        <v>0</v>
      </c>
      <c r="H155" s="621">
        <f t="shared" si="17"/>
        <v>0</v>
      </c>
      <c r="I155" s="621">
        <f t="shared" si="18"/>
        <v>0</v>
      </c>
      <c r="J155" s="612"/>
      <c r="K155" s="612"/>
      <c r="L155" s="1179"/>
      <c r="M155" s="1172">
        <f>+'[1]NEW-Tables 80-86'!T90</f>
        <v>0</v>
      </c>
    </row>
    <row r="156" spans="1:13" s="547" customFormat="1" ht="13.5" customHeight="1">
      <c r="A156" s="99" t="s">
        <v>469</v>
      </c>
      <c r="B156" s="612"/>
      <c r="C156" s="612"/>
      <c r="D156" s="612"/>
      <c r="E156" s="612"/>
      <c r="F156" s="614"/>
      <c r="G156" s="614"/>
      <c r="H156" s="614"/>
      <c r="I156" s="614"/>
      <c r="J156" s="612"/>
      <c r="K156" s="612"/>
      <c r="L156" s="1179"/>
      <c r="M156" s="1172"/>
    </row>
    <row r="157" spans="1:13" s="76" customFormat="1" ht="40.5" customHeight="1">
      <c r="A157" s="1405" t="s">
        <v>25</v>
      </c>
      <c r="B157" s="1456"/>
      <c r="C157" s="1456"/>
      <c r="D157" s="1456"/>
      <c r="E157" s="1456"/>
      <c r="F157" s="1456"/>
      <c r="G157" s="1457"/>
      <c r="H157" s="1457"/>
      <c r="I157" s="1457"/>
      <c r="J157" s="612"/>
      <c r="K157" s="612"/>
      <c r="L157" s="170"/>
      <c r="M157" s="1186"/>
    </row>
    <row r="158" spans="1:13" s="76" customFormat="1" ht="22.5" customHeight="1">
      <c r="A158" s="1405" t="s">
        <v>80</v>
      </c>
      <c r="B158" s="1458"/>
      <c r="C158" s="1458"/>
      <c r="D158" s="1458"/>
      <c r="E158" s="1458"/>
      <c r="F158" s="1458"/>
      <c r="G158" s="1458"/>
      <c r="H158" s="1458"/>
      <c r="I158" s="1458"/>
      <c r="J158" s="1180"/>
      <c r="L158" s="170"/>
      <c r="M158" s="1172"/>
    </row>
    <row r="159" spans="1:13" s="547" customFormat="1" ht="21" customHeight="1">
      <c r="A159" s="1405" t="s">
        <v>332</v>
      </c>
      <c r="B159" s="1456"/>
      <c r="C159" s="1456"/>
      <c r="D159" s="1456"/>
      <c r="E159" s="1456"/>
      <c r="F159" s="1456"/>
      <c r="G159" s="1457"/>
      <c r="H159" s="1457"/>
      <c r="I159" s="1457"/>
      <c r="L159" s="1181"/>
      <c r="M159" s="1172"/>
    </row>
    <row r="160" spans="1:13" s="547" customFormat="1" ht="17.25" customHeight="1">
      <c r="A160" s="1167"/>
      <c r="B160" s="1180"/>
      <c r="C160" s="1180"/>
      <c r="D160" s="1180"/>
      <c r="E160" s="1180"/>
      <c r="F160" s="1180"/>
      <c r="G160" s="1182"/>
      <c r="H160" s="1182"/>
      <c r="I160" s="1393" t="s">
        <v>2023</v>
      </c>
      <c r="J160" s="1182"/>
      <c r="K160" s="1182"/>
      <c r="L160" s="1181"/>
      <c r="M160" s="1172"/>
    </row>
    <row r="161" spans="1:13" s="547" customFormat="1" ht="15.75">
      <c r="A161" s="1429" t="s">
        <v>534</v>
      </c>
      <c r="B161" s="1429"/>
      <c r="C161" s="1429"/>
      <c r="D161" s="1429"/>
      <c r="E161" s="1429"/>
      <c r="F161" s="1429"/>
      <c r="G161" s="1429"/>
      <c r="H161" s="1429"/>
      <c r="I161" s="1429"/>
      <c r="J161" s="622"/>
      <c r="K161" s="622"/>
      <c r="L161" s="1178"/>
      <c r="M161" s="1172"/>
    </row>
    <row r="162" spans="1:13" s="547" customFormat="1" ht="18.75">
      <c r="A162" s="1429" t="s">
        <v>26</v>
      </c>
      <c r="B162" s="1429"/>
      <c r="C162" s="1429"/>
      <c r="D162" s="1429"/>
      <c r="E162" s="1429"/>
      <c r="F162" s="1429"/>
      <c r="G162" s="1429"/>
      <c r="H162" s="1429"/>
      <c r="I162" s="1429"/>
      <c r="J162" s="622"/>
      <c r="K162" s="622"/>
      <c r="L162" s="166"/>
      <c r="M162" s="1172"/>
    </row>
    <row r="163" spans="1:13" s="547" customFormat="1" ht="16.5" customHeight="1">
      <c r="A163" s="1429" t="s">
        <v>506</v>
      </c>
      <c r="B163" s="1429"/>
      <c r="C163" s="1429"/>
      <c r="D163" s="1429"/>
      <c r="E163" s="1429"/>
      <c r="F163" s="1429"/>
      <c r="G163" s="1429"/>
      <c r="H163" s="1429"/>
      <c r="I163" s="1429"/>
      <c r="J163" s="91"/>
      <c r="K163" s="91"/>
      <c r="L163" s="166"/>
      <c r="M163" s="1172"/>
    </row>
    <row r="164" spans="1:13" s="112" customFormat="1" ht="8.25">
      <c r="A164" s="195"/>
      <c r="B164" s="195"/>
      <c r="C164" s="195"/>
      <c r="D164" s="195"/>
      <c r="E164" s="195"/>
      <c r="F164" s="195"/>
      <c r="G164" s="196"/>
      <c r="H164" s="195"/>
      <c r="I164" s="195"/>
      <c r="J164" s="195"/>
      <c r="K164" s="195"/>
      <c r="L164" s="197"/>
      <c r="M164" s="1189"/>
    </row>
    <row r="165" spans="1:13" s="547" customFormat="1" ht="15.75">
      <c r="A165" s="60"/>
      <c r="B165" s="109" t="s">
        <v>81</v>
      </c>
      <c r="C165" s="1185"/>
      <c r="D165" s="1185"/>
      <c r="E165" s="1185"/>
      <c r="F165" s="57" t="s">
        <v>178</v>
      </c>
      <c r="G165" s="58"/>
      <c r="H165" s="58"/>
      <c r="I165" s="58"/>
      <c r="L165" s="174"/>
      <c r="M165" s="1183"/>
    </row>
    <row r="166" spans="1:13" s="393" customFormat="1" ht="45">
      <c r="A166" s="1173"/>
      <c r="B166" s="51" t="s">
        <v>126</v>
      </c>
      <c r="C166" s="52" t="s">
        <v>128</v>
      </c>
      <c r="D166" s="52" t="s">
        <v>438</v>
      </c>
      <c r="E166" s="52" t="s">
        <v>138</v>
      </c>
      <c r="F166" s="53" t="s">
        <v>126</v>
      </c>
      <c r="G166" s="52" t="s">
        <v>128</v>
      </c>
      <c r="H166" s="52" t="s">
        <v>438</v>
      </c>
      <c r="I166" s="52" t="s">
        <v>138</v>
      </c>
      <c r="L166" s="1175"/>
      <c r="M166" s="1184" t="s">
        <v>388</v>
      </c>
    </row>
    <row r="167" spans="1:13" s="547" customFormat="1" ht="14.25">
      <c r="A167" s="427" t="s">
        <v>82</v>
      </c>
      <c r="B167" s="609">
        <f>IF($M167&gt;0,('Amounts Pivot Table'!G$630/$M167),0)</f>
        <v>5126.1521500106937</v>
      </c>
      <c r="C167" s="609">
        <f>IF($M167&gt;0,('Amounts Pivot Table'!G$633/$M167),0)</f>
        <v>147.55218658875336</v>
      </c>
      <c r="D167" s="609">
        <f>IF($M167&gt;0,('Amounts Pivot Table'!G$639/$M167),0)</f>
        <v>5812.6816392165074</v>
      </c>
      <c r="E167" s="609">
        <f>SUM(B167:D167)</f>
        <v>11086.385975815954</v>
      </c>
      <c r="F167" s="610"/>
      <c r="G167" s="611"/>
      <c r="H167" s="611"/>
      <c r="I167" s="611"/>
      <c r="L167" s="1177"/>
      <c r="M167" s="1172">
        <f>+'[1]NEW-Tables 80-86'!U70</f>
        <v>115766.89166666669</v>
      </c>
    </row>
    <row r="168" spans="1:13" s="547" customFormat="1" ht="12.75" customHeight="1">
      <c r="A168" s="427"/>
      <c r="B168" s="609"/>
      <c r="C168" s="609"/>
      <c r="D168" s="609"/>
      <c r="E168" s="609"/>
      <c r="F168" s="610"/>
      <c r="G168" s="611"/>
      <c r="H168" s="611"/>
      <c r="I168" s="611"/>
      <c r="L168" s="1177"/>
      <c r="M168" s="1172">
        <f>+'[1]NEW-Tables 80-86'!U71</f>
        <v>0</v>
      </c>
    </row>
    <row r="169" spans="1:13" s="547" customFormat="1" ht="12.75" customHeight="1">
      <c r="A169" s="427" t="s">
        <v>452</v>
      </c>
      <c r="B169" s="612">
        <f>IF($M169&gt;0,('Amounts Pivot Table'!G$6/$M169),0)</f>
        <v>4414.2165204069543</v>
      </c>
      <c r="C169" s="612">
        <f>IF($M169&gt;0,('Amounts Pivot Table'!G$9/$M169),0)</f>
        <v>230.17134735949324</v>
      </c>
      <c r="D169" s="612">
        <f>IF($M169&gt;0,('Amounts Pivot Table'!G$15/$M169),0)</f>
        <v>4723.7874452242413</v>
      </c>
      <c r="E169" s="612">
        <f>SUM(B169:D169)</f>
        <v>9368.1753129906901</v>
      </c>
      <c r="F169" s="613">
        <f>IF(B169&gt;0,RANK(B169,$B$169:$B$187),)</f>
        <v>7</v>
      </c>
      <c r="G169" s="614">
        <f>IF(C169&gt;0,RANK(C169,$C$169:$C$187),)</f>
        <v>3</v>
      </c>
      <c r="H169" s="614">
        <f>IF(D169&gt;0,RANK(D169,$D$169:$D$187),)</f>
        <v>8</v>
      </c>
      <c r="I169" s="614">
        <f>IF(E169&gt;0,RANK(E169,$E$169:$E$187),)</f>
        <v>9</v>
      </c>
      <c r="L169" s="1177"/>
      <c r="M169" s="1172">
        <f>+'[1]NEW-Tables 80-86'!U72</f>
        <v>6543.7250000000004</v>
      </c>
    </row>
    <row r="170" spans="1:13" s="547" customFormat="1" ht="12.75" customHeight="1">
      <c r="A170" s="427" t="s">
        <v>466</v>
      </c>
      <c r="B170" s="612">
        <f>IF($M170&gt;0,('Amounts Pivot Table'!G$45/$M170),0)</f>
        <v>5738.5934816608806</v>
      </c>
      <c r="C170" s="612">
        <f>IF($M170&gt;0,('Amounts Pivot Table'!G$48/$M170),0)</f>
        <v>763.15427417538262</v>
      </c>
      <c r="D170" s="612">
        <f>IF($M170&gt;0,('Amounts Pivot Table'!G$54/$M170),0)</f>
        <v>5972.9649800225898</v>
      </c>
      <c r="E170" s="612">
        <f>SUM(B170:D170)</f>
        <v>12474.712735858853</v>
      </c>
      <c r="F170" s="613">
        <f t="shared" ref="F170:F187" si="19">IF(B170&gt;0,RANK(B170,$B$169:$B$187),)</f>
        <v>4</v>
      </c>
      <c r="G170" s="614">
        <f t="shared" ref="G170:G187" si="20">IF(C170&gt;0,RANK(C170,$C$169:$C$187),)</f>
        <v>1</v>
      </c>
      <c r="H170" s="614">
        <f t="shared" ref="H170:H187" si="21">IF(D170&gt;0,RANK(D170,$D$169:$D$187),)</f>
        <v>3</v>
      </c>
      <c r="I170" s="614">
        <f t="shared" ref="I170:I187" si="22">IF(E170&gt;0,RANK(E170,$E$169:$E$187),)</f>
        <v>5</v>
      </c>
      <c r="L170" s="1177"/>
      <c r="M170" s="1172">
        <f>+'[1]NEW-Tables 80-86'!U73</f>
        <v>5216.3083333333334</v>
      </c>
    </row>
    <row r="171" spans="1:13" s="547" customFormat="1" ht="12.75" customHeight="1">
      <c r="A171" s="427" t="s">
        <v>453</v>
      </c>
      <c r="B171" s="612">
        <f>IF($M171&gt;0,('Amounts Pivot Table'!G$84/$M171),0)</f>
        <v>0</v>
      </c>
      <c r="C171" s="612">
        <f>IF($M171&gt;0,('Amounts Pivot Table'!G$87/$M171),0)</f>
        <v>0</v>
      </c>
      <c r="D171" s="612">
        <f>IF($M171&gt;0,('Amounts Pivot Table'!G$93/$M171),0)</f>
        <v>0</v>
      </c>
      <c r="E171" s="612">
        <f>SUM(B171:D171)</f>
        <v>0</v>
      </c>
      <c r="F171" s="613">
        <f t="shared" si="19"/>
        <v>0</v>
      </c>
      <c r="G171" s="614">
        <f t="shared" si="20"/>
        <v>0</v>
      </c>
      <c r="H171" s="614">
        <f t="shared" si="21"/>
        <v>0</v>
      </c>
      <c r="I171" s="614">
        <f t="shared" si="22"/>
        <v>0</v>
      </c>
      <c r="L171" s="1177"/>
      <c r="M171" s="1172">
        <f>+'[1]NEW-Tables 80-86'!U74</f>
        <v>0</v>
      </c>
    </row>
    <row r="172" spans="1:13" s="547" customFormat="1" ht="12.75" customHeight="1">
      <c r="A172" s="427" t="s">
        <v>460</v>
      </c>
      <c r="B172" s="612">
        <f>IF($M172&gt;0,('Amounts Pivot Table'!G$123/$M172),0)</f>
        <v>0</v>
      </c>
      <c r="C172" s="612">
        <f>IF($M172&gt;0,('Amounts Pivot Table'!G$126/$M172),0)</f>
        <v>0</v>
      </c>
      <c r="D172" s="612">
        <f>IF($M172&gt;0,('Amounts Pivot Table'!G$132/$M172),0)</f>
        <v>0</v>
      </c>
      <c r="E172" s="612">
        <f>SUM(B172:D172)</f>
        <v>0</v>
      </c>
      <c r="F172" s="613">
        <f t="shared" si="19"/>
        <v>0</v>
      </c>
      <c r="G172" s="614">
        <f t="shared" si="20"/>
        <v>0</v>
      </c>
      <c r="H172" s="614">
        <f t="shared" si="21"/>
        <v>0</v>
      </c>
      <c r="I172" s="614">
        <f t="shared" si="22"/>
        <v>0</v>
      </c>
      <c r="L172" s="1177"/>
      <c r="M172" s="1172">
        <f>+'[1]NEW-Tables 80-86'!U75</f>
        <v>0</v>
      </c>
    </row>
    <row r="173" spans="1:13" s="547" customFormat="1" ht="12.75" customHeight="1">
      <c r="A173" s="427"/>
      <c r="B173" s="612"/>
      <c r="C173" s="612"/>
      <c r="D173" s="612"/>
      <c r="E173" s="612"/>
      <c r="F173" s="613"/>
      <c r="G173" s="614"/>
      <c r="H173" s="614"/>
      <c r="I173" s="614"/>
      <c r="L173" s="1177"/>
      <c r="M173" s="1172">
        <f>+'[1]NEW-Tables 80-86'!U76</f>
        <v>0</v>
      </c>
    </row>
    <row r="174" spans="1:13" s="547" customFormat="1" ht="12.75" customHeight="1">
      <c r="A174" s="427" t="s">
        <v>461</v>
      </c>
      <c r="B174" s="612">
        <f>IF($M174&gt;0,('Amounts Pivot Table'!G$162/$M174),0)</f>
        <v>4285.823573847747</v>
      </c>
      <c r="C174" s="612">
        <f>IF($M174&gt;0,('Amounts Pivot Table'!G$165/$M174),0)</f>
        <v>0</v>
      </c>
      <c r="D174" s="612">
        <f>IF($M174&gt;0,('Amounts Pivot Table'!G$171/$M174),0)</f>
        <v>4270.1999089503779</v>
      </c>
      <c r="E174" s="612">
        <f>SUM(B174:D174)</f>
        <v>8556.0234827981258</v>
      </c>
      <c r="F174" s="613">
        <f t="shared" si="19"/>
        <v>9</v>
      </c>
      <c r="G174" s="614">
        <f t="shared" si="20"/>
        <v>0</v>
      </c>
      <c r="H174" s="614">
        <f t="shared" si="21"/>
        <v>10</v>
      </c>
      <c r="I174" s="614">
        <f t="shared" si="22"/>
        <v>11</v>
      </c>
      <c r="L174" s="1177"/>
      <c r="M174" s="1172">
        <f>+'[1]NEW-Tables 80-86'!U77</f>
        <v>19989.100000000002</v>
      </c>
    </row>
    <row r="175" spans="1:13" s="547" customFormat="1" ht="12.75" customHeight="1">
      <c r="A175" s="427" t="s">
        <v>454</v>
      </c>
      <c r="B175" s="612">
        <f>IF($M175&gt;0,('Amounts Pivot Table'!G$201/$M175),0)</f>
        <v>0</v>
      </c>
      <c r="C175" s="612">
        <f>IF($M175&gt;0,('Amounts Pivot Table'!G$204/$M175),0)</f>
        <v>0</v>
      </c>
      <c r="D175" s="612">
        <f>IF($M175&gt;0,('Amounts Pivot Table'!G$210/$M175),0)</f>
        <v>0</v>
      </c>
      <c r="E175" s="612">
        <f>SUM(B175:D175)</f>
        <v>0</v>
      </c>
      <c r="F175" s="613">
        <f t="shared" si="19"/>
        <v>0</v>
      </c>
      <c r="G175" s="614">
        <f t="shared" si="20"/>
        <v>0</v>
      </c>
      <c r="H175" s="614">
        <f t="shared" si="21"/>
        <v>0</v>
      </c>
      <c r="I175" s="614">
        <f t="shared" si="22"/>
        <v>0</v>
      </c>
      <c r="L175" s="1177"/>
      <c r="M175" s="1172">
        <f>+'[1]NEW-Tables 80-86'!U78</f>
        <v>0</v>
      </c>
    </row>
    <row r="176" spans="1:13" s="547" customFormat="1" ht="12.75" customHeight="1">
      <c r="A176" s="427" t="s">
        <v>462</v>
      </c>
      <c r="B176" s="612">
        <f>IF($M176&gt;0,('Amounts Pivot Table'!G$240/$M176),0)</f>
        <v>0</v>
      </c>
      <c r="C176" s="612">
        <f>IF($M176&gt;0,('Amounts Pivot Table'!G$243/$M176),0)</f>
        <v>0</v>
      </c>
      <c r="D176" s="612">
        <f>IF($M176&gt;0,('Amounts Pivot Table'!G$249/$M176),0)</f>
        <v>0</v>
      </c>
      <c r="E176" s="612">
        <f>SUM(B176:D176)</f>
        <v>0</v>
      </c>
      <c r="F176" s="613">
        <f t="shared" si="19"/>
        <v>0</v>
      </c>
      <c r="G176" s="614">
        <f t="shared" si="20"/>
        <v>0</v>
      </c>
      <c r="H176" s="614">
        <f t="shared" si="21"/>
        <v>0</v>
      </c>
      <c r="I176" s="614">
        <f t="shared" si="22"/>
        <v>0</v>
      </c>
      <c r="L176" s="1177"/>
      <c r="M176" s="1172">
        <f>+'[1]NEW-Tables 80-86'!U79</f>
        <v>0</v>
      </c>
    </row>
    <row r="177" spans="1:13" s="547" customFormat="1" ht="12.75" customHeight="1">
      <c r="A177" s="427" t="s">
        <v>465</v>
      </c>
      <c r="B177" s="612">
        <f>IF($M177&gt;0,('Amounts Pivot Table'!G$279/$M177),0)</f>
        <v>0</v>
      </c>
      <c r="C177" s="612">
        <f>IF($M177&gt;0,('Amounts Pivot Table'!G$282/$M177),0)</f>
        <v>0</v>
      </c>
      <c r="D177" s="612">
        <f>IF($M177&gt;0,('Amounts Pivot Table'!G$288/$M177),0)</f>
        <v>0</v>
      </c>
      <c r="E177" s="612">
        <f>SUM(B177:D177)</f>
        <v>0</v>
      </c>
      <c r="F177" s="613">
        <f t="shared" si="19"/>
        <v>0</v>
      </c>
      <c r="G177" s="614">
        <f t="shared" si="20"/>
        <v>0</v>
      </c>
      <c r="H177" s="614">
        <f t="shared" si="21"/>
        <v>0</v>
      </c>
      <c r="I177" s="614">
        <f t="shared" si="22"/>
        <v>0</v>
      </c>
      <c r="L177" s="1177"/>
      <c r="M177" s="1172">
        <f>+'[1]NEW-Tables 80-86'!U80</f>
        <v>0</v>
      </c>
    </row>
    <row r="178" spans="1:13" s="547" customFormat="1" ht="12.75" customHeight="1">
      <c r="A178" s="427"/>
      <c r="B178" s="612"/>
      <c r="C178" s="612"/>
      <c r="D178" s="612"/>
      <c r="E178" s="612"/>
      <c r="F178" s="613"/>
      <c r="G178" s="614"/>
      <c r="H178" s="614"/>
      <c r="I178" s="614"/>
      <c r="L178" s="1177"/>
      <c r="M178" s="1172">
        <f>+'[1]NEW-Tables 80-86'!U81</f>
        <v>0</v>
      </c>
    </row>
    <row r="179" spans="1:13" s="547" customFormat="1" ht="12.75" customHeight="1">
      <c r="A179" s="427" t="s">
        <v>455</v>
      </c>
      <c r="B179" s="612">
        <f>IF($M179&gt;0,('Amounts Pivot Table'!G$318/$M179),0)</f>
        <v>7175.2778978945234</v>
      </c>
      <c r="C179" s="612">
        <f>IF($M179&gt;0,('Amounts Pivot Table'!G$321/$M179),0)</f>
        <v>0</v>
      </c>
      <c r="D179" s="612">
        <f>IF($M179&gt;0,('Amounts Pivot Table'!G$327/$M179),0)</f>
        <v>5734.4816231774194</v>
      </c>
      <c r="E179" s="612">
        <f>SUM(B179:D179)</f>
        <v>12909.759521071943</v>
      </c>
      <c r="F179" s="613">
        <f t="shared" si="19"/>
        <v>2</v>
      </c>
      <c r="G179" s="614">
        <f t="shared" si="20"/>
        <v>0</v>
      </c>
      <c r="H179" s="614">
        <f t="shared" si="21"/>
        <v>6</v>
      </c>
      <c r="I179" s="614">
        <f t="shared" si="22"/>
        <v>3</v>
      </c>
      <c r="L179" s="1177"/>
      <c r="M179" s="1172">
        <f>+'[1]NEW-Tables 80-86'!U82</f>
        <v>2110.6750000000002</v>
      </c>
    </row>
    <row r="180" spans="1:13" s="547" customFormat="1" ht="12.75" customHeight="1">
      <c r="A180" s="427" t="s">
        <v>456</v>
      </c>
      <c r="B180" s="612">
        <f>IF($M180&gt;0,('Amounts Pivot Table'!G$357/$M180),0)</f>
        <v>9759.7811319970842</v>
      </c>
      <c r="C180" s="612">
        <f>IF($M180&gt;0,('Amounts Pivot Table'!G$360/$M180),0)</f>
        <v>0</v>
      </c>
      <c r="D180" s="612">
        <f>IF($M180&gt;0,('Amounts Pivot Table'!G$366/$M180),0)</f>
        <v>3065.5415484516939</v>
      </c>
      <c r="E180" s="612">
        <f>SUM(B180:D180)</f>
        <v>12825.322680448779</v>
      </c>
      <c r="F180" s="613">
        <f t="shared" si="19"/>
        <v>1</v>
      </c>
      <c r="G180" s="614">
        <f t="shared" si="20"/>
        <v>0</v>
      </c>
      <c r="H180" s="614">
        <f t="shared" si="21"/>
        <v>11</v>
      </c>
      <c r="I180" s="614">
        <f t="shared" si="22"/>
        <v>4</v>
      </c>
      <c r="L180" s="1177"/>
      <c r="M180" s="1172">
        <f>+'[1]NEW-Tables 80-86'!U83</f>
        <v>12034.924999999999</v>
      </c>
    </row>
    <row r="181" spans="1:13" s="547" customFormat="1" ht="12.75" customHeight="1">
      <c r="A181" s="427" t="s">
        <v>463</v>
      </c>
      <c r="B181" s="612">
        <f>IF($M181&gt;0,('Amounts Pivot Table'!G$396/$M181),0)</f>
        <v>5522.6027724694304</v>
      </c>
      <c r="C181" s="612">
        <f>IF($M181&gt;0,('Amounts Pivot Table'!G$399/$M181),0)</f>
        <v>0</v>
      </c>
      <c r="D181" s="612">
        <f>IF($M181&gt;0,('Amounts Pivot Table'!G$405/$M181),0)</f>
        <v>4657.9637412818702</v>
      </c>
      <c r="E181" s="612">
        <f>SUM(B181:D181)</f>
        <v>10180.566513751301</v>
      </c>
      <c r="F181" s="613">
        <f t="shared" si="19"/>
        <v>5</v>
      </c>
      <c r="G181" s="614">
        <f t="shared" si="20"/>
        <v>0</v>
      </c>
      <c r="H181" s="614">
        <f t="shared" si="21"/>
        <v>9</v>
      </c>
      <c r="I181" s="614">
        <f t="shared" si="22"/>
        <v>6</v>
      </c>
      <c r="L181" s="1177"/>
      <c r="M181" s="1172">
        <f>+'[1]NEW-Tables 80-86'!U84</f>
        <v>20674.10833333333</v>
      </c>
    </row>
    <row r="182" spans="1:13" s="547" customFormat="1" ht="12.75" customHeight="1">
      <c r="A182" s="427" t="s">
        <v>457</v>
      </c>
      <c r="B182" s="612">
        <f>IF($M182&gt;0,('Amounts Pivot Table'!G$435/$M182),0)</f>
        <v>2567.5029850245273</v>
      </c>
      <c r="C182" s="612">
        <f>IF($M182&gt;0,('Amounts Pivot Table'!G$438/$M182),0)</f>
        <v>636.69353588343131</v>
      </c>
      <c r="D182" s="612">
        <f>IF($M182&gt;0,('Amounts Pivot Table'!G$444/$M182),0)</f>
        <v>10627.698853782549</v>
      </c>
      <c r="E182" s="612">
        <f>SUM(B182:D182)</f>
        <v>13831.895374690508</v>
      </c>
      <c r="F182" s="613">
        <f t="shared" si="19"/>
        <v>11</v>
      </c>
      <c r="G182" s="614">
        <f t="shared" si="20"/>
        <v>2</v>
      </c>
      <c r="H182" s="614">
        <f t="shared" si="21"/>
        <v>1</v>
      </c>
      <c r="I182" s="614">
        <f t="shared" si="22"/>
        <v>2</v>
      </c>
      <c r="L182" s="1177"/>
      <c r="M182" s="1172">
        <f>+'[1]NEW-Tables 80-86'!U85</f>
        <v>15640.575000000001</v>
      </c>
    </row>
    <row r="183" spans="1:13" s="547" customFormat="1" ht="12.75" customHeight="1">
      <c r="A183" s="427"/>
      <c r="B183" s="612"/>
      <c r="C183" s="612"/>
      <c r="D183" s="612"/>
      <c r="E183" s="612"/>
      <c r="F183" s="613"/>
      <c r="G183" s="614"/>
      <c r="H183" s="614"/>
      <c r="I183" s="614"/>
      <c r="L183" s="1177"/>
      <c r="M183" s="1172">
        <f>+'[1]NEW-Tables 80-86'!U86</f>
        <v>0</v>
      </c>
    </row>
    <row r="184" spans="1:13" s="547" customFormat="1" ht="12.75" customHeight="1">
      <c r="A184" s="427" t="s">
        <v>130</v>
      </c>
      <c r="B184" s="612">
        <f>IF($M184&gt;0,('Amounts Pivot Table'!G$474/$M184),0)</f>
        <v>4291.8572825504771</v>
      </c>
      <c r="C184" s="612">
        <f>IF($M184&gt;0,('Amounts Pivot Table'!G$477/$M184),0)</f>
        <v>0</v>
      </c>
      <c r="D184" s="612">
        <f>IF($M184&gt;0,('Amounts Pivot Table'!G$483/$M184),0)</f>
        <v>5799.6039448274505</v>
      </c>
      <c r="E184" s="612">
        <f>SUM(B184:D184)</f>
        <v>10091.461227377928</v>
      </c>
      <c r="F184" s="613">
        <f t="shared" si="19"/>
        <v>8</v>
      </c>
      <c r="G184" s="614">
        <f t="shared" si="20"/>
        <v>0</v>
      </c>
      <c r="H184" s="614">
        <f t="shared" si="21"/>
        <v>4</v>
      </c>
      <c r="I184" s="614">
        <f t="shared" si="22"/>
        <v>7</v>
      </c>
      <c r="L184" s="1177"/>
      <c r="M184" s="1172">
        <f>+'[1]NEW-Tables 80-86'!U87</f>
        <v>6783.5666666666666</v>
      </c>
    </row>
    <row r="185" spans="1:13" s="76" customFormat="1" ht="12.75" customHeight="1">
      <c r="A185" s="427" t="s">
        <v>458</v>
      </c>
      <c r="B185" s="612">
        <f>IF($M185&gt;0,('Amounts Pivot Table'!G$513/$M185),0)</f>
        <v>4481.6584699598188</v>
      </c>
      <c r="C185" s="612">
        <f>IF($M185&gt;0,('Amounts Pivot Table'!G$516/$M185),0)</f>
        <v>124.28773352673679</v>
      </c>
      <c r="D185" s="612">
        <f>IF($M185&gt;0,('Amounts Pivot Table'!G$522/$M185),0)</f>
        <v>5048.9567330344044</v>
      </c>
      <c r="E185" s="612">
        <f>SUM(B185:D185)</f>
        <v>9654.9029365209608</v>
      </c>
      <c r="F185" s="613">
        <f t="shared" si="19"/>
        <v>6</v>
      </c>
      <c r="G185" s="614">
        <f t="shared" si="20"/>
        <v>4</v>
      </c>
      <c r="H185" s="614">
        <f t="shared" si="21"/>
        <v>7</v>
      </c>
      <c r="I185" s="614">
        <f t="shared" si="22"/>
        <v>8</v>
      </c>
      <c r="J185" s="547"/>
      <c r="K185" s="547"/>
      <c r="L185" s="170"/>
      <c r="M185" s="1172">
        <f>+'[1]NEW-Tables 80-86'!U88</f>
        <v>9444.85</v>
      </c>
    </row>
    <row r="186" spans="1:13" s="547" customFormat="1" ht="12.75" customHeight="1">
      <c r="A186" s="427" t="s">
        <v>459</v>
      </c>
      <c r="B186" s="612">
        <f>IF($M186&gt;0,('Amounts Pivot Table'!G$552/$M186),0)</f>
        <v>7048.5518422557307</v>
      </c>
      <c r="C186" s="612">
        <f>IF($M186&gt;0,('Amounts Pivot Table'!G$555/$M186),0)</f>
        <v>38.089367287450386</v>
      </c>
      <c r="D186" s="612">
        <f>IF($M186&gt;0,('Amounts Pivot Table'!G$561/$M186),0)</f>
        <v>8607.5593121498077</v>
      </c>
      <c r="E186" s="612">
        <f>SUM(B186:D186)</f>
        <v>15694.200521692988</v>
      </c>
      <c r="F186" s="613">
        <f t="shared" si="19"/>
        <v>3</v>
      </c>
      <c r="G186" s="614">
        <f t="shared" si="20"/>
        <v>5</v>
      </c>
      <c r="H186" s="614">
        <f t="shared" si="21"/>
        <v>2</v>
      </c>
      <c r="I186" s="614">
        <f t="shared" si="22"/>
        <v>1</v>
      </c>
      <c r="J186" s="76"/>
      <c r="K186" s="76"/>
      <c r="L186" s="1178"/>
      <c r="M186" s="1172">
        <f>+'[1]NEW-Tables 80-86'!U89</f>
        <v>9517.0916666666672</v>
      </c>
    </row>
    <row r="187" spans="1:13" s="547" customFormat="1" ht="15.75" customHeight="1">
      <c r="A187" s="428" t="s">
        <v>464</v>
      </c>
      <c r="B187" s="618">
        <f>IF($M187&gt;0,('Amounts Pivot Table'!G$591/$M187),0)</f>
        <v>3006.9024872097934</v>
      </c>
      <c r="C187" s="618">
        <f>IF($M187&gt;0,('Amounts Pivot Table'!G$594/$M187),0)</f>
        <v>12.800873872989728</v>
      </c>
      <c r="D187" s="618">
        <f>IF($M187&gt;0,('Amounts Pivot Table'!G$600/$M187),0)</f>
        <v>5763.3773825626495</v>
      </c>
      <c r="E187" s="619">
        <f>SUM(B187:D187)</f>
        <v>8783.0807436454324</v>
      </c>
      <c r="F187" s="620">
        <f t="shared" si="19"/>
        <v>10</v>
      </c>
      <c r="G187" s="621">
        <f t="shared" si="20"/>
        <v>6</v>
      </c>
      <c r="H187" s="621">
        <f t="shared" si="21"/>
        <v>5</v>
      </c>
      <c r="I187" s="621">
        <f t="shared" si="22"/>
        <v>10</v>
      </c>
      <c r="J187" s="76"/>
      <c r="K187" s="76"/>
      <c r="L187" s="1181"/>
      <c r="M187" s="1172">
        <f>+'[1]NEW-Tables 80-86'!U90</f>
        <v>7811.9666666666672</v>
      </c>
    </row>
    <row r="188" spans="1:13" s="76" customFormat="1" ht="36.75" customHeight="1">
      <c r="A188" s="1405" t="s">
        <v>25</v>
      </c>
      <c r="B188" s="1456"/>
      <c r="C188" s="1456"/>
      <c r="D188" s="1456"/>
      <c r="E188" s="1456"/>
      <c r="F188" s="1456"/>
      <c r="G188" s="1457"/>
      <c r="H188" s="1457"/>
      <c r="I188" s="1457"/>
      <c r="L188" s="170"/>
      <c r="M188" s="1186"/>
    </row>
    <row r="189" spans="1:13" s="76" customFormat="1" ht="22.5" customHeight="1">
      <c r="A189" s="1405" t="s">
        <v>80</v>
      </c>
      <c r="B189" s="1458"/>
      <c r="C189" s="1458"/>
      <c r="D189" s="1458"/>
      <c r="E189" s="1458"/>
      <c r="F189" s="1458"/>
      <c r="G189" s="1458"/>
      <c r="H189" s="1458"/>
      <c r="I189" s="1458"/>
      <c r="J189" s="1180"/>
      <c r="L189" s="170"/>
      <c r="M189" s="1172"/>
    </row>
    <row r="190" spans="1:13" s="547" customFormat="1">
      <c r="A190" s="1405" t="s">
        <v>332</v>
      </c>
      <c r="B190" s="1456"/>
      <c r="C190" s="1456"/>
      <c r="D190" s="1456"/>
      <c r="E190" s="1456"/>
      <c r="F190" s="1456"/>
      <c r="G190" s="1457"/>
      <c r="H190" s="1457"/>
      <c r="I190" s="1457"/>
      <c r="J190" s="1457"/>
      <c r="K190" s="1457"/>
      <c r="L190" s="1181"/>
      <c r="M190" s="1172"/>
    </row>
    <row r="191" spans="1:13" s="547" customFormat="1">
      <c r="A191" s="1167"/>
      <c r="B191" s="1180"/>
      <c r="C191" s="1180"/>
      <c r="D191" s="1180"/>
      <c r="E191" s="1180"/>
      <c r="F191" s="1180"/>
      <c r="G191" s="1182"/>
      <c r="H191" s="1182"/>
      <c r="I191" s="1182"/>
      <c r="J191" s="1182"/>
      <c r="K191" s="1182"/>
      <c r="L191" s="1181"/>
      <c r="M191" s="1172"/>
    </row>
    <row r="192" spans="1:13" s="547" customFormat="1">
      <c r="A192" s="1167"/>
      <c r="B192" s="1180"/>
      <c r="C192" s="1180"/>
      <c r="D192" s="1180"/>
      <c r="E192" s="1180"/>
      <c r="F192" s="1180"/>
      <c r="G192" s="1182"/>
      <c r="H192" s="1182"/>
      <c r="I192" s="1393" t="s">
        <v>2023</v>
      </c>
      <c r="J192" s="1182"/>
      <c r="K192" s="1182"/>
      <c r="L192" s="1181"/>
      <c r="M192" s="1172"/>
    </row>
    <row r="193" spans="1:13" s="547" customFormat="1" ht="15.75">
      <c r="A193" s="1429" t="s">
        <v>535</v>
      </c>
      <c r="B193" s="1429"/>
      <c r="C193" s="1429"/>
      <c r="D193" s="1429"/>
      <c r="E193" s="1429"/>
      <c r="F193" s="1429"/>
      <c r="G193" s="1429"/>
      <c r="H193" s="1429"/>
      <c r="I193" s="1429"/>
      <c r="J193" s="622"/>
      <c r="K193" s="622"/>
      <c r="L193" s="1178"/>
      <c r="M193" s="1172"/>
    </row>
    <row r="194" spans="1:13" s="547" customFormat="1" ht="18.75">
      <c r="A194" s="1429" t="s">
        <v>26</v>
      </c>
      <c r="B194" s="1429"/>
      <c r="C194" s="1429"/>
      <c r="D194" s="1429"/>
      <c r="E194" s="1429"/>
      <c r="F194" s="1429"/>
      <c r="G194" s="1429"/>
      <c r="H194" s="1429"/>
      <c r="I194" s="1429"/>
      <c r="J194" s="622"/>
      <c r="K194" s="622"/>
      <c r="L194" s="166"/>
      <c r="M194" s="1172"/>
    </row>
    <row r="195" spans="1:13" s="547" customFormat="1" ht="15.75">
      <c r="A195" s="1429" t="s">
        <v>507</v>
      </c>
      <c r="B195" s="1429"/>
      <c r="C195" s="1429"/>
      <c r="D195" s="1429"/>
      <c r="E195" s="1429"/>
      <c r="F195" s="1429"/>
      <c r="G195" s="1429"/>
      <c r="H195" s="1429"/>
      <c r="I195" s="1429"/>
      <c r="J195" s="91"/>
      <c r="K195" s="91"/>
      <c r="L195" s="166"/>
      <c r="M195" s="1172"/>
    </row>
    <row r="196" spans="1:13" s="547" customFormat="1" ht="15.75" customHeight="1">
      <c r="A196" s="91"/>
      <c r="B196" s="91"/>
      <c r="C196" s="91"/>
      <c r="D196" s="91"/>
      <c r="E196" s="91"/>
      <c r="F196" s="91"/>
      <c r="G196" s="108"/>
      <c r="H196" s="91"/>
      <c r="I196" s="91"/>
      <c r="J196" s="91"/>
      <c r="K196" s="91"/>
      <c r="L196" s="166"/>
      <c r="M196" s="1183"/>
    </row>
    <row r="197" spans="1:13" s="547" customFormat="1" ht="15.75">
      <c r="A197" s="60"/>
      <c r="B197" s="109" t="s">
        <v>81</v>
      </c>
      <c r="C197" s="1185"/>
      <c r="D197" s="1185"/>
      <c r="E197" s="1185"/>
      <c r="F197" s="57" t="s">
        <v>178</v>
      </c>
      <c r="G197" s="58"/>
      <c r="H197" s="58"/>
      <c r="I197" s="58"/>
      <c r="L197" s="174"/>
      <c r="M197" s="1184"/>
    </row>
    <row r="198" spans="1:13" s="393" customFormat="1" ht="45">
      <c r="A198" s="1173"/>
      <c r="B198" s="51" t="s">
        <v>126</v>
      </c>
      <c r="C198" s="52" t="s">
        <v>128</v>
      </c>
      <c r="D198" s="52" t="s">
        <v>438</v>
      </c>
      <c r="E198" s="52" t="s">
        <v>138</v>
      </c>
      <c r="F198" s="53" t="s">
        <v>126</v>
      </c>
      <c r="G198" s="52" t="s">
        <v>128</v>
      </c>
      <c r="H198" s="52" t="s">
        <v>438</v>
      </c>
      <c r="I198" s="52" t="s">
        <v>138</v>
      </c>
      <c r="L198" s="1175"/>
      <c r="M198" s="1190" t="s">
        <v>388</v>
      </c>
    </row>
    <row r="199" spans="1:13" s="547" customFormat="1" ht="14.25">
      <c r="A199" s="427" t="s">
        <v>82</v>
      </c>
      <c r="B199" s="609">
        <f>IF($M199&gt;0,('Amounts Pivot Table'!H$630/$M199),0)</f>
        <v>5098.204253816848</v>
      </c>
      <c r="C199" s="609">
        <f>IF($M199&gt;0,('Amounts Pivot Table'!H$633/$M199),0)</f>
        <v>53.744131475159783</v>
      </c>
      <c r="D199" s="609">
        <f>IF($M199&gt;0,('Amounts Pivot Table'!H$639/$M199),0)</f>
        <v>5724.7387683903971</v>
      </c>
      <c r="E199" s="609">
        <f>SUM(B199:D199)</f>
        <v>10876.687153682404</v>
      </c>
      <c r="F199" s="610"/>
      <c r="G199" s="611"/>
      <c r="H199" s="611"/>
      <c r="I199" s="611"/>
      <c r="L199" s="1177"/>
      <c r="M199" s="1172">
        <f>+'[1]NEW-Tables 80-86'!V70</f>
        <v>64345.741666666661</v>
      </c>
    </row>
    <row r="200" spans="1:13" s="112" customFormat="1">
      <c r="A200" s="110"/>
      <c r="B200" s="111"/>
      <c r="C200" s="111"/>
      <c r="D200" s="111"/>
      <c r="E200" s="111"/>
      <c r="F200" s="119"/>
      <c r="G200" s="120"/>
      <c r="H200" s="120"/>
      <c r="I200" s="120"/>
      <c r="L200" s="176"/>
      <c r="M200" s="1172">
        <f>+'[1]NEW-Tables 80-86'!V71</f>
        <v>0</v>
      </c>
    </row>
    <row r="201" spans="1:13" s="547" customFormat="1" ht="12.75" customHeight="1">
      <c r="A201" s="427" t="s">
        <v>452</v>
      </c>
      <c r="B201" s="612">
        <f>IF($M201&gt;0,('Amounts Pivot Table'!H$6/$M201),0)</f>
        <v>3907.3033130622825</v>
      </c>
      <c r="C201" s="612">
        <f>IF($M201&gt;0,('Amounts Pivot Table'!H$9/$M201),0)</f>
        <v>82.603137432944237</v>
      </c>
      <c r="D201" s="612">
        <f>IF($M201&gt;0,('Amounts Pivot Table'!H$15/$M201),0)</f>
        <v>4930.4137444891812</v>
      </c>
      <c r="E201" s="612">
        <f>SUM(B201:D201)</f>
        <v>8920.3201949844079</v>
      </c>
      <c r="F201" s="613">
        <f>IF(B201&gt;0,RANK(B201,$B$201:$B$219),)</f>
        <v>9</v>
      </c>
      <c r="G201" s="614">
        <f>IF(C201&gt;0,RANK(C201,$C$201:$C$219),)</f>
        <v>3</v>
      </c>
      <c r="H201" s="614">
        <f>IF(D201&gt;0,RANK(D201,$D$201:$D$219),)</f>
        <v>6</v>
      </c>
      <c r="I201" s="614">
        <f>IF(E201&gt;0,RANK(E201,$E$201:$E$219),)</f>
        <v>10</v>
      </c>
      <c r="L201" s="1177"/>
      <c r="M201" s="1172">
        <f>+'[1]NEW-Tables 80-86'!V72</f>
        <v>2789.9666666666667</v>
      </c>
    </row>
    <row r="202" spans="1:13" s="547" customFormat="1" ht="12.75" customHeight="1">
      <c r="A202" s="427" t="s">
        <v>466</v>
      </c>
      <c r="B202" s="612">
        <f>IF($M202&gt;0,('Amounts Pivot Table'!H$45/$M202),0)</f>
        <v>5321.0316232826563</v>
      </c>
      <c r="C202" s="612">
        <f>IF($M202&gt;0,('Amounts Pivot Table'!H$48/$M202),0)</f>
        <v>0</v>
      </c>
      <c r="D202" s="612">
        <f>IF($M202&gt;0,('Amounts Pivot Table'!H$54/$M202),0)</f>
        <v>4859.3690909403549</v>
      </c>
      <c r="E202" s="612">
        <f>SUM(B202:D202)</f>
        <v>10180.400714223011</v>
      </c>
      <c r="F202" s="613">
        <f>IF(B202&gt;0,RANK(B202,$B$201:$B$219),)</f>
        <v>7</v>
      </c>
      <c r="G202" s="614">
        <f t="shared" ref="G202:G219" si="23">IF(C202&gt;0,RANK(C202,$C$201:$C$219),)</f>
        <v>0</v>
      </c>
      <c r="H202" s="614">
        <f t="shared" ref="H202:H219" si="24">IF(D202&gt;0,RANK(D202,$D$201:$D$219),)</f>
        <v>7</v>
      </c>
      <c r="I202" s="614">
        <f t="shared" ref="I202:I219" si="25">IF(E202&gt;0,RANK(E202,$E$201:$E$219),)</f>
        <v>7</v>
      </c>
      <c r="L202" s="1177"/>
      <c r="M202" s="1172">
        <f>+'[1]NEW-Tables 80-86'!V73</f>
        <v>9208.1416666666664</v>
      </c>
    </row>
    <row r="203" spans="1:13" s="547" customFormat="1" ht="12.75" customHeight="1">
      <c r="A203" s="427" t="s">
        <v>453</v>
      </c>
      <c r="B203" s="612">
        <f>IF($M203&gt;0,('Amounts Pivot Table'!H$84/$M203),0)</f>
        <v>0</v>
      </c>
      <c r="C203" s="612">
        <f>IF($M203&gt;0,('Amounts Pivot Table'!H$87/$M203),0)</f>
        <v>0</v>
      </c>
      <c r="D203" s="612">
        <f>IF($M203&gt;0,('Amounts Pivot Table'!H$93/$M203),0)</f>
        <v>0</v>
      </c>
      <c r="E203" s="612">
        <f>SUM(B203:D203)</f>
        <v>0</v>
      </c>
      <c r="F203" s="613">
        <f>IF(B203&gt;0,RANK(B203,$B$201:$B$219),)</f>
        <v>0</v>
      </c>
      <c r="G203" s="614">
        <f t="shared" si="23"/>
        <v>0</v>
      </c>
      <c r="H203" s="614">
        <f t="shared" si="24"/>
        <v>0</v>
      </c>
      <c r="I203" s="614">
        <f t="shared" si="25"/>
        <v>0</v>
      </c>
      <c r="L203" s="1177"/>
      <c r="M203" s="1172">
        <f>+'[1]NEW-Tables 80-86'!V74</f>
        <v>0</v>
      </c>
    </row>
    <row r="204" spans="1:13" s="547" customFormat="1" ht="12.75" customHeight="1">
      <c r="A204" s="427" t="s">
        <v>460</v>
      </c>
      <c r="B204" s="612">
        <f>IF($M204&gt;0,('Amounts Pivot Table'!H$123/$M204),0)</f>
        <v>15746.704219288174</v>
      </c>
      <c r="C204" s="612">
        <f>IF($M204&gt;0,('Amounts Pivot Table'!H$126/$M204),0)</f>
        <v>845.34514925373128</v>
      </c>
      <c r="D204" s="612">
        <f>IF($M204&gt;0,('Amounts Pivot Table'!H$132/$M204),0)</f>
        <v>5842.643154420206</v>
      </c>
      <c r="E204" s="612">
        <f>SUM(B204:D204)</f>
        <v>22434.692522962112</v>
      </c>
      <c r="F204" s="613">
        <f>IF(B204&gt;0,RANK(B204,$B$201:$B$219),)</f>
        <v>1</v>
      </c>
      <c r="G204" s="614">
        <f t="shared" si="23"/>
        <v>1</v>
      </c>
      <c r="H204" s="614">
        <f t="shared" si="24"/>
        <v>4</v>
      </c>
      <c r="I204" s="614">
        <f t="shared" si="25"/>
        <v>1</v>
      </c>
      <c r="L204" s="1177"/>
      <c r="M204" s="1172">
        <f>+'[1]NEW-Tables 80-86'!V75</f>
        <v>929.06666666666672</v>
      </c>
    </row>
    <row r="205" spans="1:13" s="112" customFormat="1">
      <c r="A205" s="110"/>
      <c r="B205" s="111"/>
      <c r="C205" s="111"/>
      <c r="D205" s="111"/>
      <c r="E205" s="111"/>
      <c r="F205" s="119"/>
      <c r="G205" s="120"/>
      <c r="H205" s="120"/>
      <c r="I205" s="120"/>
      <c r="L205" s="176"/>
      <c r="M205" s="1172">
        <f>+'[1]NEW-Tables 80-86'!V76</f>
        <v>0</v>
      </c>
    </row>
    <row r="206" spans="1:13" s="547" customFormat="1" ht="12.75" customHeight="1">
      <c r="A206" s="427" t="s">
        <v>461</v>
      </c>
      <c r="B206" s="612">
        <f>IF($M206&gt;0,('Amounts Pivot Table'!H$162/$M206),0)</f>
        <v>3486.0508236294831</v>
      </c>
      <c r="C206" s="612">
        <f>IF($M206&gt;0,('Amounts Pivot Table'!H$165/$M206),0)</f>
        <v>0</v>
      </c>
      <c r="D206" s="612">
        <f>IF($M206&gt;0,('Amounts Pivot Table'!H$171/$M206),0)</f>
        <v>3705.3360479173971</v>
      </c>
      <c r="E206" s="612">
        <f>SUM(B206:D206)</f>
        <v>7191.3868715468798</v>
      </c>
      <c r="F206" s="613">
        <f t="shared" ref="F206:F219" si="26">IF(B206&gt;0,RANK(B206,$B$201:$B$219),)</f>
        <v>10</v>
      </c>
      <c r="G206" s="614">
        <f t="shared" si="23"/>
        <v>0</v>
      </c>
      <c r="H206" s="614">
        <f t="shared" si="24"/>
        <v>9</v>
      </c>
      <c r="I206" s="614">
        <f t="shared" si="25"/>
        <v>11</v>
      </c>
      <c r="L206" s="1177"/>
      <c r="M206" s="1172">
        <f>+'[1]NEW-Tables 80-86'!V77</f>
        <v>10580.708333333332</v>
      </c>
    </row>
    <row r="207" spans="1:13" s="547" customFormat="1" ht="12.75" customHeight="1">
      <c r="A207" s="427" t="s">
        <v>454</v>
      </c>
      <c r="B207" s="612">
        <f>IF($M207&gt;0,('Amounts Pivot Table'!H$201/$M207),0)</f>
        <v>0</v>
      </c>
      <c r="C207" s="612">
        <f>IF($M207&gt;0,('Amounts Pivot Table'!H$204/$M207),0)</f>
        <v>0</v>
      </c>
      <c r="D207" s="612">
        <f>IF($M207&gt;0,('Amounts Pivot Table'!H$210/$M207),0)</f>
        <v>0</v>
      </c>
      <c r="E207" s="612">
        <f>SUM(B207:D207)</f>
        <v>0</v>
      </c>
      <c r="F207" s="613">
        <f t="shared" si="26"/>
        <v>0</v>
      </c>
      <c r="G207" s="614">
        <f t="shared" si="23"/>
        <v>0</v>
      </c>
      <c r="H207" s="614">
        <f t="shared" si="24"/>
        <v>0</v>
      </c>
      <c r="I207" s="614">
        <f t="shared" si="25"/>
        <v>0</v>
      </c>
      <c r="L207" s="1177"/>
      <c r="M207" s="1172">
        <f>+'[1]NEW-Tables 80-86'!V78</f>
        <v>0</v>
      </c>
    </row>
    <row r="208" spans="1:13" s="547" customFormat="1" ht="12.75" customHeight="1">
      <c r="A208" s="427" t="s">
        <v>462</v>
      </c>
      <c r="B208" s="612">
        <f>IF($M208&gt;0,('Amounts Pivot Table'!H$240/$M208),0)</f>
        <v>0</v>
      </c>
      <c r="C208" s="612">
        <f>IF($M208&gt;0,('Amounts Pivot Table'!H$243/$M208),0)</f>
        <v>0</v>
      </c>
      <c r="D208" s="612">
        <f>IF($M208&gt;0,('Amounts Pivot Table'!H$249/$M208),0)</f>
        <v>0</v>
      </c>
      <c r="E208" s="612">
        <f>SUM(B208:D208)</f>
        <v>0</v>
      </c>
      <c r="F208" s="613">
        <f t="shared" si="26"/>
        <v>0</v>
      </c>
      <c r="G208" s="614">
        <f t="shared" si="23"/>
        <v>0</v>
      </c>
      <c r="H208" s="614">
        <f t="shared" si="24"/>
        <v>0</v>
      </c>
      <c r="I208" s="614">
        <f t="shared" si="25"/>
        <v>0</v>
      </c>
      <c r="L208" s="1177"/>
      <c r="M208" s="1172">
        <f>+'[1]NEW-Tables 80-86'!V79</f>
        <v>0</v>
      </c>
    </row>
    <row r="209" spans="1:13" s="547" customFormat="1" ht="12.75" customHeight="1">
      <c r="A209" s="427" t="s">
        <v>465</v>
      </c>
      <c r="B209" s="612">
        <f>IF($M209&gt;0,('Amounts Pivot Table'!H$279/$M209),0)</f>
        <v>7987.7372804677179</v>
      </c>
      <c r="C209" s="612">
        <f>IF($M209&gt;0,('Amounts Pivot Table'!H$282/$M209),0)</f>
        <v>0</v>
      </c>
      <c r="D209" s="612">
        <f>IF($M209&gt;0,('Amounts Pivot Table'!H$288/$M209),0)</f>
        <v>13247.755840660746</v>
      </c>
      <c r="E209" s="612">
        <f>SUM(B209:D209)</f>
        <v>21235.493121128464</v>
      </c>
      <c r="F209" s="613">
        <f t="shared" si="26"/>
        <v>4</v>
      </c>
      <c r="G209" s="614">
        <f t="shared" si="23"/>
        <v>0</v>
      </c>
      <c r="H209" s="614">
        <f t="shared" si="24"/>
        <v>1</v>
      </c>
      <c r="I209" s="614">
        <f t="shared" si="25"/>
        <v>2</v>
      </c>
      <c r="L209" s="1177"/>
      <c r="M209" s="1172">
        <f>+'[1]NEW-Tables 80-86'!V80</f>
        <v>2155.1499999999996</v>
      </c>
    </row>
    <row r="210" spans="1:13" s="112" customFormat="1">
      <c r="A210" s="110"/>
      <c r="B210" s="111"/>
      <c r="C210" s="111"/>
      <c r="D210" s="111"/>
      <c r="E210" s="111"/>
      <c r="F210" s="119"/>
      <c r="G210" s="120"/>
      <c r="H210" s="120"/>
      <c r="I210" s="120"/>
      <c r="L210" s="176"/>
      <c r="M210" s="1172">
        <f>+'[1]NEW-Tables 80-86'!V81</f>
        <v>0</v>
      </c>
    </row>
    <row r="211" spans="1:13" s="547" customFormat="1" ht="12.75" customHeight="1">
      <c r="A211" s="427" t="s">
        <v>455</v>
      </c>
      <c r="B211" s="612">
        <f>IF($M211&gt;0,('Amounts Pivot Table'!H$318/$M211),0)</f>
        <v>0</v>
      </c>
      <c r="C211" s="612">
        <f>IF($M211&gt;0,('Amounts Pivot Table'!H$321/$M211),0)</f>
        <v>0</v>
      </c>
      <c r="D211" s="612">
        <f>IF($M211&gt;0,('Amounts Pivot Table'!H$327/$M211),0)</f>
        <v>0</v>
      </c>
      <c r="E211" s="612">
        <f>SUM(B211:D211)</f>
        <v>0</v>
      </c>
      <c r="F211" s="613">
        <f t="shared" si="26"/>
        <v>0</v>
      </c>
      <c r="G211" s="614">
        <f t="shared" si="23"/>
        <v>0</v>
      </c>
      <c r="H211" s="614">
        <f t="shared" si="24"/>
        <v>0</v>
      </c>
      <c r="I211" s="614">
        <f t="shared" si="25"/>
        <v>0</v>
      </c>
      <c r="L211" s="1177"/>
      <c r="M211" s="1172">
        <f>+'[1]NEW-Tables 80-86'!V82</f>
        <v>0</v>
      </c>
    </row>
    <row r="212" spans="1:13" s="547" customFormat="1" ht="12.75" customHeight="1">
      <c r="A212" s="427" t="s">
        <v>456</v>
      </c>
      <c r="B212" s="612">
        <f>IF($M212&gt;0,('Amounts Pivot Table'!H$357/$M212),0)</f>
        <v>10149.558696513321</v>
      </c>
      <c r="C212" s="612">
        <f>IF($M212&gt;0,('Amounts Pivot Table'!H$360/$M212),0)</f>
        <v>0</v>
      </c>
      <c r="D212" s="612">
        <f>IF($M212&gt;0,('Amounts Pivot Table'!H$366/$M212),0)</f>
        <v>3395.9824426446944</v>
      </c>
      <c r="E212" s="612">
        <f>SUM(B212:D212)</f>
        <v>13545.541139158015</v>
      </c>
      <c r="F212" s="613">
        <f t="shared" si="26"/>
        <v>2</v>
      </c>
      <c r="G212" s="614">
        <f t="shared" si="23"/>
        <v>0</v>
      </c>
      <c r="H212" s="614">
        <f t="shared" si="24"/>
        <v>11</v>
      </c>
      <c r="I212" s="614">
        <f t="shared" si="25"/>
        <v>4</v>
      </c>
      <c r="L212" s="1177"/>
      <c r="M212" s="1172">
        <f>+'[1]NEW-Tables 80-86'!V83</f>
        <v>6521.4833333333336</v>
      </c>
    </row>
    <row r="213" spans="1:13" s="547" customFormat="1" ht="12.75" customHeight="1">
      <c r="A213" s="427" t="s">
        <v>463</v>
      </c>
      <c r="B213" s="612">
        <f>IF($M213&gt;0,('Amounts Pivot Table'!H$396/$M213),0)</f>
        <v>5495.1520445835913</v>
      </c>
      <c r="C213" s="612">
        <f>IF($M213&gt;0,('Amounts Pivot Table'!H$399/$M213),0)</f>
        <v>0</v>
      </c>
      <c r="D213" s="612">
        <f>IF($M213&gt;0,('Amounts Pivot Table'!H$405/$M213),0)</f>
        <v>4577.9266589725112</v>
      </c>
      <c r="E213" s="612">
        <f>SUM(B213:D213)</f>
        <v>10073.078703556102</v>
      </c>
      <c r="F213" s="613">
        <f t="shared" si="26"/>
        <v>6</v>
      </c>
      <c r="G213" s="614">
        <f t="shared" si="23"/>
        <v>0</v>
      </c>
      <c r="H213" s="614">
        <f t="shared" si="24"/>
        <v>8</v>
      </c>
      <c r="I213" s="614">
        <f t="shared" si="25"/>
        <v>8</v>
      </c>
      <c r="L213" s="1177"/>
      <c r="M213" s="1172">
        <f>+'[1]NEW-Tables 80-86'!V84</f>
        <v>5227.6333333333332</v>
      </c>
    </row>
    <row r="214" spans="1:13" s="547" customFormat="1" ht="12.75" customHeight="1">
      <c r="A214" s="427" t="s">
        <v>457</v>
      </c>
      <c r="B214" s="612">
        <f>IF($M214&gt;0,('Amounts Pivot Table'!H$435/$M214),0)</f>
        <v>2356.4813925475155</v>
      </c>
      <c r="C214" s="612">
        <f>IF($M214&gt;0,('Amounts Pivot Table'!H$438/$M214),0)</f>
        <v>180.02933300885104</v>
      </c>
      <c r="D214" s="612">
        <f>IF($M214&gt;0,('Amounts Pivot Table'!H$444/$M214),0)</f>
        <v>9058.3382137680837</v>
      </c>
      <c r="E214" s="612">
        <f>SUM(B214:D214)</f>
        <v>11594.848939324451</v>
      </c>
      <c r="F214" s="613">
        <f t="shared" si="26"/>
        <v>11</v>
      </c>
      <c r="G214" s="614">
        <f t="shared" si="23"/>
        <v>2</v>
      </c>
      <c r="H214" s="614">
        <f t="shared" si="24"/>
        <v>2</v>
      </c>
      <c r="I214" s="614">
        <f t="shared" si="25"/>
        <v>5</v>
      </c>
      <c r="L214" s="1177"/>
      <c r="M214" s="1172">
        <f>+'[1]NEW-Tables 80-86'!V85</f>
        <v>11573.991666666665</v>
      </c>
    </row>
    <row r="215" spans="1:13" s="112" customFormat="1">
      <c r="A215" s="110"/>
      <c r="B215" s="111"/>
      <c r="C215" s="111"/>
      <c r="D215" s="111"/>
      <c r="E215" s="111"/>
      <c r="F215" s="119"/>
      <c r="G215" s="120"/>
      <c r="H215" s="120"/>
      <c r="I215" s="120"/>
      <c r="L215" s="176"/>
      <c r="M215" s="1172">
        <f>+'[1]NEW-Tables 80-86'!V86</f>
        <v>0</v>
      </c>
    </row>
    <row r="216" spans="1:13" s="547" customFormat="1" ht="12.75" customHeight="1">
      <c r="A216" s="427" t="s">
        <v>130</v>
      </c>
      <c r="B216" s="612">
        <f>IF($M216&gt;0,('Amounts Pivot Table'!H$474/$M216),0)</f>
        <v>0</v>
      </c>
      <c r="C216" s="612">
        <f>IF($M216&gt;0,('Amounts Pivot Table'!H$477/$M216),0)</f>
        <v>0</v>
      </c>
      <c r="D216" s="612">
        <f>IF($M216&gt;0,('Amounts Pivot Table'!H$483/$M216),0)</f>
        <v>0</v>
      </c>
      <c r="E216" s="612">
        <f>SUM(B216:D216)</f>
        <v>0</v>
      </c>
      <c r="F216" s="613">
        <f t="shared" si="26"/>
        <v>0</v>
      </c>
      <c r="G216" s="614">
        <f t="shared" si="23"/>
        <v>0</v>
      </c>
      <c r="H216" s="614">
        <f t="shared" si="24"/>
        <v>0</v>
      </c>
      <c r="I216" s="614">
        <f t="shared" si="25"/>
        <v>0</v>
      </c>
      <c r="L216" s="1177"/>
      <c r="M216" s="1172">
        <f>+'[1]NEW-Tables 80-86'!V87</f>
        <v>0</v>
      </c>
    </row>
    <row r="217" spans="1:13" s="76" customFormat="1" ht="12.75" customHeight="1">
      <c r="A217" s="427" t="s">
        <v>458</v>
      </c>
      <c r="B217" s="612">
        <f>IF($M217&gt;0,('Amounts Pivot Table'!H$513/$M217),0)</f>
        <v>9278.8030576346173</v>
      </c>
      <c r="C217" s="612">
        <f>IF($M217&gt;0,('Amounts Pivot Table'!H$516/$M217),0)</f>
        <v>35.10459542152104</v>
      </c>
      <c r="D217" s="612">
        <f>IF($M217&gt;0,('Amounts Pivot Table'!H$522/$M217),0)</f>
        <v>7923.3032021447289</v>
      </c>
      <c r="E217" s="612">
        <f>SUM(B217:D217)</f>
        <v>17237.210855200865</v>
      </c>
      <c r="F217" s="613">
        <f t="shared" si="26"/>
        <v>3</v>
      </c>
      <c r="G217" s="614">
        <f t="shared" si="23"/>
        <v>4</v>
      </c>
      <c r="H217" s="614">
        <f t="shared" si="24"/>
        <v>3</v>
      </c>
      <c r="I217" s="614">
        <f t="shared" si="25"/>
        <v>3</v>
      </c>
      <c r="J217" s="547"/>
      <c r="K217" s="547"/>
      <c r="L217" s="170"/>
      <c r="M217" s="1172">
        <f>+'[1]NEW-Tables 80-86'!V88</f>
        <v>1672.3166666666668</v>
      </c>
    </row>
    <row r="218" spans="1:13" s="547" customFormat="1" ht="12.75" customHeight="1">
      <c r="A218" s="427" t="s">
        <v>459</v>
      </c>
      <c r="B218" s="612">
        <f>IF($M218&gt;0,('Amounts Pivot Table'!H$552/$M218),0)</f>
        <v>7156.2340353751988</v>
      </c>
      <c r="C218" s="612">
        <f>IF($M218&gt;0,('Amounts Pivot Table'!H$555/$M218),0)</f>
        <v>0</v>
      </c>
      <c r="D218" s="612">
        <f>IF($M218&gt;0,('Amounts Pivot Table'!H$561/$M218),0)</f>
        <v>3517.7384934213696</v>
      </c>
      <c r="E218" s="612">
        <f>SUM(B218:D218)</f>
        <v>10673.972528796568</v>
      </c>
      <c r="F218" s="613">
        <f t="shared" si="26"/>
        <v>5</v>
      </c>
      <c r="G218" s="614">
        <f t="shared" si="23"/>
        <v>0</v>
      </c>
      <c r="H218" s="614">
        <f t="shared" si="24"/>
        <v>10</v>
      </c>
      <c r="I218" s="614">
        <f t="shared" si="25"/>
        <v>6</v>
      </c>
      <c r="L218" s="1178"/>
      <c r="M218" s="1172">
        <f>+'[1]NEW-Tables 80-86'!V89</f>
        <v>1729.0833333333333</v>
      </c>
    </row>
    <row r="219" spans="1:13" s="547" customFormat="1" ht="15" customHeight="1">
      <c r="A219" s="428" t="s">
        <v>464</v>
      </c>
      <c r="B219" s="618">
        <f>IF($M219&gt;0,('Amounts Pivot Table'!H$591/$M219),0)</f>
        <v>4125.9338361960836</v>
      </c>
      <c r="C219" s="618">
        <f>IF($M219&gt;0,('Amounts Pivot Table'!H$594/$M219),0)</f>
        <v>25.087387733939892</v>
      </c>
      <c r="D219" s="618">
        <f>IF($M219&gt;0,('Amounts Pivot Table'!H$600/$M219),0)</f>
        <v>5554.7236206117987</v>
      </c>
      <c r="E219" s="619">
        <f>SUM(B219:D219)</f>
        <v>9705.7448445418231</v>
      </c>
      <c r="F219" s="620">
        <f t="shared" si="26"/>
        <v>8</v>
      </c>
      <c r="G219" s="621">
        <f t="shared" si="23"/>
        <v>5</v>
      </c>
      <c r="H219" s="621">
        <f t="shared" si="24"/>
        <v>5</v>
      </c>
      <c r="I219" s="621">
        <f t="shared" si="25"/>
        <v>9</v>
      </c>
      <c r="L219" s="1178"/>
      <c r="M219" s="1172">
        <f>+'[1]NEW-Tables 80-86'!V90</f>
        <v>11958.199999999999</v>
      </c>
    </row>
    <row r="220" spans="1:13" s="76" customFormat="1" ht="36" customHeight="1">
      <c r="A220" s="1405" t="s">
        <v>25</v>
      </c>
      <c r="B220" s="1456"/>
      <c r="C220" s="1456"/>
      <c r="D220" s="1456"/>
      <c r="E220" s="1456"/>
      <c r="F220" s="1456"/>
      <c r="G220" s="1457"/>
      <c r="H220" s="1457"/>
      <c r="I220" s="1457"/>
      <c r="J220" s="547"/>
      <c r="K220" s="547"/>
      <c r="L220" s="170"/>
      <c r="M220" s="1186"/>
    </row>
    <row r="221" spans="1:13" s="76" customFormat="1" ht="22.5" customHeight="1">
      <c r="A221" s="1405" t="s">
        <v>80</v>
      </c>
      <c r="B221" s="1458"/>
      <c r="C221" s="1458"/>
      <c r="D221" s="1458"/>
      <c r="E221" s="1458"/>
      <c r="F221" s="1458"/>
      <c r="G221" s="1458"/>
      <c r="H221" s="1458"/>
      <c r="I221" s="1458"/>
      <c r="J221" s="1180"/>
      <c r="L221" s="170"/>
      <c r="M221" s="1172"/>
    </row>
    <row r="222" spans="1:13" s="547" customFormat="1">
      <c r="A222" s="190" t="s">
        <v>332</v>
      </c>
      <c r="B222" s="427"/>
      <c r="C222" s="427"/>
      <c r="D222" s="427"/>
      <c r="E222" s="427"/>
      <c r="F222" s="427"/>
      <c r="L222" s="1181"/>
      <c r="M222" s="1172"/>
    </row>
    <row r="223" spans="1:13" s="547" customFormat="1">
      <c r="A223" s="190"/>
      <c r="B223" s="427"/>
      <c r="C223" s="427"/>
      <c r="D223" s="427"/>
      <c r="E223" s="427"/>
      <c r="F223" s="427"/>
      <c r="L223" s="1181"/>
      <c r="M223" s="1172"/>
    </row>
    <row r="224" spans="1:13" s="547" customFormat="1" ht="17.25" customHeight="1">
      <c r="A224" s="1167"/>
      <c r="B224" s="1180"/>
      <c r="C224" s="1180"/>
      <c r="D224" s="1180"/>
      <c r="E224" s="1180"/>
      <c r="F224" s="1180"/>
      <c r="G224" s="1182"/>
      <c r="H224" s="1182"/>
      <c r="I224" s="1393" t="s">
        <v>2023</v>
      </c>
      <c r="J224" s="1182"/>
      <c r="K224" s="1182"/>
      <c r="L224" s="1181"/>
      <c r="M224" s="1172"/>
    </row>
    <row r="225" spans="1:13" s="547" customFormat="1" ht="15.75">
      <c r="A225" s="1429" t="s">
        <v>536</v>
      </c>
      <c r="B225" s="1429"/>
      <c r="C225" s="1429"/>
      <c r="D225" s="1429"/>
      <c r="E225" s="1429"/>
      <c r="F225" s="1429"/>
      <c r="G225" s="1429"/>
      <c r="H225" s="1429"/>
      <c r="I225" s="1429"/>
      <c r="J225" s="1429"/>
      <c r="K225" s="1429"/>
      <c r="L225" s="1178"/>
      <c r="M225" s="1172"/>
    </row>
    <row r="226" spans="1:13" s="547" customFormat="1" ht="18.75">
      <c r="A226" s="1429" t="s">
        <v>26</v>
      </c>
      <c r="B226" s="1429"/>
      <c r="C226" s="1429"/>
      <c r="D226" s="1429"/>
      <c r="E226" s="1429"/>
      <c r="F226" s="1429"/>
      <c r="G226" s="1429"/>
      <c r="H226" s="1429"/>
      <c r="I226" s="1429"/>
      <c r="J226" s="1429"/>
      <c r="K226" s="1429"/>
      <c r="L226" s="166"/>
      <c r="M226" s="1172"/>
    </row>
    <row r="227" spans="1:13" s="547" customFormat="1" ht="15.75">
      <c r="A227" s="1429" t="s">
        <v>508</v>
      </c>
      <c r="B227" s="1429"/>
      <c r="C227" s="1429"/>
      <c r="D227" s="1429"/>
      <c r="E227" s="1429"/>
      <c r="F227" s="1429"/>
      <c r="G227" s="1429"/>
      <c r="H227" s="1429"/>
      <c r="I227" s="1429"/>
      <c r="J227" s="1429"/>
      <c r="K227" s="1429"/>
      <c r="L227" s="166"/>
      <c r="M227" s="1172"/>
    </row>
    <row r="228" spans="1:13" s="547" customFormat="1" ht="6.75" customHeight="1">
      <c r="A228" s="91"/>
      <c r="B228" s="91"/>
      <c r="C228" s="91"/>
      <c r="D228" s="91"/>
      <c r="E228" s="91"/>
      <c r="F228" s="91"/>
      <c r="G228" s="108"/>
      <c r="H228" s="91"/>
      <c r="I228" s="91"/>
      <c r="J228" s="91"/>
      <c r="K228" s="91"/>
      <c r="L228" s="166"/>
      <c r="M228" s="1172"/>
    </row>
    <row r="229" spans="1:13" s="547" customFormat="1" ht="15" customHeight="1">
      <c r="A229" s="60"/>
      <c r="B229" s="1463" t="s">
        <v>81</v>
      </c>
      <c r="C229" s="1464"/>
      <c r="D229" s="1464"/>
      <c r="E229" s="1464"/>
      <c r="F229" s="1464"/>
      <c r="G229" s="57" t="s">
        <v>178</v>
      </c>
      <c r="H229" s="58"/>
      <c r="I229" s="58"/>
      <c r="J229" s="58"/>
      <c r="K229" s="58"/>
      <c r="L229" s="174"/>
      <c r="M229" s="1172"/>
    </row>
    <row r="230" spans="1:13" s="393" customFormat="1" ht="45">
      <c r="A230" s="1173"/>
      <c r="B230" s="51" t="s">
        <v>126</v>
      </c>
      <c r="C230" s="52" t="s">
        <v>128</v>
      </c>
      <c r="D230" s="52" t="s">
        <v>127</v>
      </c>
      <c r="E230" s="52" t="s">
        <v>438</v>
      </c>
      <c r="F230" s="52" t="s">
        <v>138</v>
      </c>
      <c r="G230" s="53" t="s">
        <v>126</v>
      </c>
      <c r="H230" s="52" t="s">
        <v>128</v>
      </c>
      <c r="I230" s="52" t="s">
        <v>127</v>
      </c>
      <c r="J230" s="52" t="s">
        <v>438</v>
      </c>
      <c r="K230" s="52" t="s">
        <v>138</v>
      </c>
      <c r="L230" s="1175"/>
      <c r="M230" s="1184" t="s">
        <v>553</v>
      </c>
    </row>
    <row r="231" spans="1:13" s="547" customFormat="1" ht="14.25">
      <c r="A231" s="427" t="s">
        <v>82</v>
      </c>
      <c r="B231" s="609">
        <f>IF($M231&gt;0,('Amounts Pivot Table'!O$630/$M231),0)</f>
        <v>3069.0404446544412</v>
      </c>
      <c r="C231" s="609">
        <f>IF($M231&gt;0,('Amounts Pivot Table'!O$633/$M231),0)</f>
        <v>81.906180216044973</v>
      </c>
      <c r="D231" s="609">
        <f>IF($M231&gt;0,('Amounts Pivot Table'!O$636/$M231),0)</f>
        <v>1199.0794578489999</v>
      </c>
      <c r="E231" s="609">
        <f>IF($M231&gt;0,('Amounts Pivot Table'!O$639/$M231),0)</f>
        <v>2703.2937377347453</v>
      </c>
      <c r="F231" s="609">
        <f>SUM(B231:E231)</f>
        <v>7053.3198204542314</v>
      </c>
      <c r="G231" s="610"/>
      <c r="H231" s="611"/>
      <c r="I231" s="611"/>
      <c r="J231" s="611"/>
      <c r="K231" s="611"/>
      <c r="L231" s="1177"/>
      <c r="M231" s="1172">
        <f>+'[1]NEW-Tables 80-86'!AI163</f>
        <v>1715661.4627777778</v>
      </c>
    </row>
    <row r="232" spans="1:13" s="547" customFormat="1" ht="12.75" customHeight="1">
      <c r="A232" s="427"/>
      <c r="B232" s="609"/>
      <c r="C232" s="609"/>
      <c r="D232" s="609"/>
      <c r="E232" s="609"/>
      <c r="F232" s="609"/>
      <c r="G232" s="610"/>
      <c r="H232" s="611"/>
      <c r="I232" s="611"/>
      <c r="J232" s="611"/>
      <c r="K232" s="611"/>
      <c r="L232" s="1177"/>
      <c r="M232" s="1172"/>
    </row>
    <row r="233" spans="1:13" s="547" customFormat="1" ht="12.75" customHeight="1">
      <c r="A233" s="427" t="s">
        <v>452</v>
      </c>
      <c r="B233" s="612">
        <f>IF($M233&gt;0,('Amounts Pivot Table'!O$6/$M233),0)</f>
        <v>3612.4056752531324</v>
      </c>
      <c r="C233" s="612">
        <f>IF($M233&gt;0,('Amounts Pivot Table'!O$9/$M233),0)</f>
        <v>209.15595817225531</v>
      </c>
      <c r="D233" s="612">
        <f>IF($M233&gt;0,('Amounts Pivot Table'!O$12/$M233),0)</f>
        <v>31.346529340098215</v>
      </c>
      <c r="E233" s="612">
        <f>IF($M233&gt;0,('Amounts Pivot Table'!O$15/$M233),0)</f>
        <v>3177.9444144681288</v>
      </c>
      <c r="F233" s="612">
        <f t="shared" ref="F233:F251" si="27">SUM(B233:E233)</f>
        <v>7030.8525772336143</v>
      </c>
      <c r="G233" s="613">
        <f>IF(B233&gt;0,RANK(B233,$B$233:$B$251),)</f>
        <v>4</v>
      </c>
      <c r="H233" s="614">
        <f>IF(C233&gt;0,RANK(C233,$C$233:$C$251),)</f>
        <v>3</v>
      </c>
      <c r="I233" s="614">
        <f>IF(D233&gt;0,RANK(D233,$D$233:$D$251),)</f>
        <v>9</v>
      </c>
      <c r="J233" s="614">
        <f>IF(E233&gt;0,RANK(E233,$E$233:$E$251),)</f>
        <v>7</v>
      </c>
      <c r="K233" s="614">
        <f>IF(F233&gt;0,RANK(F233,$F$233:$F$251),)</f>
        <v>9</v>
      </c>
      <c r="L233" s="1177"/>
      <c r="M233" s="1172">
        <f>+'[1]NEW-Tables 80-86'!AI165</f>
        <v>69548.733333333323</v>
      </c>
    </row>
    <row r="234" spans="1:13" s="547" customFormat="1" ht="12.75" customHeight="1">
      <c r="A234" s="427" t="s">
        <v>466</v>
      </c>
      <c r="B234" s="612">
        <f>IF($M234&gt;0,('Amounts Pivot Table'!O$45/$M234),0)</f>
        <v>3983.6744308287098</v>
      </c>
      <c r="C234" s="612">
        <f>IF($M234&gt;0,('Amounts Pivot Table'!O$48/$M234),0)</f>
        <v>51.226202143311554</v>
      </c>
      <c r="D234" s="612">
        <f>IF($M234&gt;0,('Amounts Pivot Table'!O$51/$M234),0)</f>
        <v>391.77154131266167</v>
      </c>
      <c r="E234" s="612">
        <f>IF($M234&gt;0,('Amounts Pivot Table'!O$54/$M234),0)</f>
        <v>3038.8578691661328</v>
      </c>
      <c r="F234" s="612">
        <f t="shared" si="27"/>
        <v>7465.5300434508154</v>
      </c>
      <c r="G234" s="613">
        <f>IF(B234&gt;0,RANK(B234,$B$233:$B$251),)</f>
        <v>3</v>
      </c>
      <c r="H234" s="614">
        <f>IF(C234&gt;0,RANK(C234,$C$233:$C$251),)</f>
        <v>5</v>
      </c>
      <c r="I234" s="614">
        <f>IF(D234&gt;0,RANK(D234,$D$233:$D$251),)</f>
        <v>7</v>
      </c>
      <c r="J234" s="614">
        <f>IF(E234&gt;0,RANK(E234,$E$233:$E$251),)</f>
        <v>8</v>
      </c>
      <c r="K234" s="614">
        <f>IF(F234&gt;0,RANK(F234,$F$233:$F$251),)</f>
        <v>5</v>
      </c>
      <c r="L234" s="1177"/>
      <c r="M234" s="1172">
        <f>+'[1]NEW-Tables 80-86'!AI166</f>
        <v>40712.699999999997</v>
      </c>
    </row>
    <row r="235" spans="1:13" s="547" customFormat="1" ht="12.75" customHeight="1">
      <c r="A235" s="427" t="s">
        <v>453</v>
      </c>
      <c r="B235" s="612">
        <f>IF($M235&gt;0,('Amounts Pivot Table'!O$84/$M235),0)</f>
        <v>5463.2946015989828</v>
      </c>
      <c r="C235" s="612">
        <f>IF($M235&gt;0,('Amounts Pivot Table'!O$87/$M235),0)</f>
        <v>0</v>
      </c>
      <c r="D235" s="612">
        <f>IF($M235&gt;0,('Amounts Pivot Table'!O$90/$M235),0)</f>
        <v>0</v>
      </c>
      <c r="E235" s="612">
        <f>IF($M235&gt;0,('Amounts Pivot Table'!O$93/$M235),0)</f>
        <v>3696.3607246766578</v>
      </c>
      <c r="F235" s="612">
        <f t="shared" si="27"/>
        <v>9159.6553262756406</v>
      </c>
      <c r="G235" s="613">
        <f>IF(B235&gt;0,RANK(B235,$B$233:$B$251),)</f>
        <v>1</v>
      </c>
      <c r="H235" s="614">
        <f>IF(C235&gt;0,RANK(C235,$C$233:$C$251),)</f>
        <v>0</v>
      </c>
      <c r="I235" s="614">
        <f>IF(D235&gt;0,RANK(D235,$D$233:$D$251),)</f>
        <v>0</v>
      </c>
      <c r="J235" s="614">
        <f>IF(E235&gt;0,RANK(E235,$E$233:$E$251),)</f>
        <v>3</v>
      </c>
      <c r="K235" s="614">
        <f>IF(F235&gt;0,RANK(F235,$F$233:$F$251),)</f>
        <v>2</v>
      </c>
      <c r="L235" s="1177"/>
      <c r="M235" s="1172">
        <f>+'[1]NEW-Tables 80-86'!AI167</f>
        <v>10906.933333333334</v>
      </c>
    </row>
    <row r="236" spans="1:13" s="547" customFormat="1" ht="12.75" customHeight="1">
      <c r="A236" s="427" t="s">
        <v>460</v>
      </c>
      <c r="B236" s="612">
        <f>IF($M236&gt;0,('Amounts Pivot Table'!O$123/$M236),0)</f>
        <v>2703.9630305350079</v>
      </c>
      <c r="C236" s="612">
        <f>IF($M236&gt;0,('Amounts Pivot Table'!O$126/$M236),0)</f>
        <v>0</v>
      </c>
      <c r="D236" s="612">
        <f>IF($M236&gt;0,('Amounts Pivot Table'!O$129/$M236),0)</f>
        <v>0</v>
      </c>
      <c r="E236" s="612">
        <f>IF($M236&gt;0,('Amounts Pivot Table'!O$132/$M236),0)</f>
        <v>2256.3113131592759</v>
      </c>
      <c r="F236" s="612">
        <f t="shared" si="27"/>
        <v>4960.2743436942837</v>
      </c>
      <c r="G236" s="613">
        <f>IF(B236&gt;0,RANK(B236,$B$233:$B$251),)</f>
        <v>14</v>
      </c>
      <c r="H236" s="614">
        <f>IF(C236&gt;0,RANK(C236,$C$233:$C$251),)</f>
        <v>0</v>
      </c>
      <c r="I236" s="614">
        <f>IF(D236&gt;0,RANK(D236,$D$233:$D$251),)</f>
        <v>0</v>
      </c>
      <c r="J236" s="614">
        <f>IF(E236&gt;0,RANK(E236,$E$233:$E$251),)</f>
        <v>15</v>
      </c>
      <c r="K236" s="614">
        <f>IF(F236&gt;0,RANK(F236,$F$233:$F$251),)</f>
        <v>16</v>
      </c>
      <c r="L236" s="1177"/>
      <c r="M236" s="1172">
        <f>+'[1]NEW-Tables 80-86'!AI168</f>
        <v>352532.73666666669</v>
      </c>
    </row>
    <row r="237" spans="1:13" s="547" customFormat="1" ht="12.75" customHeight="1">
      <c r="A237" s="427"/>
      <c r="B237" s="612"/>
      <c r="C237" s="612"/>
      <c r="D237" s="612"/>
      <c r="E237" s="612"/>
      <c r="F237" s="612"/>
      <c r="G237" s="613"/>
      <c r="H237" s="614"/>
      <c r="I237" s="614"/>
      <c r="J237" s="614"/>
      <c r="K237" s="614"/>
      <c r="L237" s="1177"/>
      <c r="M237" s="1172"/>
    </row>
    <row r="238" spans="1:13" s="547" customFormat="1" ht="12.75" customHeight="1">
      <c r="A238" s="427" t="s">
        <v>461</v>
      </c>
      <c r="B238" s="612">
        <f>IF($M238&gt;0,('Amounts Pivot Table'!O$162/$M238),0)</f>
        <v>2925.1410755637198</v>
      </c>
      <c r="C238" s="612">
        <f>IF($M238&gt;0,('Amounts Pivot Table'!O$165/$M238),0)</f>
        <v>0</v>
      </c>
      <c r="D238" s="612">
        <f>IF($M238&gt;0,('Amounts Pivot Table'!O$168/$M238),0)</f>
        <v>0</v>
      </c>
      <c r="E238" s="612">
        <f>IF($M238&gt;0,('Amounts Pivot Table'!O$171/$M238),0)</f>
        <v>2964.1750076073877</v>
      </c>
      <c r="F238" s="612">
        <f t="shared" si="27"/>
        <v>5889.3160831711075</v>
      </c>
      <c r="G238" s="613">
        <f>IF(B238&gt;0,RANK(B238,$B$233:$B$251),)</f>
        <v>10</v>
      </c>
      <c r="H238" s="614">
        <f>IF(C238&gt;0,RANK(C238,$C$233:$C$251),)</f>
        <v>0</v>
      </c>
      <c r="I238" s="614">
        <f>IF(D238&gt;0,RANK(D238,$D$233:$D$251),)</f>
        <v>0</v>
      </c>
      <c r="J238" s="614">
        <f>IF(E238&gt;0,RANK(E238,$E$233:$E$251),)</f>
        <v>10</v>
      </c>
      <c r="K238" s="614">
        <f>IF(F238&gt;0,RANK(F238,$F$233:$F$251),)</f>
        <v>14</v>
      </c>
      <c r="L238" s="1177"/>
      <c r="M238" s="1172">
        <f>+'[1]NEW-Tables 80-86'!AI170</f>
        <v>59262.566666666673</v>
      </c>
    </row>
    <row r="239" spans="1:13" s="547" customFormat="1" ht="12.75" customHeight="1">
      <c r="A239" s="427" t="s">
        <v>454</v>
      </c>
      <c r="B239" s="612">
        <f>IF($M239&gt;0,('Amounts Pivot Table'!O$201/$M239),0)</f>
        <v>3067.2571502872311</v>
      </c>
      <c r="C239" s="612">
        <f>IF($M239&gt;0,('Amounts Pivot Table'!O$204/$M239),0)</f>
        <v>0</v>
      </c>
      <c r="D239" s="612">
        <f>IF($M239&gt;0,('Amounts Pivot Table'!O$207/$M239),0)</f>
        <v>0</v>
      </c>
      <c r="E239" s="612">
        <f>IF($M239&gt;0,('Amounts Pivot Table'!O$210/$M239),0)</f>
        <v>3447.0634442424043</v>
      </c>
      <c r="F239" s="612">
        <f t="shared" si="27"/>
        <v>6514.3205945296359</v>
      </c>
      <c r="G239" s="613">
        <f>IF(B239&gt;0,RANK(B239,$B$233:$B$251),)</f>
        <v>9</v>
      </c>
      <c r="H239" s="614">
        <f>IF(C239&gt;0,RANK(C239,$C$233:$C$251),)</f>
        <v>0</v>
      </c>
      <c r="I239" s="614">
        <f>IF(D239&gt;0,RANK(D239,$D$233:$D$251),)</f>
        <v>0</v>
      </c>
      <c r="J239" s="614">
        <f>IF(E239&gt;0,RANK(E239,$E$233:$E$251),)</f>
        <v>5</v>
      </c>
      <c r="K239" s="614">
        <f>IF(F239&gt;0,RANK(F239,$F$233:$F$251),)</f>
        <v>12</v>
      </c>
      <c r="L239" s="1177"/>
      <c r="M239" s="1172">
        <f>+'[1]NEW-Tables 80-86'!AI171</f>
        <v>49733.433333333334</v>
      </c>
    </row>
    <row r="240" spans="1:13" s="547" customFormat="1" ht="12.75" customHeight="1">
      <c r="A240" s="427" t="s">
        <v>462</v>
      </c>
      <c r="B240" s="612">
        <f>IF($M240&gt;0,('Amounts Pivot Table'!O$240/$M240),0)</f>
        <v>2911.9711101154198</v>
      </c>
      <c r="C240" s="612">
        <f>IF($M240&gt;0,('Amounts Pivot Table'!O$243/$M240),0)</f>
        <v>0</v>
      </c>
      <c r="D240" s="612">
        <f>IF($M240&gt;0,('Amounts Pivot Table'!O$246/$M240),0)</f>
        <v>0</v>
      </c>
      <c r="E240" s="612">
        <f>IF($M240&gt;0,('Amounts Pivot Table'!O$249/$M240),0)</f>
        <v>2614.3133852498122</v>
      </c>
      <c r="F240" s="612">
        <f t="shared" si="27"/>
        <v>5526.284495365232</v>
      </c>
      <c r="G240" s="613">
        <f>IF(B240&gt;0,RANK(B240,$B$233:$B$251),)</f>
        <v>11</v>
      </c>
      <c r="H240" s="614">
        <f>IF(C240&gt;0,RANK(C240,$C$233:$C$251),)</f>
        <v>0</v>
      </c>
      <c r="I240" s="614">
        <f>IF(D240&gt;0,RANK(D240,$D$233:$D$251),)</f>
        <v>0</v>
      </c>
      <c r="J240" s="614">
        <f>IF(E240&gt;0,RANK(E240,$E$233:$E$251),)</f>
        <v>12</v>
      </c>
      <c r="K240" s="614">
        <f>IF(F240&gt;0,RANK(F240,$F$233:$F$251),)</f>
        <v>15</v>
      </c>
      <c r="L240" s="1177"/>
      <c r="M240" s="1172">
        <f>+'[1]NEW-Tables 80-86'!AI172</f>
        <v>32153.353333333333</v>
      </c>
    </row>
    <row r="241" spans="1:13" s="547" customFormat="1" ht="12.75" customHeight="1">
      <c r="A241" s="427" t="s">
        <v>465</v>
      </c>
      <c r="B241" s="612">
        <f>IF($M241&gt;0,('Amounts Pivot Table'!O$279/$M241),0)</f>
        <v>2686.8489366017752</v>
      </c>
      <c r="C241" s="612">
        <f>IF($M241&gt;0,('Amounts Pivot Table'!O$282/$M241),0)</f>
        <v>0</v>
      </c>
      <c r="D241" s="612">
        <f>IF($M241&gt;0,('Amounts Pivot Table'!O$285/$M241),0)</f>
        <v>3686.0446301350239</v>
      </c>
      <c r="E241" s="612">
        <f>IF($M241&gt;0,('Amounts Pivot Table'!O$288/$M241),0)</f>
        <v>4473.1081276967871</v>
      </c>
      <c r="F241" s="612">
        <f t="shared" si="27"/>
        <v>10846.001694433586</v>
      </c>
      <c r="G241" s="613">
        <f>IF(B241&gt;0,RANK(B241,$B$233:$B$251),)</f>
        <v>15</v>
      </c>
      <c r="H241" s="614">
        <f>IF(C241&gt;0,RANK(C241,$C$233:$C$251),)</f>
        <v>0</v>
      </c>
      <c r="I241" s="614">
        <f>IF(D241&gt;0,RANK(D241,$D$233:$D$251),)</f>
        <v>1</v>
      </c>
      <c r="J241" s="614">
        <f>IF(E241&gt;0,RANK(E241,$E$233:$E$251),)</f>
        <v>2</v>
      </c>
      <c r="K241" s="614">
        <f>IF(F241&gt;0,RANK(F241,$F$233:$F$251),)</f>
        <v>1</v>
      </c>
      <c r="L241" s="1177"/>
      <c r="M241" s="1172">
        <f>+'[1]NEW-Tables 80-86'!AI173</f>
        <v>89325.818333333329</v>
      </c>
    </row>
    <row r="242" spans="1:13" s="547" customFormat="1" ht="12.75" customHeight="1">
      <c r="A242" s="427"/>
      <c r="B242" s="612"/>
      <c r="C242" s="612"/>
      <c r="D242" s="612"/>
      <c r="E242" s="612"/>
      <c r="F242" s="612"/>
      <c r="G242" s="613"/>
      <c r="H242" s="614"/>
      <c r="I242" s="614"/>
      <c r="J242" s="614"/>
      <c r="K242" s="614"/>
      <c r="L242" s="1177"/>
      <c r="M242" s="1172"/>
    </row>
    <row r="243" spans="1:13" s="547" customFormat="1" ht="12.75" customHeight="1">
      <c r="A243" s="427" t="s">
        <v>455</v>
      </c>
      <c r="B243" s="612">
        <f>IF($M243&gt;0,('Amounts Pivot Table'!O$318/$M243),0)</f>
        <v>3277.1230779870439</v>
      </c>
      <c r="C243" s="612">
        <f>IF($M243&gt;0,('Amounts Pivot Table'!O$321/$M243),0)</f>
        <v>365.52883499696469</v>
      </c>
      <c r="D243" s="612">
        <f>IF($M243&gt;0,('Amounts Pivot Table'!O$324/$M243),0)</f>
        <v>770.2384717643713</v>
      </c>
      <c r="E243" s="612">
        <f>IF($M243&gt;0,('Amounts Pivot Table'!O$327/$M243),0)</f>
        <v>2652.9503215841764</v>
      </c>
      <c r="F243" s="612">
        <f t="shared" si="27"/>
        <v>7065.8407063325558</v>
      </c>
      <c r="G243" s="613">
        <f>IF(B243&gt;0,RANK(B243,$B$233:$B$251),)</f>
        <v>8</v>
      </c>
      <c r="H243" s="614">
        <f>IF(C243&gt;0,RANK(C243,$C$233:$C$251),)</f>
        <v>2</v>
      </c>
      <c r="I243" s="614">
        <f>IF(D243&gt;0,RANK(D243,$D$233:$D$251),)</f>
        <v>6</v>
      </c>
      <c r="J243" s="614">
        <f>IF(E243&gt;0,RANK(E243,$E$233:$E$251),)</f>
        <v>11</v>
      </c>
      <c r="K243" s="614">
        <f>IF(F243&gt;0,RANK(F243,$F$233:$F$251),)</f>
        <v>7</v>
      </c>
      <c r="L243" s="1177"/>
      <c r="M243" s="1172">
        <f>+'[1]NEW-Tables 80-86'!AI175</f>
        <v>65068.500000000007</v>
      </c>
    </row>
    <row r="244" spans="1:13" s="547" customFormat="1" ht="12.75" customHeight="1">
      <c r="A244" s="427" t="s">
        <v>456</v>
      </c>
      <c r="B244" s="612">
        <f>IF($M244&gt;0,('Amounts Pivot Table'!O$357/$M244),0)</f>
        <v>4724.4874422847461</v>
      </c>
      <c r="C244" s="612">
        <f>IF($M244&gt;0,('Amounts Pivot Table'!O$360/$M244),0)</f>
        <v>511.03811068303088</v>
      </c>
      <c r="D244" s="612">
        <f>IF($M244&gt;0,('Amounts Pivot Table'!O$363/$M244),0)</f>
        <v>1205.2514515423163</v>
      </c>
      <c r="E244" s="612">
        <f>IF($M244&gt;0,('Amounts Pivot Table'!O$366/$M244),0)</f>
        <v>1449.0591518330407</v>
      </c>
      <c r="F244" s="612">
        <f t="shared" si="27"/>
        <v>7889.8361563431336</v>
      </c>
      <c r="G244" s="613">
        <f>IF(B244&gt;0,RANK(B244,$B$233:$B$251),)</f>
        <v>2</v>
      </c>
      <c r="H244" s="614">
        <f>IF(C244&gt;0,RANK(C244,$C$233:$C$251),)</f>
        <v>1</v>
      </c>
      <c r="I244" s="614">
        <f>IF(D244&gt;0,RANK(D244,$D$233:$D$251),)</f>
        <v>3</v>
      </c>
      <c r="J244" s="614">
        <f>IF(E244&gt;0,RANK(E244,$E$233:$E$251),)</f>
        <v>16</v>
      </c>
      <c r="K244" s="614">
        <f>IF(F244&gt;0,RANK(F244,$F$233:$F$251),)</f>
        <v>4</v>
      </c>
      <c r="L244" s="1177"/>
      <c r="M244" s="1172">
        <f>+'[1]NEW-Tables 80-86'!AI176</f>
        <v>164290.76666666666</v>
      </c>
    </row>
    <row r="245" spans="1:13" s="547" customFormat="1" ht="12.75" customHeight="1">
      <c r="A245" s="427" t="s">
        <v>463</v>
      </c>
      <c r="B245" s="612">
        <f>IF($M245&gt;0,('Amounts Pivot Table'!O$396/$M245),0)</f>
        <v>3403.7018479381259</v>
      </c>
      <c r="C245" s="612">
        <f>IF($M245&gt;0,('Amounts Pivot Table'!O$399/$M245),0)</f>
        <v>0</v>
      </c>
      <c r="D245" s="612">
        <f>IF($M245&gt;0,('Amounts Pivot Table'!O$402/$M245),0)</f>
        <v>817.69805601560392</v>
      </c>
      <c r="E245" s="612">
        <f>IF($M245&gt;0,('Amounts Pivot Table'!O$405/$M245),0)</f>
        <v>2491.6301522221702</v>
      </c>
      <c r="F245" s="612">
        <f t="shared" si="27"/>
        <v>6713.0300561759004</v>
      </c>
      <c r="G245" s="613">
        <f>IF(B245&gt;0,RANK(B245,$B$233:$B$251),)</f>
        <v>6</v>
      </c>
      <c r="H245" s="614">
        <f>IF(C245&gt;0,RANK(C245,$C$233:$C$251),)</f>
        <v>0</v>
      </c>
      <c r="I245" s="614">
        <f>IF(D245&gt;0,RANK(D245,$D$233:$D$251),)</f>
        <v>4</v>
      </c>
      <c r="J245" s="614">
        <f>IF(E245&gt;0,RANK(E245,$E$233:$E$251),)</f>
        <v>13</v>
      </c>
      <c r="K245" s="614">
        <f>IF(F245&gt;0,RANK(F245,$F$233:$F$251),)</f>
        <v>11</v>
      </c>
      <c r="L245" s="1177"/>
      <c r="M245" s="1172">
        <f>+'[1]NEW-Tables 80-86'!AI177</f>
        <v>50739.433333333334</v>
      </c>
    </row>
    <row r="246" spans="1:13" s="547" customFormat="1" ht="12.75" customHeight="1">
      <c r="A246" s="427" t="s">
        <v>457</v>
      </c>
      <c r="B246" s="612">
        <f>IF($M246&gt;0,('Amounts Pivot Table'!O$435/$M246),0)</f>
        <v>1515.9259445537575</v>
      </c>
      <c r="C246" s="612">
        <f>IF($M246&gt;0,('Amounts Pivot Table'!O$438/$M246),0)</f>
        <v>209.14600155783745</v>
      </c>
      <c r="D246" s="612">
        <f>IF($M246&gt;0,('Amounts Pivot Table'!O$441/$M246),0)</f>
        <v>783.71134872772973</v>
      </c>
      <c r="E246" s="612">
        <f>IF($M246&gt;0,('Amounts Pivot Table'!O$444/$M246),0)</f>
        <v>4930.1469799077458</v>
      </c>
      <c r="F246" s="612">
        <f t="shared" si="27"/>
        <v>7438.9302747470701</v>
      </c>
      <c r="G246" s="613">
        <f>IF(B246&gt;0,RANK(B246,$B$233:$B$251),)</f>
        <v>16</v>
      </c>
      <c r="H246" s="614">
        <f>IF(C246&gt;0,RANK(C246,$C$233:$C$251),)</f>
        <v>4</v>
      </c>
      <c r="I246" s="614">
        <f>IF(D246&gt;0,RANK(D246,$D$233:$D$251),)</f>
        <v>5</v>
      </c>
      <c r="J246" s="614">
        <f>IF(E246&gt;0,RANK(E246,$E$233:$E$251),)</f>
        <v>1</v>
      </c>
      <c r="K246" s="614">
        <f>IF(F246&gt;0,RANK(F246,$F$233:$F$251),)</f>
        <v>6</v>
      </c>
      <c r="L246" s="1177"/>
      <c r="M246" s="1172">
        <f>+'[1]NEW-Tables 80-86'!AI178</f>
        <v>76216.766666666663</v>
      </c>
    </row>
    <row r="247" spans="1:13" s="547" customFormat="1" ht="12.75" customHeight="1">
      <c r="A247" s="427"/>
      <c r="B247" s="612"/>
      <c r="C247" s="612"/>
      <c r="D247" s="612"/>
      <c r="E247" s="612"/>
      <c r="F247" s="612"/>
      <c r="G247" s="613"/>
      <c r="H247" s="614"/>
      <c r="I247" s="614"/>
      <c r="J247" s="614"/>
      <c r="K247" s="614"/>
      <c r="L247" s="1177"/>
      <c r="M247" s="1172"/>
    </row>
    <row r="248" spans="1:13" s="547" customFormat="1" ht="12.75" customHeight="1">
      <c r="A248" s="427" t="s">
        <v>130</v>
      </c>
      <c r="B248" s="612">
        <f>IF($M248&gt;0,('Amounts Pivot Table'!O$474/$M248),0)</f>
        <v>3422.0958712259308</v>
      </c>
      <c r="C248" s="612">
        <f>IF($M248&gt;0,('Amounts Pivot Table'!O$477/$M248),0)</f>
        <v>0</v>
      </c>
      <c r="D248" s="612">
        <f>IF($M248&gt;0,('Amounts Pivot Table'!O$480/$M248),0)</f>
        <v>0</v>
      </c>
      <c r="E248" s="612">
        <f>IF($M248&gt;0,('Amounts Pivot Table'!O$483/$M248),0)</f>
        <v>3612.3197610065181</v>
      </c>
      <c r="F248" s="612">
        <f t="shared" si="27"/>
        <v>7034.4156322324488</v>
      </c>
      <c r="G248" s="613">
        <f>IF(B248&gt;0,RANK(B248,$B$233:$B$251),)</f>
        <v>5</v>
      </c>
      <c r="H248" s="614">
        <f>IF(C248&gt;0,RANK(C248,$C$233:$C$251),)</f>
        <v>0</v>
      </c>
      <c r="I248" s="614">
        <f>IF(D248&gt;0,RANK(D248,$D$233:$D$251),)</f>
        <v>0</v>
      </c>
      <c r="J248" s="614">
        <f>IF(E248&gt;0,RANK(E248,$E$233:$E$251),)</f>
        <v>4</v>
      </c>
      <c r="K248" s="614">
        <f>IF(F248&gt;0,RANK(F248,$F$233:$F$251),)</f>
        <v>8</v>
      </c>
      <c r="L248" s="1177"/>
      <c r="M248" s="1172">
        <f>+'[1]NEW-Tables 80-86'!AI180</f>
        <v>60620.899999999994</v>
      </c>
    </row>
    <row r="249" spans="1:13" s="76" customFormat="1" ht="12.75" customHeight="1">
      <c r="A249" s="427" t="s">
        <v>458</v>
      </c>
      <c r="B249" s="612">
        <f>IF($M249&gt;0,('Amounts Pivot Table'!O$513/$M249),0)</f>
        <v>2828.0976380034813</v>
      </c>
      <c r="C249" s="612">
        <f>IF($M249&gt;0,('Amounts Pivot Table'!O$516/$M249),0)</f>
        <v>0</v>
      </c>
      <c r="D249" s="612">
        <f>IF($M249&gt;0,('Amounts Pivot Table'!O$519/$M249),0)</f>
        <v>2928.6252051051597</v>
      </c>
      <c r="E249" s="612">
        <f>IF($M249&gt;0,('Amounts Pivot Table'!O$522/$M249),0)</f>
        <v>2363.4294509305728</v>
      </c>
      <c r="F249" s="612">
        <f t="shared" si="27"/>
        <v>8120.1522940392133</v>
      </c>
      <c r="G249" s="613">
        <f>IF(B249&gt;0,RANK(B249,$B$233:$B$251),)</f>
        <v>13</v>
      </c>
      <c r="H249" s="614">
        <f>IF(C249&gt;0,RANK(C249,$C$233:$C$251),)</f>
        <v>0</v>
      </c>
      <c r="I249" s="614">
        <f>IF(D249&gt;0,RANK(D249,$D$233:$D$251),)</f>
        <v>2</v>
      </c>
      <c r="J249" s="614">
        <f>IF(E249&gt;0,RANK(E249,$E$233:$E$251),)</f>
        <v>14</v>
      </c>
      <c r="K249" s="614">
        <f>IF(F249&gt;0,RANK(F249,$F$233:$F$251),)</f>
        <v>3</v>
      </c>
      <c r="L249" s="170"/>
      <c r="M249" s="1172">
        <f>+'[1]NEW-Tables 80-86'!AI181</f>
        <v>459267.11777777778</v>
      </c>
    </row>
    <row r="250" spans="1:13" s="547" customFormat="1" ht="12.75" customHeight="1">
      <c r="A250" s="427" t="s">
        <v>459</v>
      </c>
      <c r="B250" s="612">
        <f>IF($M250&gt;0,('Amounts Pivot Table'!O$552/$M250),0)</f>
        <v>2859.100993610924</v>
      </c>
      <c r="C250" s="612">
        <f>IF($M250&gt;0,('Amounts Pivot Table'!O$555/$M250),0)</f>
        <v>0</v>
      </c>
      <c r="D250" s="612">
        <f>IF($M250&gt;0,('Amounts Pivot Table'!O$558/$M250),0)</f>
        <v>131.2520279074034</v>
      </c>
      <c r="E250" s="612">
        <f>IF($M250&gt;0,('Amounts Pivot Table'!O$561/$M250),0)</f>
        <v>2972.9143683716097</v>
      </c>
      <c r="F250" s="612">
        <f t="shared" si="27"/>
        <v>5963.2673898899375</v>
      </c>
      <c r="G250" s="613">
        <f>IF(B250&gt;0,RANK(B250,$B$233:$B$251),)</f>
        <v>12</v>
      </c>
      <c r="H250" s="614">
        <f>IF(C250&gt;0,RANK(C250,$C$233:$C$251),)</f>
        <v>0</v>
      </c>
      <c r="I250" s="614">
        <f>IF(D250&gt;0,RANK(D250,$D$233:$D$251),)</f>
        <v>8</v>
      </c>
      <c r="J250" s="614">
        <f>IF(E250&gt;0,RANK(E250,$E$233:$E$251),)</f>
        <v>9</v>
      </c>
      <c r="K250" s="614">
        <f>IF(F250&gt;0,RANK(F250,$F$233:$F$251),)</f>
        <v>13</v>
      </c>
      <c r="L250" s="1178"/>
      <c r="M250" s="1172">
        <f>+'[1]NEW-Tables 80-86'!AI182</f>
        <v>117732.2</v>
      </c>
    </row>
    <row r="251" spans="1:13" s="547" customFormat="1" ht="13.5" customHeight="1">
      <c r="A251" s="428" t="s">
        <v>464</v>
      </c>
      <c r="B251" s="618">
        <f>IF($M251&gt;0,('Amounts Pivot Table'!O$591/$M251),0)</f>
        <v>3366.2770893231354</v>
      </c>
      <c r="C251" s="618">
        <f>IF($M251&gt;0,('Amounts Pivot Table'!O$594/$M251),0)</f>
        <v>11.823696435093794</v>
      </c>
      <c r="D251" s="618">
        <f>IF($M251&gt;0,('Amounts Pivot Table'!O$597/$M251),0)</f>
        <v>0</v>
      </c>
      <c r="E251" s="618">
        <f>IF($M251&gt;0,('Amounts Pivot Table'!O$600/$M251),0)</f>
        <v>3386.0643159701954</v>
      </c>
      <c r="F251" s="619">
        <f t="shared" si="27"/>
        <v>6764.1651017284248</v>
      </c>
      <c r="G251" s="620">
        <f>IF(B251&gt;0,RANK(B251,$B$233:$B$251),)</f>
        <v>7</v>
      </c>
      <c r="H251" s="621">
        <f>IF(C251&gt;0,RANK(C251,$C$233:$C$251),)</f>
        <v>6</v>
      </c>
      <c r="I251" s="621">
        <f>IF(D251&gt;0,RANK(D251,$D$233:$D$251),)</f>
        <v>0</v>
      </c>
      <c r="J251" s="621">
        <f>IF(E251&gt;0,RANK(E251,$E$233:$E$251),)</f>
        <v>6</v>
      </c>
      <c r="K251" s="621">
        <f>IF(F251&gt;0,RANK(F251,$F$233:$F$251),)</f>
        <v>10</v>
      </c>
      <c r="L251" s="1181"/>
      <c r="M251" s="1172">
        <f>+'[1]NEW-Tables 80-86'!AI183</f>
        <v>17549.503333333334</v>
      </c>
    </row>
    <row r="252" spans="1:13" s="76" customFormat="1" ht="34.5" customHeight="1">
      <c r="A252" s="1405" t="s">
        <v>25</v>
      </c>
      <c r="B252" s="1450"/>
      <c r="C252" s="1450"/>
      <c r="D252" s="1450"/>
      <c r="E252" s="1450"/>
      <c r="F252" s="1450"/>
      <c r="G252" s="1450"/>
      <c r="H252" s="1450"/>
      <c r="I252" s="1450"/>
      <c r="J252" s="1450"/>
      <c r="K252" s="1450"/>
      <c r="L252" s="170"/>
      <c r="M252" s="1172"/>
    </row>
    <row r="253" spans="1:13" s="207" customFormat="1" ht="13.5" customHeight="1">
      <c r="A253" s="1405" t="s">
        <v>80</v>
      </c>
      <c r="B253" s="1450"/>
      <c r="C253" s="1450"/>
      <c r="D253" s="1450"/>
      <c r="E253" s="1450"/>
      <c r="F253" s="1450"/>
      <c r="G253" s="1450"/>
      <c r="H253" s="1450"/>
      <c r="I253" s="1450"/>
      <c r="J253" s="1450"/>
      <c r="K253" s="1450"/>
      <c r="L253" s="206"/>
      <c r="M253" s="1172"/>
    </row>
    <row r="254" spans="1:13" s="547" customFormat="1" ht="13.5" customHeight="1">
      <c r="A254" s="1405" t="s">
        <v>332</v>
      </c>
      <c r="B254" s="1456"/>
      <c r="C254" s="1456"/>
      <c r="D254" s="1456"/>
      <c r="E254" s="1456"/>
      <c r="F254" s="1456"/>
      <c r="G254" s="1457"/>
      <c r="H254" s="1457"/>
      <c r="I254" s="1457"/>
      <c r="J254" s="1457"/>
      <c r="K254" s="1457"/>
      <c r="L254" s="1181"/>
      <c r="M254" s="1186"/>
    </row>
    <row r="255" spans="1:13" s="547" customFormat="1" ht="13.5" customHeight="1">
      <c r="A255" s="1167"/>
      <c r="B255" s="1180"/>
      <c r="C255" s="1180"/>
      <c r="D255" s="1180"/>
      <c r="E255" s="1180"/>
      <c r="F255" s="1180"/>
      <c r="G255" s="1182"/>
      <c r="H255" s="1182"/>
      <c r="I255" s="1182"/>
      <c r="J255" s="1182"/>
      <c r="K255" s="1182"/>
      <c r="L255" s="1181"/>
      <c r="M255" s="1186"/>
    </row>
    <row r="256" spans="1:13" s="547" customFormat="1">
      <c r="A256" s="1167"/>
      <c r="B256" s="1180"/>
      <c r="C256" s="1180"/>
      <c r="D256" s="1180"/>
      <c r="E256" s="1180"/>
      <c r="F256" s="1180"/>
      <c r="G256" s="1182"/>
      <c r="H256" s="1182"/>
      <c r="I256" s="1182"/>
      <c r="J256" s="1182"/>
      <c r="K256" s="591" t="s">
        <v>2018</v>
      </c>
      <c r="L256" s="1181"/>
      <c r="M256" s="1186"/>
    </row>
    <row r="257" spans="1:13" s="547" customFormat="1" ht="15.75">
      <c r="A257" s="1429" t="s">
        <v>537</v>
      </c>
      <c r="B257" s="1429"/>
      <c r="C257" s="1429"/>
      <c r="D257" s="1429"/>
      <c r="E257" s="1429"/>
      <c r="F257" s="1429"/>
      <c r="G257" s="1429"/>
      <c r="H257" s="1429"/>
      <c r="I257" s="1429"/>
      <c r="J257" s="1429"/>
      <c r="K257" s="1429"/>
      <c r="L257" s="1178"/>
      <c r="M257" s="1186"/>
    </row>
    <row r="258" spans="1:13" s="547" customFormat="1" ht="18.75">
      <c r="A258" s="1429" t="s">
        <v>26</v>
      </c>
      <c r="B258" s="1429"/>
      <c r="C258" s="1429"/>
      <c r="D258" s="1429"/>
      <c r="E258" s="1429"/>
      <c r="F258" s="1429"/>
      <c r="G258" s="1429"/>
      <c r="H258" s="1429"/>
      <c r="I258" s="1429"/>
      <c r="J258" s="1429"/>
      <c r="K258" s="1429"/>
      <c r="L258" s="166"/>
      <c r="M258" s="1186"/>
    </row>
    <row r="259" spans="1:13" s="547" customFormat="1" ht="15.75">
      <c r="A259" s="1429" t="s">
        <v>509</v>
      </c>
      <c r="B259" s="1429"/>
      <c r="C259" s="1429"/>
      <c r="D259" s="1429"/>
      <c r="E259" s="1429"/>
      <c r="F259" s="1429"/>
      <c r="G259" s="1429"/>
      <c r="H259" s="1429"/>
      <c r="I259" s="1429"/>
      <c r="J259" s="1429"/>
      <c r="K259" s="1429"/>
      <c r="L259" s="166"/>
      <c r="M259" s="1172"/>
    </row>
    <row r="260" spans="1:13" s="547" customFormat="1" ht="9.75" customHeight="1">
      <c r="A260" s="91"/>
      <c r="B260" s="91"/>
      <c r="C260" s="91"/>
      <c r="D260" s="91"/>
      <c r="E260" s="91"/>
      <c r="F260" s="91"/>
      <c r="G260" s="108"/>
      <c r="H260" s="91"/>
      <c r="I260" s="91"/>
      <c r="J260" s="91"/>
      <c r="K260" s="91"/>
      <c r="L260" s="166"/>
      <c r="M260" s="1172"/>
    </row>
    <row r="261" spans="1:13" s="1191" customFormat="1" ht="13.5" customHeight="1">
      <c r="A261" s="56"/>
      <c r="B261" s="1463" t="s">
        <v>81</v>
      </c>
      <c r="C261" s="1464"/>
      <c r="D261" s="1464"/>
      <c r="E261" s="1464"/>
      <c r="F261" s="1464"/>
      <c r="G261" s="57" t="s">
        <v>178</v>
      </c>
      <c r="H261" s="58"/>
      <c r="I261" s="58"/>
      <c r="J261" s="58"/>
      <c r="K261" s="58"/>
      <c r="L261" s="174"/>
      <c r="M261" s="1172"/>
    </row>
    <row r="262" spans="1:13" s="393" customFormat="1" ht="45">
      <c r="A262" s="1173"/>
      <c r="B262" s="51" t="s">
        <v>126</v>
      </c>
      <c r="C262" s="52" t="s">
        <v>128</v>
      </c>
      <c r="D262" s="52" t="s">
        <v>127</v>
      </c>
      <c r="E262" s="52" t="s">
        <v>438</v>
      </c>
      <c r="F262" s="52" t="s">
        <v>138</v>
      </c>
      <c r="G262" s="53" t="s">
        <v>126</v>
      </c>
      <c r="H262" s="52" t="s">
        <v>128</v>
      </c>
      <c r="I262" s="52" t="s">
        <v>127</v>
      </c>
      <c r="J262" s="52" t="s">
        <v>438</v>
      </c>
      <c r="K262" s="52" t="s">
        <v>138</v>
      </c>
      <c r="L262" s="1175"/>
      <c r="M262" s="1184" t="s">
        <v>388</v>
      </c>
    </row>
    <row r="263" spans="1:13" s="547" customFormat="1" ht="14.25">
      <c r="A263" s="427" t="s">
        <v>82</v>
      </c>
      <c r="B263" s="609">
        <f>IF($M263&gt;0,('Amounts Pivot Table'!J$630/$M263),0)</f>
        <v>2843.7536010505569</v>
      </c>
      <c r="C263" s="609">
        <f>IF($M263&gt;0,('Amounts Pivot Table'!J$633/$M263),0)</f>
        <v>1.3572243679529665</v>
      </c>
      <c r="D263" s="609">
        <f>IF($M263&gt;0,('Amounts Pivot Table'!J$636/$M263),0)</f>
        <v>486.73306821175646</v>
      </c>
      <c r="E263" s="609">
        <f>IF($M263&gt;0,('Amounts Pivot Table'!J$639/$M263),0)</f>
        <v>2445.7958527133278</v>
      </c>
      <c r="F263" s="609">
        <f>SUM(B263:E263)</f>
        <v>5777.6397463435933</v>
      </c>
      <c r="G263" s="610"/>
      <c r="H263" s="611"/>
      <c r="I263" s="611"/>
      <c r="J263" s="611"/>
      <c r="K263" s="611"/>
      <c r="L263" s="1177"/>
      <c r="M263" s="1172">
        <f>+'[1]NEW-Tables 80-86'!AD163</f>
        <v>152885.55444444448</v>
      </c>
    </row>
    <row r="264" spans="1:13" s="547" customFormat="1" ht="12.75" customHeight="1">
      <c r="A264" s="427"/>
      <c r="B264" s="609"/>
      <c r="C264" s="609"/>
      <c r="D264" s="609"/>
      <c r="E264" s="609"/>
      <c r="F264" s="609"/>
      <c r="G264" s="610"/>
      <c r="H264" s="611"/>
      <c r="I264" s="611"/>
      <c r="J264" s="611"/>
      <c r="K264" s="611"/>
      <c r="L264" s="1177"/>
      <c r="M264" s="1172">
        <f>+'[1]NEW-Tables 80-86'!AD164</f>
        <v>0</v>
      </c>
    </row>
    <row r="265" spans="1:13" s="547" customFormat="1" ht="12.75" customHeight="1">
      <c r="A265" s="427" t="s">
        <v>452</v>
      </c>
      <c r="B265" s="612">
        <f>IF($M265&gt;0,('Amounts Pivot Table'!J$6/$M265),0)</f>
        <v>0</v>
      </c>
      <c r="C265" s="612">
        <f>IF($M265&gt;0,('Amounts Pivot Table'!J$9/$M265),0)</f>
        <v>0</v>
      </c>
      <c r="D265" s="612">
        <f>IF($M265&gt;0,('Amounts Pivot Table'!J$12/$M265),0)</f>
        <v>0</v>
      </c>
      <c r="E265" s="612">
        <f>IF($M265&gt;0,('Amounts Pivot Table'!J$15/$M265),0)</f>
        <v>0</v>
      </c>
      <c r="F265" s="612">
        <f t="shared" ref="F265:F283" si="28">SUM(B265:E265)</f>
        <v>0</v>
      </c>
      <c r="G265" s="613">
        <f>IF(B265&gt;0,RANK(B265,$B$265:$B$283),)</f>
        <v>0</v>
      </c>
      <c r="H265" s="614">
        <f>IF(C265&gt;0,RANK(C265,$C$265:$C$283),)</f>
        <v>0</v>
      </c>
      <c r="I265" s="614">
        <f>IF(D265&gt;0,RANK(D265,$D$265:$D$283),)</f>
        <v>0</v>
      </c>
      <c r="J265" s="614">
        <f>IF(E265&gt;0,RANK(E265,$E$265:$E$283),)</f>
        <v>0</v>
      </c>
      <c r="K265" s="614">
        <f>IF(F265&gt;0,RANK(F265,$F$265:$F$283),)</f>
        <v>0</v>
      </c>
      <c r="L265" s="1177"/>
      <c r="M265" s="1172">
        <f>+'[1]NEW-Tables 80-86'!AD165</f>
        <v>0</v>
      </c>
    </row>
    <row r="266" spans="1:13" s="547" customFormat="1" ht="12.75" customHeight="1">
      <c r="A266" s="427" t="s">
        <v>466</v>
      </c>
      <c r="B266" s="612">
        <f>IF($M266&gt;0,('Amounts Pivot Table'!J$45/$M266),0)</f>
        <v>0</v>
      </c>
      <c r="C266" s="612">
        <f>IF($M266&gt;0,('Amounts Pivot Table'!J$48/$M266),0)</f>
        <v>0</v>
      </c>
      <c r="D266" s="612">
        <f>IF($M266&gt;0,('Amounts Pivot Table'!J$51/$M266),0)</f>
        <v>0</v>
      </c>
      <c r="E266" s="612">
        <f>IF($M266&gt;0,('Amounts Pivot Table'!J$54/$M266),0)</f>
        <v>0</v>
      </c>
      <c r="F266" s="612">
        <f t="shared" si="28"/>
        <v>0</v>
      </c>
      <c r="G266" s="613">
        <f>IF(B266&gt;0,RANK(B266,$B$265:$B$283),)</f>
        <v>0</v>
      </c>
      <c r="H266" s="614">
        <f>IF(C266&gt;0,RANK(C266,$C$265:$C$283),)</f>
        <v>0</v>
      </c>
      <c r="I266" s="614">
        <f>IF(D266&gt;0,RANK(D266,$D$265:$D$283),)</f>
        <v>0</v>
      </c>
      <c r="J266" s="614">
        <f>IF(E266&gt;0,RANK(E266,$E$265:$E$283),)</f>
        <v>0</v>
      </c>
      <c r="K266" s="614">
        <f>IF(F266&gt;0,RANK(F266,$F$265:$F$283),)</f>
        <v>0</v>
      </c>
      <c r="L266" s="1177"/>
      <c r="M266" s="1172">
        <f>+'[1]NEW-Tables 80-86'!AD166</f>
        <v>0</v>
      </c>
    </row>
    <row r="267" spans="1:13" s="547" customFormat="1" ht="12.75" customHeight="1">
      <c r="A267" s="427" t="s">
        <v>453</v>
      </c>
      <c r="B267" s="612">
        <f>IF($M267&gt;0,('Amounts Pivot Table'!J$84/$M267),0)</f>
        <v>0</v>
      </c>
      <c r="C267" s="612">
        <f>IF($M267&gt;0,('Amounts Pivot Table'!J$87/$M267),0)</f>
        <v>0</v>
      </c>
      <c r="D267" s="612">
        <f>IF($M267&gt;0,('Amounts Pivot Table'!J$90/$M267),0)</f>
        <v>0</v>
      </c>
      <c r="E267" s="612">
        <f>IF($M267&gt;0,('Amounts Pivot Table'!J$93/$M267),0)</f>
        <v>0</v>
      </c>
      <c r="F267" s="612">
        <f t="shared" si="28"/>
        <v>0</v>
      </c>
      <c r="G267" s="613">
        <f>IF(B267&gt;0,RANK(B267,$B$265:$B$283),)</f>
        <v>0</v>
      </c>
      <c r="H267" s="614">
        <f>IF(C267&gt;0,RANK(C267,$C$265:$C$283),)</f>
        <v>0</v>
      </c>
      <c r="I267" s="614">
        <f>IF(D267&gt;0,RANK(D267,$D$265:$D$283),)</f>
        <v>0</v>
      </c>
      <c r="J267" s="614">
        <f>IF(E267&gt;0,RANK(E267,$E$265:$E$283),)</f>
        <v>0</v>
      </c>
      <c r="K267" s="614">
        <f>IF(F267&gt;0,RANK(F267,$F$265:$F$283),)</f>
        <v>0</v>
      </c>
      <c r="L267" s="1177"/>
      <c r="M267" s="1172">
        <f>+'[1]NEW-Tables 80-86'!AD167</f>
        <v>0</v>
      </c>
    </row>
    <row r="268" spans="1:13" s="547" customFormat="1" ht="12.75" customHeight="1">
      <c r="A268" s="427" t="s">
        <v>460</v>
      </c>
      <c r="B268" s="612">
        <f>IF($M268&gt;0,('Amounts Pivot Table'!J$123/$M268),0)</f>
        <v>2821.8257708967799</v>
      </c>
      <c r="C268" s="612">
        <f>IF($M268&gt;0,('Amounts Pivot Table'!J$126/$M268),0)</f>
        <v>0</v>
      </c>
      <c r="D268" s="612">
        <f>IF($M268&gt;0,('Amounts Pivot Table'!J$129/$M268),0)</f>
        <v>0</v>
      </c>
      <c r="E268" s="612">
        <f>IF($M268&gt;0,('Amounts Pivot Table'!J$132/$M268),0)</f>
        <v>2254.2156127558787</v>
      </c>
      <c r="F268" s="612">
        <f t="shared" si="28"/>
        <v>5076.0413836526586</v>
      </c>
      <c r="G268" s="613">
        <f>IF(B268&gt;0,RANK(B268,$B$265:$B$283),)</f>
        <v>4</v>
      </c>
      <c r="H268" s="614">
        <f>IF(C268&gt;0,RANK(C268,$C$265:$C$283),)</f>
        <v>0</v>
      </c>
      <c r="I268" s="614">
        <f>IF(D268&gt;0,RANK(D268,$D$265:$D$283),)</f>
        <v>0</v>
      </c>
      <c r="J268" s="614">
        <f>IF(E268&gt;0,RANK(E268,$E$265:$E$283),)</f>
        <v>6</v>
      </c>
      <c r="K268" s="614">
        <f>IF(F268&gt;0,RANK(F268,$F$265:$F$283),)</f>
        <v>6</v>
      </c>
      <c r="L268" s="1177"/>
      <c r="M268" s="1172">
        <f>+'[1]NEW-Tables 80-86'!AD168</f>
        <v>110275.42777777779</v>
      </c>
    </row>
    <row r="269" spans="1:13" s="547" customFormat="1" ht="12.75" customHeight="1">
      <c r="A269" s="427"/>
      <c r="B269" s="612"/>
      <c r="C269" s="612"/>
      <c r="D269" s="612"/>
      <c r="E269" s="612"/>
      <c r="F269" s="612">
        <f t="shared" si="28"/>
        <v>0</v>
      </c>
      <c r="G269" s="613"/>
      <c r="H269" s="614"/>
      <c r="I269" s="614"/>
      <c r="J269" s="614"/>
      <c r="K269" s="614"/>
      <c r="L269" s="1177"/>
      <c r="M269" s="1172">
        <f>+'[1]NEW-Tables 80-86'!AD169</f>
        <v>0</v>
      </c>
    </row>
    <row r="270" spans="1:13" s="547" customFormat="1" ht="12.75" customHeight="1">
      <c r="A270" s="427" t="s">
        <v>461</v>
      </c>
      <c r="B270" s="612">
        <f>IF($M270&gt;0,('Amounts Pivot Table'!J$162/$M270),0)</f>
        <v>2507.5184153381065</v>
      </c>
      <c r="C270" s="612">
        <f>IF($M270&gt;0,('Amounts Pivot Table'!J$165/$M270),0)</f>
        <v>0</v>
      </c>
      <c r="D270" s="612">
        <f>IF($M270&gt;0,('Amounts Pivot Table'!J$168/$M270),0)</f>
        <v>0</v>
      </c>
      <c r="E270" s="612">
        <f>IF($M270&gt;0,('Amounts Pivot Table'!J$171/$M270),0)</f>
        <v>2876.1190929495565</v>
      </c>
      <c r="F270" s="612">
        <f t="shared" si="28"/>
        <v>5383.637508287663</v>
      </c>
      <c r="G270" s="613">
        <f>IF(B270&gt;0,RANK(B270,$B$265:$B$283),)</f>
        <v>6</v>
      </c>
      <c r="H270" s="614">
        <f>IF(C270&gt;0,RANK(C270,$C$265:$C$283),)</f>
        <v>0</v>
      </c>
      <c r="I270" s="614">
        <f>IF(D270&gt;0,RANK(D270,$D$265:$D$283),)</f>
        <v>0</v>
      </c>
      <c r="J270" s="614">
        <f>IF(E270&gt;0,RANK(E270,$E$265:$E$283),)</f>
        <v>3</v>
      </c>
      <c r="K270" s="614">
        <f>IF(F270&gt;0,RANK(F270,$F$265:$F$283),)</f>
        <v>5</v>
      </c>
      <c r="L270" s="1177"/>
      <c r="M270" s="1172">
        <f>+'[1]NEW-Tables 80-86'!AD170</f>
        <v>10960.066666666666</v>
      </c>
    </row>
    <row r="271" spans="1:13" s="547" customFormat="1" ht="12.75" customHeight="1">
      <c r="A271" s="427" t="s">
        <v>454</v>
      </c>
      <c r="B271" s="612">
        <f>IF($M271&gt;0,('Amounts Pivot Table'!J$201/$M271),0)</f>
        <v>0</v>
      </c>
      <c r="C271" s="612">
        <f>IF($M271&gt;0,('Amounts Pivot Table'!J$204/$M271),0)</f>
        <v>0</v>
      </c>
      <c r="D271" s="612">
        <f>IF($M271&gt;0,('Amounts Pivot Table'!J$209/$M271),0)</f>
        <v>0</v>
      </c>
      <c r="E271" s="612">
        <f>IF($M271&gt;0,('Amounts Pivot Table'!J$210/$M271),0)</f>
        <v>0</v>
      </c>
      <c r="F271" s="612">
        <f t="shared" si="28"/>
        <v>0</v>
      </c>
      <c r="G271" s="613">
        <f>IF(B271&gt;0,RANK(B271,$B$265:$B$283),)</f>
        <v>0</v>
      </c>
      <c r="H271" s="614">
        <f>IF(C271&gt;0,RANK(C271,$C$265:$C$283),)</f>
        <v>0</v>
      </c>
      <c r="I271" s="614">
        <f>IF(D271&gt;0,RANK(D271,$D$265:$D$283),)</f>
        <v>0</v>
      </c>
      <c r="J271" s="614">
        <f>IF(E271&gt;0,RANK(E271,$E$265:$E$283),)</f>
        <v>0</v>
      </c>
      <c r="K271" s="614">
        <f>IF(F271&gt;0,RANK(F271,$F$265:$F$283),)</f>
        <v>0</v>
      </c>
      <c r="L271" s="1177"/>
      <c r="M271" s="1172">
        <f>+'[1]NEW-Tables 80-86'!AD171</f>
        <v>0</v>
      </c>
    </row>
    <row r="272" spans="1:13" s="547" customFormat="1" ht="12.75" customHeight="1">
      <c r="A272" s="427" t="s">
        <v>462</v>
      </c>
      <c r="B272" s="612">
        <f>IF($M272&gt;0,('Amounts Pivot Table'!J$240/$M272),0)</f>
        <v>4328.7518510683312</v>
      </c>
      <c r="C272" s="612">
        <f>IF($M272&gt;0,('Amounts Pivot Table'!J$243/$M272),0)</f>
        <v>0</v>
      </c>
      <c r="D272" s="612">
        <f>IF($M272&gt;0,('Amounts Pivot Table'!J$246/$M272),0)</f>
        <v>0</v>
      </c>
      <c r="E272" s="612">
        <f>IF($M272&gt;0,('Amounts Pivot Table'!J$249/$M272),0)</f>
        <v>4231.6389887878149</v>
      </c>
      <c r="F272" s="612">
        <f t="shared" si="28"/>
        <v>8560.3908398561471</v>
      </c>
      <c r="G272" s="613">
        <f>IF(B272&gt;0,RANK(B272,$B$265:$B$283),)</f>
        <v>2</v>
      </c>
      <c r="H272" s="614">
        <f>IF(C272&gt;0,RANK(C272,$C$265:$C$283),)</f>
        <v>0</v>
      </c>
      <c r="I272" s="614">
        <f>IF(D272&gt;0,RANK(D272,$D$265:$D$283),)</f>
        <v>0</v>
      </c>
      <c r="J272" s="614">
        <f>IF(E272&gt;0,RANK(E272,$E$265:$E$283),)</f>
        <v>1</v>
      </c>
      <c r="K272" s="614">
        <f>IF(F272&gt;0,RANK(F272,$F$265:$F$283),)</f>
        <v>2</v>
      </c>
      <c r="L272" s="1177"/>
      <c r="M272" s="1172">
        <f>+'[1]NEW-Tables 80-86'!AD172</f>
        <v>1890.8</v>
      </c>
    </row>
    <row r="273" spans="1:13" s="547" customFormat="1" ht="12.75" customHeight="1">
      <c r="A273" s="427" t="s">
        <v>465</v>
      </c>
      <c r="B273" s="612">
        <f>IF($M273&gt;0,('Amounts Pivot Table'!J$279/$M273),0)</f>
        <v>0</v>
      </c>
      <c r="C273" s="612">
        <f>IF($M273&gt;0,('Amounts Pivot Table'!J$282/$M273),0)</f>
        <v>0</v>
      </c>
      <c r="D273" s="612">
        <f>IF($M273&gt;0,('Amounts Pivot Table'!J$285/$M273),0)</f>
        <v>0</v>
      </c>
      <c r="E273" s="612">
        <f>IF($M273&gt;0,('Amounts Pivot Table'!J$288/$M273),0)</f>
        <v>0</v>
      </c>
      <c r="F273" s="612">
        <f t="shared" si="28"/>
        <v>0</v>
      </c>
      <c r="G273" s="613">
        <f>IF(B273&gt;0,RANK(B273,$B$265:$B$283),)</f>
        <v>0</v>
      </c>
      <c r="H273" s="614">
        <f>IF(C273&gt;0,RANK(C273,$C$265:$C$283),)</f>
        <v>0</v>
      </c>
      <c r="I273" s="614">
        <f>IF(D273&gt;0,RANK(D273,$D$265:$D$283),)</f>
        <v>0</v>
      </c>
      <c r="J273" s="614">
        <f>IF(E273&gt;0,RANK(E273,$E$265:$E$283),)</f>
        <v>0</v>
      </c>
      <c r="K273" s="614">
        <f>IF(F273&gt;0,RANK(F273,$F$265:$F$283),)</f>
        <v>0</v>
      </c>
      <c r="L273" s="1177"/>
      <c r="M273" s="1172">
        <f>+'[1]NEW-Tables 80-86'!AD173</f>
        <v>0</v>
      </c>
    </row>
    <row r="274" spans="1:13" s="547" customFormat="1" ht="12.75" customHeight="1">
      <c r="A274" s="427"/>
      <c r="B274" s="612"/>
      <c r="C274" s="612"/>
      <c r="D274" s="612"/>
      <c r="E274" s="612"/>
      <c r="F274" s="612">
        <f t="shared" si="28"/>
        <v>0</v>
      </c>
      <c r="G274" s="613"/>
      <c r="H274" s="614"/>
      <c r="I274" s="614"/>
      <c r="J274" s="614"/>
      <c r="K274" s="614"/>
      <c r="L274" s="1177"/>
      <c r="M274" s="1172">
        <f>+'[1]NEW-Tables 80-86'!AD174</f>
        <v>0</v>
      </c>
    </row>
    <row r="275" spans="1:13" s="547" customFormat="1" ht="12.75" customHeight="1">
      <c r="A275" s="427" t="s">
        <v>455</v>
      </c>
      <c r="B275" s="612">
        <f>IF($M275&gt;0,('Amounts Pivot Table'!J$318/$M275),0)</f>
        <v>0</v>
      </c>
      <c r="C275" s="612">
        <f>IF($M275&gt;0,('Amounts Pivot Table'!J$322/$M275),0)</f>
        <v>0</v>
      </c>
      <c r="D275" s="612">
        <f>IF($M275&gt;0,('Amounts Pivot Table'!J$324/$M275),0)</f>
        <v>0</v>
      </c>
      <c r="E275" s="612">
        <f>IF($M275&gt;0,('Amounts Pivot Table'!J$327/$M275),0)</f>
        <v>0</v>
      </c>
      <c r="F275" s="612">
        <f t="shared" si="28"/>
        <v>0</v>
      </c>
      <c r="G275" s="613">
        <f>IF(B275&gt;0,RANK(B275,$B$265:$B$283),)</f>
        <v>0</v>
      </c>
      <c r="H275" s="614">
        <f>IF(C275&gt;0,RANK(C275,$C$265:$C$283),)</f>
        <v>0</v>
      </c>
      <c r="I275" s="614">
        <f>IF(D275&gt;0,RANK(D275,$D$265:$D$283),)</f>
        <v>0</v>
      </c>
      <c r="J275" s="614">
        <f>IF(E275&gt;0,RANK(E275,$E$265:$E$283),)</f>
        <v>0</v>
      </c>
      <c r="K275" s="614">
        <f>IF(F275&gt;0,RANK(F275,$F$265:$F$283),)</f>
        <v>0</v>
      </c>
      <c r="L275" s="1177"/>
      <c r="M275" s="1172">
        <f>+'[1]NEW-Tables 80-86'!AD175</f>
        <v>0</v>
      </c>
    </row>
    <row r="276" spans="1:13" s="547" customFormat="1" ht="12.75" customHeight="1">
      <c r="A276" s="427" t="s">
        <v>456</v>
      </c>
      <c r="B276" s="612">
        <f>IF($M276&gt;0,('Amounts Pivot Table'!J$357/$M276),0)</f>
        <v>0</v>
      </c>
      <c r="C276" s="612">
        <f>IF($M276&gt;0,('Amounts Pivot Table'!J$360/$M276),0)</f>
        <v>0</v>
      </c>
      <c r="D276" s="612">
        <f>IF($M276&gt;0,('Amounts Pivot Table'!J$363/$M276),0)</f>
        <v>0</v>
      </c>
      <c r="E276" s="612">
        <f>IF($M276&gt;0,('Amounts Pivot Table'!J$366/$M276),0)</f>
        <v>0</v>
      </c>
      <c r="F276" s="612">
        <f t="shared" si="28"/>
        <v>0</v>
      </c>
      <c r="G276" s="613">
        <f>IF(B276&gt;0,RANK(B276,$B$265:$B$283),)</f>
        <v>0</v>
      </c>
      <c r="H276" s="614">
        <f>IF(C276&gt;0,RANK(C276,$C$265:$C$283),)</f>
        <v>0</v>
      </c>
      <c r="I276" s="614">
        <f>IF(D276&gt;0,RANK(D276,$D$265:$D$283),)</f>
        <v>0</v>
      </c>
      <c r="J276" s="614">
        <f>IF(E276&gt;0,RANK(E276,$E$265:$E$283),)</f>
        <v>0</v>
      </c>
      <c r="K276" s="614">
        <f>IF(F276&gt;0,RANK(F276,$F$265:$F$283),)</f>
        <v>0</v>
      </c>
      <c r="L276" s="1177"/>
      <c r="M276" s="1172">
        <f>+'[1]NEW-Tables 80-86'!AD176</f>
        <v>0</v>
      </c>
    </row>
    <row r="277" spans="1:13" s="547" customFormat="1" ht="12.75" customHeight="1">
      <c r="A277" s="427" t="s">
        <v>463</v>
      </c>
      <c r="B277" s="612">
        <f>IF($M277&gt;0,('Amounts Pivot Table'!J$396/$M277),0)</f>
        <v>4500.2008948954435</v>
      </c>
      <c r="C277" s="612">
        <f>IF($M277&gt;0,('Amounts Pivot Table'!J$399/$M277),0)</f>
        <v>0</v>
      </c>
      <c r="D277" s="612">
        <f>IF($M277&gt;0,('Amounts Pivot Table'!J$402/$M277),0)</f>
        <v>0</v>
      </c>
      <c r="E277" s="612">
        <f>IF($M277&gt;0,('Amounts Pivot Table'!J$405/$M277),0)</f>
        <v>2816.4036769853587</v>
      </c>
      <c r="F277" s="612">
        <f t="shared" si="28"/>
        <v>7316.6045718808018</v>
      </c>
      <c r="G277" s="613">
        <f>IF(B277&gt;0,RANK(B277,$B$265:$B$283),)</f>
        <v>1</v>
      </c>
      <c r="H277" s="614">
        <f>IF(C277&gt;0,RANK(C277,$C$265:$C$283),)</f>
        <v>0</v>
      </c>
      <c r="I277" s="614">
        <f>IF(D277&gt;0,RANK(D277,$D$265:$D$283),)</f>
        <v>0</v>
      </c>
      <c r="J277" s="614">
        <f>IF(E277&gt;0,RANK(E277,$E$265:$E$283),)</f>
        <v>5</v>
      </c>
      <c r="K277" s="614">
        <f>IF(F277&gt;0,RANK(F277,$F$265:$F$283),)</f>
        <v>3</v>
      </c>
      <c r="L277" s="1177"/>
      <c r="M277" s="1172">
        <f>+'[1]NEW-Tables 80-86'!AD177</f>
        <v>3285.3</v>
      </c>
    </row>
    <row r="278" spans="1:13" s="547" customFormat="1" ht="12.75" customHeight="1">
      <c r="A278" s="427" t="s">
        <v>457</v>
      </c>
      <c r="B278" s="612">
        <f>IF($M278&gt;0,('Amounts Pivot Table'!J$435/$M278),0)</f>
        <v>0</v>
      </c>
      <c r="C278" s="612">
        <f>IF($M278&gt;0,('Amounts Pivot Table'!J$438/$M278),0)</f>
        <v>0</v>
      </c>
      <c r="D278" s="612">
        <f>IF($M278&gt;0,('Amounts Pivot Table'!J$441/$M278),0)</f>
        <v>0</v>
      </c>
      <c r="E278" s="612">
        <f>IF($M278&gt;0,('Amounts Pivot Table'!J$444/$M278),0)</f>
        <v>0</v>
      </c>
      <c r="F278" s="612">
        <f t="shared" si="28"/>
        <v>0</v>
      </c>
      <c r="G278" s="613">
        <f>IF(B278&gt;0,RANK(B278,$B$265:$B$283),)</f>
        <v>0</v>
      </c>
      <c r="H278" s="614">
        <f>IF(C278&gt;0,RANK(C278,$C$265:$C$283),)</f>
        <v>0</v>
      </c>
      <c r="I278" s="614">
        <f>IF(D278&gt;0,RANK(D278,$D$265:$D$283),)</f>
        <v>0</v>
      </c>
      <c r="J278" s="614">
        <f>IF(E278&gt;0,RANK(E278,$E$265:$E$283),)</f>
        <v>0</v>
      </c>
      <c r="K278" s="614">
        <f>IF(F278&gt;0,RANK(F278,$F$265:$F$283),)</f>
        <v>0</v>
      </c>
      <c r="L278" s="1177"/>
      <c r="M278" s="1172">
        <f>+'[1]NEW-Tables 80-86'!AD178</f>
        <v>0</v>
      </c>
    </row>
    <row r="279" spans="1:13" s="547" customFormat="1" ht="12.75" customHeight="1">
      <c r="A279" s="427"/>
      <c r="B279" s="612"/>
      <c r="C279" s="612"/>
      <c r="D279" s="612"/>
      <c r="E279" s="612"/>
      <c r="F279" s="612">
        <f t="shared" si="28"/>
        <v>0</v>
      </c>
      <c r="G279" s="613"/>
      <c r="H279" s="614"/>
      <c r="I279" s="614"/>
      <c r="J279" s="614"/>
      <c r="K279" s="614"/>
      <c r="L279" s="1177"/>
      <c r="M279" s="1172">
        <f>+'[1]NEW-Tables 80-86'!AD179</f>
        <v>0</v>
      </c>
    </row>
    <row r="280" spans="1:13" s="547" customFormat="1" ht="12.75" customHeight="1">
      <c r="A280" s="427" t="s">
        <v>130</v>
      </c>
      <c r="B280" s="612">
        <f>IF($M280&gt;0,('Amounts Pivot Table'!J$474/$M280),0)</f>
        <v>0</v>
      </c>
      <c r="C280" s="612">
        <f>IF($M280&gt;0,('Amounts Pivot Table'!J$477/$M280),0)</f>
        <v>0</v>
      </c>
      <c r="D280" s="612">
        <f>IF($M280&gt;0,('Amounts Pivot Table'!J$480/$M280),0)</f>
        <v>0</v>
      </c>
      <c r="E280" s="612">
        <f>IF($M280&gt;0,('Amounts Pivot Table'!J$483/$M280),0)</f>
        <v>0</v>
      </c>
      <c r="F280" s="612">
        <f t="shared" si="28"/>
        <v>0</v>
      </c>
      <c r="G280" s="613">
        <f>IF(B280&gt;0,RANK(B280,$B$265:$B$283),)</f>
        <v>0</v>
      </c>
      <c r="H280" s="614">
        <f>IF(C280&gt;0,RANK(C280,$C$265:$C$283),)</f>
        <v>0</v>
      </c>
      <c r="I280" s="614">
        <f>IF(D280&gt;0,RANK(D280,$D$265:$D$283),)</f>
        <v>0</v>
      </c>
      <c r="J280" s="614">
        <f>IF(E280&gt;0,RANK(E280,$E$265:$E$283),)</f>
        <v>0</v>
      </c>
      <c r="K280" s="614">
        <f>IF(F280&gt;0,RANK(F280,$F$265:$F$283),)</f>
        <v>0</v>
      </c>
      <c r="L280" s="1177"/>
      <c r="M280" s="1172">
        <f>+'[1]NEW-Tables 80-86'!AD180</f>
        <v>0</v>
      </c>
    </row>
    <row r="281" spans="1:13" s="76" customFormat="1" ht="12.75" customHeight="1">
      <c r="A281" s="427" t="s">
        <v>458</v>
      </c>
      <c r="B281" s="612">
        <f>IF($M281&gt;0,('Amounts Pivot Table'!J$513/$M281),0)</f>
        <v>2726.8730047303247</v>
      </c>
      <c r="C281" s="612">
        <f>IF($M281&gt;0,('Amounts Pivot Table'!J$516/$M281),0)</f>
        <v>0</v>
      </c>
      <c r="D281" s="612">
        <f>IF($M281&gt;0,('Amounts Pivot Table'!J$519/$M281),0)</f>
        <v>3381.8408759084282</v>
      </c>
      <c r="E281" s="612">
        <f>IF($M281&gt;0,('Amounts Pivot Table'!J$522/$M281),0)</f>
        <v>2826.7636767527547</v>
      </c>
      <c r="F281" s="612">
        <f t="shared" si="28"/>
        <v>8935.4775573915067</v>
      </c>
      <c r="G281" s="613">
        <f>IF(B281&gt;0,RANK(B281,$B$265:$B$283),)</f>
        <v>5</v>
      </c>
      <c r="H281" s="614">
        <f>IF(C281&gt;0,RANK(C281,$C$265:$C$283),)</f>
        <v>0</v>
      </c>
      <c r="I281" s="614">
        <f>IF(D281&gt;0,RANK(D281,$D$265:$D$283),)</f>
        <v>1</v>
      </c>
      <c r="J281" s="614">
        <f>IF(E281&gt;0,RANK(E281,$E$265:$E$283),)</f>
        <v>4</v>
      </c>
      <c r="K281" s="614">
        <f>IF(F281&gt;0,RANK(F281,$F$265:$F$283),)</f>
        <v>1</v>
      </c>
      <c r="L281" s="170"/>
      <c r="M281" s="1172">
        <f>+'[1]NEW-Tables 80-86'!AD181</f>
        <v>22004.126666666667</v>
      </c>
    </row>
    <row r="282" spans="1:13" s="547" customFormat="1" ht="12.75" customHeight="1">
      <c r="A282" s="427" t="s">
        <v>459</v>
      </c>
      <c r="B282" s="612">
        <f>IF($M282&gt;0,('Amounts Pivot Table'!J$552/$M282),0)</f>
        <v>0</v>
      </c>
      <c r="C282" s="612">
        <f>IF($M282&gt;0,('Amounts Pivot Table'!J$555/$M282),0)</f>
        <v>0</v>
      </c>
      <c r="D282" s="612">
        <f>IF($M282&gt;0,('Amounts Pivot Table'!J$558/$M282),0)</f>
        <v>0</v>
      </c>
      <c r="E282" s="612">
        <f>IF($M282&gt;0,('Amounts Pivot Table'!J$561/$M282),0)</f>
        <v>0</v>
      </c>
      <c r="F282" s="612">
        <f t="shared" si="28"/>
        <v>0</v>
      </c>
      <c r="G282" s="613">
        <f>IF(B282&gt;0,RANK(B282,$B$265:$B$283),)</f>
        <v>0</v>
      </c>
      <c r="H282" s="614">
        <f>IF(C282&gt;0,RANK(C282,$C$265:$C$283),)</f>
        <v>0</v>
      </c>
      <c r="I282" s="614">
        <f>IF(D282&gt;0,RANK(D282,$D$265:$D$283),)</f>
        <v>0</v>
      </c>
      <c r="J282" s="614">
        <f>IF(E282&gt;0,RANK(E282,$E$265:$E$283),)</f>
        <v>0</v>
      </c>
      <c r="K282" s="614">
        <f>IF(F282&gt;0,RANK(F282,$F$265:$F$283),)</f>
        <v>0</v>
      </c>
      <c r="L282" s="1178"/>
      <c r="M282" s="1172">
        <f>+'[1]NEW-Tables 80-86'!AD182</f>
        <v>0</v>
      </c>
    </row>
    <row r="283" spans="1:13" s="547" customFormat="1" ht="15.75" customHeight="1">
      <c r="A283" s="428" t="s">
        <v>464</v>
      </c>
      <c r="B283" s="618">
        <f>IF($M283&gt;0,('Amounts Pivot Table'!J$591/$M283),0)</f>
        <v>2938.9149483575075</v>
      </c>
      <c r="C283" s="618">
        <f>IF($M283&gt;0,('Amounts Pivot Table'!J$594/$M283),0)</f>
        <v>46.42231253961743</v>
      </c>
      <c r="D283" s="618">
        <f>IF($M283&gt;0,('Amounts Pivot Table'!J$597/$M283),0)</f>
        <v>0</v>
      </c>
      <c r="E283" s="618">
        <f>IF($M283&gt;0,('Amounts Pivot Table'!J$600/$M283),0)</f>
        <v>3213.8618889593195</v>
      </c>
      <c r="F283" s="619">
        <f t="shared" si="28"/>
        <v>6199.1991498564439</v>
      </c>
      <c r="G283" s="620">
        <f>IF(B283&gt;0,RANK(B283,$B$265:$B$283),)</f>
        <v>3</v>
      </c>
      <c r="H283" s="621">
        <f>IF(C283&gt;0,RANK(C283,$C$265:$C$283),)</f>
        <v>1</v>
      </c>
      <c r="I283" s="621">
        <f>IF(D283&gt;0,RANK(D283,$D$265:$D$283),)</f>
        <v>0</v>
      </c>
      <c r="J283" s="621">
        <f>IF(E283&gt;0,RANK(E283,$E$265:$E$283),)</f>
        <v>2</v>
      </c>
      <c r="K283" s="621">
        <f>IF(F283&gt;0,RANK(F283,$F$265:$F$283),)</f>
        <v>4</v>
      </c>
      <c r="L283" s="1178"/>
      <c r="M283" s="1172">
        <f>+'[1]NEW-Tables 80-86'!AD183</f>
        <v>4469.8333333333339</v>
      </c>
    </row>
    <row r="284" spans="1:13" s="76" customFormat="1" ht="34.5" customHeight="1">
      <c r="A284" s="1405" t="s">
        <v>25</v>
      </c>
      <c r="B284" s="1450"/>
      <c r="C284" s="1450"/>
      <c r="D284" s="1450"/>
      <c r="E284" s="1450"/>
      <c r="F284" s="1450"/>
      <c r="G284" s="1450"/>
      <c r="H284" s="1450"/>
      <c r="I284" s="1450"/>
      <c r="J284" s="1450"/>
      <c r="K284" s="1450"/>
      <c r="L284" s="170"/>
      <c r="M284" s="1172"/>
    </row>
    <row r="285" spans="1:13" s="207" customFormat="1" ht="13.5" customHeight="1">
      <c r="A285" s="1405" t="s">
        <v>80</v>
      </c>
      <c r="B285" s="1450"/>
      <c r="C285" s="1450"/>
      <c r="D285" s="1450"/>
      <c r="E285" s="1450"/>
      <c r="F285" s="1450"/>
      <c r="G285" s="1450"/>
      <c r="H285" s="1450"/>
      <c r="I285" s="1450"/>
      <c r="J285" s="1450"/>
      <c r="K285" s="1450"/>
      <c r="L285" s="206"/>
      <c r="M285" s="1172"/>
    </row>
    <row r="286" spans="1:13" s="547" customFormat="1" ht="13.5" customHeight="1">
      <c r="A286" s="1405" t="s">
        <v>332</v>
      </c>
      <c r="B286" s="1456"/>
      <c r="C286" s="1456"/>
      <c r="D286" s="1456"/>
      <c r="E286" s="1456"/>
      <c r="F286" s="1456"/>
      <c r="G286" s="1457"/>
      <c r="H286" s="1457"/>
      <c r="I286" s="1457"/>
      <c r="J286" s="1457"/>
      <c r="K286" s="1457"/>
      <c r="L286" s="1181"/>
      <c r="M286" s="1172"/>
    </row>
    <row r="287" spans="1:13" s="547" customFormat="1" ht="13.5" customHeight="1">
      <c r="A287" s="1167"/>
      <c r="B287" s="1180"/>
      <c r="C287" s="1180"/>
      <c r="D287" s="1180"/>
      <c r="E287" s="1180"/>
      <c r="F287" s="1180"/>
      <c r="G287" s="1182"/>
      <c r="H287" s="1182"/>
      <c r="I287" s="1182"/>
      <c r="J287" s="1182"/>
      <c r="K287" s="1182"/>
      <c r="L287" s="1181"/>
      <c r="M287" s="1172"/>
    </row>
    <row r="288" spans="1:13" s="547" customFormat="1">
      <c r="A288" s="1167"/>
      <c r="B288" s="1180"/>
      <c r="C288" s="1180"/>
      <c r="D288" s="1180"/>
      <c r="E288" s="1180"/>
      <c r="F288" s="1180"/>
      <c r="G288" s="1182"/>
      <c r="H288" s="1182"/>
      <c r="I288" s="1182"/>
      <c r="J288" s="1182"/>
      <c r="K288" s="591" t="s">
        <v>2018</v>
      </c>
      <c r="L288" s="1181"/>
      <c r="M288" s="1172"/>
    </row>
    <row r="289" spans="1:13" s="547" customFormat="1" ht="15.75">
      <c r="A289" s="1429" t="s">
        <v>538</v>
      </c>
      <c r="B289" s="1429"/>
      <c r="C289" s="1429"/>
      <c r="D289" s="1429"/>
      <c r="E289" s="1429"/>
      <c r="F289" s="1429"/>
      <c r="G289" s="1429"/>
      <c r="H289" s="1429"/>
      <c r="I289" s="1429"/>
      <c r="J289" s="1429"/>
      <c r="K289" s="1429"/>
      <c r="L289" s="1178"/>
      <c r="M289" s="1172"/>
    </row>
    <row r="290" spans="1:13" s="547" customFormat="1" ht="18.75">
      <c r="A290" s="1429" t="s">
        <v>26</v>
      </c>
      <c r="B290" s="1429"/>
      <c r="C290" s="1429"/>
      <c r="D290" s="1429"/>
      <c r="E290" s="1429"/>
      <c r="F290" s="1429"/>
      <c r="G290" s="1429"/>
      <c r="H290" s="1429"/>
      <c r="I290" s="1429"/>
      <c r="J290" s="1429"/>
      <c r="K290" s="1429"/>
      <c r="L290" s="166"/>
      <c r="M290" s="1172"/>
    </row>
    <row r="291" spans="1:13" s="547" customFormat="1" ht="15.75">
      <c r="A291" s="1429" t="s">
        <v>510</v>
      </c>
      <c r="B291" s="1429"/>
      <c r="C291" s="1429"/>
      <c r="D291" s="1429"/>
      <c r="E291" s="1429"/>
      <c r="F291" s="1429"/>
      <c r="G291" s="1429"/>
      <c r="H291" s="1429"/>
      <c r="I291" s="1429"/>
      <c r="J291" s="1429"/>
      <c r="K291" s="1429"/>
      <c r="L291" s="166"/>
      <c r="M291" s="1183"/>
    </row>
    <row r="292" spans="1:13" s="547" customFormat="1" ht="9" customHeight="1">
      <c r="A292" s="91"/>
      <c r="B292" s="91"/>
      <c r="C292" s="91"/>
      <c r="D292" s="91"/>
      <c r="E292" s="91"/>
      <c r="F292" s="91"/>
      <c r="G292" s="108"/>
      <c r="H292" s="91"/>
      <c r="I292" s="91"/>
      <c r="J292" s="91"/>
      <c r="K292" s="91"/>
      <c r="L292" s="166"/>
      <c r="M292" s="1172"/>
    </row>
    <row r="293" spans="1:13" s="547" customFormat="1" ht="16.5" customHeight="1">
      <c r="A293" s="60"/>
      <c r="B293" s="1463" t="s">
        <v>81</v>
      </c>
      <c r="C293" s="1464"/>
      <c r="D293" s="1464"/>
      <c r="E293" s="1464"/>
      <c r="F293" s="1464"/>
      <c r="G293" s="57" t="s">
        <v>178</v>
      </c>
      <c r="H293" s="58"/>
      <c r="I293" s="58"/>
      <c r="J293" s="58"/>
      <c r="K293" s="58"/>
      <c r="L293" s="174"/>
      <c r="M293" s="1172"/>
    </row>
    <row r="294" spans="1:13" s="393" customFormat="1" ht="45">
      <c r="A294" s="1173"/>
      <c r="B294" s="51" t="s">
        <v>126</v>
      </c>
      <c r="C294" s="52" t="s">
        <v>128</v>
      </c>
      <c r="D294" s="52" t="s">
        <v>127</v>
      </c>
      <c r="E294" s="52" t="s">
        <v>438</v>
      </c>
      <c r="F294" s="52" t="s">
        <v>138</v>
      </c>
      <c r="G294" s="53" t="s">
        <v>126</v>
      </c>
      <c r="H294" s="52" t="s">
        <v>128</v>
      </c>
      <c r="I294" s="52" t="s">
        <v>127</v>
      </c>
      <c r="J294" s="52" t="s">
        <v>438</v>
      </c>
      <c r="K294" s="52" t="s">
        <v>138</v>
      </c>
      <c r="L294" s="1175"/>
      <c r="M294" s="1172" t="s">
        <v>388</v>
      </c>
    </row>
    <row r="295" spans="1:13" s="547" customFormat="1" ht="14.25">
      <c r="A295" s="427" t="s">
        <v>82</v>
      </c>
      <c r="B295" s="609">
        <f>IF($M295&gt;0,('Amounts Pivot Table'!K$630/$M295),0)</f>
        <v>2684.9809552865927</v>
      </c>
      <c r="C295" s="609">
        <f>IF($M295&gt;0,('Amounts Pivot Table'!K$633/$M295),0)</f>
        <v>52.904524957055415</v>
      </c>
      <c r="D295" s="609">
        <f>IF($M295&gt;0,('Amounts Pivot Table'!K$636/$M295),0)</f>
        <v>1560.6791702281666</v>
      </c>
      <c r="E295" s="609">
        <f>IF($M295&gt;0,('Amounts Pivot Table'!K$639/$M295),0)</f>
        <v>2667.1441919106046</v>
      </c>
      <c r="F295" s="609">
        <f>SUM(B295:E295)</f>
        <v>6965.7088423824198</v>
      </c>
      <c r="G295" s="610"/>
      <c r="H295" s="611"/>
      <c r="I295" s="611"/>
      <c r="J295" s="611"/>
      <c r="K295" s="611"/>
      <c r="L295" s="1177"/>
      <c r="M295" s="1172">
        <f>+'[1]NEW-Tables 80-86'!AE163</f>
        <v>779986.35888888885</v>
      </c>
    </row>
    <row r="296" spans="1:13" s="112" customFormat="1" ht="12.75" customHeight="1">
      <c r="A296" s="110"/>
      <c r="B296" s="111"/>
      <c r="C296" s="111"/>
      <c r="D296" s="111"/>
      <c r="E296" s="111"/>
      <c r="F296" s="111">
        <f>SUM(B296:E296)</f>
        <v>0</v>
      </c>
      <c r="G296" s="119"/>
      <c r="H296" s="120"/>
      <c r="I296" s="120"/>
      <c r="J296" s="120"/>
      <c r="K296" s="120"/>
      <c r="L296" s="176"/>
      <c r="M296" s="1172">
        <f>+'[1]NEW-Tables 80-86'!AE164</f>
        <v>0</v>
      </c>
    </row>
    <row r="297" spans="1:13" s="547" customFormat="1" ht="12.75" customHeight="1">
      <c r="A297" s="427" t="s">
        <v>452</v>
      </c>
      <c r="B297" s="612">
        <f>IF($M297&gt;0,('Amounts Pivot Table'!K$6/$M297),0)</f>
        <v>2956.378966319106</v>
      </c>
      <c r="C297" s="612">
        <f>IF($M297&gt;0,('Amounts Pivot Table'!K$9/$M297),0)</f>
        <v>94.605640237041484</v>
      </c>
      <c r="D297" s="612">
        <f>IF($M297&gt;0,('Amounts Pivot Table'!K$12/$M297),0)</f>
        <v>2.3587412797239518</v>
      </c>
      <c r="E297" s="612">
        <f>IF($M297&gt;0,('Amounts Pivot Table'!K$15/$M297),0)</f>
        <v>3299.7234175980793</v>
      </c>
      <c r="F297" s="612">
        <f t="shared" ref="F297:F315" si="29">SUM(B297:E297)</f>
        <v>6353.0667654339504</v>
      </c>
      <c r="G297" s="613">
        <f>IF(B297&gt;0,RANK(B297,$B$297:$B$315),)</f>
        <v>4</v>
      </c>
      <c r="H297" s="614">
        <f>IF(C297&gt;0,RANK(C297,$C$297:$C$315),)</f>
        <v>4</v>
      </c>
      <c r="I297" s="614">
        <f>IF(D297&gt;0,RANK(D297,$D$297:$D$315),)</f>
        <v>7</v>
      </c>
      <c r="J297" s="614">
        <f>IF(E297&gt;0,RANK(E297,$E$297:$E$315),)</f>
        <v>6</v>
      </c>
      <c r="K297" s="614">
        <f>IF(F297&gt;0,RANK(F297,$F$297:$F$315),)</f>
        <v>8</v>
      </c>
      <c r="L297" s="1177"/>
      <c r="M297" s="1172">
        <f>+'[1]NEW-Tables 80-86'!AE165</f>
        <v>13331</v>
      </c>
    </row>
    <row r="298" spans="1:13" s="547" customFormat="1" ht="12.75" customHeight="1">
      <c r="A298" s="427" t="s">
        <v>466</v>
      </c>
      <c r="B298" s="612">
        <f>IF($M298&gt;0,('Amounts Pivot Table'!K$45/$M298),0)</f>
        <v>2247.0226980607072</v>
      </c>
      <c r="C298" s="612">
        <f>IF($M298&gt;0,('Amounts Pivot Table'!K$48/$M298),0)</f>
        <v>0</v>
      </c>
      <c r="D298" s="612">
        <f>IF($M298&gt;0,('Amounts Pivot Table'!K$51/$M298),0)</f>
        <v>0</v>
      </c>
      <c r="E298" s="612">
        <f>IF($M298&gt;0,('Amounts Pivot Table'!K$54/$M298),0)</f>
        <v>3411.1476150793092</v>
      </c>
      <c r="F298" s="612">
        <f t="shared" si="29"/>
        <v>5658.1703131400163</v>
      </c>
      <c r="G298" s="613">
        <f>IF(B298&gt;0,RANK(B298,$B$297:$B$315),)</f>
        <v>11</v>
      </c>
      <c r="H298" s="614">
        <f>IF(C298&gt;0,RANK(C298,$C$297:$C$315),)</f>
        <v>0</v>
      </c>
      <c r="I298" s="614">
        <f>IF(D298&gt;0,RANK(D298,$D$297:$D$315),)</f>
        <v>0</v>
      </c>
      <c r="J298" s="614">
        <f>IF(E298&gt;0,RANK(E298,$E$297:$E$315),)</f>
        <v>5</v>
      </c>
      <c r="K298" s="614">
        <f>IF(F298&gt;0,RANK(F298,$F$297:$F$315),)</f>
        <v>10</v>
      </c>
      <c r="L298" s="1177"/>
      <c r="M298" s="1172">
        <f>+'[1]NEW-Tables 80-86'!AE166</f>
        <v>7079.9</v>
      </c>
    </row>
    <row r="299" spans="1:13" s="547" customFormat="1" ht="12.75" customHeight="1">
      <c r="A299" s="427" t="s">
        <v>453</v>
      </c>
      <c r="B299" s="612">
        <f>IF($M299&gt;0,('Amounts Pivot Table'!K$84/$M299),0)</f>
        <v>0</v>
      </c>
      <c r="C299" s="612">
        <f>IF($M299&gt;0,('Amounts Pivot Table'!K$88/$M299),0)</f>
        <v>0</v>
      </c>
      <c r="D299" s="612">
        <f>IF($M299&gt;0,('Amounts Pivot Table'!K$90/$M299),0)</f>
        <v>0</v>
      </c>
      <c r="E299" s="612">
        <f>IF($M299&gt;0,('Amounts Pivot Table'!K$93/$M299),0)</f>
        <v>0</v>
      </c>
      <c r="F299" s="612">
        <f t="shared" si="29"/>
        <v>0</v>
      </c>
      <c r="G299" s="613">
        <f>IF(B299&gt;0,RANK(B299,$B$297:$B$315),)</f>
        <v>0</v>
      </c>
      <c r="H299" s="614">
        <f>IF(C299&gt;0,RANK(C299,$C$297:$C$315),)</f>
        <v>0</v>
      </c>
      <c r="I299" s="614">
        <f>IF(D299&gt;0,RANK(D299,$D$297:$D$315),)</f>
        <v>0</v>
      </c>
      <c r="J299" s="614">
        <f>IF(E299&gt;0,RANK(E299,$E$297:$E$315),)</f>
        <v>0</v>
      </c>
      <c r="K299" s="614">
        <f>IF(F299&gt;0,RANK(F299,$F$297:$F$315),)</f>
        <v>0</v>
      </c>
      <c r="L299" s="1177"/>
      <c r="M299" s="1172">
        <f>+'[1]NEW-Tables 80-86'!AE167</f>
        <v>0</v>
      </c>
    </row>
    <row r="300" spans="1:13" s="547" customFormat="1" ht="12.75" customHeight="1">
      <c r="A300" s="427" t="s">
        <v>460</v>
      </c>
      <c r="B300" s="612">
        <f>IF($M300&gt;0,('Amounts Pivot Table'!K$123/$M300),0)</f>
        <v>2525.4100537196837</v>
      </c>
      <c r="C300" s="612">
        <f>IF($M300&gt;0,('Amounts Pivot Table'!K$126/$M300),0)</f>
        <v>0</v>
      </c>
      <c r="D300" s="612">
        <f>IF($M300&gt;0,('Amounts Pivot Table'!K$129/$M300),0)</f>
        <v>0</v>
      </c>
      <c r="E300" s="612">
        <f>IF($M300&gt;0,('Amounts Pivot Table'!K$132/$M300),0)</f>
        <v>2283.6245823490967</v>
      </c>
      <c r="F300" s="612">
        <f t="shared" si="29"/>
        <v>4809.0346360687799</v>
      </c>
      <c r="G300" s="613">
        <f>IF(B300&gt;0,RANK(B300,$B$297:$B$315),)</f>
        <v>9</v>
      </c>
      <c r="H300" s="614">
        <f>IF(C300&gt;0,RANK(C300,$C$297:$C$315),)</f>
        <v>0</v>
      </c>
      <c r="I300" s="614">
        <f>IF(D300&gt;0,RANK(D300,$D$297:$D$315),)</f>
        <v>0</v>
      </c>
      <c r="J300" s="614">
        <f>IF(E300&gt;0,RANK(E300,$E$297:$E$315),)</f>
        <v>12</v>
      </c>
      <c r="K300" s="614">
        <f>IF(F300&gt;0,RANK(F300,$F$297:$F$315),)</f>
        <v>13</v>
      </c>
      <c r="L300" s="1177"/>
      <c r="M300" s="1172">
        <f>+'[1]NEW-Tables 80-86'!AE168</f>
        <v>222428.91888888887</v>
      </c>
    </row>
    <row r="301" spans="1:13" s="547" customFormat="1" ht="12.75" customHeight="1">
      <c r="A301" s="427"/>
      <c r="B301" s="612"/>
      <c r="C301" s="612"/>
      <c r="D301" s="612"/>
      <c r="E301" s="612"/>
      <c r="F301" s="612"/>
      <c r="G301" s="613"/>
      <c r="H301" s="614"/>
      <c r="I301" s="614"/>
      <c r="J301" s="614"/>
      <c r="K301" s="614"/>
      <c r="L301" s="1177"/>
      <c r="M301" s="1172">
        <f>+'[1]NEW-Tables 80-86'!AE169</f>
        <v>0</v>
      </c>
    </row>
    <row r="302" spans="1:13" s="547" customFormat="1" ht="12.75" customHeight="1">
      <c r="A302" s="427" t="s">
        <v>461</v>
      </c>
      <c r="B302" s="612">
        <f>IF($M302&gt;0,('Amounts Pivot Table'!K$162/$M302),0)</f>
        <v>2554.0775016011248</v>
      </c>
      <c r="C302" s="612">
        <f>IF($M302&gt;0,('Amounts Pivot Table'!K$165/$M302),0)</f>
        <v>0</v>
      </c>
      <c r="D302" s="612">
        <f>IF($M302&gt;0,('Amounts Pivot Table'!K$168/$M302),0)</f>
        <v>0</v>
      </c>
      <c r="E302" s="612">
        <f>IF($M302&gt;0,('Amounts Pivot Table'!K$171/$M302),0)</f>
        <v>3292.8180692759338</v>
      </c>
      <c r="F302" s="612">
        <f t="shared" si="29"/>
        <v>5846.8955708770591</v>
      </c>
      <c r="G302" s="613">
        <f>IF(B302&gt;0,RANK(B302,$B$297:$B$315),)</f>
        <v>8</v>
      </c>
      <c r="H302" s="614">
        <f>IF(C302&gt;0,RANK(C302,$C$297:$C$315),)</f>
        <v>0</v>
      </c>
      <c r="I302" s="614">
        <f>IF(D302&gt;0,RANK(D302,$D$297:$D$315),)</f>
        <v>0</v>
      </c>
      <c r="J302" s="614">
        <f>IF(E302&gt;0,RANK(E302,$E$297:$E$315),)</f>
        <v>7</v>
      </c>
      <c r="K302" s="614">
        <f>IF(F302&gt;0,RANK(F302,$F$297:$F$315),)</f>
        <v>9</v>
      </c>
      <c r="L302" s="1177"/>
      <c r="M302" s="1172">
        <f>+'[1]NEW-Tables 80-86'!AE170</f>
        <v>18632.733333333334</v>
      </c>
    </row>
    <row r="303" spans="1:13" s="547" customFormat="1" ht="12.75" customHeight="1">
      <c r="A303" s="427" t="s">
        <v>454</v>
      </c>
      <c r="B303" s="612">
        <f>IF($M303&gt;0,('Amounts Pivot Table'!K$201/$M303),0)</f>
        <v>2008.929878857547</v>
      </c>
      <c r="C303" s="612">
        <f>IF($M303&gt;0,('Amounts Pivot Table'!K$204/$M303),0)</f>
        <v>0</v>
      </c>
      <c r="D303" s="612">
        <f>IF($M303&gt;0,('Amounts Pivot Table'!K$207/$M303),0)</f>
        <v>0</v>
      </c>
      <c r="E303" s="612">
        <f>IF($M303&gt;0,('Amounts Pivot Table'!K$210/$M303),0)</f>
        <v>3624.8297815898841</v>
      </c>
      <c r="F303" s="612">
        <f t="shared" si="29"/>
        <v>5633.7596604474311</v>
      </c>
      <c r="G303" s="613">
        <f>IF(B303&gt;0,RANK(B303,$B$297:$B$315),)</f>
        <v>12</v>
      </c>
      <c r="H303" s="614">
        <f>IF(C303&gt;0,RANK(C303,$C$297:$C$315),)</f>
        <v>0</v>
      </c>
      <c r="I303" s="614">
        <f>IF(D303&gt;0,RANK(D303,$D$297:$D$315),)</f>
        <v>0</v>
      </c>
      <c r="J303" s="614">
        <f>IF(E303&gt;0,RANK(E303,$E$297:$E$315),)</f>
        <v>4</v>
      </c>
      <c r="K303" s="614">
        <f>IF(F303&gt;0,RANK(F303,$F$297:$F$315),)</f>
        <v>11</v>
      </c>
      <c r="L303" s="1177"/>
      <c r="M303" s="1172">
        <f>+'[1]NEW-Tables 80-86'!AE171</f>
        <v>16963.5</v>
      </c>
    </row>
    <row r="304" spans="1:13" s="547" customFormat="1" ht="12.75" customHeight="1">
      <c r="A304" s="427" t="s">
        <v>462</v>
      </c>
      <c r="B304" s="612">
        <f>IF($M304&gt;0,('Amounts Pivot Table'!K$240/$M304),0)</f>
        <v>2818.0367429267139</v>
      </c>
      <c r="C304" s="612">
        <f>IF($M304&gt;0,('Amounts Pivot Table'!K$243/$M304),0)</f>
        <v>0</v>
      </c>
      <c r="D304" s="612">
        <f>IF($M304&gt;0,('Amounts Pivot Table'!K$246/$M304),0)</f>
        <v>0</v>
      </c>
      <c r="E304" s="612">
        <f>IF($M304&gt;0,('Amounts Pivot Table'!K$249/$M304),0)</f>
        <v>2671.804013495424</v>
      </c>
      <c r="F304" s="612">
        <f t="shared" si="29"/>
        <v>5489.8407564221379</v>
      </c>
      <c r="G304" s="613">
        <f>IF(B304&gt;0,RANK(B304,$B$297:$B$315),)</f>
        <v>6</v>
      </c>
      <c r="H304" s="614">
        <f>IF(C304&gt;0,RANK(C304,$C$297:$C$315),)</f>
        <v>0</v>
      </c>
      <c r="I304" s="614">
        <f>IF(D304&gt;0,RANK(D304,$D$297:$D$315),)</f>
        <v>0</v>
      </c>
      <c r="J304" s="614">
        <f>IF(E304&gt;0,RANK(E304,$E$297:$E$315),)</f>
        <v>8</v>
      </c>
      <c r="K304" s="614">
        <f>IF(F304&gt;0,RANK(F304,$F$297:$F$315),)</f>
        <v>12</v>
      </c>
      <c r="L304" s="1177"/>
      <c r="M304" s="1172">
        <f>+'[1]NEW-Tables 80-86'!AE172</f>
        <v>16509.3</v>
      </c>
    </row>
    <row r="305" spans="1:13" s="547" customFormat="1" ht="12.75" customHeight="1">
      <c r="A305" s="427" t="s">
        <v>465</v>
      </c>
      <c r="B305" s="612">
        <f>IF($M305&gt;0,('Amounts Pivot Table'!K$279/$M305),0)</f>
        <v>2283.5550727075711</v>
      </c>
      <c r="C305" s="612">
        <f>IF($M305&gt;0,('Amounts Pivot Table'!K$282/$M305),0)</f>
        <v>0</v>
      </c>
      <c r="D305" s="612">
        <f>IF($M305&gt;0,('Amounts Pivot Table'!K$285/$M305),0)</f>
        <v>3931.4004043016494</v>
      </c>
      <c r="E305" s="612">
        <f>IF($M305&gt;0,('Amounts Pivot Table'!K$288/$M305),0)</f>
        <v>4265.9961825353339</v>
      </c>
      <c r="F305" s="612">
        <f t="shared" si="29"/>
        <v>10480.951659544553</v>
      </c>
      <c r="G305" s="613">
        <f>IF(B305&gt;0,RANK(B305,$B$297:$B$315),)</f>
        <v>10</v>
      </c>
      <c r="H305" s="614">
        <f>IF(C305&gt;0,RANK(C305,$C$297:$C$315),)</f>
        <v>0</v>
      </c>
      <c r="I305" s="614">
        <f>IF(D305&gt;0,RANK(D305,$D$297:$D$315),)</f>
        <v>1</v>
      </c>
      <c r="J305" s="614">
        <f>IF(E305&gt;0,RANK(E305,$E$297:$E$315),)</f>
        <v>2</v>
      </c>
      <c r="K305" s="614">
        <f>IF(F305&gt;0,RANK(F305,$F$297:$F$315),)</f>
        <v>1</v>
      </c>
      <c r="L305" s="1177"/>
      <c r="M305" s="1172">
        <f>+'[1]NEW-Tables 80-86'!AE173</f>
        <v>53202.85</v>
      </c>
    </row>
    <row r="306" spans="1:13" s="547" customFormat="1" ht="12.75" customHeight="1">
      <c r="A306" s="427"/>
      <c r="B306" s="612"/>
      <c r="C306" s="612"/>
      <c r="D306" s="612"/>
      <c r="E306" s="612"/>
      <c r="F306" s="612"/>
      <c r="G306" s="613"/>
      <c r="H306" s="614"/>
      <c r="I306" s="614"/>
      <c r="J306" s="614"/>
      <c r="K306" s="614"/>
      <c r="L306" s="1177"/>
      <c r="M306" s="1172">
        <f>+'[1]NEW-Tables 80-86'!AE174</f>
        <v>0</v>
      </c>
    </row>
    <row r="307" spans="1:13" s="547" customFormat="1" ht="12.75" customHeight="1">
      <c r="A307" s="427" t="s">
        <v>455</v>
      </c>
      <c r="B307" s="612">
        <f>IF($M307&gt;0,('Amounts Pivot Table'!K$318/$M307),0)</f>
        <v>3028.5980002730303</v>
      </c>
      <c r="C307" s="612">
        <f>IF($M307&gt;0,('Amounts Pivot Table'!K$321/$M307),0)</f>
        <v>342.53288474156795</v>
      </c>
      <c r="D307" s="612">
        <f>IF($M307&gt;0,('Amounts Pivot Table'!K$324/$M307),0)</f>
        <v>961.11756377680206</v>
      </c>
      <c r="E307" s="612">
        <f>IF($M307&gt;0,('Amounts Pivot Table'!K$327/$M307),0)</f>
        <v>2586.2664423707838</v>
      </c>
      <c r="F307" s="612">
        <f t="shared" si="29"/>
        <v>6918.5148911621845</v>
      </c>
      <c r="G307" s="613">
        <f>IF(B307&gt;0,RANK(B307,$B$297:$B$315),)</f>
        <v>3</v>
      </c>
      <c r="H307" s="614">
        <f>IF(C307&gt;0,RANK(C307,$C$297:$C$315),)</f>
        <v>1</v>
      </c>
      <c r="I307" s="614">
        <f>IF(D307&gt;0,RANK(D307,$D$297:$D$315),)</f>
        <v>5</v>
      </c>
      <c r="J307" s="614">
        <f>IF(E307&gt;0,RANK(E307,$E$297:$E$315),)</f>
        <v>9</v>
      </c>
      <c r="K307" s="614">
        <f>IF(F307&gt;0,RANK(F307,$F$297:$F$315),)</f>
        <v>7</v>
      </c>
      <c r="L307" s="1177"/>
      <c r="M307" s="1172">
        <f>+'[1]NEW-Tables 80-86'!AE175</f>
        <v>30277.466666666667</v>
      </c>
    </row>
    <row r="308" spans="1:13" s="547" customFormat="1" ht="12.75" customHeight="1">
      <c r="A308" s="427" t="s">
        <v>456</v>
      </c>
      <c r="B308" s="612">
        <f>IF($M308&gt;0,('Amounts Pivot Table'!K$357/$M308),0)</f>
        <v>4028.0768888542852</v>
      </c>
      <c r="C308" s="612">
        <f>IF($M308&gt;0,('Amounts Pivot Table'!K$360/$M308),0)</f>
        <v>338.03793279871866</v>
      </c>
      <c r="D308" s="612">
        <f>IF($M308&gt;0,('Amounts Pivot Table'!K$363/$M308),0)</f>
        <v>1345.0524419134902</v>
      </c>
      <c r="E308" s="612">
        <f>IF($M308&gt;0,('Amounts Pivot Table'!K$366/$M308),0)</f>
        <v>1582.9354541814498</v>
      </c>
      <c r="F308" s="612">
        <f t="shared" si="29"/>
        <v>7294.1027177479436</v>
      </c>
      <c r="G308" s="613">
        <f>IF(B308&gt;0,RANK(B308,$B$297:$B$315),)</f>
        <v>1</v>
      </c>
      <c r="H308" s="614">
        <f>IF(C308&gt;0,RANK(C308,$C$297:$C$315),)</f>
        <v>2</v>
      </c>
      <c r="I308" s="614">
        <f>IF(D308&gt;0,RANK(D308,$D$297:$D$315),)</f>
        <v>4</v>
      </c>
      <c r="J308" s="614">
        <f>IF(E308&gt;0,RANK(E308,$E$297:$E$315),)</f>
        <v>13</v>
      </c>
      <c r="K308" s="614">
        <f>IF(F308&gt;0,RANK(F308,$F$297:$F$315),)</f>
        <v>5</v>
      </c>
      <c r="L308" s="1177"/>
      <c r="M308" s="1172">
        <f>+'[1]NEW-Tables 80-86'!AE176</f>
        <v>71927.200000000012</v>
      </c>
    </row>
    <row r="309" spans="1:13" s="547" customFormat="1" ht="12.75" customHeight="1">
      <c r="A309" s="427" t="s">
        <v>463</v>
      </c>
      <c r="B309" s="612">
        <f>IF($M309&gt;0,('Amounts Pivot Table'!K$396/$M309),0)</f>
        <v>2901.9138994581785</v>
      </c>
      <c r="C309" s="612">
        <f>IF($M309&gt;0,('Amounts Pivot Table'!K$399/$M309),0)</f>
        <v>0</v>
      </c>
      <c r="D309" s="612">
        <f>IF($M309&gt;0,('Amounts Pivot Table'!K$402/$M309),0)</f>
        <v>1856.6472094470171</v>
      </c>
      <c r="E309" s="612">
        <f>IF($M309&gt;0,('Amounts Pivot Table'!K$405/$M309),0)</f>
        <v>2314.8066575581452</v>
      </c>
      <c r="F309" s="612">
        <f t="shared" si="29"/>
        <v>7073.3677664633406</v>
      </c>
      <c r="G309" s="613">
        <f>IF(B309&gt;0,RANK(B309,$B$297:$B$315),)</f>
        <v>5</v>
      </c>
      <c r="H309" s="614">
        <f>IF(C309&gt;0,RANK(C309,$C$297:$C$315),)</f>
        <v>0</v>
      </c>
      <c r="I309" s="614">
        <f>IF(D309&gt;0,RANK(D309,$D$297:$D$315),)</f>
        <v>3</v>
      </c>
      <c r="J309" s="614">
        <f>IF(E309&gt;0,RANK(E309,$E$297:$E$315),)</f>
        <v>11</v>
      </c>
      <c r="K309" s="614">
        <f>IF(F309&gt;0,RANK(F309,$F$297:$F$315),)</f>
        <v>6</v>
      </c>
      <c r="L309" s="1177"/>
      <c r="M309" s="1172">
        <f>+'[1]NEW-Tables 80-86'!AE177</f>
        <v>21323.133333333331</v>
      </c>
    </row>
    <row r="310" spans="1:13" s="547" customFormat="1" ht="12.75" customHeight="1">
      <c r="A310" s="427" t="s">
        <v>457</v>
      </c>
      <c r="B310" s="612">
        <f>IF($M310&gt;0,('Amounts Pivot Table'!K$435/$M310),0)</f>
        <v>1409.7271271030288</v>
      </c>
      <c r="C310" s="612">
        <f>IF($M310&gt;0,('Amounts Pivot Table'!K$438/$M310),0)</f>
        <v>164.1518285663139</v>
      </c>
      <c r="D310" s="612">
        <f>IF($M310&gt;0,('Amounts Pivot Table'!K$441/$M310),0)</f>
        <v>846.93126788211009</v>
      </c>
      <c r="E310" s="612">
        <f>IF($M310&gt;0,('Amounts Pivot Table'!K$444/$M310),0)</f>
        <v>5263.478797643189</v>
      </c>
      <c r="F310" s="612">
        <f t="shared" si="29"/>
        <v>7684.2890211946415</v>
      </c>
      <c r="G310" s="613">
        <f>IF(B310&gt;0,RANK(B310,$B$297:$B$315),)</f>
        <v>13</v>
      </c>
      <c r="H310" s="614">
        <f>IF(C310&gt;0,RANK(C310,$C$297:$C$315),)</f>
        <v>3</v>
      </c>
      <c r="I310" s="614">
        <f>IF(D310&gt;0,RANK(D310,$D$297:$D$315),)</f>
        <v>6</v>
      </c>
      <c r="J310" s="614">
        <f>IF(E310&gt;0,RANK(E310,$E$297:$E$315),)</f>
        <v>1</v>
      </c>
      <c r="K310" s="614">
        <f>IF(F310&gt;0,RANK(F310,$F$297:$F$315),)</f>
        <v>3</v>
      </c>
      <c r="L310" s="1177"/>
      <c r="M310" s="1172">
        <f>+'[1]NEW-Tables 80-86'!AE178</f>
        <v>32399.699999999997</v>
      </c>
    </row>
    <row r="311" spans="1:13" s="547" customFormat="1" ht="12.75" customHeight="1">
      <c r="A311" s="427"/>
      <c r="B311" s="612"/>
      <c r="C311" s="612"/>
      <c r="D311" s="612"/>
      <c r="E311" s="612"/>
      <c r="F311" s="612"/>
      <c r="G311" s="613"/>
      <c r="H311" s="614"/>
      <c r="I311" s="614"/>
      <c r="J311" s="614"/>
      <c r="K311" s="614"/>
      <c r="L311" s="1177"/>
      <c r="M311" s="1172">
        <f>+'[1]NEW-Tables 80-86'!AE179</f>
        <v>0</v>
      </c>
    </row>
    <row r="312" spans="1:13" s="547" customFormat="1" ht="12.75" customHeight="1">
      <c r="A312" s="427" t="s">
        <v>130</v>
      </c>
      <c r="B312" s="612">
        <f>IF($M312&gt;0,('Amounts Pivot Table'!K$474/$M312),0)</f>
        <v>3587.0190192641799</v>
      </c>
      <c r="C312" s="612">
        <f>IF($M312&gt;0,('Amounts Pivot Table'!K$477/$M312),0)</f>
        <v>0</v>
      </c>
      <c r="D312" s="612">
        <f>IF($M312&gt;0,('Amounts Pivot Table'!K$480/$M312),0)</f>
        <v>0</v>
      </c>
      <c r="E312" s="612">
        <f>IF($M312&gt;0,('Amounts Pivot Table'!K$483/$M312),0)</f>
        <v>3787.420497945001</v>
      </c>
      <c r="F312" s="612">
        <f t="shared" si="29"/>
        <v>7374.4395172091808</v>
      </c>
      <c r="G312" s="613">
        <f>IF(B312&gt;0,RANK(B312,$B$297:$B$315),)</f>
        <v>2</v>
      </c>
      <c r="H312" s="614">
        <f>IF(C312&gt;0,RANK(C312,$C$297:$C$315),)</f>
        <v>0</v>
      </c>
      <c r="I312" s="614">
        <f>IF(D312&gt;0,RANK(D312,$D$297:$D$315),)</f>
        <v>0</v>
      </c>
      <c r="J312" s="614">
        <f>IF(E312&gt;0,RANK(E312,$E$297:$E$315),)</f>
        <v>3</v>
      </c>
      <c r="K312" s="614">
        <f>IF(F312&gt;0,RANK(F312,$F$297:$F$315),)</f>
        <v>4</v>
      </c>
      <c r="L312" s="1177"/>
      <c r="M312" s="1172">
        <f>+'[1]NEW-Tables 80-86'!AE180</f>
        <v>21776.166666666668</v>
      </c>
    </row>
    <row r="313" spans="1:13" s="76" customFormat="1" ht="12.75" customHeight="1">
      <c r="A313" s="427" t="s">
        <v>238</v>
      </c>
      <c r="B313" s="612">
        <f>IF($M313&gt;0,('Amounts Pivot Table'!K$513/$M313),0)</f>
        <v>2598.7421227240739</v>
      </c>
      <c r="C313" s="612">
        <f>IF($M313&gt;0,('Amounts Pivot Table'!K$516/$M313),0)</f>
        <v>0</v>
      </c>
      <c r="D313" s="612">
        <f>IF($M313&gt;0,('Amounts Pivot Table'!K$519/$M313),0)</f>
        <v>3207.905377188275</v>
      </c>
      <c r="E313" s="612">
        <f>IF($M313&gt;0,('Amounts Pivot Table'!K$522/$M313),0)</f>
        <v>2423.1449143325644</v>
      </c>
      <c r="F313" s="612">
        <f t="shared" si="29"/>
        <v>8229.7924142449137</v>
      </c>
      <c r="G313" s="613">
        <f>IF(B313&gt;0,RANK(B313,$B$297:$B$315),)</f>
        <v>7</v>
      </c>
      <c r="H313" s="614">
        <f>IF(C313&gt;0,RANK(C313,$C$297:$C$315),)</f>
        <v>0</v>
      </c>
      <c r="I313" s="614">
        <f>IF(D313&gt;0,RANK(D313,$D$297:$D$315),)</f>
        <v>2</v>
      </c>
      <c r="J313" s="614">
        <f>IF(E313&gt;0,RANK(E313,$E$297:$E$315),)</f>
        <v>10</v>
      </c>
      <c r="K313" s="614">
        <f>IF(F313&gt;0,RANK(F313,$F$297:$F$315),)</f>
        <v>2</v>
      </c>
      <c r="L313" s="170"/>
      <c r="M313" s="1172">
        <f>+'[1]NEW-Tables 80-86'!AE181</f>
        <v>254134.49000000002</v>
      </c>
    </row>
    <row r="314" spans="1:13" s="547" customFormat="1" ht="12.75" customHeight="1">
      <c r="A314" s="427" t="s">
        <v>459</v>
      </c>
      <c r="B314" s="612">
        <f>IF($M314&gt;0,('Amounts Pivot Table'!K$552/$M314),0)</f>
        <v>0</v>
      </c>
      <c r="C314" s="612">
        <f>IF($M314&gt;0,('Amounts Pivot Table'!K$555/$M314),0)</f>
        <v>0</v>
      </c>
      <c r="D314" s="612">
        <f>IF($M314&gt;0,('Amounts Pivot Table'!K$558/$M314),0)</f>
        <v>0</v>
      </c>
      <c r="E314" s="612">
        <f>IF($M314&gt;0,('Amounts Pivot Table'!K$561/$M314),0)</f>
        <v>0</v>
      </c>
      <c r="F314" s="612">
        <f t="shared" si="29"/>
        <v>0</v>
      </c>
      <c r="G314" s="613">
        <f>IF(B314&gt;0,RANK(B314,$B$297:$B$315),)</f>
        <v>0</v>
      </c>
      <c r="H314" s="614">
        <f>IF(C314&gt;0,RANK(C314,$C$297:$C$315),)</f>
        <v>0</v>
      </c>
      <c r="I314" s="614">
        <f>IF(D314&gt;0,RANK(D314,$D$297:$D$315),)</f>
        <v>0</v>
      </c>
      <c r="J314" s="614">
        <f>IF(E314&gt;0,RANK(E314,$E$297:$E$315),)</f>
        <v>0</v>
      </c>
      <c r="K314" s="614">
        <f>IF(F314&gt;0,RANK(F314,$F$297:$F$315),)</f>
        <v>0</v>
      </c>
      <c r="L314" s="1178"/>
      <c r="M314" s="1172">
        <f>+'[1]NEW-Tables 80-86'!AE182</f>
        <v>0</v>
      </c>
    </row>
    <row r="315" spans="1:13" s="547" customFormat="1" ht="15.75" customHeight="1">
      <c r="A315" s="428" t="s">
        <v>464</v>
      </c>
      <c r="B315" s="618">
        <f>IF($M315&gt;0,('Amounts Pivot Table'!K$591/$M315),0)</f>
        <v>0</v>
      </c>
      <c r="C315" s="618">
        <f>IF($M315&gt;0,('Amounts Pivot Table'!K$595/$M315),0)</f>
        <v>0</v>
      </c>
      <c r="D315" s="618">
        <f>IF($M315&gt;0,('Amounts Pivot Table'!K$597/$M315),0)</f>
        <v>0</v>
      </c>
      <c r="E315" s="618">
        <f>IF($M315&gt;0,('Amounts Pivot Table'!K$600/$M315),0)</f>
        <v>0</v>
      </c>
      <c r="F315" s="619">
        <f t="shared" si="29"/>
        <v>0</v>
      </c>
      <c r="G315" s="620">
        <f>IF(B315&gt;0,RANK(B315,$B$297:$B$315),)</f>
        <v>0</v>
      </c>
      <c r="H315" s="621">
        <f>IF(C315&gt;0,RANK(C315,$C$297:$C$315),)</f>
        <v>0</v>
      </c>
      <c r="I315" s="621">
        <f>IF(D315&gt;0,RANK(D315,$D$297:$D$315),)</f>
        <v>0</v>
      </c>
      <c r="J315" s="621">
        <f>IF(E315&gt;0,RANK(E315,$E$297:$E$315),)</f>
        <v>0</v>
      </c>
      <c r="K315" s="621">
        <f>IF(F315&gt;0,RANK(F315,$F$297:$F$315),)</f>
        <v>0</v>
      </c>
      <c r="L315" s="1181"/>
      <c r="M315" s="1172">
        <f>+'[1]NEW-Tables 80-86'!AE183</f>
        <v>0</v>
      </c>
    </row>
    <row r="316" spans="1:13" s="76" customFormat="1" ht="24.75" customHeight="1">
      <c r="A316" s="1465" t="s">
        <v>562</v>
      </c>
      <c r="B316" s="1465"/>
      <c r="C316" s="1465"/>
      <c r="D316" s="1465"/>
      <c r="E316" s="1465"/>
      <c r="F316" s="1465"/>
      <c r="G316" s="1465"/>
      <c r="H316" s="1465"/>
      <c r="I316" s="1465"/>
      <c r="J316" s="1465"/>
      <c r="K316" s="1465"/>
      <c r="L316" s="170"/>
      <c r="M316" s="1186"/>
    </row>
    <row r="317" spans="1:13" s="76" customFormat="1" ht="34.5" customHeight="1">
      <c r="A317" s="1405" t="s">
        <v>25</v>
      </c>
      <c r="B317" s="1450"/>
      <c r="C317" s="1450"/>
      <c r="D317" s="1450"/>
      <c r="E317" s="1450"/>
      <c r="F317" s="1450"/>
      <c r="G317" s="1450"/>
      <c r="H317" s="1450"/>
      <c r="I317" s="1450"/>
      <c r="J317" s="1450"/>
      <c r="K317" s="1450"/>
      <c r="L317" s="170"/>
      <c r="M317" s="1192"/>
    </row>
    <row r="318" spans="1:13" s="207" customFormat="1" ht="13.5" customHeight="1">
      <c r="A318" s="1405" t="s">
        <v>80</v>
      </c>
      <c r="B318" s="1450"/>
      <c r="C318" s="1450"/>
      <c r="D318" s="1450"/>
      <c r="E318" s="1450"/>
      <c r="F318" s="1450"/>
      <c r="G318" s="1450"/>
      <c r="H318" s="1450"/>
      <c r="I318" s="1450"/>
      <c r="J318" s="1450"/>
      <c r="K318" s="1450"/>
      <c r="L318" s="206"/>
      <c r="M318" s="1192"/>
    </row>
    <row r="319" spans="1:13" s="547" customFormat="1" ht="13.5" customHeight="1">
      <c r="A319" s="1405" t="s">
        <v>332</v>
      </c>
      <c r="B319" s="1456"/>
      <c r="C319" s="1456"/>
      <c r="D319" s="1456"/>
      <c r="E319" s="1456"/>
      <c r="F319" s="1456"/>
      <c r="G319" s="1457"/>
      <c r="H319" s="1457"/>
      <c r="I319" s="1457"/>
      <c r="J319" s="1457"/>
      <c r="K319" s="1457"/>
      <c r="L319" s="1181"/>
      <c r="M319" s="1192"/>
    </row>
    <row r="320" spans="1:13" s="547" customFormat="1" ht="13.5" customHeight="1">
      <c r="A320" s="1167"/>
      <c r="B320" s="1180"/>
      <c r="C320" s="1180"/>
      <c r="D320" s="1180"/>
      <c r="E320" s="1180"/>
      <c r="F320" s="1180"/>
      <c r="G320" s="1182"/>
      <c r="H320" s="1182"/>
      <c r="I320" s="1182"/>
      <c r="J320" s="1182"/>
      <c r="K320" s="1182"/>
      <c r="L320" s="1181"/>
      <c r="M320" s="1186"/>
    </row>
    <row r="321" spans="1:13" s="547" customFormat="1">
      <c r="A321" s="1167"/>
      <c r="B321" s="1180"/>
      <c r="C321" s="1180"/>
      <c r="D321" s="1180"/>
      <c r="E321" s="1180"/>
      <c r="F321" s="1180"/>
      <c r="G321" s="1182"/>
      <c r="H321" s="1182"/>
      <c r="I321" s="1182"/>
      <c r="J321" s="1182"/>
      <c r="K321" s="1393" t="s">
        <v>2023</v>
      </c>
      <c r="L321" s="194"/>
      <c r="M321" s="1172"/>
    </row>
    <row r="322" spans="1:13" s="547" customFormat="1" ht="15.75">
      <c r="A322" s="1429" t="s">
        <v>539</v>
      </c>
      <c r="B322" s="1429"/>
      <c r="C322" s="1429"/>
      <c r="D322" s="1429"/>
      <c r="E322" s="1429"/>
      <c r="F322" s="1429"/>
      <c r="G322" s="1429"/>
      <c r="H322" s="1429"/>
      <c r="I322" s="1429"/>
      <c r="J322" s="1429"/>
      <c r="K322" s="1429"/>
      <c r="L322" s="1178"/>
      <c r="M322" s="1172"/>
    </row>
    <row r="323" spans="1:13" s="547" customFormat="1" ht="18.75">
      <c r="A323" s="1429" t="s">
        <v>26</v>
      </c>
      <c r="B323" s="1429"/>
      <c r="C323" s="1429"/>
      <c r="D323" s="1429"/>
      <c r="E323" s="1429"/>
      <c r="F323" s="1429"/>
      <c r="G323" s="1429"/>
      <c r="H323" s="1429"/>
      <c r="I323" s="1429"/>
      <c r="J323" s="1429"/>
      <c r="K323" s="1429"/>
      <c r="L323" s="166"/>
      <c r="M323" s="1172"/>
    </row>
    <row r="324" spans="1:13" s="547" customFormat="1" ht="15.75">
      <c r="A324" s="1429" t="s">
        <v>511</v>
      </c>
      <c r="B324" s="1429"/>
      <c r="C324" s="1429"/>
      <c r="D324" s="1429"/>
      <c r="E324" s="1429"/>
      <c r="F324" s="1429"/>
      <c r="G324" s="1429"/>
      <c r="H324" s="1429"/>
      <c r="I324" s="1429"/>
      <c r="J324" s="1429"/>
      <c r="K324" s="1429"/>
      <c r="L324" s="166"/>
      <c r="M324" s="1183"/>
    </row>
    <row r="325" spans="1:13" s="547" customFormat="1" ht="9" customHeight="1">
      <c r="A325" s="91"/>
      <c r="B325" s="91"/>
      <c r="C325" s="91"/>
      <c r="D325" s="91"/>
      <c r="E325" s="91"/>
      <c r="F325" s="91"/>
      <c r="G325" s="108"/>
      <c r="H325" s="91"/>
      <c r="I325" s="91"/>
      <c r="J325" s="91"/>
      <c r="K325" s="91"/>
      <c r="L325" s="166"/>
      <c r="M325" s="1183"/>
    </row>
    <row r="326" spans="1:13" s="547" customFormat="1" ht="14.25" customHeight="1">
      <c r="A326" s="60"/>
      <c r="B326" s="1463" t="s">
        <v>81</v>
      </c>
      <c r="C326" s="1464"/>
      <c r="D326" s="1464"/>
      <c r="E326" s="1464"/>
      <c r="F326" s="1464"/>
      <c r="G326" s="57" t="s">
        <v>178</v>
      </c>
      <c r="H326" s="58"/>
      <c r="I326" s="58"/>
      <c r="J326" s="58"/>
      <c r="K326" s="58"/>
      <c r="L326" s="174"/>
      <c r="M326" s="1172"/>
    </row>
    <row r="327" spans="1:13" s="1194" customFormat="1" ht="48" customHeight="1">
      <c r="A327" s="1173"/>
      <c r="B327" s="51" t="s">
        <v>126</v>
      </c>
      <c r="C327" s="52" t="s">
        <v>128</v>
      </c>
      <c r="D327" s="52" t="s">
        <v>127</v>
      </c>
      <c r="E327" s="52" t="s">
        <v>438</v>
      </c>
      <c r="F327" s="52" t="s">
        <v>138</v>
      </c>
      <c r="G327" s="53" t="s">
        <v>126</v>
      </c>
      <c r="H327" s="52" t="s">
        <v>128</v>
      </c>
      <c r="I327" s="52" t="s">
        <v>127</v>
      </c>
      <c r="J327" s="52" t="s">
        <v>438</v>
      </c>
      <c r="K327" s="52" t="s">
        <v>138</v>
      </c>
      <c r="L327" s="1193"/>
      <c r="M327" s="1184" t="s">
        <v>388</v>
      </c>
    </row>
    <row r="328" spans="1:13" s="547" customFormat="1" ht="14.25">
      <c r="A328" s="427" t="s">
        <v>82</v>
      </c>
      <c r="B328" s="609">
        <f>IF($M328&gt;0,('Amounts Pivot Table'!L$630/$M328),0)</f>
        <v>3508.2296500465109</v>
      </c>
      <c r="C328" s="609">
        <f>IF($M328&gt;0,('Amounts Pivot Table'!L$633/$M328),0)</f>
        <v>152.1287256867582</v>
      </c>
      <c r="D328" s="609">
        <f>IF($M328&gt;0,('Amounts Pivot Table'!L$636/$M328),0)</f>
        <v>840.79962843945168</v>
      </c>
      <c r="E328" s="609">
        <f>IF($M328&gt;0,('Amounts Pivot Table'!L$639/$M328),0)</f>
        <v>2880.6598112025222</v>
      </c>
      <c r="F328" s="609">
        <f>SUM(B328:E328)</f>
        <v>7381.8178153752433</v>
      </c>
      <c r="G328" s="610"/>
      <c r="H328" s="611"/>
      <c r="I328" s="611"/>
      <c r="J328" s="611"/>
      <c r="K328" s="611"/>
      <c r="L328" s="1177"/>
      <c r="M328" s="1172">
        <f>+'[1]NEW-Tables 80-86'!AF163</f>
        <v>434964.84888888884</v>
      </c>
    </row>
    <row r="329" spans="1:13" s="547" customFormat="1" ht="10.5" customHeight="1">
      <c r="A329" s="427"/>
      <c r="B329" s="609"/>
      <c r="C329" s="609"/>
      <c r="D329" s="609"/>
      <c r="E329" s="609"/>
      <c r="F329" s="609"/>
      <c r="G329" s="610"/>
      <c r="H329" s="611"/>
      <c r="I329" s="611"/>
      <c r="J329" s="611"/>
      <c r="K329" s="611"/>
      <c r="L329" s="1177"/>
      <c r="M329" s="1172">
        <f>+'[1]NEW-Tables 80-86'!AF164</f>
        <v>0</v>
      </c>
    </row>
    <row r="330" spans="1:13" s="547" customFormat="1" ht="12.75" customHeight="1">
      <c r="A330" s="427" t="s">
        <v>452</v>
      </c>
      <c r="B330" s="612">
        <f>IF($M330&gt;0,('Amounts Pivot Table'!L$6/$M330),0)</f>
        <v>3669.1833895446885</v>
      </c>
      <c r="C330" s="612">
        <f>IF($M330&gt;0,('Amounts Pivot Table'!L$9/$M330),0)</f>
        <v>207.17643760539636</v>
      </c>
      <c r="D330" s="612">
        <f>IF($M330&gt;0,('Amounts Pivot Table'!L$12/$M330),0)</f>
        <v>45.323358160014998</v>
      </c>
      <c r="E330" s="612">
        <f>IF($M330&gt;0,('Amounts Pivot Table'!L$15/$M330),0)</f>
        <v>3144.0484153082266</v>
      </c>
      <c r="F330" s="612">
        <f t="shared" ref="F330:F348" si="30">SUM(B330:E330)</f>
        <v>7065.7316006183264</v>
      </c>
      <c r="G330" s="613">
        <f>IF(B330&gt;0,RANK(B330,$B$330:$B$348),)</f>
        <v>4</v>
      </c>
      <c r="H330" s="614">
        <f>IF(C330&gt;0,RANK(C330,$C$330:$C$348),)</f>
        <v>3</v>
      </c>
      <c r="I330" s="614">
        <f>IF(D330&gt;0,RANK(D330,$D$330:$D$348),)</f>
        <v>8</v>
      </c>
      <c r="J330" s="614">
        <f>IF(E330&gt;0,RANK(E330,$E$330:$E$348),)</f>
        <v>6</v>
      </c>
      <c r="K330" s="614">
        <f>IF(F330&gt;0,RANK(F330,$F$330:$F$348),)</f>
        <v>8</v>
      </c>
      <c r="L330" s="1177"/>
      <c r="M330" s="1172">
        <f>+'[1]NEW-Tables 80-86'!AF165</f>
        <v>42695.999999999993</v>
      </c>
    </row>
    <row r="331" spans="1:13" s="547" customFormat="1" ht="12.75" customHeight="1">
      <c r="A331" s="427" t="s">
        <v>466</v>
      </c>
      <c r="B331" s="612">
        <f>IF($M331&gt;0,('Amounts Pivot Table'!L$45/$M331),0)</f>
        <v>3194.9833773840332</v>
      </c>
      <c r="C331" s="612">
        <f>IF($M331&gt;0,('Amounts Pivot Table'!L$48/$M331),0)</f>
        <v>0</v>
      </c>
      <c r="D331" s="612">
        <f>IF($M331&gt;0,('Amounts Pivot Table'!L$51/$M331),0)</f>
        <v>760.13088399163814</v>
      </c>
      <c r="E331" s="612">
        <f>IF($M331&gt;0,('Amounts Pivot Table'!L$54/$M331),0)</f>
        <v>3336.2180868796454</v>
      </c>
      <c r="F331" s="612">
        <f t="shared" si="30"/>
        <v>7291.3323482553169</v>
      </c>
      <c r="G331" s="613">
        <f>IF(B331&gt;0,RANK(B331,$B$330:$B$348),)</f>
        <v>12</v>
      </c>
      <c r="H331" s="614">
        <f>IF(C331&gt;0,RANK(C331,$C$330:$C$348),)</f>
        <v>0</v>
      </c>
      <c r="I331" s="614">
        <f>IF(D331&gt;0,RANK(D331,$D$330:$D$348),)</f>
        <v>5</v>
      </c>
      <c r="J331" s="614">
        <f>IF(E331&gt;0,RANK(E331,$E$330:$E$348),)</f>
        <v>5</v>
      </c>
      <c r="K331" s="614">
        <f>IF(F331&gt;0,RANK(F331,$F$330:$F$348),)</f>
        <v>5</v>
      </c>
      <c r="L331" s="1177"/>
      <c r="M331" s="1172">
        <f>+'[1]NEW-Tables 80-86'!AF166</f>
        <v>10858.699999999999</v>
      </c>
    </row>
    <row r="332" spans="1:13" s="547" customFormat="1" ht="12.75" customHeight="1">
      <c r="A332" s="427" t="s">
        <v>453</v>
      </c>
      <c r="B332" s="612">
        <f>IF($M332&gt;0,('Amounts Pivot Table'!L$84/$M332),0)</f>
        <v>4424.0290579692428</v>
      </c>
      <c r="C332" s="612">
        <f>IF($M332&gt;0,('Amounts Pivot Table'!L$87/$M332),0)</f>
        <v>0</v>
      </c>
      <c r="D332" s="612">
        <f>IF($M332&gt;0,('Amounts Pivot Table'!L$90/$M332),0)</f>
        <v>0</v>
      </c>
      <c r="E332" s="612">
        <f>IF($M332&gt;0,('Amounts Pivot Table'!L$93/$M332),0)</f>
        <v>2946.0398278770685</v>
      </c>
      <c r="F332" s="612">
        <f t="shared" si="30"/>
        <v>7370.0688858463109</v>
      </c>
      <c r="G332" s="613">
        <f>IF(B332&gt;0,RANK(B332,$B$330:$B$348),)</f>
        <v>2</v>
      </c>
      <c r="H332" s="614">
        <f>IF(C332&gt;0,RANK(C332,$C$330:$C$348),)</f>
        <v>0</v>
      </c>
      <c r="I332" s="614">
        <f>IF(D332&gt;0,RANK(D332,$D$330:$D$348),)</f>
        <v>0</v>
      </c>
      <c r="J332" s="614">
        <f>IF(E332&gt;0,RANK(E332,$E$330:$E$348),)</f>
        <v>7</v>
      </c>
      <c r="K332" s="614">
        <f>IF(F332&gt;0,RANK(F332,$F$330:$F$348),)</f>
        <v>2</v>
      </c>
      <c r="L332" s="1177"/>
      <c r="M332" s="1172">
        <f>+'[1]NEW-Tables 80-86'!AF167</f>
        <v>10906.933333333334</v>
      </c>
    </row>
    <row r="333" spans="1:13" s="547" customFormat="1" ht="12.75" customHeight="1">
      <c r="A333" s="427" t="s">
        <v>460</v>
      </c>
      <c r="B333" s="612">
        <f>IF($M333&gt;0,('Amounts Pivot Table'!L$123/$M333),0)</f>
        <v>3844.9450578467972</v>
      </c>
      <c r="C333" s="612">
        <f>IF($M333&gt;0,('Amounts Pivot Table'!L$126/$M333),0)</f>
        <v>0</v>
      </c>
      <c r="D333" s="612">
        <f>IF($M333&gt;0,('Amounts Pivot Table'!L$129/$M333),0)</f>
        <v>0</v>
      </c>
      <c r="E333" s="612">
        <f>IF($M333&gt;0,('Amounts Pivot Table'!L$132/$M333),0)</f>
        <v>1917.6851660959242</v>
      </c>
      <c r="F333" s="612">
        <f t="shared" si="30"/>
        <v>5762.6302239427214</v>
      </c>
      <c r="G333" s="613">
        <f>IF(B333&gt;0,RANK(B333,$B$330:$B$348),)</f>
        <v>3</v>
      </c>
      <c r="H333" s="614">
        <f>IF(C333&gt;0,RANK(C333,$C$330:$C$348),)</f>
        <v>0</v>
      </c>
      <c r="I333" s="614">
        <f>IF(D333&gt;0,RANK(D333,$D$330:$D$348),)</f>
        <v>0</v>
      </c>
      <c r="J333" s="614">
        <f>IF(E333&gt;0,RANK(E333,$E$330:$E$348),)</f>
        <v>13</v>
      </c>
      <c r="K333" s="614">
        <f>IF(F333&gt;0,RANK(F333,$F$330:$F$348),)</f>
        <v>13</v>
      </c>
      <c r="L333" s="1177"/>
      <c r="M333" s="1172">
        <f>+'[1]NEW-Tables 80-86'!AF168</f>
        <v>17925.317777777778</v>
      </c>
    </row>
    <row r="334" spans="1:13" s="547" customFormat="1" ht="10.5" customHeight="1">
      <c r="A334" s="427"/>
      <c r="B334" s="612"/>
      <c r="C334" s="612"/>
      <c r="D334" s="612"/>
      <c r="E334" s="612"/>
      <c r="F334" s="612">
        <f t="shared" si="30"/>
        <v>0</v>
      </c>
      <c r="G334" s="613"/>
      <c r="H334" s="614"/>
      <c r="I334" s="614"/>
      <c r="J334" s="614"/>
      <c r="K334" s="614"/>
      <c r="L334" s="1177"/>
      <c r="M334" s="1172">
        <f>+'[1]NEW-Tables 80-86'!AF169</f>
        <v>0</v>
      </c>
    </row>
    <row r="335" spans="1:13" s="547" customFormat="1" ht="12.75" customHeight="1">
      <c r="A335" s="427" t="s">
        <v>461</v>
      </c>
      <c r="B335" s="612">
        <f>IF($M335&gt;0,('Amounts Pivot Table'!L$162/$M335),0)</f>
        <v>3403.8432346326836</v>
      </c>
      <c r="C335" s="612">
        <f>IF($M335&gt;0,('Amounts Pivot Table'!L$165/$M335),0)</f>
        <v>0</v>
      </c>
      <c r="D335" s="612">
        <f>IF($M335&gt;0,('Amounts Pivot Table'!L$168/$M335),0)</f>
        <v>0</v>
      </c>
      <c r="E335" s="612">
        <f>IF($M335&gt;0,('Amounts Pivot Table'!L$171/$M335),0)</f>
        <v>2757.2019507824211</v>
      </c>
      <c r="F335" s="612">
        <f t="shared" si="30"/>
        <v>6161.0451854151052</v>
      </c>
      <c r="G335" s="613">
        <f>IF(B335&gt;0,RANK(B335,$B$330:$B$348),)</f>
        <v>7</v>
      </c>
      <c r="H335" s="614">
        <f>IF(C335&gt;0,RANK(C335,$C$330:$C$348),)</f>
        <v>0</v>
      </c>
      <c r="I335" s="614">
        <f>IF(D335&gt;0,RANK(D335,$D$330:$D$348),)</f>
        <v>0</v>
      </c>
      <c r="J335" s="614">
        <f>IF(E335&gt;0,RANK(E335,$E$330:$E$348),)</f>
        <v>9</v>
      </c>
      <c r="K335" s="614">
        <f>IF(F335&gt;0,RANK(F335,$F$330:$F$348),)</f>
        <v>12</v>
      </c>
      <c r="L335" s="1177"/>
      <c r="M335" s="1172">
        <f>+'[1]NEW-Tables 80-86'!AF170</f>
        <v>22766.933333333334</v>
      </c>
    </row>
    <row r="336" spans="1:13" s="547" customFormat="1" ht="12.75" customHeight="1">
      <c r="A336" s="427" t="s">
        <v>454</v>
      </c>
      <c r="B336" s="612">
        <f>IF($M336&gt;0,('Amounts Pivot Table'!L$201/$M336),0)</f>
        <v>3438.2453323980139</v>
      </c>
      <c r="C336" s="612">
        <f>IF($M336&gt;0,('Amounts Pivot Table'!L$204/$M336),0)</f>
        <v>0</v>
      </c>
      <c r="D336" s="612">
        <f>IF($M336&gt;0,('Amounts Pivot Table'!L$207/$M336),0)</f>
        <v>0</v>
      </c>
      <c r="E336" s="612">
        <f>IF($M336&gt;0,('Amounts Pivot Table'!L$210/$M336),0)</f>
        <v>3351.9538684928275</v>
      </c>
      <c r="F336" s="612">
        <f t="shared" si="30"/>
        <v>6790.1992008908419</v>
      </c>
      <c r="G336" s="613">
        <f>IF(B336&gt;0,RANK(B336,$B$330:$B$348),)</f>
        <v>6</v>
      </c>
      <c r="H336" s="614">
        <f>IF(C336&gt;0,RANK(C336,$C$330:$C$348),)</f>
        <v>0</v>
      </c>
      <c r="I336" s="614">
        <f>IF(D336&gt;0,RANK(D336,$D$330:$D$348),)</f>
        <v>0</v>
      </c>
      <c r="J336" s="614">
        <f>IF(E336&gt;0,RANK(E336,$E$330:$E$348),)</f>
        <v>4</v>
      </c>
      <c r="K336" s="614">
        <f>IF(F336&gt;0,RANK(F336,$F$330:$F$348),)</f>
        <v>10</v>
      </c>
      <c r="L336" s="1177"/>
      <c r="M336" s="1172">
        <f>+'[1]NEW-Tables 80-86'!AF171</f>
        <v>27180.26666666667</v>
      </c>
    </row>
    <row r="337" spans="1:13" s="547" customFormat="1" ht="12.75" customHeight="1">
      <c r="A337" s="427" t="s">
        <v>462</v>
      </c>
      <c r="B337" s="612">
        <f>IF($M337&gt;0,('Amounts Pivot Table'!L$240/$M337),0)</f>
        <v>2764.5151086024289</v>
      </c>
      <c r="C337" s="612">
        <f>IF($M337&gt;0,('Amounts Pivot Table'!L$243/$M337),0)</f>
        <v>0</v>
      </c>
      <c r="D337" s="612">
        <f>IF($M337&gt;0,('Amounts Pivot Table'!L$246/$M337),0)</f>
        <v>0</v>
      </c>
      <c r="E337" s="612">
        <f>IF($M337&gt;0,('Amounts Pivot Table'!L$249/$M337),0)</f>
        <v>2298.2902048387414</v>
      </c>
      <c r="F337" s="612">
        <f t="shared" si="30"/>
        <v>5062.8053134411703</v>
      </c>
      <c r="G337" s="613">
        <f>IF(B337&gt;0,RANK(B337,$B$330:$B$348),)</f>
        <v>13</v>
      </c>
      <c r="H337" s="614">
        <f>IF(C337&gt;0,RANK(C337,$C$330:$C$348),)</f>
        <v>0</v>
      </c>
      <c r="I337" s="614">
        <f>IF(D337&gt;0,RANK(D337,$D$330:$D$348),)</f>
        <v>0</v>
      </c>
      <c r="J337" s="614">
        <f>IF(E337&gt;0,RANK(E337,$E$330:$E$348),)</f>
        <v>11</v>
      </c>
      <c r="K337" s="614">
        <f>IF(F337&gt;0,RANK(F337,$F$330:$F$348),)</f>
        <v>14</v>
      </c>
      <c r="L337" s="1177"/>
      <c r="M337" s="1172">
        <f>+'[1]NEW-Tables 80-86'!AF172</f>
        <v>8356.1666666666679</v>
      </c>
    </row>
    <row r="338" spans="1:13" s="547" customFormat="1" ht="12.75" customHeight="1">
      <c r="A338" s="427" t="s">
        <v>465</v>
      </c>
      <c r="B338" s="612">
        <f>IF($M338&gt;0,('Amounts Pivot Table'!L$279/$M338),0)</f>
        <v>3287.8777363676886</v>
      </c>
      <c r="C338" s="612">
        <f>IF($M338&gt;0,('Amounts Pivot Table'!L$282/$M338),0)</f>
        <v>0</v>
      </c>
      <c r="D338" s="612">
        <f>IF($M338&gt;0,('Amounts Pivot Table'!L$285/$M338),0)</f>
        <v>3151.5815524243476</v>
      </c>
      <c r="E338" s="612">
        <f>IF($M338&gt;0,('Amounts Pivot Table'!L$288/$M338),0)</f>
        <v>4777.4128014957159</v>
      </c>
      <c r="F338" s="612">
        <f t="shared" si="30"/>
        <v>11216.872090287752</v>
      </c>
      <c r="G338" s="613">
        <f>IF(B338&gt;0,RANK(B338,$B$330:$B$348),)</f>
        <v>11</v>
      </c>
      <c r="H338" s="614">
        <f>IF(C338&gt;0,RANK(C338,$C$330:$C$348),)</f>
        <v>0</v>
      </c>
      <c r="I338" s="614">
        <f>IF(D338&gt;0,RANK(D338,$D$330:$D$348),)</f>
        <v>1</v>
      </c>
      <c r="J338" s="614">
        <f>IF(E338&gt;0,RANK(E338,$E$330:$E$348),)</f>
        <v>1</v>
      </c>
      <c r="K338" s="614">
        <f>IF(F338&gt;0,RANK(F338,$F$330:$F$348),)</f>
        <v>1</v>
      </c>
      <c r="L338" s="1177"/>
      <c r="M338" s="1172">
        <f>+'[1]NEW-Tables 80-86'!AF173</f>
        <v>32305.599999999999</v>
      </c>
    </row>
    <row r="339" spans="1:13" s="547" customFormat="1" ht="10.5" customHeight="1">
      <c r="A339" s="427"/>
      <c r="B339" s="612"/>
      <c r="C339" s="612"/>
      <c r="D339" s="612"/>
      <c r="E339" s="612"/>
      <c r="F339" s="612">
        <f t="shared" si="30"/>
        <v>0</v>
      </c>
      <c r="G339" s="613"/>
      <c r="H339" s="614"/>
      <c r="I339" s="614"/>
      <c r="J339" s="614"/>
      <c r="K339" s="614"/>
      <c r="L339" s="1177"/>
      <c r="M339" s="1172">
        <f>+'[1]NEW-Tables 80-86'!AF174</f>
        <v>0</v>
      </c>
    </row>
    <row r="340" spans="1:13" s="547" customFormat="1" ht="12.75" customHeight="1">
      <c r="A340" s="427" t="s">
        <v>455</v>
      </c>
      <c r="B340" s="612">
        <f>IF($M340&gt;0,('Amounts Pivot Table'!L$318/$M340),0)</f>
        <v>3442.336277094771</v>
      </c>
      <c r="C340" s="612">
        <f>IF($M340&gt;0,('Amounts Pivot Table'!L$321/$M340),0)</f>
        <v>370.72633920126196</v>
      </c>
      <c r="D340" s="612">
        <f>IF($M340&gt;0,('Amounts Pivot Table'!L$324/$M340),0)</f>
        <v>595.56446794798478</v>
      </c>
      <c r="E340" s="612">
        <f>IF($M340&gt;0,('Amounts Pivot Table'!L$327/$M340),0)</f>
        <v>2706.4528868135658</v>
      </c>
      <c r="F340" s="612">
        <f t="shared" si="30"/>
        <v>7115.0799710575839</v>
      </c>
      <c r="G340" s="613">
        <f>IF(B340&gt;0,RANK(B340,$B$330:$B$348),)</f>
        <v>5</v>
      </c>
      <c r="H340" s="614">
        <f>IF(C340&gt;0,RANK(C340,$C$330:$C$348),)</f>
        <v>1</v>
      </c>
      <c r="I340" s="614">
        <f>IF(D340&gt;0,RANK(D340,$D$330:$D$348),)</f>
        <v>6</v>
      </c>
      <c r="J340" s="614">
        <f>IF(E340&gt;0,RANK(E340,$E$330:$E$348),)</f>
        <v>10</v>
      </c>
      <c r="K340" s="614">
        <f>IF(F340&gt;0,RANK(F340,$F$330:$F$348),)</f>
        <v>7</v>
      </c>
      <c r="L340" s="1177"/>
      <c r="M340" s="1172">
        <f>+'[1]NEW-Tables 80-86'!AF175</f>
        <v>31188.366666666672</v>
      </c>
    </row>
    <row r="341" spans="1:13" s="547" customFormat="1" ht="12.75" customHeight="1">
      <c r="A341" s="427" t="s">
        <v>456</v>
      </c>
      <c r="B341" s="612">
        <f>IF($M341&gt;0,('Amounts Pivot Table'!L$357/$M341),0)</f>
        <v>4943.9117321073063</v>
      </c>
      <c r="C341" s="612">
        <f>IF($M341&gt;0,('Amounts Pivot Table'!L$362/$M341),0)</f>
        <v>-8.5516175364278938E-5</v>
      </c>
      <c r="D341" s="612">
        <f>IF($M341&gt;0,('Amounts Pivot Table'!L$363/$M341),0)</f>
        <v>1058.9141643233927</v>
      </c>
      <c r="E341" s="612">
        <f>IF($M341&gt;0,('Amounts Pivot Table'!L$366/$M341),0)</f>
        <v>1353.9964850885658</v>
      </c>
      <c r="F341" s="612">
        <f t="shared" si="30"/>
        <v>7356.8222960030889</v>
      </c>
      <c r="G341" s="613">
        <f>IF(B341&gt;0,RANK(B341,$B$330:$B$348),)</f>
        <v>1</v>
      </c>
      <c r="H341" s="614">
        <f>IF(C341&gt;0,RANK(C341,$C$330:$C$348),)</f>
        <v>0</v>
      </c>
      <c r="I341" s="614">
        <f>IF(D341&gt;0,RANK(D341,$D$330:$D$348),)</f>
        <v>3</v>
      </c>
      <c r="J341" s="614">
        <f>IF(E341&gt;0,RANK(E341,$E$330:$E$348),)</f>
        <v>14</v>
      </c>
      <c r="K341" s="614">
        <f>IF(F341&gt;0,RANK(F341,$F$330:$F$348),)</f>
        <v>4</v>
      </c>
      <c r="L341" s="1177"/>
      <c r="M341" s="1172">
        <f>+'[1]NEW-Tables 80-86'!AF176</f>
        <v>64961.333333333314</v>
      </c>
    </row>
    <row r="342" spans="1:13" s="547" customFormat="1" ht="12.75" customHeight="1">
      <c r="A342" s="427" t="s">
        <v>463</v>
      </c>
      <c r="B342" s="612">
        <f>IF($M342&gt;0,('Amounts Pivot Table'!L$396/$M342),0)</f>
        <v>3332.3637152172737</v>
      </c>
      <c r="C342" s="612">
        <f>IF($M342&gt;0,('Amounts Pivot Table'!L$399/$M342),0)</f>
        <v>0</v>
      </c>
      <c r="D342" s="612">
        <f>IF($M342&gt;0,('Amounts Pivot Table'!L$402/$M342),0)</f>
        <v>147.14651921036531</v>
      </c>
      <c r="E342" s="612">
        <f>IF($M342&gt;0,('Amounts Pivot Table'!L$405/$M342),0)</f>
        <v>2813.3676417059705</v>
      </c>
      <c r="F342" s="612">
        <f t="shared" si="30"/>
        <v>6292.8778761336089</v>
      </c>
      <c r="G342" s="613">
        <f>IF(B342&gt;0,RANK(B342,$B$330:$B$348),)</f>
        <v>9</v>
      </c>
      <c r="H342" s="614">
        <f>IF(C342&gt;0,RANK(C342,$C$330:$C$348),)</f>
        <v>0</v>
      </c>
      <c r="I342" s="614">
        <f>IF(D342&gt;0,RANK(D342,$D$330:$D$348),)</f>
        <v>7</v>
      </c>
      <c r="J342" s="614">
        <f>IF(E342&gt;0,RANK(E342,$E$330:$E$348),)</f>
        <v>8</v>
      </c>
      <c r="K342" s="614">
        <f>IF(F342&gt;0,RANK(F342,$F$330:$F$348),)</f>
        <v>11</v>
      </c>
      <c r="L342" s="1177"/>
      <c r="M342" s="1172">
        <f>+'[1]NEW-Tables 80-86'!AF177</f>
        <v>12912.3</v>
      </c>
    </row>
    <row r="343" spans="1:13" s="547" customFormat="1" ht="12.75" customHeight="1">
      <c r="A343" s="427" t="s">
        <v>457</v>
      </c>
      <c r="B343" s="612">
        <f>IF($M343&gt;0,('Amounts Pivot Table'!L$435/$M343),0)</f>
        <v>1463.1366304420587</v>
      </c>
      <c r="C343" s="612">
        <f>IF($M343&gt;0,('Amounts Pivot Table'!L$438/$M343),0)</f>
        <v>232.11688832116317</v>
      </c>
      <c r="D343" s="612">
        <f>IF($M343&gt;0,('Amounts Pivot Table'!L$441/$M343),0)</f>
        <v>784.07294378506958</v>
      </c>
      <c r="E343" s="612">
        <f>IF($M343&gt;0,('Amounts Pivot Table'!L$444/$M343),0)</f>
        <v>4669.0022292301501</v>
      </c>
      <c r="F343" s="612">
        <f t="shared" si="30"/>
        <v>7148.3286917784417</v>
      </c>
      <c r="G343" s="613">
        <f>IF(B343&gt;0,RANK(B343,$B$330:$B$348),)</f>
        <v>14</v>
      </c>
      <c r="H343" s="614">
        <f>IF(C343&gt;0,RANK(C343,$C$330:$C$348),)</f>
        <v>2</v>
      </c>
      <c r="I343" s="614">
        <f>IF(D343&gt;0,RANK(D343,$D$330:$D$348),)</f>
        <v>4</v>
      </c>
      <c r="J343" s="614">
        <f>IF(E343&gt;0,RANK(E343,$E$330:$E$348),)</f>
        <v>2</v>
      </c>
      <c r="K343" s="614">
        <f>IF(F343&gt;0,RANK(F343,$F$330:$F$348),)</f>
        <v>6</v>
      </c>
      <c r="L343" s="1177"/>
      <c r="M343" s="1172">
        <f>+'[1]NEW-Tables 80-86'!AF178</f>
        <v>36350.366666666669</v>
      </c>
    </row>
    <row r="344" spans="1:13" s="547" customFormat="1" ht="10.5" customHeight="1">
      <c r="A344" s="427"/>
      <c r="B344" s="612"/>
      <c r="C344" s="612"/>
      <c r="D344" s="612"/>
      <c r="E344" s="612"/>
      <c r="F344" s="612">
        <f t="shared" si="30"/>
        <v>0</v>
      </c>
      <c r="G344" s="613"/>
      <c r="H344" s="614"/>
      <c r="I344" s="614"/>
      <c r="J344" s="614"/>
      <c r="K344" s="614"/>
      <c r="L344" s="1177"/>
      <c r="M344" s="1172">
        <f>+'[1]NEW-Tables 80-86'!AF179</f>
        <v>0</v>
      </c>
    </row>
    <row r="345" spans="1:13" s="547" customFormat="1" ht="12.75" customHeight="1">
      <c r="A345" s="427" t="s">
        <v>130</v>
      </c>
      <c r="B345" s="612">
        <f>IF($M345&gt;0,('Amounts Pivot Table'!L$474/$M345),0)</f>
        <v>3326.3893283264933</v>
      </c>
      <c r="C345" s="612">
        <f>IF($M345&gt;0,('Amounts Pivot Table'!L$477/$M345),0)</f>
        <v>0</v>
      </c>
      <c r="D345" s="612">
        <f>IF($M345&gt;0,('Amounts Pivot Table'!L$480/$M345),0)</f>
        <v>0</v>
      </c>
      <c r="E345" s="612">
        <f>IF($M345&gt;0,('Amounts Pivot Table'!L$483/$M345),0)</f>
        <v>3514.5318728439042</v>
      </c>
      <c r="F345" s="612">
        <f t="shared" si="30"/>
        <v>6840.9212011703976</v>
      </c>
      <c r="G345" s="613">
        <f>IF(B345&gt;0,RANK(B345,$B$330:$B$348),)</f>
        <v>10</v>
      </c>
      <c r="H345" s="614">
        <f>IF(C345&gt;0,RANK(C345,$C$330:$C$348),)</f>
        <v>0</v>
      </c>
      <c r="I345" s="614">
        <f>IF(D345&gt;0,RANK(D345,$D$330:$D$348),)</f>
        <v>0</v>
      </c>
      <c r="J345" s="614">
        <f>IF(E345&gt;0,RANK(E345,$E$330:$E$348),)</f>
        <v>3</v>
      </c>
      <c r="K345" s="614">
        <f>IF(F345&gt;0,RANK(F345,$F$330:$F$348),)</f>
        <v>9</v>
      </c>
      <c r="L345" s="1177"/>
      <c r="M345" s="1172">
        <f>+'[1]NEW-Tables 80-86'!AF180</f>
        <v>36785.23333333333</v>
      </c>
    </row>
    <row r="346" spans="1:13" s="76" customFormat="1" ht="12.75" customHeight="1">
      <c r="A346" s="427" t="s">
        <v>238</v>
      </c>
      <c r="B346" s="612">
        <f>IF($M346&gt;0,('Amounts Pivot Table'!L$513/$M346),0)</f>
        <v>3385.4795982260289</v>
      </c>
      <c r="C346" s="612">
        <f>IF($M346&gt;0,('Amounts Pivot Table'!L$516/$M346),0)</f>
        <v>0</v>
      </c>
      <c r="D346" s="612">
        <f>IF($M346&gt;0,('Amounts Pivot Table'!L$519/$M346),0)</f>
        <v>1704.2575459927832</v>
      </c>
      <c r="E346" s="612">
        <f>IF($M346&gt;0,('Amounts Pivot Table'!L$522/$M346),0)</f>
        <v>2267.6550018707635</v>
      </c>
      <c r="F346" s="612">
        <f t="shared" si="30"/>
        <v>7357.3921460895763</v>
      </c>
      <c r="G346" s="613">
        <f>IF(B346&gt;0,RANK(B346,$B$330:$B$348),)</f>
        <v>8</v>
      </c>
      <c r="H346" s="614">
        <f>IF(C346&gt;0,RANK(C346,$C$330:$C$348),)</f>
        <v>0</v>
      </c>
      <c r="I346" s="614">
        <f>IF(D346&gt;0,RANK(D346,$D$330:$D$348),)</f>
        <v>2</v>
      </c>
      <c r="J346" s="614">
        <f>IF(E346&gt;0,RANK(E346,$E$330:$E$348),)</f>
        <v>12</v>
      </c>
      <c r="K346" s="614">
        <f>IF(F346&gt;0,RANK(F346,$F$330:$F$348),)</f>
        <v>3</v>
      </c>
      <c r="L346" s="170"/>
      <c r="M346" s="1172">
        <f>+'[1]NEW-Tables 80-86'!AF181</f>
        <v>79771.331111111125</v>
      </c>
    </row>
    <row r="347" spans="1:13" s="547" customFormat="1" ht="12.75" customHeight="1">
      <c r="A347" s="427" t="s">
        <v>459</v>
      </c>
      <c r="B347" s="612">
        <f>IF($M347&gt;0,('Amounts Pivot Table'!L$552/$M347),0)</f>
        <v>0</v>
      </c>
      <c r="C347" s="612">
        <f>IF($M347&gt;0,('Amounts Pivot Table'!L$555/$M347),0)</f>
        <v>0</v>
      </c>
      <c r="D347" s="612">
        <f>IF($M347&gt;0,('Amounts Pivot Table'!L$558/$M347),0)</f>
        <v>0</v>
      </c>
      <c r="E347" s="612">
        <f>IF($M347&gt;0,('Amounts Pivot Table'!L$561/$M347),0)</f>
        <v>0</v>
      </c>
      <c r="F347" s="612">
        <f t="shared" si="30"/>
        <v>0</v>
      </c>
      <c r="G347" s="613">
        <f>IF(B347&gt;0,RANK(B347,$B$330:$B$348),)</f>
        <v>0</v>
      </c>
      <c r="H347" s="614">
        <f>IF(C347&gt;0,RANK(C347,$C$330:$C$348),)</f>
        <v>0</v>
      </c>
      <c r="I347" s="614">
        <f>IF(D347&gt;0,RANK(D347,$D$330:$D$348),)</f>
        <v>0</v>
      </c>
      <c r="J347" s="614">
        <f>IF(E347&gt;0,RANK(E347,$E$330:$E$348),)</f>
        <v>0</v>
      </c>
      <c r="K347" s="614">
        <f>IF(F347&gt;0,RANK(F347,$F$330:$F$348),)</f>
        <v>0</v>
      </c>
      <c r="L347" s="1178"/>
      <c r="M347" s="1172">
        <f>+'[1]NEW-Tables 80-86'!AF182</f>
        <v>0</v>
      </c>
    </row>
    <row r="348" spans="1:13" s="547" customFormat="1" ht="15" customHeight="1">
      <c r="A348" s="428" t="s">
        <v>464</v>
      </c>
      <c r="B348" s="618">
        <f>IF($M348&gt;0,('Amounts Pivot Table'!L$591/$M348),0)</f>
        <v>0</v>
      </c>
      <c r="C348" s="618">
        <f>IF($M348&gt;0,('Amounts Pivot Table'!L$594/$M348),0)</f>
        <v>0</v>
      </c>
      <c r="D348" s="618">
        <f>IF($M348&gt;0,('Amounts Pivot Table'!L$597/$M348),0)</f>
        <v>0</v>
      </c>
      <c r="E348" s="618">
        <f>IF($M348&gt;0,('Amounts Pivot Table'!L$600/$M348),0)</f>
        <v>0</v>
      </c>
      <c r="F348" s="619">
        <f t="shared" si="30"/>
        <v>0</v>
      </c>
      <c r="G348" s="620">
        <f>IF(B348&gt;0,RANK(B348,$B$330:$B$348),)</f>
        <v>0</v>
      </c>
      <c r="H348" s="621">
        <f>IF(C348&gt;0,RANK(C348,$C$330:$C$348),)</f>
        <v>0</v>
      </c>
      <c r="I348" s="621">
        <f>IF(D348&gt;0,RANK(D348,$D$330:$D$348),)</f>
        <v>0</v>
      </c>
      <c r="J348" s="621">
        <f>IF(E348&gt;0,RANK(E348,$E$330:$E$348),)</f>
        <v>0</v>
      </c>
      <c r="K348" s="621">
        <f>IF(F348&gt;0,RANK(F348,$F$330:$F$348),)</f>
        <v>0</v>
      </c>
      <c r="L348" s="1181"/>
      <c r="M348" s="1172">
        <f>+'[1]NEW-Tables 80-86'!AF183</f>
        <v>0</v>
      </c>
    </row>
    <row r="349" spans="1:13" s="76" customFormat="1" ht="24.75" customHeight="1">
      <c r="A349" s="1465" t="s">
        <v>562</v>
      </c>
      <c r="B349" s="1465"/>
      <c r="C349" s="1465"/>
      <c r="D349" s="1465"/>
      <c r="E349" s="1465"/>
      <c r="F349" s="1465"/>
      <c r="G349" s="1465"/>
      <c r="H349" s="1465"/>
      <c r="I349" s="1465"/>
      <c r="J349" s="1465"/>
      <c r="K349" s="1465"/>
      <c r="L349" s="170"/>
      <c r="M349" s="1195"/>
    </row>
    <row r="350" spans="1:13" s="76" customFormat="1" ht="34.5" customHeight="1">
      <c r="A350" s="1405" t="s">
        <v>25</v>
      </c>
      <c r="B350" s="1450"/>
      <c r="C350" s="1450"/>
      <c r="D350" s="1450"/>
      <c r="E350" s="1450"/>
      <c r="F350" s="1450"/>
      <c r="G350" s="1450"/>
      <c r="H350" s="1450"/>
      <c r="I350" s="1450"/>
      <c r="J350" s="1450"/>
      <c r="K350" s="1450"/>
      <c r="L350" s="170"/>
      <c r="M350" s="1192"/>
    </row>
    <row r="351" spans="1:13" s="207" customFormat="1" ht="13.5" customHeight="1">
      <c r="A351" s="1405" t="s">
        <v>80</v>
      </c>
      <c r="B351" s="1450"/>
      <c r="C351" s="1450"/>
      <c r="D351" s="1450"/>
      <c r="E351" s="1450"/>
      <c r="F351" s="1450"/>
      <c r="G351" s="1450"/>
      <c r="H351" s="1450"/>
      <c r="I351" s="1450"/>
      <c r="J351" s="1450"/>
      <c r="K351" s="1450"/>
      <c r="L351" s="206"/>
      <c r="M351" s="1192"/>
    </row>
    <row r="352" spans="1:13" s="547" customFormat="1" ht="13.5" customHeight="1">
      <c r="A352" s="1405" t="s">
        <v>332</v>
      </c>
      <c r="B352" s="1456"/>
      <c r="C352" s="1456"/>
      <c r="D352" s="1456"/>
      <c r="E352" s="1456"/>
      <c r="F352" s="1456"/>
      <c r="G352" s="1457"/>
      <c r="H352" s="1457"/>
      <c r="I352" s="1457"/>
      <c r="J352" s="1457"/>
      <c r="K352" s="1457"/>
      <c r="L352" s="1181"/>
      <c r="M352" s="1192"/>
    </row>
    <row r="353" spans="1:13" s="547" customFormat="1" ht="13.5" customHeight="1">
      <c r="A353" s="1167"/>
      <c r="B353" s="1180"/>
      <c r="C353" s="1180"/>
      <c r="D353" s="1180"/>
      <c r="E353" s="1180"/>
      <c r="F353" s="1180"/>
      <c r="G353" s="1182"/>
      <c r="H353" s="1182"/>
      <c r="I353" s="1182"/>
      <c r="J353" s="1182"/>
      <c r="K353" s="1182"/>
      <c r="L353" s="1181"/>
      <c r="M353" s="1192"/>
    </row>
    <row r="354" spans="1:13" s="547" customFormat="1">
      <c r="A354" s="1167"/>
      <c r="B354" s="1180"/>
      <c r="C354" s="1180"/>
      <c r="D354" s="1180"/>
      <c r="E354" s="1180"/>
      <c r="F354" s="1180"/>
      <c r="G354" s="1182"/>
      <c r="H354" s="1182"/>
      <c r="I354" s="1182"/>
      <c r="J354" s="1182"/>
      <c r="K354" s="1393" t="s">
        <v>2023</v>
      </c>
      <c r="L354" s="194"/>
      <c r="M354" s="1192"/>
    </row>
    <row r="355" spans="1:13" s="547" customFormat="1" ht="15.75">
      <c r="A355" s="1429" t="s">
        <v>540</v>
      </c>
      <c r="B355" s="1429"/>
      <c r="C355" s="1429"/>
      <c r="D355" s="1429"/>
      <c r="E355" s="1429"/>
      <c r="F355" s="1429"/>
      <c r="G355" s="1429"/>
      <c r="H355" s="1429"/>
      <c r="I355" s="1429"/>
      <c r="J355" s="1429"/>
      <c r="K355" s="1429"/>
      <c r="L355" s="1178"/>
      <c r="M355" s="1192"/>
    </row>
    <row r="356" spans="1:13" s="547" customFormat="1" ht="18.75">
      <c r="A356" s="1429" t="s">
        <v>26</v>
      </c>
      <c r="B356" s="1429"/>
      <c r="C356" s="1429"/>
      <c r="D356" s="1429"/>
      <c r="E356" s="1429"/>
      <c r="F356" s="1429"/>
      <c r="G356" s="1429"/>
      <c r="H356" s="1429"/>
      <c r="I356" s="1429"/>
      <c r="J356" s="1429"/>
      <c r="K356" s="1429"/>
      <c r="L356" s="166"/>
      <c r="M356" s="1192"/>
    </row>
    <row r="357" spans="1:13" s="547" customFormat="1" ht="15.75">
      <c r="A357" s="1429" t="s">
        <v>512</v>
      </c>
      <c r="B357" s="1429"/>
      <c r="C357" s="1429"/>
      <c r="D357" s="1429"/>
      <c r="E357" s="1429"/>
      <c r="F357" s="1429"/>
      <c r="G357" s="1429"/>
      <c r="H357" s="1429"/>
      <c r="I357" s="1429"/>
      <c r="J357" s="1429"/>
      <c r="K357" s="1429"/>
      <c r="L357" s="166"/>
      <c r="M357" s="1192"/>
    </row>
    <row r="358" spans="1:13" s="547" customFormat="1" ht="8.25" customHeight="1">
      <c r="A358" s="91"/>
      <c r="B358" s="91"/>
      <c r="C358" s="91"/>
      <c r="D358" s="91"/>
      <c r="E358" s="91"/>
      <c r="F358" s="91"/>
      <c r="G358" s="108"/>
      <c r="H358" s="91"/>
      <c r="I358" s="91"/>
      <c r="J358" s="91"/>
      <c r="K358" s="91"/>
      <c r="L358" s="166"/>
      <c r="M358" s="1192"/>
    </row>
    <row r="359" spans="1:13" s="547" customFormat="1" ht="17.25" customHeight="1">
      <c r="A359" s="60"/>
      <c r="B359" s="1463" t="s">
        <v>81</v>
      </c>
      <c r="C359" s="1464"/>
      <c r="D359" s="1464"/>
      <c r="E359" s="1464"/>
      <c r="F359" s="1464"/>
      <c r="G359" s="57" t="s">
        <v>178</v>
      </c>
      <c r="H359" s="58"/>
      <c r="I359" s="58"/>
      <c r="J359" s="58"/>
      <c r="K359" s="58"/>
      <c r="L359" s="174"/>
      <c r="M359" s="1192"/>
    </row>
    <row r="360" spans="1:13" s="393" customFormat="1" ht="45">
      <c r="A360" s="1173"/>
      <c r="B360" s="51" t="s">
        <v>126</v>
      </c>
      <c r="C360" s="52" t="s">
        <v>128</v>
      </c>
      <c r="D360" s="52" t="s">
        <v>127</v>
      </c>
      <c r="E360" s="52" t="s">
        <v>438</v>
      </c>
      <c r="F360" s="52" t="s">
        <v>138</v>
      </c>
      <c r="G360" s="53" t="s">
        <v>126</v>
      </c>
      <c r="H360" s="52" t="s">
        <v>128</v>
      </c>
      <c r="I360" s="52" t="s">
        <v>127</v>
      </c>
      <c r="J360" s="52" t="s">
        <v>438</v>
      </c>
      <c r="K360" s="52" t="s">
        <v>138</v>
      </c>
      <c r="L360" s="1175"/>
      <c r="M360" s="1184" t="s">
        <v>388</v>
      </c>
    </row>
    <row r="361" spans="1:13" s="547" customFormat="1" ht="14.25">
      <c r="A361" s="427" t="s">
        <v>82</v>
      </c>
      <c r="B361" s="609">
        <f>IF($M361&gt;0,('Amounts Pivot Table'!M$630/$M361),0)</f>
        <v>4521.7131979648511</v>
      </c>
      <c r="C361" s="609">
        <f>IF($M361&gt;0,('Amounts Pivot Table'!M$633/$M361),0)</f>
        <v>230.33741405460549</v>
      </c>
      <c r="D361" s="609">
        <f>IF($M361&gt;0,('Amounts Pivot Table'!M$636/$M361),0)</f>
        <v>620.50837806607854</v>
      </c>
      <c r="E361" s="609">
        <f>IF($M361&gt;0,('Amounts Pivot Table'!M$639/$M361),0)</f>
        <v>2794.4964765129562</v>
      </c>
      <c r="F361" s="609">
        <f>SUM(B361:E361)</f>
        <v>8167.0554665984919</v>
      </c>
      <c r="G361" s="610"/>
      <c r="H361" s="611"/>
      <c r="I361" s="611"/>
      <c r="J361" s="611"/>
      <c r="K361" s="611"/>
      <c r="L361" s="1177"/>
      <c r="M361" s="1172">
        <f>+'[1]NEW-Tables 80-86'!AG163</f>
        <v>142748.50277777779</v>
      </c>
    </row>
    <row r="362" spans="1:13" s="112" customFormat="1" ht="9" customHeight="1">
      <c r="A362" s="110"/>
      <c r="B362" s="111"/>
      <c r="C362" s="111"/>
      <c r="D362" s="111"/>
      <c r="E362" s="111"/>
      <c r="F362" s="111">
        <f>SUM(B362:E362)</f>
        <v>0</v>
      </c>
      <c r="G362" s="119"/>
      <c r="H362" s="120"/>
      <c r="I362" s="120"/>
      <c r="J362" s="120"/>
      <c r="K362" s="120"/>
      <c r="L362" s="176"/>
      <c r="M362" s="1172">
        <f>+'[1]NEW-Tables 80-86'!AG164</f>
        <v>0</v>
      </c>
    </row>
    <row r="363" spans="1:13" s="547" customFormat="1" ht="12.75" customHeight="1">
      <c r="A363" s="427" t="s">
        <v>452</v>
      </c>
      <c r="B363" s="612">
        <f>IF($M363&gt;0,('Amounts Pivot Table'!M$6/$M363),0)</f>
        <v>4079.8983118535098</v>
      </c>
      <c r="C363" s="612">
        <f>IF($M363&gt;0,('Amounts Pivot Table'!M$9/$M363),0)</f>
        <v>328.3409663948409</v>
      </c>
      <c r="D363" s="612">
        <f>IF($M363&gt;0,('Amounts Pivot Table'!M$12/$M363),0)</f>
        <v>15.792422815615357</v>
      </c>
      <c r="E363" s="612">
        <f>IF($M363&gt;0,('Amounts Pivot Table'!M$15/$M363),0)</f>
        <v>3164.9126302840859</v>
      </c>
      <c r="F363" s="612">
        <f t="shared" ref="F363:F381" si="31">SUM(B363:E363)</f>
        <v>7588.9443313480515</v>
      </c>
      <c r="G363" s="613">
        <f>IF(B363&gt;0,RANK(B363,$B$363:$B$381),)</f>
        <v>7</v>
      </c>
      <c r="H363" s="614">
        <f>IF(C363&gt;0,RANK(C363,$C$363:$C$381),)</f>
        <v>3</v>
      </c>
      <c r="I363" s="614">
        <f>IF(D363&gt;0,RANK(D363,$D$363:$D$381),)</f>
        <v>7</v>
      </c>
      <c r="J363" s="614">
        <f>IF(E363&gt;0,RANK(E363,$E$363:$E$381),)</f>
        <v>6</v>
      </c>
      <c r="K363" s="614">
        <f>IF(F363&gt;0,RANK(F363,$F$363:$F$381),)</f>
        <v>9</v>
      </c>
      <c r="L363" s="1177"/>
      <c r="M363" s="1172">
        <f>+'[1]NEW-Tables 80-86'!AG165</f>
        <v>13521.733333333334</v>
      </c>
    </row>
    <row r="364" spans="1:13" s="547" customFormat="1" ht="12.75" customHeight="1">
      <c r="A364" s="427" t="s">
        <v>466</v>
      </c>
      <c r="B364" s="612">
        <f>IF($M364&gt;0,('Amounts Pivot Table'!M$45/$M364),0)</f>
        <v>4899.6043751454508</v>
      </c>
      <c r="C364" s="612">
        <f>IF($M364&gt;0,('Amounts Pivot Table'!M$48/$M364),0)</f>
        <v>91.575825169820106</v>
      </c>
      <c r="D364" s="612">
        <f>IF($M364&gt;0,('Amounts Pivot Table'!M$51/$M364),0)</f>
        <v>337.9296657167572</v>
      </c>
      <c r="E364" s="612">
        <f>IF($M364&gt;0,('Amounts Pivot Table'!M$54/$M364),0)</f>
        <v>2781.3407963432146</v>
      </c>
      <c r="F364" s="612">
        <f t="shared" si="31"/>
        <v>8110.4506623752422</v>
      </c>
      <c r="G364" s="613">
        <f>IF(B364&gt;0,RANK(B364,$B$363:$B$381),)</f>
        <v>4</v>
      </c>
      <c r="H364" s="614">
        <f>IF(C364&gt;0,RANK(C364,$C$363:$C$381),)</f>
        <v>5</v>
      </c>
      <c r="I364" s="614">
        <f>IF(D364&gt;0,RANK(D364,$D$363:$D$381),)</f>
        <v>6</v>
      </c>
      <c r="J364" s="614">
        <f>IF(E364&gt;0,RANK(E364,$E$363:$E$381),)</f>
        <v>9</v>
      </c>
      <c r="K364" s="614">
        <f>IF(F364&gt;0,RANK(F364,$F$363:$F$381),)</f>
        <v>5</v>
      </c>
      <c r="L364" s="1177"/>
      <c r="M364" s="1172">
        <f>+'[1]NEW-Tables 80-86'!AG166</f>
        <v>22774.1</v>
      </c>
    </row>
    <row r="365" spans="1:13" s="547" customFormat="1" ht="12.75" customHeight="1">
      <c r="A365" s="427" t="s">
        <v>453</v>
      </c>
      <c r="B365" s="612">
        <f>IF($M365&gt;0,('Amounts Pivot Table'!M$84/$M365),0)</f>
        <v>0</v>
      </c>
      <c r="C365" s="612">
        <f>IF($M365&gt;0,('Amounts Pivot Table'!M$87/$M365),0)</f>
        <v>0</v>
      </c>
      <c r="D365" s="612">
        <f>IF($M365&gt;0,('Amounts Pivot Table'!M$90/$M365),0)</f>
        <v>0</v>
      </c>
      <c r="E365" s="612">
        <f>IF($M365&gt;0,('Amounts Pivot Table'!M$93/$M365),0)</f>
        <v>0</v>
      </c>
      <c r="F365" s="612">
        <f t="shared" si="31"/>
        <v>0</v>
      </c>
      <c r="G365" s="613">
        <f>IF(B365&gt;0,RANK(B365,$B$363:$B$381),)</f>
        <v>0</v>
      </c>
      <c r="H365" s="614">
        <f>IF(C365&gt;0,RANK(C365,$C$363:$C$381),)</f>
        <v>0</v>
      </c>
      <c r="I365" s="614">
        <f>IF(D365&gt;0,RANK(D365,$D$363:$D$381),)</f>
        <v>0</v>
      </c>
      <c r="J365" s="614">
        <f>IF(E365&gt;0,RANK(E365,$E$363:$E$381),)</f>
        <v>0</v>
      </c>
      <c r="K365" s="614">
        <f>IF(F365&gt;0,RANK(F365,$F$363:$F$381),)</f>
        <v>0</v>
      </c>
      <c r="L365" s="1177"/>
      <c r="M365" s="1172">
        <f>+'[1]NEW-Tables 80-86'!AG167</f>
        <v>0</v>
      </c>
    </row>
    <row r="366" spans="1:13" s="547" customFormat="1" ht="12.75" customHeight="1">
      <c r="A366" s="427" t="s">
        <v>460</v>
      </c>
      <c r="B366" s="612">
        <f>IF($M366&gt;0,('Amounts Pivot Table'!M$123/$M366),0)</f>
        <v>5996.2795246283058</v>
      </c>
      <c r="C366" s="612">
        <f>IF($M366&gt;0,('Amounts Pivot Table'!M$126/$M366),0)</f>
        <v>0</v>
      </c>
      <c r="D366" s="612">
        <f>IF($M366&gt;0,('Amounts Pivot Table'!M$129/$M366),0)</f>
        <v>0</v>
      </c>
      <c r="E366" s="612">
        <f>IF($M366&gt;0,('Amounts Pivot Table'!M$132/$M366),0)</f>
        <v>2374.9745002963045</v>
      </c>
      <c r="F366" s="612">
        <f t="shared" si="31"/>
        <v>8371.2540249246103</v>
      </c>
      <c r="G366" s="613">
        <f>IF(B366&gt;0,RANK(B366,$B$363:$B$381),)</f>
        <v>2</v>
      </c>
      <c r="H366" s="614">
        <f>IF(C366&gt;0,RANK(C366,$C$363:$C$381),)</f>
        <v>0</v>
      </c>
      <c r="I366" s="614">
        <f>IF(D366&gt;0,RANK(D366,$D$363:$D$381),)</f>
        <v>0</v>
      </c>
      <c r="J366" s="614">
        <f>IF(E366&gt;0,RANK(E366,$E$363:$E$381),)</f>
        <v>13</v>
      </c>
      <c r="K366" s="614">
        <f>IF(F366&gt;0,RANK(F366,$F$363:$F$381),)</f>
        <v>4</v>
      </c>
      <c r="L366" s="1177"/>
      <c r="M366" s="1172">
        <f>+'[1]NEW-Tables 80-86'!AG168</f>
        <v>1903.0722222222223</v>
      </c>
    </row>
    <row r="367" spans="1:13" s="112" customFormat="1" ht="9" customHeight="1">
      <c r="A367" s="110"/>
      <c r="B367" s="111"/>
      <c r="C367" s="111"/>
      <c r="D367" s="111"/>
      <c r="E367" s="111"/>
      <c r="F367" s="111">
        <f t="shared" si="31"/>
        <v>0</v>
      </c>
      <c r="G367" s="119"/>
      <c r="H367" s="120"/>
      <c r="I367" s="120"/>
      <c r="J367" s="120"/>
      <c r="K367" s="120"/>
      <c r="L367" s="176"/>
      <c r="M367" s="1172">
        <f>+'[1]NEW-Tables 80-86'!AG169</f>
        <v>0</v>
      </c>
    </row>
    <row r="368" spans="1:13" s="547" customFormat="1" ht="12.75" customHeight="1">
      <c r="A368" s="427" t="s">
        <v>461</v>
      </c>
      <c r="B368" s="612">
        <f>IF($M368&gt;0,('Amounts Pivot Table'!M$162/$M368),0)</f>
        <v>3010.9783905159716</v>
      </c>
      <c r="C368" s="612">
        <f>IF($M368&gt;0,('Amounts Pivot Table'!M$165/$M368),0)</f>
        <v>0</v>
      </c>
      <c r="D368" s="612">
        <f>IF($M368&gt;0,('Amounts Pivot Table'!M$168/$M368),0)</f>
        <v>0</v>
      </c>
      <c r="E368" s="612">
        <f>IF($M368&gt;0,('Amounts Pivot Table'!M$171/$M368),0)</f>
        <v>2899.5235772750316</v>
      </c>
      <c r="F368" s="612">
        <f t="shared" si="31"/>
        <v>5910.5019677910032</v>
      </c>
      <c r="G368" s="613">
        <f>IF(B368&gt;0,RANK(B368,$B$363:$B$381),)</f>
        <v>13</v>
      </c>
      <c r="H368" s="614">
        <f>IF(C368&gt;0,RANK(C368,$C$363:$C$381),)</f>
        <v>0</v>
      </c>
      <c r="I368" s="614">
        <f>IF(D368&gt;0,RANK(D368,$D$363:$D$381),)</f>
        <v>0</v>
      </c>
      <c r="J368" s="614">
        <f>IF(E368&gt;0,RANK(E368,$E$363:$E$381),)</f>
        <v>7</v>
      </c>
      <c r="K368" s="614">
        <f>IF(F368&gt;0,RANK(F368,$F$363:$F$381),)</f>
        <v>14</v>
      </c>
      <c r="L368" s="1177"/>
      <c r="M368" s="1172">
        <f>+'[1]NEW-Tables 80-86'!AG170</f>
        <v>6902.8333333333339</v>
      </c>
    </row>
    <row r="369" spans="1:13" s="547" customFormat="1" ht="12.75" customHeight="1">
      <c r="A369" s="427" t="s">
        <v>454</v>
      </c>
      <c r="B369" s="612">
        <f>IF($M369&gt;0,('Amounts Pivot Table'!M$201/$M369),0)</f>
        <v>4475.10084083726</v>
      </c>
      <c r="C369" s="612">
        <f>IF($M369&gt;0,('Amounts Pivot Table'!M$204/$M369),0)</f>
        <v>0</v>
      </c>
      <c r="D369" s="612">
        <f>IF($M369&gt;0,('Amounts Pivot Table'!M$207/$M369),0)</f>
        <v>0</v>
      </c>
      <c r="E369" s="612">
        <f>IF($M369&gt;0,('Amounts Pivot Table'!M$210/$M369),0)</f>
        <v>3370.0578448327274</v>
      </c>
      <c r="F369" s="612">
        <f t="shared" si="31"/>
        <v>7845.1586856699869</v>
      </c>
      <c r="G369" s="613">
        <f>IF(B369&gt;0,RANK(B369,$B$363:$B$381),)</f>
        <v>5</v>
      </c>
      <c r="H369" s="614">
        <f>IF(C369&gt;0,RANK(C369,$C$363:$C$381),)</f>
        <v>0</v>
      </c>
      <c r="I369" s="614">
        <f>IF(D369&gt;0,RANK(D369,$D$363:$D$381),)</f>
        <v>0</v>
      </c>
      <c r="J369" s="614">
        <f>IF(E369&gt;0,RANK(E369,$E$363:$E$381),)</f>
        <v>5</v>
      </c>
      <c r="K369" s="614">
        <f>IF(F369&gt;0,RANK(F369,$F$363:$F$381),)</f>
        <v>7</v>
      </c>
      <c r="L369" s="1177"/>
      <c r="M369" s="1172">
        <f>+'[1]NEW-Tables 80-86'!AG171</f>
        <v>5589.6666666666661</v>
      </c>
    </row>
    <row r="370" spans="1:13" s="547" customFormat="1" ht="12.75" customHeight="1">
      <c r="A370" s="427" t="s">
        <v>462</v>
      </c>
      <c r="B370" s="612">
        <f>IF($M370&gt;0,('Amounts Pivot Table'!M$240/$M370),0)</f>
        <v>2931.2608777822111</v>
      </c>
      <c r="C370" s="612">
        <f>IF($M370&gt;0,('Amounts Pivot Table'!M$243/$M370),0)</f>
        <v>0</v>
      </c>
      <c r="D370" s="612">
        <f>IF($M370&gt;0,('Amounts Pivot Table'!M$246/$M370),0)</f>
        <v>0</v>
      </c>
      <c r="E370" s="612">
        <f>IF($M370&gt;0,('Amounts Pivot Table'!M$249/$M370),0)</f>
        <v>2361.1347727107095</v>
      </c>
      <c r="F370" s="612">
        <f t="shared" si="31"/>
        <v>5292.395650492921</v>
      </c>
      <c r="G370" s="613">
        <f>IF(B370&gt;0,RANK(B370,$B$363:$B$381),)</f>
        <v>14</v>
      </c>
      <c r="H370" s="614">
        <f>IF(C370&gt;0,RANK(C370,$C$363:$C$381),)</f>
        <v>0</v>
      </c>
      <c r="I370" s="614">
        <f>IF(D370&gt;0,RANK(D370,$D$363:$D$381),)</f>
        <v>0</v>
      </c>
      <c r="J370" s="614">
        <f>IF(E370&gt;0,RANK(E370,$E$363:$E$381),)</f>
        <v>14</v>
      </c>
      <c r="K370" s="614">
        <f>IF(F370&gt;0,RANK(F370,$F$363:$F$381),)</f>
        <v>15</v>
      </c>
      <c r="L370" s="1177"/>
      <c r="M370" s="1172">
        <f>+'[1]NEW-Tables 80-86'!AG172</f>
        <v>5397.0866666666661</v>
      </c>
    </row>
    <row r="371" spans="1:13" s="547" customFormat="1" ht="12.75" customHeight="1">
      <c r="A371" s="427" t="s">
        <v>465</v>
      </c>
      <c r="B371" s="612">
        <f>IF($M371&gt;0,('Amounts Pivot Table'!M$279/$M371),0)</f>
        <v>3221.1926977616777</v>
      </c>
      <c r="C371" s="612">
        <f>IF($M371&gt;0,('Amounts Pivot Table'!M$282/$M371),0)</f>
        <v>0</v>
      </c>
      <c r="D371" s="612">
        <f>IF($M371&gt;0,('Amounts Pivot Table'!M$285/$M371),0)</f>
        <v>4789.5598232813963</v>
      </c>
      <c r="E371" s="612">
        <f>IF($M371&gt;0,('Amounts Pivot Table'!M$288/$M371),0)</f>
        <v>4784.3698603881112</v>
      </c>
      <c r="F371" s="612">
        <f t="shared" si="31"/>
        <v>12795.122381431185</v>
      </c>
      <c r="G371" s="613">
        <f>IF(B371&gt;0,RANK(B371,$B$363:$B$381),)</f>
        <v>12</v>
      </c>
      <c r="H371" s="614">
        <f>IF(C371&gt;0,RANK(C371,$C$363:$C$381),)</f>
        <v>0</v>
      </c>
      <c r="I371" s="614">
        <f>IF(D371&gt;0,RANK(D371,$D$363:$D$381),)</f>
        <v>1</v>
      </c>
      <c r="J371" s="614">
        <f>IF(E371&gt;0,RANK(E371,$E$363:$E$381),)</f>
        <v>1</v>
      </c>
      <c r="K371" s="614">
        <f>IF(F371&gt;0,RANK(F371,$F$363:$F$381),)</f>
        <v>1</v>
      </c>
      <c r="L371" s="1177"/>
      <c r="M371" s="1172">
        <f>+'[1]NEW-Tables 80-86'!AG173</f>
        <v>3817.3683333333338</v>
      </c>
    </row>
    <row r="372" spans="1:13" s="112" customFormat="1" ht="10.5" customHeight="1">
      <c r="A372" s="110"/>
      <c r="B372" s="111"/>
      <c r="C372" s="111"/>
      <c r="D372" s="111"/>
      <c r="E372" s="111"/>
      <c r="F372" s="111">
        <f t="shared" si="31"/>
        <v>0</v>
      </c>
      <c r="G372" s="119"/>
      <c r="H372" s="120"/>
      <c r="I372" s="120"/>
      <c r="J372" s="120"/>
      <c r="K372" s="120"/>
      <c r="L372" s="176"/>
      <c r="M372" s="1172">
        <f>+'[1]NEW-Tables 80-86'!AG174</f>
        <v>0</v>
      </c>
    </row>
    <row r="373" spans="1:13" s="547" customFormat="1" ht="12.75" customHeight="1">
      <c r="A373" s="427" t="s">
        <v>455</v>
      </c>
      <c r="B373" s="612">
        <f>IF($M373&gt;0,('Amounts Pivot Table'!M$318/$M373),0)</f>
        <v>3935.5186898593629</v>
      </c>
      <c r="C373" s="612">
        <f>IF($M373&gt;0,('Amounts Pivot Table'!M$321/$M373),0)</f>
        <v>513.79607698001473</v>
      </c>
      <c r="D373" s="612">
        <f>IF($M373&gt;0,('Amounts Pivot Table'!M$324/$M373),0)</f>
        <v>678.21262028127308</v>
      </c>
      <c r="E373" s="612">
        <f>IF($M373&gt;0,('Amounts Pivot Table'!M$327/$M373),0)</f>
        <v>2750.2008697261285</v>
      </c>
      <c r="F373" s="612">
        <f t="shared" si="31"/>
        <v>7877.7282568467799</v>
      </c>
      <c r="G373" s="613">
        <f>IF(B373&gt;0,RANK(B373,$B$363:$B$381),)</f>
        <v>9</v>
      </c>
      <c r="H373" s="614">
        <f>IF(C373&gt;0,RANK(C373,$C$363:$C$381),)</f>
        <v>2</v>
      </c>
      <c r="I373" s="614">
        <f>IF(D373&gt;0,RANK(D373,$D$363:$D$381),)</f>
        <v>4</v>
      </c>
      <c r="J373" s="614">
        <f>IF(E373&gt;0,RANK(E373,$E$363:$E$381),)</f>
        <v>10</v>
      </c>
      <c r="K373" s="614">
        <f>IF(F373&gt;0,RANK(F373,$F$363:$F$381),)</f>
        <v>6</v>
      </c>
      <c r="L373" s="1177"/>
      <c r="M373" s="1172">
        <f>+'[1]NEW-Tables 80-86'!AG175</f>
        <v>3602.666666666667</v>
      </c>
    </row>
    <row r="374" spans="1:13" s="547" customFormat="1" ht="12.75" customHeight="1">
      <c r="A374" s="427" t="s">
        <v>456</v>
      </c>
      <c r="B374" s="612">
        <f>IF($M374&gt;0,('Amounts Pivot Table'!M$357/$M374),0)</f>
        <v>6032.292039456639</v>
      </c>
      <c r="C374" s="612">
        <f>IF($M374&gt;0,('Amounts Pivot Table'!M$360/$M374),0)</f>
        <v>814.51612824745439</v>
      </c>
      <c r="D374" s="612">
        <f>IF($M374&gt;0,('Amounts Pivot Table'!M$363/$M374),0)</f>
        <v>1185.2082494492543</v>
      </c>
      <c r="E374" s="612">
        <f>IF($M374&gt;0,('Amounts Pivot Table'!M$366/$M374),0)</f>
        <v>1323.01285661631</v>
      </c>
      <c r="F374" s="612">
        <f t="shared" si="31"/>
        <v>9355.0292737696582</v>
      </c>
      <c r="G374" s="613">
        <f>IF(B374&gt;0,RANK(B374,$B$363:$B$381),)</f>
        <v>1</v>
      </c>
      <c r="H374" s="614">
        <f>IF(C374&gt;0,RANK(C374,$C$363:$C$381),)</f>
        <v>1</v>
      </c>
      <c r="I374" s="614">
        <f>IF(D374&gt;0,RANK(D374,$D$363:$D$381),)</f>
        <v>3</v>
      </c>
      <c r="J374" s="614">
        <f>IF(E374&gt;0,RANK(E374,$E$363:$E$381),)</f>
        <v>15</v>
      </c>
      <c r="K374" s="614">
        <f>IF(F374&gt;0,RANK(F374,$F$363:$F$381),)</f>
        <v>3</v>
      </c>
      <c r="L374" s="1177"/>
      <c r="M374" s="1172">
        <f>+'[1]NEW-Tables 80-86'!AG176</f>
        <v>27402.23333333333</v>
      </c>
    </row>
    <row r="375" spans="1:13" s="547" customFormat="1" ht="12.75" customHeight="1">
      <c r="A375" s="427" t="s">
        <v>463</v>
      </c>
      <c r="B375" s="612">
        <f>IF($M375&gt;0,('Amounts Pivot Table'!M$396/$M375),0)</f>
        <v>4010.3047954791318</v>
      </c>
      <c r="C375" s="612">
        <f>IF($M375&gt;0,('Amounts Pivot Table'!M$399/$M375),0)</f>
        <v>0</v>
      </c>
      <c r="D375" s="612">
        <f>IF($M375&gt;0,('Amounts Pivot Table'!M$402/$M375),0)</f>
        <v>0</v>
      </c>
      <c r="E375" s="612">
        <f>IF($M375&gt;0,('Amounts Pivot Table'!M$405/$M375),0)</f>
        <v>2381.8675815322231</v>
      </c>
      <c r="F375" s="612">
        <f t="shared" si="31"/>
        <v>6392.1723770113549</v>
      </c>
      <c r="G375" s="613">
        <f>IF(B375&gt;0,RANK(B375,$B$363:$B$381),)</f>
        <v>8</v>
      </c>
      <c r="H375" s="614">
        <f>IF(C375&gt;0,RANK(C375,$C$363:$C$381),)</f>
        <v>0</v>
      </c>
      <c r="I375" s="614">
        <f>IF(D375&gt;0,RANK(D375,$D$363:$D$381),)</f>
        <v>0</v>
      </c>
      <c r="J375" s="614">
        <f>IF(E375&gt;0,RANK(E375,$E$363:$E$381),)</f>
        <v>12</v>
      </c>
      <c r="K375" s="614">
        <f>IF(F375&gt;0,RANK(F375,$F$363:$F$381),)</f>
        <v>13</v>
      </c>
      <c r="L375" s="1177"/>
      <c r="M375" s="1172">
        <f>+'[1]NEW-Tables 80-86'!AG177</f>
        <v>13218.7</v>
      </c>
    </row>
    <row r="376" spans="1:13" s="547" customFormat="1" ht="12.75" customHeight="1">
      <c r="A376" s="427" t="s">
        <v>457</v>
      </c>
      <c r="B376" s="612">
        <f>IF($M376&gt;0,('Amounts Pivot Table'!M$435/$M376),0)</f>
        <v>2233.7424832924853</v>
      </c>
      <c r="C376" s="612">
        <f>IF($M376&gt;0,('Amounts Pivot Table'!M$438/$M376),0)</f>
        <v>292.55601537493135</v>
      </c>
      <c r="D376" s="612">
        <f>IF($M376&gt;0,('Amounts Pivot Table'!M$441/$M376),0)</f>
        <v>507.62545702920971</v>
      </c>
      <c r="E376" s="612">
        <f>IF($M376&gt;0,('Amounts Pivot Table'!M$444/$M376),0)</f>
        <v>4755.08390587542</v>
      </c>
      <c r="F376" s="612">
        <f t="shared" si="31"/>
        <v>7789.0078615720467</v>
      </c>
      <c r="G376" s="613">
        <f>IF(B376&gt;0,RANK(B376,$B$363:$B$381),)</f>
        <v>15</v>
      </c>
      <c r="H376" s="614">
        <f>IF(C376&gt;0,RANK(C376,$C$363:$C$381),)</f>
        <v>4</v>
      </c>
      <c r="I376" s="614">
        <f>IF(D376&gt;0,RANK(D376,$D$363:$D$381),)</f>
        <v>5</v>
      </c>
      <c r="J376" s="614">
        <f>IF(E376&gt;0,RANK(E376,$E$363:$E$381),)</f>
        <v>2</v>
      </c>
      <c r="K376" s="614">
        <f>IF(F376&gt;0,RANK(F376,$F$363:$F$381),)</f>
        <v>8</v>
      </c>
      <c r="L376" s="1177"/>
      <c r="M376" s="1172">
        <f>+'[1]NEW-Tables 80-86'!AG178</f>
        <v>7466.7</v>
      </c>
    </row>
    <row r="377" spans="1:13" s="112" customFormat="1" ht="10.5" customHeight="1">
      <c r="A377" s="110"/>
      <c r="B377" s="111"/>
      <c r="C377" s="111"/>
      <c r="D377" s="111"/>
      <c r="E377" s="111"/>
      <c r="F377" s="111">
        <f t="shared" si="31"/>
        <v>0</v>
      </c>
      <c r="G377" s="119"/>
      <c r="H377" s="120"/>
      <c r="I377" s="120"/>
      <c r="J377" s="120"/>
      <c r="K377" s="120"/>
      <c r="L377" s="176"/>
      <c r="M377" s="1172">
        <f>+'[1]NEW-Tables 80-86'!AG179</f>
        <v>0</v>
      </c>
    </row>
    <row r="378" spans="1:13" s="547" customFormat="1" ht="12.75" customHeight="1">
      <c r="A378" s="427" t="s">
        <v>130</v>
      </c>
      <c r="B378" s="612">
        <f>IF($M378&gt;0,('Amounts Pivot Table'!M$474/$M378),0)</f>
        <v>3387.7154649186696</v>
      </c>
      <c r="C378" s="612">
        <f>IF($M378&gt;0,('Amounts Pivot Table'!M$477/$M378),0)</f>
        <v>0</v>
      </c>
      <c r="D378" s="612">
        <f>IF($M378&gt;0,('Amounts Pivot Table'!M$480/$M378),0)</f>
        <v>0</v>
      </c>
      <c r="E378" s="612">
        <f>IF($M378&gt;0,('Amounts Pivot Table'!M$483/$M378),0)</f>
        <v>3507.5018208302986</v>
      </c>
      <c r="F378" s="612">
        <f t="shared" si="31"/>
        <v>6895.2172857489677</v>
      </c>
      <c r="G378" s="613">
        <f>IF(B378&gt;0,RANK(B378,$B$363:$B$381),)</f>
        <v>11</v>
      </c>
      <c r="H378" s="614">
        <f>IF(C378&gt;0,RANK(C378,$C$363:$C$381),)</f>
        <v>0</v>
      </c>
      <c r="I378" s="614">
        <f>IF(D378&gt;0,RANK(D378,$D$363:$D$381),)</f>
        <v>0</v>
      </c>
      <c r="J378" s="614">
        <f>IF(E378&gt;0,RANK(E378,$E$363:$E$381),)</f>
        <v>3</v>
      </c>
      <c r="K378" s="614">
        <f>IF(F378&gt;0,RANK(F378,$F$363:$F$381),)</f>
        <v>12</v>
      </c>
      <c r="L378" s="1177"/>
      <c r="M378" s="1172">
        <f>+'[1]NEW-Tables 80-86'!AG180</f>
        <v>2059.5</v>
      </c>
    </row>
    <row r="379" spans="1:13" s="76" customFormat="1" ht="12.75" customHeight="1">
      <c r="A379" s="427" t="s">
        <v>238</v>
      </c>
      <c r="B379" s="612">
        <f>IF($M379&gt;0,('Amounts Pivot Table'!M$513/$M379),0)</f>
        <v>5051.617499422111</v>
      </c>
      <c r="C379" s="612">
        <f>IF($M379&gt;0,('Amounts Pivot Table'!M$516/$M379),0)</f>
        <v>0</v>
      </c>
      <c r="D379" s="612">
        <f>IF($M379&gt;0,('Amounts Pivot Table'!M$519/$M379),0)</f>
        <v>1601.5723169500986</v>
      </c>
      <c r="E379" s="612">
        <f>IF($M379&gt;0,('Amounts Pivot Table'!M$522/$M379),0)</f>
        <v>2802.8689535414737</v>
      </c>
      <c r="F379" s="612">
        <f t="shared" si="31"/>
        <v>9456.0587699136831</v>
      </c>
      <c r="G379" s="613">
        <f>IF(B379&gt;0,RANK(B379,$B$363:$B$381),)</f>
        <v>3</v>
      </c>
      <c r="H379" s="614">
        <f>IF(C379&gt;0,RANK(C379,$C$363:$C$381),)</f>
        <v>0</v>
      </c>
      <c r="I379" s="614">
        <f>IF(D379&gt;0,RANK(D379,$D$363:$D$381),)</f>
        <v>2</v>
      </c>
      <c r="J379" s="614">
        <f>IF(E379&gt;0,RANK(E379,$E$363:$E$381),)</f>
        <v>8</v>
      </c>
      <c r="K379" s="614">
        <f>IF(F379&gt;0,RANK(F379,$F$363:$F$381),)</f>
        <v>2</v>
      </c>
      <c r="L379" s="170"/>
      <c r="M379" s="1172">
        <f>+'[1]NEW-Tables 80-86'!AG181</f>
        <v>14780.805555555555</v>
      </c>
    </row>
    <row r="380" spans="1:13" s="547" customFormat="1" ht="12.75" customHeight="1">
      <c r="A380" s="427" t="s">
        <v>43</v>
      </c>
      <c r="B380" s="612">
        <f>IF($M380&gt;0,('Amounts Pivot Table'!M$552/$M380),0)</f>
        <v>4304.046144275243</v>
      </c>
      <c r="C380" s="612">
        <f>IF($M380&gt;0,('Amounts Pivot Table'!M$555/$M380),0)</f>
        <v>0</v>
      </c>
      <c r="D380" s="612">
        <f>IF($M380&gt;0,('Amounts Pivot Table'!M$558/$M380),0)</f>
        <v>0</v>
      </c>
      <c r="E380" s="612">
        <f>IF($M380&gt;0,('Amounts Pivot Table'!M$561/$M380),0)</f>
        <v>2716.3181953422954</v>
      </c>
      <c r="F380" s="612">
        <f>SUM(B380:E380)</f>
        <v>7020.3643396175385</v>
      </c>
      <c r="G380" s="613">
        <f>IF(B380&gt;0,RANK(B380,$B$363:$B$381),)</f>
        <v>6</v>
      </c>
      <c r="H380" s="614">
        <f>IF(C380&gt;0,RANK(C380,$C$363:$C$381),)</f>
        <v>0</v>
      </c>
      <c r="I380" s="614">
        <f>IF(D380&gt;0,RANK(D380,$D$363:$D$381),)</f>
        <v>0</v>
      </c>
      <c r="J380" s="614">
        <f>IF(E380&gt;0,RANK(E380,$E$363:$E$381),)</f>
        <v>11</v>
      </c>
      <c r="K380" s="614">
        <f>IF(F380&gt;0,RANK(F380,$F$363:$F$381),)</f>
        <v>10</v>
      </c>
      <c r="L380" s="1178"/>
      <c r="M380" s="1172">
        <f>+'[1]NEW-Tables 80-86'!AG182</f>
        <v>1232.3666666666666</v>
      </c>
    </row>
    <row r="381" spans="1:13" s="547" customFormat="1" ht="13.5" customHeight="1">
      <c r="A381" s="428" t="s">
        <v>464</v>
      </c>
      <c r="B381" s="618">
        <f>IF($M381&gt;0,('Amounts Pivot Table'!M$591/$M381),0)</f>
        <v>3512.3233995964733</v>
      </c>
      <c r="C381" s="618">
        <f>IF($M381&gt;0,('Amounts Pivot Table'!M$594/$M381),0)</f>
        <v>0</v>
      </c>
      <c r="D381" s="618">
        <f>IF($M381&gt;0,('Amounts Pivot Table'!M$597/$M381),0)</f>
        <v>0</v>
      </c>
      <c r="E381" s="618">
        <f>IF($M381&gt;0,('Amounts Pivot Table'!M$600/$M381),0)</f>
        <v>3444.912601005989</v>
      </c>
      <c r="F381" s="619">
        <f t="shared" si="31"/>
        <v>6957.2360006024628</v>
      </c>
      <c r="G381" s="620">
        <f>IF(B381&gt;0,RANK(B381,$B$363:$B$381),)</f>
        <v>10</v>
      </c>
      <c r="H381" s="621">
        <f>IF(C381&gt;0,RANK(C381,$C$363:$C$381),)</f>
        <v>0</v>
      </c>
      <c r="I381" s="621">
        <f>IF(D381&gt;0,RANK(D381,$D$363:$D$381),)</f>
        <v>0</v>
      </c>
      <c r="J381" s="621">
        <f>IF(E381&gt;0,RANK(E381,$E$363:$E$381),)</f>
        <v>4</v>
      </c>
      <c r="K381" s="621">
        <f>IF(F381&gt;0,RANK(F381,$F$363:$F$381),)</f>
        <v>11</v>
      </c>
      <c r="L381" s="1181"/>
      <c r="M381" s="1172">
        <f>+'[1]NEW-Tables 80-86'!AG183</f>
        <v>13079.669999999998</v>
      </c>
    </row>
    <row r="382" spans="1:13" s="76" customFormat="1" ht="24.75" customHeight="1">
      <c r="A382" s="1465" t="s">
        <v>562</v>
      </c>
      <c r="B382" s="1465"/>
      <c r="C382" s="1465"/>
      <c r="D382" s="1465"/>
      <c r="E382" s="1465"/>
      <c r="F382" s="1465"/>
      <c r="G382" s="1465"/>
      <c r="H382" s="1465"/>
      <c r="I382" s="1465"/>
      <c r="J382" s="1465"/>
      <c r="K382" s="1465"/>
      <c r="L382" s="170"/>
      <c r="M382" s="1195"/>
    </row>
    <row r="383" spans="1:13" s="76" customFormat="1" ht="13.5" customHeight="1">
      <c r="A383" s="549" t="s">
        <v>254</v>
      </c>
      <c r="B383" s="1168"/>
      <c r="C383" s="1168"/>
      <c r="D383" s="1168"/>
      <c r="E383" s="1168"/>
      <c r="F383" s="1168"/>
      <c r="G383" s="1168"/>
      <c r="H383" s="1168"/>
      <c r="I383" s="1168"/>
      <c r="J383" s="1168"/>
      <c r="K383" s="1168"/>
      <c r="L383" s="170"/>
      <c r="M383" s="1195"/>
    </row>
    <row r="384" spans="1:13" s="76" customFormat="1" ht="34.5" customHeight="1">
      <c r="A384" s="1405" t="s">
        <v>25</v>
      </c>
      <c r="B384" s="1450"/>
      <c r="C384" s="1450"/>
      <c r="D384" s="1450"/>
      <c r="E384" s="1450"/>
      <c r="F384" s="1450"/>
      <c r="G384" s="1450"/>
      <c r="H384" s="1450"/>
      <c r="I384" s="1450"/>
      <c r="J384" s="1450"/>
      <c r="K384" s="1450"/>
      <c r="L384" s="170"/>
      <c r="M384" s="1192"/>
    </row>
    <row r="385" spans="1:13" s="207" customFormat="1" ht="13.5" customHeight="1">
      <c r="A385" s="1405" t="s">
        <v>80</v>
      </c>
      <c r="B385" s="1450"/>
      <c r="C385" s="1450"/>
      <c r="D385" s="1450"/>
      <c r="E385" s="1450"/>
      <c r="F385" s="1450"/>
      <c r="G385" s="1450"/>
      <c r="H385" s="1450"/>
      <c r="I385" s="1450"/>
      <c r="J385" s="1450"/>
      <c r="K385" s="1450"/>
      <c r="L385" s="206"/>
      <c r="M385" s="1192"/>
    </row>
    <row r="386" spans="1:13" s="547" customFormat="1" ht="13.5" customHeight="1">
      <c r="A386" s="1405" t="s">
        <v>332</v>
      </c>
      <c r="B386" s="1456"/>
      <c r="C386" s="1456"/>
      <c r="D386" s="1456"/>
      <c r="E386" s="1456"/>
      <c r="F386" s="1456"/>
      <c r="G386" s="1457"/>
      <c r="H386" s="1457"/>
      <c r="I386" s="1457"/>
      <c r="J386" s="1457"/>
      <c r="K386" s="1457"/>
      <c r="L386" s="1181"/>
      <c r="M386" s="1192"/>
    </row>
    <row r="387" spans="1:13" s="547" customFormat="1" ht="13.5" customHeight="1">
      <c r="A387" s="1167"/>
      <c r="B387" s="1180"/>
      <c r="C387" s="1180"/>
      <c r="D387" s="1180"/>
      <c r="E387" s="1180"/>
      <c r="F387" s="1180"/>
      <c r="G387" s="1182"/>
      <c r="H387" s="1182"/>
      <c r="I387" s="1182"/>
      <c r="J387" s="1182"/>
      <c r="K387" s="1182"/>
      <c r="L387" s="1181"/>
      <c r="M387" s="1192"/>
    </row>
    <row r="388" spans="1:13" s="547" customFormat="1">
      <c r="A388" s="1167"/>
      <c r="B388" s="1180"/>
      <c r="C388" s="1180"/>
      <c r="D388" s="1180"/>
      <c r="E388" s="1180"/>
      <c r="F388" s="1180"/>
      <c r="G388" s="1182"/>
      <c r="H388" s="1182"/>
      <c r="I388" s="1182"/>
      <c r="J388" s="1182"/>
      <c r="K388" s="1393" t="s">
        <v>2023</v>
      </c>
      <c r="L388" s="1181"/>
      <c r="M388" s="1192"/>
    </row>
    <row r="389" spans="1:13" s="547" customFormat="1" ht="15.75">
      <c r="A389" s="1429" t="s">
        <v>541</v>
      </c>
      <c r="B389" s="1429"/>
      <c r="C389" s="1429"/>
      <c r="D389" s="1429"/>
      <c r="E389" s="1429"/>
      <c r="F389" s="1429"/>
      <c r="G389" s="1429"/>
      <c r="H389" s="1429"/>
      <c r="I389" s="1429"/>
      <c r="J389" s="1429"/>
      <c r="K389" s="1429"/>
      <c r="M389" s="1192"/>
    </row>
    <row r="390" spans="1:13" s="547" customFormat="1" ht="18.75">
      <c r="A390" s="1429" t="s">
        <v>26</v>
      </c>
      <c r="B390" s="1429"/>
      <c r="C390" s="1429"/>
      <c r="D390" s="1429"/>
      <c r="E390" s="1429"/>
      <c r="F390" s="1429"/>
      <c r="G390" s="1429"/>
      <c r="H390" s="1429"/>
      <c r="I390" s="1429"/>
      <c r="J390" s="1429"/>
      <c r="K390" s="1429"/>
      <c r="L390" s="166"/>
      <c r="M390" s="1192"/>
    </row>
    <row r="391" spans="1:13" s="547" customFormat="1" ht="15.75">
      <c r="A391" s="1429" t="s">
        <v>513</v>
      </c>
      <c r="B391" s="1429"/>
      <c r="C391" s="1429"/>
      <c r="D391" s="1429"/>
      <c r="E391" s="1429"/>
      <c r="F391" s="1429"/>
      <c r="G391" s="1429"/>
      <c r="H391" s="1429"/>
      <c r="I391" s="1429"/>
      <c r="J391" s="1429"/>
      <c r="K391" s="1429"/>
      <c r="L391" s="166"/>
      <c r="M391" s="1192"/>
    </row>
    <row r="392" spans="1:13" s="547" customFormat="1" ht="10.5" customHeight="1">
      <c r="A392" s="91"/>
      <c r="B392" s="91"/>
      <c r="C392" s="91"/>
      <c r="D392" s="91"/>
      <c r="E392" s="91"/>
      <c r="F392" s="91"/>
      <c r="G392" s="108"/>
      <c r="H392" s="91"/>
      <c r="I392" s="91"/>
      <c r="J392" s="91"/>
      <c r="K392" s="91"/>
      <c r="L392" s="166"/>
      <c r="M392" s="1172"/>
    </row>
    <row r="393" spans="1:13" s="547" customFormat="1" ht="17.25" customHeight="1">
      <c r="A393" s="60"/>
      <c r="B393" s="1463" t="s">
        <v>81</v>
      </c>
      <c r="C393" s="1464"/>
      <c r="D393" s="1464"/>
      <c r="E393" s="1464"/>
      <c r="F393" s="1464"/>
      <c r="G393" s="57" t="s">
        <v>178</v>
      </c>
      <c r="H393" s="58"/>
      <c r="I393" s="58"/>
      <c r="J393" s="58"/>
      <c r="K393" s="58"/>
      <c r="L393" s="174"/>
      <c r="M393" s="1172"/>
    </row>
    <row r="394" spans="1:13" s="393" customFormat="1" ht="45">
      <c r="A394" s="1173"/>
      <c r="B394" s="51" t="s">
        <v>126</v>
      </c>
      <c r="C394" s="52" t="s">
        <v>128</v>
      </c>
      <c r="D394" s="52" t="s">
        <v>127</v>
      </c>
      <c r="E394" s="52" t="s">
        <v>438</v>
      </c>
      <c r="F394" s="52" t="s">
        <v>138</v>
      </c>
      <c r="G394" s="53" t="s">
        <v>126</v>
      </c>
      <c r="H394" s="52" t="s">
        <v>128</v>
      </c>
      <c r="I394" s="52" t="s">
        <v>127</v>
      </c>
      <c r="J394" s="52" t="s">
        <v>438</v>
      </c>
      <c r="K394" s="52" t="s">
        <v>138</v>
      </c>
      <c r="L394" s="1175"/>
      <c r="M394" s="1184" t="s">
        <v>388</v>
      </c>
    </row>
    <row r="395" spans="1:13" s="547" customFormat="1" ht="14.25">
      <c r="A395" s="427" t="s">
        <v>82</v>
      </c>
      <c r="B395" s="609">
        <f>IF($M395&gt;0,('Amounts Pivot Table'!N$630/$M395),0)</f>
        <v>2755.0378401896774</v>
      </c>
      <c r="C395" s="609">
        <f>IF($M395&gt;0,('Amounts Pivot Table'!N$633/$M395),0)</f>
        <v>0</v>
      </c>
      <c r="D395" s="609">
        <f>IF($M395&gt;0,('Amounts Pivot Table'!N$636/$M395),0)</f>
        <v>1517.468025895502</v>
      </c>
      <c r="E395" s="609">
        <f>IF($M395&gt;0,('Amounts Pivot Table'!N$639/$M395),0)</f>
        <v>2593.075182602317</v>
      </c>
      <c r="F395" s="609">
        <f>SUM(B395:E395)</f>
        <v>6865.5810486874961</v>
      </c>
      <c r="G395" s="610"/>
      <c r="H395" s="611"/>
      <c r="I395" s="611"/>
      <c r="J395" s="611"/>
      <c r="K395" s="611"/>
      <c r="L395" s="1177"/>
      <c r="M395" s="1172">
        <f>+'[1]NEW-Tables 80-86'!AH163</f>
        <v>205076.19777777779</v>
      </c>
    </row>
    <row r="396" spans="1:13" s="112" customFormat="1">
      <c r="A396" s="110"/>
      <c r="B396" s="111"/>
      <c r="C396" s="111"/>
      <c r="D396" s="111"/>
      <c r="E396" s="111"/>
      <c r="F396" s="111">
        <f>SUM(B396:E396)</f>
        <v>0</v>
      </c>
      <c r="G396" s="119">
        <f t="shared" ref="G396:G415" si="32">IF(B396&gt;0,RANK(B396,$B$397:$B$415),)</f>
        <v>0</v>
      </c>
      <c r="H396" s="120">
        <f t="shared" ref="H396:H415" si="33">IF(C396&gt;0,RANK(C396,$C$397:$C$415),)</f>
        <v>0</v>
      </c>
      <c r="I396" s="120">
        <f t="shared" ref="I396:I415" si="34">IF(D396&gt;0,RANK(D396,$D$397:$D$415),)</f>
        <v>0</v>
      </c>
      <c r="J396" s="120">
        <f t="shared" ref="J396:J415" si="35">IF(E396&gt;0,RANK(E396,$E$397:$E$415),)</f>
        <v>0</v>
      </c>
      <c r="K396" s="120">
        <f t="shared" ref="K396:K415" si="36">IF(F396&gt;0,RANK(F396,$F$397:$F$415),)</f>
        <v>0</v>
      </c>
      <c r="L396" s="176"/>
      <c r="M396" s="1172">
        <f>+'[1]NEW-Tables 80-86'!AH164</f>
        <v>0</v>
      </c>
    </row>
    <row r="397" spans="1:13" s="547" customFormat="1" ht="12.75" customHeight="1">
      <c r="A397" s="427" t="s">
        <v>452</v>
      </c>
      <c r="B397" s="612">
        <f>IF($M397&gt;0,('Amounts Pivot Table'!N$6/$M397),0)</f>
        <v>0</v>
      </c>
      <c r="C397" s="612">
        <f>IF($M397&gt;0,('Amounts Pivot Table'!N$9/$M397),0)</f>
        <v>0</v>
      </c>
      <c r="D397" s="612">
        <f>IF($M397&gt;0,('Amounts Pivot Table'!N$12/$M397),0)</f>
        <v>0</v>
      </c>
      <c r="E397" s="612">
        <f>IF($M397&gt;0,('Amounts Pivot Table'!N$15/$M397),0)</f>
        <v>0</v>
      </c>
      <c r="F397" s="612">
        <f t="shared" ref="F397:F415" si="37">SUM(B397:E397)</f>
        <v>0</v>
      </c>
      <c r="G397" s="613">
        <f t="shared" si="32"/>
        <v>0</v>
      </c>
      <c r="H397" s="614">
        <f t="shared" si="33"/>
        <v>0</v>
      </c>
      <c r="I397" s="614">
        <f t="shared" si="34"/>
        <v>0</v>
      </c>
      <c r="J397" s="614">
        <f t="shared" si="35"/>
        <v>0</v>
      </c>
      <c r="K397" s="614">
        <f t="shared" si="36"/>
        <v>0</v>
      </c>
      <c r="L397" s="1177"/>
      <c r="M397" s="1172">
        <f>+'[1]NEW-Tables 80-86'!AH165</f>
        <v>0</v>
      </c>
    </row>
    <row r="398" spans="1:13" s="547" customFormat="1" ht="12.75" customHeight="1">
      <c r="A398" s="427" t="s">
        <v>466</v>
      </c>
      <c r="B398" s="612">
        <f>IF($M398&gt;0,('Amounts Pivot Table'!N$45/$M398),0)</f>
        <v>0</v>
      </c>
      <c r="C398" s="612">
        <f>IF($M398&gt;0,('Amounts Pivot Table'!N$48/$M398),0)</f>
        <v>0</v>
      </c>
      <c r="D398" s="612">
        <f>IF($M398&gt;0,('Amounts Pivot Table'!N$51/$M398),0)</f>
        <v>0</v>
      </c>
      <c r="E398" s="612">
        <f>IF($M398&gt;0,('Amounts Pivot Table'!N$54/$M398),0)</f>
        <v>0</v>
      </c>
      <c r="F398" s="612">
        <f t="shared" si="37"/>
        <v>0</v>
      </c>
      <c r="G398" s="613">
        <f t="shared" si="32"/>
        <v>0</v>
      </c>
      <c r="H398" s="614">
        <f t="shared" si="33"/>
        <v>0</v>
      </c>
      <c r="I398" s="614">
        <f t="shared" si="34"/>
        <v>0</v>
      </c>
      <c r="J398" s="614">
        <f t="shared" si="35"/>
        <v>0</v>
      </c>
      <c r="K398" s="614">
        <f t="shared" si="36"/>
        <v>0</v>
      </c>
      <c r="L398" s="1177"/>
      <c r="M398" s="1172">
        <f>+'[1]NEW-Tables 80-86'!AH166</f>
        <v>0</v>
      </c>
    </row>
    <row r="399" spans="1:13" s="547" customFormat="1" ht="12.75" customHeight="1">
      <c r="A399" s="427" t="s">
        <v>453</v>
      </c>
      <c r="B399" s="612">
        <f>IF($M399&gt;0,('Amounts Pivot Table'!N$84/$M399),0)</f>
        <v>0</v>
      </c>
      <c r="C399" s="612">
        <f>IF($M399&gt;0,('Amounts Pivot Table'!N$87/$M399),0)</f>
        <v>0</v>
      </c>
      <c r="D399" s="612">
        <f>IF($M399&gt;0,('Amounts Pivot Table'!N$90/$M399),0)</f>
        <v>0</v>
      </c>
      <c r="E399" s="612">
        <f>IF($M399&gt;0,('Amounts Pivot Table'!N$93/$M399),0)</f>
        <v>0</v>
      </c>
      <c r="F399" s="612">
        <f t="shared" si="37"/>
        <v>0</v>
      </c>
      <c r="G399" s="613">
        <f t="shared" si="32"/>
        <v>0</v>
      </c>
      <c r="H399" s="614">
        <f t="shared" si="33"/>
        <v>0</v>
      </c>
      <c r="I399" s="614">
        <f t="shared" si="34"/>
        <v>0</v>
      </c>
      <c r="J399" s="614">
        <f t="shared" si="35"/>
        <v>0</v>
      </c>
      <c r="K399" s="614">
        <f t="shared" si="36"/>
        <v>0</v>
      </c>
      <c r="L399" s="1177"/>
      <c r="M399" s="1172">
        <f>+'[1]NEW-Tables 80-86'!AH167</f>
        <v>0</v>
      </c>
    </row>
    <row r="400" spans="1:13" s="547" customFormat="1" ht="12.75" customHeight="1">
      <c r="A400" s="427" t="s">
        <v>460</v>
      </c>
      <c r="B400" s="612">
        <f>IF($M400&gt;0,('Amounts Pivot Table'!N$123/$M400),0)</f>
        <v>0</v>
      </c>
      <c r="C400" s="612">
        <f>IF($M400&gt;0,('Amounts Pivot Table'!N$126/$M400),0)</f>
        <v>0</v>
      </c>
      <c r="D400" s="612">
        <f>IF($M400&gt;0,('Amounts Pivot Table'!N$129/$M400),0)</f>
        <v>0</v>
      </c>
      <c r="E400" s="612">
        <f>IF($M400&gt;0,('Amounts Pivot Table'!N$132/$M400),0)</f>
        <v>0</v>
      </c>
      <c r="F400" s="612">
        <f t="shared" si="37"/>
        <v>0</v>
      </c>
      <c r="G400" s="613">
        <f t="shared" si="32"/>
        <v>0</v>
      </c>
      <c r="H400" s="614">
        <f t="shared" si="33"/>
        <v>0</v>
      </c>
      <c r="I400" s="614">
        <f t="shared" si="34"/>
        <v>0</v>
      </c>
      <c r="J400" s="614">
        <f t="shared" si="35"/>
        <v>0</v>
      </c>
      <c r="K400" s="614">
        <f t="shared" si="36"/>
        <v>0</v>
      </c>
      <c r="L400" s="1177"/>
      <c r="M400" s="1172">
        <f>+'[1]NEW-Tables 80-86'!AH168</f>
        <v>0</v>
      </c>
    </row>
    <row r="401" spans="1:13" s="112" customFormat="1">
      <c r="A401" s="110"/>
      <c r="B401" s="111"/>
      <c r="C401" s="111"/>
      <c r="D401" s="111"/>
      <c r="E401" s="111"/>
      <c r="F401" s="111">
        <f>SUM(B401:E401)</f>
        <v>0</v>
      </c>
      <c r="G401" s="119">
        <f t="shared" si="32"/>
        <v>0</v>
      </c>
      <c r="H401" s="120">
        <f t="shared" si="33"/>
        <v>0</v>
      </c>
      <c r="I401" s="120">
        <f t="shared" si="34"/>
        <v>0</v>
      </c>
      <c r="J401" s="120">
        <f t="shared" si="35"/>
        <v>0</v>
      </c>
      <c r="K401" s="120">
        <f t="shared" si="36"/>
        <v>0</v>
      </c>
      <c r="L401" s="176"/>
      <c r="M401" s="1172">
        <f>+'[1]NEW-Tables 80-86'!AH169</f>
        <v>0</v>
      </c>
    </row>
    <row r="402" spans="1:13" s="547" customFormat="1" ht="12.75" customHeight="1">
      <c r="A402" s="427" t="s">
        <v>461</v>
      </c>
      <c r="B402" s="612">
        <f>IF($M402&gt;0,('Amounts Pivot Table'!N$162/$M402),0)</f>
        <v>0</v>
      </c>
      <c r="C402" s="612">
        <f>IF($M402&gt;0,('Amounts Pivot Table'!N$165/$M402),0)</f>
        <v>0</v>
      </c>
      <c r="D402" s="612">
        <f>IF($M402&gt;0,('Amounts Pivot Table'!N$168/$M402),0)</f>
        <v>0</v>
      </c>
      <c r="E402" s="612">
        <f>IF($M402&gt;0,('Amounts Pivot Table'!N$171/$M402),0)</f>
        <v>0</v>
      </c>
      <c r="F402" s="612">
        <f t="shared" si="37"/>
        <v>0</v>
      </c>
      <c r="G402" s="613">
        <f t="shared" si="32"/>
        <v>0</v>
      </c>
      <c r="H402" s="614">
        <f t="shared" si="33"/>
        <v>0</v>
      </c>
      <c r="I402" s="614">
        <f t="shared" si="34"/>
        <v>0</v>
      </c>
      <c r="J402" s="614">
        <f t="shared" si="35"/>
        <v>0</v>
      </c>
      <c r="K402" s="614">
        <f t="shared" si="36"/>
        <v>0</v>
      </c>
      <c r="L402" s="1177"/>
      <c r="M402" s="1172">
        <f>+'[1]NEW-Tables 80-86'!AH170</f>
        <v>0</v>
      </c>
    </row>
    <row r="403" spans="1:13" s="547" customFormat="1" ht="12.75" customHeight="1">
      <c r="A403" s="427" t="s">
        <v>454</v>
      </c>
      <c r="B403" s="612">
        <f>IF($M403&gt;0,('Amounts Pivot Table'!N$201/$M403),0)</f>
        <v>0</v>
      </c>
      <c r="C403" s="612">
        <f>IF($M403&gt;0,('Amounts Pivot Table'!N$204/$M403),0)</f>
        <v>0</v>
      </c>
      <c r="D403" s="612">
        <f>IF($M403&gt;0,('Amounts Pivot Table'!N$207/$M403),0)</f>
        <v>0</v>
      </c>
      <c r="E403" s="612">
        <f>IF($M403&gt;0,('Amounts Pivot Table'!N$210/$M403),0)</f>
        <v>0</v>
      </c>
      <c r="F403" s="612">
        <f t="shared" si="37"/>
        <v>0</v>
      </c>
      <c r="G403" s="613">
        <f t="shared" si="32"/>
        <v>0</v>
      </c>
      <c r="H403" s="614">
        <f t="shared" si="33"/>
        <v>0</v>
      </c>
      <c r="I403" s="614">
        <f t="shared" si="34"/>
        <v>0</v>
      </c>
      <c r="J403" s="614">
        <f t="shared" si="35"/>
        <v>0</v>
      </c>
      <c r="K403" s="614">
        <f t="shared" si="36"/>
        <v>0</v>
      </c>
      <c r="L403" s="1177"/>
      <c r="M403" s="1172">
        <f>+'[1]NEW-Tables 80-86'!AH171</f>
        <v>0</v>
      </c>
    </row>
    <row r="404" spans="1:13" s="547" customFormat="1" ht="12.75" customHeight="1">
      <c r="A404" s="427" t="s">
        <v>462</v>
      </c>
      <c r="B404" s="612">
        <f>IF($M404&gt;0,('Amounts Pivot Table'!N$240/$M404),0)</f>
        <v>0</v>
      </c>
      <c r="C404" s="612">
        <f>IF($M404&gt;0,('Amounts Pivot Table'!N$243/$M404),0)</f>
        <v>0</v>
      </c>
      <c r="D404" s="612">
        <f>IF($M404&gt;0,('Amounts Pivot Table'!N$246/$M404),0)</f>
        <v>0</v>
      </c>
      <c r="E404" s="612">
        <f>IF($M404&gt;0,('Amounts Pivot Table'!N$249/$M404),0)</f>
        <v>0</v>
      </c>
      <c r="F404" s="612">
        <f t="shared" si="37"/>
        <v>0</v>
      </c>
      <c r="G404" s="613">
        <f t="shared" si="32"/>
        <v>0</v>
      </c>
      <c r="H404" s="614">
        <f t="shared" si="33"/>
        <v>0</v>
      </c>
      <c r="I404" s="614">
        <f t="shared" si="34"/>
        <v>0</v>
      </c>
      <c r="J404" s="614">
        <f t="shared" si="35"/>
        <v>0</v>
      </c>
      <c r="K404" s="614">
        <f t="shared" si="36"/>
        <v>0</v>
      </c>
      <c r="L404" s="1177"/>
      <c r="M404" s="1172">
        <f>+'[1]NEW-Tables 80-86'!AH172</f>
        <v>0</v>
      </c>
    </row>
    <row r="405" spans="1:13" s="547" customFormat="1" ht="12.75" customHeight="1">
      <c r="A405" s="427" t="s">
        <v>465</v>
      </c>
      <c r="B405" s="612">
        <f>IF($M405&gt;0,('Amounts Pivot Table'!N$279/$M405),0)</f>
        <v>0</v>
      </c>
      <c r="C405" s="612">
        <f>IF($M405&gt;0,('Amounts Pivot Table'!N$282/$M405),0)</f>
        <v>0</v>
      </c>
      <c r="D405" s="612">
        <f>IF($M405&gt;0,('Amounts Pivot Table'!N$285/$M405),0)</f>
        <v>0</v>
      </c>
      <c r="E405" s="612">
        <f>IF($M405&gt;0,('Amounts Pivot Table'!N$288/$M405),0)</f>
        <v>0</v>
      </c>
      <c r="F405" s="612">
        <f t="shared" si="37"/>
        <v>0</v>
      </c>
      <c r="G405" s="613">
        <f t="shared" si="32"/>
        <v>0</v>
      </c>
      <c r="H405" s="614">
        <f t="shared" si="33"/>
        <v>0</v>
      </c>
      <c r="I405" s="614">
        <f t="shared" si="34"/>
        <v>0</v>
      </c>
      <c r="J405" s="614">
        <f t="shared" si="35"/>
        <v>0</v>
      </c>
      <c r="K405" s="614">
        <f t="shared" si="36"/>
        <v>0</v>
      </c>
      <c r="L405" s="1177"/>
      <c r="M405" s="1172">
        <f>+'[1]NEW-Tables 80-86'!AH173</f>
        <v>0</v>
      </c>
    </row>
    <row r="406" spans="1:13" s="112" customFormat="1">
      <c r="A406" s="110"/>
      <c r="B406" s="111"/>
      <c r="C406" s="111"/>
      <c r="D406" s="111"/>
      <c r="E406" s="111"/>
      <c r="F406" s="111">
        <f>SUM(B406:E406)</f>
        <v>0</v>
      </c>
      <c r="G406" s="119">
        <f t="shared" si="32"/>
        <v>0</v>
      </c>
      <c r="H406" s="120">
        <f t="shared" si="33"/>
        <v>0</v>
      </c>
      <c r="I406" s="120">
        <f t="shared" si="34"/>
        <v>0</v>
      </c>
      <c r="J406" s="120">
        <f t="shared" si="35"/>
        <v>0</v>
      </c>
      <c r="K406" s="120">
        <f t="shared" si="36"/>
        <v>0</v>
      </c>
      <c r="L406" s="176"/>
      <c r="M406" s="1172">
        <f>+'[1]NEW-Tables 80-86'!AH174</f>
        <v>0</v>
      </c>
    </row>
    <row r="407" spans="1:13" s="547" customFormat="1" ht="12.75" customHeight="1">
      <c r="A407" s="427" t="s">
        <v>455</v>
      </c>
      <c r="B407" s="612">
        <f>IF($M407&gt;0,('Amounts Pivot Table'!N$318/$M407),0)</f>
        <v>0</v>
      </c>
      <c r="C407" s="612">
        <f>IF($M407&gt;0,('Amounts Pivot Table'!N$321/$M407),0)</f>
        <v>0</v>
      </c>
      <c r="D407" s="612">
        <f>IF($M407&gt;0,('Amounts Pivot Table'!N$324/$M407),0)</f>
        <v>0</v>
      </c>
      <c r="E407" s="612">
        <f>IF($M407&gt;0,('Amounts Pivot Table'!N$327/$M407),0)</f>
        <v>0</v>
      </c>
      <c r="F407" s="612">
        <f t="shared" si="37"/>
        <v>0</v>
      </c>
      <c r="G407" s="613">
        <f t="shared" si="32"/>
        <v>0</v>
      </c>
      <c r="H407" s="614">
        <f t="shared" si="33"/>
        <v>0</v>
      </c>
      <c r="I407" s="614">
        <f t="shared" si="34"/>
        <v>0</v>
      </c>
      <c r="J407" s="614">
        <f t="shared" si="35"/>
        <v>0</v>
      </c>
      <c r="K407" s="614">
        <f t="shared" si="36"/>
        <v>0</v>
      </c>
      <c r="L407" s="1177"/>
      <c r="M407" s="1172">
        <f>+'[1]NEW-Tables 80-86'!AH175</f>
        <v>0</v>
      </c>
    </row>
    <row r="408" spans="1:13" s="547" customFormat="1" ht="12.75" customHeight="1">
      <c r="A408" s="427" t="s">
        <v>456</v>
      </c>
      <c r="B408" s="612">
        <f>IF($M408&gt;0,('Amounts Pivot Table'!N$357/$M408),0)</f>
        <v>0</v>
      </c>
      <c r="C408" s="612">
        <f>IF($M408&gt;0,('Amounts Pivot Table'!N$360/$M408),0)</f>
        <v>0</v>
      </c>
      <c r="D408" s="612">
        <f>IF($M408&gt;0,('Amounts Pivot Table'!N$363/$M408),0)</f>
        <v>0</v>
      </c>
      <c r="E408" s="612">
        <f>IF($M408&gt;0,('Amounts Pivot Table'!N$366/$M408),0)</f>
        <v>0</v>
      </c>
      <c r="F408" s="612">
        <f t="shared" si="37"/>
        <v>0</v>
      </c>
      <c r="G408" s="613">
        <f t="shared" si="32"/>
        <v>0</v>
      </c>
      <c r="H408" s="614">
        <f t="shared" si="33"/>
        <v>0</v>
      </c>
      <c r="I408" s="614">
        <f t="shared" si="34"/>
        <v>0</v>
      </c>
      <c r="J408" s="614">
        <f t="shared" si="35"/>
        <v>0</v>
      </c>
      <c r="K408" s="614">
        <f t="shared" si="36"/>
        <v>0</v>
      </c>
      <c r="L408" s="1177"/>
      <c r="M408" s="1172">
        <f>+'[1]NEW-Tables 80-86'!AH176</f>
        <v>0</v>
      </c>
    </row>
    <row r="409" spans="1:13" s="547" customFormat="1" ht="12.75" customHeight="1">
      <c r="A409" s="427" t="s">
        <v>463</v>
      </c>
      <c r="B409" s="612">
        <f>IF($M409&gt;0,('Amounts Pivot Table'!N$396/$M409),0)</f>
        <v>0</v>
      </c>
      <c r="C409" s="612">
        <f>IF($M409&gt;0,('Amounts Pivot Table'!N$399/$M409),0)</f>
        <v>0</v>
      </c>
      <c r="D409" s="612">
        <f>IF($M409&gt;0,('Amounts Pivot Table'!N$402/$M409),0)</f>
        <v>0</v>
      </c>
      <c r="E409" s="612">
        <f>IF($M409&gt;0,('Amounts Pivot Table'!N$405/$M409),0)</f>
        <v>0</v>
      </c>
      <c r="F409" s="612">
        <f t="shared" si="37"/>
        <v>0</v>
      </c>
      <c r="G409" s="613">
        <f t="shared" si="32"/>
        <v>0</v>
      </c>
      <c r="H409" s="614">
        <f t="shared" si="33"/>
        <v>0</v>
      </c>
      <c r="I409" s="614">
        <f t="shared" si="34"/>
        <v>0</v>
      </c>
      <c r="J409" s="614">
        <f t="shared" si="35"/>
        <v>0</v>
      </c>
      <c r="K409" s="614">
        <f t="shared" si="36"/>
        <v>0</v>
      </c>
      <c r="L409" s="1177"/>
      <c r="M409" s="1172">
        <f>+'[1]NEW-Tables 80-86'!AH177</f>
        <v>0</v>
      </c>
    </row>
    <row r="410" spans="1:13" s="547" customFormat="1" ht="12.75" customHeight="1">
      <c r="A410" s="427" t="s">
        <v>457</v>
      </c>
      <c r="B410" s="612">
        <f>IF($M410&gt;0,('Amounts Pivot Table'!N$435/$M410),0)</f>
        <v>0</v>
      </c>
      <c r="C410" s="612">
        <f>IF($M410&gt;0,('Amounts Pivot Table'!N$438/$M410),0)</f>
        <v>0</v>
      </c>
      <c r="D410" s="612">
        <f>IF($M410&gt;0,('Amounts Pivot Table'!N$441/$M410),0)</f>
        <v>0</v>
      </c>
      <c r="E410" s="612">
        <f>IF($M410&gt;0,('Amounts Pivot Table'!N$444/$M410),0)</f>
        <v>0</v>
      </c>
      <c r="F410" s="612">
        <f t="shared" si="37"/>
        <v>0</v>
      </c>
      <c r="G410" s="613">
        <f t="shared" si="32"/>
        <v>0</v>
      </c>
      <c r="H410" s="614">
        <f t="shared" si="33"/>
        <v>0</v>
      </c>
      <c r="I410" s="614">
        <f t="shared" si="34"/>
        <v>0</v>
      </c>
      <c r="J410" s="614">
        <f t="shared" si="35"/>
        <v>0</v>
      </c>
      <c r="K410" s="614">
        <f t="shared" si="36"/>
        <v>0</v>
      </c>
      <c r="L410" s="1177"/>
      <c r="M410" s="1172">
        <f>+'[1]NEW-Tables 80-86'!AH178</f>
        <v>0</v>
      </c>
    </row>
    <row r="411" spans="1:13" s="112" customFormat="1">
      <c r="A411" s="110"/>
      <c r="B411" s="111"/>
      <c r="C411" s="111"/>
      <c r="D411" s="111"/>
      <c r="E411" s="111"/>
      <c r="F411" s="111">
        <f t="shared" si="37"/>
        <v>0</v>
      </c>
      <c r="G411" s="119">
        <f t="shared" si="32"/>
        <v>0</v>
      </c>
      <c r="H411" s="120">
        <f t="shared" si="33"/>
        <v>0</v>
      </c>
      <c r="I411" s="120">
        <f t="shared" si="34"/>
        <v>0</v>
      </c>
      <c r="J411" s="120">
        <f t="shared" si="35"/>
        <v>0</v>
      </c>
      <c r="K411" s="120">
        <f t="shared" si="36"/>
        <v>0</v>
      </c>
      <c r="L411" s="176"/>
      <c r="M411" s="1172">
        <f>+'[1]NEW-Tables 80-86'!AH179</f>
        <v>0</v>
      </c>
    </row>
    <row r="412" spans="1:13" s="547" customFormat="1" ht="12.75" customHeight="1">
      <c r="A412" s="427" t="s">
        <v>130</v>
      </c>
      <c r="B412" s="612">
        <f>IF($M412&gt;0,('Amounts Pivot Table'!N$474/$M412),0)</f>
        <v>0</v>
      </c>
      <c r="C412" s="612">
        <f>IF($M412&gt;0,('Amounts Pivot Table'!N$477/$M412),0)</f>
        <v>0</v>
      </c>
      <c r="D412" s="612">
        <f>IF($M412&gt;0,('Amounts Pivot Table'!N$480/$M412),0)</f>
        <v>0</v>
      </c>
      <c r="E412" s="612">
        <f>IF($M412&gt;0,('Amounts Pivot Table'!N$483/$M412),0)</f>
        <v>0</v>
      </c>
      <c r="F412" s="612">
        <f t="shared" si="37"/>
        <v>0</v>
      </c>
      <c r="G412" s="613">
        <f t="shared" si="32"/>
        <v>0</v>
      </c>
      <c r="H412" s="614">
        <f t="shared" si="33"/>
        <v>0</v>
      </c>
      <c r="I412" s="614">
        <f t="shared" si="34"/>
        <v>0</v>
      </c>
      <c r="J412" s="614">
        <f t="shared" si="35"/>
        <v>0</v>
      </c>
      <c r="K412" s="614">
        <f t="shared" si="36"/>
        <v>0</v>
      </c>
      <c r="L412" s="1177"/>
      <c r="M412" s="1172">
        <f>+'[1]NEW-Tables 80-86'!AH180</f>
        <v>0</v>
      </c>
    </row>
    <row r="413" spans="1:13" s="76" customFormat="1" ht="12.75" customHeight="1">
      <c r="A413" s="427" t="s">
        <v>458</v>
      </c>
      <c r="B413" s="612">
        <f>IF($M413&gt;0,('Amounts Pivot Table'!N$513/$M413),0)</f>
        <v>2638.2726302406631</v>
      </c>
      <c r="C413" s="612">
        <f>IF($M413&gt;0,('Amounts Pivot Table'!N$516/$M413),0)</f>
        <v>0</v>
      </c>
      <c r="D413" s="612">
        <f>IF($M413&gt;0,('Amounts Pivot Table'!N$519/$M413),0)</f>
        <v>3338.8589027662356</v>
      </c>
      <c r="E413" s="612">
        <f>IF($M413&gt;0,('Amounts Pivot Table'!N$522/$M413),0)</f>
        <v>2089.9226465329452</v>
      </c>
      <c r="F413" s="612">
        <f t="shared" si="37"/>
        <v>8067.054179539844</v>
      </c>
      <c r="G413" s="613">
        <f t="shared" si="32"/>
        <v>2</v>
      </c>
      <c r="H413" s="614">
        <f t="shared" si="33"/>
        <v>0</v>
      </c>
      <c r="I413" s="614">
        <f t="shared" si="34"/>
        <v>1</v>
      </c>
      <c r="J413" s="614">
        <f t="shared" si="35"/>
        <v>2</v>
      </c>
      <c r="K413" s="614">
        <f t="shared" si="36"/>
        <v>1</v>
      </c>
      <c r="L413" s="170"/>
      <c r="M413" s="1172">
        <f>+'[1]NEW-Tables 80-86'!AH181</f>
        <v>88576.364444444451</v>
      </c>
    </row>
    <row r="414" spans="1:13" s="547" customFormat="1" ht="12.75" customHeight="1">
      <c r="A414" s="427" t="s">
        <v>239</v>
      </c>
      <c r="B414" s="612">
        <f>IF($M414&gt;0,('Amounts Pivot Table'!N$552/$M414),0)</f>
        <v>2843.8159739856569</v>
      </c>
      <c r="C414" s="612">
        <f>IF($M414&gt;0,('Amounts Pivot Table'!N$555/$M414),0)</f>
        <v>0</v>
      </c>
      <c r="D414" s="612">
        <f>IF($M414&gt;0,('Amounts Pivot Table'!N$558/$M414),0)</f>
        <v>132.64044726816491</v>
      </c>
      <c r="E414" s="612">
        <f>IF($M414&gt;0,('Amounts Pivot Table'!N$561/$M414),0)</f>
        <v>2975.6287119151816</v>
      </c>
      <c r="F414" s="612">
        <f t="shared" si="37"/>
        <v>5952.0851331690028</v>
      </c>
      <c r="G414" s="613">
        <f t="shared" si="32"/>
        <v>1</v>
      </c>
      <c r="H414" s="614">
        <f t="shared" si="33"/>
        <v>0</v>
      </c>
      <c r="I414" s="614">
        <f t="shared" si="34"/>
        <v>2</v>
      </c>
      <c r="J414" s="614">
        <f t="shared" si="35"/>
        <v>1</v>
      </c>
      <c r="K414" s="614">
        <f t="shared" si="36"/>
        <v>2</v>
      </c>
      <c r="L414" s="1178"/>
      <c r="M414" s="1172">
        <f>+'[1]NEW-Tables 80-86'!AH182</f>
        <v>116499.83333333333</v>
      </c>
    </row>
    <row r="415" spans="1:13" s="547" customFormat="1" ht="13.5" customHeight="1">
      <c r="A415" s="428" t="s">
        <v>464</v>
      </c>
      <c r="B415" s="618">
        <f>IF($M415&gt;0,('Amounts Pivot Table'!N$591/$M415),0)</f>
        <v>0</v>
      </c>
      <c r="C415" s="618">
        <f>IF($M415&gt;0,('Amounts Pivot Table'!N$594/$M415),0)</f>
        <v>0</v>
      </c>
      <c r="D415" s="618">
        <f>IF($M415&gt;0,('Amounts Pivot Table'!N$597/$M415),0)</f>
        <v>0</v>
      </c>
      <c r="E415" s="618">
        <f>IF($M415&gt;0,('Amounts Pivot Table'!N$600/$M415),0)</f>
        <v>0</v>
      </c>
      <c r="F415" s="619">
        <f t="shared" si="37"/>
        <v>0</v>
      </c>
      <c r="G415" s="620">
        <f t="shared" si="32"/>
        <v>0</v>
      </c>
      <c r="H415" s="621">
        <f t="shared" si="33"/>
        <v>0</v>
      </c>
      <c r="I415" s="621">
        <f t="shared" si="34"/>
        <v>0</v>
      </c>
      <c r="J415" s="621">
        <f t="shared" si="35"/>
        <v>0</v>
      </c>
      <c r="K415" s="621">
        <f t="shared" si="36"/>
        <v>0</v>
      </c>
      <c r="L415" s="1181"/>
      <c r="M415" s="1172">
        <f>+'[1]NEW-Tables 80-86'!AH183</f>
        <v>0</v>
      </c>
    </row>
    <row r="416" spans="1:13" s="76" customFormat="1" ht="17.25" customHeight="1">
      <c r="A416" s="1465" t="s">
        <v>341</v>
      </c>
      <c r="B416" s="1465"/>
      <c r="C416" s="1465"/>
      <c r="D416" s="1465"/>
      <c r="E416" s="1465"/>
      <c r="F416" s="1465"/>
      <c r="G416" s="1465"/>
      <c r="H416" s="1465"/>
      <c r="I416" s="1465"/>
      <c r="J416" s="1465"/>
      <c r="K416" s="1465"/>
      <c r="L416" s="170"/>
      <c r="M416" s="1186"/>
    </row>
    <row r="417" spans="1:13" s="76" customFormat="1" ht="34.5" customHeight="1">
      <c r="A417" s="1405" t="s">
        <v>25</v>
      </c>
      <c r="B417" s="1450"/>
      <c r="C417" s="1450"/>
      <c r="D417" s="1450"/>
      <c r="E417" s="1450"/>
      <c r="F417" s="1450"/>
      <c r="G417" s="1450"/>
      <c r="H417" s="1450"/>
      <c r="I417" s="1450"/>
      <c r="J417" s="1450"/>
      <c r="K417" s="1450"/>
      <c r="L417" s="170"/>
      <c r="M417" s="1172"/>
    </row>
    <row r="418" spans="1:13" s="207" customFormat="1" ht="13.5" customHeight="1">
      <c r="A418" s="1405" t="s">
        <v>80</v>
      </c>
      <c r="B418" s="1450"/>
      <c r="C418" s="1450"/>
      <c r="D418" s="1450"/>
      <c r="E418" s="1450"/>
      <c r="F418" s="1450"/>
      <c r="G418" s="1450"/>
      <c r="H418" s="1450"/>
      <c r="I418" s="1450"/>
      <c r="J418" s="1450"/>
      <c r="K418" s="1450"/>
      <c r="L418" s="206"/>
      <c r="M418" s="1172"/>
    </row>
    <row r="419" spans="1:13" s="547" customFormat="1" ht="13.5" customHeight="1">
      <c r="A419" s="1405" t="s">
        <v>332</v>
      </c>
      <c r="B419" s="1456"/>
      <c r="C419" s="1456"/>
      <c r="D419" s="1456"/>
      <c r="E419" s="1456"/>
      <c r="F419" s="1456"/>
      <c r="G419" s="1457"/>
      <c r="H419" s="1457"/>
      <c r="I419" s="1457"/>
      <c r="J419" s="1457"/>
      <c r="K419" s="1457"/>
      <c r="L419" s="1181"/>
      <c r="M419" s="1172"/>
    </row>
    <row r="420" spans="1:13" s="547" customFormat="1" ht="13.5" customHeight="1">
      <c r="A420" s="1167"/>
      <c r="B420" s="1180"/>
      <c r="C420" s="1180"/>
      <c r="D420" s="1180"/>
      <c r="E420" s="1180"/>
      <c r="F420" s="1180"/>
      <c r="G420" s="1182"/>
      <c r="H420" s="1182"/>
      <c r="I420" s="1182"/>
      <c r="J420" s="1182"/>
      <c r="K420" s="1182"/>
      <c r="L420" s="1181"/>
      <c r="M420" s="1172"/>
    </row>
    <row r="421" spans="1:13" s="547" customFormat="1">
      <c r="A421" s="1167"/>
      <c r="B421" s="1180"/>
      <c r="C421" s="1180"/>
      <c r="D421" s="1180"/>
      <c r="E421" s="1180"/>
      <c r="F421" s="1180"/>
      <c r="G421" s="1182"/>
      <c r="H421" s="1182"/>
      <c r="I421" s="1182"/>
      <c r="J421" s="1182"/>
      <c r="K421" s="591" t="s">
        <v>2018</v>
      </c>
      <c r="L421" s="1181"/>
      <c r="M421" s="1172"/>
    </row>
    <row r="422" spans="1:13" s="547" customFormat="1" ht="18.75" customHeight="1">
      <c r="A422" s="1429" t="s">
        <v>542</v>
      </c>
      <c r="B422" s="1429"/>
      <c r="C422" s="1429"/>
      <c r="D422" s="1429"/>
      <c r="E422" s="1429"/>
      <c r="F422" s="1429"/>
      <c r="G422" s="1429"/>
      <c r="H422" s="1429"/>
      <c r="I422" s="1429"/>
      <c r="J422" s="1429"/>
      <c r="K422" s="1429"/>
      <c r="L422" s="1178"/>
      <c r="M422" s="1172"/>
    </row>
    <row r="423" spans="1:13" s="547" customFormat="1" ht="18.75">
      <c r="A423" s="1429" t="s">
        <v>26</v>
      </c>
      <c r="B423" s="1429"/>
      <c r="C423" s="1429"/>
      <c r="D423" s="1429"/>
      <c r="E423" s="1429"/>
      <c r="F423" s="1429"/>
      <c r="G423" s="1429"/>
      <c r="H423" s="1429"/>
      <c r="I423" s="1429"/>
      <c r="J423" s="1429"/>
      <c r="K423" s="1429"/>
      <c r="L423" s="166"/>
      <c r="M423" s="1172"/>
    </row>
    <row r="424" spans="1:13" s="547" customFormat="1" ht="15.75" customHeight="1">
      <c r="A424" s="1429" t="s">
        <v>514</v>
      </c>
      <c r="B424" s="1429"/>
      <c r="C424" s="1429"/>
      <c r="D424" s="1429"/>
      <c r="E424" s="1429"/>
      <c r="F424" s="1429"/>
      <c r="G424" s="1429"/>
      <c r="H424" s="1429"/>
      <c r="I424" s="1429"/>
      <c r="J424" s="1429"/>
      <c r="K424" s="1429"/>
      <c r="L424" s="226"/>
      <c r="M424" s="1183"/>
    </row>
    <row r="425" spans="1:13" s="547" customFormat="1" ht="15.75" customHeight="1">
      <c r="A425" s="91"/>
      <c r="B425" s="91"/>
      <c r="C425" s="91"/>
      <c r="D425" s="91"/>
      <c r="E425" s="91"/>
      <c r="F425" s="91"/>
      <c r="G425" s="108"/>
      <c r="H425" s="91"/>
      <c r="I425" s="91"/>
      <c r="J425" s="91"/>
      <c r="K425" s="91"/>
      <c r="L425" s="166"/>
      <c r="M425" s="1172"/>
    </row>
    <row r="426" spans="1:13" s="547" customFormat="1" ht="12" customHeight="1">
      <c r="A426" s="60"/>
      <c r="B426" s="1463" t="s">
        <v>81</v>
      </c>
      <c r="C426" s="1464"/>
      <c r="D426" s="1464"/>
      <c r="E426" s="1464"/>
      <c r="F426" s="1464"/>
      <c r="G426" s="57" t="s">
        <v>178</v>
      </c>
      <c r="H426" s="58"/>
      <c r="I426" s="58"/>
      <c r="J426" s="58"/>
      <c r="K426" s="58"/>
      <c r="L426" s="174"/>
      <c r="M426" s="1172"/>
    </row>
    <row r="427" spans="1:13" s="393" customFormat="1" ht="45">
      <c r="A427" s="1173"/>
      <c r="B427" s="51" t="s">
        <v>126</v>
      </c>
      <c r="C427" s="52" t="s">
        <v>128</v>
      </c>
      <c r="D427" s="52" t="s">
        <v>127</v>
      </c>
      <c r="E427" s="52" t="s">
        <v>438</v>
      </c>
      <c r="F427" s="52" t="s">
        <v>138</v>
      </c>
      <c r="G427" s="53" t="s">
        <v>126</v>
      </c>
      <c r="H427" s="52" t="s">
        <v>128</v>
      </c>
      <c r="I427" s="52" t="s">
        <v>127</v>
      </c>
      <c r="J427" s="52" t="s">
        <v>438</v>
      </c>
      <c r="K427" s="52" t="s">
        <v>138</v>
      </c>
      <c r="L427" s="1175"/>
      <c r="M427" s="1184" t="s">
        <v>553</v>
      </c>
    </row>
    <row r="428" spans="1:13" s="547" customFormat="1" ht="14.25">
      <c r="A428" s="427" t="s">
        <v>82</v>
      </c>
      <c r="B428" s="609">
        <f>IF(M428&gt;0,('Amounts Pivot Table'!S$630/M428),0)</f>
        <v>3656.940191224287</v>
      </c>
      <c r="C428" s="609">
        <f>IF(M428&gt;0,('Amounts Pivot Table'!S$9/M428),0)</f>
        <v>6.0490698380287338</v>
      </c>
      <c r="D428" s="1196">
        <f>IF(M428&gt;0,('Amounts Pivot Table'!S$636/M428),0)</f>
        <v>0</v>
      </c>
      <c r="E428" s="609">
        <f>IF(M428&gt;0,('Amounts Pivot Table'!S$639/M428),0)</f>
        <v>2260.5741496186452</v>
      </c>
      <c r="F428" s="609">
        <f>SUM(B428:E428)</f>
        <v>5923.5634106809612</v>
      </c>
      <c r="G428" s="610"/>
      <c r="H428" s="611"/>
      <c r="I428" s="611"/>
      <c r="J428" s="611"/>
      <c r="K428" s="611"/>
      <c r="L428" s="1177"/>
      <c r="M428" s="1172">
        <f>+'[1]NEW-Tables 80-86'!BA193</f>
        <v>153663.70944444445</v>
      </c>
    </row>
    <row r="429" spans="1:13" s="547" customFormat="1" ht="12.75" customHeight="1">
      <c r="A429" s="427"/>
      <c r="B429" s="609"/>
      <c r="C429" s="609"/>
      <c r="D429" s="609"/>
      <c r="E429" s="609"/>
      <c r="F429" s="609"/>
      <c r="G429" s="610"/>
      <c r="H429" s="611"/>
      <c r="I429" s="611"/>
      <c r="J429" s="611"/>
      <c r="K429" s="611"/>
      <c r="L429" s="1177"/>
      <c r="M429" s="1172">
        <f>+'[1]NEW-Tables 80-86'!BA194</f>
        <v>0</v>
      </c>
    </row>
    <row r="430" spans="1:13" s="547" customFormat="1" ht="12.75" customHeight="1">
      <c r="A430" s="427" t="s">
        <v>452</v>
      </c>
      <c r="B430" s="612">
        <f>IF($M430&gt;0,('Amounts Pivot Table'!S$6/$M430),0)</f>
        <v>6098.2984093191753</v>
      </c>
      <c r="C430" s="612">
        <f>IF($M430&gt;0,('Amounts Pivot Table'!S$9/$M430),0)</f>
        <v>239.38051265763025</v>
      </c>
      <c r="D430" s="612">
        <f>IF($M430&gt;0,('Amounts Pivot Table'!S$12/$M430),0)</f>
        <v>0</v>
      </c>
      <c r="E430" s="612">
        <f>IF($M430&gt;0,('Amounts Pivot Table'!S$15/$M430),0)</f>
        <v>3235.1315071550598</v>
      </c>
      <c r="F430" s="612">
        <f t="shared" ref="F430:F448" si="38">SUM(B430:E430)</f>
        <v>9572.810429131865</v>
      </c>
      <c r="G430" s="613">
        <f t="shared" ref="G430:G448" si="39">IF(B430&gt;0,RANK(B430,$B$430:$B$448),)</f>
        <v>1</v>
      </c>
      <c r="H430" s="614">
        <f t="shared" ref="H430:H448" si="40">IF(C430&gt;0,RANK(C430,$C$430:$C$448),)</f>
        <v>1</v>
      </c>
      <c r="I430" s="614">
        <f t="shared" ref="I430:I448" si="41">IF(D430&gt;0,RANK(D430,$D$430:$D$448),)</f>
        <v>0</v>
      </c>
      <c r="J430" s="614">
        <f t="shared" ref="J430:J448" si="42">IF(E430&gt;0,RANK(E430,$E$430:$E$448),)</f>
        <v>2</v>
      </c>
      <c r="K430" s="614">
        <f t="shared" ref="K430:K448" si="43">IF(F430&gt;0,RANK(F430,$F$430:$F$448),)</f>
        <v>1</v>
      </c>
      <c r="L430" s="1177"/>
      <c r="M430" s="1172">
        <f>+'[1]NEW-Tables 80-86'!BA195</f>
        <v>3883.0333333333328</v>
      </c>
    </row>
    <row r="431" spans="1:13" s="547" customFormat="1" ht="12.75" customHeight="1">
      <c r="A431" s="427" t="s">
        <v>466</v>
      </c>
      <c r="B431" s="612">
        <f>IF($M431&gt;0,('Amounts Pivot Table'!S$45/$M431),0)</f>
        <v>0</v>
      </c>
      <c r="C431" s="612">
        <f>IF($M431&gt;0,('Amounts Pivot Table'!S$48/$M431),0)</f>
        <v>0</v>
      </c>
      <c r="D431" s="612">
        <f>IF($M431&gt;0,('Amounts Pivot Table'!S$51/$M431),0)</f>
        <v>0</v>
      </c>
      <c r="E431" s="612">
        <f>IF($M431&gt;0,('Amounts Pivot Table'!S$54/$M431),0)</f>
        <v>0</v>
      </c>
      <c r="F431" s="612">
        <f t="shared" si="38"/>
        <v>0</v>
      </c>
      <c r="G431" s="613">
        <f t="shared" si="39"/>
        <v>0</v>
      </c>
      <c r="H431" s="614">
        <f t="shared" si="40"/>
        <v>0</v>
      </c>
      <c r="I431" s="614">
        <f t="shared" si="41"/>
        <v>0</v>
      </c>
      <c r="J431" s="614">
        <f t="shared" si="42"/>
        <v>0</v>
      </c>
      <c r="K431" s="614">
        <f t="shared" si="43"/>
        <v>0</v>
      </c>
      <c r="L431" s="1177"/>
      <c r="M431" s="1172">
        <f>+'[1]NEW-Tables 80-86'!BA196</f>
        <v>0</v>
      </c>
    </row>
    <row r="432" spans="1:13" s="547" customFormat="1" ht="12.75" customHeight="1">
      <c r="A432" s="427" t="s">
        <v>453</v>
      </c>
      <c r="B432" s="612">
        <f>IF($M432&gt;0,('Amounts Pivot Table'!S$84/$M432),0)</f>
        <v>0</v>
      </c>
      <c r="C432" s="612">
        <f>IF($M432&gt;0,('Amounts Pivot Table'!S$87/$M432),0)</f>
        <v>0</v>
      </c>
      <c r="D432" s="612">
        <f>IF($M432&gt;0,('Amounts Pivot Table'!S$90/$M432),0)</f>
        <v>0</v>
      </c>
      <c r="E432" s="612">
        <f>IF($M432&gt;0,('Amounts Pivot Table'!S$93/$M432),0)</f>
        <v>0</v>
      </c>
      <c r="F432" s="612">
        <f t="shared" si="38"/>
        <v>0</v>
      </c>
      <c r="G432" s="613">
        <f t="shared" si="39"/>
        <v>0</v>
      </c>
      <c r="H432" s="614">
        <f t="shared" si="40"/>
        <v>0</v>
      </c>
      <c r="I432" s="614">
        <f t="shared" si="41"/>
        <v>0</v>
      </c>
      <c r="J432" s="614">
        <f t="shared" si="42"/>
        <v>0</v>
      </c>
      <c r="K432" s="614">
        <f t="shared" si="43"/>
        <v>0</v>
      </c>
      <c r="L432" s="1177"/>
      <c r="M432" s="1172">
        <f>+'[1]NEW-Tables 80-86'!BA197</f>
        <v>0</v>
      </c>
    </row>
    <row r="433" spans="1:13" s="547" customFormat="1" ht="12.75" customHeight="1">
      <c r="A433" s="427" t="s">
        <v>460</v>
      </c>
      <c r="B433" s="612">
        <f>IF($M433&gt;0,('Amounts Pivot Table'!S$123/$M433),0)</f>
        <v>0</v>
      </c>
      <c r="C433" s="612">
        <f>IF($M433&gt;0,('Amounts Pivot Table'!S$126/$M433),0)</f>
        <v>0</v>
      </c>
      <c r="D433" s="612">
        <f>IF($M433&gt;0,('Amounts Pivot Table'!S$129/$M433),0)</f>
        <v>0</v>
      </c>
      <c r="E433" s="612">
        <f>IF($M433&gt;0,('Amounts Pivot Table'!S$132/$M433),0)</f>
        <v>0</v>
      </c>
      <c r="F433" s="612">
        <f t="shared" si="38"/>
        <v>0</v>
      </c>
      <c r="G433" s="613">
        <f t="shared" si="39"/>
        <v>0</v>
      </c>
      <c r="H433" s="614">
        <f t="shared" si="40"/>
        <v>0</v>
      </c>
      <c r="I433" s="614">
        <f t="shared" si="41"/>
        <v>0</v>
      </c>
      <c r="J433" s="614">
        <f t="shared" si="42"/>
        <v>0</v>
      </c>
      <c r="K433" s="614">
        <f t="shared" si="43"/>
        <v>0</v>
      </c>
      <c r="L433" s="1177"/>
      <c r="M433" s="1172">
        <f>+'[1]NEW-Tables 80-86'!BA198</f>
        <v>0</v>
      </c>
    </row>
    <row r="434" spans="1:13" s="547" customFormat="1" ht="12.75" customHeight="1">
      <c r="A434" s="427"/>
      <c r="B434" s="612"/>
      <c r="C434" s="612"/>
      <c r="D434" s="612"/>
      <c r="E434" s="612"/>
      <c r="F434" s="612"/>
      <c r="G434" s="613"/>
      <c r="H434" s="614"/>
      <c r="I434" s="614"/>
      <c r="J434" s="614"/>
      <c r="K434" s="614"/>
      <c r="L434" s="1177"/>
      <c r="M434" s="1172">
        <f>+'[1]NEW-Tables 80-86'!BA199</f>
        <v>0</v>
      </c>
    </row>
    <row r="435" spans="1:13" s="547" customFormat="1" ht="12.75" customHeight="1">
      <c r="A435" s="427" t="s">
        <v>461</v>
      </c>
      <c r="B435" s="612">
        <f>IF($M435&gt;0,('Amounts Pivot Table'!S$162/$M435),0)</f>
        <v>3412.9996758457019</v>
      </c>
      <c r="C435" s="612">
        <f>IF($M435&gt;0,('Amounts Pivot Table'!S$165/$M435),0)</f>
        <v>0</v>
      </c>
      <c r="D435" s="612">
        <f>IF($M435&gt;0,('Amounts Pivot Table'!S$168/$M435),0)</f>
        <v>0</v>
      </c>
      <c r="E435" s="612">
        <f>IF($M435&gt;0,('Amounts Pivot Table'!S$171/$M435),0)</f>
        <v>2925.5187590151904</v>
      </c>
      <c r="F435" s="612">
        <f t="shared" si="38"/>
        <v>6338.5184348608927</v>
      </c>
      <c r="G435" s="613">
        <f t="shared" si="39"/>
        <v>6</v>
      </c>
      <c r="H435" s="614">
        <f t="shared" si="40"/>
        <v>0</v>
      </c>
      <c r="I435" s="614">
        <f t="shared" si="41"/>
        <v>0</v>
      </c>
      <c r="J435" s="614">
        <f t="shared" si="42"/>
        <v>3</v>
      </c>
      <c r="K435" s="617">
        <f t="shared" si="43"/>
        <v>3</v>
      </c>
      <c r="L435" s="1177"/>
      <c r="M435" s="1172">
        <f>+'[1]NEW-Tables 80-86'!BA200</f>
        <v>87173.848888888897</v>
      </c>
    </row>
    <row r="436" spans="1:13" s="547" customFormat="1" ht="12.75" customHeight="1">
      <c r="A436" s="427" t="s">
        <v>454</v>
      </c>
      <c r="B436" s="612">
        <f>IF($M436&gt;0,('Amounts Pivot Table'!S$201/$M436),0)</f>
        <v>4289.4265803882527</v>
      </c>
      <c r="C436" s="612">
        <f>IF($M436&gt;0,('Amounts Pivot Table'!S$204/$M436),0)</f>
        <v>0</v>
      </c>
      <c r="D436" s="612">
        <f>IF($M436&gt;0,('Amounts Pivot Table'!S$207/$M436),0)</f>
        <v>0</v>
      </c>
      <c r="E436" s="612">
        <f>IF($M436&gt;0,('Amounts Pivot Table'!S$210/$M436),0)</f>
        <v>3308.3759446128784</v>
      </c>
      <c r="F436" s="612">
        <f t="shared" si="38"/>
        <v>7597.8025250011306</v>
      </c>
      <c r="G436" s="613">
        <f t="shared" si="39"/>
        <v>2</v>
      </c>
      <c r="H436" s="614">
        <f t="shared" si="40"/>
        <v>0</v>
      </c>
      <c r="I436" s="614">
        <f t="shared" si="41"/>
        <v>0</v>
      </c>
      <c r="J436" s="614">
        <f t="shared" si="42"/>
        <v>1</v>
      </c>
      <c r="K436" s="614">
        <f t="shared" si="43"/>
        <v>2</v>
      </c>
      <c r="L436" s="1177"/>
      <c r="M436" s="1172">
        <f>+'[1]NEW-Tables 80-86'!BA201</f>
        <v>3683.1666666666665</v>
      </c>
    </row>
    <row r="437" spans="1:13" s="547" customFormat="1" ht="12.75" customHeight="1">
      <c r="A437" s="427" t="s">
        <v>462</v>
      </c>
      <c r="B437" s="612">
        <f>IF($M437&gt;0,('Amounts Pivot Table'!S$240/$M437),0)</f>
        <v>3494.4251062708586</v>
      </c>
      <c r="C437" s="612">
        <f>IF($M437&gt;0,('Amounts Pivot Table'!S$243/$M437),0)</f>
        <v>0</v>
      </c>
      <c r="D437" s="612">
        <f>IF($M437&gt;0,('Amounts Pivot Table'!S$246/$M437),0)</f>
        <v>0</v>
      </c>
      <c r="E437" s="612">
        <f>IF($M437&gt;0,('Amounts Pivot Table'!S$249/$M437),0)</f>
        <v>945.4916853535392</v>
      </c>
      <c r="F437" s="612">
        <f t="shared" si="38"/>
        <v>4439.9167916243978</v>
      </c>
      <c r="G437" s="613">
        <f t="shared" si="39"/>
        <v>5</v>
      </c>
      <c r="H437" s="614">
        <f t="shared" si="40"/>
        <v>0</v>
      </c>
      <c r="I437" s="614">
        <f t="shared" si="41"/>
        <v>0</v>
      </c>
      <c r="J437" s="614">
        <f t="shared" si="42"/>
        <v>6</v>
      </c>
      <c r="K437" s="614">
        <f t="shared" si="43"/>
        <v>6</v>
      </c>
      <c r="L437" s="1177"/>
      <c r="M437" s="1172">
        <f>+'[1]NEW-Tables 80-86'!BA202</f>
        <v>19607.000555555554</v>
      </c>
    </row>
    <row r="438" spans="1:13" s="547" customFormat="1" ht="12.75" customHeight="1">
      <c r="A438" s="427" t="s">
        <v>465</v>
      </c>
      <c r="B438" s="612">
        <f>IF($M438&gt;0,('Amounts Pivot Table'!S$279/$M438),0)</f>
        <v>0</v>
      </c>
      <c r="C438" s="612">
        <f>IF($M438&gt;0,('Amounts Pivot Table'!S$282/$M438),0)</f>
        <v>0</v>
      </c>
      <c r="D438" s="612">
        <f>IF($M438&gt;0,('Amounts Pivot Table'!S$285/$M438),0)</f>
        <v>0</v>
      </c>
      <c r="E438" s="612">
        <f>IF($M438&gt;0,('Amounts Pivot Table'!S$288/$M438),0)</f>
        <v>0</v>
      </c>
      <c r="F438" s="612">
        <f t="shared" si="38"/>
        <v>0</v>
      </c>
      <c r="G438" s="613">
        <f t="shared" si="39"/>
        <v>0</v>
      </c>
      <c r="H438" s="614">
        <f t="shared" si="40"/>
        <v>0</v>
      </c>
      <c r="I438" s="614">
        <f t="shared" si="41"/>
        <v>0</v>
      </c>
      <c r="J438" s="614">
        <f t="shared" si="42"/>
        <v>0</v>
      </c>
      <c r="K438" s="614">
        <f t="shared" si="43"/>
        <v>0</v>
      </c>
      <c r="L438" s="1177"/>
      <c r="M438" s="1172">
        <f>+'[1]NEW-Tables 80-86'!BA203</f>
        <v>0</v>
      </c>
    </row>
    <row r="439" spans="1:13" s="547" customFormat="1" ht="12.75" customHeight="1">
      <c r="A439" s="427"/>
      <c r="B439" s="612"/>
      <c r="C439" s="612"/>
      <c r="D439" s="612"/>
      <c r="E439" s="612"/>
      <c r="F439" s="612"/>
      <c r="G439" s="613"/>
      <c r="H439" s="614"/>
      <c r="I439" s="614"/>
      <c r="J439" s="614"/>
      <c r="K439" s="614"/>
      <c r="L439" s="1177"/>
      <c r="M439" s="1172">
        <f>+'[1]NEW-Tables 80-86'!BA204</f>
        <v>0</v>
      </c>
    </row>
    <row r="440" spans="1:13" s="547" customFormat="1" ht="12.75" customHeight="1">
      <c r="A440" s="427" t="s">
        <v>455</v>
      </c>
      <c r="B440" s="612">
        <f>IF($M440&gt;0,('Amounts Pivot Table'!S$318/$M440),0)</f>
        <v>0</v>
      </c>
      <c r="C440" s="612">
        <f>IF($M440&gt;0,('Amounts Pivot Table'!S$321/$M440),0)</f>
        <v>0</v>
      </c>
      <c r="D440" s="612">
        <f>IF($M440&gt;0,('Amounts Pivot Table'!S$324/$M440),0)</f>
        <v>0</v>
      </c>
      <c r="E440" s="612">
        <f>IF($M440&gt;0,('Amounts Pivot Table'!S$327/$M440),0)</f>
        <v>0</v>
      </c>
      <c r="F440" s="612">
        <f t="shared" si="38"/>
        <v>0</v>
      </c>
      <c r="G440" s="613">
        <f t="shared" si="39"/>
        <v>0</v>
      </c>
      <c r="H440" s="614">
        <f t="shared" si="40"/>
        <v>0</v>
      </c>
      <c r="I440" s="614">
        <f t="shared" si="41"/>
        <v>0</v>
      </c>
      <c r="J440" s="614">
        <f t="shared" si="42"/>
        <v>0</v>
      </c>
      <c r="K440" s="614">
        <f t="shared" si="43"/>
        <v>0</v>
      </c>
      <c r="L440" s="1177"/>
      <c r="M440" s="1172">
        <f>+'[1]NEW-Tables 80-86'!BA205</f>
        <v>0</v>
      </c>
    </row>
    <row r="441" spans="1:13" s="547" customFormat="1" ht="12.75" customHeight="1">
      <c r="A441" s="427" t="s">
        <v>456</v>
      </c>
      <c r="B441" s="612">
        <f>IF($M441&gt;0,('Amounts Pivot Table'!S$357/$M441),0)</f>
        <v>0</v>
      </c>
      <c r="C441" s="612">
        <f>IF($M441&gt;0,('Amounts Pivot Table'!S$360/$M441),0)</f>
        <v>0</v>
      </c>
      <c r="D441" s="612">
        <f>IF($M441&gt;0,('Amounts Pivot Table'!S$363/$M441),0)</f>
        <v>0</v>
      </c>
      <c r="E441" s="612">
        <f>IF($M441&gt;0,('Amounts Pivot Table'!S$366/$M441),0)</f>
        <v>0</v>
      </c>
      <c r="F441" s="612">
        <f t="shared" si="38"/>
        <v>0</v>
      </c>
      <c r="G441" s="613">
        <f t="shared" si="39"/>
        <v>0</v>
      </c>
      <c r="H441" s="614">
        <f t="shared" si="40"/>
        <v>0</v>
      </c>
      <c r="I441" s="614">
        <f t="shared" si="41"/>
        <v>0</v>
      </c>
      <c r="J441" s="614">
        <f t="shared" si="42"/>
        <v>0</v>
      </c>
      <c r="K441" s="614">
        <f t="shared" si="43"/>
        <v>0</v>
      </c>
      <c r="L441" s="1177"/>
      <c r="M441" s="1172">
        <f>+'[1]NEW-Tables 80-86'!BA206</f>
        <v>0</v>
      </c>
    </row>
    <row r="442" spans="1:13" s="547" customFormat="1" ht="12.75" customHeight="1">
      <c r="A442" s="427" t="s">
        <v>463</v>
      </c>
      <c r="B442" s="612">
        <f>IF($M442&gt;0,('Amounts Pivot Table'!S$396/$M442),0)</f>
        <v>4031.9100970367408</v>
      </c>
      <c r="C442" s="612">
        <f>IF($M442&gt;0,('Amounts Pivot Table'!S$399/$M442),0)</f>
        <v>0</v>
      </c>
      <c r="D442" s="612">
        <f>IF($M442&gt;0,('Amounts Pivot Table'!S$402/$M442),0)</f>
        <v>0</v>
      </c>
      <c r="E442" s="612">
        <f>IF($M442&gt;0,('Amounts Pivot Table'!S$405/$M442),0)</f>
        <v>1016.5999061334077</v>
      </c>
      <c r="F442" s="612">
        <f t="shared" si="38"/>
        <v>5048.5100031701486</v>
      </c>
      <c r="G442" s="613">
        <f t="shared" si="39"/>
        <v>4</v>
      </c>
      <c r="H442" s="614">
        <f t="shared" si="40"/>
        <v>0</v>
      </c>
      <c r="I442" s="614">
        <f t="shared" si="41"/>
        <v>0</v>
      </c>
      <c r="J442" s="614">
        <f t="shared" si="42"/>
        <v>5</v>
      </c>
      <c r="K442" s="614">
        <f t="shared" si="43"/>
        <v>5</v>
      </c>
      <c r="L442" s="1177"/>
      <c r="M442" s="1172">
        <f>+'[1]NEW-Tables 80-86'!BA207</f>
        <v>26479.661111111109</v>
      </c>
    </row>
    <row r="443" spans="1:13" s="547" customFormat="1" ht="12.75" customHeight="1">
      <c r="A443" s="427" t="s">
        <v>457</v>
      </c>
      <c r="B443" s="612">
        <f>IF($M443&gt;0,('Amounts Pivot Table'!S$435/$M443),0)</f>
        <v>0</v>
      </c>
      <c r="C443" s="612">
        <f>IF($M443&gt;0,('Amounts Pivot Table'!S$438/$M443),0)</f>
        <v>0</v>
      </c>
      <c r="D443" s="612">
        <f>IF($M443&gt;0,('Amounts Pivot Table'!S$441/$M443),0)</f>
        <v>0</v>
      </c>
      <c r="E443" s="612">
        <f>IF($M443&gt;0,('Amounts Pivot Table'!S$444/$M443),0)</f>
        <v>0</v>
      </c>
      <c r="F443" s="612">
        <f t="shared" si="38"/>
        <v>0</v>
      </c>
      <c r="G443" s="613">
        <f t="shared" si="39"/>
        <v>0</v>
      </c>
      <c r="H443" s="614">
        <f t="shared" si="40"/>
        <v>0</v>
      </c>
      <c r="I443" s="614">
        <f t="shared" si="41"/>
        <v>0</v>
      </c>
      <c r="J443" s="614">
        <f t="shared" si="42"/>
        <v>0</v>
      </c>
      <c r="K443" s="614">
        <f t="shared" si="43"/>
        <v>0</v>
      </c>
      <c r="L443" s="1177"/>
      <c r="M443" s="1172">
        <f>+'[1]NEW-Tables 80-86'!BA208</f>
        <v>0</v>
      </c>
    </row>
    <row r="444" spans="1:13" s="547" customFormat="1" ht="12.75" customHeight="1">
      <c r="A444" s="427"/>
      <c r="B444" s="612"/>
      <c r="C444" s="612"/>
      <c r="D444" s="612"/>
      <c r="E444" s="612"/>
      <c r="F444" s="612"/>
      <c r="G444" s="613"/>
      <c r="H444" s="614"/>
      <c r="I444" s="614"/>
      <c r="J444" s="614"/>
      <c r="K444" s="614"/>
      <c r="L444" s="1177"/>
      <c r="M444" s="1172">
        <f>+'[1]NEW-Tables 80-86'!BA209</f>
        <v>0</v>
      </c>
    </row>
    <row r="445" spans="1:13" s="547" customFormat="1" ht="12.75" customHeight="1">
      <c r="A445" s="427" t="s">
        <v>130</v>
      </c>
      <c r="B445" s="612">
        <f>IF($M445&gt;0,('Amounts Pivot Table'!S$475/$M445),0)</f>
        <v>4241.8637308702919</v>
      </c>
      <c r="C445" s="612">
        <f>IF($M445&gt;0,('Amounts Pivot Table'!S$478/$M445),0)</f>
        <v>0</v>
      </c>
      <c r="D445" s="612">
        <f>IF($M445&gt;0,('Amounts Pivot Table'!S$481/$M445),0)</f>
        <v>0</v>
      </c>
      <c r="E445" s="612">
        <f>IF($M445&gt;0,('Amounts Pivot Table'!S$484/$M445),0)</f>
        <v>1956.220470014669</v>
      </c>
      <c r="F445" s="612">
        <f t="shared" si="38"/>
        <v>6198.0842008849613</v>
      </c>
      <c r="G445" s="613">
        <f t="shared" si="39"/>
        <v>3</v>
      </c>
      <c r="H445" s="614">
        <f t="shared" si="40"/>
        <v>0</v>
      </c>
      <c r="I445" s="614">
        <f t="shared" si="41"/>
        <v>0</v>
      </c>
      <c r="J445" s="614">
        <f t="shared" si="42"/>
        <v>4</v>
      </c>
      <c r="K445" s="614">
        <f t="shared" si="43"/>
        <v>4</v>
      </c>
      <c r="L445" s="1177"/>
      <c r="M445" s="1172">
        <f>+'[1]NEW-Tables 80-86'!BA210</f>
        <v>12836.998888888886</v>
      </c>
    </row>
    <row r="446" spans="1:13" s="76" customFormat="1" ht="12.75" customHeight="1">
      <c r="A446" s="427" t="s">
        <v>458</v>
      </c>
      <c r="B446" s="612">
        <f>IF($M446&gt;0,('Amounts Pivot Table'!S$514/$M446),0)</f>
        <v>0</v>
      </c>
      <c r="C446" s="612">
        <f>IF($M446&gt;0,('Amounts Pivot Table'!S$517/$M446),0)</f>
        <v>0</v>
      </c>
      <c r="D446" s="612">
        <f>IF($M446&gt;0,('Amounts Pivot Table'!S$520/$M446),0)</f>
        <v>0</v>
      </c>
      <c r="E446" s="612">
        <f>IF($M446&gt;0,('Amounts Pivot Table'!S$523/$M446),0)</f>
        <v>0</v>
      </c>
      <c r="F446" s="612">
        <f t="shared" si="38"/>
        <v>0</v>
      </c>
      <c r="G446" s="613">
        <f t="shared" si="39"/>
        <v>0</v>
      </c>
      <c r="H446" s="614">
        <f t="shared" si="40"/>
        <v>0</v>
      </c>
      <c r="I446" s="614">
        <f t="shared" si="41"/>
        <v>0</v>
      </c>
      <c r="J446" s="614">
        <f t="shared" si="42"/>
        <v>0</v>
      </c>
      <c r="K446" s="614">
        <f t="shared" si="43"/>
        <v>0</v>
      </c>
      <c r="L446" s="170"/>
      <c r="M446" s="1172">
        <f>+'[1]NEW-Tables 80-86'!BA211</f>
        <v>0</v>
      </c>
    </row>
    <row r="447" spans="1:13" s="547" customFormat="1" ht="12.75" customHeight="1">
      <c r="A447" s="427" t="s">
        <v>459</v>
      </c>
      <c r="B447" s="612">
        <f>IF($M447&gt;0,('Amounts Pivot Table'!S$553/$M447),0)</f>
        <v>0</v>
      </c>
      <c r="C447" s="612">
        <f>IF($M447&gt;0,('Amounts Pivot Table'!S$556/$M447),0)</f>
        <v>0</v>
      </c>
      <c r="D447" s="612">
        <f>IF($M447&gt;0,('Amounts Pivot Table'!S$559/$M447),0)</f>
        <v>0</v>
      </c>
      <c r="E447" s="612">
        <f>IF($M447&gt;0,('Amounts Pivot Table'!S$562/$M447),0)</f>
        <v>0</v>
      </c>
      <c r="F447" s="612">
        <f t="shared" si="38"/>
        <v>0</v>
      </c>
      <c r="G447" s="613">
        <f t="shared" si="39"/>
        <v>0</v>
      </c>
      <c r="H447" s="614">
        <f t="shared" si="40"/>
        <v>0</v>
      </c>
      <c r="I447" s="614">
        <f t="shared" si="41"/>
        <v>0</v>
      </c>
      <c r="J447" s="614">
        <f t="shared" si="42"/>
        <v>0</v>
      </c>
      <c r="K447" s="614">
        <f t="shared" si="43"/>
        <v>0</v>
      </c>
      <c r="L447" s="1178"/>
      <c r="M447" s="1172">
        <f>+'[1]NEW-Tables 80-86'!BA212</f>
        <v>0</v>
      </c>
    </row>
    <row r="448" spans="1:13" s="547" customFormat="1" ht="15" customHeight="1">
      <c r="A448" s="428" t="s">
        <v>464</v>
      </c>
      <c r="B448" s="618">
        <f>IF($M448&gt;0,('Amounts Pivot Table'!S$592/$M448),0)</f>
        <v>0</v>
      </c>
      <c r="C448" s="618">
        <f>IF($M448&gt;0,('Amounts Pivot Table'!S$595/$M448),0)</f>
        <v>0</v>
      </c>
      <c r="D448" s="618">
        <f>IF($M448&gt;0,('Amounts Pivot Table'!S$598/$M448),0)</f>
        <v>0</v>
      </c>
      <c r="E448" s="618">
        <f>IF($M448&gt;0,('Amounts Pivot Table'!S$601/$M448),0)</f>
        <v>0</v>
      </c>
      <c r="F448" s="619">
        <f t="shared" si="38"/>
        <v>0</v>
      </c>
      <c r="G448" s="620">
        <f t="shared" si="39"/>
        <v>0</v>
      </c>
      <c r="H448" s="621">
        <f t="shared" si="40"/>
        <v>0</v>
      </c>
      <c r="I448" s="621">
        <f t="shared" si="41"/>
        <v>0</v>
      </c>
      <c r="J448" s="621">
        <f t="shared" si="42"/>
        <v>0</v>
      </c>
      <c r="K448" s="621">
        <f t="shared" si="43"/>
        <v>0</v>
      </c>
      <c r="L448" s="1181"/>
      <c r="M448" s="1172">
        <f>+'[1]NEW-Tables 80-86'!BA213</f>
        <v>0</v>
      </c>
    </row>
    <row r="449" spans="1:13" s="76" customFormat="1" ht="34.5" customHeight="1">
      <c r="A449" s="1405" t="s">
        <v>25</v>
      </c>
      <c r="B449" s="1450"/>
      <c r="C449" s="1450"/>
      <c r="D449" s="1450"/>
      <c r="E449" s="1450"/>
      <c r="F449" s="1450"/>
      <c r="G449" s="1450"/>
      <c r="H449" s="1450"/>
      <c r="I449" s="1450"/>
      <c r="J449" s="1450"/>
      <c r="K449" s="1450"/>
      <c r="L449" s="170"/>
      <c r="M449" s="1172"/>
    </row>
    <row r="450" spans="1:13" s="207" customFormat="1" ht="13.5" customHeight="1">
      <c r="A450" s="1405" t="s">
        <v>80</v>
      </c>
      <c r="B450" s="1450"/>
      <c r="C450" s="1450"/>
      <c r="D450" s="1450"/>
      <c r="E450" s="1450"/>
      <c r="F450" s="1450"/>
      <c r="G450" s="1450"/>
      <c r="H450" s="1450"/>
      <c r="I450" s="1450"/>
      <c r="J450" s="1450"/>
      <c r="K450" s="1450"/>
      <c r="L450" s="206"/>
      <c r="M450" s="1172"/>
    </row>
    <row r="451" spans="1:13" s="547" customFormat="1" ht="13.5" customHeight="1">
      <c r="A451" s="1405" t="s">
        <v>332</v>
      </c>
      <c r="B451" s="1456"/>
      <c r="C451" s="1456"/>
      <c r="D451" s="1456"/>
      <c r="E451" s="1456"/>
      <c r="F451" s="1456"/>
      <c r="G451" s="1457"/>
      <c r="H451" s="1457"/>
      <c r="I451" s="1457"/>
      <c r="J451" s="1457"/>
      <c r="K451" s="1457"/>
      <c r="L451" s="1181"/>
      <c r="M451" s="1172"/>
    </row>
    <row r="452" spans="1:13" s="547" customFormat="1" ht="13.5" customHeight="1">
      <c r="A452" s="1167"/>
      <c r="B452" s="1180"/>
      <c r="C452" s="1180"/>
      <c r="D452" s="1180"/>
      <c r="E452" s="1180"/>
      <c r="F452" s="1180"/>
      <c r="G452" s="1182"/>
      <c r="H452" s="1182"/>
      <c r="I452" s="1182"/>
      <c r="J452" s="1182"/>
      <c r="K452" s="1182"/>
      <c r="L452" s="1181"/>
      <c r="M452" s="1172"/>
    </row>
    <row r="453" spans="1:13" s="547" customFormat="1">
      <c r="A453" s="1167"/>
      <c r="B453" s="1180"/>
      <c r="C453" s="1180"/>
      <c r="D453" s="1180"/>
      <c r="E453" s="1180"/>
      <c r="F453" s="1180"/>
      <c r="G453" s="1182"/>
      <c r="H453" s="1182"/>
      <c r="I453" s="1182"/>
      <c r="J453" s="1182"/>
      <c r="K453" s="591" t="s">
        <v>2018</v>
      </c>
      <c r="L453" s="427"/>
      <c r="M453" s="1172"/>
    </row>
    <row r="454" spans="1:13" s="547" customFormat="1" ht="18.75" customHeight="1">
      <c r="A454" s="1429" t="s">
        <v>543</v>
      </c>
      <c r="B454" s="1429"/>
      <c r="C454" s="1429"/>
      <c r="D454" s="1429"/>
      <c r="E454" s="1429"/>
      <c r="F454" s="1429"/>
      <c r="G454" s="1429"/>
      <c r="H454" s="1429"/>
      <c r="I454" s="1429"/>
      <c r="J454" s="1429"/>
      <c r="K454" s="1429"/>
      <c r="L454" s="1178"/>
      <c r="M454" s="1172"/>
    </row>
    <row r="455" spans="1:13" s="547" customFormat="1" ht="18.75">
      <c r="A455" s="1429" t="s">
        <v>26</v>
      </c>
      <c r="B455" s="1429"/>
      <c r="C455" s="1429"/>
      <c r="D455" s="1429"/>
      <c r="E455" s="1429"/>
      <c r="F455" s="1429"/>
      <c r="G455" s="1429"/>
      <c r="H455" s="1429"/>
      <c r="I455" s="1429"/>
      <c r="J455" s="1429"/>
      <c r="K455" s="1429"/>
      <c r="L455" s="166"/>
      <c r="M455" s="1172"/>
    </row>
    <row r="456" spans="1:13" s="547" customFormat="1" ht="15.75" customHeight="1">
      <c r="A456" s="1429" t="s">
        <v>515</v>
      </c>
      <c r="B456" s="1429"/>
      <c r="C456" s="1429"/>
      <c r="D456" s="1429"/>
      <c r="E456" s="1429"/>
      <c r="F456" s="1429"/>
      <c r="G456" s="1429"/>
      <c r="H456" s="1429"/>
      <c r="I456" s="1429"/>
      <c r="J456" s="1429"/>
      <c r="K456" s="1429"/>
      <c r="L456" s="166"/>
      <c r="M456" s="1183"/>
    </row>
    <row r="457" spans="1:13" s="112" customFormat="1" ht="8.25">
      <c r="A457" s="195"/>
      <c r="B457" s="195"/>
      <c r="C457" s="195"/>
      <c r="D457" s="195"/>
      <c r="E457" s="195"/>
      <c r="F457" s="195"/>
      <c r="G457" s="196"/>
      <c r="H457" s="195"/>
      <c r="I457" s="195"/>
      <c r="J457" s="195"/>
      <c r="K457" s="195"/>
      <c r="L457" s="197"/>
      <c r="M457" s="1197"/>
    </row>
    <row r="458" spans="1:13" s="547" customFormat="1" ht="14.25" customHeight="1">
      <c r="A458" s="60"/>
      <c r="B458" s="1463" t="s">
        <v>81</v>
      </c>
      <c r="C458" s="1464"/>
      <c r="D458" s="1464"/>
      <c r="E458" s="1464"/>
      <c r="F458" s="1464"/>
      <c r="G458" s="57" t="s">
        <v>178</v>
      </c>
      <c r="H458" s="58"/>
      <c r="I458" s="58"/>
      <c r="J458" s="58"/>
      <c r="K458" s="58"/>
      <c r="L458" s="174"/>
      <c r="M458" s="1172"/>
    </row>
    <row r="459" spans="1:13" s="393" customFormat="1" ht="45">
      <c r="A459" s="1173"/>
      <c r="B459" s="51" t="s">
        <v>126</v>
      </c>
      <c r="C459" s="52" t="s">
        <v>128</v>
      </c>
      <c r="D459" s="52" t="s">
        <v>127</v>
      </c>
      <c r="E459" s="52" t="s">
        <v>438</v>
      </c>
      <c r="F459" s="52" t="s">
        <v>138</v>
      </c>
      <c r="G459" s="53" t="s">
        <v>126</v>
      </c>
      <c r="H459" s="52" t="s">
        <v>128</v>
      </c>
      <c r="I459" s="52" t="s">
        <v>127</v>
      </c>
      <c r="J459" s="52" t="s">
        <v>438</v>
      </c>
      <c r="K459" s="52" t="s">
        <v>138</v>
      </c>
      <c r="L459" s="1175"/>
      <c r="M459" s="1184" t="s">
        <v>388</v>
      </c>
    </row>
    <row r="460" spans="1:13" s="547" customFormat="1" ht="14.25">
      <c r="A460" s="427" t="s">
        <v>82</v>
      </c>
      <c r="B460" s="609">
        <f>IF($M460&gt;0,('Amounts Pivot Table'!P$630/$M460),0)</f>
        <v>3461.2581154383106</v>
      </c>
      <c r="C460" s="609">
        <f>IF($M460&gt;0,('Amounts Pivot Table'!P$633/$M460),0)</f>
        <v>0.57622526001954733</v>
      </c>
      <c r="D460" s="609">
        <f>IF($M460&gt;0,('Amounts Pivot Table'!P$636/$M460),0)</f>
        <v>0</v>
      </c>
      <c r="E460" s="609">
        <f>IF($M460&gt;0,('Amounts Pivot Table'!P$639/$M460),0)</f>
        <v>2795.6489548386826</v>
      </c>
      <c r="F460" s="609">
        <f>SUM(B460:E460)</f>
        <v>6257.483295537013</v>
      </c>
      <c r="G460" s="1198"/>
      <c r="H460" s="611"/>
      <c r="I460" s="611"/>
      <c r="J460" s="611"/>
      <c r="K460" s="611"/>
      <c r="L460" s="1177"/>
      <c r="M460" s="1172">
        <f>+'[1]NEW-Tables 80-86'!AX193</f>
        <v>99348.300000000017</v>
      </c>
    </row>
    <row r="461" spans="1:13" s="112" customFormat="1">
      <c r="A461" s="195"/>
      <c r="B461" s="195"/>
      <c r="C461" s="195"/>
      <c r="D461" s="195"/>
      <c r="E461" s="195"/>
      <c r="F461" s="195"/>
      <c r="G461" s="199"/>
      <c r="H461" s="195"/>
      <c r="I461" s="195"/>
      <c r="J461" s="195"/>
      <c r="K461" s="195"/>
      <c r="L461" s="197"/>
      <c r="M461" s="1172">
        <f>+'[1]NEW-Tables 80-86'!AX194</f>
        <v>0</v>
      </c>
    </row>
    <row r="462" spans="1:13" s="547" customFormat="1" ht="12.75" customHeight="1">
      <c r="A462" s="427" t="s">
        <v>452</v>
      </c>
      <c r="B462" s="612">
        <f>IF($M462&gt;0,('Amounts Pivot Table'!P$6/$M462),0)</f>
        <v>6592.5066448579028</v>
      </c>
      <c r="C462" s="612">
        <f>IF($M462&gt;0,('Amounts Pivot Table'!P$9/$M462),0)</f>
        <v>39.015197982689294</v>
      </c>
      <c r="D462" s="612">
        <f>IF($M462&gt;0,('Amounts Pivot Table'!P$12/$M462),0)</f>
        <v>0</v>
      </c>
      <c r="E462" s="612">
        <f>IF($M462&gt;0,('Amounts Pivot Table'!P$15/$M462),0)</f>
        <v>3099.7240782389422</v>
      </c>
      <c r="F462" s="612">
        <f t="shared" ref="F462:F480" si="44">SUM(B462:E462)</f>
        <v>9731.245921079535</v>
      </c>
      <c r="G462" s="613">
        <f>IF(B462&gt;0,RANK(B462,$B$462:$B$480),)</f>
        <v>1</v>
      </c>
      <c r="H462" s="614">
        <f>IF(C462&gt;0,RANK(C462,$C$462:$C$480),)</f>
        <v>1</v>
      </c>
      <c r="I462" s="614">
        <f>IF(D462&gt;0,RANK(D462,$D$462:$D$480),)</f>
        <v>0</v>
      </c>
      <c r="J462" s="614">
        <f>IF(E462&gt;0,RANK(E462,$E$462:$E$480),)</f>
        <v>2</v>
      </c>
      <c r="K462" s="614">
        <f>IF(F462&gt;0,RANK(F462,$F$462:$F$480),)</f>
        <v>1</v>
      </c>
      <c r="L462" s="1177"/>
      <c r="M462" s="1172">
        <f>+'[1]NEW-Tables 80-86'!AX195</f>
        <v>1467.3</v>
      </c>
    </row>
    <row r="463" spans="1:13" s="547" customFormat="1" ht="12.75" customHeight="1">
      <c r="A463" s="427" t="s">
        <v>466</v>
      </c>
      <c r="B463" s="612">
        <f>IF($M463&gt;0,('Amounts Pivot Table'!P$45/$M463),0)</f>
        <v>0</v>
      </c>
      <c r="C463" s="612">
        <f>IF($M463&gt;0,('Amounts Pivot Table'!P$48/$M463),0)</f>
        <v>0</v>
      </c>
      <c r="D463" s="612">
        <f>IF($M463&gt;0,('Amounts Pivot Table'!P$51/$M463),0)</f>
        <v>0</v>
      </c>
      <c r="E463" s="612">
        <f>IF($M463&gt;0,('Amounts Pivot Table'!P$54/$M463),0)</f>
        <v>0</v>
      </c>
      <c r="F463" s="612">
        <f t="shared" si="44"/>
        <v>0</v>
      </c>
      <c r="G463" s="613">
        <f>IF(B463&gt;0,RANK(B463,$B$462:$B$480),)</f>
        <v>0</v>
      </c>
      <c r="H463" s="614">
        <f>IF(C463&gt;0,RANK(C463,$C$462:$C$480),)</f>
        <v>0</v>
      </c>
      <c r="I463" s="614">
        <f>IF(D463&gt;0,RANK(D463,$D$462:$D$480),)</f>
        <v>0</v>
      </c>
      <c r="J463" s="614">
        <f>IF(E463&gt;0,RANK(E463,$E$462:$E$480),)</f>
        <v>0</v>
      </c>
      <c r="K463" s="614">
        <f>IF(F463&gt;0,RANK(F463,$F$462:$F$480),)</f>
        <v>0</v>
      </c>
      <c r="L463" s="1177"/>
      <c r="M463" s="1172">
        <f>+'[1]NEW-Tables 80-86'!AX196</f>
        <v>0</v>
      </c>
    </row>
    <row r="464" spans="1:13" s="547" customFormat="1" ht="12.75" customHeight="1">
      <c r="A464" s="427" t="s">
        <v>453</v>
      </c>
      <c r="B464" s="612">
        <f>IF($M464&gt;0,('Amounts Pivot Table'!P$84/$M464),0)</f>
        <v>0</v>
      </c>
      <c r="C464" s="612">
        <f>IF($M464&gt;0,('Amounts Pivot Table'!P$87/$M464),0)</f>
        <v>0</v>
      </c>
      <c r="D464" s="612">
        <f>IF($M464&gt;0,('Amounts Pivot Table'!P$90/$M464),0)</f>
        <v>0</v>
      </c>
      <c r="E464" s="612">
        <f>IF($M464&gt;0,('Amounts Pivot Table'!P$93/$M464),0)</f>
        <v>0</v>
      </c>
      <c r="F464" s="612">
        <f t="shared" si="44"/>
        <v>0</v>
      </c>
      <c r="G464" s="613">
        <f>IF(B464&gt;0,RANK(B464,$B$462:$B$480),)</f>
        <v>0</v>
      </c>
      <c r="H464" s="614">
        <f>IF(C464&gt;0,RANK(C464,$C$462:$C$480),)</f>
        <v>0</v>
      </c>
      <c r="I464" s="614">
        <f>IF(D464&gt;0,RANK(D464,$D$462:$D$480),)</f>
        <v>0</v>
      </c>
      <c r="J464" s="614">
        <f>IF(E464&gt;0,RANK(E464,$E$462:$E$480),)</f>
        <v>0</v>
      </c>
      <c r="K464" s="614">
        <f>IF(F464&gt;0,RANK(F464,$F$462:$F$480),)</f>
        <v>0</v>
      </c>
      <c r="L464" s="176"/>
      <c r="M464" s="1172">
        <f>+'[1]NEW-Tables 80-86'!AX197</f>
        <v>0</v>
      </c>
    </row>
    <row r="465" spans="1:13" s="547" customFormat="1" ht="12.75" customHeight="1">
      <c r="A465" s="427" t="s">
        <v>460</v>
      </c>
      <c r="B465" s="612">
        <f>IF($M465&gt;0,('Amounts Pivot Table'!P$123/$M465),0)</f>
        <v>0</v>
      </c>
      <c r="C465" s="612">
        <f>IF($M465&gt;0,('Amounts Pivot Table'!P$126/$M465),0)</f>
        <v>0</v>
      </c>
      <c r="D465" s="612">
        <f>IF($M465&gt;0,('Amounts Pivot Table'!P$129/$M465),0)</f>
        <v>0</v>
      </c>
      <c r="E465" s="612">
        <f>IF($M465&gt;0,('Amounts Pivot Table'!P$132/$M465),0)</f>
        <v>0</v>
      </c>
      <c r="F465" s="612">
        <f t="shared" si="44"/>
        <v>0</v>
      </c>
      <c r="G465" s="613">
        <f>IF(B465&gt;0,RANK(B465,$B$462:$B$480),)</f>
        <v>0</v>
      </c>
      <c r="H465" s="614">
        <f>IF(C465&gt;0,RANK(C465,$C$462:$C$480),)</f>
        <v>0</v>
      </c>
      <c r="I465" s="614">
        <f>IF(D465&gt;0,RANK(D465,$D$462:$D$480),)</f>
        <v>0</v>
      </c>
      <c r="J465" s="614">
        <f>IF(E465&gt;0,RANK(E465,$E$462:$E$480),)</f>
        <v>0</v>
      </c>
      <c r="K465" s="614">
        <f>IF(F465&gt;0,RANK(F465,$F$462:$F$480),)</f>
        <v>0</v>
      </c>
      <c r="L465" s="1177"/>
      <c r="M465" s="1172">
        <f>+'[1]NEW-Tables 80-86'!AX198</f>
        <v>0</v>
      </c>
    </row>
    <row r="466" spans="1:13" s="112" customFormat="1">
      <c r="A466" s="195"/>
      <c r="B466" s="195"/>
      <c r="C466" s="195"/>
      <c r="D466" s="195"/>
      <c r="E466" s="195"/>
      <c r="F466" s="195"/>
      <c r="G466" s="199"/>
      <c r="H466" s="195"/>
      <c r="I466" s="195"/>
      <c r="J466" s="195"/>
      <c r="K466" s="195"/>
      <c r="L466" s="197"/>
      <c r="M466" s="1172">
        <f>+'[1]NEW-Tables 80-86'!AX199</f>
        <v>0</v>
      </c>
    </row>
    <row r="467" spans="1:13" s="547" customFormat="1" ht="12.75" customHeight="1">
      <c r="A467" s="427" t="s">
        <v>461</v>
      </c>
      <c r="B467" s="612">
        <f>IF($M467&gt;0,('Amounts Pivot Table'!P$162/$M467),0)</f>
        <v>3351.9961232201008</v>
      </c>
      <c r="C467" s="612">
        <f>IF($M467&gt;0,('Amounts Pivot Table'!P$165/$M467),0)</f>
        <v>0</v>
      </c>
      <c r="D467" s="612">
        <f>IF($M467&gt;0,('Amounts Pivot Table'!P$168/$M467),0)</f>
        <v>0</v>
      </c>
      <c r="E467" s="612">
        <f>IF($M467&gt;0,('Amounts Pivot Table'!P$171/$M467),0)</f>
        <v>2886.0966880818742</v>
      </c>
      <c r="F467" s="612">
        <f t="shared" si="44"/>
        <v>6238.0928113019745</v>
      </c>
      <c r="G467" s="613">
        <f>IF(B467&gt;0,RANK(B467,$B$462:$B$480),)</f>
        <v>5</v>
      </c>
      <c r="H467" s="614">
        <f>IF(C467&gt;0,RANK(C467,$C$462:$C$480),)</f>
        <v>0</v>
      </c>
      <c r="I467" s="614">
        <f>IF(D467&gt;0,RANK(D467,$D$462:$D$480),)</f>
        <v>0</v>
      </c>
      <c r="J467" s="614">
        <f>IF(E467&gt;0,RANK(E467,$E$462:$E$480),)</f>
        <v>3</v>
      </c>
      <c r="K467" s="614">
        <f>IF(F467&gt;0,RANK(F467,$F$462:$F$480),)</f>
        <v>3</v>
      </c>
      <c r="L467" s="176"/>
      <c r="M467" s="1172">
        <f>+'[1]NEW-Tables 80-86'!AX200</f>
        <v>86429.404444444459</v>
      </c>
    </row>
    <row r="468" spans="1:13" s="547" customFormat="1" ht="12.75" customHeight="1">
      <c r="A468" s="427" t="s">
        <v>454</v>
      </c>
      <c r="B468" s="612">
        <f>IF($M468&gt;0,('Amounts Pivot Table'!P$201/$M468),0)</f>
        <v>4289.4265803882527</v>
      </c>
      <c r="C468" s="612">
        <f>IF($M468&gt;0,('Amounts Pivot Table'!P$204/$M468),0)</f>
        <v>0</v>
      </c>
      <c r="D468" s="612">
        <f>IF($M468&gt;0,('Amounts Pivot Table'!P$207/$M468),0)</f>
        <v>0</v>
      </c>
      <c r="E468" s="612">
        <f>IF($M468&gt;0,('Amounts Pivot Table'!P$210/$M468),0)</f>
        <v>3308.3759446128784</v>
      </c>
      <c r="F468" s="612">
        <f t="shared" si="44"/>
        <v>7597.8025250011306</v>
      </c>
      <c r="G468" s="613">
        <f>IF(B468&gt;0,RANK(B468,$B$462:$B$480),)</f>
        <v>2</v>
      </c>
      <c r="H468" s="614">
        <f>IF(C468&gt;0,RANK(C468,$C$462:$C$480),)</f>
        <v>0</v>
      </c>
      <c r="I468" s="614">
        <f>IF(D468&gt;0,RANK(D468,$D$462:$D$480),)</f>
        <v>0</v>
      </c>
      <c r="J468" s="614">
        <f>IF(E468&gt;0,RANK(E468,$E$462:$E$480),)</f>
        <v>1</v>
      </c>
      <c r="K468" s="614">
        <f>IF(F468&gt;0,RANK(F468,$F$462:$F$480),)</f>
        <v>2</v>
      </c>
      <c r="L468" s="1177"/>
      <c r="M468" s="1172">
        <f>+'[1]NEW-Tables 80-86'!AX201</f>
        <v>3683.1666666666665</v>
      </c>
    </row>
    <row r="469" spans="1:13" s="547" customFormat="1" ht="12.75" customHeight="1">
      <c r="A469" s="427" t="s">
        <v>462</v>
      </c>
      <c r="B469" s="612">
        <f>IF($M469&gt;0,('Amounts Pivot Table'!P$240/$M469),0)</f>
        <v>3408.2632915229833</v>
      </c>
      <c r="C469" s="612">
        <f>IF($M469&gt;0,('Amounts Pivot Table'!P$243/$M469),0)</f>
        <v>0</v>
      </c>
      <c r="D469" s="612">
        <f>IF($M469&gt;0,('Amounts Pivot Table'!P$246/$M469),0)</f>
        <v>0</v>
      </c>
      <c r="E469" s="612">
        <f>IF($M469&gt;0,('Amounts Pivot Table'!P$249/$M469),0)</f>
        <v>1862.7255674712949</v>
      </c>
      <c r="F469" s="612">
        <f t="shared" si="44"/>
        <v>5270.9888589942784</v>
      </c>
      <c r="G469" s="613">
        <f>IF(B469&gt;0,RANK(B469,$B$462:$B$480),)</f>
        <v>4</v>
      </c>
      <c r="H469" s="614">
        <f>IF(C469&gt;0,RANK(C469,$C$462:$C$480),)</f>
        <v>0</v>
      </c>
      <c r="I469" s="614">
        <f>IF(D469&gt;0,RANK(D469,$D$462:$D$480),)</f>
        <v>0</v>
      </c>
      <c r="J469" s="614">
        <f>IF(E469&gt;0,RANK(E469,$E$462:$E$480),)</f>
        <v>4</v>
      </c>
      <c r="K469" s="614">
        <f>IF(F469&gt;0,RANK(F469,$F$462:$F$480),)</f>
        <v>4</v>
      </c>
      <c r="L469" s="1177"/>
      <c r="M469" s="1172">
        <f>+'[1]NEW-Tables 80-86'!AX202</f>
        <v>1759.2666666666667</v>
      </c>
    </row>
    <row r="470" spans="1:13" s="547" customFormat="1" ht="12.75" customHeight="1">
      <c r="A470" s="427" t="s">
        <v>465</v>
      </c>
      <c r="B470" s="612">
        <f>IF($M470&gt;0,('Amounts Pivot Table'!P$279/$M470),0)</f>
        <v>0</v>
      </c>
      <c r="C470" s="612">
        <f>IF($M470&gt;0,('Amounts Pivot Table'!P$282/$M470),0)</f>
        <v>0</v>
      </c>
      <c r="D470" s="612">
        <f>IF($M470&gt;0,('Amounts Pivot Table'!P$285/$M470),0)</f>
        <v>0</v>
      </c>
      <c r="E470" s="612">
        <f>IF($M470&gt;0,('Amounts Pivot Table'!P$288/$M470),0)</f>
        <v>0</v>
      </c>
      <c r="F470" s="612">
        <f t="shared" si="44"/>
        <v>0</v>
      </c>
      <c r="G470" s="613">
        <f>IF(B470&gt;0,RANK(B470,$B$462:$B$480),)</f>
        <v>0</v>
      </c>
      <c r="H470" s="614">
        <f>IF(C470&gt;0,RANK(C470,$C$462:$C$480),)</f>
        <v>0</v>
      </c>
      <c r="I470" s="614">
        <f>IF(D470&gt;0,RANK(D470,$D$462:$D$480),)</f>
        <v>0</v>
      </c>
      <c r="J470" s="614">
        <f>IF(E470&gt;0,RANK(E470,$E$462:$E$480),)</f>
        <v>0</v>
      </c>
      <c r="K470" s="614">
        <f>IF(F470&gt;0,RANK(F470,$F$462:$F$480),)</f>
        <v>0</v>
      </c>
      <c r="L470" s="176"/>
      <c r="M470" s="1172">
        <f>+'[1]NEW-Tables 80-86'!AX203</f>
        <v>0</v>
      </c>
    </row>
    <row r="471" spans="1:13" s="112" customFormat="1">
      <c r="A471" s="195"/>
      <c r="B471" s="195"/>
      <c r="C471" s="195"/>
      <c r="D471" s="195"/>
      <c r="E471" s="195"/>
      <c r="F471" s="195"/>
      <c r="G471" s="199"/>
      <c r="H471" s="195"/>
      <c r="I471" s="195"/>
      <c r="J471" s="195"/>
      <c r="K471" s="195"/>
      <c r="L471" s="197"/>
      <c r="M471" s="1172">
        <f>+'[1]NEW-Tables 80-86'!AX204</f>
        <v>0</v>
      </c>
    </row>
    <row r="472" spans="1:13" s="547" customFormat="1" ht="12.75" customHeight="1">
      <c r="A472" s="427" t="s">
        <v>455</v>
      </c>
      <c r="B472" s="612">
        <f>IF($M472&gt;0,('Amounts Pivot Table'!P$318/$M472),0)</f>
        <v>0</v>
      </c>
      <c r="C472" s="612">
        <f>IF($M472&gt;0,('Amounts Pivot Table'!P$321/$M472),0)</f>
        <v>0</v>
      </c>
      <c r="D472" s="612">
        <f>IF($M472&gt;0,('Amounts Pivot Table'!P$324/$M472),0)</f>
        <v>0</v>
      </c>
      <c r="E472" s="612">
        <f>IF($M472&gt;0,('Amounts Pivot Table'!P$327/$M472),0)</f>
        <v>0</v>
      </c>
      <c r="F472" s="612">
        <f t="shared" si="44"/>
        <v>0</v>
      </c>
      <c r="G472" s="613">
        <f>IF(B472&gt;0,RANK(B472,$B$462:$B$480),)</f>
        <v>0</v>
      </c>
      <c r="H472" s="614">
        <f>IF(C472&gt;0,RANK(C472,$C$462:$C$480),)</f>
        <v>0</v>
      </c>
      <c r="I472" s="614">
        <f>IF(D472&gt;0,RANK(D472,$D$462:$D$480),)</f>
        <v>0</v>
      </c>
      <c r="J472" s="614">
        <f>IF(E472&gt;0,RANK(E472,$E$462:$E$480),)</f>
        <v>0</v>
      </c>
      <c r="K472" s="614">
        <f>IF(F472&gt;0,RANK(F472,$F$462:$F$480),)</f>
        <v>0</v>
      </c>
      <c r="L472" s="1177"/>
      <c r="M472" s="1172">
        <f>+'[1]NEW-Tables 80-86'!AX205</f>
        <v>0</v>
      </c>
    </row>
    <row r="473" spans="1:13" s="547" customFormat="1" ht="12.75" customHeight="1">
      <c r="A473" s="427" t="s">
        <v>456</v>
      </c>
      <c r="B473" s="612">
        <f>IF($M473&gt;0,('Amounts Pivot Table'!P$357/$M473),0)</f>
        <v>0</v>
      </c>
      <c r="C473" s="612">
        <f>IF($M473&gt;0,('Amounts Pivot Table'!P$360/$M473),0)</f>
        <v>0</v>
      </c>
      <c r="D473" s="612">
        <f>IF($M473&gt;0,('Amounts Pivot Table'!P$363/$M473),0)</f>
        <v>0</v>
      </c>
      <c r="E473" s="612">
        <f>IF($M473&gt;0,('Amounts Pivot Table'!P$366/$M473),0)</f>
        <v>0</v>
      </c>
      <c r="F473" s="612">
        <f t="shared" si="44"/>
        <v>0</v>
      </c>
      <c r="G473" s="613">
        <f>IF(B473&gt;0,RANK(B473,$B$462:$B$480),)</f>
        <v>0</v>
      </c>
      <c r="H473" s="614">
        <f>IF(C473&gt;0,RANK(C473,$C$462:$C$480),)</f>
        <v>0</v>
      </c>
      <c r="I473" s="614">
        <f>IF(D473&gt;0,RANK(D473,$D$462:$D$480),)</f>
        <v>0</v>
      </c>
      <c r="J473" s="614">
        <f>IF(E473&gt;0,RANK(E473,$E$462:$E$480),)</f>
        <v>0</v>
      </c>
      <c r="K473" s="614">
        <f>IF(F473&gt;0,RANK(F473,$F$462:$F$480),)</f>
        <v>0</v>
      </c>
      <c r="L473" s="176"/>
      <c r="M473" s="1172">
        <f>+'[1]NEW-Tables 80-86'!AX206</f>
        <v>0</v>
      </c>
    </row>
    <row r="474" spans="1:13" s="547" customFormat="1" ht="12.75" customHeight="1">
      <c r="A474" s="427" t="s">
        <v>463</v>
      </c>
      <c r="B474" s="612">
        <f>IF($M474&gt;0,('Amounts Pivot Table'!P$396/$M474),0)</f>
        <v>3776.0969268039953</v>
      </c>
      <c r="C474" s="612">
        <f>IF($M474&gt;0,('Amounts Pivot Table'!P$399/$M474),0)</f>
        <v>0</v>
      </c>
      <c r="D474" s="612">
        <f>IF($M474&gt;0,('Amounts Pivot Table'!P$402/$M474),0)</f>
        <v>0</v>
      </c>
      <c r="E474" s="612">
        <f>IF($M474&gt;0,('Amounts Pivot Table'!P$405/$M474),0)</f>
        <v>1379.3598331141002</v>
      </c>
      <c r="F474" s="612">
        <f t="shared" si="44"/>
        <v>5155.4567599180955</v>
      </c>
      <c r="G474" s="613">
        <f>IF(B474&gt;0,RANK(B474,$B$462:$B$480),)</f>
        <v>3</v>
      </c>
      <c r="H474" s="614">
        <f>IF(C474&gt;0,RANK(C474,$C$462:$C$480),)</f>
        <v>0</v>
      </c>
      <c r="I474" s="614">
        <f>IF(D474&gt;0,RANK(D474,$D$462:$D$480),)</f>
        <v>0</v>
      </c>
      <c r="J474" s="614">
        <f>IF(E474&gt;0,RANK(E474,$E$462:$E$480),)</f>
        <v>5</v>
      </c>
      <c r="K474" s="614">
        <f>IF(F474&gt;0,RANK(F474,$F$462:$F$480),)</f>
        <v>5</v>
      </c>
      <c r="L474" s="1177"/>
      <c r="M474" s="1172">
        <f>+'[1]NEW-Tables 80-86'!AX207</f>
        <v>6009.1622222222222</v>
      </c>
    </row>
    <row r="475" spans="1:13" s="547" customFormat="1" ht="12.75" customHeight="1">
      <c r="A475" s="427" t="s">
        <v>457</v>
      </c>
      <c r="B475" s="612">
        <f>IF($M475&gt;0,('Amounts Pivot Table'!P$435/$M475),0)</f>
        <v>0</v>
      </c>
      <c r="C475" s="612">
        <f>IF($M475&gt;0,('Amounts Pivot Table'!P$438/$M475),0)</f>
        <v>0</v>
      </c>
      <c r="D475" s="612">
        <f>IF($M475&gt;0,('Amounts Pivot Table'!P$441/$M475),0)</f>
        <v>0</v>
      </c>
      <c r="E475" s="612">
        <f>IF($M475&gt;0,('Amounts Pivot Table'!P$444/$M475),0)</f>
        <v>0</v>
      </c>
      <c r="F475" s="612">
        <f t="shared" si="44"/>
        <v>0</v>
      </c>
      <c r="G475" s="613">
        <f>IF(B475&gt;0,RANK(B475,$B$462:$B$480),)</f>
        <v>0</v>
      </c>
      <c r="H475" s="614">
        <f>IF(C475&gt;0,RANK(C475,$C$462:$C$480),)</f>
        <v>0</v>
      </c>
      <c r="I475" s="614">
        <f>IF(D475&gt;0,RANK(D475,$D$462:$D$480),)</f>
        <v>0</v>
      </c>
      <c r="J475" s="614">
        <f>IF(E475&gt;0,RANK(E475,$E$462:$E$480),)</f>
        <v>0</v>
      </c>
      <c r="K475" s="614">
        <f>IF(F475&gt;0,RANK(F475,$F$462:$F$480),)</f>
        <v>0</v>
      </c>
      <c r="L475" s="1177"/>
      <c r="M475" s="1172">
        <f>+'[1]NEW-Tables 80-86'!AX208</f>
        <v>0</v>
      </c>
    </row>
    <row r="476" spans="1:13" s="112" customFormat="1">
      <c r="A476" s="195"/>
      <c r="B476" s="195"/>
      <c r="C476" s="195"/>
      <c r="D476" s="195"/>
      <c r="E476" s="195"/>
      <c r="F476" s="195"/>
      <c r="G476" s="199"/>
      <c r="H476" s="195"/>
      <c r="I476" s="195"/>
      <c r="J476" s="195"/>
      <c r="K476" s="195"/>
      <c r="L476" s="197"/>
      <c r="M476" s="1172">
        <f>+'[1]NEW-Tables 80-86'!AX209</f>
        <v>0</v>
      </c>
    </row>
    <row r="477" spans="1:13" s="547" customFormat="1" ht="12.75" customHeight="1">
      <c r="A477" s="427" t="s">
        <v>130</v>
      </c>
      <c r="B477" s="612">
        <f>IF($M477&gt;0,('Amounts Pivot Table'!P$474/$M477),0)</f>
        <v>0</v>
      </c>
      <c r="C477" s="612">
        <f>IF($M477&gt;0,('Amounts Pivot Table'!P$477/$M477),0)</f>
        <v>0</v>
      </c>
      <c r="D477" s="612">
        <f>IF($M477&gt;0,('Amounts Pivot Table'!P$480/$M477),0)</f>
        <v>0</v>
      </c>
      <c r="E477" s="612">
        <f>IF($M477&gt;0,('Amounts Pivot Table'!P$483/$M477),0)</f>
        <v>0</v>
      </c>
      <c r="F477" s="612">
        <f t="shared" si="44"/>
        <v>0</v>
      </c>
      <c r="G477" s="613">
        <f>IF(B477&gt;0,RANK(B477,$B$462:$B$480),)</f>
        <v>0</v>
      </c>
      <c r="H477" s="614">
        <f>IF(C477&gt;0,RANK(C477,$C$462:$C$480),)</f>
        <v>0</v>
      </c>
      <c r="I477" s="614">
        <f>IF(D477&gt;0,RANK(D477,$D$462:$D$480),)</f>
        <v>0</v>
      </c>
      <c r="J477" s="614">
        <f>IF(E477&gt;0,RANK(E477,$E$462:$E$480),)</f>
        <v>0</v>
      </c>
      <c r="K477" s="614">
        <f>IF(F477&gt;0,RANK(F477,$F$462:$F$480),)</f>
        <v>0</v>
      </c>
      <c r="L477" s="1177"/>
      <c r="M477" s="1172">
        <f>+'[1]NEW-Tables 80-86'!AX210</f>
        <v>0</v>
      </c>
    </row>
    <row r="478" spans="1:13" s="76" customFormat="1" ht="12.75" customHeight="1">
      <c r="A478" s="427" t="s">
        <v>458</v>
      </c>
      <c r="B478" s="612">
        <f>IF($M478&gt;0,('Amounts Pivot Table'!P$513/$M478),0)</f>
        <v>0</v>
      </c>
      <c r="C478" s="612">
        <f>IF($M478&gt;0,('Amounts Pivot Table'!P$516/$M478),0)</f>
        <v>0</v>
      </c>
      <c r="D478" s="612">
        <f>IF($M478&gt;0,('Amounts Pivot Table'!P$519/$M478),0)</f>
        <v>0</v>
      </c>
      <c r="E478" s="612">
        <f>IF($M478&gt;0,('Amounts Pivot Table'!P$522/$M478),0)</f>
        <v>0</v>
      </c>
      <c r="F478" s="612">
        <f t="shared" si="44"/>
        <v>0</v>
      </c>
      <c r="G478" s="613">
        <f>IF(B478&gt;0,RANK(B478,$B$462:$B$480),)</f>
        <v>0</v>
      </c>
      <c r="H478" s="614">
        <f>IF(C478&gt;0,RANK(C478,$C$462:$C$480),)</f>
        <v>0</v>
      </c>
      <c r="I478" s="614">
        <f>IF(D478&gt;0,RANK(D478,$D$462:$D$480),)</f>
        <v>0</v>
      </c>
      <c r="J478" s="614">
        <f>IF(E478&gt;0,RANK(E478,$E$462:$E$480),)</f>
        <v>0</v>
      </c>
      <c r="K478" s="614">
        <f>IF(F478&gt;0,RANK(F478,$F$462:$F$480),)</f>
        <v>0</v>
      </c>
      <c r="L478" s="1177"/>
      <c r="M478" s="1172">
        <f>+'[1]NEW-Tables 80-86'!AX211</f>
        <v>0</v>
      </c>
    </row>
    <row r="479" spans="1:13" s="547" customFormat="1" ht="12.75" customHeight="1">
      <c r="A479" s="427" t="s">
        <v>459</v>
      </c>
      <c r="B479" s="612">
        <f>IF($M479&gt;0,('Amounts Pivot Table'!P$552/$M479),0)</f>
        <v>0</v>
      </c>
      <c r="C479" s="612">
        <f>IF($M479&gt;0,('Amounts Pivot Table'!P$555/$M479),0)</f>
        <v>0</v>
      </c>
      <c r="D479" s="612">
        <f>IF($M479&gt;0,('Amounts Pivot Table'!P$558/$M479),0)</f>
        <v>0</v>
      </c>
      <c r="E479" s="612">
        <f>IF($M479&gt;0,('Amounts Pivot Table'!P$561/$M479),0)</f>
        <v>0</v>
      </c>
      <c r="F479" s="612">
        <f t="shared" si="44"/>
        <v>0</v>
      </c>
      <c r="G479" s="613">
        <f>IF(B479&gt;0,RANK(B479,$B$462:$B$480),)</f>
        <v>0</v>
      </c>
      <c r="H479" s="614">
        <f>IF(C479&gt;0,RANK(C479,$C$462:$C$480),)</f>
        <v>0</v>
      </c>
      <c r="I479" s="614">
        <f>IF(D479&gt;0,RANK(D479,$D$462:$D$480),)</f>
        <v>0</v>
      </c>
      <c r="J479" s="614">
        <f>IF(E479&gt;0,RANK(E479,$E$462:$E$480),)</f>
        <v>0</v>
      </c>
      <c r="K479" s="614">
        <f>IF(F479&gt;0,RANK(F479,$F$462:$F$480),)</f>
        <v>0</v>
      </c>
      <c r="L479" s="176"/>
      <c r="M479" s="1172">
        <f>+'[1]NEW-Tables 80-86'!AX212</f>
        <v>0</v>
      </c>
    </row>
    <row r="480" spans="1:13" s="547" customFormat="1" ht="17.25" customHeight="1">
      <c r="A480" s="428" t="s">
        <v>464</v>
      </c>
      <c r="B480" s="618">
        <f>IF($M480&gt;0,('Amounts Pivot Table'!P$591/$M480),0)</f>
        <v>0</v>
      </c>
      <c r="C480" s="618">
        <f>IF($M480&gt;0,('Amounts Pivot Table'!P$594/$M480),0)</f>
        <v>0</v>
      </c>
      <c r="D480" s="618">
        <f>IF($M480&gt;0,('Amounts Pivot Table'!P$597/$M480),0)</f>
        <v>0</v>
      </c>
      <c r="E480" s="618">
        <f>IF($M480&gt;0,('Amounts Pivot Table'!P$600/$M480),0)</f>
        <v>0</v>
      </c>
      <c r="F480" s="619">
        <f t="shared" si="44"/>
        <v>0</v>
      </c>
      <c r="G480" s="620">
        <f>IF(B480&gt;0,RANK(B480,$B$462:$B$480),)</f>
        <v>0</v>
      </c>
      <c r="H480" s="621">
        <f>IF(C480&gt;0,RANK(C480,$C$462:$C$480),)</f>
        <v>0</v>
      </c>
      <c r="I480" s="621">
        <f>IF(D480&gt;0,RANK(D480,$D$462:$D$480),)</f>
        <v>0</v>
      </c>
      <c r="J480" s="621">
        <f>IF(E480&gt;0,RANK(E480,$E$462:$E$480),)</f>
        <v>0</v>
      </c>
      <c r="K480" s="621">
        <f>IF(F480&gt;0,RANK(F480,$F$462:$F$480),)</f>
        <v>0</v>
      </c>
      <c r="L480" s="1177"/>
      <c r="M480" s="1172">
        <f>+'[1]NEW-Tables 80-86'!AX213</f>
        <v>0</v>
      </c>
    </row>
    <row r="481" spans="1:13" s="76" customFormat="1" ht="34.5" customHeight="1">
      <c r="A481" s="1405" t="s">
        <v>25</v>
      </c>
      <c r="B481" s="1450"/>
      <c r="C481" s="1450"/>
      <c r="D481" s="1450"/>
      <c r="E481" s="1450"/>
      <c r="F481" s="1450"/>
      <c r="G481" s="1450"/>
      <c r="H481" s="1450"/>
      <c r="I481" s="1450"/>
      <c r="J481" s="1450"/>
      <c r="K481" s="1450"/>
      <c r="L481" s="170"/>
      <c r="M481" s="1172"/>
    </row>
    <row r="482" spans="1:13" s="207" customFormat="1" ht="13.5" customHeight="1">
      <c r="A482" s="1405" t="s">
        <v>80</v>
      </c>
      <c r="B482" s="1450"/>
      <c r="C482" s="1450"/>
      <c r="D482" s="1450"/>
      <c r="E482" s="1450"/>
      <c r="F482" s="1450"/>
      <c r="G482" s="1450"/>
      <c r="H482" s="1450"/>
      <c r="I482" s="1450"/>
      <c r="J482" s="1450"/>
      <c r="K482" s="1450"/>
      <c r="L482" s="206"/>
      <c r="M482" s="1172"/>
    </row>
    <row r="483" spans="1:13" s="547" customFormat="1" ht="13.5" customHeight="1">
      <c r="A483" s="1405" t="s">
        <v>332</v>
      </c>
      <c r="B483" s="1456"/>
      <c r="C483" s="1456"/>
      <c r="D483" s="1456"/>
      <c r="E483" s="1456"/>
      <c r="F483" s="1456"/>
      <c r="G483" s="1457"/>
      <c r="H483" s="1457"/>
      <c r="I483" s="1457"/>
      <c r="J483" s="1457"/>
      <c r="K483" s="1457"/>
      <c r="L483" s="1181"/>
      <c r="M483" s="1172"/>
    </row>
    <row r="484" spans="1:13" s="547" customFormat="1" ht="13.5" customHeight="1">
      <c r="A484" s="1167"/>
      <c r="B484" s="1180"/>
      <c r="C484" s="1180"/>
      <c r="D484" s="1180"/>
      <c r="E484" s="1180"/>
      <c r="F484" s="1180"/>
      <c r="G484" s="1182"/>
      <c r="H484" s="1182"/>
      <c r="I484" s="1182"/>
      <c r="J484" s="1182"/>
      <c r="K484" s="1182"/>
      <c r="L484" s="1181"/>
      <c r="M484" s="1172"/>
    </row>
    <row r="485" spans="1:13" s="547" customFormat="1">
      <c r="A485" s="1167"/>
      <c r="B485" s="1180"/>
      <c r="C485" s="1180"/>
      <c r="D485" s="1180"/>
      <c r="E485" s="1180"/>
      <c r="F485" s="1180"/>
      <c r="G485" s="1182"/>
      <c r="H485" s="1182"/>
      <c r="I485" s="1182"/>
      <c r="J485" s="1182"/>
      <c r="K485" s="591" t="s">
        <v>2018</v>
      </c>
      <c r="L485" s="1181"/>
      <c r="M485" s="1172"/>
    </row>
    <row r="486" spans="1:13" s="547" customFormat="1" ht="18.75" customHeight="1">
      <c r="A486" s="1429" t="s">
        <v>544</v>
      </c>
      <c r="B486" s="1429"/>
      <c r="C486" s="1429"/>
      <c r="D486" s="1429"/>
      <c r="E486" s="1429"/>
      <c r="F486" s="1429"/>
      <c r="G486" s="1429"/>
      <c r="H486" s="1429"/>
      <c r="I486" s="1429"/>
      <c r="J486" s="1429"/>
      <c r="K486" s="1429"/>
      <c r="L486" s="1178"/>
      <c r="M486" s="1172"/>
    </row>
    <row r="487" spans="1:13" s="547" customFormat="1" ht="18.75">
      <c r="A487" s="1429" t="s">
        <v>26</v>
      </c>
      <c r="B487" s="1429"/>
      <c r="C487" s="1429"/>
      <c r="D487" s="1429"/>
      <c r="E487" s="1429"/>
      <c r="F487" s="1429"/>
      <c r="G487" s="1429"/>
      <c r="H487" s="1429"/>
      <c r="I487" s="1429"/>
      <c r="J487" s="1429"/>
      <c r="K487" s="1429"/>
      <c r="L487" s="166"/>
      <c r="M487" s="1172"/>
    </row>
    <row r="488" spans="1:13" s="547" customFormat="1" ht="15.75" customHeight="1">
      <c r="A488" s="1429" t="s">
        <v>516</v>
      </c>
      <c r="B488" s="1429"/>
      <c r="C488" s="1429"/>
      <c r="D488" s="1429"/>
      <c r="E488" s="1429"/>
      <c r="F488" s="1429"/>
      <c r="G488" s="1429"/>
      <c r="H488" s="1429"/>
      <c r="I488" s="1429"/>
      <c r="J488" s="1429"/>
      <c r="K488" s="1429"/>
      <c r="L488" s="166"/>
      <c r="M488" s="1172"/>
    </row>
    <row r="489" spans="1:13" s="547" customFormat="1" ht="9.75" customHeight="1">
      <c r="A489" s="91"/>
      <c r="B489" s="91"/>
      <c r="C489" s="91"/>
      <c r="D489" s="91"/>
      <c r="E489" s="91"/>
      <c r="F489" s="91"/>
      <c r="G489" s="108"/>
      <c r="H489" s="91"/>
      <c r="I489" s="91"/>
      <c r="J489" s="91"/>
      <c r="K489" s="91"/>
      <c r="L489" s="166"/>
      <c r="M489" s="1172"/>
    </row>
    <row r="490" spans="1:13" s="1191" customFormat="1" ht="15.75" customHeight="1">
      <c r="A490" s="56"/>
      <c r="B490" s="1463" t="s">
        <v>81</v>
      </c>
      <c r="C490" s="1464"/>
      <c r="D490" s="1464"/>
      <c r="E490" s="1464"/>
      <c r="F490" s="1464"/>
      <c r="G490" s="1466" t="s">
        <v>178</v>
      </c>
      <c r="H490" s="1467"/>
      <c r="I490" s="1467"/>
      <c r="J490" s="1467"/>
      <c r="K490" s="1467"/>
      <c r="L490" s="174"/>
      <c r="M490" s="1172"/>
    </row>
    <row r="491" spans="1:13" s="393" customFormat="1" ht="47.25" customHeight="1">
      <c r="A491" s="1173"/>
      <c r="B491" s="51" t="s">
        <v>126</v>
      </c>
      <c r="C491" s="52" t="s">
        <v>128</v>
      </c>
      <c r="D491" s="52" t="s">
        <v>127</v>
      </c>
      <c r="E491" s="52" t="s">
        <v>438</v>
      </c>
      <c r="F491" s="52" t="s">
        <v>138</v>
      </c>
      <c r="G491" s="53" t="s">
        <v>126</v>
      </c>
      <c r="H491" s="52" t="s">
        <v>128</v>
      </c>
      <c r="I491" s="52" t="s">
        <v>127</v>
      </c>
      <c r="J491" s="52" t="s">
        <v>438</v>
      </c>
      <c r="K491" s="52" t="s">
        <v>138</v>
      </c>
      <c r="L491" s="1175"/>
      <c r="M491" s="1172" t="s">
        <v>388</v>
      </c>
    </row>
    <row r="492" spans="1:13" s="547" customFormat="1" ht="16.5" customHeight="1">
      <c r="A492" s="427" t="s">
        <v>82</v>
      </c>
      <c r="B492" s="609">
        <f>IF($M492&gt;0,('Amounts Pivot Table'!Q$630/$M492),0)</f>
        <v>4233.5288745607222</v>
      </c>
      <c r="C492" s="609">
        <f>IF($M492&gt;0,('Amounts Pivot Table'!Q$633/$M492),0)</f>
        <v>23.208106856249259</v>
      </c>
      <c r="D492" s="609">
        <f>IF($M492&gt;0,('Amounts Pivot Table'!Q$636/$M492),0)</f>
        <v>0</v>
      </c>
      <c r="E492" s="609">
        <f>IF($M492&gt;0,('Amounts Pivot Table'!Q$639/$M492),0)</f>
        <v>1501.5676730454663</v>
      </c>
      <c r="F492" s="609">
        <f>SUM(B492:E492)</f>
        <v>5758.3046544624376</v>
      </c>
      <c r="G492" s="610"/>
      <c r="H492" s="611"/>
      <c r="I492" s="611"/>
      <c r="J492" s="611"/>
      <c r="K492" s="611"/>
      <c r="L492" s="1177"/>
      <c r="M492" s="1172">
        <f>+'[1]NEW-Tables 80-86'!AY193</f>
        <v>37584.948888888881</v>
      </c>
    </row>
    <row r="493" spans="1:13" s="112" customFormat="1">
      <c r="A493" s="110"/>
      <c r="B493" s="191"/>
      <c r="C493" s="191"/>
      <c r="D493" s="191"/>
      <c r="E493" s="191"/>
      <c r="F493" s="191"/>
      <c r="G493" s="192"/>
      <c r="H493" s="193"/>
      <c r="I493" s="193"/>
      <c r="J493" s="193"/>
      <c r="K493" s="193"/>
      <c r="L493" s="176"/>
      <c r="M493" s="1172">
        <f>+'[1]NEW-Tables 80-86'!AY194</f>
        <v>0</v>
      </c>
    </row>
    <row r="494" spans="1:13" s="547" customFormat="1" ht="12.75" customHeight="1">
      <c r="A494" s="427" t="s">
        <v>452</v>
      </c>
      <c r="B494" s="612">
        <f>IF($M494&gt;0,('Amounts Pivot Table'!Q$6/$M494),0)</f>
        <v>5798.1196876034892</v>
      </c>
      <c r="C494" s="612">
        <f>IF($M494&gt;0,('Amounts Pivot Table'!Q$9/$M494),0)</f>
        <v>361.08104233359091</v>
      </c>
      <c r="D494" s="612">
        <f>IF($M494&gt;0,('Amounts Pivot Table'!Q$12/$M494),0)</f>
        <v>0</v>
      </c>
      <c r="E494" s="612">
        <f>IF($M494&gt;0,('Amounts Pivot Table'!Q$15/$M494),0)</f>
        <v>3317.3770587261288</v>
      </c>
      <c r="F494" s="612">
        <f t="shared" ref="F494:F512" si="45">SUM(B494:E494)</f>
        <v>9476.5777886632095</v>
      </c>
      <c r="G494" s="613">
        <f>IF(B494&gt;0,RANK(B494,$B$494:$B$512),)</f>
        <v>2</v>
      </c>
      <c r="H494" s="614">
        <f>IF(C494&gt;0,RANK(C494,$C$494:$C$512),)</f>
        <v>1</v>
      </c>
      <c r="I494" s="614">
        <f>IF(D494&gt;0,RANK(D494,$D$494:$D$512),)</f>
        <v>0</v>
      </c>
      <c r="J494" s="614">
        <f>IF(E494&gt;0,RANK(E494,$E$494:$E$512),)</f>
        <v>2</v>
      </c>
      <c r="K494" s="614">
        <f>IF(F494&gt;0,RANK(F494,$F$494:$F$512),)</f>
        <v>2</v>
      </c>
      <c r="L494" s="1177"/>
      <c r="M494" s="1172">
        <f>+'[1]NEW-Tables 80-86'!AY195</f>
        <v>2415.7333333333331</v>
      </c>
    </row>
    <row r="495" spans="1:13" s="547" customFormat="1" ht="12.75" customHeight="1">
      <c r="A495" s="427" t="s">
        <v>466</v>
      </c>
      <c r="B495" s="612">
        <f>IF($M495&gt;0,('Amounts Pivot Table'!Q$45/$M495),0)</f>
        <v>0</v>
      </c>
      <c r="C495" s="612">
        <f>IF($M495&gt;0,('Amounts Pivot Table'!Q$48/$M495),0)</f>
        <v>0</v>
      </c>
      <c r="D495" s="612">
        <f>IF($M495&gt;0,('Amounts Pivot Table'!Q$51/$M495),0)</f>
        <v>0</v>
      </c>
      <c r="E495" s="612">
        <f>IF($M495&gt;0,('Amounts Pivot Table'!Q$54/$M495),0)</f>
        <v>0</v>
      </c>
      <c r="F495" s="612">
        <f t="shared" si="45"/>
        <v>0</v>
      </c>
      <c r="G495" s="613">
        <f>IF(B495&gt;0,RANK(B495,$B$494:$B$512),)</f>
        <v>0</v>
      </c>
      <c r="H495" s="614">
        <f>IF(C495&gt;0,RANK(C495,$C$494:$C$512),)</f>
        <v>0</v>
      </c>
      <c r="I495" s="614">
        <f>IF(D495&gt;0,RANK(D495,$D$494:$D$512),)</f>
        <v>0</v>
      </c>
      <c r="J495" s="614">
        <f>IF(E495&gt;0,RANK(E495,$E$494:$E$512),)</f>
        <v>0</v>
      </c>
      <c r="K495" s="614">
        <f>IF(F495&gt;0,RANK(F495,$F$494:$F$512),)</f>
        <v>0</v>
      </c>
      <c r="L495" s="1177"/>
      <c r="M495" s="1172">
        <f>+'[1]NEW-Tables 80-86'!AY196</f>
        <v>0</v>
      </c>
    </row>
    <row r="496" spans="1:13" s="547" customFormat="1" ht="12.75" customHeight="1">
      <c r="A496" s="427" t="s">
        <v>453</v>
      </c>
      <c r="B496" s="612">
        <f>IF($M496&gt;0,('Amounts Pivot Table'!Q$84/$M496),0)</f>
        <v>0</v>
      </c>
      <c r="C496" s="612">
        <f>IF($M496&gt;0,('Amounts Pivot Table'!Q$87/$M496),0)</f>
        <v>0</v>
      </c>
      <c r="D496" s="612">
        <f>IF($M496&gt;0,('Amounts Pivot Table'!Q$90/$M496),0)</f>
        <v>0</v>
      </c>
      <c r="E496" s="612">
        <f>IF($M496&gt;0,('Amounts Pivot Table'!Q$93/$M496),0)</f>
        <v>0</v>
      </c>
      <c r="F496" s="612">
        <f t="shared" si="45"/>
        <v>0</v>
      </c>
      <c r="G496" s="613">
        <f>IF(B496&gt;0,RANK(B496,$B$494:$B$512),)</f>
        <v>0</v>
      </c>
      <c r="H496" s="614">
        <f>IF(C496&gt;0,RANK(C496,$C$494:$C$512),)</f>
        <v>0</v>
      </c>
      <c r="I496" s="614">
        <f>IF(D496&gt;0,RANK(D496,$D$494:$D$512),)</f>
        <v>0</v>
      </c>
      <c r="J496" s="614">
        <f>IF(E496&gt;0,RANK(E496,$E$494:$E$512),)</f>
        <v>0</v>
      </c>
      <c r="K496" s="614">
        <f>IF(F496&gt;0,RANK(F496,$F$494:$F$512),)</f>
        <v>0</v>
      </c>
      <c r="L496" s="1177"/>
      <c r="M496" s="1172">
        <f>+'[1]NEW-Tables 80-86'!AY197</f>
        <v>0</v>
      </c>
    </row>
    <row r="497" spans="1:13" s="547" customFormat="1" ht="12.75" customHeight="1">
      <c r="A497" s="427" t="s">
        <v>460</v>
      </c>
      <c r="B497" s="612">
        <f>IF($M497&gt;0,('Amounts Pivot Table'!Q$123/$M497),0)</f>
        <v>0</v>
      </c>
      <c r="C497" s="612">
        <f>IF($M497&gt;0,('Amounts Pivot Table'!Q$126/$M497),0)</f>
        <v>0</v>
      </c>
      <c r="D497" s="612">
        <f>IF($M497&gt;0,('Amounts Pivot Table'!Q$129/$M497),0)</f>
        <v>0</v>
      </c>
      <c r="E497" s="612">
        <f>IF($M497&gt;0,('Amounts Pivot Table'!Q$132/$M497),0)</f>
        <v>0</v>
      </c>
      <c r="F497" s="612">
        <f t="shared" si="45"/>
        <v>0</v>
      </c>
      <c r="G497" s="613">
        <f>IF(B497&gt;0,RANK(B497,$B$494:$B$512),)</f>
        <v>0</v>
      </c>
      <c r="H497" s="614">
        <f>IF(C497&gt;0,RANK(C497,$C$494:$C$512),)</f>
        <v>0</v>
      </c>
      <c r="I497" s="614">
        <f>IF(D497&gt;0,RANK(D497,$D$494:$D$512),)</f>
        <v>0</v>
      </c>
      <c r="J497" s="614">
        <f>IF(E497&gt;0,RANK(E497,$E$494:$E$512),)</f>
        <v>0</v>
      </c>
      <c r="K497" s="614">
        <f>IF(F497&gt;0,RANK(F497,$F$494:$F$512),)</f>
        <v>0</v>
      </c>
      <c r="L497" s="1177"/>
      <c r="M497" s="1172">
        <f>+'[1]NEW-Tables 80-86'!AY198</f>
        <v>0</v>
      </c>
    </row>
    <row r="498" spans="1:13" s="112" customFormat="1">
      <c r="A498" s="110"/>
      <c r="B498" s="111"/>
      <c r="C498" s="111"/>
      <c r="D498" s="111"/>
      <c r="E498" s="111"/>
      <c r="F498" s="111">
        <f t="shared" si="45"/>
        <v>0</v>
      </c>
      <c r="G498" s="119"/>
      <c r="H498" s="120"/>
      <c r="I498" s="120"/>
      <c r="J498" s="120"/>
      <c r="K498" s="120"/>
      <c r="L498" s="176"/>
      <c r="M498" s="1172">
        <f>+'[1]NEW-Tables 80-86'!AY199</f>
        <v>0</v>
      </c>
    </row>
    <row r="499" spans="1:13" s="547" customFormat="1" ht="12.75" customHeight="1">
      <c r="A499" s="427" t="s">
        <v>461</v>
      </c>
      <c r="B499" s="612">
        <f>IF($M499&gt;0,('Amounts Pivot Table'!Q$162/$M499),0)</f>
        <v>10495.463332835821</v>
      </c>
      <c r="C499" s="612">
        <f>IF($M499&gt;0,('Amounts Pivot Table'!Q$165/$M499),0)</f>
        <v>0</v>
      </c>
      <c r="D499" s="612">
        <f>IF($M499&gt;0,('Amounts Pivot Table'!Q$166/$M499),0)</f>
        <v>0</v>
      </c>
      <c r="E499" s="612">
        <f>IF($M499&gt;0,('Amounts Pivot Table'!Q$171/$M499),0)</f>
        <v>7502.3896567164184</v>
      </c>
      <c r="F499" s="612">
        <f t="shared" si="45"/>
        <v>17997.852989552241</v>
      </c>
      <c r="G499" s="613">
        <f>IF(B499&gt;0,RANK(B499,$B$494:$B$512),)</f>
        <v>1</v>
      </c>
      <c r="H499" s="614">
        <f>IF(C499&gt;0,RANK(C499,$C$494:$C$512),)</f>
        <v>0</v>
      </c>
      <c r="I499" s="614">
        <f>IF(D499&gt;0,RANK(D499,$D$494:$D$512),)</f>
        <v>0</v>
      </c>
      <c r="J499" s="614">
        <f>IF(E499&gt;0,RANK(E499,$E$494:$E$512),)</f>
        <v>1</v>
      </c>
      <c r="K499" s="614">
        <f>IF(F499&gt;0,RANK(F499,$F$494:$F$512),)</f>
        <v>1</v>
      </c>
      <c r="L499" s="1177"/>
      <c r="M499" s="1172">
        <f>+'[1]NEW-Tables 80-86'!AY200</f>
        <v>744.44444444444446</v>
      </c>
    </row>
    <row r="500" spans="1:13" s="547" customFormat="1" ht="12.75" customHeight="1">
      <c r="A500" s="427" t="s">
        <v>454</v>
      </c>
      <c r="B500" s="612">
        <f>IF($M500&gt;0,('Amounts Pivot Table'!Q$201/$M500),0)</f>
        <v>0</v>
      </c>
      <c r="C500" s="612">
        <f>IF($M500&gt;0,('Amounts Pivot Table'!Q$204/$M500),0)</f>
        <v>0</v>
      </c>
      <c r="D500" s="612">
        <f>IF($M500&gt;0,('Amounts Pivot Table'!Q$207/$M500),0)</f>
        <v>0</v>
      </c>
      <c r="E500" s="612">
        <f>IF($M500&gt;0,('Amounts Pivot Table'!Q$210/$M500),0)</f>
        <v>0</v>
      </c>
      <c r="F500" s="612">
        <f t="shared" si="45"/>
        <v>0</v>
      </c>
      <c r="G500" s="613">
        <f>IF(B500&gt;0,RANK(B500,$B$494:$B$512),)</f>
        <v>0</v>
      </c>
      <c r="H500" s="614">
        <f>IF(C500&gt;0,RANK(C500,$C$494:$C$512),)</f>
        <v>0</v>
      </c>
      <c r="I500" s="614">
        <f>IF(D500&gt;0,RANK(D500,$D$494:$D$512),)</f>
        <v>0</v>
      </c>
      <c r="J500" s="614">
        <f>IF(E500&gt;0,RANK(E500,$E$494:$E$512),)</f>
        <v>0</v>
      </c>
      <c r="K500" s="614">
        <f>IF(F500&gt;0,RANK(F500,$F$494:$F$512),)</f>
        <v>0</v>
      </c>
      <c r="L500" s="1177"/>
      <c r="M500" s="1172">
        <f>+'[1]NEW-Tables 80-86'!AY201</f>
        <v>0</v>
      </c>
    </row>
    <row r="501" spans="1:13" s="547" customFormat="1" ht="12.75" customHeight="1">
      <c r="A501" s="427" t="s">
        <v>462</v>
      </c>
      <c r="B501" s="612">
        <f>IF($M501&gt;0,('Amounts Pivot Table'!Q$240/$M501),0)</f>
        <v>3192.8015227548021</v>
      </c>
      <c r="C501" s="612">
        <f>IF($M501&gt;0,('Amounts Pivot Table'!Q$243/$M501),0)</f>
        <v>0</v>
      </c>
      <c r="D501" s="612">
        <f>IF($M501&gt;0,('Amounts Pivot Table'!Q$246/$M501),0)</f>
        <v>0</v>
      </c>
      <c r="E501" s="612">
        <f>IF($M501&gt;0,('Amounts Pivot Table'!Q$249/$M501),0)</f>
        <v>1854.8111175421116</v>
      </c>
      <c r="F501" s="612">
        <f t="shared" si="45"/>
        <v>5047.6126402969139</v>
      </c>
      <c r="G501" s="613">
        <f>IF(B501&gt;0,RANK(B501,$B$494:$B$512),)</f>
        <v>5</v>
      </c>
      <c r="H501" s="614">
        <f>IF(C501&gt;0,RANK(C501,$C$494:$C$512),)</f>
        <v>0</v>
      </c>
      <c r="I501" s="614">
        <f>IF(D501&gt;0,RANK(D501,$D$494:$D$512),)</f>
        <v>0</v>
      </c>
      <c r="J501" s="614">
        <f>IF(E501&gt;0,RANK(E501,$E$494:$E$512),)</f>
        <v>3</v>
      </c>
      <c r="K501" s="614">
        <f>IF(F501&gt;0,RANK(F501,$F$494:$F$512),)</f>
        <v>4</v>
      </c>
      <c r="L501" s="1177"/>
      <c r="M501" s="1172">
        <f>+'[1]NEW-Tables 80-86'!AY202</f>
        <v>1117.2733333333333</v>
      </c>
    </row>
    <row r="502" spans="1:13" s="547" customFormat="1" ht="12.75" customHeight="1">
      <c r="A502" s="427" t="s">
        <v>465</v>
      </c>
      <c r="B502" s="612">
        <f>IF($M502&gt;0,('Amounts Pivot Table'!Q$279/$M502),0)</f>
        <v>0</v>
      </c>
      <c r="C502" s="612">
        <f>IF($M502&gt;0,('Amounts Pivot Table'!Q$282/$M502),0)</f>
        <v>0</v>
      </c>
      <c r="D502" s="612">
        <f>IF($M502&gt;0,('Amounts Pivot Table'!Q$285/$M502),0)</f>
        <v>0</v>
      </c>
      <c r="E502" s="612">
        <f>IF($M502&gt;0,('Amounts Pivot Table'!Q$288/$M502),0)</f>
        <v>0</v>
      </c>
      <c r="F502" s="612">
        <f t="shared" si="45"/>
        <v>0</v>
      </c>
      <c r="G502" s="613">
        <f>IF(B502&gt;0,RANK(B502,$B$494:$B$512),)</f>
        <v>0</v>
      </c>
      <c r="H502" s="614">
        <f>IF(C502&gt;0,RANK(C502,$C$494:$C$512),)</f>
        <v>0</v>
      </c>
      <c r="I502" s="614">
        <f>IF(D502&gt;0,RANK(D502,$D$494:$D$512),)</f>
        <v>0</v>
      </c>
      <c r="J502" s="614">
        <f>IF(E502&gt;0,RANK(E502,$E$494:$E$512),)</f>
        <v>0</v>
      </c>
      <c r="K502" s="614">
        <f>IF(F502&gt;0,RANK(F502,$F$494:$F$512),)</f>
        <v>0</v>
      </c>
      <c r="L502" s="1177"/>
      <c r="M502" s="1172">
        <f>+'[1]NEW-Tables 80-86'!AY203</f>
        <v>0</v>
      </c>
    </row>
    <row r="503" spans="1:13" s="112" customFormat="1">
      <c r="A503" s="110"/>
      <c r="B503" s="111"/>
      <c r="C503" s="111"/>
      <c r="D503" s="111"/>
      <c r="E503" s="111"/>
      <c r="F503" s="111">
        <f t="shared" si="45"/>
        <v>0</v>
      </c>
      <c r="G503" s="119"/>
      <c r="H503" s="120"/>
      <c r="I503" s="120"/>
      <c r="J503" s="120"/>
      <c r="K503" s="120"/>
      <c r="L503" s="176"/>
      <c r="M503" s="1172">
        <f>+'[1]NEW-Tables 80-86'!AY204</f>
        <v>0</v>
      </c>
    </row>
    <row r="504" spans="1:13" s="547" customFormat="1" ht="12.75" customHeight="1">
      <c r="A504" s="427" t="s">
        <v>455</v>
      </c>
      <c r="B504" s="612">
        <f>IF($M504&gt;0,('Amounts Pivot Table'!Q$318/$M504),0)</f>
        <v>0</v>
      </c>
      <c r="C504" s="612">
        <f>IF($M504&gt;0,('Amounts Pivot Table'!Q$321/$M504),0)</f>
        <v>0</v>
      </c>
      <c r="D504" s="612">
        <f>IF($M504&gt;0,('Amounts Pivot Table'!Q$324/$M504),0)</f>
        <v>0</v>
      </c>
      <c r="E504" s="612">
        <f>IF($M504&gt;0,('Amounts Pivot Table'!Q$327/$M504),0)</f>
        <v>0</v>
      </c>
      <c r="F504" s="612">
        <f t="shared" si="45"/>
        <v>0</v>
      </c>
      <c r="G504" s="613">
        <f>IF(B504&gt;0,RANK(B504,$B$494:$B$512),)</f>
        <v>0</v>
      </c>
      <c r="H504" s="614">
        <f>IF(C504&gt;0,RANK(C504,$C$494:$C$512),)</f>
        <v>0</v>
      </c>
      <c r="I504" s="614">
        <f>IF(D504&gt;0,RANK(D504,$D$494:$D$512),)</f>
        <v>0</v>
      </c>
      <c r="J504" s="614">
        <f>IF(E504&gt;0,RANK(E504,$E$494:$E$512),)</f>
        <v>0</v>
      </c>
      <c r="K504" s="614">
        <f>IF(F504&gt;0,RANK(F504,$F$494:$F$512),)</f>
        <v>0</v>
      </c>
      <c r="L504" s="1177"/>
      <c r="M504" s="1172">
        <f>+'[1]NEW-Tables 80-86'!AY205</f>
        <v>0</v>
      </c>
    </row>
    <row r="505" spans="1:13" s="547" customFormat="1" ht="12.75" customHeight="1">
      <c r="A505" s="427" t="s">
        <v>456</v>
      </c>
      <c r="B505" s="612">
        <f>IF($M505&gt;0,('Amounts Pivot Table'!Q$357/$M505),0)</f>
        <v>0</v>
      </c>
      <c r="C505" s="612">
        <f>IF($M505&gt;0,('Amounts Pivot Table'!Q$360/$M505),0)</f>
        <v>0</v>
      </c>
      <c r="D505" s="612">
        <f>IF($M505&gt;0,('Amounts Pivot Table'!Q$363/$M505),0)</f>
        <v>0</v>
      </c>
      <c r="E505" s="612">
        <f>IF($M505&gt;0,('Amounts Pivot Table'!Q$366/$M505),0)</f>
        <v>0</v>
      </c>
      <c r="F505" s="612">
        <f t="shared" si="45"/>
        <v>0</v>
      </c>
      <c r="G505" s="613">
        <f>IF(B505&gt;0,RANK(B505,$B$494:$B$512),)</f>
        <v>0</v>
      </c>
      <c r="H505" s="614">
        <f>IF(C505&gt;0,RANK(C505,$C$494:$C$512),)</f>
        <v>0</v>
      </c>
      <c r="I505" s="614">
        <f>IF(D505&gt;0,RANK(D505,$D$494:$D$512),)</f>
        <v>0</v>
      </c>
      <c r="J505" s="614">
        <f>IF(E505&gt;0,RANK(E505,$E$494:$E$512),)</f>
        <v>0</v>
      </c>
      <c r="K505" s="614">
        <f>IF(F505&gt;0,RANK(F505,$F$494:$F$512),)</f>
        <v>0</v>
      </c>
      <c r="L505" s="1177"/>
      <c r="M505" s="1172">
        <f>+'[1]NEW-Tables 80-86'!AY206</f>
        <v>0</v>
      </c>
    </row>
    <row r="506" spans="1:13" s="547" customFormat="1" ht="12.75" customHeight="1">
      <c r="A506" s="427" t="s">
        <v>463</v>
      </c>
      <c r="B506" s="612">
        <f>IF($M506&gt;0,('Amounts Pivot Table'!Q$396/$M506),0)</f>
        <v>4107.0046439187363</v>
      </c>
      <c r="C506" s="612">
        <f>IF($M506&gt;0,('Amounts Pivot Table'!Q$399/$M506),0)</f>
        <v>0</v>
      </c>
      <c r="D506" s="612">
        <f>IF($M506&gt;0,('Amounts Pivot Table'!Q$402/$M506),0)</f>
        <v>0</v>
      </c>
      <c r="E506" s="612">
        <f>IF($M506&gt;0,('Amounts Pivot Table'!Q$405/$M506),0)</f>
        <v>910.11089183138301</v>
      </c>
      <c r="F506" s="612">
        <f t="shared" si="45"/>
        <v>5017.1155357501193</v>
      </c>
      <c r="G506" s="613">
        <f>IF(B506&gt;0,RANK(B506,$B$494:$B$512),)</f>
        <v>3</v>
      </c>
      <c r="H506" s="614">
        <f>IF(C506&gt;0,RANK(C506,$C$494:$C$512),)</f>
        <v>0</v>
      </c>
      <c r="I506" s="614">
        <f>IF(D506&gt;0,RANK(D506,$D$494:$D$512),)</f>
        <v>0</v>
      </c>
      <c r="J506" s="614">
        <f>IF(E506&gt;0,RANK(E506,$E$494:$E$512),)</f>
        <v>5</v>
      </c>
      <c r="K506" s="614">
        <f>IF(F506&gt;0,RANK(F506,$F$494:$F$512),)</f>
        <v>5</v>
      </c>
      <c r="L506" s="1177"/>
      <c r="M506" s="1172">
        <f>+'[1]NEW-Tables 80-86'!AY207</f>
        <v>20470.498888888887</v>
      </c>
    </row>
    <row r="507" spans="1:13" s="547" customFormat="1" ht="12.75" customHeight="1">
      <c r="A507" s="427" t="s">
        <v>457</v>
      </c>
      <c r="B507" s="612">
        <f>IF($M507&gt;0,('Amounts Pivot Table'!Q$435/$M507),0)</f>
        <v>0</v>
      </c>
      <c r="C507" s="612">
        <f>IF($M507&gt;0,('Amounts Pivot Table'!Q$438/$M507),0)</f>
        <v>0</v>
      </c>
      <c r="D507" s="612">
        <f>IF($M507&gt;0,('Amounts Pivot Table'!Q$441/$M507),0)</f>
        <v>0</v>
      </c>
      <c r="E507" s="612">
        <f>IF($M507&gt;0,('Amounts Pivot Table'!Q$444/$M507),0)</f>
        <v>0</v>
      </c>
      <c r="F507" s="612">
        <f t="shared" si="45"/>
        <v>0</v>
      </c>
      <c r="G507" s="613">
        <f>IF(B507&gt;0,RANK(B507,$B$494:$B$512),)</f>
        <v>0</v>
      </c>
      <c r="H507" s="614">
        <f>IF(C507&gt;0,RANK(C507,$C$494:$C$512),)</f>
        <v>0</v>
      </c>
      <c r="I507" s="614">
        <f>IF(D507&gt;0,RANK(D507,$D$494:$D$512),)</f>
        <v>0</v>
      </c>
      <c r="J507" s="614">
        <f>IF(E507&gt;0,RANK(E507,$E$494:$E$512),)</f>
        <v>0</v>
      </c>
      <c r="K507" s="614">
        <f>IF(F507&gt;0,RANK(F507,$F$494:$F$512),)</f>
        <v>0</v>
      </c>
      <c r="L507" s="1177"/>
      <c r="M507" s="1172">
        <f>+'[1]NEW-Tables 80-86'!AY208</f>
        <v>0</v>
      </c>
    </row>
    <row r="508" spans="1:13" s="112" customFormat="1">
      <c r="A508" s="110"/>
      <c r="B508" s="111"/>
      <c r="C508" s="111"/>
      <c r="D508" s="111"/>
      <c r="E508" s="111"/>
      <c r="F508" s="111">
        <f t="shared" si="45"/>
        <v>0</v>
      </c>
      <c r="G508" s="119"/>
      <c r="H508" s="120"/>
      <c r="I508" s="120"/>
      <c r="J508" s="120"/>
      <c r="K508" s="120"/>
      <c r="L508" s="176"/>
      <c r="M508" s="1172">
        <f>+'[1]NEW-Tables 80-86'!AY209</f>
        <v>0</v>
      </c>
    </row>
    <row r="509" spans="1:13" s="547" customFormat="1" ht="12.75" customHeight="1">
      <c r="A509" s="427" t="s">
        <v>130</v>
      </c>
      <c r="B509" s="612">
        <f>IF($M509&gt;0,('Amounts Pivot Table'!Q$474/$M509),0)</f>
        <v>3868.2951077436851</v>
      </c>
      <c r="C509" s="612">
        <f>IF($M509&gt;0,('Amounts Pivot Table'!Q$477/$M509),0)</f>
        <v>0</v>
      </c>
      <c r="D509" s="612">
        <f>IF($M509&gt;0,('Amounts Pivot Table'!Q$480/$M509),0)</f>
        <v>0</v>
      </c>
      <c r="E509" s="612">
        <f>IF($M509&gt;0,('Amounts Pivot Table'!Q$483/$M509),0)</f>
        <v>1724.2798567023588</v>
      </c>
      <c r="F509" s="612">
        <f t="shared" si="45"/>
        <v>5592.5749644460439</v>
      </c>
      <c r="G509" s="613">
        <f>IF(B509&gt;0,RANK(B509,$B$494:$B$512),)</f>
        <v>4</v>
      </c>
      <c r="H509" s="614">
        <f>IF(C509&gt;0,RANK(C509,$C$494:$C$512),)</f>
        <v>0</v>
      </c>
      <c r="I509" s="614">
        <f>IF(D509&gt;0,RANK(D509,$D$494:$D$512),)</f>
        <v>0</v>
      </c>
      <c r="J509" s="614">
        <f>IF(E509&gt;0,RANK(E509,$E$494:$E$512),)</f>
        <v>4</v>
      </c>
      <c r="K509" s="614">
        <f>IF(F509&gt;0,RANK(F509,$F$494:$F$512),)</f>
        <v>3</v>
      </c>
      <c r="L509" s="1177"/>
      <c r="M509" s="1172">
        <f>+'[1]NEW-Tables 80-86'!AY210</f>
        <v>12836.998888888886</v>
      </c>
    </row>
    <row r="510" spans="1:13" s="547" customFormat="1" ht="12.75" customHeight="1">
      <c r="A510" s="427" t="s">
        <v>458</v>
      </c>
      <c r="B510" s="612">
        <f>IF($M510&gt;0,('Amounts Pivot Table'!Q$513/$M510),0)</f>
        <v>0</v>
      </c>
      <c r="C510" s="612">
        <f>IF($M510&gt;0,('Amounts Pivot Table'!Q$516/$M510),0)</f>
        <v>0</v>
      </c>
      <c r="D510" s="612">
        <f>IF($M510&gt;0,('Amounts Pivot Table'!Q$519/$M510),0)</f>
        <v>0</v>
      </c>
      <c r="E510" s="612">
        <f>IF($M510&gt;0,('Amounts Pivot Table'!Q$522/$M510),0)</f>
        <v>0</v>
      </c>
      <c r="F510" s="612">
        <f t="shared" si="45"/>
        <v>0</v>
      </c>
      <c r="G510" s="613">
        <f>IF(B510&gt;0,RANK(B510,$B$494:$B$512),)</f>
        <v>0</v>
      </c>
      <c r="H510" s="614">
        <f>IF(C510&gt;0,RANK(C510,$C$494:$C$512),)</f>
        <v>0</v>
      </c>
      <c r="I510" s="614">
        <f>IF(D510&gt;0,RANK(D510,$D$494:$D$512),)</f>
        <v>0</v>
      </c>
      <c r="J510" s="614">
        <f>IF(E510&gt;0,RANK(E510,$E$494:$E$512),)</f>
        <v>0</v>
      </c>
      <c r="K510" s="614">
        <f>IF(F510&gt;0,RANK(F510,$F$494:$F$512),)</f>
        <v>0</v>
      </c>
      <c r="L510" s="1177"/>
      <c r="M510" s="1172">
        <f>+'[1]NEW-Tables 80-86'!AY211</f>
        <v>0</v>
      </c>
    </row>
    <row r="511" spans="1:13" s="547" customFormat="1" ht="12.75" customHeight="1">
      <c r="A511" s="427" t="s">
        <v>459</v>
      </c>
      <c r="B511" s="612">
        <f>IF($M511&gt;0,('Amounts Pivot Table'!Q$552/$M511),0)</f>
        <v>0</v>
      </c>
      <c r="C511" s="612">
        <f>IF($M511&gt;0,('Amounts Pivot Table'!Q$555/$M511),0)</f>
        <v>0</v>
      </c>
      <c r="D511" s="612">
        <f>IF($M511&gt;0,('Amounts Pivot Table'!Q$558/$M511),0)</f>
        <v>0</v>
      </c>
      <c r="E511" s="612">
        <f>IF($M511&gt;0,('Amounts Pivot Table'!Q$561/$M511),0)</f>
        <v>0</v>
      </c>
      <c r="F511" s="612">
        <f t="shared" si="45"/>
        <v>0</v>
      </c>
      <c r="G511" s="613">
        <f>IF(B511&gt;0,RANK(B511,$B$494:$B$512),)</f>
        <v>0</v>
      </c>
      <c r="H511" s="614">
        <f>IF(C511&gt;0,RANK(C511,$C$494:$C$512),)</f>
        <v>0</v>
      </c>
      <c r="I511" s="614">
        <f>IF(D511&gt;0,RANK(D511,$D$494:$D$512),)</f>
        <v>0</v>
      </c>
      <c r="J511" s="614">
        <f>IF(E511&gt;0,RANK(E511,$E$494:$E$512),)</f>
        <v>0</v>
      </c>
      <c r="K511" s="614">
        <f>IF(F511&gt;0,RANK(F511,$F$494:$F$512),)</f>
        <v>0</v>
      </c>
      <c r="L511" s="1177"/>
      <c r="M511" s="1172">
        <f>+'[1]NEW-Tables 80-86'!AY212</f>
        <v>0</v>
      </c>
    </row>
    <row r="512" spans="1:13" s="547" customFormat="1" ht="12.75" customHeight="1">
      <c r="A512" s="428" t="s">
        <v>464</v>
      </c>
      <c r="B512" s="618">
        <f>IF($M512&gt;0,('Amounts Pivot Table'!Q$591/$M512),0)</f>
        <v>0</v>
      </c>
      <c r="C512" s="618">
        <f>IF($M512&gt;0,('Amounts Pivot Table'!Q$594/$M512),0)</f>
        <v>0</v>
      </c>
      <c r="D512" s="618">
        <f>IF($M512&gt;0,('Amounts Pivot Table'!Q$597/$M512),0)</f>
        <v>0</v>
      </c>
      <c r="E512" s="618">
        <f>IF($M512&gt;0,('Amounts Pivot Table'!Q$600/$M512),0)</f>
        <v>0</v>
      </c>
      <c r="F512" s="618">
        <f t="shared" si="45"/>
        <v>0</v>
      </c>
      <c r="G512" s="620">
        <f>IF(B512&gt;0,RANK(B512,$B$494:$B$512),)</f>
        <v>0</v>
      </c>
      <c r="H512" s="621">
        <f>IF(C512&gt;0,RANK(C512,$C$494:$C$512),)</f>
        <v>0</v>
      </c>
      <c r="I512" s="621">
        <f>IF(D512&gt;0,RANK(D512,$D$494:$D$512),)</f>
        <v>0</v>
      </c>
      <c r="J512" s="621">
        <f>IF(E512&gt;0,RANK(E512,$E$494:$E$512),)</f>
        <v>0</v>
      </c>
      <c r="K512" s="621">
        <f>IF(F512&gt;0,RANK(F512,$F$494:$F$512),)</f>
        <v>0</v>
      </c>
      <c r="L512" s="1177"/>
      <c r="M512" s="1172">
        <f>+'[1]NEW-Tables 80-86'!AY213</f>
        <v>0</v>
      </c>
    </row>
    <row r="513" spans="1:13" s="76" customFormat="1" ht="34.5" customHeight="1">
      <c r="A513" s="1405" t="s">
        <v>25</v>
      </c>
      <c r="B513" s="1450"/>
      <c r="C513" s="1450"/>
      <c r="D513" s="1450"/>
      <c r="E513" s="1450"/>
      <c r="F513" s="1450"/>
      <c r="G513" s="1450"/>
      <c r="H513" s="1450"/>
      <c r="I513" s="1450"/>
      <c r="J513" s="1450"/>
      <c r="K513" s="1450"/>
      <c r="L513" s="170"/>
      <c r="M513" s="1172"/>
    </row>
    <row r="514" spans="1:13" s="207" customFormat="1" ht="13.5" customHeight="1">
      <c r="A514" s="1405" t="s">
        <v>80</v>
      </c>
      <c r="B514" s="1450"/>
      <c r="C514" s="1450"/>
      <c r="D514" s="1450"/>
      <c r="E514" s="1450"/>
      <c r="F514" s="1450"/>
      <c r="G514" s="1450"/>
      <c r="H514" s="1450"/>
      <c r="I514" s="1450"/>
      <c r="J514" s="1450"/>
      <c r="K514" s="1450"/>
      <c r="L514" s="206"/>
      <c r="M514" s="1172"/>
    </row>
    <row r="515" spans="1:13" s="547" customFormat="1" ht="13.5" customHeight="1">
      <c r="A515" s="1405" t="s">
        <v>332</v>
      </c>
      <c r="B515" s="1456"/>
      <c r="C515" s="1456"/>
      <c r="D515" s="1456"/>
      <c r="E515" s="1456"/>
      <c r="F515" s="1456"/>
      <c r="G515" s="1457"/>
      <c r="H515" s="1457"/>
      <c r="I515" s="1457"/>
      <c r="J515" s="1457"/>
      <c r="K515" s="1457"/>
      <c r="L515" s="1181"/>
      <c r="M515" s="1172"/>
    </row>
    <row r="516" spans="1:13" s="547" customFormat="1" ht="13.5" customHeight="1">
      <c r="A516" s="1167"/>
      <c r="B516" s="1180"/>
      <c r="C516" s="1180"/>
      <c r="D516" s="1180"/>
      <c r="E516" s="1180"/>
      <c r="F516" s="1180"/>
      <c r="G516" s="1182"/>
      <c r="H516" s="1182"/>
      <c r="I516" s="1182"/>
      <c r="J516" s="1182"/>
      <c r="K516" s="1182"/>
      <c r="L516" s="1181"/>
      <c r="M516" s="1172"/>
    </row>
    <row r="517" spans="1:13" s="547" customFormat="1">
      <c r="A517" s="1167"/>
      <c r="B517" s="1180"/>
      <c r="C517" s="1180"/>
      <c r="D517" s="1180"/>
      <c r="E517" s="1180"/>
      <c r="F517" s="1180"/>
      <c r="G517" s="1182"/>
      <c r="H517" s="1182"/>
      <c r="I517" s="1182"/>
      <c r="J517" s="1182"/>
      <c r="K517" s="591" t="s">
        <v>2018</v>
      </c>
      <c r="L517" s="1181"/>
      <c r="M517" s="1172"/>
    </row>
    <row r="518" spans="1:13" s="547" customFormat="1" ht="18.75" customHeight="1">
      <c r="A518" s="1429" t="s">
        <v>545</v>
      </c>
      <c r="B518" s="1429"/>
      <c r="C518" s="1429"/>
      <c r="D518" s="1429"/>
      <c r="E518" s="1429"/>
      <c r="F518" s="1429"/>
      <c r="G518" s="1429"/>
      <c r="H518" s="1429"/>
      <c r="I518" s="1429"/>
      <c r="J518" s="1429"/>
      <c r="K518" s="1429"/>
      <c r="L518" s="1178"/>
      <c r="M518" s="1172"/>
    </row>
    <row r="519" spans="1:13" s="547" customFormat="1" ht="18.75">
      <c r="A519" s="1429" t="s">
        <v>26</v>
      </c>
      <c r="B519" s="1429"/>
      <c r="C519" s="1429"/>
      <c r="D519" s="1429"/>
      <c r="E519" s="1429"/>
      <c r="F519" s="1429"/>
      <c r="G519" s="1429"/>
      <c r="H519" s="1429"/>
      <c r="I519" s="1429"/>
      <c r="J519" s="1429"/>
      <c r="K519" s="1429"/>
      <c r="L519" s="166"/>
      <c r="M519" s="1172"/>
    </row>
    <row r="520" spans="1:13" s="547" customFormat="1" ht="15.75" customHeight="1">
      <c r="A520" s="1429" t="s">
        <v>517</v>
      </c>
      <c r="B520" s="1429"/>
      <c r="C520" s="1429"/>
      <c r="D520" s="1429"/>
      <c r="E520" s="1429"/>
      <c r="F520" s="1429"/>
      <c r="G520" s="1429"/>
      <c r="H520" s="1429"/>
      <c r="I520" s="1429"/>
      <c r="J520" s="1429"/>
      <c r="K520" s="1429"/>
      <c r="L520" s="166"/>
      <c r="M520" s="1183"/>
    </row>
    <row r="521" spans="1:13" s="547" customFormat="1" ht="15.75" customHeight="1">
      <c r="A521" s="91"/>
      <c r="B521" s="91"/>
      <c r="C521" s="91"/>
      <c r="D521" s="91"/>
      <c r="E521" s="91"/>
      <c r="F521" s="91"/>
      <c r="G521" s="108"/>
      <c r="H521" s="91"/>
      <c r="I521" s="91"/>
      <c r="J521" s="91"/>
      <c r="K521" s="91"/>
      <c r="L521" s="166"/>
      <c r="M521" s="1172"/>
    </row>
    <row r="522" spans="1:13" s="1191" customFormat="1" ht="15.75" customHeight="1">
      <c r="A522" s="56"/>
      <c r="B522" s="1463" t="s">
        <v>81</v>
      </c>
      <c r="C522" s="1464"/>
      <c r="D522" s="1464"/>
      <c r="E522" s="1464"/>
      <c r="F522" s="1464"/>
      <c r="G522" s="1466" t="s">
        <v>178</v>
      </c>
      <c r="H522" s="1467"/>
      <c r="I522" s="1467"/>
      <c r="J522" s="1467"/>
      <c r="K522" s="1467"/>
      <c r="L522" s="174"/>
      <c r="M522" s="1172"/>
    </row>
    <row r="523" spans="1:13" s="393" customFormat="1" ht="47.25" customHeight="1">
      <c r="A523" s="1173"/>
      <c r="B523" s="51" t="s">
        <v>126</v>
      </c>
      <c r="C523" s="52" t="s">
        <v>128</v>
      </c>
      <c r="D523" s="52" t="s">
        <v>127</v>
      </c>
      <c r="E523" s="52" t="s">
        <v>438</v>
      </c>
      <c r="F523" s="52" t="s">
        <v>138</v>
      </c>
      <c r="G523" s="53" t="s">
        <v>126</v>
      </c>
      <c r="H523" s="52" t="s">
        <v>128</v>
      </c>
      <c r="I523" s="52" t="s">
        <v>127</v>
      </c>
      <c r="J523" s="52" t="s">
        <v>438</v>
      </c>
      <c r="K523" s="52" t="s">
        <v>138</v>
      </c>
      <c r="L523" s="1175"/>
      <c r="M523" s="1184" t="s">
        <v>388</v>
      </c>
    </row>
    <row r="524" spans="1:13" s="547" customFormat="1" ht="14.25">
      <c r="A524" s="427" t="s">
        <v>82</v>
      </c>
      <c r="B524" s="609">
        <f>IF($M524&gt;0,('Amounts Pivot Table'!R$630/$M524),0)</f>
        <v>3523.627984073893</v>
      </c>
      <c r="C524" s="609">
        <f>IF($M524&gt;0,('Amounts Pivot Table'!R$633/$M524),0)</f>
        <v>0</v>
      </c>
      <c r="D524" s="609">
        <f>IF($M524&gt;0,('Amounts Pivot Table'!R$636/$M524),0)</f>
        <v>0</v>
      </c>
      <c r="E524" s="609">
        <f>IF($M524&gt;0,('Amounts Pivot Table'!R$639/$M524),0)</f>
        <v>788.31625442734548</v>
      </c>
      <c r="F524" s="609">
        <f>SUM(B524:E524)</f>
        <v>4311.9442385012389</v>
      </c>
      <c r="G524" s="610"/>
      <c r="H524" s="611"/>
      <c r="I524" s="611"/>
      <c r="J524" s="611"/>
      <c r="K524" s="611"/>
      <c r="L524" s="1177"/>
      <c r="M524" s="1172">
        <f>+'[1]NEW-Tables 80-86'!AZ193</f>
        <v>16730.460555555554</v>
      </c>
    </row>
    <row r="525" spans="1:13" s="112" customFormat="1">
      <c r="A525" s="110"/>
      <c r="B525" s="111"/>
      <c r="C525" s="111"/>
      <c r="D525" s="111"/>
      <c r="E525" s="111"/>
      <c r="F525" s="111">
        <f>SUM(B525:E525)</f>
        <v>0</v>
      </c>
      <c r="G525" s="119"/>
      <c r="H525" s="120"/>
      <c r="I525" s="120"/>
      <c r="J525" s="120"/>
      <c r="K525" s="120"/>
      <c r="L525" s="176"/>
      <c r="M525" s="1172">
        <f>+'[1]NEW-Tables 80-86'!AZ194</f>
        <v>0</v>
      </c>
    </row>
    <row r="526" spans="1:13" s="547" customFormat="1" ht="12.75" customHeight="1">
      <c r="A526" s="427" t="s">
        <v>452</v>
      </c>
      <c r="B526" s="612">
        <f>IF($M526&gt;0,('Amounts Pivot Table'!R$6/$M526),0)</f>
        <v>0</v>
      </c>
      <c r="C526" s="612">
        <f>IF($M526&gt;0,('Amounts Pivot Table'!R$9/$M526),0)</f>
        <v>0</v>
      </c>
      <c r="D526" s="612">
        <f>IF($M526&gt;0,('Amounts Pivot Table'!R$12/$M526),0)</f>
        <v>0</v>
      </c>
      <c r="E526" s="612">
        <f>IF($M526&gt;0,('Amounts Pivot Table'!R$15/$M526),0)</f>
        <v>0</v>
      </c>
      <c r="F526" s="612">
        <f t="shared" ref="F526:F544" si="46">SUM(B526:E526)</f>
        <v>0</v>
      </c>
      <c r="G526" s="613">
        <f>IF(B526&gt;0,RANK(B526,$B$526:$B$544),)</f>
        <v>0</v>
      </c>
      <c r="H526" s="614">
        <f>IF(C526&gt;0,RANK(C526,$C$526:$C$544),)</f>
        <v>0</v>
      </c>
      <c r="I526" s="614">
        <f>IF(D526&gt;0,RANK(D526,$D$526:$D$544),)</f>
        <v>0</v>
      </c>
      <c r="J526" s="614">
        <f>IF(E526&gt;0,RANK(E526,$E$526:$E$544),)</f>
        <v>0</v>
      </c>
      <c r="K526" s="614">
        <f>IF(F526&gt;0,RANK(F526,$F$526:$F$544),)</f>
        <v>0</v>
      </c>
      <c r="L526" s="1177"/>
      <c r="M526" s="1172">
        <f>+'[1]NEW-Tables 80-86'!AZ195</f>
        <v>0</v>
      </c>
    </row>
    <row r="527" spans="1:13" s="547" customFormat="1" ht="12.75" customHeight="1">
      <c r="A527" s="427" t="s">
        <v>466</v>
      </c>
      <c r="B527" s="612">
        <f>IF($M527&gt;0,('Amounts Pivot Table'!R$45/$M527),0)</f>
        <v>0</v>
      </c>
      <c r="C527" s="612">
        <f>IF($M527&gt;0,('Amounts Pivot Table'!R$48/$M527),0)</f>
        <v>0</v>
      </c>
      <c r="D527" s="612">
        <f>IF($M527&gt;0,('Amounts Pivot Table'!R$51/$M527),0)</f>
        <v>0</v>
      </c>
      <c r="E527" s="612">
        <f>IF($M527&gt;0,('Amounts Pivot Table'!R$54/$M527),0)</f>
        <v>0</v>
      </c>
      <c r="F527" s="612">
        <f t="shared" si="46"/>
        <v>0</v>
      </c>
      <c r="G527" s="613">
        <f>IF(B527&gt;0,RANK(B527,$B$526:$B$544),)</f>
        <v>0</v>
      </c>
      <c r="H527" s="614">
        <f>IF(C527&gt;0,RANK(C527,$C$526:$C$544),)</f>
        <v>0</v>
      </c>
      <c r="I527" s="614">
        <f>IF(D527&gt;0,RANK(D527,$D$526:$D$544),)</f>
        <v>0</v>
      </c>
      <c r="J527" s="614">
        <f>IF(E527&gt;0,RANK(E527,$E$526:$E$544),)</f>
        <v>0</v>
      </c>
      <c r="K527" s="614">
        <f>IF(F527&gt;0,RANK(F527,$F$526:$F$544),)</f>
        <v>0</v>
      </c>
      <c r="L527" s="1177"/>
      <c r="M527" s="1172">
        <f>+'[1]NEW-Tables 80-86'!AZ196</f>
        <v>0</v>
      </c>
    </row>
    <row r="528" spans="1:13" s="547" customFormat="1" ht="12.75" customHeight="1">
      <c r="A528" s="427" t="s">
        <v>453</v>
      </c>
      <c r="B528" s="612">
        <f>IF($M528&gt;0,('Amounts Pivot Table'!R$84/$M528),0)</f>
        <v>0</v>
      </c>
      <c r="C528" s="612">
        <f>IF($M528&gt;0,('Amounts Pivot Table'!R$87/$M528),0)</f>
        <v>0</v>
      </c>
      <c r="D528" s="612">
        <f>IF($M528&gt;0,('Amounts Pivot Table'!R$90/$M528),0)</f>
        <v>0</v>
      </c>
      <c r="E528" s="612">
        <f>IF($M528&gt;0,('Amounts Pivot Table'!R$93/$M528),0)</f>
        <v>0</v>
      </c>
      <c r="F528" s="612">
        <f t="shared" si="46"/>
        <v>0</v>
      </c>
      <c r="G528" s="613">
        <f>IF(B528&gt;0,RANK(B528,$B$526:$B$544),)</f>
        <v>0</v>
      </c>
      <c r="H528" s="614">
        <f>IF(C528&gt;0,RANK(C528,$C$526:$C$544),)</f>
        <v>0</v>
      </c>
      <c r="I528" s="614">
        <f>IF(D528&gt;0,RANK(D528,$D$526:$D$544),)</f>
        <v>0</v>
      </c>
      <c r="J528" s="614">
        <f>IF(E528&gt;0,RANK(E528,$E$526:$E$544),)</f>
        <v>0</v>
      </c>
      <c r="K528" s="614">
        <f>IF(F528&gt;0,RANK(F528,$F$526:$F$544),)</f>
        <v>0</v>
      </c>
      <c r="L528" s="1177"/>
      <c r="M528" s="1172">
        <f>+'[1]NEW-Tables 80-86'!AZ197</f>
        <v>0</v>
      </c>
    </row>
    <row r="529" spans="1:13" s="547" customFormat="1" ht="12.75" customHeight="1">
      <c r="A529" s="427" t="s">
        <v>460</v>
      </c>
      <c r="B529" s="612">
        <f>IF($M529&gt;0,('Amounts Pivot Table'!R$123/$M529),0)</f>
        <v>0</v>
      </c>
      <c r="C529" s="612">
        <f>IF($M529&gt;0,('Amounts Pivot Table'!R$126/$M529),0)</f>
        <v>0</v>
      </c>
      <c r="D529" s="612">
        <f>IF($M529&gt;0,('Amounts Pivot Table'!R$129/$M529),0)</f>
        <v>0</v>
      </c>
      <c r="E529" s="612">
        <f>IF($M529&gt;0,('Amounts Pivot Table'!R$132/$M529),0)</f>
        <v>0</v>
      </c>
      <c r="F529" s="612">
        <f t="shared" si="46"/>
        <v>0</v>
      </c>
      <c r="G529" s="613">
        <f>IF(B529&gt;0,RANK(B529,$B$526:$B$544),)</f>
        <v>0</v>
      </c>
      <c r="H529" s="614">
        <f>IF(C529&gt;0,RANK(C529,$C$526:$C$544),)</f>
        <v>0</v>
      </c>
      <c r="I529" s="614">
        <f>IF(D529&gt;0,RANK(D529,$D$526:$D$544),)</f>
        <v>0</v>
      </c>
      <c r="J529" s="614">
        <f>IF(E529&gt;0,RANK(E529,$E$526:$E$544),)</f>
        <v>0</v>
      </c>
      <c r="K529" s="614">
        <f>IF(F529&gt;0,RANK(F529,$F$526:$F$544),)</f>
        <v>0</v>
      </c>
      <c r="L529" s="1177"/>
      <c r="M529" s="1172">
        <f>+'[1]NEW-Tables 80-86'!AZ198</f>
        <v>0</v>
      </c>
    </row>
    <row r="530" spans="1:13" s="112" customFormat="1">
      <c r="A530" s="110"/>
      <c r="B530" s="111"/>
      <c r="C530" s="111"/>
      <c r="D530" s="111"/>
      <c r="E530" s="111"/>
      <c r="F530" s="111">
        <f t="shared" si="46"/>
        <v>0</v>
      </c>
      <c r="G530" s="119"/>
      <c r="H530" s="120"/>
      <c r="I530" s="120"/>
      <c r="J530" s="120"/>
      <c r="K530" s="120"/>
      <c r="L530" s="176"/>
      <c r="M530" s="1172">
        <f>+'[1]NEW-Tables 80-86'!AZ199</f>
        <v>0</v>
      </c>
    </row>
    <row r="531" spans="1:13" s="547" customFormat="1" ht="12.75" customHeight="1">
      <c r="A531" s="427" t="s">
        <v>461</v>
      </c>
      <c r="B531" s="612">
        <f>IF($M531&gt;0,('Amounts Pivot Table'!R$162/$M531),0)</f>
        <v>0</v>
      </c>
      <c r="C531" s="612">
        <f>IF($M531&gt;0,('Amounts Pivot Table'!R$165/$M531),0)</f>
        <v>0</v>
      </c>
      <c r="D531" s="612">
        <f>IF($M531&gt;0,('Amounts Pivot Table'!R$168/$M531),0)</f>
        <v>0</v>
      </c>
      <c r="E531" s="612">
        <f>IF($M531&gt;0,('Amounts Pivot Table'!R$171/$M531),0)</f>
        <v>0</v>
      </c>
      <c r="F531" s="612">
        <f t="shared" si="46"/>
        <v>0</v>
      </c>
      <c r="G531" s="613">
        <f>IF(B531&gt;0,RANK(B531,$B$526:$B$544),)</f>
        <v>0</v>
      </c>
      <c r="H531" s="614">
        <f>IF(C531&gt;0,RANK(C531,$C$526:$C$544),)</f>
        <v>0</v>
      </c>
      <c r="I531" s="614">
        <f>IF(D531&gt;0,RANK(D531,$D$526:$D$544),)</f>
        <v>0</v>
      </c>
      <c r="J531" s="614">
        <f>IF(E531&gt;0,RANK(E531,$E$526:$E$544),)</f>
        <v>0</v>
      </c>
      <c r="K531" s="614">
        <f>IF(F531&gt;0,RANK(F531,$F$526:$F$544),)</f>
        <v>0</v>
      </c>
      <c r="L531" s="1177"/>
      <c r="M531" s="1172">
        <f>+'[1]NEW-Tables 80-86'!AZ200</f>
        <v>0</v>
      </c>
    </row>
    <row r="532" spans="1:13" s="547" customFormat="1" ht="12.75" customHeight="1">
      <c r="A532" s="427" t="s">
        <v>454</v>
      </c>
      <c r="B532" s="612">
        <f>IF($M532&gt;0,('Amounts Pivot Table'!R$201/$M532),0)</f>
        <v>0</v>
      </c>
      <c r="C532" s="612">
        <f>IF($M532&gt;0,('Amounts Pivot Table'!R$204/$M532),0)</f>
        <v>0</v>
      </c>
      <c r="D532" s="612">
        <f>IF($M532&gt;0,('Amounts Pivot Table'!R$207/$M532),0)</f>
        <v>0</v>
      </c>
      <c r="E532" s="612">
        <f>IF($M532&gt;0,('Amounts Pivot Table'!R$210/$M532),0)</f>
        <v>0</v>
      </c>
      <c r="F532" s="612">
        <f t="shared" si="46"/>
        <v>0</v>
      </c>
      <c r="G532" s="613">
        <f>IF(B532&gt;0,RANK(B532,$B$526:$B$544),)</f>
        <v>0</v>
      </c>
      <c r="H532" s="614">
        <f>IF(C532&gt;0,RANK(C532,$C$526:$C$544),)</f>
        <v>0</v>
      </c>
      <c r="I532" s="614">
        <f>IF(D532&gt;0,RANK(D532,$D$526:$D$544),)</f>
        <v>0</v>
      </c>
      <c r="J532" s="614">
        <f>IF(E532&gt;0,RANK(E532,$E$526:$E$544),)</f>
        <v>0</v>
      </c>
      <c r="K532" s="614">
        <f>IF(F532&gt;0,RANK(F532,$F$526:$F$544),)</f>
        <v>0</v>
      </c>
      <c r="L532" s="1177"/>
      <c r="M532" s="1172">
        <f>+'[1]NEW-Tables 80-86'!AZ201</f>
        <v>0</v>
      </c>
    </row>
    <row r="533" spans="1:13" s="547" customFormat="1" ht="12.75" customHeight="1">
      <c r="A533" s="427" t="s">
        <v>462</v>
      </c>
      <c r="B533" s="612">
        <f>IF($M533&gt;0,('Amounts Pivot Table'!R$240/$M533),0)</f>
        <v>3523.627984073893</v>
      </c>
      <c r="C533" s="612">
        <f>IF($M533&gt;0,('Amounts Pivot Table'!R$243/$M533),0)</f>
        <v>0</v>
      </c>
      <c r="D533" s="612">
        <f>IF($M533&gt;0,('Amounts Pivot Table'!R$246/$M533),0)</f>
        <v>0</v>
      </c>
      <c r="E533" s="612">
        <f>IF($M533&gt;0,('Amounts Pivot Table'!R$249/$M533),0)</f>
        <v>788.31625442734548</v>
      </c>
      <c r="F533" s="612">
        <f t="shared" si="46"/>
        <v>4311.9442385012389</v>
      </c>
      <c r="G533" s="613">
        <f>IF(B533&gt;0,RANK(B533,$B$526:$B$544),)</f>
        <v>1</v>
      </c>
      <c r="H533" s="614">
        <f>IF(C533&gt;0,RANK(C533,$C$526:$C$544),)</f>
        <v>0</v>
      </c>
      <c r="I533" s="614">
        <f>IF(D533&gt;0,RANK(D533,$D$526:$D$544),)</f>
        <v>0</v>
      </c>
      <c r="J533" s="614">
        <f>IF(E533&gt;0,RANK(E533,$E$526:$E$544),)</f>
        <v>1</v>
      </c>
      <c r="K533" s="614">
        <f>IF(F533&gt;0,RANK(F533,$F$526:$F$544),)</f>
        <v>1</v>
      </c>
      <c r="L533" s="1177"/>
      <c r="M533" s="1172">
        <f>+'[1]NEW-Tables 80-86'!AZ202</f>
        <v>16730.460555555554</v>
      </c>
    </row>
    <row r="534" spans="1:13" s="547" customFormat="1" ht="12.75" customHeight="1">
      <c r="A534" s="427" t="s">
        <v>465</v>
      </c>
      <c r="B534" s="612">
        <f>IF($M534&gt;0,('Amounts Pivot Table'!R$279/$M534),0)</f>
        <v>0</v>
      </c>
      <c r="C534" s="612">
        <f>IF($M534&gt;0,('Amounts Pivot Table'!R$282/$M534),0)</f>
        <v>0</v>
      </c>
      <c r="D534" s="612">
        <f>IF($M534&gt;0,('Amounts Pivot Table'!R$285/$M534),0)</f>
        <v>0</v>
      </c>
      <c r="E534" s="612">
        <f>IF($M534&gt;0,('Amounts Pivot Table'!R$288/$M534),0)</f>
        <v>0</v>
      </c>
      <c r="F534" s="612">
        <f t="shared" si="46"/>
        <v>0</v>
      </c>
      <c r="G534" s="613">
        <f>IF(B534&gt;0,RANK(B534,$B$526:$B$544),)</f>
        <v>0</v>
      </c>
      <c r="H534" s="614">
        <f>IF(C534&gt;0,RANK(C534,$C$526:$C$544),)</f>
        <v>0</v>
      </c>
      <c r="I534" s="614">
        <f>IF(D534&gt;0,RANK(D534,$D$526:$D$544),)</f>
        <v>0</v>
      </c>
      <c r="J534" s="614">
        <f>IF(E534&gt;0,RANK(E534,$E$526:$E$544),)</f>
        <v>0</v>
      </c>
      <c r="K534" s="614">
        <f>IF(F534&gt;0,RANK(F534,$F$526:$F$544),)</f>
        <v>0</v>
      </c>
      <c r="L534" s="1177"/>
      <c r="M534" s="1172">
        <f>+'[1]NEW-Tables 80-86'!AZ203</f>
        <v>0</v>
      </c>
    </row>
    <row r="535" spans="1:13" s="112" customFormat="1">
      <c r="A535" s="110"/>
      <c r="B535" s="111"/>
      <c r="C535" s="111"/>
      <c r="D535" s="111"/>
      <c r="E535" s="111"/>
      <c r="F535" s="111">
        <f>SUM(B535:E535)</f>
        <v>0</v>
      </c>
      <c r="G535" s="119"/>
      <c r="H535" s="120"/>
      <c r="I535" s="120"/>
      <c r="J535" s="120"/>
      <c r="K535" s="120"/>
      <c r="L535" s="176"/>
      <c r="M535" s="1172">
        <f>+'[1]NEW-Tables 80-86'!AZ204</f>
        <v>0</v>
      </c>
    </row>
    <row r="536" spans="1:13" s="547" customFormat="1" ht="12.75" customHeight="1">
      <c r="A536" s="427" t="s">
        <v>455</v>
      </c>
      <c r="B536" s="612">
        <f>IF($M536&gt;0,('Amounts Pivot Table'!R$318/$M536),0)</f>
        <v>0</v>
      </c>
      <c r="C536" s="612">
        <f>IF($M536&gt;0,('Amounts Pivot Table'!R$321/$M536),0)</f>
        <v>0</v>
      </c>
      <c r="D536" s="612">
        <f>IF($M536&gt;0,('Amounts Pivot Table'!R$324/$M536),0)</f>
        <v>0</v>
      </c>
      <c r="E536" s="612">
        <f>IF($M536&gt;0,('Amounts Pivot Table'!R$327/$M536),0)</f>
        <v>0</v>
      </c>
      <c r="F536" s="612">
        <f t="shared" si="46"/>
        <v>0</v>
      </c>
      <c r="G536" s="613">
        <f>IF(B536&gt;0,RANK(B536,$B$526:$B$544),)</f>
        <v>0</v>
      </c>
      <c r="H536" s="614">
        <f>IF(C536&gt;0,RANK(C536,$C$526:$C$544),)</f>
        <v>0</v>
      </c>
      <c r="I536" s="614">
        <f>IF(D536&gt;0,RANK(D536,$D$526:$D$544),)</f>
        <v>0</v>
      </c>
      <c r="J536" s="614">
        <f>IF(E536&gt;0,RANK(E536,$E$526:$E$544),)</f>
        <v>0</v>
      </c>
      <c r="K536" s="614">
        <f>IF(F536&gt;0,RANK(F536,$F$526:$F$544),)</f>
        <v>0</v>
      </c>
      <c r="L536" s="1177"/>
      <c r="M536" s="1172">
        <f>+'[1]NEW-Tables 80-86'!AZ205</f>
        <v>0</v>
      </c>
    </row>
    <row r="537" spans="1:13" s="547" customFormat="1" ht="12.75" customHeight="1">
      <c r="A537" s="427" t="s">
        <v>456</v>
      </c>
      <c r="B537" s="612">
        <f>IF($M537&gt;0,('Amounts Pivot Table'!R$357/$M537),0)</f>
        <v>0</v>
      </c>
      <c r="C537" s="612">
        <f>IF($M537&gt;0,('Amounts Pivot Table'!R$360/$M537),0)</f>
        <v>0</v>
      </c>
      <c r="D537" s="612">
        <f>IF($M537&gt;0,('Amounts Pivot Table'!R$363/$M537),0)</f>
        <v>0</v>
      </c>
      <c r="E537" s="612">
        <f>IF($M537&gt;0,('Amounts Pivot Table'!R$366/$M537),0)</f>
        <v>0</v>
      </c>
      <c r="F537" s="612">
        <f t="shared" si="46"/>
        <v>0</v>
      </c>
      <c r="G537" s="613">
        <f>IF(B537&gt;0,RANK(B537,$B$526:$B$544),)</f>
        <v>0</v>
      </c>
      <c r="H537" s="614">
        <f>IF(C537&gt;0,RANK(C537,$C$526:$C$544),)</f>
        <v>0</v>
      </c>
      <c r="I537" s="614">
        <f>IF(D537&gt;0,RANK(D537,$D$526:$D$544),)</f>
        <v>0</v>
      </c>
      <c r="J537" s="614">
        <f>IF(E537&gt;0,RANK(E537,$E$526:$E$544),)</f>
        <v>0</v>
      </c>
      <c r="K537" s="614">
        <f>IF(F537&gt;0,RANK(F537,$F$526:$F$544),)</f>
        <v>0</v>
      </c>
      <c r="L537" s="1177"/>
      <c r="M537" s="1172">
        <f>+'[1]NEW-Tables 80-86'!AZ206</f>
        <v>0</v>
      </c>
    </row>
    <row r="538" spans="1:13" s="547" customFormat="1" ht="12.75" customHeight="1">
      <c r="A538" s="427" t="s">
        <v>463</v>
      </c>
      <c r="B538" s="612">
        <f>IF($M538&gt;0,('Amounts Pivot Table'!R$396/$M538),0)</f>
        <v>0</v>
      </c>
      <c r="C538" s="612">
        <f>IF($M538&gt;0,('Amounts Pivot Table'!R$399/$M538),0)</f>
        <v>0</v>
      </c>
      <c r="D538" s="612">
        <f>IF($M538&gt;0,('Amounts Pivot Table'!R$402/$M538),0)</f>
        <v>0</v>
      </c>
      <c r="E538" s="612">
        <f>IF($M538&gt;0,('Amounts Pivot Table'!R$405/$M538),0)</f>
        <v>0</v>
      </c>
      <c r="F538" s="612">
        <f t="shared" si="46"/>
        <v>0</v>
      </c>
      <c r="G538" s="613">
        <f>IF(B538&gt;0,RANK(B538,$B$526:$B$544),)</f>
        <v>0</v>
      </c>
      <c r="H538" s="614">
        <f>IF(C538&gt;0,RANK(C538,$C$526:$C$544),)</f>
        <v>0</v>
      </c>
      <c r="I538" s="614">
        <f>IF(D538&gt;0,RANK(D538,$D$526:$D$544),)</f>
        <v>0</v>
      </c>
      <c r="J538" s="614">
        <f>IF(E538&gt;0,RANK(E538,$E$526:$E$544),)</f>
        <v>0</v>
      </c>
      <c r="K538" s="614">
        <f>IF(F538&gt;0,RANK(F538,$F$526:$F$544),)</f>
        <v>0</v>
      </c>
      <c r="L538" s="1177"/>
      <c r="M538" s="1172">
        <f>+'[1]NEW-Tables 80-86'!AZ207</f>
        <v>0</v>
      </c>
    </row>
    <row r="539" spans="1:13" s="547" customFormat="1" ht="12.75" customHeight="1">
      <c r="A539" s="427" t="s">
        <v>457</v>
      </c>
      <c r="B539" s="612">
        <f>IF($M539&gt;0,('Amounts Pivot Table'!R$435/$M539),0)</f>
        <v>0</v>
      </c>
      <c r="C539" s="612">
        <f>IF($M539&gt;0,('Amounts Pivot Table'!R$438/$M539),0)</f>
        <v>0</v>
      </c>
      <c r="D539" s="612">
        <f>IF($M539&gt;0,('Amounts Pivot Table'!R$441/$M539),0)</f>
        <v>0</v>
      </c>
      <c r="E539" s="612">
        <f>IF($M539&gt;0,('Amounts Pivot Table'!R$444/$M539),0)</f>
        <v>0</v>
      </c>
      <c r="F539" s="612">
        <f t="shared" si="46"/>
        <v>0</v>
      </c>
      <c r="G539" s="613">
        <f>IF(B539&gt;0,RANK(B539,$B$526:$B$544),)</f>
        <v>0</v>
      </c>
      <c r="H539" s="614">
        <f>IF(C539&gt;0,RANK(C539,$C$526:$C$544),)</f>
        <v>0</v>
      </c>
      <c r="I539" s="614">
        <f>IF(D539&gt;0,RANK(D539,$D$526:$D$544),)</f>
        <v>0</v>
      </c>
      <c r="J539" s="614">
        <f>IF(E539&gt;0,RANK(E539,$E$526:$E$544),)</f>
        <v>0</v>
      </c>
      <c r="K539" s="614">
        <f>IF(F539&gt;0,RANK(F539,$F$526:$F$544),)</f>
        <v>0</v>
      </c>
      <c r="L539" s="1177"/>
      <c r="M539" s="1172">
        <f>+'[1]NEW-Tables 80-86'!AZ208</f>
        <v>0</v>
      </c>
    </row>
    <row r="540" spans="1:13" s="112" customFormat="1">
      <c r="A540" s="110"/>
      <c r="B540" s="111"/>
      <c r="C540" s="111"/>
      <c r="D540" s="111"/>
      <c r="E540" s="111"/>
      <c r="F540" s="111">
        <f>SUM(B540:E540)</f>
        <v>0</v>
      </c>
      <c r="G540" s="119"/>
      <c r="H540" s="120"/>
      <c r="I540" s="120"/>
      <c r="J540" s="120"/>
      <c r="K540" s="120"/>
      <c r="L540" s="176"/>
      <c r="M540" s="1172">
        <f>+'[1]NEW-Tables 80-86'!AZ209</f>
        <v>0</v>
      </c>
    </row>
    <row r="541" spans="1:13" s="547" customFormat="1" ht="12.75" customHeight="1">
      <c r="A541" s="427" t="s">
        <v>130</v>
      </c>
      <c r="B541" s="612">
        <f>IF($M541&gt;0,('Amounts Pivot Table'!R$474/$M541),0)</f>
        <v>0</v>
      </c>
      <c r="C541" s="612">
        <f>IF($M541&gt;0,('Amounts Pivot Table'!R$477/$M541),0)</f>
        <v>0</v>
      </c>
      <c r="D541" s="612">
        <f>IF($M541&gt;0,('Amounts Pivot Table'!R$480/$M541),0)</f>
        <v>0</v>
      </c>
      <c r="E541" s="612">
        <f>IF($M541&gt;0,('Amounts Pivot Table'!R$483/$M541),0)</f>
        <v>0</v>
      </c>
      <c r="F541" s="612">
        <f t="shared" si="46"/>
        <v>0</v>
      </c>
      <c r="G541" s="613">
        <f>IF(B541&gt;0,RANK(B541,$B$526:$B$544),)</f>
        <v>0</v>
      </c>
      <c r="H541" s="614">
        <f>IF(C541&gt;0,RANK(C541,$C$526:$C$544),)</f>
        <v>0</v>
      </c>
      <c r="I541" s="614">
        <f>IF(D541&gt;0,RANK(D541,$D$526:$D$544),)</f>
        <v>0</v>
      </c>
      <c r="J541" s="614">
        <f>IF(E541&gt;0,RANK(E541,$E$526:$E$544),)</f>
        <v>0</v>
      </c>
      <c r="K541" s="614">
        <f>IF(F541&gt;0,RANK(F541,$F$526:$F$544),)</f>
        <v>0</v>
      </c>
      <c r="L541" s="1177"/>
      <c r="M541" s="1172">
        <f>+'[1]NEW-Tables 80-86'!AZ210</f>
        <v>0</v>
      </c>
    </row>
    <row r="542" spans="1:13" s="76" customFormat="1" ht="12.75" customHeight="1">
      <c r="A542" s="427" t="s">
        <v>458</v>
      </c>
      <c r="B542" s="612">
        <f>IF($M542&gt;0,('Amounts Pivot Table'!R$513/$M542),0)</f>
        <v>0</v>
      </c>
      <c r="C542" s="612">
        <f>IF($M542&gt;0,('Amounts Pivot Table'!R$516/$M542),0)</f>
        <v>0</v>
      </c>
      <c r="D542" s="612">
        <f>IF($M542&gt;0,('Amounts Pivot Table'!R$519/$M542),0)</f>
        <v>0</v>
      </c>
      <c r="E542" s="612">
        <f>IF($M542&gt;0,('Amounts Pivot Table'!R$522/$M542),0)</f>
        <v>0</v>
      </c>
      <c r="F542" s="612">
        <f t="shared" si="46"/>
        <v>0</v>
      </c>
      <c r="G542" s="613">
        <f>IF(B542&gt;0,RANK(B542,$B$526:$B$544),)</f>
        <v>0</v>
      </c>
      <c r="H542" s="614">
        <f>IF(C542&gt;0,RANK(C542,$C$526:$C$544),)</f>
        <v>0</v>
      </c>
      <c r="I542" s="614">
        <f>IF(D542&gt;0,RANK(D542,$D$526:$D$544),)</f>
        <v>0</v>
      </c>
      <c r="J542" s="614">
        <f>IF(E542&gt;0,RANK(E542,$E$526:$E$544),)</f>
        <v>0</v>
      </c>
      <c r="K542" s="614">
        <f>IF(F542&gt;0,RANK(F542,$F$526:$F$544),)</f>
        <v>0</v>
      </c>
      <c r="L542" s="170"/>
      <c r="M542" s="1172">
        <f>+'[1]NEW-Tables 80-86'!AZ211</f>
        <v>0</v>
      </c>
    </row>
    <row r="543" spans="1:13" s="547" customFormat="1" ht="12.75" customHeight="1">
      <c r="A543" s="427" t="s">
        <v>459</v>
      </c>
      <c r="B543" s="612">
        <f>IF($M543&gt;0,('Amounts Pivot Table'!R$552/$M543),0)</f>
        <v>0</v>
      </c>
      <c r="C543" s="612">
        <f>IF($M543&gt;0,('Amounts Pivot Table'!R$555/$M543),0)</f>
        <v>0</v>
      </c>
      <c r="D543" s="612">
        <f>IF($M543&gt;0,('Amounts Pivot Table'!R$558/$M543),0)</f>
        <v>0</v>
      </c>
      <c r="E543" s="612">
        <f>IF($M543&gt;0,('Amounts Pivot Table'!R$561/$M543),0)</f>
        <v>0</v>
      </c>
      <c r="F543" s="612">
        <f t="shared" si="46"/>
        <v>0</v>
      </c>
      <c r="G543" s="613">
        <f>IF(B543&gt;0,RANK(B543,$B$526:$B$544),)</f>
        <v>0</v>
      </c>
      <c r="H543" s="614">
        <f>IF(C543&gt;0,RANK(C543,$C$526:$C$544),)</f>
        <v>0</v>
      </c>
      <c r="I543" s="614">
        <f>IF(D543&gt;0,RANK(D543,$D$526:$D$544),)</f>
        <v>0</v>
      </c>
      <c r="J543" s="614">
        <f>IF(E543&gt;0,RANK(E543,$E$526:$E$544),)</f>
        <v>0</v>
      </c>
      <c r="K543" s="614">
        <f>IF(F543&gt;0,RANK(F543,$F$526:$F$544),)</f>
        <v>0</v>
      </c>
      <c r="L543" s="1178"/>
      <c r="M543" s="1172">
        <f>+'[1]NEW-Tables 80-86'!AZ212</f>
        <v>0</v>
      </c>
    </row>
    <row r="544" spans="1:13" s="547" customFormat="1" ht="15" customHeight="1">
      <c r="A544" s="428" t="s">
        <v>464</v>
      </c>
      <c r="B544" s="618">
        <f>IF($M544&gt;0,('Amounts Pivot Table'!R$591/$M544),0)</f>
        <v>0</v>
      </c>
      <c r="C544" s="618">
        <f>IF($M544&gt;0,('Amounts Pivot Table'!R$594/$M544),0)</f>
        <v>0</v>
      </c>
      <c r="D544" s="618">
        <f>IF($M544&gt;0,('Amounts Pivot Table'!R$597/$M544),0)</f>
        <v>0</v>
      </c>
      <c r="E544" s="618">
        <f>IF($M544&gt;0,('Amounts Pivot Table'!R$600/$M544),0)</f>
        <v>0</v>
      </c>
      <c r="F544" s="619">
        <f t="shared" si="46"/>
        <v>0</v>
      </c>
      <c r="G544" s="620">
        <f>IF(B544&gt;0,RANK(B544,$B$526:$B$544),)</f>
        <v>0</v>
      </c>
      <c r="H544" s="621">
        <f>IF(C544&gt;0,RANK(C544,$C$526:$C$544),)</f>
        <v>0</v>
      </c>
      <c r="I544" s="621">
        <f>IF(D544&gt;0,RANK(D544,$D$526:$D$544),)</f>
        <v>0</v>
      </c>
      <c r="J544" s="621">
        <f>IF(E544&gt;0,RANK(E544,$E$526:$E$544),)</f>
        <v>0</v>
      </c>
      <c r="K544" s="621">
        <f>IF(F544&gt;0,RANK(F544,$F$526:$F$544),)</f>
        <v>0</v>
      </c>
      <c r="L544" s="1181"/>
      <c r="M544" s="1172">
        <f>+'[1]NEW-Tables 80-86'!AZ213</f>
        <v>0</v>
      </c>
    </row>
    <row r="545" spans="1:13" s="76" customFormat="1" ht="34.5" customHeight="1">
      <c r="A545" s="1405" t="s">
        <v>25</v>
      </c>
      <c r="B545" s="1450"/>
      <c r="C545" s="1450"/>
      <c r="D545" s="1450"/>
      <c r="E545" s="1450"/>
      <c r="F545" s="1450"/>
      <c r="G545" s="1450"/>
      <c r="H545" s="1450"/>
      <c r="I545" s="1450"/>
      <c r="J545" s="1450"/>
      <c r="K545" s="1450"/>
      <c r="L545" s="170"/>
      <c r="M545" s="1172"/>
    </row>
    <row r="546" spans="1:13" s="207" customFormat="1" ht="13.5" customHeight="1">
      <c r="A546" s="1405" t="s">
        <v>80</v>
      </c>
      <c r="B546" s="1450"/>
      <c r="C546" s="1450"/>
      <c r="D546" s="1450"/>
      <c r="E546" s="1450"/>
      <c r="F546" s="1450"/>
      <c r="G546" s="1450"/>
      <c r="H546" s="1450"/>
      <c r="I546" s="1450"/>
      <c r="J546" s="1450"/>
      <c r="K546" s="1450"/>
      <c r="L546" s="206"/>
      <c r="M546" s="1199"/>
    </row>
    <row r="547" spans="1:13" s="547" customFormat="1" ht="13.5" customHeight="1">
      <c r="A547" s="1405" t="s">
        <v>332</v>
      </c>
      <c r="B547" s="1456"/>
      <c r="C547" s="1456"/>
      <c r="D547" s="1456"/>
      <c r="E547" s="1456"/>
      <c r="F547" s="1456"/>
      <c r="G547" s="1457"/>
      <c r="H547" s="1457"/>
      <c r="I547" s="1457"/>
      <c r="J547" s="1457"/>
      <c r="K547" s="1457"/>
      <c r="L547" s="1181"/>
      <c r="M547" s="1186"/>
    </row>
    <row r="548" spans="1:13" s="547" customFormat="1" ht="13.5" customHeight="1">
      <c r="A548" s="1167"/>
      <c r="B548" s="1180"/>
      <c r="C548" s="1180"/>
      <c r="D548" s="1180"/>
      <c r="E548" s="1180"/>
      <c r="F548" s="1180"/>
      <c r="G548" s="1182"/>
      <c r="H548" s="1182"/>
      <c r="I548" s="1182"/>
      <c r="J548" s="1182"/>
      <c r="K548" s="1182"/>
      <c r="L548" s="1181"/>
      <c r="M548" s="1186"/>
    </row>
    <row r="549" spans="1:13">
      <c r="K549" s="591" t="s">
        <v>2018</v>
      </c>
    </row>
  </sheetData>
  <mergeCells count="115">
    <mergeCell ref="A547:K547"/>
    <mergeCell ref="A519:K519"/>
    <mergeCell ref="A520:K520"/>
    <mergeCell ref="B522:F522"/>
    <mergeCell ref="G522:K522"/>
    <mergeCell ref="A545:K545"/>
    <mergeCell ref="A546:K546"/>
    <mergeCell ref="B490:F490"/>
    <mergeCell ref="G490:K490"/>
    <mergeCell ref="A513:K513"/>
    <mergeCell ref="A514:K514"/>
    <mergeCell ref="A515:K515"/>
    <mergeCell ref="A518:K518"/>
    <mergeCell ref="A481:K481"/>
    <mergeCell ref="A482:K482"/>
    <mergeCell ref="A483:K483"/>
    <mergeCell ref="A486:K486"/>
    <mergeCell ref="A487:K487"/>
    <mergeCell ref="A488:K488"/>
    <mergeCell ref="A450:K450"/>
    <mergeCell ref="A451:K451"/>
    <mergeCell ref="A454:K454"/>
    <mergeCell ref="A455:K455"/>
    <mergeCell ref="A456:K456"/>
    <mergeCell ref="B458:F458"/>
    <mergeCell ref="A419:K419"/>
    <mergeCell ref="A422:K422"/>
    <mergeCell ref="A423:K423"/>
    <mergeCell ref="A424:K424"/>
    <mergeCell ref="B426:F426"/>
    <mergeCell ref="A449:K449"/>
    <mergeCell ref="A390:K390"/>
    <mergeCell ref="A391:K391"/>
    <mergeCell ref="B393:F393"/>
    <mergeCell ref="A416:K416"/>
    <mergeCell ref="A417:K417"/>
    <mergeCell ref="A418:K418"/>
    <mergeCell ref="B359:F359"/>
    <mergeCell ref="A382:K382"/>
    <mergeCell ref="A384:K384"/>
    <mergeCell ref="A385:K385"/>
    <mergeCell ref="A386:K386"/>
    <mergeCell ref="A389:K389"/>
    <mergeCell ref="A350:K350"/>
    <mergeCell ref="A351:K351"/>
    <mergeCell ref="A352:K352"/>
    <mergeCell ref="A355:K355"/>
    <mergeCell ref="A356:K356"/>
    <mergeCell ref="A357:K357"/>
    <mergeCell ref="A319:K319"/>
    <mergeCell ref="A322:K322"/>
    <mergeCell ref="A323:K323"/>
    <mergeCell ref="A324:K324"/>
    <mergeCell ref="B326:F326"/>
    <mergeCell ref="A349:K349"/>
    <mergeCell ref="A290:K290"/>
    <mergeCell ref="A291:K291"/>
    <mergeCell ref="B293:F293"/>
    <mergeCell ref="A316:K316"/>
    <mergeCell ref="A317:K317"/>
    <mergeCell ref="A318:K318"/>
    <mergeCell ref="A259:K259"/>
    <mergeCell ref="B261:F261"/>
    <mergeCell ref="A284:K284"/>
    <mergeCell ref="A285:K285"/>
    <mergeCell ref="A286:K286"/>
    <mergeCell ref="A289:K289"/>
    <mergeCell ref="B229:F229"/>
    <mergeCell ref="A252:K252"/>
    <mergeCell ref="A253:K253"/>
    <mergeCell ref="A254:K254"/>
    <mergeCell ref="A257:K257"/>
    <mergeCell ref="A258:K258"/>
    <mergeCell ref="A195:I195"/>
    <mergeCell ref="A220:I220"/>
    <mergeCell ref="A221:I221"/>
    <mergeCell ref="A225:K225"/>
    <mergeCell ref="A226:K226"/>
    <mergeCell ref="A227:K227"/>
    <mergeCell ref="A163:I163"/>
    <mergeCell ref="A188:I188"/>
    <mergeCell ref="A189:I189"/>
    <mergeCell ref="A190:K190"/>
    <mergeCell ref="A193:I193"/>
    <mergeCell ref="A194:I194"/>
    <mergeCell ref="A131:I131"/>
    <mergeCell ref="A157:I157"/>
    <mergeCell ref="A158:I158"/>
    <mergeCell ref="A159:I159"/>
    <mergeCell ref="A161:I161"/>
    <mergeCell ref="A162:I162"/>
    <mergeCell ref="A98:I98"/>
    <mergeCell ref="A99:I99"/>
    <mergeCell ref="A124:I124"/>
    <mergeCell ref="A125:I125"/>
    <mergeCell ref="A129:I129"/>
    <mergeCell ref="A130:I130"/>
    <mergeCell ref="A92:I92"/>
    <mergeCell ref="A93:I93"/>
    <mergeCell ref="A97:I97"/>
    <mergeCell ref="A33:I33"/>
    <mergeCell ref="A34:I34"/>
    <mergeCell ref="A35:I35"/>
    <mergeCell ref="A60:I60"/>
    <mergeCell ref="A61:I61"/>
    <mergeCell ref="A62:K62"/>
    <mergeCell ref="A29:I29"/>
    <mergeCell ref="A30:I30"/>
    <mergeCell ref="A31:I31"/>
    <mergeCell ref="A2:I2"/>
    <mergeCell ref="B5:E5"/>
    <mergeCell ref="F5:I5"/>
    <mergeCell ref="A65:I65"/>
    <mergeCell ref="A66:I66"/>
    <mergeCell ref="A67:I67"/>
  </mergeCells>
  <printOptions horizontalCentered="1"/>
  <pageMargins left="0.5" right="0.5" top="0.85" bottom="0.42" header="0.85" footer="0.4"/>
  <pageSetup scale="94" firstPageNumber="117" orientation="landscape" useFirstPageNumber="1" r:id="rId1"/>
  <headerFooter alignWithMargins="0">
    <oddHeader>&amp;R&amp;"Arial,Regular"&amp;8SREB-State Data Exchange</oddHeader>
    <oddFooter>&amp;C&amp;"Arial,Regular"C-&amp;P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9.xml><?xml version="1.0" encoding="utf-8"?>
<worksheet xmlns="http://schemas.openxmlformats.org/spreadsheetml/2006/main" xmlns:r="http://schemas.openxmlformats.org/officeDocument/2006/relationships">
  <sheetPr enableFormatConditionsCalculation="0">
    <tabColor indexed="17"/>
  </sheetPr>
  <dimension ref="A1:AM151"/>
  <sheetViews>
    <sheetView zoomScale="90" zoomScaleNormal="90" workbookViewId="0">
      <pane xSplit="4" ySplit="3" topLeftCell="L49" activePane="bottomRight" state="frozen"/>
      <selection pane="topRight" activeCell="E1" sqref="E1"/>
      <selection pane="bottomLeft" activeCell="A4" sqref="A4"/>
      <selection pane="bottomRight" activeCell="R67" sqref="R67"/>
    </sheetView>
  </sheetViews>
  <sheetFormatPr defaultRowHeight="12.75"/>
  <cols>
    <col min="1" max="1" width="11.125" style="464" customWidth="1"/>
    <col min="2" max="2" width="37.125" style="421" customWidth="1"/>
    <col min="3" max="3" width="6.5" style="393" customWidth="1"/>
    <col min="4" max="4" width="8.75" style="393" customWidth="1"/>
    <col min="5" max="5" width="13.5" style="393" customWidth="1"/>
    <col min="6" max="17" width="13.5" style="393" bestFit="1" customWidth="1"/>
    <col min="18" max="18" width="13.5" style="393" customWidth="1"/>
    <col min="19" max="20" width="13.5" style="393" bestFit="1" customWidth="1"/>
    <col min="21" max="21" width="13.5" style="400" customWidth="1"/>
    <col min="22" max="22" width="4.5" style="400" bestFit="1" customWidth="1"/>
    <col min="23" max="23" width="6.5" style="393" customWidth="1"/>
    <col min="24" max="24" width="4.25" style="393" customWidth="1"/>
    <col min="25" max="25" width="4.5" style="393" bestFit="1" customWidth="1"/>
    <col min="26" max="26" width="6" style="393" customWidth="1"/>
    <col min="27" max="27" width="5.125" style="393" customWidth="1"/>
    <col min="28" max="28" width="4.875" style="393" bestFit="1" customWidth="1"/>
    <col min="29" max="29" width="5.625" style="393" customWidth="1"/>
    <col min="30" max="31" width="6" style="393" customWidth="1"/>
    <col min="32" max="32" width="5.125" style="393" customWidth="1"/>
    <col min="33" max="33" width="4.5" style="393" bestFit="1" customWidth="1"/>
    <col min="34" max="34" width="5.625" style="393" customWidth="1"/>
    <col min="35" max="35" width="4.5" style="393" bestFit="1" customWidth="1"/>
    <col min="36" max="36" width="5.625" style="393" customWidth="1"/>
    <col min="37" max="37" width="5.25" style="393" customWidth="1"/>
    <col min="38" max="38" width="5" style="393" bestFit="1" customWidth="1"/>
    <col min="39" max="39" width="6.375" style="393" customWidth="1"/>
    <col min="40" max="16384" width="9" style="400"/>
  </cols>
  <sheetData>
    <row r="1" spans="1:39">
      <c r="A1" s="483"/>
      <c r="B1" s="468"/>
      <c r="C1" s="394"/>
      <c r="D1" s="394"/>
      <c r="E1" s="394"/>
      <c r="F1" s="394"/>
      <c r="G1" s="416"/>
      <c r="H1" s="416"/>
      <c r="I1" s="394"/>
      <c r="J1" s="394"/>
      <c r="K1" s="394"/>
      <c r="L1" s="394"/>
      <c r="M1" s="394"/>
      <c r="N1" s="394"/>
      <c r="O1" s="394"/>
      <c r="P1" s="394"/>
      <c r="Q1" s="394"/>
      <c r="R1" s="394"/>
      <c r="S1" s="394"/>
      <c r="T1" s="394"/>
      <c r="U1" s="469"/>
      <c r="V1" s="469"/>
      <c r="W1" s="513" t="s">
        <v>524</v>
      </c>
      <c r="X1" s="513"/>
      <c r="Y1" s="513"/>
      <c r="Z1" s="513"/>
      <c r="AA1" s="513"/>
      <c r="AB1" s="513"/>
      <c r="AC1" s="513"/>
      <c r="AD1" s="513"/>
      <c r="AE1" s="513"/>
      <c r="AF1" s="513"/>
      <c r="AG1" s="513"/>
      <c r="AH1" s="513"/>
      <c r="AI1" s="513"/>
      <c r="AJ1" s="513"/>
      <c r="AK1" s="513"/>
      <c r="AL1" s="513"/>
      <c r="AM1" s="513"/>
    </row>
    <row r="2" spans="1:39">
      <c r="C2" s="1231"/>
      <c r="D2" s="1232"/>
      <c r="E2" s="1204" t="s">
        <v>182</v>
      </c>
      <c r="F2" s="1216"/>
      <c r="G2" s="1216"/>
      <c r="H2" s="1216"/>
      <c r="I2" s="1216"/>
      <c r="J2" s="1216"/>
      <c r="K2" s="1216"/>
      <c r="L2" s="1216"/>
      <c r="M2" s="1216"/>
      <c r="N2" s="1216"/>
      <c r="O2" s="1216"/>
      <c r="P2" s="1216"/>
      <c r="Q2" s="1216"/>
      <c r="R2" s="1216"/>
      <c r="S2" s="1216"/>
      <c r="T2" s="1216"/>
      <c r="U2" s="1233"/>
      <c r="V2" s="394"/>
      <c r="W2" s="514" t="s">
        <v>182</v>
      </c>
      <c r="X2" s="515"/>
      <c r="Y2" s="515"/>
      <c r="Z2" s="515"/>
      <c r="AA2" s="515"/>
      <c r="AB2" s="515"/>
      <c r="AC2" s="515"/>
      <c r="AD2" s="515"/>
      <c r="AE2" s="515"/>
      <c r="AF2" s="515"/>
      <c r="AG2" s="515"/>
      <c r="AH2" s="515"/>
      <c r="AI2" s="515"/>
      <c r="AJ2" s="515"/>
      <c r="AK2" s="515"/>
      <c r="AL2" s="515"/>
      <c r="AM2" s="516"/>
    </row>
    <row r="3" spans="1:39">
      <c r="C3" s="1204" t="s">
        <v>184</v>
      </c>
      <c r="D3" s="1204" t="s">
        <v>177</v>
      </c>
      <c r="E3" s="1234" t="s">
        <v>202</v>
      </c>
      <c r="F3" s="1217" t="s">
        <v>203</v>
      </c>
      <c r="G3" s="1217" t="s">
        <v>208</v>
      </c>
      <c r="H3" s="1217" t="s">
        <v>209</v>
      </c>
      <c r="I3" s="1217" t="s">
        <v>204</v>
      </c>
      <c r="J3" s="1217" t="s">
        <v>210</v>
      </c>
      <c r="K3" s="1217" t="s">
        <v>205</v>
      </c>
      <c r="L3" s="1217" t="s">
        <v>211</v>
      </c>
      <c r="M3" s="1217" t="s">
        <v>212</v>
      </c>
      <c r="N3" s="1217" t="s">
        <v>213</v>
      </c>
      <c r="O3" s="1217" t="s">
        <v>214</v>
      </c>
      <c r="P3" s="1217" t="s">
        <v>206</v>
      </c>
      <c r="Q3" s="1217" t="s">
        <v>215</v>
      </c>
      <c r="R3" s="1217" t="s">
        <v>207</v>
      </c>
      <c r="S3" s="1217" t="s">
        <v>216</v>
      </c>
      <c r="T3" s="1217" t="s">
        <v>217</v>
      </c>
      <c r="U3" s="1235" t="s">
        <v>467</v>
      </c>
      <c r="V3" s="496"/>
      <c r="W3" s="517" t="s">
        <v>202</v>
      </c>
      <c r="X3" s="518" t="s">
        <v>203</v>
      </c>
      <c r="Y3" s="518" t="s">
        <v>208</v>
      </c>
      <c r="Z3" s="518" t="s">
        <v>209</v>
      </c>
      <c r="AA3" s="518" t="s">
        <v>204</v>
      </c>
      <c r="AB3" s="518" t="s">
        <v>210</v>
      </c>
      <c r="AC3" s="518" t="s">
        <v>205</v>
      </c>
      <c r="AD3" s="518" t="s">
        <v>211</v>
      </c>
      <c r="AE3" s="518" t="s">
        <v>212</v>
      </c>
      <c r="AF3" s="518" t="s">
        <v>213</v>
      </c>
      <c r="AG3" s="518" t="s">
        <v>214</v>
      </c>
      <c r="AH3" s="518" t="s">
        <v>206</v>
      </c>
      <c r="AI3" s="518" t="s">
        <v>215</v>
      </c>
      <c r="AJ3" s="518" t="s">
        <v>207</v>
      </c>
      <c r="AK3" s="518" t="s">
        <v>216</v>
      </c>
      <c r="AL3" s="518" t="s">
        <v>217</v>
      </c>
      <c r="AM3" s="519" t="s">
        <v>525</v>
      </c>
    </row>
    <row r="4" spans="1:39">
      <c r="A4" s="1468" t="s">
        <v>485</v>
      </c>
      <c r="B4" s="466" t="s">
        <v>345</v>
      </c>
      <c r="C4" s="1236" t="s">
        <v>392</v>
      </c>
      <c r="D4" s="1237" t="s">
        <v>271</v>
      </c>
      <c r="E4" s="1238">
        <v>2209887798.52</v>
      </c>
      <c r="F4" s="1251">
        <v>1243053395.3699999</v>
      </c>
      <c r="G4" s="1251">
        <v>658394386</v>
      </c>
      <c r="H4" s="1251">
        <v>4533469606</v>
      </c>
      <c r="I4" s="1251">
        <v>3100393667.2200017</v>
      </c>
      <c r="J4" s="1251">
        <v>1866036768</v>
      </c>
      <c r="K4" s="1251">
        <v>1377994997</v>
      </c>
      <c r="L4" s="1251">
        <v>2774966654</v>
      </c>
      <c r="M4" s="1251">
        <v>1244646285</v>
      </c>
      <c r="N4" s="1251">
        <v>4030097123.6399994</v>
      </c>
      <c r="O4" s="1251">
        <v>1566973791</v>
      </c>
      <c r="P4" s="1251">
        <v>1985106328.6564732</v>
      </c>
      <c r="Q4" s="1251">
        <v>1878522625.5146215</v>
      </c>
      <c r="R4" s="1251">
        <v>10182195514</v>
      </c>
      <c r="S4" s="1251">
        <v>3107513071</v>
      </c>
      <c r="T4" s="1251">
        <v>740865051</v>
      </c>
      <c r="U4" s="1252">
        <v>42500117061.921097</v>
      </c>
      <c r="V4" s="427"/>
      <c r="W4" s="511">
        <f>IF(E4&gt;0,((E5-E4)/E4),)</f>
        <v>1.1796136209928079E-2</v>
      </c>
      <c r="X4" s="511">
        <f t="shared" ref="X4:AM4" si="0">IF(F4&gt;0,((F5-F4)/F4),)</f>
        <v>-7.5290525771937065E-3</v>
      </c>
      <c r="Y4" s="511">
        <f t="shared" si="0"/>
        <v>5.0071231925723013E-2</v>
      </c>
      <c r="Z4" s="511">
        <f t="shared" si="0"/>
        <v>6.6160213467889972E-2</v>
      </c>
      <c r="AA4" s="511">
        <f t="shared" si="0"/>
        <v>9.5919542284013989E-2</v>
      </c>
      <c r="AB4" s="511">
        <f t="shared" si="0"/>
        <v>6.3447030642860044E-2</v>
      </c>
      <c r="AC4" s="511">
        <f t="shared" si="0"/>
        <v>3.0182577651259788E-2</v>
      </c>
      <c r="AD4" s="511">
        <f t="shared" si="0"/>
        <v>3.9617095881686222E-3</v>
      </c>
      <c r="AE4" s="511">
        <f t="shared" si="0"/>
        <v>-1.6336307146090103E-2</v>
      </c>
      <c r="AF4" s="511">
        <f t="shared" si="0"/>
        <v>0.102683882463416</v>
      </c>
      <c r="AG4" s="511">
        <f t="shared" si="0"/>
        <v>2.2868367809222662E-2</v>
      </c>
      <c r="AH4" s="511">
        <f t="shared" si="0"/>
        <v>1.9323969140348605E-3</v>
      </c>
      <c r="AI4" s="511">
        <f t="shared" si="0"/>
        <v>0.13696318352791848</v>
      </c>
      <c r="AJ4" s="511">
        <f t="shared" si="0"/>
        <v>4.6229044546708356E-2</v>
      </c>
      <c r="AK4" s="511">
        <f t="shared" si="0"/>
        <v>7.9925576924467903E-2</v>
      </c>
      <c r="AL4" s="511">
        <f t="shared" si="0"/>
        <v>6.2975234068640123E-3</v>
      </c>
      <c r="AM4" s="511">
        <f t="shared" si="0"/>
        <v>5.2521718517249731E-2</v>
      </c>
    </row>
    <row r="5" spans="1:39">
      <c r="A5" s="1469"/>
      <c r="B5" s="477"/>
      <c r="C5" s="1239"/>
      <c r="D5" s="1240" t="s">
        <v>273</v>
      </c>
      <c r="E5" s="1241">
        <v>2235955936</v>
      </c>
      <c r="F5" s="1249">
        <v>1233694381</v>
      </c>
      <c r="G5" s="1249">
        <v>691361004</v>
      </c>
      <c r="H5" s="1249">
        <v>4833404922.8831511</v>
      </c>
      <c r="I5" s="1249">
        <v>3397782008.6799998</v>
      </c>
      <c r="J5" s="1249">
        <v>1984431259.9999995</v>
      </c>
      <c r="K5" s="1249">
        <v>1419586438</v>
      </c>
      <c r="L5" s="1249">
        <v>2785960266</v>
      </c>
      <c r="M5" s="1249">
        <v>1224313361</v>
      </c>
      <c r="N5" s="1249">
        <v>4443923143</v>
      </c>
      <c r="O5" s="1249">
        <v>1602807924</v>
      </c>
      <c r="P5" s="1249">
        <v>1988942342</v>
      </c>
      <c r="Q5" s="1249">
        <v>2135811064.6343279</v>
      </c>
      <c r="R5" s="1249">
        <v>10652908684</v>
      </c>
      <c r="S5" s="1249">
        <v>3355882846</v>
      </c>
      <c r="T5" s="1249">
        <v>745530666</v>
      </c>
      <c r="U5" s="1240">
        <v>44732296247.197479</v>
      </c>
      <c r="V5" s="394"/>
      <c r="W5" s="512"/>
      <c r="X5" s="512"/>
      <c r="Y5" s="512"/>
      <c r="Z5" s="512"/>
      <c r="AA5" s="512"/>
      <c r="AB5" s="512"/>
      <c r="AC5" s="512"/>
      <c r="AD5" s="512"/>
      <c r="AE5" s="512"/>
      <c r="AF5" s="512"/>
      <c r="AG5" s="512"/>
      <c r="AH5" s="512"/>
      <c r="AI5" s="512"/>
      <c r="AJ5" s="512"/>
      <c r="AK5" s="512"/>
      <c r="AL5" s="512"/>
      <c r="AM5" s="512"/>
    </row>
    <row r="6" spans="1:39">
      <c r="A6" s="1469"/>
      <c r="B6" s="466" t="s">
        <v>520</v>
      </c>
      <c r="C6" s="1204" t="s">
        <v>393</v>
      </c>
      <c r="D6" s="1204" t="s">
        <v>271</v>
      </c>
      <c r="E6" s="1242">
        <v>0</v>
      </c>
      <c r="F6" s="1202"/>
      <c r="G6" s="1202"/>
      <c r="H6" s="1202"/>
      <c r="I6" s="1202"/>
      <c r="J6" s="1202"/>
      <c r="K6" s="1202"/>
      <c r="L6" s="1202"/>
      <c r="M6" s="1202"/>
      <c r="N6" s="1202"/>
      <c r="O6" s="1202"/>
      <c r="P6" s="1202"/>
      <c r="Q6" s="1202"/>
      <c r="R6" s="1202"/>
      <c r="S6" s="1202"/>
      <c r="T6" s="1202"/>
      <c r="U6" s="1243">
        <v>0</v>
      </c>
      <c r="W6" s="511">
        <f>IF(E6&gt;0,((E7-E6)/E6),)</f>
        <v>0</v>
      </c>
      <c r="X6" s="511">
        <f t="shared" ref="X6" si="1">IF(F6&gt;0,((F7-F6)/F6),)</f>
        <v>0</v>
      </c>
      <c r="Y6" s="511">
        <f t="shared" ref="Y6" si="2">IF(G6&gt;0,((G7-G6)/G6),)</f>
        <v>0</v>
      </c>
      <c r="Z6" s="511">
        <f t="shared" ref="Z6" si="3">IF(H6&gt;0,((H7-H6)/H6),)</f>
        <v>0</v>
      </c>
      <c r="AA6" s="511">
        <f t="shared" ref="AA6" si="4">IF(I6&gt;0,((I7-I6)/I6),)</f>
        <v>0</v>
      </c>
      <c r="AB6" s="511">
        <f t="shared" ref="AB6" si="5">IF(J6&gt;0,((J7-J6)/J6),)</f>
        <v>0</v>
      </c>
      <c r="AC6" s="511">
        <f t="shared" ref="AC6" si="6">IF(K6&gt;0,((K7-K6)/K6),)</f>
        <v>0</v>
      </c>
      <c r="AD6" s="511">
        <f t="shared" ref="AD6" si="7">IF(L6&gt;0,((L7-L6)/L6),)</f>
        <v>0</v>
      </c>
      <c r="AE6" s="511">
        <f t="shared" ref="AE6" si="8">IF(M6&gt;0,((M7-M6)/M6),)</f>
        <v>0</v>
      </c>
      <c r="AF6" s="511">
        <f t="shared" ref="AF6" si="9">IF(N6&gt;0,((N7-N6)/N6),)</f>
        <v>0</v>
      </c>
      <c r="AG6" s="511">
        <f t="shared" ref="AG6" si="10">IF(O6&gt;0,((O7-O6)/O6),)</f>
        <v>0</v>
      </c>
      <c r="AH6" s="511">
        <f t="shared" ref="AH6" si="11">IF(P6&gt;0,((P7-P6)/P6),)</f>
        <v>0</v>
      </c>
      <c r="AI6" s="511">
        <f t="shared" ref="AI6" si="12">IF(Q6&gt;0,((Q7-Q6)/Q6),)</f>
        <v>0</v>
      </c>
      <c r="AJ6" s="511">
        <f t="shared" ref="AJ6" si="13">IF(R6&gt;0,((R7-R6)/R6),)</f>
        <v>0</v>
      </c>
      <c r="AK6" s="511">
        <f t="shared" ref="AK6" si="14">IF(S6&gt;0,((S7-S6)/S6),)</f>
        <v>0</v>
      </c>
      <c r="AL6" s="511">
        <f t="shared" ref="AL6" si="15">IF(T6&gt;0,((T7-T6)/T6),)</f>
        <v>0</v>
      </c>
      <c r="AM6" s="511">
        <f t="shared" ref="AM6" si="16">IF(U6&gt;0,((U7-U6)/U6),)</f>
        <v>0</v>
      </c>
    </row>
    <row r="7" spans="1:39" ht="13.5" thickBot="1">
      <c r="A7" s="1469"/>
      <c r="B7" s="400"/>
      <c r="C7" s="1223"/>
      <c r="D7" s="1205" t="s">
        <v>273</v>
      </c>
      <c r="E7" s="1225">
        <v>0</v>
      </c>
      <c r="F7" s="1203"/>
      <c r="G7" s="1203"/>
      <c r="H7" s="1203"/>
      <c r="I7" s="1203"/>
      <c r="J7" s="1203"/>
      <c r="K7" s="1203"/>
      <c r="L7" s="1203"/>
      <c r="M7" s="1203"/>
      <c r="N7" s="1203"/>
      <c r="O7" s="1203"/>
      <c r="P7" s="1203"/>
      <c r="Q7" s="1203"/>
      <c r="R7" s="1203"/>
      <c r="S7" s="1203"/>
      <c r="T7" s="1203"/>
      <c r="U7" s="1229">
        <v>0</v>
      </c>
      <c r="V7" s="497"/>
      <c r="W7" s="512"/>
      <c r="X7" s="512"/>
      <c r="Y7" s="512"/>
      <c r="Z7" s="512"/>
      <c r="AA7" s="512"/>
      <c r="AB7" s="512"/>
      <c r="AC7" s="512"/>
      <c r="AD7" s="512"/>
      <c r="AE7" s="512"/>
      <c r="AF7" s="512"/>
      <c r="AG7" s="512"/>
      <c r="AH7" s="512"/>
      <c r="AI7" s="512"/>
      <c r="AJ7" s="512"/>
      <c r="AK7" s="512"/>
      <c r="AL7" s="512"/>
      <c r="AM7" s="512"/>
    </row>
    <row r="8" spans="1:39">
      <c r="A8" s="1469"/>
      <c r="B8" s="479" t="s">
        <v>451</v>
      </c>
      <c r="C8" s="1204" t="s">
        <v>394</v>
      </c>
      <c r="D8" s="1221" t="s">
        <v>271</v>
      </c>
      <c r="E8" s="1230">
        <v>13014105</v>
      </c>
      <c r="F8" s="1218">
        <v>24568466</v>
      </c>
      <c r="G8" s="1218">
        <v>91800</v>
      </c>
      <c r="H8" s="1218">
        <v>44018459</v>
      </c>
      <c r="I8" s="1219">
        <v>8415436</v>
      </c>
      <c r="J8" s="1218">
        <v>22005100</v>
      </c>
      <c r="K8" s="1218"/>
      <c r="L8" s="1218"/>
      <c r="M8" s="1215">
        <v>263960</v>
      </c>
      <c r="N8" s="1218">
        <v>8396348</v>
      </c>
      <c r="O8" s="1218"/>
      <c r="P8" s="1219">
        <v>1354298</v>
      </c>
      <c r="Q8" s="1218">
        <v>8990000</v>
      </c>
      <c r="R8" s="1218">
        <v>33335173</v>
      </c>
      <c r="S8" s="1218"/>
      <c r="T8" s="1218"/>
      <c r="U8" s="1222">
        <v>164453145</v>
      </c>
      <c r="V8" s="394"/>
      <c r="W8" s="511">
        <f>IF(E8&gt;0,((E9-E8)/E8),)</f>
        <v>5.857944130618279E-2</v>
      </c>
      <c r="X8" s="511">
        <f t="shared" ref="X8" si="17">IF(F8&gt;0,((F9-F8)/F8),)</f>
        <v>-8.5859247378326353E-3</v>
      </c>
      <c r="Y8" s="511">
        <f t="shared" ref="Y8" si="18">IF(G8&gt;0,((G9-G8)/G8),)</f>
        <v>0</v>
      </c>
      <c r="Z8" s="511">
        <f t="shared" ref="Z8" si="19">IF(H8&gt;0,((H9-H8)/H8),)</f>
        <v>-4.7278120299486179E-3</v>
      </c>
      <c r="AA8" s="511">
        <f t="shared" ref="AA8" si="20">IF(I8&gt;0,((I9-I8)/I8),)</f>
        <v>-7.206899321675074E-2</v>
      </c>
      <c r="AB8" s="511">
        <f t="shared" ref="AB8" si="21">IF(J8&gt;0,((J9-J8)/J8),)</f>
        <v>-5.9669076714034472E-2</v>
      </c>
      <c r="AC8" s="511">
        <f t="shared" ref="AC8" si="22">IF(K8&gt;0,((K9-K8)/K8),)</f>
        <v>0</v>
      </c>
      <c r="AD8" s="511">
        <f t="shared" ref="AD8" si="23">IF(L8&gt;0,((L9-L8)/L8),)</f>
        <v>0</v>
      </c>
      <c r="AE8" s="511">
        <f t="shared" ref="AE8" si="24">IF(M8&gt;0,((M9-M8)/M8),)</f>
        <v>-4.9158963479315046E-2</v>
      </c>
      <c r="AF8" s="511">
        <f t="shared" ref="AF8" si="25">IF(N8&gt;0,((N9-N8)/N8),)</f>
        <v>5.6772182382149955E-2</v>
      </c>
      <c r="AG8" s="511">
        <f t="shared" ref="AG8" si="26">IF(O8&gt;0,((O9-O8)/O8),)</f>
        <v>0</v>
      </c>
      <c r="AH8" s="511">
        <f t="shared" ref="AH8" si="27">IF(P8&gt;0,((P9-P8)/P8),)</f>
        <v>-0.79530132954490074</v>
      </c>
      <c r="AI8" s="511">
        <f t="shared" ref="AI8" si="28">IF(Q8&gt;0,((Q9-Q8)/Q8),)</f>
        <v>2.8546718576195774E-2</v>
      </c>
      <c r="AJ8" s="511">
        <f t="shared" ref="AJ8" si="29">IF(R8&gt;0,((R9-R8)/R8),)</f>
        <v>-4.7484679320548298E-2</v>
      </c>
      <c r="AK8" s="511">
        <f t="shared" ref="AK8" si="30">IF(S8&gt;0,((S9-S8)/S8),)</f>
        <v>0</v>
      </c>
      <c r="AL8" s="511">
        <f t="shared" ref="AL8" si="31">IF(T8&gt;0,((T9-T8)/T8),)</f>
        <v>0</v>
      </c>
      <c r="AM8" s="511">
        <f t="shared" ref="AM8" si="32">IF(U8&gt;0,((U9-U8)/U8),)</f>
        <v>-2.1379086426106354E-2</v>
      </c>
    </row>
    <row r="9" spans="1:39" ht="13.5" thickBot="1">
      <c r="A9" s="1469"/>
      <c r="B9" s="480"/>
      <c r="C9" s="1223"/>
      <c r="D9" s="1224" t="s">
        <v>273</v>
      </c>
      <c r="E9" s="1225">
        <v>13776464</v>
      </c>
      <c r="F9" s="1203">
        <v>24357523</v>
      </c>
      <c r="G9" s="1203">
        <v>91800</v>
      </c>
      <c r="H9" s="1203">
        <v>43810348</v>
      </c>
      <c r="I9" s="1210">
        <v>7808944</v>
      </c>
      <c r="J9" s="1203">
        <v>20692076</v>
      </c>
      <c r="K9" s="1203"/>
      <c r="L9" s="1203"/>
      <c r="M9" s="1203">
        <v>250984</v>
      </c>
      <c r="N9" s="1203">
        <v>8873027</v>
      </c>
      <c r="O9" s="1203"/>
      <c r="P9" s="1210">
        <v>277223</v>
      </c>
      <c r="Q9" s="1203">
        <v>9246635</v>
      </c>
      <c r="R9" s="1203">
        <v>31752263</v>
      </c>
      <c r="S9" s="1203"/>
      <c r="T9" s="1203"/>
      <c r="U9" s="1229">
        <v>160937287</v>
      </c>
      <c r="V9" s="485"/>
      <c r="W9" s="512"/>
      <c r="X9" s="512"/>
      <c r="Y9" s="512"/>
      <c r="Z9" s="512"/>
      <c r="AA9" s="512"/>
      <c r="AB9" s="512"/>
      <c r="AC9" s="512"/>
      <c r="AD9" s="512"/>
      <c r="AE9" s="512"/>
      <c r="AF9" s="512"/>
      <c r="AG9" s="512"/>
      <c r="AH9" s="512"/>
      <c r="AI9" s="512"/>
      <c r="AJ9" s="512"/>
      <c r="AK9" s="512"/>
      <c r="AL9" s="512"/>
      <c r="AM9" s="512"/>
    </row>
    <row r="10" spans="1:39">
      <c r="A10" s="1469"/>
      <c r="B10" s="479" t="s">
        <v>386</v>
      </c>
      <c r="C10" s="1204" t="s">
        <v>395</v>
      </c>
      <c r="D10" s="1221" t="s">
        <v>271</v>
      </c>
      <c r="E10" s="1230">
        <v>2775000</v>
      </c>
      <c r="F10" s="1218"/>
      <c r="G10" s="1218"/>
      <c r="H10" s="1218"/>
      <c r="I10" s="1218"/>
      <c r="J10" s="1218"/>
      <c r="K10" s="1218"/>
      <c r="L10" s="1218">
        <v>0</v>
      </c>
      <c r="M10" s="1215"/>
      <c r="N10" s="1218"/>
      <c r="O10" s="1218"/>
      <c r="P10" s="1218"/>
      <c r="Q10" s="1218"/>
      <c r="R10" s="1218"/>
      <c r="S10" s="1218"/>
      <c r="T10" s="1218"/>
      <c r="U10" s="1222">
        <v>2775000</v>
      </c>
      <c r="V10" s="427"/>
      <c r="W10" s="511">
        <f>IF(E10&gt;0,((E11-E10)/E10),)</f>
        <v>-2.9999639639639638E-2</v>
      </c>
      <c r="X10" s="511">
        <f t="shared" ref="X10" si="33">IF(F10&gt;0,((F11-F10)/F10),)</f>
        <v>0</v>
      </c>
      <c r="Y10" s="511">
        <f t="shared" ref="Y10" si="34">IF(G10&gt;0,((G11-G10)/G10),)</f>
        <v>0</v>
      </c>
      <c r="Z10" s="511">
        <f t="shared" ref="Z10" si="35">IF(H10&gt;0,((H11-H10)/H10),)</f>
        <v>0</v>
      </c>
      <c r="AA10" s="511">
        <f t="shared" ref="AA10" si="36">IF(I10&gt;0,((I11-I10)/I10),)</f>
        <v>0</v>
      </c>
      <c r="AB10" s="511">
        <f t="shared" ref="AB10" si="37">IF(J10&gt;0,((J11-J10)/J10),)</f>
        <v>0</v>
      </c>
      <c r="AC10" s="511">
        <f t="shared" ref="AC10" si="38">IF(K10&gt;0,((K11-K10)/K10),)</f>
        <v>0</v>
      </c>
      <c r="AD10" s="511">
        <f t="shared" ref="AD10" si="39">IF(L10&gt;0,((L11-L10)/L10),)</f>
        <v>0</v>
      </c>
      <c r="AE10" s="511">
        <f t="shared" ref="AE10" si="40">IF(M10&gt;0,((M11-M10)/M10),)</f>
        <v>0</v>
      </c>
      <c r="AF10" s="511">
        <f t="shared" ref="AF10" si="41">IF(N10&gt;0,((N11-N10)/N10),)</f>
        <v>0</v>
      </c>
      <c r="AG10" s="511">
        <f t="shared" ref="AG10" si="42">IF(O10&gt;0,((O11-O10)/O10),)</f>
        <v>0</v>
      </c>
      <c r="AH10" s="511">
        <f t="shared" ref="AH10" si="43">IF(P10&gt;0,((P11-P10)/P10),)</f>
        <v>0</v>
      </c>
      <c r="AI10" s="511">
        <f t="shared" ref="AI10" si="44">IF(Q10&gt;0,((Q11-Q10)/Q10),)</f>
        <v>0</v>
      </c>
      <c r="AJ10" s="511">
        <f t="shared" ref="AJ10" si="45">IF(R10&gt;0,((R11-R10)/R10),)</f>
        <v>0</v>
      </c>
      <c r="AK10" s="511">
        <f t="shared" ref="AK10" si="46">IF(S10&gt;0,((S11-S10)/S10),)</f>
        <v>0</v>
      </c>
      <c r="AL10" s="511">
        <f t="shared" ref="AL10" si="47">IF(T10&gt;0,((T11-T10)/T10),)</f>
        <v>0</v>
      </c>
      <c r="AM10" s="511">
        <f t="shared" ref="AM10" si="48">IF(U10&gt;0,((U11-U10)/U10),)</f>
        <v>-2.9999639639639638E-2</v>
      </c>
    </row>
    <row r="11" spans="1:39" ht="13.5" thickBot="1">
      <c r="A11" s="1469"/>
      <c r="B11" s="400"/>
      <c r="C11" s="1223"/>
      <c r="D11" s="1224" t="s">
        <v>273</v>
      </c>
      <c r="E11" s="1225">
        <v>2691751</v>
      </c>
      <c r="F11" s="1203"/>
      <c r="G11" s="1203"/>
      <c r="H11" s="1203"/>
      <c r="I11" s="1203"/>
      <c r="J11" s="1203"/>
      <c r="K11" s="1203"/>
      <c r="L11" s="1203">
        <v>0</v>
      </c>
      <c r="M11" s="1203"/>
      <c r="N11" s="1203"/>
      <c r="O11" s="1203"/>
      <c r="P11" s="1203"/>
      <c r="Q11" s="1203"/>
      <c r="R11" s="1203"/>
      <c r="S11" s="1203"/>
      <c r="T11" s="1203"/>
      <c r="U11" s="1229">
        <v>2691751</v>
      </c>
      <c r="V11" s="394"/>
      <c r="W11" s="512"/>
      <c r="X11" s="512"/>
      <c r="Y11" s="512"/>
      <c r="Z11" s="512"/>
      <c r="AA11" s="512"/>
      <c r="AB11" s="512"/>
      <c r="AC11" s="512"/>
      <c r="AD11" s="512"/>
      <c r="AE11" s="512"/>
      <c r="AF11" s="512"/>
      <c r="AG11" s="512"/>
      <c r="AH11" s="512"/>
      <c r="AI11" s="512"/>
      <c r="AJ11" s="512"/>
      <c r="AK11" s="512"/>
      <c r="AL11" s="512"/>
      <c r="AM11" s="512"/>
    </row>
    <row r="12" spans="1:39">
      <c r="A12" s="1469"/>
      <c r="B12" s="479" t="s">
        <v>385</v>
      </c>
      <c r="C12" s="1204" t="s">
        <v>396</v>
      </c>
      <c r="D12" s="1221" t="s">
        <v>271</v>
      </c>
      <c r="E12" s="1230">
        <v>37910021</v>
      </c>
      <c r="F12" s="1218"/>
      <c r="G12" s="1219">
        <v>2303197</v>
      </c>
      <c r="H12" s="1218">
        <v>123592756</v>
      </c>
      <c r="I12" s="1218">
        <v>31668434</v>
      </c>
      <c r="J12" s="1218">
        <v>65693900</v>
      </c>
      <c r="K12" s="1218">
        <v>47909919</v>
      </c>
      <c r="L12" s="1218">
        <v>17379537</v>
      </c>
      <c r="M12" s="1218">
        <v>33308183</v>
      </c>
      <c r="N12" s="1218">
        <v>42238279</v>
      </c>
      <c r="O12" s="1219">
        <v>29755007</v>
      </c>
      <c r="P12" s="1218">
        <v>37424399</v>
      </c>
      <c r="Q12" s="1218">
        <v>34404300</v>
      </c>
      <c r="R12" s="1218">
        <v>67658198</v>
      </c>
      <c r="S12" s="1218">
        <v>34316886</v>
      </c>
      <c r="T12" s="1218">
        <v>16244913</v>
      </c>
      <c r="U12" s="1222">
        <v>621807929</v>
      </c>
      <c r="V12" s="429"/>
      <c r="W12" s="511">
        <f>IF(E12&gt;0,((E13-E12)/E12),)</f>
        <v>2.180708367320609E-2</v>
      </c>
      <c r="X12" s="511">
        <f t="shared" ref="X12" si="49">IF(F12&gt;0,((F13-F12)/F12),)</f>
        <v>0</v>
      </c>
      <c r="Y12" s="511">
        <f t="shared" ref="Y12" si="50">IF(G12&gt;0,((G13-G12)/G12),)</f>
        <v>0</v>
      </c>
      <c r="Z12" s="511">
        <f t="shared" ref="Z12" si="51">IF(H12&gt;0,((H13-H12)/H12),)</f>
        <v>-4.4460882480847015E-2</v>
      </c>
      <c r="AA12" s="511">
        <f t="shared" ref="AA12" si="52">IF(I12&gt;0,((I13-I12)/I12),)</f>
        <v>-6.4846244054884428E-2</v>
      </c>
      <c r="AB12" s="511">
        <f t="shared" ref="AB12" si="53">IF(J12&gt;0,((J13-J12)/J12),)</f>
        <v>-1.1187081296741402E-2</v>
      </c>
      <c r="AC12" s="511">
        <f t="shared" ref="AC12" si="54">IF(K12&gt;0,((K13-K12)/K12),)</f>
        <v>-9.4010950008076619E-2</v>
      </c>
      <c r="AD12" s="511">
        <f t="shared" ref="AD12" si="55">IF(L12&gt;0,((L13-L12)/L12),)</f>
        <v>0.10369729642394962</v>
      </c>
      <c r="AE12" s="511">
        <f t="shared" ref="AE12" si="56">IF(M12&gt;0,((M13-M12)/M12),)</f>
        <v>-2.4756529048732559E-2</v>
      </c>
      <c r="AF12" s="511">
        <f t="shared" ref="AF12" si="57">IF(N12&gt;0,((N13-N12)/N12),)</f>
        <v>4.4866435017392639E-2</v>
      </c>
      <c r="AG12" s="511">
        <f t="shared" ref="AG12" si="58">IF(O12&gt;0,((O13-O12)/O12),)</f>
        <v>-5.0218606905385703E-2</v>
      </c>
      <c r="AH12" s="511">
        <f t="shared" ref="AH12" si="59">IF(P12&gt;0,((P13-P12)/P12),)</f>
        <v>-0.19074080521640441</v>
      </c>
      <c r="AI12" s="511">
        <f t="shared" ref="AI12" si="60">IF(Q12&gt;0,((Q13-Q12)/Q12),)</f>
        <v>6.5124882645483273E-2</v>
      </c>
      <c r="AJ12" s="511">
        <f t="shared" ref="AJ12" si="61">IF(R12&gt;0,((R13-R12)/R12),)</f>
        <v>3.2355088735883865E-2</v>
      </c>
      <c r="AK12" s="511">
        <f t="shared" ref="AK12" si="62">IF(S12&gt;0,((S13-S12)/S12),)</f>
        <v>5.6981947604453388E-2</v>
      </c>
      <c r="AL12" s="511">
        <f t="shared" ref="AL12" si="63">IF(T12&gt;0,((T13-T12)/T12),)</f>
        <v>-3.4718560819623961E-2</v>
      </c>
      <c r="AM12" s="511">
        <f t="shared" ref="AM12" si="64">IF(U12&gt;0,((U13-U12)/U12),)</f>
        <v>-1.9137271245700051E-2</v>
      </c>
    </row>
    <row r="13" spans="1:39" ht="13.5" thickBot="1">
      <c r="A13" s="1469"/>
      <c r="B13" s="480"/>
      <c r="C13" s="1223"/>
      <c r="D13" s="1224" t="s">
        <v>273</v>
      </c>
      <c r="E13" s="1225">
        <v>38736728</v>
      </c>
      <c r="F13" s="1203"/>
      <c r="G13" s="1210">
        <v>2303197</v>
      </c>
      <c r="H13" s="1203">
        <v>118097713</v>
      </c>
      <c r="I13" s="1203">
        <v>29614855</v>
      </c>
      <c r="J13" s="1203">
        <v>64958977</v>
      </c>
      <c r="K13" s="1203">
        <v>43405862</v>
      </c>
      <c r="L13" s="1203">
        <v>19181748</v>
      </c>
      <c r="M13" s="1203">
        <v>32483588</v>
      </c>
      <c r="N13" s="1203">
        <v>44133360</v>
      </c>
      <c r="O13" s="1210">
        <v>28260752</v>
      </c>
      <c r="P13" s="1203">
        <v>30286039</v>
      </c>
      <c r="Q13" s="1203">
        <v>36644876</v>
      </c>
      <c r="R13" s="1203">
        <v>69847285</v>
      </c>
      <c r="S13" s="1203">
        <v>36272329</v>
      </c>
      <c r="T13" s="1203">
        <v>15680913</v>
      </c>
      <c r="U13" s="1229">
        <v>609908222</v>
      </c>
      <c r="V13" s="497"/>
      <c r="W13" s="512"/>
      <c r="X13" s="512"/>
      <c r="Y13" s="512"/>
      <c r="Z13" s="512"/>
      <c r="AA13" s="512"/>
      <c r="AB13" s="512"/>
      <c r="AC13" s="512"/>
      <c r="AD13" s="512"/>
      <c r="AE13" s="512"/>
      <c r="AF13" s="512"/>
      <c r="AG13" s="512"/>
      <c r="AH13" s="512"/>
      <c r="AI13" s="512"/>
      <c r="AJ13" s="512"/>
      <c r="AK13" s="512"/>
      <c r="AL13" s="512"/>
      <c r="AM13" s="512"/>
    </row>
    <row r="14" spans="1:39">
      <c r="A14" s="1469"/>
      <c r="B14" s="479" t="s">
        <v>384</v>
      </c>
      <c r="C14" s="1204" t="s">
        <v>397</v>
      </c>
      <c r="D14" s="1221" t="s">
        <v>271</v>
      </c>
      <c r="E14" s="1230">
        <v>29320262</v>
      </c>
      <c r="F14" s="1218"/>
      <c r="G14" s="1218">
        <v>2628703</v>
      </c>
      <c r="H14" s="1218"/>
      <c r="I14" s="1218">
        <v>37743953</v>
      </c>
      <c r="J14" s="1218"/>
      <c r="K14" s="1218">
        <v>35851855</v>
      </c>
      <c r="L14" s="1218">
        <v>15834373</v>
      </c>
      <c r="M14" s="1218">
        <v>22553105</v>
      </c>
      <c r="N14" s="1218">
        <v>57507443</v>
      </c>
      <c r="O14" s="1220">
        <v>27229189</v>
      </c>
      <c r="P14" s="1218"/>
      <c r="Q14" s="1218">
        <v>24257200</v>
      </c>
      <c r="R14" s="1218">
        <v>73526709</v>
      </c>
      <c r="S14" s="1218">
        <v>31037747</v>
      </c>
      <c r="T14" s="1218">
        <v>6423345</v>
      </c>
      <c r="U14" s="1222">
        <v>363913884</v>
      </c>
      <c r="V14" s="394"/>
      <c r="W14" s="511">
        <f>IF(E14&gt;0,((E15-E14)/E14),)</f>
        <v>2.4519392084559135E-2</v>
      </c>
      <c r="X14" s="511">
        <f t="shared" ref="X14" si="65">IF(F14&gt;0,((F15-F14)/F14),)</f>
        <v>0</v>
      </c>
      <c r="Y14" s="511">
        <f t="shared" ref="Y14" si="66">IF(G14&gt;0,((G15-G14)/G14),)</f>
        <v>0</v>
      </c>
      <c r="Z14" s="511">
        <f t="shared" ref="Z14" si="67">IF(H14&gt;0,((H15-H14)/H14),)</f>
        <v>0</v>
      </c>
      <c r="AA14" s="511">
        <f t="shared" ref="AA14" si="68">IF(I14&gt;0,((I15-I14)/I14),)</f>
        <v>-6.7058900799288293E-2</v>
      </c>
      <c r="AB14" s="511">
        <f t="shared" ref="AB14" si="69">IF(J14&gt;0,((J15-J14)/J14),)</f>
        <v>0</v>
      </c>
      <c r="AC14" s="511">
        <f t="shared" ref="AC14" si="70">IF(K14&gt;0,((K15-K14)/K14),)</f>
        <v>-0.17433410349338968</v>
      </c>
      <c r="AD14" s="511">
        <f t="shared" ref="AD14" si="71">IF(L14&gt;0,((L15-L14)/L14),)</f>
        <v>7.289856061872485E-2</v>
      </c>
      <c r="AE14" s="511">
        <f t="shared" ref="AE14" si="72">IF(M14&gt;0,((M15-M14)/M14),)</f>
        <v>-5.2643394335281105E-2</v>
      </c>
      <c r="AF14" s="511">
        <f t="shared" ref="AF14" si="73">IF(N14&gt;0,((N15-N14)/N14),)</f>
        <v>3.54197629687691E-2</v>
      </c>
      <c r="AG14" s="511">
        <f t="shared" ref="AG14" si="74">IF(O14&gt;0,((O15-O14)/O14),)</f>
        <v>-5.024398633393011E-2</v>
      </c>
      <c r="AH14" s="511">
        <f t="shared" ref="AH14" si="75">IF(P14&gt;0,((P15-P14)/P14),)</f>
        <v>0</v>
      </c>
      <c r="AI14" s="511">
        <f t="shared" ref="AI14" si="76">IF(Q14&gt;0,((Q15-Q14)/Q14),)</f>
        <v>5.001463483007107E-2</v>
      </c>
      <c r="AJ14" s="511">
        <f t="shared" ref="AJ14" si="77">IF(R14&gt;0,((R15-R14)/R14),)</f>
        <v>-0.13175731828280252</v>
      </c>
      <c r="AK14" s="511">
        <f t="shared" ref="AK14" si="78">IF(S14&gt;0,((S15-S14)/S14),)</f>
        <v>9.3934975370473899E-3</v>
      </c>
      <c r="AL14" s="511">
        <f t="shared" ref="AL14" si="79">IF(T14&gt;0,((T15-T14)/T14),)</f>
        <v>0.10554936719108191</v>
      </c>
      <c r="AM14" s="511">
        <f t="shared" ref="AM14" si="80">IF(U14&gt;0,((U15-U14)/U14),)</f>
        <v>-4.1030201529766309E-2</v>
      </c>
    </row>
    <row r="15" spans="1:39" ht="13.5" thickBot="1">
      <c r="A15" s="1469"/>
      <c r="B15" s="480"/>
      <c r="C15" s="1223"/>
      <c r="D15" s="1224" t="s">
        <v>273</v>
      </c>
      <c r="E15" s="1225">
        <v>30039177</v>
      </c>
      <c r="F15" s="1203"/>
      <c r="G15" s="1203">
        <v>2628703</v>
      </c>
      <c r="H15" s="1203"/>
      <c r="I15" s="1203">
        <v>35212885</v>
      </c>
      <c r="J15" s="1203"/>
      <c r="K15" s="1203">
        <v>29601654</v>
      </c>
      <c r="L15" s="1203">
        <v>16988676</v>
      </c>
      <c r="M15" s="1203">
        <v>21365833</v>
      </c>
      <c r="N15" s="1203">
        <v>59544343</v>
      </c>
      <c r="O15" s="1210">
        <v>25861086</v>
      </c>
      <c r="P15" s="1203"/>
      <c r="Q15" s="1203">
        <v>25470415</v>
      </c>
      <c r="R15" s="1203">
        <v>63839027</v>
      </c>
      <c r="S15" s="1203">
        <v>31329300</v>
      </c>
      <c r="T15" s="1203">
        <v>7101325</v>
      </c>
      <c r="U15" s="1229">
        <v>348982424</v>
      </c>
      <c r="V15" s="485"/>
      <c r="W15" s="512"/>
      <c r="X15" s="512"/>
      <c r="Y15" s="512"/>
      <c r="Z15" s="512"/>
      <c r="AA15" s="512"/>
      <c r="AB15" s="512"/>
      <c r="AC15" s="512"/>
      <c r="AD15" s="512"/>
      <c r="AE15" s="512"/>
      <c r="AF15" s="512"/>
      <c r="AG15" s="512"/>
      <c r="AH15" s="512"/>
      <c r="AI15" s="512"/>
      <c r="AJ15" s="512"/>
      <c r="AK15" s="512"/>
      <c r="AL15" s="512"/>
      <c r="AM15" s="512"/>
    </row>
    <row r="16" spans="1:39">
      <c r="A16" s="1469"/>
      <c r="B16" s="479" t="s">
        <v>440</v>
      </c>
      <c r="C16" s="1204" t="s">
        <v>398</v>
      </c>
      <c r="D16" s="1221" t="s">
        <v>271</v>
      </c>
      <c r="E16" s="1230"/>
      <c r="F16" s="1218"/>
      <c r="G16" s="1218"/>
      <c r="H16" s="1218"/>
      <c r="I16" s="1218">
        <v>6391518</v>
      </c>
      <c r="J16" s="1218"/>
      <c r="K16" s="1218"/>
      <c r="L16" s="1218"/>
      <c r="M16" s="1218"/>
      <c r="N16" s="1218"/>
      <c r="O16" s="1218"/>
      <c r="P16" s="1218"/>
      <c r="Q16" s="1218"/>
      <c r="R16" s="1218">
        <v>19013304</v>
      </c>
      <c r="S16" s="1218"/>
      <c r="T16" s="1218">
        <v>2834610</v>
      </c>
      <c r="U16" s="1222">
        <v>28239432</v>
      </c>
      <c r="V16" s="427"/>
      <c r="W16" s="511">
        <f>IF(E16&gt;0,((E17-E16)/E16),)</f>
        <v>0</v>
      </c>
      <c r="X16" s="511">
        <f t="shared" ref="X16" si="81">IF(F16&gt;0,((F17-F16)/F16),)</f>
        <v>0</v>
      </c>
      <c r="Y16" s="511">
        <f t="shared" ref="Y16" si="82">IF(G16&gt;0,((G17-G16)/G16),)</f>
        <v>0</v>
      </c>
      <c r="Z16" s="511">
        <f t="shared" ref="Z16" si="83">IF(H16&gt;0,((H17-H16)/H16),)</f>
        <v>0</v>
      </c>
      <c r="AA16" s="511">
        <f t="shared" ref="AA16" si="84">IF(I16&gt;0,((I17-I16)/I16),)</f>
        <v>-8.2094895140716176E-2</v>
      </c>
      <c r="AB16" s="511">
        <f t="shared" ref="AB16" si="85">IF(J16&gt;0,((J17-J16)/J16),)</f>
        <v>0</v>
      </c>
      <c r="AC16" s="511">
        <f t="shared" ref="AC16" si="86">IF(K16&gt;0,((K17-K16)/K16),)</f>
        <v>0</v>
      </c>
      <c r="AD16" s="511">
        <f t="shared" ref="AD16" si="87">IF(L16&gt;0,((L17-L16)/L16),)</f>
        <v>0</v>
      </c>
      <c r="AE16" s="511">
        <f t="shared" ref="AE16" si="88">IF(M16&gt;0,((M17-M16)/M16),)</f>
        <v>0</v>
      </c>
      <c r="AF16" s="511">
        <f t="shared" ref="AF16" si="89">IF(N16&gt;0,((N17-N16)/N16),)</f>
        <v>0</v>
      </c>
      <c r="AG16" s="511">
        <f t="shared" ref="AG16" si="90">IF(O16&gt;0,((O17-O16)/O16),)</f>
        <v>0</v>
      </c>
      <c r="AH16" s="511">
        <f t="shared" ref="AH16" si="91">IF(P16&gt;0,((P17-P16)/P16),)</f>
        <v>0</v>
      </c>
      <c r="AI16" s="511">
        <f t="shared" ref="AI16" si="92">IF(Q16&gt;0,((Q17-Q16)/Q16),)</f>
        <v>0</v>
      </c>
      <c r="AJ16" s="511">
        <f t="shared" ref="AJ16" si="93">IF(R16&gt;0,((R17-R16)/R16),)</f>
        <v>-4.9044342845409719E-2</v>
      </c>
      <c r="AK16" s="511">
        <f t="shared" ref="AK16" si="94">IF(S16&gt;0,((S17-S16)/S16),)</f>
        <v>0</v>
      </c>
      <c r="AL16" s="511">
        <f t="shared" ref="AL16" si="95">IF(T16&gt;0,((T17-T16)/T16),)</f>
        <v>-3.1228281844768769E-2</v>
      </c>
      <c r="AM16" s="511">
        <f t="shared" ref="AM16" si="96">IF(U16&gt;0,((U17-U16)/U16),)</f>
        <v>-5.4736440874589828E-2</v>
      </c>
    </row>
    <row r="17" spans="1:39" ht="13.5" thickBot="1">
      <c r="A17" s="1469"/>
      <c r="B17" s="400"/>
      <c r="C17" s="1223"/>
      <c r="D17" s="1224" t="s">
        <v>273</v>
      </c>
      <c r="E17" s="1225"/>
      <c r="F17" s="1203"/>
      <c r="G17" s="1203"/>
      <c r="H17" s="1203"/>
      <c r="I17" s="1203">
        <v>5866807</v>
      </c>
      <c r="J17" s="1203"/>
      <c r="K17" s="1203"/>
      <c r="L17" s="1203"/>
      <c r="M17" s="1203"/>
      <c r="N17" s="1203"/>
      <c r="O17" s="1203"/>
      <c r="P17" s="1203"/>
      <c r="Q17" s="1203"/>
      <c r="R17" s="1203">
        <v>18080809</v>
      </c>
      <c r="S17" s="1203"/>
      <c r="T17" s="1203">
        <v>2746090</v>
      </c>
      <c r="U17" s="1229">
        <v>26693706</v>
      </c>
      <c r="V17" s="394"/>
      <c r="W17" s="512"/>
      <c r="X17" s="512"/>
      <c r="Y17" s="512"/>
      <c r="Z17" s="512"/>
      <c r="AA17" s="512"/>
      <c r="AB17" s="512"/>
      <c r="AC17" s="512"/>
      <c r="AD17" s="512"/>
      <c r="AE17" s="512"/>
      <c r="AF17" s="512"/>
      <c r="AG17" s="512"/>
      <c r="AH17" s="512"/>
      <c r="AI17" s="512"/>
      <c r="AJ17" s="512"/>
      <c r="AK17" s="512"/>
      <c r="AL17" s="512"/>
      <c r="AM17" s="512"/>
    </row>
    <row r="18" spans="1:39">
      <c r="A18" s="1469"/>
      <c r="B18" s="479" t="s">
        <v>441</v>
      </c>
      <c r="C18" s="1204" t="s">
        <v>399</v>
      </c>
      <c r="D18" s="1221" t="s">
        <v>271</v>
      </c>
      <c r="E18" s="1230">
        <v>0</v>
      </c>
      <c r="F18" s="1218"/>
      <c r="G18" s="1218">
        <v>4077700</v>
      </c>
      <c r="H18" s="1218">
        <v>7757125</v>
      </c>
      <c r="I18" s="1218">
        <v>8392215</v>
      </c>
      <c r="J18" s="1218">
        <v>6178942</v>
      </c>
      <c r="K18" s="1218"/>
      <c r="L18" s="1219">
        <v>38419670</v>
      </c>
      <c r="M18" s="1218">
        <v>23998254</v>
      </c>
      <c r="N18" s="1218"/>
      <c r="O18" s="1218"/>
      <c r="P18" s="1218">
        <v>2192791</v>
      </c>
      <c r="Q18" s="1218"/>
      <c r="R18" s="1218"/>
      <c r="S18" s="1218">
        <v>18085580</v>
      </c>
      <c r="T18" s="1218">
        <v>7142418</v>
      </c>
      <c r="U18" s="1222">
        <v>116244695</v>
      </c>
      <c r="V18" s="485"/>
      <c r="W18" s="511">
        <f>IF(E18&gt;0,((E19-E18)/E18),)</f>
        <v>0</v>
      </c>
      <c r="X18" s="511">
        <f t="shared" ref="X18" si="97">IF(F18&gt;0,((F19-F18)/F18),)</f>
        <v>0</v>
      </c>
      <c r="Y18" s="511">
        <f t="shared" ref="Y18" si="98">IF(G18&gt;0,((G19-G18)/G18),)</f>
        <v>2.9428354219290286E-3</v>
      </c>
      <c r="Z18" s="511">
        <f t="shared" ref="Z18" si="99">IF(H18&gt;0,((H19-H18)/H18),)</f>
        <v>1.1571297355656895E-3</v>
      </c>
      <c r="AA18" s="511">
        <f t="shared" ref="AA18" si="100">IF(I18&gt;0,((I19-I18)/I18),)</f>
        <v>-7.173052644623619E-2</v>
      </c>
      <c r="AB18" s="511">
        <f t="shared" ref="AB18" si="101">IF(J18&gt;0,((J19-J18)/J18),)</f>
        <v>-2.4207218646816884E-2</v>
      </c>
      <c r="AC18" s="511">
        <f t="shared" ref="AC18" si="102">IF(K18&gt;0,((K19-K18)/K18),)</f>
        <v>0</v>
      </c>
      <c r="AD18" s="511">
        <f t="shared" ref="AD18" si="103">IF(L18&gt;0,((L19-L18)/L18),)</f>
        <v>-0.53344802284871262</v>
      </c>
      <c r="AE18" s="511">
        <f t="shared" ref="AE18" si="104">IF(M18&gt;0,((M19-M18)/M18),)</f>
        <v>-4.0575326855028702E-2</v>
      </c>
      <c r="AF18" s="511">
        <f t="shared" ref="AF18" si="105">IF(N18&gt;0,((N19-N18)/N18),)</f>
        <v>0</v>
      </c>
      <c r="AG18" s="511">
        <f t="shared" ref="AG18" si="106">IF(O18&gt;0,((O19-O18)/O18),)</f>
        <v>0</v>
      </c>
      <c r="AH18" s="511">
        <f t="shared" ref="AH18" si="107">IF(P18&gt;0,((P19-P18)/P18),)</f>
        <v>-1</v>
      </c>
      <c r="AI18" s="511">
        <f t="shared" ref="AI18" si="108">IF(Q18&gt;0,((Q19-Q18)/Q18),)</f>
        <v>0</v>
      </c>
      <c r="AJ18" s="511">
        <f t="shared" ref="AJ18" si="109">IF(R18&gt;0,((R19-R18)/R18),)</f>
        <v>0</v>
      </c>
      <c r="AK18" s="511">
        <f t="shared" ref="AK18" si="110">IF(S18&gt;0,((S19-S18)/S18),)</f>
        <v>-7.4432227221908282E-3</v>
      </c>
      <c r="AL18" s="511">
        <f t="shared" ref="AL18" si="111">IF(T18&gt;0,((T19-T18)/T18),)</f>
        <v>-2.5973696862883131E-2</v>
      </c>
      <c r="AM18" s="511">
        <f t="shared" ref="AM18" si="112">IF(U18&gt;0,((U19-U18)/U18),)</f>
        <v>-0.21258718086016742</v>
      </c>
    </row>
    <row r="19" spans="1:39" ht="13.5" thickBot="1">
      <c r="A19" s="1469"/>
      <c r="B19" s="480"/>
      <c r="C19" s="1223"/>
      <c r="D19" s="1224" t="s">
        <v>273</v>
      </c>
      <c r="E19" s="1244">
        <v>0</v>
      </c>
      <c r="F19" s="1203"/>
      <c r="G19" s="1203">
        <v>4089700</v>
      </c>
      <c r="H19" s="1203">
        <v>7766101</v>
      </c>
      <c r="I19" s="1203">
        <v>7790237</v>
      </c>
      <c r="J19" s="1203">
        <v>6029367</v>
      </c>
      <c r="K19" s="1203"/>
      <c r="L19" s="1210">
        <v>17924773</v>
      </c>
      <c r="M19" s="1203">
        <v>23024517</v>
      </c>
      <c r="N19" s="1203"/>
      <c r="O19" s="1203"/>
      <c r="P19" s="1203">
        <v>0</v>
      </c>
      <c r="Q19" s="1203"/>
      <c r="R19" s="1203"/>
      <c r="S19" s="1203">
        <v>17950965</v>
      </c>
      <c r="T19" s="1203">
        <v>6956903</v>
      </c>
      <c r="U19" s="1229">
        <v>91532563</v>
      </c>
      <c r="V19" s="427"/>
      <c r="W19" s="512"/>
      <c r="X19" s="512"/>
      <c r="Y19" s="512"/>
      <c r="Z19" s="512"/>
      <c r="AA19" s="512"/>
      <c r="AB19" s="512"/>
      <c r="AC19" s="512"/>
      <c r="AD19" s="512"/>
      <c r="AE19" s="512"/>
      <c r="AF19" s="512"/>
      <c r="AG19" s="512"/>
      <c r="AH19" s="512"/>
      <c r="AI19" s="512"/>
      <c r="AJ19" s="512"/>
      <c r="AK19" s="512"/>
      <c r="AL19" s="512"/>
      <c r="AM19" s="512"/>
    </row>
    <row r="20" spans="1:39">
      <c r="A20" s="1469"/>
      <c r="B20" s="479" t="s">
        <v>521</v>
      </c>
      <c r="C20" s="1204" t="s">
        <v>400</v>
      </c>
      <c r="D20" s="1221" t="s">
        <v>271</v>
      </c>
      <c r="E20" s="1230">
        <v>9820128.4700000007</v>
      </c>
      <c r="F20" s="1218"/>
      <c r="G20" s="1218"/>
      <c r="H20" s="1219">
        <v>1594291</v>
      </c>
      <c r="I20" s="1218"/>
      <c r="J20" s="1218"/>
      <c r="K20" s="1218"/>
      <c r="L20" s="1218"/>
      <c r="M20" s="1218">
        <v>23784413</v>
      </c>
      <c r="N20" s="1218"/>
      <c r="O20" s="1218"/>
      <c r="P20" s="1218">
        <v>27881066</v>
      </c>
      <c r="Q20" s="1218"/>
      <c r="R20" s="1218"/>
      <c r="S20" s="1218"/>
      <c r="T20" s="1218">
        <v>5993168</v>
      </c>
      <c r="U20" s="1222">
        <v>69073066.469999999</v>
      </c>
      <c r="V20" s="394"/>
      <c r="W20" s="511">
        <f>IF(E20&gt;0,((E21-E20)/E20),)</f>
        <v>5.5112673082982518E-2</v>
      </c>
      <c r="X20" s="511">
        <f t="shared" ref="X20" si="113">IF(F20&gt;0,((F21-F20)/F20),)</f>
        <v>0</v>
      </c>
      <c r="Y20" s="511">
        <f t="shared" ref="Y20" si="114">IF(G20&gt;0,((G21-G20)/G20),)</f>
        <v>0</v>
      </c>
      <c r="Z20" s="511">
        <f t="shared" ref="Z20" si="115">IF(H20&gt;0,((H21-H20)/H20),)</f>
        <v>0</v>
      </c>
      <c r="AA20" s="511">
        <f t="shared" ref="AA20" si="116">IF(I20&gt;0,((I21-I20)/I20),)</f>
        <v>0</v>
      </c>
      <c r="AB20" s="511">
        <f t="shared" ref="AB20" si="117">IF(J20&gt;0,((J21-J20)/J20),)</f>
        <v>0</v>
      </c>
      <c r="AC20" s="511">
        <f t="shared" ref="AC20" si="118">IF(K20&gt;0,((K21-K20)/K20),)</f>
        <v>0</v>
      </c>
      <c r="AD20" s="511">
        <f t="shared" ref="AD20" si="119">IF(L20&gt;0,((L21-L20)/L20),)</f>
        <v>0</v>
      </c>
      <c r="AE20" s="511">
        <f t="shared" ref="AE20" si="120">IF(M20&gt;0,((M21-M20)/M20),)</f>
        <v>0.12441173133009421</v>
      </c>
      <c r="AF20" s="511">
        <f t="shared" ref="AF20" si="121">IF(N20&gt;0,((N21-N20)/N20),)</f>
        <v>0</v>
      </c>
      <c r="AG20" s="511">
        <f t="shared" ref="AG20" si="122">IF(O20&gt;0,((O21-O20)/O20),)</f>
        <v>0</v>
      </c>
      <c r="AH20" s="511">
        <f t="shared" ref="AH20" si="123">IF(P20&gt;0,((P21-P20)/P20),)</f>
        <v>-0.48709977588374848</v>
      </c>
      <c r="AI20" s="511">
        <f t="shared" ref="AI20" si="124">IF(Q20&gt;0,((Q21-Q20)/Q20),)</f>
        <v>0</v>
      </c>
      <c r="AJ20" s="511">
        <f t="shared" ref="AJ20" si="125">IF(R20&gt;0,((R21-R20)/R20),)</f>
        <v>0</v>
      </c>
      <c r="AK20" s="511">
        <f t="shared" ref="AK20" si="126">IF(S20&gt;0,((S21-S20)/S20),)</f>
        <v>0</v>
      </c>
      <c r="AL20" s="511">
        <f t="shared" ref="AL20" si="127">IF(T20&gt;0,((T21-T20)/T20),)</f>
        <v>0.29590910850488422</v>
      </c>
      <c r="AM20" s="511">
        <f t="shared" ref="AM20" si="128">IF(U20&gt;0,((U21-U20)/U20),)</f>
        <v>-0.12026618904501633</v>
      </c>
    </row>
    <row r="21" spans="1:39" ht="13.5" thickBot="1">
      <c r="A21" s="1469"/>
      <c r="B21" s="480"/>
      <c r="C21" s="1223"/>
      <c r="D21" s="1224" t="s">
        <v>273</v>
      </c>
      <c r="E21" s="1225">
        <v>10361342</v>
      </c>
      <c r="F21" s="1203"/>
      <c r="G21" s="1203"/>
      <c r="H21" s="1210">
        <v>1594291</v>
      </c>
      <c r="I21" s="1203"/>
      <c r="J21" s="1203"/>
      <c r="K21" s="1203"/>
      <c r="L21" s="1203"/>
      <c r="M21" s="1203">
        <v>26743473</v>
      </c>
      <c r="N21" s="1203"/>
      <c r="O21" s="1203"/>
      <c r="P21" s="1203">
        <v>14300205</v>
      </c>
      <c r="Q21" s="1203"/>
      <c r="R21" s="1203"/>
      <c r="S21" s="1203"/>
      <c r="T21" s="1203">
        <v>7766601</v>
      </c>
      <c r="U21" s="1229">
        <v>60765912</v>
      </c>
      <c r="V21" s="485"/>
      <c r="W21" s="512"/>
      <c r="X21" s="512"/>
      <c r="Y21" s="512"/>
      <c r="Z21" s="512"/>
      <c r="AA21" s="512"/>
      <c r="AB21" s="512"/>
      <c r="AC21" s="512"/>
      <c r="AD21" s="512"/>
      <c r="AE21" s="512"/>
      <c r="AF21" s="512"/>
      <c r="AG21" s="512"/>
      <c r="AH21" s="512"/>
      <c r="AI21" s="512"/>
      <c r="AJ21" s="512"/>
      <c r="AK21" s="512"/>
      <c r="AL21" s="512"/>
      <c r="AM21" s="512"/>
    </row>
    <row r="22" spans="1:39">
      <c r="A22" s="1469"/>
      <c r="B22" s="466" t="s">
        <v>522</v>
      </c>
      <c r="C22" s="1204" t="s">
        <v>401</v>
      </c>
      <c r="D22" s="1221" t="s">
        <v>271</v>
      </c>
      <c r="E22" s="1230">
        <v>0</v>
      </c>
      <c r="F22" s="1218"/>
      <c r="G22" s="1218"/>
      <c r="H22" s="1218"/>
      <c r="I22" s="1218">
        <v>0</v>
      </c>
      <c r="J22" s="1218"/>
      <c r="K22" s="1218">
        <v>0</v>
      </c>
      <c r="L22" s="1218"/>
      <c r="M22" s="1218">
        <v>0</v>
      </c>
      <c r="N22" s="1218">
        <v>0</v>
      </c>
      <c r="O22" s="1218">
        <v>0</v>
      </c>
      <c r="P22" s="1218"/>
      <c r="Q22" s="1218"/>
      <c r="R22" s="1218">
        <v>0</v>
      </c>
      <c r="S22" s="1218">
        <v>0</v>
      </c>
      <c r="T22" s="1218">
        <v>0</v>
      </c>
      <c r="U22" s="1222">
        <v>0</v>
      </c>
      <c r="V22" s="427"/>
      <c r="W22" s="511">
        <f>IF(E22&gt;0,((E23-E22)/E22),)</f>
        <v>0</v>
      </c>
      <c r="X22" s="511">
        <f t="shared" ref="X22" si="129">IF(F22&gt;0,((F23-F22)/F22),)</f>
        <v>0</v>
      </c>
      <c r="Y22" s="511">
        <f t="shared" ref="Y22" si="130">IF(G22&gt;0,((G23-G22)/G22),)</f>
        <v>0</v>
      </c>
      <c r="Z22" s="511">
        <f t="shared" ref="Z22" si="131">IF(H22&gt;0,((H23-H22)/H22),)</f>
        <v>0</v>
      </c>
      <c r="AA22" s="511">
        <f t="shared" ref="AA22" si="132">IF(I22&gt;0,((I23-I22)/I22),)</f>
        <v>0</v>
      </c>
      <c r="AB22" s="511">
        <f t="shared" ref="AB22" si="133">IF(J22&gt;0,((J23-J22)/J22),)</f>
        <v>0</v>
      </c>
      <c r="AC22" s="511">
        <f t="shared" ref="AC22" si="134">IF(K22&gt;0,((K23-K22)/K22),)</f>
        <v>0</v>
      </c>
      <c r="AD22" s="511">
        <f t="shared" ref="AD22" si="135">IF(L22&gt;0,((L23-L22)/L22),)</f>
        <v>0</v>
      </c>
      <c r="AE22" s="511">
        <f t="shared" ref="AE22" si="136">IF(M22&gt;0,((M23-M22)/M22),)</f>
        <v>0</v>
      </c>
      <c r="AF22" s="511">
        <f t="shared" ref="AF22" si="137">IF(N22&gt;0,((N23-N22)/N22),)</f>
        <v>0</v>
      </c>
      <c r="AG22" s="511">
        <f t="shared" ref="AG22" si="138">IF(O22&gt;0,((O23-O22)/O22),)</f>
        <v>0</v>
      </c>
      <c r="AH22" s="511">
        <f t="shared" ref="AH22" si="139">IF(P22&gt;0,((P23-P22)/P22),)</f>
        <v>0</v>
      </c>
      <c r="AI22" s="511">
        <f t="shared" ref="AI22" si="140">IF(Q22&gt;0,((Q23-Q22)/Q22),)</f>
        <v>0</v>
      </c>
      <c r="AJ22" s="511">
        <f t="shared" ref="AJ22" si="141">IF(R22&gt;0,((R23-R22)/R22),)</f>
        <v>0</v>
      </c>
      <c r="AK22" s="511">
        <f t="shared" ref="AK22" si="142">IF(S22&gt;0,((S23-S22)/S22),)</f>
        <v>0</v>
      </c>
      <c r="AL22" s="511">
        <f t="shared" ref="AL22" si="143">IF(T22&gt;0,((T23-T22)/T22),)</f>
        <v>0</v>
      </c>
      <c r="AM22" s="511">
        <f t="shared" ref="AM22" si="144">IF(U22&gt;0,((U23-U22)/U22),)</f>
        <v>0</v>
      </c>
    </row>
    <row r="23" spans="1:39" ht="13.5" thickBot="1">
      <c r="A23" s="1469"/>
      <c r="B23" s="400"/>
      <c r="C23" s="1223"/>
      <c r="D23" s="1224" t="s">
        <v>273</v>
      </c>
      <c r="E23" s="1225">
        <v>0</v>
      </c>
      <c r="F23" s="1203"/>
      <c r="G23" s="1203"/>
      <c r="H23" s="1203"/>
      <c r="I23" s="1203">
        <v>0</v>
      </c>
      <c r="J23" s="1203"/>
      <c r="K23" s="1203">
        <v>0</v>
      </c>
      <c r="L23" s="1203"/>
      <c r="M23" s="1203">
        <v>0</v>
      </c>
      <c r="N23" s="1203">
        <v>0</v>
      </c>
      <c r="O23" s="1203">
        <v>0</v>
      </c>
      <c r="P23" s="1203"/>
      <c r="Q23" s="1203"/>
      <c r="R23" s="1203">
        <v>0</v>
      </c>
      <c r="S23" s="1203">
        <v>0</v>
      </c>
      <c r="T23" s="1203">
        <v>0</v>
      </c>
      <c r="U23" s="1229">
        <v>0</v>
      </c>
      <c r="V23" s="394"/>
      <c r="W23" s="512"/>
      <c r="X23" s="512"/>
      <c r="Y23" s="512"/>
      <c r="Z23" s="512"/>
      <c r="AA23" s="512"/>
      <c r="AB23" s="512"/>
      <c r="AC23" s="512"/>
      <c r="AD23" s="512"/>
      <c r="AE23" s="512"/>
      <c r="AF23" s="512"/>
      <c r="AG23" s="512"/>
      <c r="AH23" s="512"/>
      <c r="AI23" s="512"/>
      <c r="AJ23" s="512"/>
      <c r="AK23" s="512"/>
      <c r="AL23" s="512"/>
      <c r="AM23" s="512"/>
    </row>
    <row r="24" spans="1:39">
      <c r="A24" s="1469"/>
      <c r="B24" s="479" t="s">
        <v>451</v>
      </c>
      <c r="C24" s="1204" t="s">
        <v>402</v>
      </c>
      <c r="D24" s="1221" t="s">
        <v>271</v>
      </c>
      <c r="E24" s="1230"/>
      <c r="F24" s="1218"/>
      <c r="G24" s="1218"/>
      <c r="H24" s="1218">
        <v>0</v>
      </c>
      <c r="I24" s="1218">
        <v>0</v>
      </c>
      <c r="J24" s="1218">
        <v>18996900</v>
      </c>
      <c r="K24" s="1218">
        <v>822668</v>
      </c>
      <c r="L24" s="1218"/>
      <c r="M24" s="1219">
        <v>490402</v>
      </c>
      <c r="N24" s="1218">
        <v>122509627.45</v>
      </c>
      <c r="O24" s="1218">
        <v>100348</v>
      </c>
      <c r="P24" s="1218"/>
      <c r="Q24" s="1218"/>
      <c r="R24" s="1218">
        <v>43039144</v>
      </c>
      <c r="S24" s="1218"/>
      <c r="T24" s="1218">
        <v>5260198</v>
      </c>
      <c r="U24" s="1222">
        <v>191219287.44999999</v>
      </c>
      <c r="V24" s="485"/>
      <c r="W24" s="511">
        <f>IF(E24&gt;0,((E25-E24)/E24),)</f>
        <v>0</v>
      </c>
      <c r="X24" s="511">
        <f t="shared" ref="X24" si="145">IF(F24&gt;0,((F25-F24)/F24),)</f>
        <v>0</v>
      </c>
      <c r="Y24" s="511">
        <f t="shared" ref="Y24" si="146">IF(G24&gt;0,((G25-G24)/G24),)</f>
        <v>0</v>
      </c>
      <c r="Z24" s="511">
        <f t="shared" ref="Z24" si="147">IF(H24&gt;0,((H25-H24)/H24),)</f>
        <v>0</v>
      </c>
      <c r="AA24" s="511">
        <f t="shared" ref="AA24" si="148">IF(I24&gt;0,((I25-I24)/I24),)</f>
        <v>0</v>
      </c>
      <c r="AB24" s="511">
        <f t="shared" ref="AB24" si="149">IF(J24&gt;0,((J25-J24)/J24),)</f>
        <v>-0.27808221341376749</v>
      </c>
      <c r="AC24" s="511">
        <f t="shared" ref="AC24" si="150">IF(K24&gt;0,((K25-K24)/K24),)</f>
        <v>-0.30174626945499278</v>
      </c>
      <c r="AD24" s="511">
        <f t="shared" ref="AD24" si="151">IF(L24&gt;0,((L25-L24)/L24),)</f>
        <v>0</v>
      </c>
      <c r="AE24" s="511">
        <f t="shared" ref="AE24" si="152">IF(M24&gt;0,((M25-M24)/M24),)</f>
        <v>-0.25792920909784217</v>
      </c>
      <c r="AF24" s="511">
        <f t="shared" ref="AF24" si="153">IF(N24&gt;0,((N25-N24)/N24),)</f>
        <v>-2.6542701318124064E-2</v>
      </c>
      <c r="AG24" s="511">
        <f t="shared" ref="AG24" si="154">IF(O24&gt;0,((O25-O24)/O24),)</f>
        <v>-1.771834017618687E-2</v>
      </c>
      <c r="AH24" s="511">
        <f t="shared" ref="AH24" si="155">IF(P24&gt;0,((P25-P24)/P24),)</f>
        <v>0</v>
      </c>
      <c r="AI24" s="511">
        <f t="shared" ref="AI24" si="156">IF(Q24&gt;0,((Q25-Q24)/Q24),)</f>
        <v>0</v>
      </c>
      <c r="AJ24" s="511">
        <f t="shared" ref="AJ24" si="157">IF(R24&gt;0,((R25-R24)/R24),)</f>
        <v>-9.202854963844076E-2</v>
      </c>
      <c r="AK24" s="511">
        <f t="shared" ref="AK24" si="158">IF(S24&gt;0,((S25-S24)/S24),)</f>
        <v>0</v>
      </c>
      <c r="AL24" s="511">
        <f t="shared" ref="AL24" si="159">IF(T24&gt;0,((T25-T24)/T24),)</f>
        <v>-3.1778271464306097E-2</v>
      </c>
      <c r="AM24" s="511">
        <f t="shared" ref="AM24" si="160">IF(U24&gt;0,((U25-U24)/U24),)</f>
        <v>-6.8188364384578135E-2</v>
      </c>
    </row>
    <row r="25" spans="1:39" ht="13.5" thickBot="1">
      <c r="A25" s="1469"/>
      <c r="B25" s="480"/>
      <c r="C25" s="1223"/>
      <c r="D25" s="1224" t="s">
        <v>273</v>
      </c>
      <c r="E25" s="1225"/>
      <c r="F25" s="1203"/>
      <c r="G25" s="1203"/>
      <c r="H25" s="1203">
        <v>0</v>
      </c>
      <c r="I25" s="1203">
        <v>0</v>
      </c>
      <c r="J25" s="1203">
        <v>13714200</v>
      </c>
      <c r="K25" s="1203">
        <v>574431</v>
      </c>
      <c r="L25" s="1203"/>
      <c r="M25" s="1210">
        <v>363913</v>
      </c>
      <c r="N25" s="1203">
        <v>119257891</v>
      </c>
      <c r="O25" s="1203">
        <v>98570</v>
      </c>
      <c r="P25" s="1203"/>
      <c r="Q25" s="1203"/>
      <c r="R25" s="1203">
        <v>39078314</v>
      </c>
      <c r="S25" s="1203"/>
      <c r="T25" s="1203">
        <v>5093038</v>
      </c>
      <c r="U25" s="1229">
        <v>178180357</v>
      </c>
      <c r="V25" s="427"/>
      <c r="W25" s="512"/>
      <c r="X25" s="512"/>
      <c r="Y25" s="512"/>
      <c r="Z25" s="512"/>
      <c r="AA25" s="512"/>
      <c r="AB25" s="512"/>
      <c r="AC25" s="512"/>
      <c r="AD25" s="512"/>
      <c r="AE25" s="512"/>
      <c r="AF25" s="512"/>
      <c r="AG25" s="512"/>
      <c r="AH25" s="512"/>
      <c r="AI25" s="512"/>
      <c r="AJ25" s="512"/>
      <c r="AK25" s="512"/>
      <c r="AL25" s="512"/>
      <c r="AM25" s="512"/>
    </row>
    <row r="26" spans="1:39">
      <c r="A26" s="1469"/>
      <c r="B26" s="479" t="s">
        <v>386</v>
      </c>
      <c r="C26" s="1204" t="s">
        <v>403</v>
      </c>
      <c r="D26" s="1221" t="s">
        <v>271</v>
      </c>
      <c r="E26" s="1230"/>
      <c r="F26" s="1218"/>
      <c r="G26" s="1218"/>
      <c r="H26" s="1218"/>
      <c r="I26" s="1218"/>
      <c r="J26" s="1218"/>
      <c r="K26" s="1218"/>
      <c r="L26" s="1218"/>
      <c r="M26" s="1218"/>
      <c r="N26" s="1218">
        <v>77003936</v>
      </c>
      <c r="O26" s="1218"/>
      <c r="P26" s="1218"/>
      <c r="Q26" s="1218"/>
      <c r="R26" s="1218"/>
      <c r="S26" s="1218"/>
      <c r="T26" s="1218">
        <v>262713</v>
      </c>
      <c r="U26" s="1222">
        <v>77266649</v>
      </c>
      <c r="V26" s="394"/>
      <c r="W26" s="511">
        <f>IF(E26&gt;0,((E27-E26)/E26),)</f>
        <v>0</v>
      </c>
      <c r="X26" s="511">
        <f t="shared" ref="X26" si="161">IF(F26&gt;0,((F27-F26)/F26),)</f>
        <v>0</v>
      </c>
      <c r="Y26" s="511">
        <f t="shared" ref="Y26" si="162">IF(G26&gt;0,((G27-G26)/G26),)</f>
        <v>0</v>
      </c>
      <c r="Z26" s="511">
        <f t="shared" ref="Z26" si="163">IF(H26&gt;0,((H27-H26)/H26),)</f>
        <v>0</v>
      </c>
      <c r="AA26" s="511">
        <f t="shared" ref="AA26" si="164">IF(I26&gt;0,((I27-I26)/I26),)</f>
        <v>0</v>
      </c>
      <c r="AB26" s="511">
        <f t="shared" ref="AB26" si="165">IF(J26&gt;0,((J27-J26)/J26),)</f>
        <v>0</v>
      </c>
      <c r="AC26" s="511">
        <f t="shared" ref="AC26" si="166">IF(K26&gt;0,((K27-K26)/K26),)</f>
        <v>0</v>
      </c>
      <c r="AD26" s="511">
        <f t="shared" ref="AD26" si="167">IF(L26&gt;0,((L27-L26)/L26),)</f>
        <v>0</v>
      </c>
      <c r="AE26" s="511">
        <f t="shared" ref="AE26" si="168">IF(M26&gt;0,((M27-M26)/M26),)</f>
        <v>0</v>
      </c>
      <c r="AF26" s="511">
        <f t="shared" ref="AF26" si="169">IF(N26&gt;0,((N27-N26)/N26),)</f>
        <v>4.5312359098111557E-2</v>
      </c>
      <c r="AG26" s="511">
        <f t="shared" ref="AG26" si="170">IF(O26&gt;0,((O27-O26)/O26),)</f>
        <v>0</v>
      </c>
      <c r="AH26" s="511">
        <f t="shared" ref="AH26" si="171">IF(P26&gt;0,((P27-P26)/P26),)</f>
        <v>0</v>
      </c>
      <c r="AI26" s="511">
        <f t="shared" ref="AI26" si="172">IF(Q26&gt;0,((Q27-Q26)/Q26),)</f>
        <v>0</v>
      </c>
      <c r="AJ26" s="511">
        <f t="shared" ref="AJ26" si="173">IF(R26&gt;0,((R27-R26)/R26),)</f>
        <v>0</v>
      </c>
      <c r="AK26" s="511">
        <f t="shared" ref="AK26" si="174">IF(S26&gt;0,((S27-S26)/S26),)</f>
        <v>0</v>
      </c>
      <c r="AL26" s="511">
        <f t="shared" ref="AL26" si="175">IF(T26&gt;0,((T27-T26)/T26),)</f>
        <v>-4.979197831854533E-2</v>
      </c>
      <c r="AM26" s="511">
        <f t="shared" ref="AM26" si="176">IF(U26&gt;0,((U27-U26)/U26),)</f>
        <v>4.4988996481522062E-2</v>
      </c>
    </row>
    <row r="27" spans="1:39">
      <c r="A27" s="1469"/>
      <c r="B27" s="400"/>
      <c r="C27" s="1223"/>
      <c r="D27" s="1224" t="s">
        <v>273</v>
      </c>
      <c r="E27" s="1225"/>
      <c r="F27" s="1203"/>
      <c r="G27" s="1203"/>
      <c r="H27" s="1203"/>
      <c r="I27" s="1203"/>
      <c r="J27" s="1203"/>
      <c r="K27" s="1203"/>
      <c r="L27" s="1203"/>
      <c r="M27" s="1203"/>
      <c r="N27" s="1203">
        <v>80493166</v>
      </c>
      <c r="O27" s="1203"/>
      <c r="P27" s="1203"/>
      <c r="Q27" s="1203"/>
      <c r="R27" s="1203"/>
      <c r="S27" s="1203"/>
      <c r="T27" s="1203">
        <v>249632</v>
      </c>
      <c r="U27" s="1229">
        <v>80742798</v>
      </c>
      <c r="V27" s="485"/>
      <c r="W27" s="512"/>
      <c r="X27" s="512"/>
      <c r="Y27" s="512"/>
      <c r="Z27" s="512"/>
      <c r="AA27" s="512"/>
      <c r="AB27" s="512"/>
      <c r="AC27" s="512"/>
      <c r="AD27" s="512"/>
      <c r="AE27" s="512"/>
      <c r="AF27" s="512"/>
      <c r="AG27" s="512"/>
      <c r="AH27" s="512"/>
      <c r="AI27" s="512"/>
      <c r="AJ27" s="512"/>
      <c r="AK27" s="512"/>
      <c r="AL27" s="512"/>
      <c r="AM27" s="512"/>
    </row>
    <row r="28" spans="1:39">
      <c r="A28" s="1469"/>
      <c r="B28" s="479" t="s">
        <v>385</v>
      </c>
      <c r="C28" s="1204" t="s">
        <v>404</v>
      </c>
      <c r="D28" s="1221" t="s">
        <v>271</v>
      </c>
      <c r="E28" s="1230"/>
      <c r="F28" s="1218">
        <v>66495861</v>
      </c>
      <c r="G28" s="1218"/>
      <c r="H28" s="1218"/>
      <c r="I28" s="1218"/>
      <c r="J28" s="1218"/>
      <c r="K28" s="1218"/>
      <c r="L28" s="1218"/>
      <c r="M28" s="1218"/>
      <c r="N28" s="1218"/>
      <c r="O28" s="1218"/>
      <c r="P28" s="1218"/>
      <c r="Q28" s="1218"/>
      <c r="R28" s="1218"/>
      <c r="S28" s="1218"/>
      <c r="T28" s="1218"/>
      <c r="U28" s="1222">
        <v>66495861</v>
      </c>
      <c r="V28" s="427"/>
      <c r="W28" s="511">
        <f>IF(E28&gt;0,((E29-E28)/E28),)</f>
        <v>0</v>
      </c>
      <c r="X28" s="511">
        <f t="shared" ref="X28" si="177">IF(F28&gt;0,((F29-F28)/F28),)</f>
        <v>1.9439450524597314E-2</v>
      </c>
      <c r="Y28" s="511">
        <f t="shared" ref="Y28" si="178">IF(G28&gt;0,((G29-G28)/G28),)</f>
        <v>0</v>
      </c>
      <c r="Z28" s="511">
        <f t="shared" ref="Z28" si="179">IF(H28&gt;0,((H29-H28)/H28),)</f>
        <v>0</v>
      </c>
      <c r="AA28" s="511">
        <f t="shared" ref="AA28" si="180">IF(I28&gt;0,((I29-I28)/I28),)</f>
        <v>0</v>
      </c>
      <c r="AB28" s="511">
        <f t="shared" ref="AB28" si="181">IF(J28&gt;0,((J29-J28)/J28),)</f>
        <v>0</v>
      </c>
      <c r="AC28" s="511">
        <f t="shared" ref="AC28" si="182">IF(K28&gt;0,((K29-K28)/K28),)</f>
        <v>0</v>
      </c>
      <c r="AD28" s="511">
        <f t="shared" ref="AD28" si="183">IF(L28&gt;0,((L29-L28)/L28),)</f>
        <v>0</v>
      </c>
      <c r="AE28" s="511">
        <f t="shared" ref="AE28" si="184">IF(M28&gt;0,((M29-M28)/M28),)</f>
        <v>0</v>
      </c>
      <c r="AF28" s="511">
        <f t="shared" ref="AF28" si="185">IF(N28&gt;0,((N29-N28)/N28),)</f>
        <v>0</v>
      </c>
      <c r="AG28" s="511">
        <f t="shared" ref="AG28" si="186">IF(O28&gt;0,((O29-O28)/O28),)</f>
        <v>0</v>
      </c>
      <c r="AH28" s="511">
        <f t="shared" ref="AH28" si="187">IF(P28&gt;0,((P29-P28)/P28),)</f>
        <v>0</v>
      </c>
      <c r="AI28" s="511">
        <f t="shared" ref="AI28" si="188">IF(Q28&gt;0,((Q29-Q28)/Q28),)</f>
        <v>0</v>
      </c>
      <c r="AJ28" s="511">
        <f t="shared" ref="AJ28" si="189">IF(R28&gt;0,((R29-R28)/R28),)</f>
        <v>0</v>
      </c>
      <c r="AK28" s="511">
        <f t="shared" ref="AK28" si="190">IF(S28&gt;0,((S29-S28)/S28),)</f>
        <v>0</v>
      </c>
      <c r="AL28" s="511">
        <f t="shared" ref="AL28" si="191">IF(T28&gt;0,((T29-T28)/T28),)</f>
        <v>0</v>
      </c>
      <c r="AM28" s="511">
        <f t="shared" ref="AM28" si="192">IF(U28&gt;0,((U29-U28)/U28),)</f>
        <v>1.9439450524597314E-2</v>
      </c>
    </row>
    <row r="29" spans="1:39">
      <c r="A29" s="1469"/>
      <c r="B29" s="480"/>
      <c r="C29" s="1223"/>
      <c r="D29" s="1224" t="s">
        <v>273</v>
      </c>
      <c r="E29" s="1225"/>
      <c r="F29" s="1203">
        <v>67788504</v>
      </c>
      <c r="G29" s="1203"/>
      <c r="H29" s="1203"/>
      <c r="I29" s="1203"/>
      <c r="J29" s="1203"/>
      <c r="K29" s="1203"/>
      <c r="L29" s="1203"/>
      <c r="M29" s="1203"/>
      <c r="N29" s="1203"/>
      <c r="O29" s="1203"/>
      <c r="P29" s="1203"/>
      <c r="Q29" s="1203"/>
      <c r="R29" s="1203"/>
      <c r="S29" s="1203"/>
      <c r="T29" s="1203"/>
      <c r="U29" s="1229">
        <v>67788504</v>
      </c>
      <c r="V29" s="394"/>
      <c r="W29" s="512"/>
      <c r="X29" s="512"/>
      <c r="Y29" s="512"/>
      <c r="Z29" s="512"/>
      <c r="AA29" s="512"/>
      <c r="AB29" s="512"/>
      <c r="AC29" s="512"/>
      <c r="AD29" s="512"/>
      <c r="AE29" s="512"/>
      <c r="AF29" s="512"/>
      <c r="AG29" s="512"/>
      <c r="AH29" s="512"/>
      <c r="AI29" s="512"/>
      <c r="AJ29" s="512"/>
      <c r="AK29" s="512"/>
      <c r="AL29" s="512"/>
      <c r="AM29" s="512"/>
    </row>
    <row r="30" spans="1:39">
      <c r="A30" s="1469"/>
      <c r="B30" s="479" t="s">
        <v>440</v>
      </c>
      <c r="C30" s="1204" t="s">
        <v>405</v>
      </c>
      <c r="D30" s="1221" t="s">
        <v>271</v>
      </c>
      <c r="E30" s="1230"/>
      <c r="F30" s="1218"/>
      <c r="G30" s="1218"/>
      <c r="H30" s="1218"/>
      <c r="I30" s="1218"/>
      <c r="J30" s="1218"/>
      <c r="K30" s="1218"/>
      <c r="L30" s="1218"/>
      <c r="M30" s="1218"/>
      <c r="N30" s="1218"/>
      <c r="O30" s="1218"/>
      <c r="P30" s="1218"/>
      <c r="Q30" s="1218"/>
      <c r="R30" s="1218">
        <v>8992263</v>
      </c>
      <c r="S30" s="1218"/>
      <c r="T30" s="1218"/>
      <c r="U30" s="1222">
        <v>8992263</v>
      </c>
      <c r="V30" s="485"/>
      <c r="W30" s="511">
        <f>IF(E30&gt;0,((E31-E30)/E30),)</f>
        <v>0</v>
      </c>
      <c r="X30" s="511">
        <f t="shared" ref="X30" si="193">IF(F30&gt;0,((F31-F30)/F30),)</f>
        <v>0</v>
      </c>
      <c r="Y30" s="511">
        <f t="shared" ref="Y30" si="194">IF(G30&gt;0,((G31-G30)/G30),)</f>
        <v>0</v>
      </c>
      <c r="Z30" s="511">
        <f t="shared" ref="Z30" si="195">IF(H30&gt;0,((H31-H30)/H30),)</f>
        <v>0</v>
      </c>
      <c r="AA30" s="511">
        <f t="shared" ref="AA30" si="196">IF(I30&gt;0,((I31-I30)/I30),)</f>
        <v>0</v>
      </c>
      <c r="AB30" s="511">
        <f t="shared" ref="AB30" si="197">IF(J30&gt;0,((J31-J30)/J30),)</f>
        <v>0</v>
      </c>
      <c r="AC30" s="511">
        <f t="shared" ref="AC30" si="198">IF(K30&gt;0,((K31-K30)/K30),)</f>
        <v>0</v>
      </c>
      <c r="AD30" s="511">
        <f t="shared" ref="AD30" si="199">IF(L30&gt;0,((L31-L30)/L30),)</f>
        <v>0</v>
      </c>
      <c r="AE30" s="511">
        <f t="shared" ref="AE30" si="200">IF(M30&gt;0,((M31-M30)/M30),)</f>
        <v>0</v>
      </c>
      <c r="AF30" s="511">
        <f t="shared" ref="AF30" si="201">IF(N30&gt;0,((N31-N30)/N30),)</f>
        <v>0</v>
      </c>
      <c r="AG30" s="511">
        <f t="shared" ref="AG30" si="202">IF(O30&gt;0,((O31-O30)/O30),)</f>
        <v>0</v>
      </c>
      <c r="AH30" s="511">
        <f t="shared" ref="AH30" si="203">IF(P30&gt;0,((P31-P30)/P30),)</f>
        <v>0</v>
      </c>
      <c r="AI30" s="511">
        <f t="shared" ref="AI30" si="204">IF(Q30&gt;0,((Q31-Q30)/Q30),)</f>
        <v>0</v>
      </c>
      <c r="AJ30" s="511">
        <f t="shared" ref="AJ30" si="205">IF(R30&gt;0,((R31-R30)/R30),)</f>
        <v>-5.3268570992641116E-2</v>
      </c>
      <c r="AK30" s="511">
        <f t="shared" ref="AK30" si="206">IF(S30&gt;0,((S31-S30)/S30),)</f>
        <v>0</v>
      </c>
      <c r="AL30" s="511">
        <f t="shared" ref="AL30" si="207">IF(T30&gt;0,((T31-T30)/T30),)</f>
        <v>0</v>
      </c>
      <c r="AM30" s="511">
        <f t="shared" ref="AM30" si="208">IF(U30&gt;0,((U31-U30)/U30),)</f>
        <v>-5.3268570992641116E-2</v>
      </c>
    </row>
    <row r="31" spans="1:39" ht="13.5" thickBot="1">
      <c r="A31" s="1469"/>
      <c r="B31" s="400"/>
      <c r="C31" s="1223"/>
      <c r="D31" s="1224" t="s">
        <v>273</v>
      </c>
      <c r="E31" s="1225"/>
      <c r="F31" s="1203"/>
      <c r="G31" s="1203"/>
      <c r="H31" s="1203"/>
      <c r="I31" s="1203"/>
      <c r="J31" s="1203"/>
      <c r="K31" s="1203"/>
      <c r="L31" s="1203"/>
      <c r="M31" s="1203"/>
      <c r="N31" s="1203"/>
      <c r="O31" s="1203"/>
      <c r="P31" s="1203"/>
      <c r="Q31" s="1203"/>
      <c r="R31" s="1203">
        <v>8513258</v>
      </c>
      <c r="S31" s="1203"/>
      <c r="T31" s="1203"/>
      <c r="U31" s="1229">
        <v>8513258</v>
      </c>
      <c r="V31" s="427"/>
      <c r="W31" s="512"/>
      <c r="X31" s="512"/>
      <c r="Y31" s="512"/>
      <c r="Z31" s="512"/>
      <c r="AA31" s="512"/>
      <c r="AB31" s="512"/>
      <c r="AC31" s="512"/>
      <c r="AD31" s="512"/>
      <c r="AE31" s="512"/>
      <c r="AF31" s="512"/>
      <c r="AG31" s="512"/>
      <c r="AH31" s="512"/>
      <c r="AI31" s="512"/>
      <c r="AJ31" s="512"/>
      <c r="AK31" s="512"/>
      <c r="AL31" s="512"/>
      <c r="AM31" s="512"/>
    </row>
    <row r="32" spans="1:39">
      <c r="A32" s="1469"/>
      <c r="B32" s="479" t="s">
        <v>441</v>
      </c>
      <c r="C32" s="1204" t="s">
        <v>406</v>
      </c>
      <c r="D32" s="1221" t="s">
        <v>271</v>
      </c>
      <c r="E32" s="1230">
        <v>4700254</v>
      </c>
      <c r="F32" s="1219">
        <v>4175552</v>
      </c>
      <c r="G32" s="1218"/>
      <c r="H32" s="1219">
        <v>10418213</v>
      </c>
      <c r="I32" s="1227">
        <v>2456941</v>
      </c>
      <c r="J32" s="1218"/>
      <c r="K32" s="1219">
        <v>16462171</v>
      </c>
      <c r="L32" s="1218"/>
      <c r="M32" s="1218"/>
      <c r="N32" s="1218">
        <v>5572341</v>
      </c>
      <c r="O32" s="1218"/>
      <c r="P32" s="1218"/>
      <c r="Q32" s="1218"/>
      <c r="R32" s="1219">
        <v>0</v>
      </c>
      <c r="S32" s="1218">
        <v>11925234</v>
      </c>
      <c r="T32" s="1218"/>
      <c r="U32" s="1222">
        <v>55710706</v>
      </c>
      <c r="V32" s="394"/>
      <c r="W32" s="511">
        <f>IF(E32&gt;0,((E33-E32)/E32),)</f>
        <v>-9.753940957233375E-3</v>
      </c>
      <c r="X32" s="511">
        <f t="shared" ref="X32" si="209">IF(F32&gt;0,((F33-F32)/F32),)</f>
        <v>2.3369604785187684E-2</v>
      </c>
      <c r="Y32" s="511">
        <f t="shared" ref="Y32" si="210">IF(G32&gt;0,((G33-G32)/G32),)</f>
        <v>0</v>
      </c>
      <c r="Z32" s="511">
        <f t="shared" ref="Z32" si="211">IF(H32&gt;0,((H33-H32)/H32),)</f>
        <v>-2.8160203674084991E-2</v>
      </c>
      <c r="AA32" s="511">
        <f t="shared" ref="AA32" si="212">IF(I32&gt;0,((I33-I32)/I32),)</f>
        <v>-0.10403180214746711</v>
      </c>
      <c r="AB32" s="511">
        <f t="shared" ref="AB32" si="213">IF(J32&gt;0,((J33-J32)/J32),)</f>
        <v>0</v>
      </c>
      <c r="AC32" s="511">
        <f t="shared" ref="AC32" si="214">IF(K32&gt;0,((K33-K32)/K32),)</f>
        <v>-0.26988657814330808</v>
      </c>
      <c r="AD32" s="511">
        <f t="shared" ref="AD32" si="215">IF(L32&gt;0,((L33-L32)/L32),)</f>
        <v>0</v>
      </c>
      <c r="AE32" s="511">
        <f t="shared" ref="AE32" si="216">IF(M32&gt;0,((M33-M32)/M32),)</f>
        <v>0</v>
      </c>
      <c r="AF32" s="511">
        <f t="shared" ref="AF32" si="217">IF(N32&gt;0,((N33-N32)/N32),)</f>
        <v>-3.322678924351543E-2</v>
      </c>
      <c r="AG32" s="511">
        <f t="shared" ref="AG32" si="218">IF(O32&gt;0,((O33-O32)/O32),)</f>
        <v>0</v>
      </c>
      <c r="AH32" s="511">
        <f t="shared" ref="AH32" si="219">IF(P32&gt;0,((P33-P32)/P32),)</f>
        <v>0</v>
      </c>
      <c r="AI32" s="511">
        <f t="shared" ref="AI32" si="220">IF(Q32&gt;0,((Q33-Q32)/Q32),)</f>
        <v>0</v>
      </c>
      <c r="AJ32" s="511">
        <f t="shared" ref="AJ32" si="221">IF(R32&gt;0,((R33-R32)/R32),)</f>
        <v>0</v>
      </c>
      <c r="AK32" s="511">
        <f t="shared" ref="AK32" si="222">IF(S32&gt;0,((S33-S32)/S32),)</f>
        <v>-0.23411121324747169</v>
      </c>
      <c r="AL32" s="511">
        <f t="shared" ref="AL32" si="223">IF(T32&gt;0,((T33-T32)/T32),)</f>
        <v>0</v>
      </c>
      <c r="AM32" s="511">
        <f t="shared" ref="AM32" si="224">IF(U32&gt;0,((U33-U32)/U32),)</f>
        <v>-0.14211173342516967</v>
      </c>
    </row>
    <row r="33" spans="1:39" ht="13.5" thickBot="1">
      <c r="A33" s="1469"/>
      <c r="B33" s="477"/>
      <c r="C33" s="1223"/>
      <c r="D33" s="1224" t="s">
        <v>273</v>
      </c>
      <c r="E33" s="1225">
        <v>4654408</v>
      </c>
      <c r="F33" s="1210">
        <v>4273133</v>
      </c>
      <c r="G33" s="1203"/>
      <c r="H33" s="1210">
        <v>10124834</v>
      </c>
      <c r="I33" s="1213">
        <v>2201341</v>
      </c>
      <c r="J33" s="1203"/>
      <c r="K33" s="1210">
        <v>12019252</v>
      </c>
      <c r="L33" s="1203"/>
      <c r="M33" s="1203"/>
      <c r="N33" s="1203">
        <v>5387190</v>
      </c>
      <c r="O33" s="1203"/>
      <c r="P33" s="1203"/>
      <c r="Q33" s="1203"/>
      <c r="R33" s="1210">
        <v>0</v>
      </c>
      <c r="S33" s="1203">
        <v>9133403</v>
      </c>
      <c r="T33" s="1203"/>
      <c r="U33" s="1229">
        <v>47793561</v>
      </c>
      <c r="V33" s="485"/>
      <c r="W33" s="512"/>
      <c r="X33" s="512"/>
      <c r="Y33" s="512"/>
      <c r="Z33" s="512"/>
      <c r="AA33" s="512"/>
      <c r="AB33" s="512"/>
      <c r="AC33" s="512"/>
      <c r="AD33" s="512"/>
      <c r="AE33" s="512"/>
      <c r="AF33" s="512"/>
      <c r="AG33" s="512"/>
      <c r="AH33" s="512"/>
      <c r="AI33" s="512"/>
      <c r="AJ33" s="512"/>
      <c r="AK33" s="512"/>
      <c r="AL33" s="512"/>
      <c r="AM33" s="512"/>
    </row>
    <row r="34" spans="1:39">
      <c r="A34" s="1469"/>
      <c r="B34" s="479" t="s">
        <v>521</v>
      </c>
      <c r="C34" s="1204" t="s">
        <v>407</v>
      </c>
      <c r="D34" s="1221" t="s">
        <v>271</v>
      </c>
      <c r="E34" s="1230">
        <v>55490615.530000001</v>
      </c>
      <c r="F34" s="1218"/>
      <c r="G34" s="1218"/>
      <c r="H34" s="1220">
        <v>285898</v>
      </c>
      <c r="I34" s="1218"/>
      <c r="J34" s="1218"/>
      <c r="K34" s="1218">
        <v>17832386</v>
      </c>
      <c r="L34" s="1218"/>
      <c r="M34" s="1218"/>
      <c r="N34" s="1218">
        <v>13776711</v>
      </c>
      <c r="O34" s="1218"/>
      <c r="P34" s="1218"/>
      <c r="Q34" s="1218"/>
      <c r="R34" s="1220">
        <v>44354520</v>
      </c>
      <c r="S34" s="1218">
        <v>1472238</v>
      </c>
      <c r="T34" s="1218"/>
      <c r="U34" s="1222">
        <v>133212368.53</v>
      </c>
      <c r="V34" s="427"/>
      <c r="W34" s="511">
        <f>IF(E34&gt;0,((E35-E34)/E34),)</f>
        <v>8.6463713804112996E-3</v>
      </c>
      <c r="X34" s="511">
        <f t="shared" ref="X34" si="225">IF(F34&gt;0,((F35-F34)/F34),)</f>
        <v>0</v>
      </c>
      <c r="Y34" s="511">
        <f t="shared" ref="Y34" si="226">IF(G34&gt;0,((G35-G34)/G34),)</f>
        <v>0</v>
      </c>
      <c r="Z34" s="511">
        <f t="shared" ref="Z34" si="227">IF(H34&gt;0,((H35-H34)/H34),)</f>
        <v>-2.4620668909890939E-2</v>
      </c>
      <c r="AA34" s="511">
        <f t="shared" ref="AA34" si="228">IF(I34&gt;0,((I35-I34)/I34),)</f>
        <v>0</v>
      </c>
      <c r="AB34" s="511">
        <f t="shared" ref="AB34" si="229">IF(J34&gt;0,((J35-J34)/J34),)</f>
        <v>0</v>
      </c>
      <c r="AC34" s="511">
        <f t="shared" ref="AC34" si="230">IF(K34&gt;0,((K35-K34)/K34),)</f>
        <v>7.879097054090238E-2</v>
      </c>
      <c r="AD34" s="511">
        <f t="shared" ref="AD34" si="231">IF(L34&gt;0,((L35-L34)/L34),)</f>
        <v>0</v>
      </c>
      <c r="AE34" s="511">
        <f t="shared" ref="AE34" si="232">IF(M34&gt;0,((M35-M34)/M34),)</f>
        <v>0</v>
      </c>
      <c r="AF34" s="511">
        <f t="shared" ref="AF34" si="233">IF(N34&gt;0,((N35-N34)/N34),)</f>
        <v>0.29778849247835715</v>
      </c>
      <c r="AG34" s="511">
        <f t="shared" ref="AG34" si="234">IF(O34&gt;0,((O35-O34)/O34),)</f>
        <v>0</v>
      </c>
      <c r="AH34" s="511">
        <f t="shared" ref="AH34" si="235">IF(P34&gt;0,((P35-P34)/P34),)</f>
        <v>0</v>
      </c>
      <c r="AI34" s="511">
        <f t="shared" ref="AI34" si="236">IF(Q34&gt;0,((Q35-Q34)/Q34),)</f>
        <v>0</v>
      </c>
      <c r="AJ34" s="511">
        <f t="shared" ref="AJ34" si="237">IF(R34&gt;0,((R35-R34)/R34),)</f>
        <v>-0.11272808272978718</v>
      </c>
      <c r="AK34" s="511">
        <f t="shared" ref="AK34" si="238">IF(S34&gt;0,((S35-S34)/S34),)</f>
        <v>-5.5228842075805678E-3</v>
      </c>
      <c r="AL34" s="511">
        <f t="shared" ref="AL34" si="239">IF(T34&gt;0,((T35-T34)/T34),)</f>
        <v>0</v>
      </c>
      <c r="AM34" s="511">
        <f t="shared" ref="AM34" si="240">IF(U34&gt;0,((U35-U34)/U34),)</f>
        <v>7.2981171397838726E-3</v>
      </c>
    </row>
    <row r="35" spans="1:39" ht="13.5" thickBot="1">
      <c r="A35" s="1469"/>
      <c r="B35" s="480"/>
      <c r="C35" s="1223"/>
      <c r="D35" s="1224" t="s">
        <v>273</v>
      </c>
      <c r="E35" s="1225">
        <v>55970408</v>
      </c>
      <c r="F35" s="1203"/>
      <c r="G35" s="1203"/>
      <c r="H35" s="1210">
        <v>278859</v>
      </c>
      <c r="I35" s="1203"/>
      <c r="J35" s="1203"/>
      <c r="K35" s="1203">
        <v>19237417</v>
      </c>
      <c r="L35" s="1203"/>
      <c r="M35" s="1203"/>
      <c r="N35" s="1203">
        <v>17879257</v>
      </c>
      <c r="O35" s="1203"/>
      <c r="P35" s="1203"/>
      <c r="Q35" s="1203"/>
      <c r="R35" s="1210">
        <v>39354520</v>
      </c>
      <c r="S35" s="1203">
        <v>1464107</v>
      </c>
      <c r="T35" s="1203"/>
      <c r="U35" s="1229">
        <v>134184568</v>
      </c>
      <c r="V35" s="394"/>
      <c r="W35" s="512"/>
      <c r="X35" s="512"/>
      <c r="Y35" s="512"/>
      <c r="Z35" s="512"/>
      <c r="AA35" s="512"/>
      <c r="AB35" s="512"/>
      <c r="AC35" s="512"/>
      <c r="AD35" s="512"/>
      <c r="AE35" s="512"/>
      <c r="AF35" s="512"/>
      <c r="AG35" s="512"/>
      <c r="AH35" s="512"/>
      <c r="AI35" s="512"/>
      <c r="AJ35" s="512"/>
      <c r="AK35" s="512"/>
      <c r="AL35" s="512"/>
      <c r="AM35" s="512"/>
    </row>
    <row r="36" spans="1:39">
      <c r="A36" s="1469"/>
      <c r="B36" s="466" t="s">
        <v>523</v>
      </c>
      <c r="C36" s="1204" t="s">
        <v>431</v>
      </c>
      <c r="D36" s="1221" t="s">
        <v>271</v>
      </c>
      <c r="E36" s="1230">
        <v>9801471</v>
      </c>
      <c r="F36" s="1218">
        <v>390000</v>
      </c>
      <c r="G36" s="1218">
        <v>3408896</v>
      </c>
      <c r="H36" s="1220">
        <v>0</v>
      </c>
      <c r="I36" s="1218">
        <v>63549821</v>
      </c>
      <c r="J36" s="1218">
        <v>43011800</v>
      </c>
      <c r="K36" s="1219">
        <v>35892498</v>
      </c>
      <c r="L36" s="1227">
        <v>0</v>
      </c>
      <c r="M36" s="1218">
        <v>6629918.4699999997</v>
      </c>
      <c r="N36" s="1219">
        <v>1691473</v>
      </c>
      <c r="O36" s="1227">
        <v>16139051</v>
      </c>
      <c r="P36" s="1218">
        <v>5841282</v>
      </c>
      <c r="Q36" s="1218">
        <v>370700</v>
      </c>
      <c r="R36" s="1220">
        <v>1853029</v>
      </c>
      <c r="S36" s="1218">
        <v>100149504</v>
      </c>
      <c r="T36" s="1218">
        <v>9321215</v>
      </c>
      <c r="U36" s="1222">
        <v>298050658.47000003</v>
      </c>
      <c r="V36" s="485"/>
      <c r="W36" s="511">
        <f>IF(E36&gt;0,((E37-E36)/E36),)</f>
        <v>-0.30529417472132497</v>
      </c>
      <c r="X36" s="511">
        <f t="shared" ref="X36" si="241">IF(F36&gt;0,((F37-F36)/F36),)</f>
        <v>0</v>
      </c>
      <c r="Y36" s="511">
        <f t="shared" ref="Y36" si="242">IF(G36&gt;0,((G37-G36)/G36),)</f>
        <v>-0.34227972927305494</v>
      </c>
      <c r="Z36" s="511">
        <f t="shared" ref="Z36" si="243">IF(H36&gt;0,((H37-H36)/H36),)</f>
        <v>0</v>
      </c>
      <c r="AA36" s="511">
        <f t="shared" ref="AA36" si="244">IF(I36&gt;0,((I37-I36)/I36),)</f>
        <v>-0.10675150446135796</v>
      </c>
      <c r="AB36" s="511">
        <f t="shared" ref="AB36" si="245">IF(J36&gt;0,((J37-J36)/J36),)</f>
        <v>-5.3169130331676424E-2</v>
      </c>
      <c r="AC36" s="511">
        <f t="shared" ref="AC36" si="246">IF(K36&gt;0,((K37-K36)/K36),)</f>
        <v>-0.61255719788575314</v>
      </c>
      <c r="AD36" s="511">
        <f t="shared" ref="AD36" si="247">IF(L36&gt;0,((L37-L36)/L36),)</f>
        <v>0</v>
      </c>
      <c r="AE36" s="511">
        <f t="shared" ref="AE36" si="248">IF(M36&gt;0,((M37-M36)/M36),)</f>
        <v>6.6187133670740691E-3</v>
      </c>
      <c r="AF36" s="511">
        <f t="shared" ref="AF36" si="249">IF(N36&gt;0,((N37-N36)/N36),)</f>
        <v>3.5261236803661662</v>
      </c>
      <c r="AG36" s="511">
        <f t="shared" ref="AG36" si="250">IF(O36&gt;0,((O37-O36)/O36),)</f>
        <v>-4.3647795647959724E-2</v>
      </c>
      <c r="AH36" s="511">
        <f t="shared" ref="AH36" si="251">IF(P36&gt;0,((P37-P36)/P36),)</f>
        <v>-0.29980148193495881</v>
      </c>
      <c r="AI36" s="511">
        <f t="shared" ref="AI36" si="252">IF(Q36&gt;0,((Q37-Q36)/Q36),)</f>
        <v>-3.9384947396816833E-2</v>
      </c>
      <c r="AJ36" s="511">
        <f t="shared" ref="AJ36" si="253">IF(R36&gt;0,((R37-R36)/R36),)</f>
        <v>0</v>
      </c>
      <c r="AK36" s="511">
        <f t="shared" ref="AK36" si="254">IF(S36&gt;0,((S37-S36)/S36),)</f>
        <v>-0.1429008475169283</v>
      </c>
      <c r="AL36" s="511">
        <f t="shared" ref="AL36" si="255">IF(T36&gt;0,((T37-T36)/T36),)</f>
        <v>-5.2665022746498175E-2</v>
      </c>
      <c r="AM36" s="511">
        <f t="shared" ref="AM36" si="256">IF(U36&gt;0,((U37-U36)/U36),)</f>
        <v>-0.15594886019914125</v>
      </c>
    </row>
    <row r="37" spans="1:39" ht="13.5" thickBot="1">
      <c r="A37" s="1469"/>
      <c r="B37" s="400"/>
      <c r="C37" s="1245"/>
      <c r="D37" s="1224" t="s">
        <v>273</v>
      </c>
      <c r="E37" s="1241">
        <v>6809139</v>
      </c>
      <c r="F37" s="1203">
        <v>390000</v>
      </c>
      <c r="G37" s="1203">
        <v>2242100</v>
      </c>
      <c r="H37" s="1210">
        <v>0</v>
      </c>
      <c r="I37" s="1203">
        <v>56765782</v>
      </c>
      <c r="J37" s="1203">
        <v>40724900</v>
      </c>
      <c r="K37" s="1210">
        <v>13906290</v>
      </c>
      <c r="L37" s="1213">
        <v>0</v>
      </c>
      <c r="M37" s="1203">
        <v>6673800</v>
      </c>
      <c r="N37" s="1210">
        <v>7655816</v>
      </c>
      <c r="O37" s="1213">
        <v>15434617</v>
      </c>
      <c r="P37" s="1203">
        <v>4090057</v>
      </c>
      <c r="Q37" s="1203">
        <v>356100</v>
      </c>
      <c r="R37" s="1210">
        <v>1853029</v>
      </c>
      <c r="S37" s="1203">
        <v>85838055</v>
      </c>
      <c r="T37" s="1203">
        <v>8830313</v>
      </c>
      <c r="U37" s="1229">
        <v>251569998</v>
      </c>
      <c r="V37" s="427"/>
      <c r="W37" s="512"/>
      <c r="X37" s="512"/>
      <c r="Y37" s="512"/>
      <c r="Z37" s="512"/>
      <c r="AA37" s="512"/>
      <c r="AB37" s="512"/>
      <c r="AC37" s="512"/>
      <c r="AD37" s="512"/>
      <c r="AE37" s="512"/>
      <c r="AF37" s="512"/>
      <c r="AG37" s="512"/>
      <c r="AH37" s="512"/>
      <c r="AI37" s="512"/>
      <c r="AJ37" s="512"/>
      <c r="AK37" s="512"/>
      <c r="AL37" s="512"/>
      <c r="AM37" s="512"/>
    </row>
    <row r="38" spans="1:39">
      <c r="A38" s="1469"/>
      <c r="B38" s="502" t="s">
        <v>337</v>
      </c>
      <c r="C38" s="1246" t="s">
        <v>408</v>
      </c>
      <c r="D38" s="1247" t="s">
        <v>271</v>
      </c>
      <c r="E38" s="1238">
        <v>408502017</v>
      </c>
      <c r="F38" s="1248"/>
      <c r="G38" s="1218"/>
      <c r="H38" s="1218">
        <v>300202012</v>
      </c>
      <c r="I38" s="1218">
        <v>19414901</v>
      </c>
      <c r="J38" s="1218">
        <v>144375792</v>
      </c>
      <c r="K38" s="1218">
        <v>25840633</v>
      </c>
      <c r="L38" s="1218"/>
      <c r="M38" s="1218">
        <v>23878789</v>
      </c>
      <c r="N38" s="1218">
        <v>331976620.88999999</v>
      </c>
      <c r="O38" s="1220">
        <v>183251015</v>
      </c>
      <c r="P38" s="1218">
        <v>31676040</v>
      </c>
      <c r="Q38" s="1218">
        <v>39570200</v>
      </c>
      <c r="R38" s="1218">
        <v>1744565422</v>
      </c>
      <c r="S38" s="1218">
        <v>138813945</v>
      </c>
      <c r="T38" s="1218">
        <v>137652251</v>
      </c>
      <c r="U38" s="1222">
        <v>3529719637.8899999</v>
      </c>
      <c r="V38" s="394"/>
      <c r="W38" s="511">
        <f>IF(E38&gt;0,((E39-E38)/E38),)</f>
        <v>7.6084495808009679E-3</v>
      </c>
      <c r="X38" s="511">
        <f t="shared" ref="X38" si="257">IF(F38&gt;0,((F39-F38)/F38),)</f>
        <v>0</v>
      </c>
      <c r="Y38" s="511">
        <f t="shared" ref="Y38" si="258">IF(G38&gt;0,((G39-G38)/G38),)</f>
        <v>0</v>
      </c>
      <c r="Z38" s="511">
        <f t="shared" ref="Z38" si="259">IF(H38&gt;0,((H39-H38)/H38),)</f>
        <v>0.1091773095777919</v>
      </c>
      <c r="AA38" s="511">
        <f t="shared" ref="AA38" si="260">IF(I38&gt;0,((I39-I38)/I38),)</f>
        <v>1.8623942506840494E-2</v>
      </c>
      <c r="AB38" s="511">
        <f t="shared" ref="AB38" si="261">IF(J38&gt;0,((J39-J38)/J38),)</f>
        <v>5.1005780802920203E-2</v>
      </c>
      <c r="AC38" s="511">
        <f t="shared" ref="AC38" si="262">IF(K38&gt;0,((K39-K38)/K38),)</f>
        <v>9.375238601933629E-2</v>
      </c>
      <c r="AD38" s="511">
        <f t="shared" ref="AD38" si="263">IF(L38&gt;0,((L39-L38)/L38),)</f>
        <v>0</v>
      </c>
      <c r="AE38" s="511">
        <f t="shared" ref="AE38" si="264">IF(M38&gt;0,((M39-M38)/M38),)</f>
        <v>-3.5872966589721111E-2</v>
      </c>
      <c r="AF38" s="511">
        <f t="shared" ref="AF38" si="265">IF(N38&gt;0,((N39-N38)/N38),)</f>
        <v>0.1412821330136409</v>
      </c>
      <c r="AG38" s="511">
        <f t="shared" ref="AG38" si="266">IF(O38&gt;0,((O39-O38)/O38),)</f>
        <v>-1.3424187582262504E-2</v>
      </c>
      <c r="AH38" s="511">
        <f t="shared" ref="AH38" si="267">IF(P38&gt;0,((P39-P38)/P38),)</f>
        <v>-9.1469988041434469E-2</v>
      </c>
      <c r="AI38" s="511">
        <f t="shared" ref="AI38" si="268">IF(Q38&gt;0,((Q39-Q38)/Q38),)</f>
        <v>7.856417202844565E-2</v>
      </c>
      <c r="AJ38" s="511">
        <f t="shared" ref="AJ38" si="269">IF(R38&gt;0,((R39-R38)/R38),)</f>
        <v>-0.11146271933847833</v>
      </c>
      <c r="AK38" s="511">
        <f t="shared" ref="AK38" si="270">IF(S38&gt;0,((S39-S38)/S38),)</f>
        <v>1.8168246713253483E-2</v>
      </c>
      <c r="AL38" s="511">
        <f t="shared" ref="AL38" si="271">IF(T38&gt;0,((T39-T38)/T38),)</f>
        <v>-8.0890504289682849E-3</v>
      </c>
      <c r="AM38" s="511">
        <f t="shared" ref="AM38" si="272">IF(U38&gt;0,((U39-U38)/U38),)</f>
        <v>-2.9242208866112927E-2</v>
      </c>
    </row>
    <row r="39" spans="1:39" ht="13.5" thickBot="1">
      <c r="A39" s="1470"/>
      <c r="B39" s="480"/>
      <c r="C39" s="1223"/>
      <c r="D39" s="1224" t="s">
        <v>273</v>
      </c>
      <c r="E39" s="1225">
        <v>411610084</v>
      </c>
      <c r="F39" s="1211"/>
      <c r="G39" s="1203"/>
      <c r="H39" s="1203">
        <v>332977260</v>
      </c>
      <c r="I39" s="1203">
        <v>19776483</v>
      </c>
      <c r="J39" s="1203">
        <v>151739792</v>
      </c>
      <c r="K39" s="1203">
        <v>28263254</v>
      </c>
      <c r="L39" s="1203"/>
      <c r="M39" s="1203">
        <v>23022186</v>
      </c>
      <c r="N39" s="1203">
        <v>378878986</v>
      </c>
      <c r="O39" s="1210">
        <v>180791019</v>
      </c>
      <c r="P39" s="1203">
        <v>28778633</v>
      </c>
      <c r="Q39" s="1203">
        <v>42679000</v>
      </c>
      <c r="R39" s="1203">
        <v>1550111416</v>
      </c>
      <c r="S39" s="1203">
        <v>141335951</v>
      </c>
      <c r="T39" s="1203">
        <v>136538775</v>
      </c>
      <c r="U39" s="1229">
        <v>3426502839</v>
      </c>
      <c r="V39" s="485"/>
      <c r="W39" s="512"/>
      <c r="X39" s="512"/>
      <c r="Y39" s="512"/>
      <c r="Z39" s="512"/>
      <c r="AA39" s="512"/>
      <c r="AB39" s="512"/>
      <c r="AC39" s="512"/>
      <c r="AD39" s="512"/>
      <c r="AE39" s="512"/>
      <c r="AF39" s="512"/>
      <c r="AG39" s="512"/>
      <c r="AH39" s="512"/>
      <c r="AI39" s="512"/>
      <c r="AJ39" s="512"/>
      <c r="AK39" s="512"/>
      <c r="AL39" s="512"/>
      <c r="AM39" s="512"/>
    </row>
    <row r="40" spans="1:39">
      <c r="A40" s="1468" t="s">
        <v>474</v>
      </c>
      <c r="B40" s="504" t="s">
        <v>60</v>
      </c>
      <c r="C40" s="1204" t="s">
        <v>429</v>
      </c>
      <c r="D40" s="1247" t="s">
        <v>271</v>
      </c>
      <c r="E40" s="1230"/>
      <c r="F40" s="1218">
        <v>131908856</v>
      </c>
      <c r="G40" s="1218"/>
      <c r="H40" s="1218"/>
      <c r="I40" s="1219">
        <v>196657557</v>
      </c>
      <c r="J40" s="1218"/>
      <c r="K40" s="1218">
        <v>186547474</v>
      </c>
      <c r="L40" s="1218">
        <v>282266610</v>
      </c>
      <c r="M40" s="1219">
        <v>233323270</v>
      </c>
      <c r="N40" s="1218"/>
      <c r="O40" s="1218"/>
      <c r="P40" s="1218">
        <v>143733461</v>
      </c>
      <c r="Q40" s="1218">
        <v>198621295</v>
      </c>
      <c r="R40" s="1218"/>
      <c r="S40" s="1218"/>
      <c r="T40" s="1218">
        <v>39012591</v>
      </c>
      <c r="U40" s="1222">
        <v>1412071114</v>
      </c>
      <c r="V40" s="427"/>
      <c r="W40" s="511">
        <f>IF(E40&gt;0,((E41-E40)/E40),)</f>
        <v>0</v>
      </c>
      <c r="X40" s="511">
        <f t="shared" ref="X40" si="273">IF(F40&gt;0,((F41-F40)/F40),)</f>
        <v>-0.1489165443145076</v>
      </c>
      <c r="Y40" s="511">
        <f t="shared" ref="Y40" si="274">IF(G40&gt;0,((G41-G40)/G40),)</f>
        <v>0</v>
      </c>
      <c r="Z40" s="511">
        <f t="shared" ref="Z40" si="275">IF(H40&gt;0,((H41-H40)/H40),)</f>
        <v>0</v>
      </c>
      <c r="AA40" s="511">
        <f t="shared" ref="AA40" si="276">IF(I40&gt;0,((I41-I40)/I40),)</f>
        <v>5.8871965952470365E-2</v>
      </c>
      <c r="AB40" s="511">
        <f t="shared" ref="AB40" si="277">IF(J40&gt;0,((J41-J40)/J40),)</f>
        <v>0</v>
      </c>
      <c r="AC40" s="511">
        <f t="shared" ref="AC40" si="278">IF(K40&gt;0,((K41-K40)/K40),)</f>
        <v>4.3028827074871032E-2</v>
      </c>
      <c r="AD40" s="511">
        <f t="shared" ref="AD40" si="279">IF(L40&gt;0,((L41-L40)/L40),)</f>
        <v>1.2628238246103569E-3</v>
      </c>
      <c r="AE40" s="511">
        <f t="shared" ref="AE40" si="280">IF(M40&gt;0,((M41-M40)/M40),)</f>
        <v>-9.6893507449985587E-3</v>
      </c>
      <c r="AF40" s="511">
        <f t="shared" ref="AF40" si="281">IF(N40&gt;0,((N41-N40)/N40),)</f>
        <v>0</v>
      </c>
      <c r="AG40" s="511">
        <f t="shared" ref="AG40" si="282">IF(O40&gt;0,((O41-O40)/O40),)</f>
        <v>0</v>
      </c>
      <c r="AH40" s="511">
        <f t="shared" ref="AH40" si="283">IF(P40&gt;0,((P41-P40)/P40),)</f>
        <v>-0.13188386940741656</v>
      </c>
      <c r="AI40" s="511">
        <f t="shared" ref="AI40" si="284">IF(Q40&gt;0,((Q41-Q40)/Q40),)</f>
        <v>9.2367939220725892E-2</v>
      </c>
      <c r="AJ40" s="511">
        <f t="shared" ref="AJ40" si="285">IF(R40&gt;0,((R41-R40)/R40),)</f>
        <v>0</v>
      </c>
      <c r="AK40" s="511">
        <f t="shared" ref="AK40" si="286">IF(S40&gt;0,((S41-S40)/S40),)</f>
        <v>0</v>
      </c>
      <c r="AL40" s="511">
        <f t="shared" ref="AL40" si="287">IF(T40&gt;0,((T41-T40)/T40),)</f>
        <v>-3.8044127856055499E-3</v>
      </c>
      <c r="AM40" s="511">
        <f t="shared" ref="AM40" si="288">IF(U40&gt;0,((U41-U40)/U40),)</f>
        <v>-1.9131319015836285E-3</v>
      </c>
    </row>
    <row r="41" spans="1:39" ht="13.5" thickBot="1">
      <c r="A41" s="1469"/>
      <c r="B41" s="503"/>
      <c r="C41" s="1223"/>
      <c r="D41" s="1224" t="s">
        <v>273</v>
      </c>
      <c r="E41" s="1225"/>
      <c r="F41" s="1211">
        <v>112265445</v>
      </c>
      <c r="G41" s="1203"/>
      <c r="H41" s="1203"/>
      <c r="I41" s="1210">
        <v>208235174</v>
      </c>
      <c r="J41" s="1203"/>
      <c r="K41" s="1203">
        <v>194574393</v>
      </c>
      <c r="L41" s="1203">
        <v>282623063</v>
      </c>
      <c r="M41" s="1210">
        <v>231062519</v>
      </c>
      <c r="N41" s="1203"/>
      <c r="O41" s="1203"/>
      <c r="P41" s="1203">
        <v>124777336</v>
      </c>
      <c r="Q41" s="1203">
        <v>216967534.70450187</v>
      </c>
      <c r="R41" s="1203"/>
      <c r="S41" s="1203"/>
      <c r="T41" s="1203">
        <v>38864171</v>
      </c>
      <c r="U41" s="1229">
        <v>1409369635.7045019</v>
      </c>
      <c r="V41" s="394"/>
      <c r="W41" s="512"/>
      <c r="X41" s="512"/>
      <c r="Y41" s="512"/>
      <c r="Z41" s="512"/>
      <c r="AA41" s="512"/>
      <c r="AB41" s="512"/>
      <c r="AC41" s="512"/>
      <c r="AD41" s="512"/>
      <c r="AE41" s="512"/>
      <c r="AF41" s="512"/>
      <c r="AG41" s="512"/>
      <c r="AH41" s="512"/>
      <c r="AI41" s="512"/>
      <c r="AJ41" s="512"/>
      <c r="AK41" s="512"/>
      <c r="AL41" s="512"/>
      <c r="AM41" s="512"/>
    </row>
    <row r="42" spans="1:39">
      <c r="A42" s="1469"/>
      <c r="B42" s="504" t="s">
        <v>433</v>
      </c>
      <c r="C42" s="1204" t="s">
        <v>430</v>
      </c>
      <c r="D42" s="1247" t="s">
        <v>271</v>
      </c>
      <c r="E42" s="1230">
        <v>10637555.91</v>
      </c>
      <c r="F42" s="1218"/>
      <c r="G42" s="1218"/>
      <c r="H42" s="1218"/>
      <c r="I42" s="1218">
        <v>78053745</v>
      </c>
      <c r="J42" s="1218"/>
      <c r="K42" s="1218"/>
      <c r="L42" s="1218">
        <v>297151890</v>
      </c>
      <c r="M42" s="1218"/>
      <c r="N42" s="1218">
        <v>36456937.950000003</v>
      </c>
      <c r="O42" s="1218"/>
      <c r="P42" s="1218"/>
      <c r="Q42" s="1219">
        <v>10450100</v>
      </c>
      <c r="R42" s="1218"/>
      <c r="S42" s="1218">
        <v>31389135</v>
      </c>
      <c r="T42" s="1218"/>
      <c r="U42" s="1222">
        <v>464139363.85999995</v>
      </c>
      <c r="V42" s="485"/>
      <c r="W42" s="511">
        <f>IF(E42&gt;0,((E43-E42)/E42),)</f>
        <v>-5.2112902126217837E-2</v>
      </c>
      <c r="X42" s="511">
        <f t="shared" ref="X42" si="289">IF(F42&gt;0,((F43-F42)/F42),)</f>
        <v>0</v>
      </c>
      <c r="Y42" s="511">
        <f t="shared" ref="Y42" si="290">IF(G42&gt;0,((G43-G42)/G42),)</f>
        <v>0</v>
      </c>
      <c r="Z42" s="511">
        <f t="shared" ref="Z42" si="291">IF(H42&gt;0,((H43-H42)/H42),)</f>
        <v>0</v>
      </c>
      <c r="AA42" s="511">
        <f t="shared" ref="AA42" si="292">IF(I42&gt;0,((I43-I42)/I42),)</f>
        <v>0.25849484864563516</v>
      </c>
      <c r="AB42" s="511">
        <f t="shared" ref="AB42" si="293">IF(J42&gt;0,((J43-J42)/J42),)</f>
        <v>0</v>
      </c>
      <c r="AC42" s="511">
        <f t="shared" ref="AC42" si="294">IF(K42&gt;0,((K43-K42)/K42),)</f>
        <v>0</v>
      </c>
      <c r="AD42" s="511">
        <f t="shared" ref="AD42" si="295">IF(L42&gt;0,((L43-L42)/L42),)</f>
        <v>-9.2480919438203815E-2</v>
      </c>
      <c r="AE42" s="511">
        <f t="shared" ref="AE42" si="296">IF(M42&gt;0,((M43-M42)/M42),)</f>
        <v>0</v>
      </c>
      <c r="AF42" s="511">
        <f t="shared" ref="AF42" si="297">IF(N42&gt;0,((N43-N42)/N42),)</f>
        <v>4.900973999655385E-2</v>
      </c>
      <c r="AG42" s="511">
        <f t="shared" ref="AG42" si="298">IF(O42&gt;0,((O43-O42)/O42),)</f>
        <v>0</v>
      </c>
      <c r="AH42" s="511">
        <f t="shared" ref="AH42" si="299">IF(P42&gt;0,((P43-P42)/P42),)</f>
        <v>0</v>
      </c>
      <c r="AI42" s="511">
        <f t="shared" ref="AI42" si="300">IF(Q42&gt;0,((Q43-Q42)/Q42),)</f>
        <v>4.1307008329386885E-2</v>
      </c>
      <c r="AJ42" s="511">
        <f t="shared" ref="AJ42" si="301">IF(R42&gt;0,((R43-R42)/R42),)</f>
        <v>0</v>
      </c>
      <c r="AK42" s="511">
        <f t="shared" ref="AK42" si="302">IF(S42&gt;0,((S43-S42)/S42),)</f>
        <v>8.0182203173168043E-2</v>
      </c>
      <c r="AL42" s="511">
        <f t="shared" ref="AL42" si="303">IF(T42&gt;0,((T43-T42)/T42),)</f>
        <v>0</v>
      </c>
      <c r="AM42" s="511">
        <f t="shared" ref="AM42" si="304">IF(U42&gt;0,((U43-U42)/U42),)</f>
        <v>-6.7296285026994754E-3</v>
      </c>
    </row>
    <row r="43" spans="1:39" ht="13.5" thickBot="1">
      <c r="A43" s="1469"/>
      <c r="B43" s="505"/>
      <c r="C43" s="1245"/>
      <c r="D43" s="1224" t="s">
        <v>273</v>
      </c>
      <c r="E43" s="1241">
        <v>10083202</v>
      </c>
      <c r="F43" s="1249"/>
      <c r="G43" s="1203"/>
      <c r="H43" s="1203"/>
      <c r="I43" s="1203">
        <v>98230236</v>
      </c>
      <c r="J43" s="1203"/>
      <c r="K43" s="1203"/>
      <c r="L43" s="1203">
        <v>269671010</v>
      </c>
      <c r="M43" s="1203"/>
      <c r="N43" s="1203">
        <v>38243683</v>
      </c>
      <c r="O43" s="1203"/>
      <c r="P43" s="1203"/>
      <c r="Q43" s="1210">
        <v>10881762.367742926</v>
      </c>
      <c r="R43" s="1203"/>
      <c r="S43" s="1203">
        <v>33905985</v>
      </c>
      <c r="T43" s="1203"/>
      <c r="U43" s="1229">
        <v>461015878.3677429</v>
      </c>
      <c r="V43" s="427"/>
      <c r="W43" s="512"/>
      <c r="X43" s="512"/>
      <c r="Y43" s="512"/>
      <c r="Z43" s="512"/>
      <c r="AA43" s="512"/>
      <c r="AB43" s="512"/>
      <c r="AC43" s="512"/>
      <c r="AD43" s="512"/>
      <c r="AE43" s="512"/>
      <c r="AF43" s="512"/>
      <c r="AG43" s="512"/>
      <c r="AH43" s="512"/>
      <c r="AI43" s="512"/>
      <c r="AJ43" s="512"/>
      <c r="AK43" s="512"/>
      <c r="AL43" s="512"/>
      <c r="AM43" s="512"/>
    </row>
    <row r="44" spans="1:39">
      <c r="A44" s="1469"/>
      <c r="B44" s="502" t="s">
        <v>157</v>
      </c>
      <c r="C44" s="1204" t="s">
        <v>409</v>
      </c>
      <c r="D44" s="1221" t="s">
        <v>271</v>
      </c>
      <c r="E44" s="1230">
        <v>0</v>
      </c>
      <c r="F44" s="1218">
        <v>0</v>
      </c>
      <c r="G44" s="1218">
        <v>0</v>
      </c>
      <c r="H44" s="1218">
        <v>0</v>
      </c>
      <c r="I44" s="1218">
        <v>0</v>
      </c>
      <c r="J44" s="1218">
        <v>0</v>
      </c>
      <c r="K44" s="1218">
        <v>0</v>
      </c>
      <c r="L44" s="1218">
        <v>0</v>
      </c>
      <c r="M44" s="1218">
        <v>0</v>
      </c>
      <c r="N44" s="1218">
        <v>0</v>
      </c>
      <c r="O44" s="1218">
        <v>0</v>
      </c>
      <c r="P44" s="1218">
        <v>0</v>
      </c>
      <c r="Q44" s="1218">
        <v>0</v>
      </c>
      <c r="R44" s="1218">
        <v>0</v>
      </c>
      <c r="S44" s="1218">
        <v>0</v>
      </c>
      <c r="T44" s="1218">
        <v>0</v>
      </c>
      <c r="U44" s="1222">
        <v>0</v>
      </c>
      <c r="V44" s="394"/>
      <c r="W44" s="511">
        <f>IF(E44&gt;0,((E45-E44)/E44),)</f>
        <v>0</v>
      </c>
      <c r="X44" s="511">
        <f t="shared" ref="X44" si="305">IF(F44&gt;0,((F45-F44)/F44),)</f>
        <v>0</v>
      </c>
      <c r="Y44" s="511">
        <f t="shared" ref="Y44" si="306">IF(G44&gt;0,((G45-G44)/G44),)</f>
        <v>0</v>
      </c>
      <c r="Z44" s="511">
        <f t="shared" ref="Z44" si="307">IF(H44&gt;0,((H45-H44)/H44),)</f>
        <v>0</v>
      </c>
      <c r="AA44" s="511">
        <f t="shared" ref="AA44" si="308">IF(I44&gt;0,((I45-I44)/I44),)</f>
        <v>0</v>
      </c>
      <c r="AB44" s="511">
        <f t="shared" ref="AB44" si="309">IF(J44&gt;0,((J45-J44)/J44),)</f>
        <v>0</v>
      </c>
      <c r="AC44" s="511">
        <f t="shared" ref="AC44" si="310">IF(K44&gt;0,((K45-K44)/K44),)</f>
        <v>0</v>
      </c>
      <c r="AD44" s="511">
        <f t="shared" ref="AD44" si="311">IF(L44&gt;0,((L45-L44)/L44),)</f>
        <v>0</v>
      </c>
      <c r="AE44" s="511">
        <f t="shared" ref="AE44" si="312">IF(M44&gt;0,((M45-M44)/M44),)</f>
        <v>0</v>
      </c>
      <c r="AF44" s="511">
        <f t="shared" ref="AF44" si="313">IF(N44&gt;0,((N45-N44)/N44),)</f>
        <v>0</v>
      </c>
      <c r="AG44" s="511">
        <f t="shared" ref="AG44" si="314">IF(O44&gt;0,((O45-O44)/O44),)</f>
        <v>0</v>
      </c>
      <c r="AH44" s="511">
        <f t="shared" ref="AH44" si="315">IF(P44&gt;0,((P45-P44)/P44),)</f>
        <v>0</v>
      </c>
      <c r="AI44" s="511">
        <f t="shared" ref="AI44" si="316">IF(Q44&gt;0,((Q45-Q44)/Q44),)</f>
        <v>0</v>
      </c>
      <c r="AJ44" s="511">
        <f t="shared" ref="AJ44" si="317">IF(R44&gt;0,((R45-R44)/R44),)</f>
        <v>0</v>
      </c>
      <c r="AK44" s="511">
        <f t="shared" ref="AK44" si="318">IF(S44&gt;0,((S45-S44)/S44),)</f>
        <v>0</v>
      </c>
      <c r="AL44" s="511">
        <f t="shared" ref="AL44" si="319">IF(T44&gt;0,((T45-T44)/T44),)</f>
        <v>0</v>
      </c>
      <c r="AM44" s="511">
        <f t="shared" ref="AM44" si="320">IF(U44&gt;0,((U45-U44)/U44),)</f>
        <v>0</v>
      </c>
    </row>
    <row r="45" spans="1:39" ht="13.5" thickBot="1">
      <c r="A45" s="1469"/>
      <c r="B45" s="503"/>
      <c r="C45" s="1223"/>
      <c r="D45" s="1224" t="s">
        <v>273</v>
      </c>
      <c r="E45" s="1225">
        <v>0</v>
      </c>
      <c r="F45" s="1203">
        <v>0</v>
      </c>
      <c r="G45" s="1203">
        <v>0</v>
      </c>
      <c r="H45" s="1203">
        <v>0</v>
      </c>
      <c r="I45" s="1203">
        <v>0</v>
      </c>
      <c r="J45" s="1203">
        <v>0</v>
      </c>
      <c r="K45" s="1203">
        <v>0</v>
      </c>
      <c r="L45" s="1203">
        <v>0</v>
      </c>
      <c r="M45" s="1203">
        <v>0</v>
      </c>
      <c r="N45" s="1203">
        <v>0</v>
      </c>
      <c r="O45" s="1203">
        <v>0</v>
      </c>
      <c r="P45" s="1203">
        <v>0</v>
      </c>
      <c r="Q45" s="1203">
        <v>0</v>
      </c>
      <c r="R45" s="1203">
        <v>0</v>
      </c>
      <c r="S45" s="1203">
        <v>0</v>
      </c>
      <c r="T45" s="1203">
        <v>0</v>
      </c>
      <c r="U45" s="1229">
        <v>0</v>
      </c>
      <c r="V45" s="485"/>
      <c r="W45" s="512"/>
      <c r="X45" s="512"/>
      <c r="Y45" s="512"/>
      <c r="Z45" s="512"/>
      <c r="AA45" s="512"/>
      <c r="AB45" s="512"/>
      <c r="AC45" s="512"/>
      <c r="AD45" s="512"/>
      <c r="AE45" s="512"/>
      <c r="AF45" s="512"/>
      <c r="AG45" s="512"/>
      <c r="AH45" s="512"/>
      <c r="AI45" s="512"/>
      <c r="AJ45" s="512"/>
      <c r="AK45" s="512"/>
      <c r="AL45" s="512"/>
      <c r="AM45" s="512"/>
    </row>
    <row r="46" spans="1:39">
      <c r="A46" s="1469"/>
      <c r="B46" s="506" t="s">
        <v>200</v>
      </c>
      <c r="C46" s="1204" t="s">
        <v>410</v>
      </c>
      <c r="D46" s="1221" t="s">
        <v>271</v>
      </c>
      <c r="E46" s="1230">
        <v>2524781</v>
      </c>
      <c r="F46" s="1218">
        <v>9088598</v>
      </c>
      <c r="G46" s="1226">
        <v>843800</v>
      </c>
      <c r="H46" s="1219">
        <v>4092033</v>
      </c>
      <c r="I46" s="1218">
        <v>5273275</v>
      </c>
      <c r="J46" s="1218">
        <v>6440100</v>
      </c>
      <c r="K46" s="1218">
        <v>20368791</v>
      </c>
      <c r="L46" s="1218">
        <v>15357443</v>
      </c>
      <c r="M46" s="1219">
        <v>7678568</v>
      </c>
      <c r="N46" s="1218">
        <v>19873561.23</v>
      </c>
      <c r="O46" s="1218">
        <v>10822435</v>
      </c>
      <c r="P46" s="1218">
        <v>3979262</v>
      </c>
      <c r="Q46" s="1218">
        <v>11061100</v>
      </c>
      <c r="R46" s="1218">
        <v>69579828</v>
      </c>
      <c r="S46" s="1218">
        <v>3827803</v>
      </c>
      <c r="T46" s="1218">
        <v>4070261</v>
      </c>
      <c r="U46" s="1222">
        <v>194881639.23000002</v>
      </c>
      <c r="V46" s="427"/>
      <c r="W46" s="511">
        <f>IF(E46&gt;0,((E47-E46)/E46),)</f>
        <v>2.4770861314308053E-2</v>
      </c>
      <c r="X46" s="511">
        <f t="shared" ref="X46" si="321">IF(F46&gt;0,((F47-F46)/F46),)</f>
        <v>0.12900977686547474</v>
      </c>
      <c r="Y46" s="511">
        <f t="shared" ref="Y46" si="322">IF(G46&gt;0,((G47-G46)/G46),)</f>
        <v>-1.8961839298411946E-3</v>
      </c>
      <c r="Z46" s="511">
        <f t="shared" ref="Z46" si="323">IF(H46&gt;0,((H47-H46)/H46),)</f>
        <v>0.14636050100280226</v>
      </c>
      <c r="AA46" s="511">
        <f t="shared" ref="AA46" si="324">IF(I46&gt;0,((I47-I46)/I46),)</f>
        <v>-0.11392426907377294</v>
      </c>
      <c r="AB46" s="511">
        <f t="shared" ref="AB46" si="325">IF(J46&gt;0,((J47-J46)/J46),)</f>
        <v>-9.3274949146752384E-2</v>
      </c>
      <c r="AC46" s="511">
        <f t="shared" ref="AC46" si="326">IF(K46&gt;0,((K47-K46)/K46),)</f>
        <v>-0.30129093081665964</v>
      </c>
      <c r="AD46" s="511">
        <f t="shared" ref="AD46" si="327">IF(L46&gt;0,((L47-L46)/L46),)</f>
        <v>-9.0600433939425989E-2</v>
      </c>
      <c r="AE46" s="511">
        <f t="shared" ref="AE46" si="328">IF(M46&gt;0,((M47-M46)/M46),)</f>
        <v>-5.3964489212050999E-2</v>
      </c>
      <c r="AF46" s="511">
        <f t="shared" ref="AF46" si="329">IF(N46&gt;0,((N47-N46)/N46),)</f>
        <v>-5.7065878474162147E-2</v>
      </c>
      <c r="AG46" s="511">
        <f t="shared" ref="AG46" si="330">IF(O46&gt;0,((O47-O46)/O46),)</f>
        <v>-1.5786465799979395E-2</v>
      </c>
      <c r="AH46" s="511">
        <f t="shared" ref="AH46" si="331">IF(P46&gt;0,((P47-P46)/P46),)</f>
        <v>-4.9479023999927624E-2</v>
      </c>
      <c r="AI46" s="511">
        <f t="shared" ref="AI46" si="332">IF(Q46&gt;0,((Q47-Q46)/Q46),)</f>
        <v>-2.6969921617199012E-2</v>
      </c>
      <c r="AJ46" s="511">
        <f t="shared" ref="AJ46" si="333">IF(R46&gt;0,((R47-R46)/R46),)</f>
        <v>-3.7260942927309332E-2</v>
      </c>
      <c r="AK46" s="511">
        <f t="shared" ref="AK46" si="334">IF(S46&gt;0,((S47-S46)/S46),)</f>
        <v>-3.3279403354874844E-2</v>
      </c>
      <c r="AL46" s="511">
        <f t="shared" ref="AL46" si="335">IF(T46&gt;0,((T47-T46)/T46),)</f>
        <v>9.5721134344947407E-3</v>
      </c>
      <c r="AM46" s="511">
        <f t="shared" ref="AM46" si="336">IF(U46&gt;0,((U47-U46)/U46),)</f>
        <v>-6.0513495661240382E-2</v>
      </c>
    </row>
    <row r="47" spans="1:39" ht="13.5" thickBot="1">
      <c r="A47" s="1469"/>
      <c r="B47" s="505"/>
      <c r="C47" s="1223"/>
      <c r="D47" s="1224" t="s">
        <v>273</v>
      </c>
      <c r="E47" s="1225">
        <v>2587322</v>
      </c>
      <c r="F47" s="1203">
        <v>10261116</v>
      </c>
      <c r="G47" s="1212">
        <v>842200</v>
      </c>
      <c r="H47" s="1210">
        <v>4690945</v>
      </c>
      <c r="I47" s="1203">
        <v>4672521</v>
      </c>
      <c r="J47" s="1203">
        <v>5839400</v>
      </c>
      <c r="K47" s="1203">
        <v>14231859</v>
      </c>
      <c r="L47" s="1203">
        <v>13966052</v>
      </c>
      <c r="M47" s="1210">
        <v>7264198</v>
      </c>
      <c r="N47" s="1203">
        <v>18739459</v>
      </c>
      <c r="O47" s="1203">
        <v>10651587</v>
      </c>
      <c r="P47" s="1203">
        <v>3782372</v>
      </c>
      <c r="Q47" s="1203">
        <v>10762783</v>
      </c>
      <c r="R47" s="1203">
        <v>66987218</v>
      </c>
      <c r="S47" s="1203">
        <v>3700416</v>
      </c>
      <c r="T47" s="1203">
        <v>4109222</v>
      </c>
      <c r="U47" s="1229">
        <v>183088670</v>
      </c>
      <c r="V47" s="394"/>
      <c r="W47" s="512"/>
      <c r="X47" s="512"/>
      <c r="Y47" s="512"/>
      <c r="Z47" s="512"/>
      <c r="AA47" s="512"/>
      <c r="AB47" s="512"/>
      <c r="AC47" s="512"/>
      <c r="AD47" s="512"/>
      <c r="AE47" s="512"/>
      <c r="AF47" s="512"/>
      <c r="AG47" s="512"/>
      <c r="AH47" s="512"/>
      <c r="AI47" s="512"/>
      <c r="AJ47" s="512"/>
      <c r="AK47" s="512"/>
      <c r="AL47" s="512"/>
      <c r="AM47" s="512"/>
    </row>
    <row r="48" spans="1:39">
      <c r="A48" s="1469"/>
      <c r="B48" s="506" t="s">
        <v>199</v>
      </c>
      <c r="C48" s="1204" t="s">
        <v>411</v>
      </c>
      <c r="D48" s="1221" t="s">
        <v>271</v>
      </c>
      <c r="E48" s="1230">
        <v>5068554</v>
      </c>
      <c r="F48" s="1218"/>
      <c r="G48" s="1220">
        <v>6053900</v>
      </c>
      <c r="H48" s="1218">
        <v>1938333</v>
      </c>
      <c r="I48" s="1218">
        <v>19220999</v>
      </c>
      <c r="J48" s="1218">
        <v>13213900</v>
      </c>
      <c r="K48" s="1218">
        <v>14168361</v>
      </c>
      <c r="L48" s="1218"/>
      <c r="M48" s="1220">
        <v>2090732</v>
      </c>
      <c r="N48" s="1218">
        <v>25361508</v>
      </c>
      <c r="O48" s="1218">
        <v>0</v>
      </c>
      <c r="P48" s="1218">
        <v>11179178</v>
      </c>
      <c r="Q48" s="1218"/>
      <c r="R48" s="1218">
        <v>6842310</v>
      </c>
      <c r="S48" s="1218">
        <v>15967600</v>
      </c>
      <c r="T48" s="1218">
        <v>844629</v>
      </c>
      <c r="U48" s="1222">
        <v>121950004</v>
      </c>
      <c r="V48" s="485"/>
      <c r="W48" s="511">
        <f>IF(E48&gt;0,((E49-E48)/E48),)</f>
        <v>-1.7461390368929679E-2</v>
      </c>
      <c r="X48" s="511">
        <f t="shared" ref="X48" si="337">IF(F48&gt;0,((F49-F48)/F48),)</f>
        <v>0</v>
      </c>
      <c r="Y48" s="511">
        <f t="shared" ref="Y48" si="338">IF(G48&gt;0,((G49-G48)/G48),)</f>
        <v>0.31120434761063115</v>
      </c>
      <c r="Z48" s="511">
        <f t="shared" ref="Z48" si="339">IF(H48&gt;0,((H49-H48)/H48),)</f>
        <v>-5.9303535563806631E-3</v>
      </c>
      <c r="AA48" s="511">
        <f t="shared" ref="AA48" si="340">IF(I48&gt;0,((I49-I48)/I48),)</f>
        <v>-0.28071210034400396</v>
      </c>
      <c r="AB48" s="511">
        <f t="shared" ref="AB48" si="341">IF(J48&gt;0,((J49-J48)/J48),)</f>
        <v>0.1662491770030044</v>
      </c>
      <c r="AC48" s="511">
        <f t="shared" ref="AC48" si="342">IF(K48&gt;0,((K49-K48)/K48),)</f>
        <v>0.14563914626398919</v>
      </c>
      <c r="AD48" s="511">
        <f t="shared" ref="AD48" si="343">IF(L48&gt;0,((L49-L48)/L48),)</f>
        <v>0</v>
      </c>
      <c r="AE48" s="511">
        <f t="shared" ref="AE48" si="344">IF(M48&gt;0,((M49-M48)/M48),)</f>
        <v>0.11913004631870561</v>
      </c>
      <c r="AF48" s="511">
        <f t="shared" ref="AF48" si="345">IF(N48&gt;0,((N49-N48)/N48),)</f>
        <v>-3.8736418985811094E-2</v>
      </c>
      <c r="AG48" s="511">
        <f t="shared" ref="AG48" si="346">IF(O48&gt;0,((O49-O48)/O48),)</f>
        <v>0</v>
      </c>
      <c r="AH48" s="511">
        <f t="shared" ref="AH48" si="347">IF(P48&gt;0,((P49-P48)/P48),)</f>
        <v>0.23555917975364557</v>
      </c>
      <c r="AI48" s="511">
        <f t="shared" ref="AI48" si="348">IF(Q48&gt;0,((Q49-Q48)/Q48),)</f>
        <v>0</v>
      </c>
      <c r="AJ48" s="511">
        <f t="shared" ref="AJ48" si="349">IF(R48&gt;0,((R49-R48)/R48),)</f>
        <v>-1.4234081764784115E-2</v>
      </c>
      <c r="AK48" s="511">
        <f t="shared" ref="AK48" si="350">IF(S48&gt;0,((S49-S48)/S48),)</f>
        <v>-1.9021643828753226E-3</v>
      </c>
      <c r="AL48" s="511">
        <f t="shared" ref="AL48" si="351">IF(T48&gt;0,((T49-T48)/T48),)</f>
        <v>1.0234079104553597E-2</v>
      </c>
      <c r="AM48" s="511">
        <f t="shared" ref="AM48" si="352">IF(U48&gt;0,((U49-U48)/U48),)</f>
        <v>1.9922852975060173E-2</v>
      </c>
    </row>
    <row r="49" spans="1:39" ht="13.5" thickBot="1">
      <c r="A49" s="1469"/>
      <c r="B49" s="505"/>
      <c r="C49" s="1223"/>
      <c r="D49" s="1224" t="s">
        <v>273</v>
      </c>
      <c r="E49" s="1225">
        <v>4980050</v>
      </c>
      <c r="F49" s="1203"/>
      <c r="G49" s="1210">
        <v>7937900</v>
      </c>
      <c r="H49" s="1203">
        <v>1926838</v>
      </c>
      <c r="I49" s="1203">
        <v>13825432</v>
      </c>
      <c r="J49" s="1203">
        <v>15410700</v>
      </c>
      <c r="K49" s="1203">
        <v>16231829</v>
      </c>
      <c r="L49" s="1203"/>
      <c r="M49" s="1210">
        <v>2339801</v>
      </c>
      <c r="N49" s="1203">
        <v>24379094</v>
      </c>
      <c r="O49" s="1203">
        <v>0</v>
      </c>
      <c r="P49" s="1203">
        <v>13812536</v>
      </c>
      <c r="Q49" s="1203"/>
      <c r="R49" s="1203">
        <v>6744916</v>
      </c>
      <c r="S49" s="1203">
        <v>15937227</v>
      </c>
      <c r="T49" s="1203">
        <v>853273</v>
      </c>
      <c r="U49" s="1229">
        <v>124379596</v>
      </c>
      <c r="V49" s="427"/>
      <c r="W49" s="512"/>
      <c r="X49" s="512"/>
      <c r="Y49" s="512"/>
      <c r="Z49" s="512"/>
      <c r="AA49" s="512"/>
      <c r="AB49" s="512"/>
      <c r="AC49" s="512"/>
      <c r="AD49" s="512"/>
      <c r="AE49" s="512"/>
      <c r="AF49" s="512"/>
      <c r="AG49" s="512"/>
      <c r="AH49" s="512"/>
      <c r="AI49" s="512"/>
      <c r="AJ49" s="512"/>
      <c r="AK49" s="512"/>
      <c r="AL49" s="512"/>
      <c r="AM49" s="512"/>
    </row>
    <row r="50" spans="1:39">
      <c r="A50" s="1469"/>
      <c r="B50" s="506" t="s">
        <v>325</v>
      </c>
      <c r="C50" s="1204" t="s">
        <v>412</v>
      </c>
      <c r="D50" s="1221" t="s">
        <v>271</v>
      </c>
      <c r="E50" s="1230">
        <v>255000</v>
      </c>
      <c r="F50" s="1218">
        <v>0</v>
      </c>
      <c r="G50" s="1218">
        <v>193550</v>
      </c>
      <c r="H50" s="1219">
        <v>193550</v>
      </c>
      <c r="I50" s="1218">
        <v>603550</v>
      </c>
      <c r="J50" s="1218">
        <v>193550</v>
      </c>
      <c r="K50" s="1218">
        <v>0</v>
      </c>
      <c r="L50" s="1218">
        <v>195500</v>
      </c>
      <c r="M50" s="1218">
        <v>0</v>
      </c>
      <c r="N50" s="1218">
        <v>193550</v>
      </c>
      <c r="O50" s="1218">
        <v>0</v>
      </c>
      <c r="P50" s="1219">
        <v>193092</v>
      </c>
      <c r="Q50" s="1218">
        <v>0</v>
      </c>
      <c r="R50" s="1218">
        <v>0</v>
      </c>
      <c r="S50" s="1218">
        <v>0</v>
      </c>
      <c r="T50" s="1218">
        <v>0</v>
      </c>
      <c r="U50" s="1222">
        <v>2021342</v>
      </c>
      <c r="V50" s="394"/>
      <c r="W50" s="511">
        <f>IF(E50&gt;0,((E51-E50)/E50),)</f>
        <v>-6.5521568627450982E-2</v>
      </c>
      <c r="X50" s="511">
        <f t="shared" ref="X50" si="353">IF(F50&gt;0,((F51-F50)/F50),)</f>
        <v>0</v>
      </c>
      <c r="Y50" s="511">
        <f t="shared" ref="Y50" si="354">IF(G50&gt;0,((G51-G50)/G50),)</f>
        <v>2.002066649444588E-2</v>
      </c>
      <c r="Z50" s="511">
        <f t="shared" ref="Z50" si="355">IF(H50&gt;0,((H51-H50)/H50),)</f>
        <v>0</v>
      </c>
      <c r="AA50" s="511">
        <f t="shared" ref="AA50" si="356">IF(I50&gt;0,((I51-I50)/I50),)</f>
        <v>0</v>
      </c>
      <c r="AB50" s="511">
        <f t="shared" ref="AB50" si="357">IF(J50&gt;0,((J51-J50)/J50),)</f>
        <v>0</v>
      </c>
      <c r="AC50" s="511">
        <f t="shared" ref="AC50" si="358">IF(K50&gt;0,((K51-K50)/K50),)</f>
        <v>0</v>
      </c>
      <c r="AD50" s="511">
        <f t="shared" ref="AD50" si="359">IF(L50&gt;0,((L51-L50)/L50),)</f>
        <v>0</v>
      </c>
      <c r="AE50" s="511">
        <f t="shared" ref="AE50" si="360">IF(M50&gt;0,((M51-M50)/M50),)</f>
        <v>0</v>
      </c>
      <c r="AF50" s="511">
        <f t="shared" ref="AF50" si="361">IF(N50&gt;0,((N51-N50)/N50),)</f>
        <v>0</v>
      </c>
      <c r="AG50" s="511">
        <f t="shared" ref="AG50" si="362">IF(O50&gt;0,((O51-O50)/O50),)</f>
        <v>0</v>
      </c>
      <c r="AH50" s="511">
        <f t="shared" ref="AH50" si="363">IF(P50&gt;0,((P51-P50)/P50),)</f>
        <v>2.3719263356327554E-3</v>
      </c>
      <c r="AI50" s="511">
        <f t="shared" ref="AI50" si="364">IF(Q50&gt;0,((Q51-Q50)/Q50),)</f>
        <v>0</v>
      </c>
      <c r="AJ50" s="511">
        <f t="shared" ref="AJ50" si="365">IF(R50&gt;0,((R51-R50)/R50),)</f>
        <v>0</v>
      </c>
      <c r="AK50" s="511">
        <f t="shared" ref="AK50" si="366">IF(S50&gt;0,((S51-S50)/S50),)</f>
        <v>0</v>
      </c>
      <c r="AL50" s="511">
        <f t="shared" ref="AL50" si="367">IF(T50&gt;0,((T51-T50)/T50),)</f>
        <v>0</v>
      </c>
      <c r="AM50" s="511">
        <f t="shared" ref="AM50" si="368">IF(U50&gt;0,((U51-U50)/U50),)</f>
        <v>-6.1221703205098397E-3</v>
      </c>
    </row>
    <row r="51" spans="1:39" ht="13.5" thickBot="1">
      <c r="A51" s="1469"/>
      <c r="B51" s="503"/>
      <c r="C51" s="1223"/>
      <c r="D51" s="1224" t="s">
        <v>273</v>
      </c>
      <c r="E51" s="1225">
        <v>238292</v>
      </c>
      <c r="F51" s="1211">
        <v>0</v>
      </c>
      <c r="G51" s="1211">
        <v>197425</v>
      </c>
      <c r="H51" s="1210">
        <v>193550</v>
      </c>
      <c r="I51" s="1211">
        <v>603550</v>
      </c>
      <c r="J51" s="1211">
        <v>193550</v>
      </c>
      <c r="K51" s="1211">
        <v>0</v>
      </c>
      <c r="L51" s="1211">
        <v>195500</v>
      </c>
      <c r="M51" s="1211">
        <v>0</v>
      </c>
      <c r="N51" s="1211">
        <v>193550</v>
      </c>
      <c r="O51" s="1211">
        <v>0</v>
      </c>
      <c r="P51" s="1210">
        <v>193550</v>
      </c>
      <c r="Q51" s="1211">
        <v>0</v>
      </c>
      <c r="R51" s="1211">
        <v>0</v>
      </c>
      <c r="S51" s="1211">
        <v>0</v>
      </c>
      <c r="T51" s="1211">
        <v>0</v>
      </c>
      <c r="U51" s="1229">
        <v>2008967</v>
      </c>
      <c r="V51" s="485"/>
      <c r="W51" s="512"/>
      <c r="X51" s="512"/>
      <c r="Y51" s="512"/>
      <c r="Z51" s="512"/>
      <c r="AA51" s="512"/>
      <c r="AB51" s="512"/>
      <c r="AC51" s="512"/>
      <c r="AD51" s="512"/>
      <c r="AE51" s="512"/>
      <c r="AF51" s="512"/>
      <c r="AG51" s="512"/>
      <c r="AH51" s="512"/>
      <c r="AI51" s="512"/>
      <c r="AJ51" s="512"/>
      <c r="AK51" s="512"/>
      <c r="AL51" s="512"/>
      <c r="AM51" s="512"/>
    </row>
    <row r="52" spans="1:39">
      <c r="A52" s="1469"/>
      <c r="B52" s="506" t="s">
        <v>326</v>
      </c>
      <c r="C52" s="1204" t="s">
        <v>413</v>
      </c>
      <c r="D52" s="1221" t="s">
        <v>271</v>
      </c>
      <c r="E52" s="1230">
        <v>175001</v>
      </c>
      <c r="F52" s="1218">
        <v>0</v>
      </c>
      <c r="G52" s="1218">
        <v>0</v>
      </c>
      <c r="H52" s="1218">
        <v>0</v>
      </c>
      <c r="I52" s="1219">
        <v>0</v>
      </c>
      <c r="J52" s="1218">
        <v>0</v>
      </c>
      <c r="K52" s="1218">
        <v>3896869</v>
      </c>
      <c r="L52" s="1218">
        <v>964504</v>
      </c>
      <c r="M52" s="1219">
        <v>1151177</v>
      </c>
      <c r="N52" s="1218">
        <v>0</v>
      </c>
      <c r="O52" s="1218">
        <v>0</v>
      </c>
      <c r="P52" s="1218">
        <v>0</v>
      </c>
      <c r="Q52" s="1218">
        <v>1236000</v>
      </c>
      <c r="R52" s="1218">
        <v>0</v>
      </c>
      <c r="S52" s="1218">
        <v>0</v>
      </c>
      <c r="T52" s="1218">
        <v>1022813</v>
      </c>
      <c r="U52" s="1222">
        <v>8446364</v>
      </c>
      <c r="V52" s="427"/>
      <c r="W52" s="511">
        <f>IF(E52&gt;0,((E53-E52)/E52),)</f>
        <v>-0.28890692053188266</v>
      </c>
      <c r="X52" s="511">
        <f t="shared" ref="X52" si="369">IF(F52&gt;0,((F53-F52)/F52),)</f>
        <v>0</v>
      </c>
      <c r="Y52" s="511">
        <f t="shared" ref="Y52" si="370">IF(G52&gt;0,((G53-G52)/G52),)</f>
        <v>0</v>
      </c>
      <c r="Z52" s="511">
        <f t="shared" ref="Z52" si="371">IF(H52&gt;0,((H53-H52)/H52),)</f>
        <v>0</v>
      </c>
      <c r="AA52" s="511">
        <f t="shared" ref="AA52" si="372">IF(I52&gt;0,((I53-I52)/I52),)</f>
        <v>0</v>
      </c>
      <c r="AB52" s="511">
        <f t="shared" ref="AB52" si="373">IF(J52&gt;0,((J53-J52)/J52),)</f>
        <v>0</v>
      </c>
      <c r="AC52" s="511">
        <f t="shared" ref="AC52" si="374">IF(K52&gt;0,((K53-K52)/K52),)</f>
        <v>-2.5068843730697645E-2</v>
      </c>
      <c r="AD52" s="511">
        <f t="shared" ref="AD52" si="375">IF(L52&gt;0,((L53-L52)/L52),)</f>
        <v>-1</v>
      </c>
      <c r="AE52" s="511">
        <f t="shared" ref="AE52" si="376">IF(M52&gt;0,((M53-M52)/M52),)</f>
        <v>-0.19995621872222952</v>
      </c>
      <c r="AF52" s="511">
        <f t="shared" ref="AF52" si="377">IF(N52&gt;0,((N53-N52)/N52),)</f>
        <v>0</v>
      </c>
      <c r="AG52" s="511">
        <f t="shared" ref="AG52" si="378">IF(O52&gt;0,((O53-O52)/O52),)</f>
        <v>0</v>
      </c>
      <c r="AH52" s="511">
        <f t="shared" ref="AH52" si="379">IF(P52&gt;0,((P53-P52)/P52),)</f>
        <v>0</v>
      </c>
      <c r="AI52" s="511">
        <f t="shared" ref="AI52" si="380">IF(Q52&gt;0,((Q53-Q52)/Q52),)</f>
        <v>-1.8122977346278317E-2</v>
      </c>
      <c r="AJ52" s="511">
        <f t="shared" ref="AJ52" si="381">IF(R52&gt;0,((R53-R52)/R52),)</f>
        <v>0</v>
      </c>
      <c r="AK52" s="511">
        <f t="shared" ref="AK52" si="382">IF(S52&gt;0,((S53-S52)/S52),)</f>
        <v>0</v>
      </c>
      <c r="AL52" s="511">
        <f t="shared" ref="AL52" si="383">IF(T52&gt;0,((T53-T52)/T52),)</f>
        <v>0.18144959049210363</v>
      </c>
      <c r="AM52" s="511">
        <f t="shared" ref="AM52" si="384">IF(U52&gt;0,((U53-U52)/U52),)</f>
        <v>-0.13967536800450467</v>
      </c>
    </row>
    <row r="53" spans="1:39" ht="13.5" thickBot="1">
      <c r="A53" s="1469"/>
      <c r="B53" s="503"/>
      <c r="C53" s="1223"/>
      <c r="D53" s="1224" t="s">
        <v>273</v>
      </c>
      <c r="E53" s="1225">
        <v>124442</v>
      </c>
      <c r="F53" s="1203">
        <v>0</v>
      </c>
      <c r="G53" s="1203">
        <v>0</v>
      </c>
      <c r="H53" s="1203">
        <v>0</v>
      </c>
      <c r="I53" s="1210">
        <v>0</v>
      </c>
      <c r="J53" s="1203">
        <v>0</v>
      </c>
      <c r="K53" s="1203">
        <v>3799179</v>
      </c>
      <c r="L53" s="1203">
        <v>0</v>
      </c>
      <c r="M53" s="1210">
        <v>920992</v>
      </c>
      <c r="N53" s="1203">
        <v>0</v>
      </c>
      <c r="O53" s="1203">
        <v>0</v>
      </c>
      <c r="P53" s="1203">
        <v>0</v>
      </c>
      <c r="Q53" s="1203">
        <v>1213600</v>
      </c>
      <c r="R53" s="1203">
        <v>0</v>
      </c>
      <c r="S53" s="1203">
        <v>0</v>
      </c>
      <c r="T53" s="1203">
        <v>1208402</v>
      </c>
      <c r="U53" s="1229">
        <v>7266615</v>
      </c>
      <c r="V53" s="394"/>
      <c r="W53" s="512"/>
      <c r="X53" s="512"/>
      <c r="Y53" s="512"/>
      <c r="Z53" s="512"/>
      <c r="AA53" s="512"/>
      <c r="AB53" s="512"/>
      <c r="AC53" s="512"/>
      <c r="AD53" s="512"/>
      <c r="AE53" s="512"/>
      <c r="AF53" s="512"/>
      <c r="AG53" s="512"/>
      <c r="AH53" s="512"/>
      <c r="AI53" s="512"/>
      <c r="AJ53" s="512"/>
      <c r="AK53" s="512"/>
      <c r="AL53" s="512"/>
      <c r="AM53" s="512"/>
    </row>
    <row r="54" spans="1:39">
      <c r="A54" s="1469"/>
      <c r="B54" s="504" t="s">
        <v>428</v>
      </c>
      <c r="C54" s="1204" t="s">
        <v>414</v>
      </c>
      <c r="D54" s="1221" t="s">
        <v>271</v>
      </c>
      <c r="E54" s="1230">
        <v>12473292</v>
      </c>
      <c r="F54" s="1218">
        <v>0</v>
      </c>
      <c r="G54" s="1218">
        <v>0</v>
      </c>
      <c r="H54" s="1219">
        <v>16766324</v>
      </c>
      <c r="I54" s="1228">
        <v>32866777</v>
      </c>
      <c r="J54" s="1218">
        <v>0</v>
      </c>
      <c r="K54" s="1219">
        <v>1000000</v>
      </c>
      <c r="L54" s="1218">
        <v>38445958</v>
      </c>
      <c r="M54" s="1218">
        <v>0</v>
      </c>
      <c r="N54" s="1218">
        <v>1136135</v>
      </c>
      <c r="O54" s="1218">
        <v>0</v>
      </c>
      <c r="P54" s="1218">
        <v>4112500</v>
      </c>
      <c r="Q54" s="1218">
        <v>0</v>
      </c>
      <c r="R54" s="1218">
        <v>54087010</v>
      </c>
      <c r="S54" s="1218">
        <v>0</v>
      </c>
      <c r="T54" s="1218">
        <v>0</v>
      </c>
      <c r="U54" s="1222">
        <v>160887996</v>
      </c>
      <c r="V54" s="485"/>
      <c r="W54" s="511">
        <f>IF(E54&gt;0,((E55-E54)/E54),)</f>
        <v>2.8379997838581826E-2</v>
      </c>
      <c r="X54" s="511">
        <f t="shared" ref="X54" si="385">IF(F54&gt;0,((F55-F54)/F54),)</f>
        <v>0</v>
      </c>
      <c r="Y54" s="511">
        <f t="shared" ref="Y54" si="386">IF(G54&gt;0,((G55-G54)/G54),)</f>
        <v>0</v>
      </c>
      <c r="Z54" s="511">
        <f t="shared" ref="Z54" si="387">IF(H54&gt;0,((H55-H54)/H54),)</f>
        <v>-5.377905138896278E-2</v>
      </c>
      <c r="AA54" s="511">
        <f t="shared" ref="AA54" si="388">IF(I54&gt;0,((I55-I54)/I54),)</f>
        <v>-2.2393433953076688E-2</v>
      </c>
      <c r="AB54" s="511">
        <f t="shared" ref="AB54" si="389">IF(J54&gt;0,((J55-J54)/J54),)</f>
        <v>0</v>
      </c>
      <c r="AC54" s="511">
        <f t="shared" ref="AC54" si="390">IF(K54&gt;0,((K55-K54)/K54),)</f>
        <v>-1</v>
      </c>
      <c r="AD54" s="511">
        <f t="shared" ref="AD54" si="391">IF(L54&gt;0,((L55-L54)/L54),)</f>
        <v>0</v>
      </c>
      <c r="AE54" s="511">
        <f t="shared" ref="AE54" si="392">IF(M54&gt;0,((M55-M54)/M54),)</f>
        <v>0</v>
      </c>
      <c r="AF54" s="511">
        <f t="shared" ref="AF54" si="393">IF(N54&gt;0,((N55-N54)/N54),)</f>
        <v>0.12574650019583941</v>
      </c>
      <c r="AG54" s="511">
        <f t="shared" ref="AG54" si="394">IF(O54&gt;0,((O55-O54)/O54),)</f>
        <v>0</v>
      </c>
      <c r="AH54" s="511">
        <f t="shared" ref="AH54" si="395">IF(P54&gt;0,((P55-P54)/P54),)</f>
        <v>-0.27051671732522797</v>
      </c>
      <c r="AI54" s="511">
        <f t="shared" ref="AI54" si="396">IF(Q54&gt;0,((Q55-Q54)/Q54),)</f>
        <v>0</v>
      </c>
      <c r="AJ54" s="511">
        <f t="shared" ref="AJ54" si="397">IF(R54&gt;0,((R55-R54)/R54),)</f>
        <v>5.3437581408179155E-2</v>
      </c>
      <c r="AK54" s="511">
        <f t="shared" ref="AK54" si="398">IF(S54&gt;0,((S55-S54)/S54),)</f>
        <v>0</v>
      </c>
      <c r="AL54" s="511">
        <f t="shared" ref="AL54" si="399">IF(T54&gt;0,((T55-T54)/T54),)</f>
        <v>0</v>
      </c>
      <c r="AM54" s="511">
        <f t="shared" ref="AM54" si="400">IF(U54&gt;0,((U55-U54)/U54),)</f>
        <v>-2.2564828267237539E-3</v>
      </c>
    </row>
    <row r="55" spans="1:39" ht="13.5" thickBot="1">
      <c r="A55" s="1469"/>
      <c r="B55" s="505"/>
      <c r="C55" s="1223"/>
      <c r="D55" s="1224" t="s">
        <v>273</v>
      </c>
      <c r="E55" s="1225">
        <v>12827284</v>
      </c>
      <c r="F55" s="1203">
        <v>0</v>
      </c>
      <c r="G55" s="1203">
        <v>0</v>
      </c>
      <c r="H55" s="1210">
        <v>15864647</v>
      </c>
      <c r="I55" s="1213">
        <v>32130777</v>
      </c>
      <c r="J55" s="1203">
        <v>0</v>
      </c>
      <c r="K55" s="1210">
        <v>0</v>
      </c>
      <c r="L55" s="1203">
        <v>38445958</v>
      </c>
      <c r="M55" s="1203">
        <v>0</v>
      </c>
      <c r="N55" s="1203">
        <v>1279000</v>
      </c>
      <c r="O55" s="1203">
        <v>0</v>
      </c>
      <c r="P55" s="1203">
        <v>3000000</v>
      </c>
      <c r="Q55" s="1203">
        <v>0</v>
      </c>
      <c r="R55" s="1203">
        <v>56977289</v>
      </c>
      <c r="S55" s="1203">
        <v>0</v>
      </c>
      <c r="T55" s="1203">
        <v>0</v>
      </c>
      <c r="U55" s="1229">
        <v>160524955</v>
      </c>
      <c r="V55" s="427"/>
      <c r="W55" s="512"/>
      <c r="X55" s="512"/>
      <c r="Y55" s="512"/>
      <c r="Z55" s="512"/>
      <c r="AA55" s="512"/>
      <c r="AB55" s="512"/>
      <c r="AC55" s="512"/>
      <c r="AD55" s="512"/>
      <c r="AE55" s="512"/>
      <c r="AF55" s="512"/>
      <c r="AG55" s="512"/>
      <c r="AH55" s="512"/>
      <c r="AI55" s="512"/>
      <c r="AJ55" s="512"/>
      <c r="AK55" s="512"/>
      <c r="AL55" s="512"/>
      <c r="AM55" s="512"/>
    </row>
    <row r="56" spans="1:39">
      <c r="A56" s="1469"/>
      <c r="B56" s="504" t="s">
        <v>251</v>
      </c>
      <c r="C56" s="1204" t="s">
        <v>415</v>
      </c>
      <c r="D56" s="1221" t="s">
        <v>271</v>
      </c>
      <c r="E56" s="1230">
        <v>0</v>
      </c>
      <c r="F56" s="1218">
        <v>0</v>
      </c>
      <c r="G56" s="1218">
        <v>0</v>
      </c>
      <c r="H56" s="1218">
        <v>0</v>
      </c>
      <c r="I56" s="1218">
        <v>0</v>
      </c>
      <c r="J56" s="1218">
        <v>0</v>
      </c>
      <c r="K56" s="1218">
        <v>0</v>
      </c>
      <c r="L56" s="1218">
        <v>0</v>
      </c>
      <c r="M56" s="1218">
        <v>0</v>
      </c>
      <c r="N56" s="1218">
        <v>0</v>
      </c>
      <c r="O56" s="1218">
        <v>0</v>
      </c>
      <c r="P56" s="1218">
        <v>0</v>
      </c>
      <c r="Q56" s="1218">
        <v>0</v>
      </c>
      <c r="R56" s="1218">
        <v>0</v>
      </c>
      <c r="S56" s="1218">
        <v>0</v>
      </c>
      <c r="T56" s="1218">
        <v>0</v>
      </c>
      <c r="U56" s="1222">
        <v>0</v>
      </c>
      <c r="V56" s="394"/>
      <c r="W56" s="511">
        <f>IF(E56&gt;0,((E57-E56)/E56),)</f>
        <v>0</v>
      </c>
      <c r="X56" s="511">
        <f t="shared" ref="X56" si="401">IF(F56&gt;0,((F57-F56)/F56),)</f>
        <v>0</v>
      </c>
      <c r="Y56" s="511">
        <f t="shared" ref="Y56" si="402">IF(G56&gt;0,((G57-G56)/G56),)</f>
        <v>0</v>
      </c>
      <c r="Z56" s="511">
        <f t="shared" ref="Z56" si="403">IF(H56&gt;0,((H57-H56)/H56),)</f>
        <v>0</v>
      </c>
      <c r="AA56" s="511">
        <f t="shared" ref="AA56" si="404">IF(I56&gt;0,((I57-I56)/I56),)</f>
        <v>0</v>
      </c>
      <c r="AB56" s="511">
        <f t="shared" ref="AB56" si="405">IF(J56&gt;0,((J57-J56)/J56),)</f>
        <v>0</v>
      </c>
      <c r="AC56" s="511">
        <f t="shared" ref="AC56" si="406">IF(K56&gt;0,((K57-K56)/K56),)</f>
        <v>0</v>
      </c>
      <c r="AD56" s="511">
        <f t="shared" ref="AD56" si="407">IF(L56&gt;0,((L57-L56)/L56),)</f>
        <v>0</v>
      </c>
      <c r="AE56" s="511">
        <f t="shared" ref="AE56" si="408">IF(M56&gt;0,((M57-M56)/M56),)</f>
        <v>0</v>
      </c>
      <c r="AF56" s="511">
        <f t="shared" ref="AF56" si="409">IF(N56&gt;0,((N57-N56)/N56),)</f>
        <v>0</v>
      </c>
      <c r="AG56" s="511">
        <f t="shared" ref="AG56" si="410">IF(O56&gt;0,((O57-O56)/O56),)</f>
        <v>0</v>
      </c>
      <c r="AH56" s="511">
        <f t="shared" ref="AH56" si="411">IF(P56&gt;0,((P57-P56)/P56),)</f>
        <v>0</v>
      </c>
      <c r="AI56" s="511">
        <f t="shared" ref="AI56" si="412">IF(Q56&gt;0,((Q57-Q56)/Q56),)</f>
        <v>0</v>
      </c>
      <c r="AJ56" s="511">
        <f t="shared" ref="AJ56" si="413">IF(R56&gt;0,((R57-R56)/R56),)</f>
        <v>0</v>
      </c>
      <c r="AK56" s="511">
        <f t="shared" ref="AK56" si="414">IF(S56&gt;0,((S57-S56)/S56),)</f>
        <v>0</v>
      </c>
      <c r="AL56" s="511">
        <f t="shared" ref="AL56" si="415">IF(T56&gt;0,((T57-T56)/T56),)</f>
        <v>0</v>
      </c>
      <c r="AM56" s="511">
        <f t="shared" ref="AM56" si="416">IF(U56&gt;0,((U57-U56)/U56),)</f>
        <v>0</v>
      </c>
    </row>
    <row r="57" spans="1:39" ht="13.5" thickBot="1">
      <c r="A57" s="1469"/>
      <c r="B57" s="507"/>
      <c r="C57" s="1223"/>
      <c r="D57" s="1224" t="s">
        <v>273</v>
      </c>
      <c r="E57" s="1225">
        <v>0</v>
      </c>
      <c r="F57" s="1203">
        <v>0</v>
      </c>
      <c r="G57" s="1203">
        <v>0</v>
      </c>
      <c r="H57" s="1203">
        <v>0</v>
      </c>
      <c r="I57" s="1203">
        <v>0</v>
      </c>
      <c r="J57" s="1203">
        <v>0</v>
      </c>
      <c r="K57" s="1203">
        <v>0</v>
      </c>
      <c r="L57" s="1203">
        <v>0</v>
      </c>
      <c r="M57" s="1203">
        <v>0</v>
      </c>
      <c r="N57" s="1203">
        <v>0</v>
      </c>
      <c r="O57" s="1203">
        <v>0</v>
      </c>
      <c r="P57" s="1203">
        <v>0</v>
      </c>
      <c r="Q57" s="1203">
        <v>0</v>
      </c>
      <c r="R57" s="1203">
        <v>0</v>
      </c>
      <c r="S57" s="1203">
        <v>0</v>
      </c>
      <c r="T57" s="1203">
        <v>0</v>
      </c>
      <c r="U57" s="1229">
        <v>0</v>
      </c>
      <c r="V57" s="485"/>
      <c r="W57" s="512"/>
      <c r="X57" s="512"/>
      <c r="Y57" s="512"/>
      <c r="Z57" s="512"/>
      <c r="AA57" s="512"/>
      <c r="AB57" s="512"/>
      <c r="AC57" s="512"/>
      <c r="AD57" s="512"/>
      <c r="AE57" s="512"/>
      <c r="AF57" s="512"/>
      <c r="AG57" s="512"/>
      <c r="AH57" s="512"/>
      <c r="AI57" s="512"/>
      <c r="AJ57" s="512"/>
      <c r="AK57" s="512"/>
      <c r="AL57" s="512"/>
      <c r="AM57" s="512"/>
    </row>
    <row r="58" spans="1:39">
      <c r="A58" s="1469"/>
      <c r="B58" s="506" t="s">
        <v>327</v>
      </c>
      <c r="C58" s="1204" t="s">
        <v>416</v>
      </c>
      <c r="D58" s="1221" t="s">
        <v>271</v>
      </c>
      <c r="E58" s="1230">
        <v>0</v>
      </c>
      <c r="F58" s="1218">
        <v>386200</v>
      </c>
      <c r="G58" s="1218">
        <v>2130000</v>
      </c>
      <c r="H58" s="1218">
        <v>0</v>
      </c>
      <c r="I58" s="1218">
        <v>383618</v>
      </c>
      <c r="J58" s="1219">
        <v>512800</v>
      </c>
      <c r="K58" s="1218">
        <v>0</v>
      </c>
      <c r="L58" s="1218">
        <v>0</v>
      </c>
      <c r="M58" s="1219">
        <v>400300</v>
      </c>
      <c r="N58" s="1218">
        <v>147150</v>
      </c>
      <c r="O58" s="1218">
        <v>0</v>
      </c>
      <c r="P58" s="1218">
        <v>433251</v>
      </c>
      <c r="Q58" s="1218">
        <v>2289700</v>
      </c>
      <c r="R58" s="1218">
        <v>0</v>
      </c>
      <c r="S58" s="1218">
        <v>32000</v>
      </c>
      <c r="T58" s="1218">
        <v>200747</v>
      </c>
      <c r="U58" s="1222">
        <v>6915766</v>
      </c>
      <c r="V58" s="427"/>
      <c r="W58" s="511">
        <f>IF(E58&gt;0,((E59-E58)/E58),)</f>
        <v>0</v>
      </c>
      <c r="X58" s="511">
        <f t="shared" ref="X58" si="417">IF(F58&gt;0,((F59-F58)/F58),)</f>
        <v>4.2206110823407562E-2</v>
      </c>
      <c r="Y58" s="511">
        <f t="shared" ref="Y58" si="418">IF(G58&gt;0,((G59-G58)/G58),)</f>
        <v>0</v>
      </c>
      <c r="Z58" s="511">
        <f t="shared" ref="Z58" si="419">IF(H58&gt;0,((H59-H58)/H58),)</f>
        <v>0</v>
      </c>
      <c r="AA58" s="511">
        <f t="shared" ref="AA58" si="420">IF(I58&gt;0,((I59-I58)/I58),)</f>
        <v>-2.4811140248893429E-2</v>
      </c>
      <c r="AB58" s="511">
        <f t="shared" ref="AB58" si="421">IF(J58&gt;0,((J59-J58)/J58),)</f>
        <v>0.10842433697347893</v>
      </c>
      <c r="AC58" s="511">
        <f t="shared" ref="AC58" si="422">IF(K58&gt;0,((K59-K58)/K58),)</f>
        <v>0</v>
      </c>
      <c r="AD58" s="511">
        <f t="shared" ref="AD58" si="423">IF(L58&gt;0,((L59-L58)/L58),)</f>
        <v>0</v>
      </c>
      <c r="AE58" s="511">
        <f t="shared" ref="AE58" si="424">IF(M58&gt;0,((M59-M58)/M58),)</f>
        <v>3.4723957032225833E-2</v>
      </c>
      <c r="AF58" s="511">
        <f t="shared" ref="AF58" si="425">IF(N58&gt;0,((N59-N58)/N58),)</f>
        <v>-0.38600067957866124</v>
      </c>
      <c r="AG58" s="511">
        <f t="shared" ref="AG58" si="426">IF(O58&gt;0,((O59-O58)/O58),)</f>
        <v>0</v>
      </c>
      <c r="AH58" s="511">
        <f t="shared" ref="AH58" si="427">IF(P58&gt;0,((P59-P58)/P58),)</f>
        <v>9.2879185506784742E-3</v>
      </c>
      <c r="AI58" s="511">
        <f t="shared" ref="AI58" si="428">IF(Q58&gt;0,((Q59-Q58)/Q58),)</f>
        <v>-0.12433943311350831</v>
      </c>
      <c r="AJ58" s="511">
        <f t="shared" ref="AJ58" si="429">IF(R58&gt;0,((R59-R58)/R58),)</f>
        <v>0</v>
      </c>
      <c r="AK58" s="511">
        <f t="shared" ref="AK58" si="430">IF(S58&gt;0,((S59-S58)/S58),)</f>
        <v>-0.6875</v>
      </c>
      <c r="AL58" s="511">
        <f t="shared" ref="AL58" si="431">IF(T58&gt;0,((T59-T58)/T58),)</f>
        <v>-0.4155778168540501</v>
      </c>
      <c r="AM58" s="511">
        <f t="shared" ref="AM58" si="432">IF(U58&gt;0,((U59-U58)/U58),)</f>
        <v>-5.3012204287999333E-2</v>
      </c>
    </row>
    <row r="59" spans="1:39" ht="13.5" thickBot="1">
      <c r="A59" s="1469"/>
      <c r="B59" s="507"/>
      <c r="C59" s="1223"/>
      <c r="D59" s="1224" t="s">
        <v>273</v>
      </c>
      <c r="E59" s="1225">
        <v>0</v>
      </c>
      <c r="F59" s="1203">
        <v>402500</v>
      </c>
      <c r="G59" s="1203">
        <v>2130000</v>
      </c>
      <c r="H59" s="1203">
        <v>0</v>
      </c>
      <c r="I59" s="1203">
        <v>374100</v>
      </c>
      <c r="J59" s="1210">
        <v>568400</v>
      </c>
      <c r="K59" s="1203">
        <v>0</v>
      </c>
      <c r="L59" s="1203">
        <v>0</v>
      </c>
      <c r="M59" s="1210">
        <v>414200</v>
      </c>
      <c r="N59" s="1203">
        <v>90350</v>
      </c>
      <c r="O59" s="1203">
        <v>0</v>
      </c>
      <c r="P59" s="1203">
        <v>437275</v>
      </c>
      <c r="Q59" s="1203">
        <v>2005000</v>
      </c>
      <c r="R59" s="1203">
        <v>0</v>
      </c>
      <c r="S59" s="1203">
        <v>10000</v>
      </c>
      <c r="T59" s="1203">
        <v>117321</v>
      </c>
      <c r="U59" s="1229">
        <v>6549146</v>
      </c>
      <c r="V59" s="394"/>
      <c r="W59" s="512"/>
      <c r="X59" s="512"/>
      <c r="Y59" s="512"/>
      <c r="Z59" s="512"/>
      <c r="AA59" s="512"/>
      <c r="AB59" s="512"/>
      <c r="AC59" s="512"/>
      <c r="AD59" s="512"/>
      <c r="AE59" s="512"/>
      <c r="AF59" s="512"/>
      <c r="AG59" s="512"/>
      <c r="AH59" s="512"/>
      <c r="AI59" s="512"/>
      <c r="AJ59" s="512"/>
      <c r="AK59" s="512"/>
      <c r="AL59" s="512"/>
      <c r="AM59" s="512"/>
    </row>
    <row r="60" spans="1:39">
      <c r="A60" s="1469"/>
      <c r="B60" s="506" t="s">
        <v>328</v>
      </c>
      <c r="C60" s="1204" t="s">
        <v>417</v>
      </c>
      <c r="D60" s="1221" t="s">
        <v>271</v>
      </c>
      <c r="E60" s="1230">
        <v>0</v>
      </c>
      <c r="F60" s="1218">
        <v>2602850</v>
      </c>
      <c r="G60" s="1218">
        <v>877600</v>
      </c>
      <c r="H60" s="1218">
        <v>0</v>
      </c>
      <c r="I60" s="1218">
        <v>107617</v>
      </c>
      <c r="J60" s="1218">
        <v>3603200</v>
      </c>
      <c r="K60" s="1218">
        <v>1033550</v>
      </c>
      <c r="L60" s="1218">
        <v>0</v>
      </c>
      <c r="M60" s="1218">
        <v>125100</v>
      </c>
      <c r="N60" s="1218">
        <v>104250</v>
      </c>
      <c r="O60" s="1218">
        <v>0</v>
      </c>
      <c r="P60" s="1218">
        <v>1982393</v>
      </c>
      <c r="Q60" s="1218">
        <v>0</v>
      </c>
      <c r="R60" s="1218">
        <v>0</v>
      </c>
      <c r="S60" s="1218">
        <v>0</v>
      </c>
      <c r="T60" s="1218">
        <v>640123</v>
      </c>
      <c r="U60" s="1222">
        <v>11076683</v>
      </c>
      <c r="V60" s="485"/>
      <c r="W60" s="511">
        <f>IF(E60&gt;0,((E61-E60)/E60),)</f>
        <v>0</v>
      </c>
      <c r="X60" s="511">
        <f t="shared" ref="X60" si="433">IF(F60&gt;0,((F61-F60)/F60),)</f>
        <v>1.2851297616074687E-2</v>
      </c>
      <c r="Y60" s="511">
        <f t="shared" ref="Y60" si="434">IF(G60&gt;0,((G61-G60)/G60),)</f>
        <v>-2.6207839562443026E-2</v>
      </c>
      <c r="Z60" s="511">
        <f t="shared" ref="Z60" si="435">IF(H60&gt;0,((H61-H60)/H60),)</f>
        <v>0</v>
      </c>
      <c r="AA60" s="511">
        <f t="shared" ref="AA60" si="436">IF(I60&gt;0,((I61-I60)/I60),)</f>
        <v>0.162455745839412</v>
      </c>
      <c r="AB60" s="511">
        <f t="shared" ref="AB60" si="437">IF(J60&gt;0,((J61-J60)/J60),)</f>
        <v>3.3581261101243341E-2</v>
      </c>
      <c r="AC60" s="511">
        <f t="shared" ref="AC60" si="438">IF(K60&gt;0,((K61-K60)/K60),)</f>
        <v>-0.48633060809830198</v>
      </c>
      <c r="AD60" s="511">
        <f t="shared" ref="AD60" si="439">IF(L60&gt;0,((L61-L60)/L60),)</f>
        <v>0</v>
      </c>
      <c r="AE60" s="511">
        <f t="shared" ref="AE60" si="440">IF(M60&gt;0,((M61-M60)/M60),)</f>
        <v>0.1111111111111111</v>
      </c>
      <c r="AF60" s="511">
        <f t="shared" ref="AF60" si="441">IF(N60&gt;0,((N61-N60)/N60),)</f>
        <v>-0.26666666666666666</v>
      </c>
      <c r="AG60" s="511">
        <f t="shared" ref="AG60" si="442">IF(O60&gt;0,((O61-O60)/O60),)</f>
        <v>0</v>
      </c>
      <c r="AH60" s="511">
        <f t="shared" ref="AH60" si="443">IF(P60&gt;0,((P61-P60)/P60),)</f>
        <v>8.3330600945423036E-2</v>
      </c>
      <c r="AI60" s="511">
        <f t="shared" ref="AI60" si="444">IF(Q60&gt;0,((Q61-Q60)/Q60),)</f>
        <v>0</v>
      </c>
      <c r="AJ60" s="511">
        <f t="shared" ref="AJ60" si="445">IF(R60&gt;0,((R61-R60)/R60),)</f>
        <v>0</v>
      </c>
      <c r="AK60" s="511">
        <f t="shared" ref="AK60" si="446">IF(S60&gt;0,((S61-S60)/S60),)</f>
        <v>0</v>
      </c>
      <c r="AL60" s="511">
        <f t="shared" ref="AL60" si="447">IF(T60&gt;0,((T61-T60)/T60),)</f>
        <v>0.19533277198288454</v>
      </c>
      <c r="AM60" s="511">
        <f t="shared" ref="AM60" si="448">IF(U60&gt;0,((U61-U60)/U60),)</f>
        <v>-6.9861166921541401E-3</v>
      </c>
    </row>
    <row r="61" spans="1:39" ht="13.5" thickBot="1">
      <c r="A61" s="1469"/>
      <c r="B61" s="505"/>
      <c r="C61" s="1223"/>
      <c r="D61" s="1224" t="s">
        <v>273</v>
      </c>
      <c r="E61" s="1225">
        <v>0</v>
      </c>
      <c r="F61" s="1203">
        <v>2636300</v>
      </c>
      <c r="G61" s="1203">
        <v>854600</v>
      </c>
      <c r="H61" s="1203">
        <v>0</v>
      </c>
      <c r="I61" s="1203">
        <v>125100</v>
      </c>
      <c r="J61" s="1203">
        <v>3724200</v>
      </c>
      <c r="K61" s="1203">
        <v>530903</v>
      </c>
      <c r="L61" s="1203">
        <v>0</v>
      </c>
      <c r="M61" s="1203">
        <v>139000</v>
      </c>
      <c r="N61" s="1203">
        <v>76450</v>
      </c>
      <c r="O61" s="1203">
        <v>0</v>
      </c>
      <c r="P61" s="1203">
        <v>2147587</v>
      </c>
      <c r="Q61" s="1203">
        <v>0</v>
      </c>
      <c r="R61" s="1203">
        <v>0</v>
      </c>
      <c r="S61" s="1203">
        <v>0</v>
      </c>
      <c r="T61" s="1203">
        <v>765160</v>
      </c>
      <c r="U61" s="1229">
        <v>10999300</v>
      </c>
      <c r="V61" s="427"/>
      <c r="W61" s="512"/>
      <c r="X61" s="512"/>
      <c r="Y61" s="512"/>
      <c r="Z61" s="512"/>
      <c r="AA61" s="512"/>
      <c r="AB61" s="512"/>
      <c r="AC61" s="512"/>
      <c r="AD61" s="512"/>
      <c r="AE61" s="512"/>
      <c r="AF61" s="512"/>
      <c r="AG61" s="512"/>
      <c r="AH61" s="512"/>
      <c r="AI61" s="512"/>
      <c r="AJ61" s="512"/>
      <c r="AK61" s="512"/>
      <c r="AL61" s="512"/>
      <c r="AM61" s="512"/>
    </row>
    <row r="62" spans="1:39">
      <c r="A62" s="1469"/>
      <c r="B62" s="506" t="s">
        <v>197</v>
      </c>
      <c r="C62" s="1204" t="s">
        <v>418</v>
      </c>
      <c r="D62" s="1221" t="s">
        <v>271</v>
      </c>
      <c r="E62" s="1230">
        <v>40500</v>
      </c>
      <c r="F62" s="1218">
        <v>441193</v>
      </c>
      <c r="G62" s="1218">
        <v>0</v>
      </c>
      <c r="H62" s="1219">
        <v>1566938</v>
      </c>
      <c r="I62" s="1218">
        <v>2520658</v>
      </c>
      <c r="J62" s="1219">
        <v>170334</v>
      </c>
      <c r="K62" s="1218">
        <v>0</v>
      </c>
      <c r="L62" s="1218">
        <v>0</v>
      </c>
      <c r="M62" s="1218"/>
      <c r="N62" s="1218">
        <v>145950</v>
      </c>
      <c r="O62" s="1218">
        <v>0</v>
      </c>
      <c r="P62" s="1218">
        <v>277417</v>
      </c>
      <c r="Q62" s="1218">
        <v>0</v>
      </c>
      <c r="R62" s="1218">
        <v>0</v>
      </c>
      <c r="S62" s="1218">
        <v>170000</v>
      </c>
      <c r="T62" s="1218">
        <v>179964</v>
      </c>
      <c r="U62" s="1222">
        <v>5512954</v>
      </c>
      <c r="V62" s="394"/>
      <c r="W62" s="511">
        <f>IF(E62&gt;0,((E63-E62)/E62),)</f>
        <v>0</v>
      </c>
      <c r="X62" s="511">
        <f t="shared" ref="X62" si="449">IF(F62&gt;0,((F63-F62)/F62),)</f>
        <v>1.9961785431772489E-2</v>
      </c>
      <c r="Y62" s="511">
        <f t="shared" ref="Y62" si="450">IF(G62&gt;0,((G63-G62)/G62),)</f>
        <v>0</v>
      </c>
      <c r="Z62" s="511">
        <f t="shared" ref="Z62" si="451">IF(H62&gt;0,((H63-H62)/H62),)</f>
        <v>-0.15325558509653861</v>
      </c>
      <c r="AA62" s="511">
        <f t="shared" ref="AA62" si="452">IF(I62&gt;0,((I63-I62)/I62),)</f>
        <v>1.7791386217408313E-2</v>
      </c>
      <c r="AB62" s="511">
        <f t="shared" ref="AB62" si="453">IF(J62&gt;0,((J63-J62)/J62),)</f>
        <v>3.8747402162809538E-4</v>
      </c>
      <c r="AC62" s="511">
        <f t="shared" ref="AC62" si="454">IF(K62&gt;0,((K63-K62)/K62),)</f>
        <v>0</v>
      </c>
      <c r="AD62" s="511">
        <f t="shared" ref="AD62" si="455">IF(L62&gt;0,((L63-L62)/L62),)</f>
        <v>0</v>
      </c>
      <c r="AE62" s="511">
        <f t="shared" ref="AE62" si="456">IF(M62&gt;0,((M63-M62)/M62),)</f>
        <v>0</v>
      </c>
      <c r="AF62" s="511">
        <f t="shared" ref="AF62" si="457">IF(N62&gt;0,((N63-N62)/N62),)</f>
        <v>0</v>
      </c>
      <c r="AG62" s="511">
        <f t="shared" ref="AG62" si="458">IF(O62&gt;0,((O63-O62)/O62),)</f>
        <v>0</v>
      </c>
      <c r="AH62" s="511">
        <f t="shared" ref="AH62" si="459">IF(P62&gt;0,((P63-P62)/P62),)</f>
        <v>8.6054567672493032E-2</v>
      </c>
      <c r="AI62" s="511">
        <f t="shared" ref="AI62" si="460">IF(Q62&gt;0,((Q63-Q62)/Q62),)</f>
        <v>0</v>
      </c>
      <c r="AJ62" s="511">
        <f t="shared" ref="AJ62" si="461">IF(R62&gt;0,((R63-R62)/R62),)</f>
        <v>0</v>
      </c>
      <c r="AK62" s="511">
        <f t="shared" ref="AK62" si="462">IF(S62&gt;0,((S63-S62)/S62),)</f>
        <v>0</v>
      </c>
      <c r="AL62" s="511">
        <f t="shared" ref="AL62" si="463">IF(T62&gt;0,((T63-T62)/T62),)</f>
        <v>-0.23111844591140451</v>
      </c>
      <c r="AM62" s="511">
        <f t="shared" ref="AM62" si="464">IF(U62&gt;0,((U63-U62)/U62),)</f>
        <v>-3.7029694062384703E-2</v>
      </c>
    </row>
    <row r="63" spans="1:39" ht="13.5" thickBot="1">
      <c r="A63" s="1469"/>
      <c r="B63" s="503"/>
      <c r="C63" s="1245"/>
      <c r="D63" s="1224" t="s">
        <v>273</v>
      </c>
      <c r="E63" s="1241">
        <v>40500</v>
      </c>
      <c r="F63" s="1203">
        <v>450000</v>
      </c>
      <c r="G63" s="1203">
        <v>0</v>
      </c>
      <c r="H63" s="1210">
        <v>1326796</v>
      </c>
      <c r="I63" s="1203">
        <v>2565504</v>
      </c>
      <c r="J63" s="1210">
        <v>170400</v>
      </c>
      <c r="K63" s="1203">
        <v>0</v>
      </c>
      <c r="L63" s="1203">
        <v>0</v>
      </c>
      <c r="M63" s="1203"/>
      <c r="N63" s="1203">
        <v>145950</v>
      </c>
      <c r="O63" s="1203">
        <v>0</v>
      </c>
      <c r="P63" s="1203">
        <v>301290</v>
      </c>
      <c r="Q63" s="1203">
        <v>0</v>
      </c>
      <c r="R63" s="1203">
        <v>0</v>
      </c>
      <c r="S63" s="1203">
        <v>170000</v>
      </c>
      <c r="T63" s="1203">
        <v>138371</v>
      </c>
      <c r="U63" s="1229">
        <v>5308811</v>
      </c>
      <c r="V63" s="485"/>
      <c r="W63" s="512"/>
      <c r="X63" s="512"/>
      <c r="Y63" s="512"/>
      <c r="Z63" s="512"/>
      <c r="AA63" s="512"/>
      <c r="AB63" s="512"/>
      <c r="AC63" s="512"/>
      <c r="AD63" s="512"/>
      <c r="AE63" s="512"/>
      <c r="AF63" s="512"/>
      <c r="AG63" s="512"/>
      <c r="AH63" s="512"/>
      <c r="AI63" s="512"/>
      <c r="AJ63" s="512"/>
      <c r="AK63" s="512"/>
      <c r="AL63" s="512"/>
      <c r="AM63" s="512"/>
    </row>
    <row r="64" spans="1:39">
      <c r="A64" s="1469"/>
      <c r="B64" s="502" t="s">
        <v>329</v>
      </c>
      <c r="C64" s="1204" t="s">
        <v>419</v>
      </c>
      <c r="D64" s="1221" t="s">
        <v>271</v>
      </c>
      <c r="E64" s="1230">
        <v>0</v>
      </c>
      <c r="F64" s="1218">
        <v>0</v>
      </c>
      <c r="G64" s="1218">
        <v>0</v>
      </c>
      <c r="H64" s="1218">
        <v>0</v>
      </c>
      <c r="I64" s="1218">
        <v>0</v>
      </c>
      <c r="J64" s="1218">
        <v>0</v>
      </c>
      <c r="K64" s="1218">
        <v>0</v>
      </c>
      <c r="L64" s="1218">
        <v>0</v>
      </c>
      <c r="M64" s="1218">
        <v>0</v>
      </c>
      <c r="N64" s="1218">
        <v>0</v>
      </c>
      <c r="O64" s="1218">
        <v>0</v>
      </c>
      <c r="P64" s="1218">
        <v>0</v>
      </c>
      <c r="Q64" s="1218">
        <v>0</v>
      </c>
      <c r="R64" s="1218">
        <v>0</v>
      </c>
      <c r="S64" s="1218">
        <v>0</v>
      </c>
      <c r="T64" s="1218">
        <v>0</v>
      </c>
      <c r="U64" s="1222">
        <v>0</v>
      </c>
      <c r="V64" s="427"/>
      <c r="W64" s="511">
        <f>IF(E64&gt;0,((E65-E64)/E64),)</f>
        <v>0</v>
      </c>
      <c r="X64" s="511">
        <f t="shared" ref="X64" si="465">IF(F64&gt;0,((F65-F64)/F64),)</f>
        <v>0</v>
      </c>
      <c r="Y64" s="511">
        <f t="shared" ref="Y64" si="466">IF(G64&gt;0,((G65-G64)/G64),)</f>
        <v>0</v>
      </c>
      <c r="Z64" s="511">
        <f t="shared" ref="Z64" si="467">IF(H64&gt;0,((H65-H64)/H64),)</f>
        <v>0</v>
      </c>
      <c r="AA64" s="511">
        <f t="shared" ref="AA64" si="468">IF(I64&gt;0,((I65-I64)/I64),)</f>
        <v>0</v>
      </c>
      <c r="AB64" s="511">
        <f t="shared" ref="AB64" si="469">IF(J64&gt;0,((J65-J64)/J64),)</f>
        <v>0</v>
      </c>
      <c r="AC64" s="511">
        <f t="shared" ref="AC64" si="470">IF(K64&gt;0,((K65-K64)/K64),)</f>
        <v>0</v>
      </c>
      <c r="AD64" s="511">
        <f t="shared" ref="AD64" si="471">IF(L64&gt;0,((L65-L64)/L64),)</f>
        <v>0</v>
      </c>
      <c r="AE64" s="511">
        <f t="shared" ref="AE64" si="472">IF(M64&gt;0,((M65-M64)/M64),)</f>
        <v>0</v>
      </c>
      <c r="AF64" s="511">
        <f t="shared" ref="AF64" si="473">IF(N64&gt;0,((N65-N64)/N64),)</f>
        <v>0</v>
      </c>
      <c r="AG64" s="511">
        <f t="shared" ref="AG64" si="474">IF(O64&gt;0,((O65-O64)/O64),)</f>
        <v>0</v>
      </c>
      <c r="AH64" s="511">
        <f t="shared" ref="AH64" si="475">IF(P64&gt;0,((P65-P64)/P64),)</f>
        <v>0</v>
      </c>
      <c r="AI64" s="511">
        <f t="shared" ref="AI64" si="476">IF(Q64&gt;0,((Q65-Q64)/Q64),)</f>
        <v>0</v>
      </c>
      <c r="AJ64" s="511">
        <f t="shared" ref="AJ64" si="477">IF(R64&gt;0,((R65-R64)/R64),)</f>
        <v>0</v>
      </c>
      <c r="AK64" s="511">
        <f t="shared" ref="AK64" si="478">IF(S64&gt;0,((S65-S64)/S64),)</f>
        <v>0</v>
      </c>
      <c r="AL64" s="511">
        <f t="shared" ref="AL64" si="479">IF(T64&gt;0,((T65-T64)/T64),)</f>
        <v>0</v>
      </c>
      <c r="AM64" s="511">
        <f t="shared" ref="AM64" si="480">IF(U64&gt;0,((U65-U64)/U64),)</f>
        <v>0</v>
      </c>
    </row>
    <row r="65" spans="1:39" ht="13.5" thickBot="1">
      <c r="A65" s="1469"/>
      <c r="B65" s="503"/>
      <c r="C65" s="1223"/>
      <c r="D65" s="1224" t="s">
        <v>273</v>
      </c>
      <c r="E65" s="1225">
        <v>0</v>
      </c>
      <c r="F65" s="1203">
        <v>0</v>
      </c>
      <c r="G65" s="1203">
        <v>0</v>
      </c>
      <c r="H65" s="1203">
        <v>0</v>
      </c>
      <c r="I65" s="1203">
        <v>0</v>
      </c>
      <c r="J65" s="1203">
        <v>0</v>
      </c>
      <c r="K65" s="1203">
        <v>0</v>
      </c>
      <c r="L65" s="1203">
        <v>0</v>
      </c>
      <c r="M65" s="1203">
        <v>0</v>
      </c>
      <c r="N65" s="1203">
        <v>0</v>
      </c>
      <c r="O65" s="1203">
        <v>0</v>
      </c>
      <c r="P65" s="1203">
        <v>0</v>
      </c>
      <c r="Q65" s="1203">
        <v>0</v>
      </c>
      <c r="R65" s="1203">
        <v>0</v>
      </c>
      <c r="S65" s="1203">
        <v>0</v>
      </c>
      <c r="T65" s="1203">
        <v>0</v>
      </c>
      <c r="U65" s="1229">
        <v>0</v>
      </c>
      <c r="V65" s="394"/>
      <c r="W65" s="512"/>
      <c r="X65" s="512"/>
      <c r="Y65" s="512"/>
      <c r="Z65" s="512"/>
      <c r="AA65" s="512"/>
      <c r="AB65" s="512"/>
      <c r="AC65" s="512"/>
      <c r="AD65" s="512"/>
      <c r="AE65" s="512"/>
      <c r="AF65" s="512"/>
      <c r="AG65" s="512"/>
      <c r="AH65" s="512"/>
      <c r="AI65" s="512"/>
      <c r="AJ65" s="512"/>
      <c r="AK65" s="512"/>
      <c r="AL65" s="512"/>
      <c r="AM65" s="512"/>
    </row>
    <row r="66" spans="1:39">
      <c r="A66" s="1469"/>
      <c r="B66" s="508" t="s">
        <v>51</v>
      </c>
      <c r="C66" s="1204" t="s">
        <v>420</v>
      </c>
      <c r="D66" s="1221" t="s">
        <v>271</v>
      </c>
      <c r="E66" s="1230">
        <v>0</v>
      </c>
      <c r="F66" s="1218">
        <v>0</v>
      </c>
      <c r="G66" s="1219">
        <v>2256226</v>
      </c>
      <c r="H66" s="1218">
        <v>0</v>
      </c>
      <c r="I66" s="1219">
        <v>11238887</v>
      </c>
      <c r="J66" s="1218">
        <v>0</v>
      </c>
      <c r="K66" s="1218">
        <v>0</v>
      </c>
      <c r="L66" s="1218">
        <v>0</v>
      </c>
      <c r="M66" s="1218">
        <v>0</v>
      </c>
      <c r="N66" s="1218">
        <v>0</v>
      </c>
      <c r="O66" s="1218">
        <v>73867556</v>
      </c>
      <c r="P66" s="1218">
        <v>0</v>
      </c>
      <c r="Q66" s="1218">
        <v>0</v>
      </c>
      <c r="R66" s="1219">
        <v>486850376</v>
      </c>
      <c r="S66" s="1218">
        <v>0</v>
      </c>
      <c r="T66" s="1218">
        <v>0</v>
      </c>
      <c r="U66" s="1222">
        <v>574213045</v>
      </c>
      <c r="V66" s="485"/>
      <c r="W66" s="511">
        <f>IF(E66&gt;0,((E67-E66)/E66),)</f>
        <v>0</v>
      </c>
      <c r="X66" s="511">
        <f t="shared" ref="X66" si="481">IF(F66&gt;0,((F67-F66)/F66),)</f>
        <v>0</v>
      </c>
      <c r="Y66" s="511">
        <f t="shared" ref="Y66" si="482">IF(G66&gt;0,((G67-G66)/G66),)</f>
        <v>-0.2463197392459798</v>
      </c>
      <c r="Z66" s="511">
        <f t="shared" ref="Z66" si="483">IF(H66&gt;0,((H67-H66)/H66),)</f>
        <v>0</v>
      </c>
      <c r="AA66" s="511">
        <f t="shared" ref="AA66" si="484">IF(I66&gt;0,((I67-I66)/I66),)</f>
        <v>-1</v>
      </c>
      <c r="AB66" s="511">
        <f t="shared" ref="AB66" si="485">IF(J66&gt;0,((J67-J66)/J66),)</f>
        <v>0</v>
      </c>
      <c r="AC66" s="511">
        <f t="shared" ref="AC66" si="486">IF(K66&gt;0,((K67-K66)/K66),)</f>
        <v>0</v>
      </c>
      <c r="AD66" s="511">
        <f t="shared" ref="AD66" si="487">IF(L66&gt;0,((L67-L66)/L66),)</f>
        <v>0</v>
      </c>
      <c r="AE66" s="511">
        <f t="shared" ref="AE66" si="488">IF(M66&gt;0,((M67-M66)/M66),)</f>
        <v>0</v>
      </c>
      <c r="AF66" s="511">
        <f t="shared" ref="AF66" si="489">IF(N66&gt;0,((N67-N66)/N66),)</f>
        <v>0</v>
      </c>
      <c r="AG66" s="511">
        <f t="shared" ref="AG66" si="490">IF(O66&gt;0,((O67-O66)/O66),)</f>
        <v>4.3769053358148194E-2</v>
      </c>
      <c r="AH66" s="511">
        <f t="shared" ref="AH66" si="491">IF(P66&gt;0,((P67-P66)/P66),)</f>
        <v>0</v>
      </c>
      <c r="AI66" s="511">
        <f t="shared" ref="AI66" si="492">IF(Q66&gt;0,((Q67-Q66)/Q66),)</f>
        <v>0</v>
      </c>
      <c r="AJ66" s="511">
        <f t="shared" ref="AJ66" si="493">IF(R66&gt;0,((R67-R66)/R66),)</f>
        <v>-4.625780549874732E-2</v>
      </c>
      <c r="AK66" s="511">
        <f t="shared" ref="AK66" si="494">IF(S66&gt;0,((S67-S66)/S66),)</f>
        <v>0</v>
      </c>
      <c r="AL66" s="511">
        <f t="shared" ref="AL66" si="495">IF(T66&gt;0,((T67-T66)/T66),)</f>
        <v>0</v>
      </c>
      <c r="AM66" s="511">
        <f t="shared" ref="AM66" si="496">IF(U66&gt;0,((U67-U66)/U66),)</f>
        <v>-5.413000848839998E-2</v>
      </c>
    </row>
    <row r="67" spans="1:39" ht="13.5" thickBot="1">
      <c r="A67" s="1469"/>
      <c r="B67" s="505"/>
      <c r="C67" s="1223"/>
      <c r="D67" s="1224" t="s">
        <v>273</v>
      </c>
      <c r="E67" s="1225">
        <v>0</v>
      </c>
      <c r="F67" s="1203">
        <v>0</v>
      </c>
      <c r="G67" s="1210">
        <v>1700473</v>
      </c>
      <c r="H67" s="1203">
        <v>0</v>
      </c>
      <c r="I67" s="1210">
        <v>0</v>
      </c>
      <c r="J67" s="1203">
        <v>0</v>
      </c>
      <c r="K67" s="1203">
        <v>0</v>
      </c>
      <c r="L67" s="1203">
        <v>0</v>
      </c>
      <c r="M67" s="1203">
        <v>0</v>
      </c>
      <c r="N67" s="1203">
        <v>0</v>
      </c>
      <c r="O67" s="1203">
        <v>77100669</v>
      </c>
      <c r="P67" s="1203">
        <v>0</v>
      </c>
      <c r="Q67" s="1203">
        <v>0</v>
      </c>
      <c r="R67" s="1210">
        <v>464329746</v>
      </c>
      <c r="S67" s="1203">
        <v>0</v>
      </c>
      <c r="T67" s="1203">
        <v>0</v>
      </c>
      <c r="U67" s="1229">
        <v>543130888</v>
      </c>
      <c r="V67" s="427"/>
      <c r="W67" s="512"/>
      <c r="X67" s="512"/>
      <c r="Y67" s="512"/>
      <c r="Z67" s="512"/>
      <c r="AA67" s="512"/>
      <c r="AB67" s="512"/>
      <c r="AC67" s="512"/>
      <c r="AD67" s="512"/>
      <c r="AE67" s="512"/>
      <c r="AF67" s="512"/>
      <c r="AG67" s="512"/>
      <c r="AH67" s="512"/>
      <c r="AI67" s="512"/>
      <c r="AJ67" s="512"/>
      <c r="AK67" s="512"/>
      <c r="AL67" s="512"/>
      <c r="AM67" s="512"/>
    </row>
    <row r="68" spans="1:39">
      <c r="A68" s="1469"/>
      <c r="B68" s="506" t="s">
        <v>443</v>
      </c>
      <c r="C68" s="1204" t="s">
        <v>442</v>
      </c>
      <c r="D68" s="1221" t="s">
        <v>271</v>
      </c>
      <c r="E68" s="1230">
        <v>10405</v>
      </c>
      <c r="F68" s="1218">
        <v>0</v>
      </c>
      <c r="G68" s="1218">
        <v>7500</v>
      </c>
      <c r="H68" s="1219">
        <v>4906964</v>
      </c>
      <c r="I68" s="1218"/>
      <c r="J68" s="1218"/>
      <c r="K68" s="1218"/>
      <c r="L68" s="1218">
        <v>0</v>
      </c>
      <c r="M68" s="1218"/>
      <c r="N68" s="1218">
        <v>6725623</v>
      </c>
      <c r="O68" s="1218">
        <v>0</v>
      </c>
      <c r="P68" s="1218">
        <v>0</v>
      </c>
      <c r="Q68" s="1218"/>
      <c r="R68" s="1218">
        <v>0</v>
      </c>
      <c r="S68" s="1218"/>
      <c r="T68" s="1218"/>
      <c r="U68" s="1222">
        <v>11650492</v>
      </c>
      <c r="V68" s="394"/>
      <c r="W68" s="511">
        <f>IF(E68&gt;0,((E69-E68)/E68),)</f>
        <v>-8.5535800096107634E-3</v>
      </c>
      <c r="X68" s="511">
        <f t="shared" ref="X68" si="497">IF(F68&gt;0,((F69-F68)/F68),)</f>
        <v>0</v>
      </c>
      <c r="Y68" s="511">
        <f t="shared" ref="Y68" si="498">IF(G68&gt;0,((G69-G68)/G68),)</f>
        <v>0</v>
      </c>
      <c r="Z68" s="511">
        <f t="shared" ref="Z68" si="499">IF(H68&gt;0,((H69-H68)/H68),)</f>
        <v>-3.4640767692609931E-2</v>
      </c>
      <c r="AA68" s="511">
        <f t="shared" ref="AA68" si="500">IF(I68&gt;0,((I69-I68)/I68),)</f>
        <v>0</v>
      </c>
      <c r="AB68" s="511">
        <f t="shared" ref="AB68" si="501">IF(J68&gt;0,((J69-J68)/J68),)</f>
        <v>0</v>
      </c>
      <c r="AC68" s="511">
        <f t="shared" ref="AC68" si="502">IF(K68&gt;0,((K69-K68)/K68),)</f>
        <v>0</v>
      </c>
      <c r="AD68" s="511">
        <f t="shared" ref="AD68" si="503">IF(L68&gt;0,((L69-L68)/L68),)</f>
        <v>0</v>
      </c>
      <c r="AE68" s="511">
        <f t="shared" ref="AE68" si="504">IF(M68&gt;0,((M69-M68)/M68),)</f>
        <v>0</v>
      </c>
      <c r="AF68" s="511">
        <f t="shared" ref="AF68" si="505">IF(N68&gt;0,((N69-N68)/N68),)</f>
        <v>3.1747244827728227E-2</v>
      </c>
      <c r="AG68" s="511">
        <f t="shared" ref="AG68" si="506">IF(O68&gt;0,((O69-O68)/O68),)</f>
        <v>0</v>
      </c>
      <c r="AH68" s="511">
        <f t="shared" ref="AH68" si="507">IF(P68&gt;0,((P69-P68)/P68),)</f>
        <v>0</v>
      </c>
      <c r="AI68" s="511">
        <f t="shared" ref="AI68" si="508">IF(Q68&gt;0,((Q69-Q68)/Q68),)</f>
        <v>0</v>
      </c>
      <c r="AJ68" s="511">
        <f t="shared" ref="AJ68" si="509">IF(R68&gt;0,((R69-R68)/R68),)</f>
        <v>0</v>
      </c>
      <c r="AK68" s="511">
        <f t="shared" ref="AK68" si="510">IF(S68&gt;0,((S69-S68)/S68),)</f>
        <v>0</v>
      </c>
      <c r="AL68" s="511">
        <f t="shared" ref="AL68" si="511">IF(T68&gt;0,((T69-T68)/T68),)</f>
        <v>0</v>
      </c>
      <c r="AM68" s="511">
        <f t="shared" ref="AM68" si="512">IF(U68&gt;0,((U69-U68)/U68),)</f>
        <v>3.7294562324063224E-3</v>
      </c>
    </row>
    <row r="69" spans="1:39" ht="13.5" thickBot="1">
      <c r="A69" s="1469"/>
      <c r="B69" s="509"/>
      <c r="C69" s="1223"/>
      <c r="D69" s="1224" t="s">
        <v>273</v>
      </c>
      <c r="E69" s="1225">
        <v>10316</v>
      </c>
      <c r="F69" s="1203">
        <v>0</v>
      </c>
      <c r="G69" s="1203">
        <v>7500</v>
      </c>
      <c r="H69" s="1210">
        <v>4736983</v>
      </c>
      <c r="I69" s="1203"/>
      <c r="J69" s="1203"/>
      <c r="K69" s="1203"/>
      <c r="L69" s="1203">
        <v>0</v>
      </c>
      <c r="M69" s="1203"/>
      <c r="N69" s="1203">
        <v>6939143</v>
      </c>
      <c r="O69" s="1203">
        <v>0</v>
      </c>
      <c r="P69" s="1203">
        <v>0</v>
      </c>
      <c r="Q69" s="1203"/>
      <c r="R69" s="1203">
        <v>0</v>
      </c>
      <c r="S69" s="1203"/>
      <c r="T69" s="1203"/>
      <c r="U69" s="1229">
        <v>11693942</v>
      </c>
      <c r="V69" s="485"/>
      <c r="W69" s="512"/>
      <c r="X69" s="512"/>
      <c r="Y69" s="512"/>
      <c r="Z69" s="512"/>
      <c r="AA69" s="512"/>
      <c r="AB69" s="512"/>
      <c r="AC69" s="512"/>
      <c r="AD69" s="512"/>
      <c r="AE69" s="512"/>
      <c r="AF69" s="512"/>
      <c r="AG69" s="512"/>
      <c r="AH69" s="512"/>
      <c r="AI69" s="512"/>
      <c r="AJ69" s="512"/>
      <c r="AK69" s="512"/>
      <c r="AL69" s="512"/>
      <c r="AM69" s="512"/>
    </row>
    <row r="70" spans="1:39">
      <c r="A70" s="1469"/>
      <c r="B70" s="506" t="s">
        <v>377</v>
      </c>
      <c r="C70" s="1204" t="s">
        <v>379</v>
      </c>
      <c r="D70" s="1221" t="s">
        <v>271</v>
      </c>
      <c r="E70" s="1230">
        <v>1691595</v>
      </c>
      <c r="F70" s="1218">
        <v>200000</v>
      </c>
      <c r="G70" s="1218">
        <v>21000</v>
      </c>
      <c r="H70" s="1220">
        <v>420875817</v>
      </c>
      <c r="I70" s="1218"/>
      <c r="J70" s="1218"/>
      <c r="K70" s="1218"/>
      <c r="L70" s="1218">
        <v>0</v>
      </c>
      <c r="M70" s="1218">
        <v>383250</v>
      </c>
      <c r="N70" s="1218">
        <v>15329739</v>
      </c>
      <c r="O70" s="1218">
        <v>0</v>
      </c>
      <c r="P70" s="1218">
        <v>1700000</v>
      </c>
      <c r="Q70" s="1218"/>
      <c r="R70" s="1218">
        <v>25000000</v>
      </c>
      <c r="S70" s="1218"/>
      <c r="T70" s="1218"/>
      <c r="U70" s="1222">
        <v>465201401</v>
      </c>
      <c r="V70" s="427"/>
      <c r="W70" s="511">
        <f>IF(E70&gt;0,((E71-E70)/E70),)</f>
        <v>-1.0507834322045171E-2</v>
      </c>
      <c r="X70" s="511">
        <f t="shared" ref="X70" si="513">IF(F70&gt;0,((F71-F70)/F70),)</f>
        <v>0</v>
      </c>
      <c r="Y70" s="511">
        <f t="shared" ref="Y70" si="514">IF(G70&gt;0,((G71-G70)/G70),)</f>
        <v>-4.7619047619047616E-2</v>
      </c>
      <c r="Z70" s="511">
        <f t="shared" ref="Z70" si="515">IF(H70&gt;0,((H71-H70)/H70),)</f>
        <v>-0.19023539430396877</v>
      </c>
      <c r="AA70" s="511">
        <f t="shared" ref="AA70" si="516">IF(I70&gt;0,((I71-I70)/I70),)</f>
        <v>0</v>
      </c>
      <c r="AB70" s="511">
        <f t="shared" ref="AB70" si="517">IF(J70&gt;0,((J71-J70)/J70),)</f>
        <v>0</v>
      </c>
      <c r="AC70" s="511">
        <f t="shared" ref="AC70" si="518">IF(K70&gt;0,((K71-K70)/K70),)</f>
        <v>0</v>
      </c>
      <c r="AD70" s="511">
        <f t="shared" ref="AD70" si="519">IF(L70&gt;0,((L71-L70)/L70),)</f>
        <v>0</v>
      </c>
      <c r="AE70" s="511">
        <f t="shared" ref="AE70" si="520">IF(M70&gt;0,((M71-M70)/M70),)</f>
        <v>-0.12017221135029355</v>
      </c>
      <c r="AF70" s="511">
        <f t="shared" ref="AF70" si="521">IF(N70&gt;0,((N71-N70)/N70),)</f>
        <v>4.7309481263836259E-2</v>
      </c>
      <c r="AG70" s="511">
        <f t="shared" ref="AG70" si="522">IF(O70&gt;0,((O71-O70)/O70),)</f>
        <v>0</v>
      </c>
      <c r="AH70" s="511">
        <f t="shared" ref="AH70" si="523">IF(P70&gt;0,((P71-P70)/P70),)</f>
        <v>0</v>
      </c>
      <c r="AI70" s="511">
        <f t="shared" ref="AI70" si="524">IF(Q70&gt;0,((Q71-Q70)/Q70),)</f>
        <v>0</v>
      </c>
      <c r="AJ70" s="511">
        <f t="shared" ref="AJ70" si="525">IF(R70&gt;0,((R71-R70)/R70),)</f>
        <v>0.16</v>
      </c>
      <c r="AK70" s="511">
        <f t="shared" ref="AK70" si="526">IF(S70&gt;0,((S71-S70)/S70),)</f>
        <v>0</v>
      </c>
      <c r="AL70" s="511">
        <f t="shared" ref="AL70" si="527">IF(T70&gt;0,((T71-T70)/T70),)</f>
        <v>0</v>
      </c>
      <c r="AM70" s="511">
        <f t="shared" ref="AM70" si="528">IF(U70&gt;0,((U71-U70)/U70),)</f>
        <v>-0.16209122723600741</v>
      </c>
    </row>
    <row r="71" spans="1:39" ht="13.5" thickBot="1">
      <c r="A71" s="1469"/>
      <c r="B71" s="507"/>
      <c r="C71" s="1223"/>
      <c r="D71" s="1224" t="s">
        <v>273</v>
      </c>
      <c r="E71" s="1225">
        <v>1673820</v>
      </c>
      <c r="F71" s="1203">
        <v>200000</v>
      </c>
      <c r="G71" s="1203">
        <v>20000</v>
      </c>
      <c r="H71" s="1210">
        <v>340810340</v>
      </c>
      <c r="I71" s="1203"/>
      <c r="J71" s="1203"/>
      <c r="K71" s="1203"/>
      <c r="L71" s="1203">
        <v>0</v>
      </c>
      <c r="M71" s="1203">
        <v>337194</v>
      </c>
      <c r="N71" s="1203">
        <v>16054981</v>
      </c>
      <c r="O71" s="1203">
        <v>0</v>
      </c>
      <c r="P71" s="1203">
        <v>1700000</v>
      </c>
      <c r="Q71" s="1203"/>
      <c r="R71" s="1203">
        <v>29000000</v>
      </c>
      <c r="S71" s="1203"/>
      <c r="T71" s="1203"/>
      <c r="U71" s="1229">
        <v>389796335</v>
      </c>
      <c r="V71" s="394"/>
      <c r="W71" s="512"/>
      <c r="X71" s="512"/>
      <c r="Y71" s="512"/>
      <c r="Z71" s="512"/>
      <c r="AA71" s="512"/>
      <c r="AB71" s="512"/>
      <c r="AC71" s="512"/>
      <c r="AD71" s="512"/>
      <c r="AE71" s="512"/>
      <c r="AF71" s="512"/>
      <c r="AG71" s="512"/>
      <c r="AH71" s="512"/>
      <c r="AI71" s="512"/>
      <c r="AJ71" s="512"/>
      <c r="AK71" s="512"/>
      <c r="AL71" s="512"/>
      <c r="AM71" s="512"/>
    </row>
    <row r="72" spans="1:39">
      <c r="A72" s="1469"/>
      <c r="B72" s="506" t="s">
        <v>378</v>
      </c>
      <c r="C72" s="1204" t="s">
        <v>295</v>
      </c>
      <c r="D72" s="1221" t="s">
        <v>271</v>
      </c>
      <c r="E72" s="1230">
        <v>0</v>
      </c>
      <c r="F72" s="1218">
        <v>0</v>
      </c>
      <c r="G72" s="1218">
        <v>0</v>
      </c>
      <c r="H72" s="1218">
        <v>0</v>
      </c>
      <c r="I72" s="1218">
        <v>0</v>
      </c>
      <c r="J72" s="1218">
        <v>0</v>
      </c>
      <c r="K72" s="1218">
        <v>0</v>
      </c>
      <c r="L72" s="1218">
        <v>5237091</v>
      </c>
      <c r="M72" s="1218">
        <v>0</v>
      </c>
      <c r="N72" s="1218">
        <v>0</v>
      </c>
      <c r="O72" s="1218">
        <v>0</v>
      </c>
      <c r="P72" s="1218">
        <v>0</v>
      </c>
      <c r="Q72" s="1218">
        <v>0</v>
      </c>
      <c r="R72" s="1218">
        <v>0</v>
      </c>
      <c r="S72" s="1218">
        <v>0</v>
      </c>
      <c r="T72" s="1218">
        <v>0</v>
      </c>
      <c r="U72" s="1222">
        <v>5237091</v>
      </c>
      <c r="V72" s="485"/>
      <c r="W72" s="511">
        <f>IF(E72&gt;0,((E73-E72)/E72),)</f>
        <v>0</v>
      </c>
      <c r="X72" s="511">
        <f t="shared" ref="X72" si="529">IF(F72&gt;0,((F73-F72)/F72),)</f>
        <v>0</v>
      </c>
      <c r="Y72" s="511">
        <f t="shared" ref="Y72" si="530">IF(G72&gt;0,((G73-G72)/G72),)</f>
        <v>0</v>
      </c>
      <c r="Z72" s="511">
        <f t="shared" ref="Z72" si="531">IF(H72&gt;0,((H73-H72)/H72),)</f>
        <v>0</v>
      </c>
      <c r="AA72" s="511">
        <f t="shared" ref="AA72" si="532">IF(I72&gt;0,((I73-I72)/I72),)</f>
        <v>0</v>
      </c>
      <c r="AB72" s="511">
        <f t="shared" ref="AB72" si="533">IF(J72&gt;0,((J73-J72)/J72),)</f>
        <v>0</v>
      </c>
      <c r="AC72" s="511">
        <f t="shared" ref="AC72" si="534">IF(K72&gt;0,((K73-K72)/K72),)</f>
        <v>0</v>
      </c>
      <c r="AD72" s="511">
        <f t="shared" ref="AD72" si="535">IF(L72&gt;0,((L73-L72)/L72),)</f>
        <v>-1</v>
      </c>
      <c r="AE72" s="511">
        <f t="shared" ref="AE72" si="536">IF(M72&gt;0,((M73-M72)/M72),)</f>
        <v>0</v>
      </c>
      <c r="AF72" s="511">
        <f t="shared" ref="AF72" si="537">IF(N72&gt;0,((N73-N72)/N72),)</f>
        <v>0</v>
      </c>
      <c r="AG72" s="511">
        <f t="shared" ref="AG72" si="538">IF(O72&gt;0,((O73-O72)/O72),)</f>
        <v>0</v>
      </c>
      <c r="AH72" s="511">
        <f t="shared" ref="AH72" si="539">IF(P72&gt;0,((P73-P72)/P72),)</f>
        <v>0</v>
      </c>
      <c r="AI72" s="511">
        <f t="shared" ref="AI72" si="540">IF(Q72&gt;0,((Q73-Q72)/Q72),)</f>
        <v>0</v>
      </c>
      <c r="AJ72" s="511">
        <f t="shared" ref="AJ72" si="541">IF(R72&gt;0,((R73-R72)/R72),)</f>
        <v>0</v>
      </c>
      <c r="AK72" s="511">
        <f t="shared" ref="AK72" si="542">IF(S72&gt;0,((S73-S72)/S72),)</f>
        <v>0</v>
      </c>
      <c r="AL72" s="511">
        <f t="shared" ref="AL72" si="543">IF(T72&gt;0,((T73-T72)/T72),)</f>
        <v>0</v>
      </c>
      <c r="AM72" s="511">
        <f t="shared" ref="AM72" si="544">IF(U72&gt;0,((U73-U72)/U72),)</f>
        <v>-0.91347391137560907</v>
      </c>
    </row>
    <row r="73" spans="1:39" ht="13.5" thickBot="1">
      <c r="A73" s="1469"/>
      <c r="B73" s="505"/>
      <c r="C73" s="1223"/>
      <c r="D73" s="1224" t="s">
        <v>273</v>
      </c>
      <c r="E73" s="1225">
        <v>0</v>
      </c>
      <c r="F73" s="1203">
        <v>0</v>
      </c>
      <c r="G73" s="1203">
        <v>0</v>
      </c>
      <c r="H73" s="1203">
        <v>0</v>
      </c>
      <c r="I73" s="1203">
        <v>0</v>
      </c>
      <c r="J73" s="1203">
        <v>0</v>
      </c>
      <c r="K73" s="1203">
        <v>0</v>
      </c>
      <c r="L73" s="1203">
        <v>0</v>
      </c>
      <c r="M73" s="1203">
        <v>453145</v>
      </c>
      <c r="N73" s="1203">
        <v>0</v>
      </c>
      <c r="O73" s="1203">
        <v>0</v>
      </c>
      <c r="P73" s="1203">
        <v>0</v>
      </c>
      <c r="Q73" s="1203">
        <v>0</v>
      </c>
      <c r="R73" s="1203">
        <v>0</v>
      </c>
      <c r="S73" s="1203">
        <v>0</v>
      </c>
      <c r="T73" s="1203">
        <v>0</v>
      </c>
      <c r="U73" s="1229">
        <v>453145</v>
      </c>
      <c r="V73" s="427"/>
      <c r="W73" s="512"/>
      <c r="X73" s="512"/>
      <c r="Y73" s="512"/>
      <c r="Z73" s="512"/>
      <c r="AA73" s="512"/>
      <c r="AB73" s="512"/>
      <c r="AC73" s="512"/>
      <c r="AD73" s="512"/>
      <c r="AE73" s="512"/>
      <c r="AF73" s="512"/>
      <c r="AG73" s="512"/>
      <c r="AH73" s="512"/>
      <c r="AI73" s="512"/>
      <c r="AJ73" s="512"/>
      <c r="AK73" s="512"/>
      <c r="AL73" s="512"/>
      <c r="AM73" s="512"/>
    </row>
    <row r="74" spans="1:39">
      <c r="A74" s="1469"/>
      <c r="B74" s="506" t="s">
        <v>443</v>
      </c>
      <c r="C74" s="1204" t="s">
        <v>296</v>
      </c>
      <c r="D74" s="1221" t="s">
        <v>271</v>
      </c>
      <c r="E74" s="1230">
        <v>2246979</v>
      </c>
      <c r="F74" s="1218">
        <v>28282187</v>
      </c>
      <c r="G74" s="1218">
        <v>177181</v>
      </c>
      <c r="H74" s="1218">
        <v>0</v>
      </c>
      <c r="I74" s="1219">
        <v>0</v>
      </c>
      <c r="J74" s="1218">
        <v>46211086</v>
      </c>
      <c r="K74" s="1226">
        <v>19479148</v>
      </c>
      <c r="L74" s="1219">
        <v>84751416</v>
      </c>
      <c r="M74" s="1218">
        <v>3633795</v>
      </c>
      <c r="N74" s="1218">
        <v>0</v>
      </c>
      <c r="O74" s="1218">
        <v>0</v>
      </c>
      <c r="P74" s="1218">
        <v>19862906.429579724</v>
      </c>
      <c r="Q74" s="1219">
        <v>98861027</v>
      </c>
      <c r="R74" s="1218">
        <v>0</v>
      </c>
      <c r="S74" s="1218">
        <v>3372105</v>
      </c>
      <c r="T74" s="1218">
        <v>34590801</v>
      </c>
      <c r="U74" s="1222">
        <v>341468631.42957973</v>
      </c>
      <c r="V74" s="394"/>
      <c r="W74" s="511">
        <f>IF(E74&gt;0,((E75-E74)/E74),)</f>
        <v>-1.1801623424161953E-2</v>
      </c>
      <c r="X74" s="511">
        <f t="shared" ref="X74" si="545">IF(F74&gt;0,((F75-F74)/F74),)</f>
        <v>-0.50852457060693357</v>
      </c>
      <c r="Y74" s="511">
        <f t="shared" ref="Y74" si="546">IF(G74&gt;0,((G75-G74)/G74),)</f>
        <v>-0.24657271377856543</v>
      </c>
      <c r="Z74" s="511">
        <f t="shared" ref="Z74" si="547">IF(H74&gt;0,((H75-H74)/H74),)</f>
        <v>0</v>
      </c>
      <c r="AA74" s="511">
        <f t="shared" ref="AA74" si="548">IF(I74&gt;0,((I75-I74)/I74),)</f>
        <v>0</v>
      </c>
      <c r="AB74" s="511">
        <f t="shared" ref="AB74" si="549">IF(J74&gt;0,((J75-J74)/J74),)</f>
        <v>6.6190827023628052E-3</v>
      </c>
      <c r="AC74" s="511">
        <f t="shared" ref="AC74" si="550">IF(K74&gt;0,((K75-K74)/K74),)</f>
        <v>0.22406611418528161</v>
      </c>
      <c r="AD74" s="511">
        <f t="shared" ref="AD74" si="551">IF(L74&gt;0,((L75-L74)/L74),)</f>
        <v>-0.26718721726136113</v>
      </c>
      <c r="AE74" s="511">
        <f t="shared" ref="AE74" si="552">IF(M74&gt;0,((M75-M74)/M74),)</f>
        <v>0.1011669618126504</v>
      </c>
      <c r="AF74" s="511">
        <f t="shared" ref="AF74" si="553">IF(N74&gt;0,((N75-N74)/N74),)</f>
        <v>0</v>
      </c>
      <c r="AG74" s="511">
        <f t="shared" ref="AG74" si="554">IF(O74&gt;0,((O75-O74)/O74),)</f>
        <v>0</v>
      </c>
      <c r="AH74" s="511">
        <f t="shared" ref="AH74" si="555">IF(P74&gt;0,((P75-P74)/P74),)</f>
        <v>-3.3990112774951481E-2</v>
      </c>
      <c r="AI74" s="511">
        <f t="shared" ref="AI74" si="556">IF(Q74&gt;0,((Q75-Q74)/Q74),)</f>
        <v>0.10911237043895973</v>
      </c>
      <c r="AJ74" s="511">
        <f t="shared" ref="AJ74" si="557">IF(R74&gt;0,((R75-R74)/R74),)</f>
        <v>0</v>
      </c>
      <c r="AK74" s="511">
        <f t="shared" ref="AK74" si="558">IF(S74&gt;0,((S75-S74)/S74),)</f>
        <v>0</v>
      </c>
      <c r="AL74" s="511">
        <f t="shared" ref="AL74" si="559">IF(T74&gt;0,((T75-T74)/T74),)</f>
        <v>-6.3442185105803128E-2</v>
      </c>
      <c r="AM74" s="511">
        <f t="shared" ref="AM74" si="560">IF(U74&gt;0,((U75-U74)/U74),)</f>
        <v>-7.0698949208042774E-2</v>
      </c>
    </row>
    <row r="75" spans="1:39" ht="13.5" thickBot="1">
      <c r="A75" s="1469"/>
      <c r="B75" s="503"/>
      <c r="C75" s="1223"/>
      <c r="D75" s="1224" t="s">
        <v>273</v>
      </c>
      <c r="E75" s="1225">
        <v>2220461</v>
      </c>
      <c r="F75" s="1203">
        <v>13900000</v>
      </c>
      <c r="G75" s="1203">
        <v>133493</v>
      </c>
      <c r="H75" s="1203">
        <v>0</v>
      </c>
      <c r="I75" s="1210">
        <v>0</v>
      </c>
      <c r="J75" s="1203">
        <v>46516961</v>
      </c>
      <c r="K75" s="1212">
        <v>23843765</v>
      </c>
      <c r="L75" s="1210">
        <v>62106921</v>
      </c>
      <c r="M75" s="1203">
        <v>4001415</v>
      </c>
      <c r="N75" s="1203">
        <v>0</v>
      </c>
      <c r="O75" s="1203">
        <v>0</v>
      </c>
      <c r="P75" s="1203">
        <v>19187764</v>
      </c>
      <c r="Q75" s="1210">
        <v>109647988</v>
      </c>
      <c r="R75" s="1203">
        <v>0</v>
      </c>
      <c r="S75" s="1203">
        <v>3372105</v>
      </c>
      <c r="T75" s="1203">
        <v>32396285</v>
      </c>
      <c r="U75" s="1229">
        <v>317327158</v>
      </c>
      <c r="V75" s="485"/>
      <c r="W75" s="512"/>
      <c r="X75" s="512"/>
      <c r="Y75" s="512"/>
      <c r="Z75" s="512"/>
      <c r="AA75" s="512"/>
      <c r="AB75" s="512"/>
      <c r="AC75" s="512"/>
      <c r="AD75" s="512"/>
      <c r="AE75" s="512"/>
      <c r="AF75" s="512"/>
      <c r="AG75" s="512"/>
      <c r="AH75" s="512"/>
      <c r="AI75" s="512"/>
      <c r="AJ75" s="512"/>
      <c r="AK75" s="512"/>
      <c r="AL75" s="512"/>
      <c r="AM75" s="512"/>
    </row>
    <row r="76" spans="1:39">
      <c r="A76" s="1469"/>
      <c r="B76" s="506" t="s">
        <v>377</v>
      </c>
      <c r="C76" s="1204" t="s">
        <v>278</v>
      </c>
      <c r="D76" s="1221" t="s">
        <v>271</v>
      </c>
      <c r="E76" s="1230">
        <v>33151227</v>
      </c>
      <c r="F76" s="1255">
        <v>11633718</v>
      </c>
      <c r="G76" s="1218">
        <v>1021135</v>
      </c>
      <c r="H76" s="1226">
        <v>0</v>
      </c>
      <c r="I76" s="1220">
        <v>255850</v>
      </c>
      <c r="J76" s="1218">
        <v>73506633</v>
      </c>
      <c r="K76" s="1218">
        <v>119164022</v>
      </c>
      <c r="L76" s="1218">
        <v>14106761</v>
      </c>
      <c r="M76" s="1219">
        <v>12347167</v>
      </c>
      <c r="N76" s="1218"/>
      <c r="O76" s="1218"/>
      <c r="P76" s="1218">
        <v>211058426.50903538</v>
      </c>
      <c r="Q76" s="1220">
        <v>162616383</v>
      </c>
      <c r="R76" s="1218">
        <v>0</v>
      </c>
      <c r="S76" s="1218">
        <v>1000000</v>
      </c>
      <c r="T76" s="1218">
        <v>41078491</v>
      </c>
      <c r="U76" s="1222">
        <v>680939813.50903535</v>
      </c>
      <c r="V76" s="427"/>
      <c r="W76" s="511">
        <f>IF(E76&gt;0,((E77-E76)/E76),)</f>
        <v>0.18051796393539218</v>
      </c>
      <c r="X76" s="511">
        <f t="shared" ref="X76" si="561">IF(F76&gt;0,((F77-F76)/F76),)</f>
        <v>9.453665801423071</v>
      </c>
      <c r="Y76" s="511">
        <f t="shared" ref="Y76" si="562">IF(G76&gt;0,((G77-G76)/G76),)</f>
        <v>2.8677892737003434E-2</v>
      </c>
      <c r="Z76" s="511">
        <f t="shared" ref="Z76" si="563">IF(H76&gt;0,((H77-H76)/H76),)</f>
        <v>0</v>
      </c>
      <c r="AA76" s="511">
        <f t="shared" ref="AA76" si="564">IF(I76&gt;0,((I77-I76)/I76),)</f>
        <v>0.19898768809849521</v>
      </c>
      <c r="AB76" s="511">
        <f t="shared" ref="AB76" si="565">IF(J76&gt;0,((J77-J76)/J76),)</f>
        <v>3.3590111520956208E-2</v>
      </c>
      <c r="AC76" s="511">
        <f t="shared" ref="AC76" si="566">IF(K76&gt;0,((K77-K76)/K76),)</f>
        <v>0.1211924182955154</v>
      </c>
      <c r="AD76" s="511">
        <f t="shared" ref="AD76" si="567">IF(L76&gt;0,((L77-L76)/L76),)</f>
        <v>-0.21002446982691492</v>
      </c>
      <c r="AE76" s="511">
        <f t="shared" ref="AE76" si="568">IF(M76&gt;0,((M77-M76)/M76),)</f>
        <v>1.3924408732788664E-2</v>
      </c>
      <c r="AF76" s="511">
        <f t="shared" ref="AF76" si="569">IF(N76&gt;0,((N77-N76)/N76),)</f>
        <v>0</v>
      </c>
      <c r="AG76" s="511">
        <f t="shared" ref="AG76" si="570">IF(O76&gt;0,((O77-O76)/O76),)</f>
        <v>0</v>
      </c>
      <c r="AH76" s="511">
        <f t="shared" ref="AH76" si="571">IF(P76&gt;0,((P77-P76)/P76),)</f>
        <v>7.2899219166243284E-2</v>
      </c>
      <c r="AI76" s="511">
        <f t="shared" ref="AI76" si="572">IF(Q76&gt;0,((Q77-Q76)/Q76),)</f>
        <v>5.2334640846119426E-3</v>
      </c>
      <c r="AJ76" s="511">
        <f t="shared" ref="AJ76" si="573">IF(R76&gt;0,((R77-R76)/R76),)</f>
        <v>0</v>
      </c>
      <c r="AK76" s="511">
        <f t="shared" ref="AK76" si="574">IF(S76&gt;0,((S77-S76)/S76),)</f>
        <v>0</v>
      </c>
      <c r="AL76" s="511">
        <f t="shared" ref="AL76" si="575">IF(T76&gt;0,((T77-T76)/T76),)</f>
        <v>6.3010688489019723E-2</v>
      </c>
      <c r="AM76" s="511">
        <f t="shared" ref="AM76" si="576">IF(U76&gt;0,((U77-U76)/U76),)</f>
        <v>0.21880249257739678</v>
      </c>
    </row>
    <row r="77" spans="1:39" ht="13.5" thickBot="1">
      <c r="A77" s="1469"/>
      <c r="B77" s="503"/>
      <c r="C77" s="1223"/>
      <c r="D77" s="1224" t="s">
        <v>273</v>
      </c>
      <c r="E77" s="1225">
        <v>39135619</v>
      </c>
      <c r="F77" s="1256">
        <v>121615000</v>
      </c>
      <c r="G77" s="1203">
        <v>1050419</v>
      </c>
      <c r="H77" s="1212">
        <v>0</v>
      </c>
      <c r="I77" s="1210">
        <v>306761</v>
      </c>
      <c r="J77" s="1203">
        <v>75975729</v>
      </c>
      <c r="K77" s="1203">
        <v>133605798</v>
      </c>
      <c r="L77" s="1203">
        <v>11143996</v>
      </c>
      <c r="M77" s="1210">
        <v>12519094</v>
      </c>
      <c r="N77" s="1203"/>
      <c r="O77" s="1203"/>
      <c r="P77" s="1203">
        <v>226444421</v>
      </c>
      <c r="Q77" s="1210">
        <v>163467430</v>
      </c>
      <c r="R77" s="1203">
        <v>0</v>
      </c>
      <c r="S77" s="1203">
        <v>1000000</v>
      </c>
      <c r="T77" s="1203">
        <v>43666875</v>
      </c>
      <c r="U77" s="1229">
        <v>829931142</v>
      </c>
      <c r="V77" s="394"/>
      <c r="W77" s="512"/>
      <c r="X77" s="512"/>
      <c r="Y77" s="512"/>
      <c r="Z77" s="512"/>
      <c r="AA77" s="512"/>
      <c r="AB77" s="512"/>
      <c r="AC77" s="512"/>
      <c r="AD77" s="512"/>
      <c r="AE77" s="512"/>
      <c r="AF77" s="512"/>
      <c r="AG77" s="512"/>
      <c r="AH77" s="512"/>
      <c r="AI77" s="512"/>
      <c r="AJ77" s="512"/>
      <c r="AK77" s="512"/>
      <c r="AL77" s="512"/>
      <c r="AM77" s="512"/>
    </row>
    <row r="78" spans="1:39">
      <c r="A78" s="1469"/>
      <c r="B78" s="506" t="s">
        <v>321</v>
      </c>
      <c r="C78" s="1204" t="s">
        <v>279</v>
      </c>
      <c r="D78" s="1221" t="s">
        <v>271</v>
      </c>
      <c r="E78" s="1230">
        <v>0</v>
      </c>
      <c r="F78" s="1218">
        <v>0</v>
      </c>
      <c r="G78" s="1218">
        <v>0</v>
      </c>
      <c r="H78" s="1218">
        <v>0</v>
      </c>
      <c r="I78" s="1218">
        <v>0</v>
      </c>
      <c r="J78" s="1218">
        <v>0</v>
      </c>
      <c r="K78" s="1218">
        <v>0</v>
      </c>
      <c r="L78" s="1218">
        <v>1737648</v>
      </c>
      <c r="M78" s="1218">
        <v>0</v>
      </c>
      <c r="N78" s="1218">
        <v>0</v>
      </c>
      <c r="O78" s="1218">
        <v>0</v>
      </c>
      <c r="P78" s="1218">
        <v>0</v>
      </c>
      <c r="Q78" s="1218">
        <v>0</v>
      </c>
      <c r="R78" s="1218">
        <v>0</v>
      </c>
      <c r="S78" s="1218">
        <v>0</v>
      </c>
      <c r="T78" s="1218">
        <v>0</v>
      </c>
      <c r="U78" s="1222">
        <v>1737648</v>
      </c>
      <c r="V78" s="485"/>
      <c r="W78" s="511">
        <f>IF(E78&gt;0,((E79-E78)/E78),)</f>
        <v>0</v>
      </c>
      <c r="X78" s="511">
        <f t="shared" ref="X78" si="577">IF(F78&gt;0,((F79-F78)/F78),)</f>
        <v>0</v>
      </c>
      <c r="Y78" s="511">
        <f t="shared" ref="Y78" si="578">IF(G78&gt;0,((G79-G78)/G78),)</f>
        <v>0</v>
      </c>
      <c r="Z78" s="511">
        <f t="shared" ref="Z78" si="579">IF(H78&gt;0,((H79-H78)/H78),)</f>
        <v>0</v>
      </c>
      <c r="AA78" s="511">
        <f t="shared" ref="AA78" si="580">IF(I78&gt;0,((I79-I78)/I78),)</f>
        <v>0</v>
      </c>
      <c r="AB78" s="511">
        <f t="shared" ref="AB78" si="581">IF(J78&gt;0,((J79-J78)/J78),)</f>
        <v>0</v>
      </c>
      <c r="AC78" s="511">
        <f t="shared" ref="AC78" si="582">IF(K78&gt;0,((K79-K78)/K78),)</f>
        <v>0</v>
      </c>
      <c r="AD78" s="511">
        <f t="shared" ref="AD78" si="583">IF(L78&gt;0,((L79-L78)/L78),)</f>
        <v>-0.83397097686067601</v>
      </c>
      <c r="AE78" s="511">
        <f t="shared" ref="AE78" si="584">IF(M78&gt;0,((M79-M78)/M78),)</f>
        <v>0</v>
      </c>
      <c r="AF78" s="511">
        <f t="shared" ref="AF78" si="585">IF(N78&gt;0,((N79-N78)/N78),)</f>
        <v>0</v>
      </c>
      <c r="AG78" s="511">
        <f t="shared" ref="AG78" si="586">IF(O78&gt;0,((O79-O78)/O78),)</f>
        <v>0</v>
      </c>
      <c r="AH78" s="511">
        <f t="shared" ref="AH78" si="587">IF(P78&gt;0,((P79-P78)/P78),)</f>
        <v>0</v>
      </c>
      <c r="AI78" s="511">
        <f t="shared" ref="AI78" si="588">IF(Q78&gt;0,((Q79-Q78)/Q78),)</f>
        <v>0</v>
      </c>
      <c r="AJ78" s="511">
        <f t="shared" ref="AJ78" si="589">IF(R78&gt;0,((R79-R78)/R78),)</f>
        <v>0</v>
      </c>
      <c r="AK78" s="511">
        <f t="shared" ref="AK78" si="590">IF(S78&gt;0,((S79-S78)/S78),)</f>
        <v>0</v>
      </c>
      <c r="AL78" s="511">
        <f t="shared" ref="AL78" si="591">IF(T78&gt;0,((T79-T78)/T78),)</f>
        <v>0</v>
      </c>
      <c r="AM78" s="511">
        <f t="shared" ref="AM78" si="592">IF(U78&gt;0,((U79-U78)/U78),)</f>
        <v>-0.83397097686067601</v>
      </c>
    </row>
    <row r="79" spans="1:39" ht="13.5" thickBot="1">
      <c r="A79" s="1469"/>
      <c r="B79" s="505"/>
      <c r="C79" s="1223"/>
      <c r="D79" s="1224" t="s">
        <v>273</v>
      </c>
      <c r="E79" s="1225">
        <v>0</v>
      </c>
      <c r="F79" s="1203">
        <v>0</v>
      </c>
      <c r="G79" s="1203">
        <v>0</v>
      </c>
      <c r="H79" s="1203">
        <v>0</v>
      </c>
      <c r="I79" s="1203">
        <v>0</v>
      </c>
      <c r="J79" s="1203">
        <v>0</v>
      </c>
      <c r="K79" s="1203">
        <v>0</v>
      </c>
      <c r="L79" s="1203">
        <v>288500</v>
      </c>
      <c r="M79" s="1203">
        <v>0</v>
      </c>
      <c r="N79" s="1203">
        <v>0</v>
      </c>
      <c r="O79" s="1203">
        <v>0</v>
      </c>
      <c r="P79" s="1203">
        <v>0</v>
      </c>
      <c r="Q79" s="1203">
        <v>0</v>
      </c>
      <c r="R79" s="1203">
        <v>0</v>
      </c>
      <c r="S79" s="1203">
        <v>0</v>
      </c>
      <c r="T79" s="1203">
        <v>0</v>
      </c>
      <c r="U79" s="1229">
        <v>288500</v>
      </c>
      <c r="V79" s="427"/>
      <c r="W79" s="512"/>
      <c r="X79" s="512"/>
      <c r="Y79" s="512"/>
      <c r="Z79" s="512"/>
      <c r="AA79" s="512"/>
      <c r="AB79" s="512"/>
      <c r="AC79" s="512"/>
      <c r="AD79" s="512"/>
      <c r="AE79" s="512"/>
      <c r="AF79" s="512"/>
      <c r="AG79" s="512"/>
      <c r="AH79" s="512"/>
      <c r="AI79" s="512"/>
      <c r="AJ79" s="512"/>
      <c r="AK79" s="512"/>
      <c r="AL79" s="512"/>
      <c r="AM79" s="512"/>
    </row>
    <row r="80" spans="1:39">
      <c r="A80" s="1469"/>
      <c r="B80" s="506" t="s">
        <v>443</v>
      </c>
      <c r="C80" s="1204" t="s">
        <v>317</v>
      </c>
      <c r="D80" s="1221" t="s">
        <v>271</v>
      </c>
      <c r="E80" s="1230">
        <v>548921</v>
      </c>
      <c r="F80" s="1227">
        <v>3241103</v>
      </c>
      <c r="G80" s="1218">
        <v>390021</v>
      </c>
      <c r="H80" s="1218">
        <v>0</v>
      </c>
      <c r="I80" s="1219">
        <v>0</v>
      </c>
      <c r="J80" s="1218">
        <v>14913204</v>
      </c>
      <c r="K80" s="1219">
        <v>2428101</v>
      </c>
      <c r="L80" s="1227">
        <v>21273873</v>
      </c>
      <c r="M80" s="1218">
        <v>223545</v>
      </c>
      <c r="N80" s="1218">
        <v>0</v>
      </c>
      <c r="O80" s="1218">
        <v>0</v>
      </c>
      <c r="P80" s="1219">
        <v>5268659.5704202773</v>
      </c>
      <c r="Q80" s="1227">
        <v>41142203</v>
      </c>
      <c r="R80" s="1218">
        <v>0</v>
      </c>
      <c r="S80" s="1218">
        <v>1041645</v>
      </c>
      <c r="T80" s="1218">
        <v>4226566</v>
      </c>
      <c r="U80" s="1222">
        <v>94697841.57042028</v>
      </c>
      <c r="V80" s="394"/>
      <c r="W80" s="511">
        <f>IF(E80&gt;0,((E81-E80)/E80),)</f>
        <v>-3.1541879432559511E-2</v>
      </c>
      <c r="X80" s="511">
        <f t="shared" ref="X80" si="593">IF(F80&gt;0,((F81-F80)/F80),)</f>
        <v>-0.58347513176841337</v>
      </c>
      <c r="Y80" s="511">
        <f t="shared" ref="Y80" si="594">IF(G80&gt;0,((G81-G80)/G80),)</f>
        <v>1.4227439035333994E-2</v>
      </c>
      <c r="Z80" s="511">
        <f t="shared" ref="Z80" si="595">IF(H80&gt;0,((H81-H80)/H80),)</f>
        <v>0</v>
      </c>
      <c r="AA80" s="511">
        <f t="shared" ref="AA80" si="596">IF(I80&gt;0,((I81-I80)/I80),)</f>
        <v>0</v>
      </c>
      <c r="AB80" s="511">
        <f t="shared" ref="AB80" si="597">IF(J80&gt;0,((J81-J80)/J80),)</f>
        <v>0.12464725889889255</v>
      </c>
      <c r="AC80" s="511">
        <f t="shared" ref="AC80" si="598">IF(K80&gt;0,((K81-K80)/K80),)</f>
        <v>-5.080554721570478E-2</v>
      </c>
      <c r="AD80" s="511">
        <f t="shared" ref="AD80" si="599">IF(L80&gt;0,((L81-L80)/L80),)</f>
        <v>-0.31733634021412088</v>
      </c>
      <c r="AE80" s="511">
        <f t="shared" ref="AE80" si="600">IF(M80&gt;0,((M81-M80)/M80),)</f>
        <v>0.69361426111073832</v>
      </c>
      <c r="AF80" s="511">
        <f t="shared" ref="AF80" si="601">IF(N80&gt;0,((N81-N80)/N80),)</f>
        <v>0</v>
      </c>
      <c r="AG80" s="511">
        <f t="shared" ref="AG80" si="602">IF(O80&gt;0,((O81-O80)/O80),)</f>
        <v>0</v>
      </c>
      <c r="AH80" s="511">
        <f t="shared" ref="AH80" si="603">IF(P80&gt;0,((P81-P80)/P80),)</f>
        <v>-0.15655928408266451</v>
      </c>
      <c r="AI80" s="511">
        <f t="shared" ref="AI80" si="604">IF(Q80&gt;0,((Q81-Q80)/Q80),)</f>
        <v>6.8907856003724455E-2</v>
      </c>
      <c r="AJ80" s="511">
        <f t="shared" ref="AJ80" si="605">IF(R80&gt;0,((R81-R80)/R80),)</f>
        <v>0</v>
      </c>
      <c r="AK80" s="511">
        <f t="shared" ref="AK80" si="606">IF(S80&gt;0,((S81-S80)/S80),)</f>
        <v>0</v>
      </c>
      <c r="AL80" s="511">
        <f t="shared" ref="AL80" si="607">IF(T80&gt;0,((T81-T80)/T80),)</f>
        <v>0.53203333391694341</v>
      </c>
      <c r="AM80" s="511">
        <f t="shared" ref="AM80" si="608">IF(U80&gt;0,((U81-U80)/U80),)</f>
        <v>-2.6446437731718675E-2</v>
      </c>
    </row>
    <row r="81" spans="1:39" ht="13.5" thickBot="1">
      <c r="A81" s="1469"/>
      <c r="B81" s="503"/>
      <c r="C81" s="1223"/>
      <c r="D81" s="1224" t="s">
        <v>273</v>
      </c>
      <c r="E81" s="1225">
        <v>531607</v>
      </c>
      <c r="F81" s="1213">
        <v>1350000</v>
      </c>
      <c r="G81" s="1203">
        <v>395570</v>
      </c>
      <c r="H81" s="1203">
        <v>0</v>
      </c>
      <c r="I81" s="1210">
        <v>0</v>
      </c>
      <c r="J81" s="1203">
        <v>16772094</v>
      </c>
      <c r="K81" s="1210">
        <v>2304740</v>
      </c>
      <c r="L81" s="1213">
        <v>14522900</v>
      </c>
      <c r="M81" s="1203">
        <v>378599</v>
      </c>
      <c r="N81" s="1203">
        <v>0</v>
      </c>
      <c r="O81" s="1203">
        <v>0</v>
      </c>
      <c r="P81" s="1210">
        <v>4443802</v>
      </c>
      <c r="Q81" s="1213">
        <v>43977224</v>
      </c>
      <c r="R81" s="1203">
        <v>0</v>
      </c>
      <c r="S81" s="1203">
        <v>1041645</v>
      </c>
      <c r="T81" s="1203">
        <v>6475240</v>
      </c>
      <c r="U81" s="1229">
        <v>92193421</v>
      </c>
      <c r="V81" s="485"/>
      <c r="W81" s="512"/>
      <c r="X81" s="512"/>
      <c r="Y81" s="512"/>
      <c r="Z81" s="512"/>
      <c r="AA81" s="512"/>
      <c r="AB81" s="512"/>
      <c r="AC81" s="512"/>
      <c r="AD81" s="512"/>
      <c r="AE81" s="512"/>
      <c r="AF81" s="512"/>
      <c r="AG81" s="512"/>
      <c r="AH81" s="512"/>
      <c r="AI81" s="512"/>
      <c r="AJ81" s="512"/>
      <c r="AK81" s="512"/>
      <c r="AL81" s="512"/>
      <c r="AM81" s="512"/>
    </row>
    <row r="82" spans="1:39">
      <c r="A82" s="1469"/>
      <c r="B82" s="506" t="s">
        <v>377</v>
      </c>
      <c r="C82" s="1204" t="s">
        <v>318</v>
      </c>
      <c r="D82" s="1221" t="s">
        <v>271</v>
      </c>
      <c r="E82" s="1230">
        <v>123657</v>
      </c>
      <c r="F82" s="1257">
        <v>3464451</v>
      </c>
      <c r="G82" s="1218">
        <v>510676</v>
      </c>
      <c r="H82" s="1218">
        <v>0</v>
      </c>
      <c r="I82" s="1220">
        <v>710000</v>
      </c>
      <c r="J82" s="1218">
        <v>16878045</v>
      </c>
      <c r="K82" s="1220">
        <v>10589811</v>
      </c>
      <c r="L82" s="1228">
        <v>5593893</v>
      </c>
      <c r="M82" s="1227">
        <v>3042842</v>
      </c>
      <c r="N82" s="1218"/>
      <c r="O82" s="1218"/>
      <c r="P82" s="1218">
        <v>42331276.490964636</v>
      </c>
      <c r="Q82" s="1220">
        <v>37920321</v>
      </c>
      <c r="R82" s="1218">
        <v>0</v>
      </c>
      <c r="S82" s="1218">
        <v>0</v>
      </c>
      <c r="T82" s="1218">
        <v>4431071</v>
      </c>
      <c r="U82" s="1222">
        <v>125596043.49096464</v>
      </c>
      <c r="V82" s="427"/>
      <c r="W82" s="511">
        <f>IF(E82&gt;0,((E83-E82)/E82),)</f>
        <v>-0.30569235870189315</v>
      </c>
      <c r="X82" s="511">
        <f t="shared" ref="X82" si="609">IF(F82&gt;0,((F83-F82)/F82),)</f>
        <v>4.0007923333307351</v>
      </c>
      <c r="Y82" s="511">
        <f t="shared" ref="Y82" si="610">IF(G82&gt;0,((G83-G82)/G82),)</f>
        <v>3.4033320539833475E-3</v>
      </c>
      <c r="Z82" s="511">
        <f t="shared" ref="Z82" si="611">IF(H82&gt;0,((H83-H82)/H82),)</f>
        <v>0</v>
      </c>
      <c r="AA82" s="511">
        <f t="shared" ref="AA82" si="612">IF(I82&gt;0,((I83-I82)/I82),)</f>
        <v>-0.22535211267605634</v>
      </c>
      <c r="AB82" s="511">
        <f t="shared" ref="AB82" si="613">IF(J82&gt;0,((J83-J82)/J82),)</f>
        <v>3.3365771924414235E-2</v>
      </c>
      <c r="AC82" s="511">
        <f t="shared" ref="AC82" si="614">IF(K82&gt;0,((K83-K82)/K82),)</f>
        <v>8.8034432342560226E-2</v>
      </c>
      <c r="AD82" s="511">
        <f t="shared" ref="AD82" si="615">IF(L82&gt;0,((L83-L82)/L82),)</f>
        <v>-0.62005279686257853</v>
      </c>
      <c r="AE82" s="511">
        <f t="shared" ref="AE82" si="616">IF(M82&gt;0,((M83-M82)/M82),)</f>
        <v>-9.888452966010066E-3</v>
      </c>
      <c r="AF82" s="511">
        <f t="shared" ref="AF82" si="617">IF(N82&gt;0,((N83-N82)/N82),)</f>
        <v>0</v>
      </c>
      <c r="AG82" s="511">
        <f t="shared" ref="AG82" si="618">IF(O82&gt;0,((O83-O82)/O82),)</f>
        <v>0</v>
      </c>
      <c r="AH82" s="511">
        <f t="shared" ref="AH82" si="619">IF(P82&gt;0,((P83-P82)/P82),)</f>
        <v>4.4721200633754482E-2</v>
      </c>
      <c r="AI82" s="511">
        <f t="shared" ref="AI82" si="620">IF(Q82&gt;0,((Q83-Q82)/Q82),)</f>
        <v>2.399895296244987E-2</v>
      </c>
      <c r="AJ82" s="511">
        <f t="shared" ref="AJ82" si="621">IF(R82&gt;0,((R83-R82)/R82),)</f>
        <v>0</v>
      </c>
      <c r="AK82" s="511">
        <f t="shared" ref="AK82" si="622">IF(S82&gt;0,((S83-S82)/S82),)</f>
        <v>0</v>
      </c>
      <c r="AL82" s="511">
        <f t="shared" ref="AL82" si="623">IF(T82&gt;0,((T83-T82)/T82),)</f>
        <v>0.19383056601891507</v>
      </c>
      <c r="AM82" s="511">
        <f t="shared" ref="AM82" si="624">IF(U82&gt;0,((U83-U82)/U82),)</f>
        <v>0.12200492215455595</v>
      </c>
    </row>
    <row r="83" spans="1:39" ht="13.5" thickBot="1">
      <c r="A83" s="1469"/>
      <c r="B83" s="505"/>
      <c r="C83" s="1223"/>
      <c r="D83" s="1224" t="s">
        <v>273</v>
      </c>
      <c r="E83" s="1225">
        <v>85856</v>
      </c>
      <c r="F83" s="1258">
        <v>17325000</v>
      </c>
      <c r="G83" s="1203">
        <v>512414</v>
      </c>
      <c r="H83" s="1203">
        <v>0</v>
      </c>
      <c r="I83" s="1210">
        <v>550000</v>
      </c>
      <c r="J83" s="1203">
        <v>17441194</v>
      </c>
      <c r="K83" s="1210">
        <v>11522079</v>
      </c>
      <c r="L83" s="1213">
        <v>2125384</v>
      </c>
      <c r="M83" s="1213">
        <v>3012753</v>
      </c>
      <c r="N83" s="1203"/>
      <c r="O83" s="1203"/>
      <c r="P83" s="1203">
        <v>44224382</v>
      </c>
      <c r="Q83" s="1210">
        <v>38830369</v>
      </c>
      <c r="R83" s="1203">
        <v>0</v>
      </c>
      <c r="S83" s="1203">
        <v>0</v>
      </c>
      <c r="T83" s="1203">
        <v>5289948</v>
      </c>
      <c r="U83" s="1229">
        <v>140919379</v>
      </c>
      <c r="V83" s="394"/>
      <c r="W83" s="512"/>
      <c r="X83" s="512"/>
      <c r="Y83" s="512"/>
      <c r="Z83" s="512"/>
      <c r="AA83" s="512"/>
      <c r="AB83" s="512"/>
      <c r="AC83" s="512"/>
      <c r="AD83" s="512"/>
      <c r="AE83" s="512"/>
      <c r="AF83" s="512"/>
      <c r="AG83" s="512"/>
      <c r="AH83" s="512"/>
      <c r="AI83" s="512"/>
      <c r="AJ83" s="512"/>
      <c r="AK83" s="512"/>
      <c r="AL83" s="512"/>
      <c r="AM83" s="512"/>
    </row>
    <row r="84" spans="1:39">
      <c r="A84" s="1469"/>
      <c r="B84" s="508" t="s">
        <v>171</v>
      </c>
      <c r="C84" s="1204" t="s">
        <v>421</v>
      </c>
      <c r="D84" s="1221" t="s">
        <v>271</v>
      </c>
      <c r="E84" s="1230">
        <v>0</v>
      </c>
      <c r="F84" s="1218">
        <v>0</v>
      </c>
      <c r="G84" s="1218">
        <v>0</v>
      </c>
      <c r="H84" s="1218">
        <v>0</v>
      </c>
      <c r="I84" s="1218">
        <v>0</v>
      </c>
      <c r="J84" s="1218">
        <v>0</v>
      </c>
      <c r="K84" s="1218">
        <v>0</v>
      </c>
      <c r="L84" s="1218">
        <v>0</v>
      </c>
      <c r="M84" s="1218">
        <v>0</v>
      </c>
      <c r="N84" s="1218">
        <v>0</v>
      </c>
      <c r="O84" s="1218">
        <v>0</v>
      </c>
      <c r="P84" s="1218">
        <v>0</v>
      </c>
      <c r="Q84" s="1218">
        <v>0</v>
      </c>
      <c r="R84" s="1219">
        <v>0</v>
      </c>
      <c r="S84" s="1218">
        <v>18000000</v>
      </c>
      <c r="T84" s="1218">
        <v>0</v>
      </c>
      <c r="U84" s="1222">
        <v>18000000</v>
      </c>
      <c r="V84" s="485"/>
      <c r="W84" s="511">
        <f>IF(E84&gt;0,((E85-E84)/E84),)</f>
        <v>0</v>
      </c>
      <c r="X84" s="511">
        <f t="shared" ref="X84" si="625">IF(F84&gt;0,((F85-F84)/F84),)</f>
        <v>0</v>
      </c>
      <c r="Y84" s="511">
        <f t="shared" ref="Y84" si="626">IF(G84&gt;0,((G85-G84)/G84),)</f>
        <v>0</v>
      </c>
      <c r="Z84" s="511">
        <f t="shared" ref="Z84" si="627">IF(H84&gt;0,((H85-H84)/H84),)</f>
        <v>0</v>
      </c>
      <c r="AA84" s="511">
        <f t="shared" ref="AA84" si="628">IF(I84&gt;0,((I85-I84)/I84),)</f>
        <v>0</v>
      </c>
      <c r="AB84" s="511">
        <f t="shared" ref="AB84" si="629">IF(J84&gt;0,((J85-J84)/J84),)</f>
        <v>0</v>
      </c>
      <c r="AC84" s="511">
        <f t="shared" ref="AC84" si="630">IF(K84&gt;0,((K85-K84)/K84),)</f>
        <v>0</v>
      </c>
      <c r="AD84" s="511">
        <f t="shared" ref="AD84" si="631">IF(L84&gt;0,((L85-L84)/L84),)</f>
        <v>0</v>
      </c>
      <c r="AE84" s="511">
        <f t="shared" ref="AE84" si="632">IF(M84&gt;0,((M85-M84)/M84),)</f>
        <v>0</v>
      </c>
      <c r="AF84" s="511">
        <f t="shared" ref="AF84" si="633">IF(N84&gt;0,((N85-N84)/N84),)</f>
        <v>0</v>
      </c>
      <c r="AG84" s="511">
        <f t="shared" ref="AG84" si="634">IF(O84&gt;0,((O85-O84)/O84),)</f>
        <v>0</v>
      </c>
      <c r="AH84" s="511">
        <f t="shared" ref="AH84" si="635">IF(P84&gt;0,((P85-P84)/P84),)</f>
        <v>0</v>
      </c>
      <c r="AI84" s="511">
        <f t="shared" ref="AI84" si="636">IF(Q84&gt;0,((Q85-Q84)/Q84),)</f>
        <v>0</v>
      </c>
      <c r="AJ84" s="511">
        <f t="shared" ref="AJ84" si="637">IF(R84&gt;0,((R85-R84)/R84),)</f>
        <v>0</v>
      </c>
      <c r="AK84" s="511">
        <f t="shared" ref="AK84" si="638">IF(S84&gt;0,((S85-S84)/S84),)</f>
        <v>-0.95833333333333337</v>
      </c>
      <c r="AL84" s="511">
        <f t="shared" ref="AL84" si="639">IF(T84&gt;0,((T85-T84)/T84),)</f>
        <v>0</v>
      </c>
      <c r="AM84" s="511">
        <f t="shared" ref="AM84" si="640">IF(U84&gt;0,((U85-U84)/U84),)</f>
        <v>-0.95833333333333337</v>
      </c>
    </row>
    <row r="85" spans="1:39" ht="13.5" thickBot="1">
      <c r="A85" s="1469"/>
      <c r="B85" s="503"/>
      <c r="C85" s="1223"/>
      <c r="D85" s="1224" t="s">
        <v>273</v>
      </c>
      <c r="E85" s="1225">
        <v>0</v>
      </c>
      <c r="F85" s="1203">
        <v>0</v>
      </c>
      <c r="G85" s="1203">
        <v>0</v>
      </c>
      <c r="H85" s="1203">
        <v>0</v>
      </c>
      <c r="I85" s="1203">
        <v>0</v>
      </c>
      <c r="J85" s="1203">
        <v>0</v>
      </c>
      <c r="K85" s="1203">
        <v>0</v>
      </c>
      <c r="L85" s="1203">
        <v>0</v>
      </c>
      <c r="M85" s="1203">
        <v>0</v>
      </c>
      <c r="N85" s="1203">
        <v>0</v>
      </c>
      <c r="O85" s="1203">
        <v>0</v>
      </c>
      <c r="P85" s="1203">
        <v>0</v>
      </c>
      <c r="Q85" s="1203">
        <v>0</v>
      </c>
      <c r="R85" s="1210">
        <v>0</v>
      </c>
      <c r="S85" s="1203">
        <v>750000</v>
      </c>
      <c r="T85" s="1203">
        <v>0</v>
      </c>
      <c r="U85" s="1229">
        <v>750000</v>
      </c>
      <c r="V85" s="427"/>
      <c r="W85" s="512"/>
      <c r="X85" s="512"/>
      <c r="Y85" s="512"/>
      <c r="Z85" s="512"/>
      <c r="AA85" s="512"/>
      <c r="AB85" s="512"/>
      <c r="AC85" s="512"/>
      <c r="AD85" s="512"/>
      <c r="AE85" s="512"/>
      <c r="AF85" s="512"/>
      <c r="AG85" s="512"/>
      <c r="AH85" s="512"/>
      <c r="AI85" s="512"/>
      <c r="AJ85" s="512"/>
      <c r="AK85" s="512"/>
      <c r="AL85" s="512"/>
      <c r="AM85" s="512"/>
    </row>
    <row r="86" spans="1:39">
      <c r="A86" s="1469"/>
      <c r="B86" s="506" t="s">
        <v>443</v>
      </c>
      <c r="C86" s="1204" t="s">
        <v>380</v>
      </c>
      <c r="D86" s="1221" t="s">
        <v>271</v>
      </c>
      <c r="E86" s="1230">
        <v>0</v>
      </c>
      <c r="F86" s="1218">
        <v>0</v>
      </c>
      <c r="G86" s="1218">
        <v>0</v>
      </c>
      <c r="H86" s="1218">
        <v>98546590</v>
      </c>
      <c r="I86" s="1218">
        <v>0</v>
      </c>
      <c r="J86" s="1218"/>
      <c r="K86" s="1218">
        <v>0</v>
      </c>
      <c r="L86" s="1218">
        <v>0</v>
      </c>
      <c r="M86" s="1218">
        <v>697591.5</v>
      </c>
      <c r="N86" s="1218">
        <v>134172278.5</v>
      </c>
      <c r="O86" s="1218">
        <v>0</v>
      </c>
      <c r="P86" s="1218"/>
      <c r="Q86" s="1218">
        <v>0</v>
      </c>
      <c r="R86" s="1218">
        <v>0</v>
      </c>
      <c r="S86" s="1218">
        <v>133218040</v>
      </c>
      <c r="T86" s="1218">
        <v>0</v>
      </c>
      <c r="U86" s="1222">
        <v>366634500</v>
      </c>
      <c r="V86" s="394"/>
      <c r="W86" s="511">
        <f>IF(E86&gt;0,((E87-E86)/E86),)</f>
        <v>0</v>
      </c>
      <c r="X86" s="511">
        <f t="shared" ref="X86" si="641">IF(F86&gt;0,((F87-F86)/F86),)</f>
        <v>0</v>
      </c>
      <c r="Y86" s="511">
        <f t="shared" ref="Y86" si="642">IF(G86&gt;0,((G87-G86)/G86),)</f>
        <v>0</v>
      </c>
      <c r="Z86" s="511">
        <f t="shared" ref="Z86" si="643">IF(H86&gt;0,((H87-H86)/H86),)</f>
        <v>1.8306285382375991E-2</v>
      </c>
      <c r="AA86" s="511">
        <f t="shared" ref="AA86" si="644">IF(I86&gt;0,((I87-I86)/I86),)</f>
        <v>0</v>
      </c>
      <c r="AB86" s="511">
        <f t="shared" ref="AB86" si="645">IF(J86&gt;0,((J87-J86)/J86),)</f>
        <v>0</v>
      </c>
      <c r="AC86" s="511">
        <f t="shared" ref="AC86" si="646">IF(K86&gt;0,((K87-K86)/K86),)</f>
        <v>0</v>
      </c>
      <c r="AD86" s="511">
        <f t="shared" ref="AD86" si="647">IF(L86&gt;0,((L87-L86)/L86),)</f>
        <v>0</v>
      </c>
      <c r="AE86" s="511">
        <f t="shared" ref="AE86" si="648">IF(M86&gt;0,((M87-M86)/M86),)</f>
        <v>7.5127778936526612E-2</v>
      </c>
      <c r="AF86" s="511">
        <f t="shared" ref="AF86" si="649">IF(N86&gt;0,((N87-N86)/N86),)</f>
        <v>0.21591330060031738</v>
      </c>
      <c r="AG86" s="511">
        <f t="shared" ref="AG86" si="650">IF(O86&gt;0,((O87-O86)/O86),)</f>
        <v>0</v>
      </c>
      <c r="AH86" s="511">
        <f t="shared" ref="AH86" si="651">IF(P86&gt;0,((P87-P86)/P86),)</f>
        <v>0</v>
      </c>
      <c r="AI86" s="511">
        <f t="shared" ref="AI86" si="652">IF(Q86&gt;0,((Q87-Q86)/Q86),)</f>
        <v>0</v>
      </c>
      <c r="AJ86" s="511">
        <f t="shared" ref="AJ86" si="653">IF(R86&gt;0,((R87-R86)/R86),)</f>
        <v>0</v>
      </c>
      <c r="AK86" s="511">
        <f t="shared" ref="AK86" si="654">IF(S86&gt;0,((S87-S86)/S86),)</f>
        <v>1.12597362939734E-3</v>
      </c>
      <c r="AL86" s="511">
        <f t="shared" ref="AL86" si="655">IF(T86&gt;0,((T87-T86)/T86),)</f>
        <v>0</v>
      </c>
      <c r="AM86" s="511">
        <f t="shared" ref="AM86" si="656">IF(U86&gt;0,((U87-U86)/U86),)</f>
        <v>8.4487439125341457E-2</v>
      </c>
    </row>
    <row r="87" spans="1:39" ht="13.5" thickBot="1">
      <c r="A87" s="1469"/>
      <c r="B87" s="503"/>
      <c r="C87" s="1223"/>
      <c r="D87" s="1224" t="s">
        <v>273</v>
      </c>
      <c r="E87" s="1225">
        <v>0</v>
      </c>
      <c r="F87" s="1203">
        <v>0</v>
      </c>
      <c r="G87" s="1203">
        <v>0</v>
      </c>
      <c r="H87" s="1203">
        <v>100350612</v>
      </c>
      <c r="I87" s="1203">
        <v>0</v>
      </c>
      <c r="J87" s="1203"/>
      <c r="K87" s="1203">
        <v>0</v>
      </c>
      <c r="L87" s="1203">
        <v>0</v>
      </c>
      <c r="M87" s="1203">
        <v>750000</v>
      </c>
      <c r="N87" s="1203">
        <v>163141858</v>
      </c>
      <c r="O87" s="1203">
        <v>0</v>
      </c>
      <c r="P87" s="1203"/>
      <c r="Q87" s="1203">
        <v>0</v>
      </c>
      <c r="R87" s="1203">
        <v>0</v>
      </c>
      <c r="S87" s="1203">
        <v>133368040</v>
      </c>
      <c r="T87" s="1203">
        <v>0</v>
      </c>
      <c r="U87" s="1229">
        <v>397610510</v>
      </c>
      <c r="V87" s="485"/>
      <c r="W87" s="512"/>
      <c r="X87" s="512"/>
      <c r="Y87" s="512"/>
      <c r="Z87" s="512"/>
      <c r="AA87" s="512"/>
      <c r="AB87" s="512"/>
      <c r="AC87" s="512"/>
      <c r="AD87" s="512"/>
      <c r="AE87" s="512"/>
      <c r="AF87" s="512"/>
      <c r="AG87" s="512"/>
      <c r="AH87" s="512"/>
      <c r="AI87" s="512"/>
      <c r="AJ87" s="512"/>
      <c r="AK87" s="512"/>
      <c r="AL87" s="512"/>
      <c r="AM87" s="512"/>
    </row>
    <row r="88" spans="1:39">
      <c r="A88" s="1469"/>
      <c r="B88" s="506" t="s">
        <v>377</v>
      </c>
      <c r="C88" s="1204" t="s">
        <v>381</v>
      </c>
      <c r="D88" s="1221" t="s">
        <v>271</v>
      </c>
      <c r="E88" s="1230">
        <v>112500</v>
      </c>
      <c r="F88" s="1218">
        <v>174571</v>
      </c>
      <c r="G88" s="1218">
        <v>0</v>
      </c>
      <c r="H88" s="1219">
        <v>3823442</v>
      </c>
      <c r="I88" s="1218">
        <v>439062132</v>
      </c>
      <c r="J88" s="1218"/>
      <c r="K88" s="1218">
        <v>5578800</v>
      </c>
      <c r="L88" s="1218">
        <v>0</v>
      </c>
      <c r="M88" s="1218">
        <v>6441844.4000000004</v>
      </c>
      <c r="N88" s="1218">
        <v>6575087</v>
      </c>
      <c r="O88" s="1218">
        <v>0</v>
      </c>
      <c r="P88" s="1218"/>
      <c r="Q88" s="1218">
        <v>0</v>
      </c>
      <c r="R88" s="1218">
        <v>0</v>
      </c>
      <c r="S88" s="1218">
        <v>12359822</v>
      </c>
      <c r="T88" s="1218">
        <v>0</v>
      </c>
      <c r="U88" s="1222">
        <v>474128198.39999998</v>
      </c>
      <c r="V88" s="427"/>
      <c r="W88" s="511">
        <f>IF(E88&gt;0,((E89-E88)/E88),)</f>
        <v>0</v>
      </c>
      <c r="X88" s="511">
        <f t="shared" ref="X88" si="657">IF(F88&gt;0,((F89-F88)/F88),)</f>
        <v>0.1456656603903283</v>
      </c>
      <c r="Y88" s="511">
        <f t="shared" ref="Y88" si="658">IF(G88&gt;0,((G89-G88)/G88),)</f>
        <v>0</v>
      </c>
      <c r="Z88" s="511">
        <f t="shared" ref="Z88" si="659">IF(H88&gt;0,((H89-H88)/H88),)</f>
        <v>-0.67068311746327003</v>
      </c>
      <c r="AA88" s="511">
        <f t="shared" ref="AA88" si="660">IF(I88&gt;0,((I89-I88)/I88),)</f>
        <v>8.0884272205920954E-2</v>
      </c>
      <c r="AB88" s="511">
        <f t="shared" ref="AB88" si="661">IF(J88&gt;0,((J89-J88)/J88),)</f>
        <v>0</v>
      </c>
      <c r="AC88" s="511">
        <f t="shared" ref="AC88" si="662">IF(K88&gt;0,((K89-K88)/K88),)</f>
        <v>7.5338782533878254E-2</v>
      </c>
      <c r="AD88" s="511">
        <f t="shared" ref="AD88" si="663">IF(L88&gt;0,((L89-L88)/L88),)</f>
        <v>0</v>
      </c>
      <c r="AE88" s="511">
        <f t="shared" ref="AE88" si="664">IF(M88&gt;0,((M89-M88)/M88),)</f>
        <v>6.5762314904718844E-2</v>
      </c>
      <c r="AF88" s="511">
        <f t="shared" ref="AF88" si="665">IF(N88&gt;0,((N89-N88)/N88),)</f>
        <v>2.7709899503991355E-2</v>
      </c>
      <c r="AG88" s="511">
        <f t="shared" ref="AG88" si="666">IF(O88&gt;0,((O89-O88)/O88),)</f>
        <v>0</v>
      </c>
      <c r="AH88" s="511">
        <f t="shared" ref="AH88" si="667">IF(P88&gt;0,((P89-P88)/P88),)</f>
        <v>0</v>
      </c>
      <c r="AI88" s="511">
        <f t="shared" ref="AI88" si="668">IF(Q88&gt;0,((Q89-Q88)/Q88),)</f>
        <v>0</v>
      </c>
      <c r="AJ88" s="511">
        <f t="shared" ref="AJ88" si="669">IF(R88&gt;0,((R89-R88)/R88),)</f>
        <v>0</v>
      </c>
      <c r="AK88" s="511">
        <f t="shared" ref="AK88" si="670">IF(S88&gt;0,((S89-S88)/S88),)</f>
        <v>0</v>
      </c>
      <c r="AL88" s="511">
        <f t="shared" ref="AL88" si="671">IF(T88&gt;0,((T89-T88)/T88),)</f>
        <v>0</v>
      </c>
      <c r="AM88" s="511">
        <f t="shared" ref="AM88" si="672">IF(U88&gt;0,((U89-U88)/U88),)</f>
        <v>7.1711528052409601E-2</v>
      </c>
    </row>
    <row r="89" spans="1:39" ht="13.5" thickBot="1">
      <c r="A89" s="1469"/>
      <c r="B89" s="505"/>
      <c r="C89" s="1223"/>
      <c r="D89" s="1224" t="s">
        <v>273</v>
      </c>
      <c r="E89" s="1225">
        <v>112500</v>
      </c>
      <c r="F89" s="1203">
        <v>200000</v>
      </c>
      <c r="G89" s="1203">
        <v>0</v>
      </c>
      <c r="H89" s="1210">
        <v>1259124</v>
      </c>
      <c r="I89" s="1203">
        <v>474575353</v>
      </c>
      <c r="J89" s="1203"/>
      <c r="K89" s="1203">
        <v>5999100</v>
      </c>
      <c r="L89" s="1203">
        <v>0</v>
      </c>
      <c r="M89" s="1203">
        <v>6865475</v>
      </c>
      <c r="N89" s="1203">
        <v>6757282</v>
      </c>
      <c r="O89" s="1203">
        <v>0</v>
      </c>
      <c r="P89" s="1203"/>
      <c r="Q89" s="1203">
        <v>0</v>
      </c>
      <c r="R89" s="1203">
        <v>0</v>
      </c>
      <c r="S89" s="1203">
        <v>12359822</v>
      </c>
      <c r="T89" s="1203">
        <v>0</v>
      </c>
      <c r="U89" s="1229">
        <v>508128656</v>
      </c>
      <c r="V89" s="394"/>
      <c r="W89" s="512"/>
      <c r="X89" s="512"/>
      <c r="Y89" s="512"/>
      <c r="Z89" s="512"/>
      <c r="AA89" s="512"/>
      <c r="AB89" s="512"/>
      <c r="AC89" s="512"/>
      <c r="AD89" s="512"/>
      <c r="AE89" s="512"/>
      <c r="AF89" s="512"/>
      <c r="AG89" s="512"/>
      <c r="AH89" s="512"/>
      <c r="AI89" s="512"/>
      <c r="AJ89" s="512"/>
      <c r="AK89" s="512"/>
      <c r="AL89" s="512"/>
      <c r="AM89" s="512"/>
    </row>
    <row r="90" spans="1:39">
      <c r="A90" s="1469"/>
      <c r="B90" s="508" t="s">
        <v>107</v>
      </c>
      <c r="C90" s="1204" t="s">
        <v>422</v>
      </c>
      <c r="D90" s="1221" t="s">
        <v>271</v>
      </c>
      <c r="E90" s="1230">
        <v>0</v>
      </c>
      <c r="F90" s="1218"/>
      <c r="G90" s="1218">
        <v>0</v>
      </c>
      <c r="H90" s="1218">
        <v>0</v>
      </c>
      <c r="I90" s="1218">
        <v>0</v>
      </c>
      <c r="J90" s="1218">
        <v>0</v>
      </c>
      <c r="K90" s="1218">
        <v>0</v>
      </c>
      <c r="L90" s="1218">
        <v>0</v>
      </c>
      <c r="M90" s="1218"/>
      <c r="N90" s="1218">
        <v>0</v>
      </c>
      <c r="O90" s="1218">
        <v>3828751</v>
      </c>
      <c r="P90" s="1218">
        <v>0</v>
      </c>
      <c r="Q90" s="1218">
        <v>0</v>
      </c>
      <c r="R90" s="1218">
        <v>0</v>
      </c>
      <c r="S90" s="1218">
        <v>0</v>
      </c>
      <c r="T90" s="1218"/>
      <c r="U90" s="1222">
        <v>3828751</v>
      </c>
      <c r="V90" s="485"/>
      <c r="W90" s="511">
        <f>IF(E90&gt;0,((E91-E90)/E90),)</f>
        <v>0</v>
      </c>
      <c r="X90" s="511">
        <f t="shared" ref="X90" si="673">IF(F90&gt;0,((F91-F90)/F90),)</f>
        <v>0</v>
      </c>
      <c r="Y90" s="511">
        <f t="shared" ref="Y90" si="674">IF(G90&gt;0,((G91-G90)/G90),)</f>
        <v>0</v>
      </c>
      <c r="Z90" s="511">
        <f t="shared" ref="Z90" si="675">IF(H90&gt;0,((H91-H90)/H90),)</f>
        <v>0</v>
      </c>
      <c r="AA90" s="511">
        <f t="shared" ref="AA90" si="676">IF(I90&gt;0,((I91-I90)/I90),)</f>
        <v>0</v>
      </c>
      <c r="AB90" s="511">
        <f t="shared" ref="AB90" si="677">IF(J90&gt;0,((J91-J90)/J90),)</f>
        <v>0</v>
      </c>
      <c r="AC90" s="511">
        <f t="shared" ref="AC90" si="678">IF(K90&gt;0,((K91-K90)/K90),)</f>
        <v>0</v>
      </c>
      <c r="AD90" s="511">
        <f t="shared" ref="AD90" si="679">IF(L90&gt;0,((L91-L90)/L90),)</f>
        <v>0</v>
      </c>
      <c r="AE90" s="511">
        <f t="shared" ref="AE90" si="680">IF(M90&gt;0,((M91-M90)/M90),)</f>
        <v>0</v>
      </c>
      <c r="AF90" s="511">
        <f t="shared" ref="AF90" si="681">IF(N90&gt;0,((N91-N90)/N90),)</f>
        <v>0</v>
      </c>
      <c r="AG90" s="511">
        <f t="shared" ref="AG90" si="682">IF(O90&gt;0,((O91-O90)/O90),)</f>
        <v>-6.5295444911408443E-2</v>
      </c>
      <c r="AH90" s="511">
        <f t="shared" ref="AH90" si="683">IF(P90&gt;0,((P91-P90)/P90),)</f>
        <v>0</v>
      </c>
      <c r="AI90" s="511">
        <f t="shared" ref="AI90" si="684">IF(Q90&gt;0,((Q91-Q90)/Q90),)</f>
        <v>0</v>
      </c>
      <c r="AJ90" s="511">
        <f t="shared" ref="AJ90" si="685">IF(R90&gt;0,((R91-R90)/R90),)</f>
        <v>0</v>
      </c>
      <c r="AK90" s="511">
        <f t="shared" ref="AK90" si="686">IF(S90&gt;0,((S91-S90)/S90),)</f>
        <v>0</v>
      </c>
      <c r="AL90" s="511">
        <f t="shared" ref="AL90" si="687">IF(T90&gt;0,((T91-T90)/T90),)</f>
        <v>0</v>
      </c>
      <c r="AM90" s="511">
        <f t="shared" ref="AM90" si="688">IF(U90&gt;0,((U91-U90)/U90),)</f>
        <v>-6.5295444911408443E-2</v>
      </c>
    </row>
    <row r="91" spans="1:39" ht="13.5" thickBot="1">
      <c r="A91" s="1469"/>
      <c r="B91" s="503"/>
      <c r="C91" s="1223"/>
      <c r="D91" s="1224" t="s">
        <v>273</v>
      </c>
      <c r="E91" s="1225">
        <v>0</v>
      </c>
      <c r="F91" s="1203"/>
      <c r="G91" s="1203">
        <v>0</v>
      </c>
      <c r="H91" s="1203">
        <v>0</v>
      </c>
      <c r="I91" s="1203">
        <v>0</v>
      </c>
      <c r="J91" s="1203">
        <v>0</v>
      </c>
      <c r="K91" s="1203">
        <v>0</v>
      </c>
      <c r="L91" s="1203">
        <v>0</v>
      </c>
      <c r="M91" s="1203"/>
      <c r="N91" s="1203">
        <v>0</v>
      </c>
      <c r="O91" s="1203">
        <v>3578751</v>
      </c>
      <c r="P91" s="1203">
        <v>0</v>
      </c>
      <c r="Q91" s="1203">
        <v>0</v>
      </c>
      <c r="R91" s="1203">
        <v>0</v>
      </c>
      <c r="S91" s="1203">
        <v>0</v>
      </c>
      <c r="T91" s="1203"/>
      <c r="U91" s="1229">
        <v>3578751</v>
      </c>
      <c r="V91" s="427"/>
      <c r="W91" s="512"/>
      <c r="X91" s="512"/>
      <c r="Y91" s="512"/>
      <c r="Z91" s="512"/>
      <c r="AA91" s="512"/>
      <c r="AB91" s="512"/>
      <c r="AC91" s="512"/>
      <c r="AD91" s="512"/>
      <c r="AE91" s="512"/>
      <c r="AF91" s="512"/>
      <c r="AG91" s="512"/>
      <c r="AH91" s="512"/>
      <c r="AI91" s="512"/>
      <c r="AJ91" s="512"/>
      <c r="AK91" s="512"/>
      <c r="AL91" s="512"/>
      <c r="AM91" s="512"/>
    </row>
    <row r="92" spans="1:39">
      <c r="A92" s="1469"/>
      <c r="B92" s="506" t="s">
        <v>443</v>
      </c>
      <c r="C92" s="1204" t="s">
        <v>382</v>
      </c>
      <c r="D92" s="1221" t="s">
        <v>271</v>
      </c>
      <c r="E92" s="1230">
        <v>0</v>
      </c>
      <c r="F92" s="1218"/>
      <c r="G92" s="1218">
        <v>0</v>
      </c>
      <c r="H92" s="1219">
        <v>27313952</v>
      </c>
      <c r="I92" s="1218">
        <v>0</v>
      </c>
      <c r="J92" s="1218">
        <v>31938565</v>
      </c>
      <c r="K92" s="1218">
        <v>2100</v>
      </c>
      <c r="L92" s="1218">
        <v>0</v>
      </c>
      <c r="M92" s="1218"/>
      <c r="N92" s="1218">
        <v>44304452</v>
      </c>
      <c r="O92" s="1218">
        <v>0</v>
      </c>
      <c r="P92" s="1218">
        <v>29536855</v>
      </c>
      <c r="Q92" s="1218">
        <v>0</v>
      </c>
      <c r="R92" s="1218">
        <v>0</v>
      </c>
      <c r="S92" s="1218">
        <v>0</v>
      </c>
      <c r="T92" s="1218"/>
      <c r="U92" s="1222">
        <v>133095924</v>
      </c>
      <c r="V92" s="394"/>
      <c r="W92" s="511">
        <f>IF(E92&gt;0,((E93-E92)/E92),)</f>
        <v>0</v>
      </c>
      <c r="X92" s="511">
        <f t="shared" ref="X92" si="689">IF(F92&gt;0,((F93-F92)/F92),)</f>
        <v>0</v>
      </c>
      <c r="Y92" s="511">
        <f t="shared" ref="Y92" si="690">IF(G92&gt;0,((G93-G92)/G92),)</f>
        <v>0</v>
      </c>
      <c r="Z92" s="511">
        <f t="shared" ref="Z92" si="691">IF(H92&gt;0,((H93-H92)/H92),)</f>
        <v>1.7511526709866079E-2</v>
      </c>
      <c r="AA92" s="511">
        <f t="shared" ref="AA92" si="692">IF(I92&gt;0,((I93-I92)/I92),)</f>
        <v>0</v>
      </c>
      <c r="AB92" s="511">
        <f t="shared" ref="AB92" si="693">IF(J92&gt;0,((J93-J92)/J92),)</f>
        <v>1.4299891056470445E-2</v>
      </c>
      <c r="AC92" s="511">
        <f t="shared" ref="AC92" si="694">IF(K92&gt;0,((K93-K92)/K92),)</f>
        <v>-0.7142857142857143</v>
      </c>
      <c r="AD92" s="511">
        <f t="shared" ref="AD92" si="695">IF(L92&gt;0,((L93-L92)/L92),)</f>
        <v>0</v>
      </c>
      <c r="AE92" s="511">
        <f t="shared" ref="AE92" si="696">IF(M92&gt;0,((M93-M92)/M92),)</f>
        <v>0</v>
      </c>
      <c r="AF92" s="511">
        <f t="shared" ref="AF92" si="697">IF(N92&gt;0,((N93-N92)/N92),)</f>
        <v>3.5944717248731571E-2</v>
      </c>
      <c r="AG92" s="511">
        <f t="shared" ref="AG92" si="698">IF(O92&gt;0,((O93-O92)/O92),)</f>
        <v>0</v>
      </c>
      <c r="AH92" s="511">
        <f t="shared" ref="AH92" si="699">IF(P92&gt;0,((P93-P92)/P92),)</f>
        <v>7.9801996522649418E-4</v>
      </c>
      <c r="AI92" s="511">
        <f t="shared" ref="AI92" si="700">IF(Q92&gt;0,((Q93-Q92)/Q92),)</f>
        <v>0</v>
      </c>
      <c r="AJ92" s="511">
        <f t="shared" ref="AJ92" si="701">IF(R92&gt;0,((R93-R92)/R92),)</f>
        <v>0</v>
      </c>
      <c r="AK92" s="511">
        <f t="shared" ref="AK92" si="702">IF(S92&gt;0,((S93-S92)/S92),)</f>
        <v>0</v>
      </c>
      <c r="AL92" s="511">
        <f t="shared" ref="AL92" si="703">IF(T92&gt;0,((T93-T92)/T92),)</f>
        <v>0</v>
      </c>
      <c r="AM92" s="511">
        <f t="shared" ref="AM92" si="704">IF(U92&gt;0,((U93-U92)/U92),)</f>
        <v>1.9156176413035759E-2</v>
      </c>
    </row>
    <row r="93" spans="1:39" ht="13.5" thickBot="1">
      <c r="A93" s="1469"/>
      <c r="B93" s="503"/>
      <c r="C93" s="1223"/>
      <c r="D93" s="1224" t="s">
        <v>273</v>
      </c>
      <c r="E93" s="1225">
        <v>0</v>
      </c>
      <c r="F93" s="1203"/>
      <c r="G93" s="1203">
        <v>0</v>
      </c>
      <c r="H93" s="1210">
        <v>27792261</v>
      </c>
      <c r="I93" s="1203">
        <v>0</v>
      </c>
      <c r="J93" s="1203">
        <v>32395283</v>
      </c>
      <c r="K93" s="1203">
        <v>600</v>
      </c>
      <c r="L93" s="1203">
        <v>0</v>
      </c>
      <c r="M93" s="1203"/>
      <c r="N93" s="1203">
        <v>45896963</v>
      </c>
      <c r="O93" s="1203">
        <v>0</v>
      </c>
      <c r="P93" s="1203">
        <v>29560426</v>
      </c>
      <c r="Q93" s="1203">
        <v>0</v>
      </c>
      <c r="R93" s="1203">
        <v>0</v>
      </c>
      <c r="S93" s="1203">
        <v>0</v>
      </c>
      <c r="T93" s="1203"/>
      <c r="U93" s="1229">
        <v>135645533</v>
      </c>
      <c r="V93" s="485"/>
      <c r="W93" s="512"/>
      <c r="X93" s="512"/>
      <c r="Y93" s="512"/>
      <c r="Z93" s="512"/>
      <c r="AA93" s="512"/>
      <c r="AB93" s="512"/>
      <c r="AC93" s="512"/>
      <c r="AD93" s="512"/>
      <c r="AE93" s="512"/>
      <c r="AF93" s="512"/>
      <c r="AG93" s="512"/>
      <c r="AH93" s="512"/>
      <c r="AI93" s="512"/>
      <c r="AJ93" s="512"/>
      <c r="AK93" s="512"/>
      <c r="AL93" s="512"/>
      <c r="AM93" s="512"/>
    </row>
    <row r="94" spans="1:39">
      <c r="A94" s="1469"/>
      <c r="B94" s="506" t="s">
        <v>377</v>
      </c>
      <c r="C94" s="1204" t="s">
        <v>383</v>
      </c>
      <c r="D94" s="1221" t="s">
        <v>271</v>
      </c>
      <c r="E94" s="1230">
        <v>2213292</v>
      </c>
      <c r="F94" s="1218"/>
      <c r="G94" s="1218">
        <v>0</v>
      </c>
      <c r="H94" s="1220">
        <v>60853996</v>
      </c>
      <c r="I94" s="1218">
        <v>46411337</v>
      </c>
      <c r="J94" s="1219">
        <v>949878</v>
      </c>
      <c r="K94" s="1218">
        <v>0</v>
      </c>
      <c r="L94" s="1218">
        <v>0</v>
      </c>
      <c r="M94" s="1218"/>
      <c r="N94" s="1218">
        <v>55237805.5</v>
      </c>
      <c r="O94" s="1218">
        <v>0</v>
      </c>
      <c r="P94" s="1218">
        <v>0</v>
      </c>
      <c r="Q94" s="1218">
        <v>0</v>
      </c>
      <c r="R94" s="1218">
        <v>0</v>
      </c>
      <c r="S94" s="1218">
        <v>63560614</v>
      </c>
      <c r="T94" s="1218"/>
      <c r="U94" s="1222">
        <v>229226922.5</v>
      </c>
      <c r="V94" s="427"/>
      <c r="W94" s="511">
        <f>IF(E94&gt;0,((E95-E94)/E94),)</f>
        <v>-1.6935858440729916E-2</v>
      </c>
      <c r="X94" s="511">
        <f t="shared" ref="X94" si="705">IF(F94&gt;0,((F95-F94)/F94),)</f>
        <v>0</v>
      </c>
      <c r="Y94" s="511">
        <f t="shared" ref="Y94" si="706">IF(G94&gt;0,((G95-G94)/G94),)</f>
        <v>0</v>
      </c>
      <c r="Z94" s="511">
        <f t="shared" ref="Z94" si="707">IF(H94&gt;0,((H95-H94)/H94),)</f>
        <v>-3.4367669133839626E-3</v>
      </c>
      <c r="AA94" s="511">
        <f t="shared" ref="AA94" si="708">IF(I94&gt;0,((I95-I94)/I94),)</f>
        <v>0.30487171701172927</v>
      </c>
      <c r="AB94" s="511">
        <f t="shared" ref="AB94" si="709">IF(J94&gt;0,((J95-J94)/J94),)</f>
        <v>-0.14651671056704124</v>
      </c>
      <c r="AC94" s="511">
        <f t="shared" ref="AC94" si="710">IF(K94&gt;0,((K95-K94)/K94),)</f>
        <v>0</v>
      </c>
      <c r="AD94" s="511">
        <f t="shared" ref="AD94" si="711">IF(L94&gt;0,((L95-L94)/L94),)</f>
        <v>0</v>
      </c>
      <c r="AE94" s="511">
        <f t="shared" ref="AE94" si="712">IF(M94&gt;0,((M95-M94)/M94),)</f>
        <v>0</v>
      </c>
      <c r="AF94" s="511">
        <f t="shared" ref="AF94" si="713">IF(N94&gt;0,((N95-N94)/N94),)</f>
        <v>5.488768919322836E-2</v>
      </c>
      <c r="AG94" s="511">
        <f t="shared" ref="AG94" si="714">IF(O94&gt;0,((O95-O94)/O94),)</f>
        <v>0</v>
      </c>
      <c r="AH94" s="511">
        <f t="shared" ref="AH94" si="715">IF(P94&gt;0,((P95-P94)/P94),)</f>
        <v>0</v>
      </c>
      <c r="AI94" s="511">
        <f t="shared" ref="AI94" si="716">IF(Q94&gt;0,((Q95-Q94)/Q94),)</f>
        <v>0</v>
      </c>
      <c r="AJ94" s="511">
        <f t="shared" ref="AJ94" si="717">IF(R94&gt;0,((R95-R94)/R94),)</f>
        <v>0</v>
      </c>
      <c r="AK94" s="511">
        <f t="shared" ref="AK94" si="718">IF(S94&gt;0,((S95-S94)/S94),)</f>
        <v>-0.10958375889823846</v>
      </c>
      <c r="AL94" s="511">
        <f t="shared" ref="AL94" si="719">IF(T94&gt;0,((T95-T94)/T94),)</f>
        <v>0</v>
      </c>
      <c r="AM94" s="511">
        <f t="shared" ref="AM94" si="720">IF(U94&gt;0,((U95-U94)/U94),)</f>
        <v>4.2884886263741553E-2</v>
      </c>
    </row>
    <row r="95" spans="1:39" ht="13.5" thickBot="1">
      <c r="A95" s="1469"/>
      <c r="B95" s="400"/>
      <c r="C95" s="1245"/>
      <c r="D95" s="1224" t="s">
        <v>273</v>
      </c>
      <c r="E95" s="1241">
        <v>2175808</v>
      </c>
      <c r="F95" s="1203"/>
      <c r="G95" s="1203">
        <v>0</v>
      </c>
      <c r="H95" s="1210">
        <v>60644855</v>
      </c>
      <c r="I95" s="1203">
        <v>60560841</v>
      </c>
      <c r="J95" s="1210">
        <v>810705</v>
      </c>
      <c r="K95" s="1203">
        <v>0</v>
      </c>
      <c r="L95" s="1203">
        <v>0</v>
      </c>
      <c r="M95" s="1203"/>
      <c r="N95" s="1203">
        <v>58269681</v>
      </c>
      <c r="O95" s="1203">
        <v>0</v>
      </c>
      <c r="P95" s="1203">
        <v>0</v>
      </c>
      <c r="Q95" s="1203">
        <v>0</v>
      </c>
      <c r="R95" s="1203">
        <v>0</v>
      </c>
      <c r="S95" s="1203">
        <v>56595403</v>
      </c>
      <c r="T95" s="1203"/>
      <c r="U95" s="1229">
        <v>239057293</v>
      </c>
      <c r="V95" s="394"/>
      <c r="W95" s="512"/>
      <c r="X95" s="512"/>
      <c r="Y95" s="512"/>
      <c r="Z95" s="512"/>
      <c r="AA95" s="512"/>
      <c r="AB95" s="512"/>
      <c r="AC95" s="512"/>
      <c r="AD95" s="512"/>
      <c r="AE95" s="512"/>
      <c r="AF95" s="512"/>
      <c r="AG95" s="512"/>
      <c r="AH95" s="512"/>
      <c r="AI95" s="512"/>
      <c r="AJ95" s="512"/>
      <c r="AK95" s="512"/>
      <c r="AL95" s="512"/>
      <c r="AM95" s="512"/>
    </row>
    <row r="96" spans="1:39">
      <c r="A96" s="1469"/>
      <c r="B96" s="400"/>
      <c r="C96" s="1253" t="s">
        <v>272</v>
      </c>
      <c r="D96" s="1254"/>
      <c r="E96" s="1230">
        <v>2852494932.4299998</v>
      </c>
      <c r="F96" s="1202">
        <v>1530107001.3699999</v>
      </c>
      <c r="G96" s="1202">
        <v>685387271</v>
      </c>
      <c r="H96" s="1202">
        <v>5662216299</v>
      </c>
      <c r="I96" s="1202">
        <v>4111792888.2200017</v>
      </c>
      <c r="J96" s="1202">
        <v>2374830497</v>
      </c>
      <c r="K96" s="1202">
        <v>1942864154</v>
      </c>
      <c r="L96" s="1202">
        <v>3613682821</v>
      </c>
      <c r="M96" s="1202">
        <v>1651092491.3700001</v>
      </c>
      <c r="N96" s="1202">
        <v>5036533930.1599989</v>
      </c>
      <c r="O96" s="1202">
        <v>1911967143</v>
      </c>
      <c r="P96" s="1202">
        <v>2567124882.6564732</v>
      </c>
      <c r="Q96" s="1202">
        <v>2550313154.5146217</v>
      </c>
      <c r="R96" s="1202">
        <v>12860892800</v>
      </c>
      <c r="S96" s="1202">
        <v>3727252969</v>
      </c>
      <c r="T96" s="1202">
        <v>1062297939</v>
      </c>
      <c r="U96" s="1242">
        <v>54140851173.7211</v>
      </c>
      <c r="V96" s="485"/>
      <c r="W96" s="511">
        <f>IF(E96&gt;0,((E97-E96)/E96),)</f>
        <v>1.2248079101839926E-2</v>
      </c>
      <c r="X96" s="511">
        <f t="shared" ref="X96" si="721">IF(F96&gt;0,((F97-F96)/F96),)</f>
        <v>5.2938716414913517E-2</v>
      </c>
      <c r="Y96" s="511">
        <f t="shared" ref="Y96" si="722">IF(G96&gt;0,((G97-G96)/G96),)</f>
        <v>4.8310245026420985E-2</v>
      </c>
      <c r="Z96" s="511">
        <f t="shared" ref="Z96" si="723">IF(H96&gt;0,((H97-H96)/H96),)</f>
        <v>4.3346097697909765E-2</v>
      </c>
      <c r="AA96" s="511">
        <f t="shared" ref="AA96" si="724">IF(I96&gt;0,((I97-I96)/I96),)</f>
        <v>8.4581547007479163E-2</v>
      </c>
      <c r="AB96" s="511">
        <f t="shared" ref="AB96" si="725">IF(J96&gt;0,((J97-J96)/J96),)</f>
        <v>5.1910522100727226E-2</v>
      </c>
      <c r="AC96" s="511">
        <f t="shared" ref="AC96" si="726">IF(K96&gt;0,((K97-K96)/K96),)</f>
        <v>1.5633974684984588E-2</v>
      </c>
      <c r="AD96" s="511">
        <f t="shared" ref="AD96" si="727">IF(L96&gt;0,((L97-L96)/L96),)</f>
        <v>-2.1733527232549555E-2</v>
      </c>
      <c r="AE96" s="511">
        <f t="shared" ref="AE96" si="728">IF(M96&gt;0,((M97-M96)/M96),)</f>
        <v>-1.3562202897198027E-2</v>
      </c>
      <c r="AF96" s="511">
        <f t="shared" ref="AF96" si="729">IF(N96&gt;0,((N97-N96)/N96),)</f>
        <v>0.10120048825399437</v>
      </c>
      <c r="AG96" s="511">
        <f t="shared" ref="AG96" si="730">IF(O96&gt;0,((O97-O96)/O96),)</f>
        <v>1.7059828731586107E-2</v>
      </c>
      <c r="AH96" s="511">
        <f t="shared" ref="AH96" si="731">IF(P96&gt;0,((P97-P96)/P96),)</f>
        <v>-1.0298541701296338E-2</v>
      </c>
      <c r="AI96" s="511">
        <f t="shared" ref="AI96" si="732">IF(Q96&gt;0,((Q97-Q96)/Q96),)</f>
        <v>0.11671061911163615</v>
      </c>
      <c r="AJ96" s="511">
        <f t="shared" ref="AJ96" si="733">IF(R96&gt;0,((R97-R96)/R96),)</f>
        <v>1.8543422895181894E-2</v>
      </c>
      <c r="AK96" s="511">
        <f t="shared" ref="AK96" si="734">IF(S96&gt;0,((S97-S96)/S96),)</f>
        <v>5.7459107761461951E-2</v>
      </c>
      <c r="AL96" s="511">
        <f t="shared" ref="AL96" si="735">IF(T96&gt;0,((T97-T96)/T96),)</f>
        <v>7.6067030757931272E-3</v>
      </c>
      <c r="AM96" s="511">
        <f t="shared" ref="AM96" si="736">IF(U96&gt;0,((U97-U96)/U96),)</f>
        <v>3.8219736182370824E-2</v>
      </c>
    </row>
    <row r="97" spans="1:39">
      <c r="A97" s="1470"/>
      <c r="B97" s="510"/>
      <c r="C97" s="1253" t="s">
        <v>274</v>
      </c>
      <c r="D97" s="1254"/>
      <c r="E97" s="1250">
        <v>2887432516</v>
      </c>
      <c r="F97" s="1209">
        <v>1611108902</v>
      </c>
      <c r="G97" s="1209">
        <v>718498498</v>
      </c>
      <c r="H97" s="1209">
        <v>5907651279.8831511</v>
      </c>
      <c r="I97" s="1209">
        <v>4459574691.6800003</v>
      </c>
      <c r="J97" s="1209">
        <v>2498109187.9999995</v>
      </c>
      <c r="K97" s="1209">
        <v>1973238843</v>
      </c>
      <c r="L97" s="1209">
        <v>3535144747</v>
      </c>
      <c r="M97" s="1209">
        <v>1628700040</v>
      </c>
      <c r="N97" s="1209">
        <v>5546233623</v>
      </c>
      <c r="O97" s="1209">
        <v>1944584975</v>
      </c>
      <c r="P97" s="1209">
        <v>2540687240</v>
      </c>
      <c r="Q97" s="1209">
        <v>2847961781.706573</v>
      </c>
      <c r="R97" s="1209">
        <v>13099377774</v>
      </c>
      <c r="S97" s="1209">
        <v>3941417599</v>
      </c>
      <c r="T97" s="1209">
        <v>1070378524</v>
      </c>
      <c r="U97" s="1250">
        <v>56210100222.269722</v>
      </c>
      <c r="V97" s="427"/>
      <c r="W97" s="512"/>
      <c r="X97" s="512"/>
      <c r="Y97" s="512"/>
      <c r="Z97" s="512"/>
      <c r="AA97" s="512"/>
      <c r="AB97" s="512"/>
      <c r="AC97" s="512"/>
      <c r="AD97" s="512"/>
      <c r="AE97" s="512"/>
      <c r="AF97" s="512"/>
      <c r="AG97" s="512"/>
      <c r="AH97" s="512"/>
      <c r="AI97" s="512"/>
      <c r="AJ97" s="512"/>
      <c r="AK97" s="512"/>
      <c r="AL97" s="512"/>
      <c r="AM97" s="512"/>
    </row>
    <row r="98" spans="1:39">
      <c r="A98" s="1164"/>
      <c r="B98" s="400"/>
      <c r="C98"/>
      <c r="D98"/>
      <c r="E98"/>
      <c r="F98"/>
      <c r="G98"/>
      <c r="H98"/>
      <c r="I98"/>
      <c r="J98"/>
      <c r="K98"/>
      <c r="L98"/>
      <c r="M98"/>
      <c r="N98"/>
      <c r="O98"/>
      <c r="P98"/>
      <c r="Q98"/>
      <c r="R98"/>
      <c r="S98"/>
      <c r="T98"/>
      <c r="U98"/>
      <c r="V98" s="427"/>
    </row>
    <row r="99" spans="1:39">
      <c r="A99" s="1164"/>
      <c r="B99" s="480"/>
      <c r="C99"/>
      <c r="D99"/>
      <c r="E99"/>
      <c r="F99"/>
      <c r="G99"/>
      <c r="H99"/>
      <c r="I99"/>
      <c r="J99"/>
      <c r="K99"/>
      <c r="L99"/>
      <c r="M99"/>
      <c r="N99"/>
      <c r="O99"/>
      <c r="P99"/>
      <c r="Q99"/>
      <c r="R99"/>
      <c r="S99"/>
      <c r="T99"/>
      <c r="U99"/>
      <c r="V99" s="394"/>
    </row>
    <row r="100" spans="1:39">
      <c r="A100" s="1164"/>
      <c r="B100" s="480"/>
      <c r="C100"/>
      <c r="D100"/>
      <c r="E100"/>
      <c r="F100"/>
      <c r="G100"/>
      <c r="H100"/>
      <c r="I100"/>
      <c r="J100"/>
      <c r="K100"/>
      <c r="L100"/>
      <c r="M100"/>
      <c r="N100"/>
      <c r="O100"/>
      <c r="P100"/>
      <c r="Q100"/>
      <c r="R100"/>
      <c r="S100"/>
      <c r="T100"/>
      <c r="U100"/>
      <c r="V100" s="485"/>
    </row>
    <row r="101" spans="1:39">
      <c r="A101" s="1164"/>
      <c r="B101" s="400"/>
      <c r="C101"/>
      <c r="D101"/>
      <c r="E101"/>
      <c r="F101"/>
      <c r="G101"/>
      <c r="H101"/>
      <c r="I101"/>
      <c r="J101"/>
      <c r="K101"/>
      <c r="L101"/>
      <c r="M101"/>
      <c r="N101"/>
      <c r="O101"/>
      <c r="P101"/>
      <c r="Q101"/>
      <c r="R101"/>
      <c r="S101"/>
      <c r="T101"/>
      <c r="U101"/>
      <c r="V101" s="427"/>
    </row>
    <row r="102" spans="1:39">
      <c r="A102" s="1164"/>
      <c r="B102" s="480"/>
      <c r="C102"/>
      <c r="D102"/>
      <c r="E102"/>
      <c r="F102"/>
      <c r="G102"/>
      <c r="H102"/>
      <c r="I102"/>
      <c r="J102"/>
      <c r="K102"/>
      <c r="L102"/>
      <c r="M102"/>
      <c r="N102"/>
      <c r="O102"/>
      <c r="P102"/>
      <c r="Q102"/>
      <c r="R102"/>
      <c r="S102"/>
      <c r="T102"/>
      <c r="U102"/>
      <c r="V102" s="394"/>
    </row>
    <row r="103" spans="1:39">
      <c r="A103" s="1164"/>
      <c r="B103" s="400"/>
      <c r="C103"/>
      <c r="D103"/>
      <c r="E103"/>
      <c r="F103"/>
      <c r="G103"/>
      <c r="H103"/>
      <c r="I103"/>
      <c r="J103"/>
      <c r="K103"/>
      <c r="L103"/>
      <c r="M103"/>
      <c r="N103"/>
      <c r="O103"/>
      <c r="P103"/>
      <c r="Q103"/>
      <c r="R103"/>
      <c r="S103"/>
      <c r="T103"/>
      <c r="U103"/>
      <c r="V103" s="485"/>
    </row>
    <row r="104" spans="1:39">
      <c r="A104" s="1164"/>
      <c r="B104" s="400"/>
      <c r="C104"/>
      <c r="D104"/>
      <c r="E104"/>
      <c r="F104"/>
      <c r="G104"/>
      <c r="H104"/>
      <c r="I104"/>
      <c r="J104"/>
      <c r="K104"/>
      <c r="L104"/>
      <c r="M104"/>
      <c r="N104"/>
      <c r="O104"/>
      <c r="P104"/>
      <c r="Q104"/>
      <c r="R104"/>
      <c r="S104"/>
      <c r="T104"/>
      <c r="U104"/>
      <c r="V104" s="427"/>
    </row>
    <row r="105" spans="1:39">
      <c r="A105" s="1164"/>
      <c r="B105" s="400"/>
      <c r="C105"/>
      <c r="D105"/>
      <c r="E105"/>
      <c r="F105"/>
      <c r="G105"/>
      <c r="H105"/>
      <c r="I105"/>
      <c r="J105"/>
      <c r="K105"/>
      <c r="L105"/>
      <c r="M105"/>
      <c r="N105"/>
      <c r="O105"/>
      <c r="P105"/>
      <c r="Q105"/>
      <c r="R105"/>
      <c r="S105"/>
      <c r="T105"/>
      <c r="U105"/>
      <c r="V105" s="394"/>
    </row>
    <row r="106" spans="1:39">
      <c r="A106" s="1164"/>
      <c r="B106" s="400"/>
      <c r="C106"/>
      <c r="D106"/>
      <c r="E106"/>
      <c r="F106"/>
      <c r="G106"/>
      <c r="H106"/>
      <c r="I106"/>
      <c r="J106"/>
      <c r="K106"/>
      <c r="L106"/>
      <c r="M106"/>
      <c r="N106"/>
      <c r="O106"/>
      <c r="P106"/>
      <c r="Q106"/>
      <c r="R106"/>
      <c r="S106"/>
      <c r="T106"/>
      <c r="U106"/>
      <c r="V106" s="485"/>
    </row>
    <row r="107" spans="1:39">
      <c r="A107" s="1164"/>
      <c r="B107" s="400"/>
      <c r="C107"/>
      <c r="D107"/>
      <c r="E107"/>
      <c r="F107"/>
      <c r="G107"/>
      <c r="H107"/>
      <c r="I107"/>
      <c r="J107"/>
      <c r="K107"/>
      <c r="L107"/>
      <c r="M107"/>
      <c r="N107"/>
      <c r="O107"/>
      <c r="P107"/>
      <c r="Q107"/>
      <c r="R107"/>
      <c r="S107"/>
      <c r="T107"/>
      <c r="U107"/>
      <c r="V107" s="427"/>
    </row>
    <row r="108" spans="1:39">
      <c r="A108" s="1164"/>
      <c r="B108" s="400"/>
      <c r="C108"/>
      <c r="D108"/>
      <c r="E108"/>
      <c r="F108"/>
      <c r="G108"/>
      <c r="H108"/>
      <c r="I108"/>
      <c r="J108"/>
      <c r="K108"/>
      <c r="L108"/>
      <c r="M108"/>
      <c r="N108"/>
      <c r="O108"/>
      <c r="P108"/>
      <c r="Q108"/>
      <c r="R108"/>
      <c r="S108"/>
      <c r="T108"/>
      <c r="U108"/>
      <c r="V108" s="394"/>
    </row>
    <row r="109" spans="1:39">
      <c r="A109" s="1164"/>
      <c r="B109" s="400"/>
      <c r="C109"/>
      <c r="D109"/>
      <c r="E109"/>
      <c r="F109"/>
      <c r="G109"/>
      <c r="H109"/>
      <c r="I109"/>
      <c r="J109"/>
      <c r="K109"/>
      <c r="L109"/>
      <c r="M109"/>
      <c r="N109"/>
      <c r="O109"/>
      <c r="P109"/>
      <c r="Q109"/>
      <c r="R109"/>
      <c r="S109"/>
      <c r="T109"/>
      <c r="U109"/>
      <c r="V109" s="485"/>
    </row>
    <row r="110" spans="1:39">
      <c r="A110" s="1164"/>
      <c r="B110" s="400"/>
      <c r="C110"/>
      <c r="D110"/>
      <c r="E110"/>
      <c r="F110"/>
      <c r="G110"/>
      <c r="H110"/>
      <c r="I110"/>
      <c r="J110"/>
      <c r="K110"/>
      <c r="L110"/>
      <c r="M110"/>
      <c r="N110"/>
      <c r="O110"/>
      <c r="P110"/>
      <c r="Q110"/>
      <c r="R110"/>
      <c r="S110"/>
      <c r="T110"/>
      <c r="U110"/>
      <c r="V110" s="427"/>
    </row>
    <row r="111" spans="1:39">
      <c r="A111" s="1164"/>
      <c r="B111" s="400"/>
      <c r="C111"/>
      <c r="D111"/>
      <c r="E111"/>
      <c r="F111"/>
      <c r="G111"/>
      <c r="H111"/>
      <c r="I111"/>
      <c r="J111"/>
      <c r="K111"/>
      <c r="L111"/>
      <c r="M111"/>
      <c r="N111"/>
      <c r="O111"/>
      <c r="P111"/>
      <c r="Q111"/>
      <c r="R111"/>
      <c r="S111"/>
      <c r="T111"/>
      <c r="U111"/>
      <c r="V111" s="394"/>
    </row>
    <row r="112" spans="1:39">
      <c r="A112" s="1164"/>
      <c r="B112" s="400"/>
      <c r="C112"/>
      <c r="D112"/>
      <c r="E112"/>
      <c r="F112"/>
      <c r="G112"/>
      <c r="H112"/>
      <c r="I112"/>
      <c r="J112"/>
      <c r="K112"/>
      <c r="L112"/>
      <c r="M112"/>
      <c r="N112"/>
      <c r="O112"/>
      <c r="P112"/>
      <c r="Q112"/>
      <c r="R112"/>
      <c r="S112"/>
      <c r="T112"/>
      <c r="U112"/>
      <c r="V112" s="485"/>
    </row>
    <row r="113" spans="1:22">
      <c r="A113" s="1164"/>
      <c r="B113" s="400"/>
      <c r="C113"/>
      <c r="D113"/>
      <c r="E113"/>
      <c r="F113"/>
      <c r="G113"/>
      <c r="H113"/>
      <c r="I113"/>
      <c r="J113"/>
      <c r="K113"/>
      <c r="L113"/>
      <c r="M113"/>
      <c r="N113"/>
      <c r="O113"/>
      <c r="P113"/>
      <c r="Q113"/>
      <c r="R113"/>
      <c r="S113"/>
      <c r="T113"/>
      <c r="U113"/>
      <c r="V113" s="427"/>
    </row>
    <row r="114" spans="1:22">
      <c r="A114" s="1164"/>
      <c r="B114" s="400"/>
      <c r="C114"/>
      <c r="D114"/>
      <c r="E114"/>
      <c r="F114"/>
      <c r="G114"/>
      <c r="H114"/>
      <c r="I114"/>
      <c r="J114"/>
      <c r="K114"/>
      <c r="L114"/>
      <c r="M114"/>
      <c r="N114"/>
      <c r="O114"/>
      <c r="P114"/>
      <c r="Q114"/>
      <c r="R114"/>
      <c r="S114"/>
      <c r="T114"/>
      <c r="U114"/>
      <c r="V114" s="394"/>
    </row>
    <row r="115" spans="1:22">
      <c r="A115" s="1164"/>
      <c r="B115" s="400"/>
      <c r="C115"/>
      <c r="D115"/>
      <c r="E115"/>
      <c r="F115"/>
      <c r="G115"/>
      <c r="H115"/>
      <c r="I115"/>
      <c r="J115"/>
      <c r="K115"/>
      <c r="L115"/>
      <c r="M115"/>
      <c r="N115"/>
      <c r="O115"/>
      <c r="P115"/>
      <c r="Q115"/>
      <c r="R115"/>
      <c r="S115"/>
      <c r="T115"/>
      <c r="U115"/>
      <c r="V115" s="485"/>
    </row>
    <row r="116" spans="1:22">
      <c r="A116" s="1164"/>
      <c r="B116" s="400"/>
      <c r="C116"/>
      <c r="D116"/>
      <c r="E116"/>
      <c r="F116"/>
      <c r="G116"/>
      <c r="H116"/>
      <c r="I116"/>
      <c r="J116"/>
      <c r="K116"/>
      <c r="L116"/>
      <c r="M116"/>
      <c r="N116"/>
      <c r="O116"/>
      <c r="P116"/>
      <c r="Q116"/>
      <c r="R116"/>
      <c r="S116"/>
      <c r="T116"/>
      <c r="U116"/>
      <c r="V116" s="427"/>
    </row>
    <row r="117" spans="1:22">
      <c r="A117" s="1164"/>
      <c r="B117" s="400"/>
      <c r="C117"/>
      <c r="D117"/>
      <c r="E117"/>
      <c r="F117"/>
      <c r="G117"/>
      <c r="H117"/>
      <c r="I117"/>
      <c r="J117"/>
      <c r="K117"/>
      <c r="L117"/>
      <c r="M117"/>
      <c r="N117"/>
      <c r="O117"/>
      <c r="P117"/>
      <c r="Q117"/>
      <c r="R117"/>
      <c r="S117"/>
      <c r="T117"/>
      <c r="U117"/>
      <c r="V117" s="394"/>
    </row>
    <row r="118" spans="1:22">
      <c r="A118" s="1164"/>
      <c r="B118" s="400"/>
      <c r="C118"/>
      <c r="D118"/>
      <c r="E118"/>
      <c r="F118"/>
      <c r="G118"/>
      <c r="H118"/>
      <c r="I118"/>
      <c r="J118"/>
      <c r="K118"/>
      <c r="L118"/>
      <c r="M118"/>
      <c r="N118"/>
      <c r="O118"/>
      <c r="P118"/>
      <c r="Q118"/>
      <c r="R118"/>
      <c r="S118"/>
      <c r="T118"/>
      <c r="U118"/>
      <c r="V118" s="485"/>
    </row>
    <row r="119" spans="1:22">
      <c r="A119" s="1164"/>
      <c r="B119" s="400"/>
      <c r="C119"/>
      <c r="D119"/>
      <c r="E119"/>
      <c r="F119"/>
      <c r="G119"/>
      <c r="H119"/>
      <c r="I119"/>
      <c r="J119"/>
      <c r="K119"/>
      <c r="L119"/>
      <c r="M119"/>
      <c r="N119"/>
      <c r="O119"/>
      <c r="P119"/>
      <c r="Q119"/>
      <c r="R119"/>
      <c r="S119"/>
      <c r="T119"/>
      <c r="U119"/>
      <c r="V119" s="427"/>
    </row>
    <row r="120" spans="1:22">
      <c r="A120" s="1164"/>
      <c r="B120" s="400"/>
      <c r="C120"/>
      <c r="D120"/>
      <c r="E120"/>
      <c r="F120"/>
      <c r="G120"/>
      <c r="H120"/>
      <c r="I120"/>
      <c r="J120"/>
      <c r="K120"/>
      <c r="L120"/>
      <c r="M120"/>
      <c r="N120"/>
      <c r="O120"/>
      <c r="P120"/>
      <c r="Q120"/>
      <c r="R120"/>
      <c r="S120"/>
      <c r="T120"/>
      <c r="U120"/>
      <c r="V120" s="394"/>
    </row>
    <row r="121" spans="1:22">
      <c r="A121" s="1164"/>
      <c r="B121" s="400"/>
      <c r="C121"/>
      <c r="D121"/>
      <c r="E121"/>
      <c r="F121"/>
      <c r="G121"/>
      <c r="H121"/>
      <c r="I121"/>
      <c r="J121"/>
      <c r="K121"/>
      <c r="L121"/>
      <c r="M121"/>
      <c r="N121"/>
      <c r="O121"/>
      <c r="P121"/>
      <c r="Q121"/>
      <c r="R121"/>
      <c r="S121"/>
      <c r="T121"/>
      <c r="U121"/>
      <c r="V121" s="485"/>
    </row>
    <row r="122" spans="1:22">
      <c r="A122" s="1164"/>
      <c r="B122" s="400"/>
      <c r="C122"/>
      <c r="D122"/>
      <c r="E122"/>
      <c r="F122"/>
      <c r="G122"/>
      <c r="H122"/>
      <c r="I122"/>
      <c r="J122"/>
      <c r="K122"/>
      <c r="L122"/>
      <c r="M122"/>
      <c r="N122"/>
      <c r="O122"/>
      <c r="P122"/>
      <c r="Q122"/>
      <c r="R122"/>
      <c r="S122"/>
      <c r="T122"/>
      <c r="U122"/>
      <c r="V122" s="427"/>
    </row>
    <row r="123" spans="1:22">
      <c r="A123" s="1164"/>
      <c r="B123" s="400"/>
      <c r="C123"/>
      <c r="D123"/>
      <c r="E123"/>
      <c r="F123"/>
      <c r="G123"/>
      <c r="H123"/>
      <c r="I123"/>
      <c r="J123"/>
      <c r="K123"/>
      <c r="L123"/>
      <c r="M123"/>
      <c r="N123"/>
      <c r="O123"/>
      <c r="P123"/>
      <c r="Q123"/>
      <c r="R123"/>
      <c r="S123"/>
      <c r="T123"/>
      <c r="U123"/>
      <c r="V123" s="394"/>
    </row>
    <row r="124" spans="1:22">
      <c r="A124" s="1164"/>
      <c r="B124" s="400"/>
      <c r="C124"/>
      <c r="D124"/>
      <c r="E124"/>
      <c r="F124"/>
      <c r="G124"/>
      <c r="H124"/>
      <c r="I124"/>
      <c r="J124"/>
      <c r="K124"/>
      <c r="L124"/>
      <c r="M124"/>
      <c r="N124"/>
      <c r="O124"/>
      <c r="P124"/>
      <c r="Q124"/>
      <c r="R124"/>
      <c r="S124"/>
      <c r="T124"/>
      <c r="U124"/>
      <c r="V124" s="485"/>
    </row>
    <row r="125" spans="1:22">
      <c r="A125" s="1164"/>
      <c r="B125" s="400"/>
      <c r="C125"/>
      <c r="D125"/>
      <c r="E125"/>
      <c r="F125"/>
      <c r="G125"/>
      <c r="H125"/>
      <c r="I125"/>
      <c r="J125"/>
      <c r="K125"/>
      <c r="L125"/>
      <c r="M125"/>
      <c r="N125"/>
      <c r="O125"/>
      <c r="P125"/>
      <c r="Q125"/>
      <c r="R125"/>
      <c r="S125"/>
      <c r="T125"/>
      <c r="U125"/>
      <c r="V125" s="427"/>
    </row>
    <row r="126" spans="1:22">
      <c r="A126" s="1164"/>
      <c r="B126" s="400"/>
      <c r="C126"/>
      <c r="D126"/>
      <c r="E126"/>
      <c r="F126"/>
      <c r="G126"/>
      <c r="H126"/>
      <c r="I126"/>
      <c r="J126"/>
      <c r="K126"/>
      <c r="L126"/>
      <c r="M126"/>
      <c r="N126"/>
      <c r="O126"/>
      <c r="P126"/>
      <c r="Q126"/>
      <c r="R126"/>
      <c r="S126"/>
      <c r="T126"/>
      <c r="U126"/>
      <c r="V126" s="394"/>
    </row>
    <row r="127" spans="1:22">
      <c r="A127" s="1164"/>
      <c r="B127" s="400"/>
      <c r="C127"/>
      <c r="D127"/>
      <c r="E127"/>
      <c r="F127"/>
      <c r="G127"/>
      <c r="H127"/>
      <c r="I127"/>
      <c r="J127"/>
      <c r="K127"/>
      <c r="L127"/>
      <c r="M127"/>
      <c r="N127"/>
      <c r="O127"/>
      <c r="P127"/>
      <c r="Q127"/>
      <c r="R127"/>
      <c r="S127"/>
      <c r="T127"/>
      <c r="U127"/>
      <c r="V127" s="485"/>
    </row>
    <row r="128" spans="1:22">
      <c r="A128" s="1164"/>
      <c r="B128" s="400"/>
      <c r="C128"/>
      <c r="D128"/>
      <c r="E128"/>
      <c r="F128"/>
      <c r="G128"/>
      <c r="H128"/>
      <c r="I128"/>
      <c r="J128"/>
      <c r="K128"/>
      <c r="L128"/>
      <c r="M128"/>
      <c r="N128"/>
      <c r="O128"/>
      <c r="P128"/>
      <c r="Q128"/>
      <c r="R128"/>
      <c r="S128"/>
      <c r="T128"/>
      <c r="U128"/>
      <c r="V128" s="427"/>
    </row>
    <row r="129" spans="1:22">
      <c r="A129" s="1164"/>
      <c r="B129" s="400"/>
      <c r="C129"/>
      <c r="D129"/>
      <c r="E129"/>
      <c r="F129"/>
      <c r="G129"/>
      <c r="H129"/>
      <c r="I129"/>
      <c r="J129"/>
      <c r="K129"/>
      <c r="L129"/>
      <c r="M129"/>
      <c r="N129"/>
      <c r="O129"/>
      <c r="P129"/>
      <c r="Q129"/>
      <c r="R129"/>
      <c r="S129"/>
      <c r="T129"/>
      <c r="U129"/>
      <c r="V129" s="394"/>
    </row>
    <row r="130" spans="1:22">
      <c r="A130" s="1164"/>
      <c r="B130" s="400"/>
      <c r="C130"/>
      <c r="D130"/>
      <c r="E130"/>
      <c r="F130"/>
      <c r="G130"/>
      <c r="H130"/>
      <c r="I130"/>
      <c r="J130"/>
      <c r="K130"/>
      <c r="L130"/>
      <c r="M130"/>
      <c r="N130"/>
      <c r="O130"/>
      <c r="P130"/>
      <c r="Q130"/>
      <c r="R130"/>
      <c r="S130"/>
      <c r="T130"/>
      <c r="U130"/>
      <c r="V130" s="485"/>
    </row>
    <row r="131" spans="1:22">
      <c r="A131" s="1164"/>
      <c r="B131" s="400"/>
      <c r="C131"/>
      <c r="D131"/>
      <c r="E131"/>
      <c r="F131"/>
      <c r="G131"/>
      <c r="H131"/>
      <c r="I131"/>
      <c r="J131"/>
      <c r="K131"/>
      <c r="L131"/>
      <c r="M131"/>
      <c r="N131"/>
      <c r="O131"/>
      <c r="P131"/>
      <c r="Q131"/>
      <c r="R131"/>
      <c r="S131"/>
      <c r="T131"/>
      <c r="U131"/>
      <c r="V131" s="427"/>
    </row>
    <row r="132" spans="1:22">
      <c r="A132" s="1164"/>
      <c r="B132" s="400"/>
      <c r="C132"/>
      <c r="D132"/>
      <c r="E132"/>
      <c r="F132"/>
      <c r="G132"/>
      <c r="H132"/>
      <c r="I132"/>
      <c r="J132"/>
      <c r="K132"/>
      <c r="L132"/>
      <c r="M132"/>
      <c r="N132"/>
      <c r="O132"/>
      <c r="P132"/>
      <c r="Q132"/>
      <c r="R132"/>
      <c r="S132"/>
      <c r="T132"/>
      <c r="U132"/>
      <c r="V132" s="394"/>
    </row>
    <row r="133" spans="1:22">
      <c r="A133" s="1164"/>
      <c r="B133" s="400"/>
      <c r="C133"/>
      <c r="D133"/>
      <c r="E133"/>
      <c r="F133"/>
      <c r="G133"/>
      <c r="H133"/>
      <c r="I133"/>
      <c r="J133"/>
      <c r="K133"/>
      <c r="L133"/>
      <c r="M133"/>
      <c r="N133"/>
      <c r="O133"/>
      <c r="P133"/>
      <c r="Q133"/>
      <c r="R133"/>
      <c r="S133"/>
      <c r="T133"/>
      <c r="U133"/>
      <c r="V133" s="485"/>
    </row>
    <row r="134" spans="1:22">
      <c r="A134" s="1164"/>
      <c r="B134" s="400"/>
      <c r="C134"/>
      <c r="D134"/>
      <c r="E134"/>
      <c r="F134"/>
      <c r="G134"/>
      <c r="H134"/>
      <c r="I134"/>
      <c r="J134"/>
      <c r="K134"/>
      <c r="L134"/>
      <c r="M134"/>
      <c r="N134"/>
      <c r="O134"/>
      <c r="P134"/>
      <c r="Q134"/>
      <c r="R134"/>
      <c r="S134"/>
      <c r="T134"/>
      <c r="U134"/>
      <c r="V134" s="427"/>
    </row>
    <row r="135" spans="1:22">
      <c r="A135" s="1164"/>
      <c r="B135" s="400"/>
      <c r="C135"/>
      <c r="D135"/>
      <c r="E135"/>
      <c r="F135"/>
      <c r="G135"/>
      <c r="H135"/>
      <c r="I135"/>
      <c r="J135"/>
      <c r="K135"/>
      <c r="L135"/>
      <c r="M135"/>
      <c r="N135"/>
      <c r="O135"/>
      <c r="P135"/>
      <c r="Q135"/>
      <c r="R135"/>
      <c r="S135"/>
      <c r="T135"/>
      <c r="U135"/>
      <c r="V135" s="394"/>
    </row>
    <row r="136" spans="1:22">
      <c r="A136" s="1164"/>
      <c r="B136" s="400"/>
      <c r="C136"/>
      <c r="D136"/>
      <c r="E136"/>
      <c r="F136"/>
      <c r="G136"/>
      <c r="H136"/>
      <c r="I136"/>
      <c r="J136"/>
      <c r="K136"/>
      <c r="L136"/>
      <c r="M136"/>
      <c r="N136"/>
      <c r="O136"/>
      <c r="P136"/>
      <c r="Q136"/>
      <c r="R136"/>
      <c r="S136"/>
      <c r="T136"/>
      <c r="U136"/>
      <c r="V136" s="485"/>
    </row>
    <row r="137" spans="1:22">
      <c r="A137" s="1164"/>
      <c r="B137" s="400"/>
      <c r="C137"/>
      <c r="D137"/>
      <c r="E137"/>
      <c r="F137"/>
      <c r="G137"/>
      <c r="H137"/>
      <c r="I137"/>
      <c r="J137"/>
      <c r="K137"/>
      <c r="L137"/>
      <c r="M137"/>
      <c r="N137"/>
      <c r="O137"/>
      <c r="P137"/>
      <c r="Q137"/>
      <c r="R137"/>
      <c r="S137"/>
      <c r="T137"/>
      <c r="U137"/>
      <c r="V137" s="427"/>
    </row>
    <row r="138" spans="1:22">
      <c r="A138" s="1164"/>
      <c r="B138" s="400"/>
      <c r="C138"/>
      <c r="D138"/>
      <c r="E138"/>
      <c r="F138"/>
      <c r="G138"/>
      <c r="H138"/>
      <c r="I138"/>
      <c r="J138"/>
      <c r="K138"/>
      <c r="L138"/>
      <c r="M138"/>
      <c r="N138"/>
      <c r="O138"/>
      <c r="P138"/>
      <c r="Q138"/>
      <c r="R138"/>
      <c r="S138"/>
      <c r="T138"/>
      <c r="U138"/>
      <c r="V138" s="394"/>
    </row>
    <row r="139" spans="1:22">
      <c r="A139" s="1164"/>
      <c r="B139" s="400"/>
      <c r="C139"/>
      <c r="D139"/>
      <c r="E139"/>
      <c r="F139"/>
      <c r="G139"/>
      <c r="H139"/>
      <c r="I139"/>
      <c r="J139"/>
      <c r="K139"/>
      <c r="L139"/>
      <c r="M139"/>
      <c r="N139"/>
      <c r="O139"/>
      <c r="P139"/>
      <c r="Q139"/>
      <c r="R139"/>
      <c r="S139"/>
      <c r="T139"/>
      <c r="U139"/>
      <c r="V139" s="485"/>
    </row>
    <row r="140" spans="1:22">
      <c r="A140" s="1164"/>
      <c r="B140" s="400"/>
      <c r="C140"/>
      <c r="D140"/>
      <c r="E140"/>
      <c r="F140"/>
      <c r="G140"/>
      <c r="H140"/>
      <c r="I140"/>
      <c r="J140"/>
      <c r="K140"/>
      <c r="L140"/>
      <c r="M140"/>
      <c r="N140"/>
      <c r="O140"/>
      <c r="P140"/>
      <c r="Q140"/>
      <c r="R140"/>
      <c r="S140"/>
      <c r="T140"/>
      <c r="U140"/>
      <c r="V140" s="427"/>
    </row>
    <row r="141" spans="1:22">
      <c r="A141" s="1164"/>
      <c r="B141" s="400"/>
      <c r="C141"/>
      <c r="D141"/>
      <c r="E141"/>
      <c r="F141"/>
      <c r="G141"/>
      <c r="H141"/>
      <c r="I141"/>
      <c r="J141"/>
      <c r="K141"/>
      <c r="L141"/>
      <c r="M141"/>
      <c r="N141"/>
      <c r="O141"/>
      <c r="P141"/>
      <c r="Q141"/>
      <c r="R141"/>
      <c r="S141"/>
      <c r="T141"/>
      <c r="U141"/>
      <c r="V141" s="394"/>
    </row>
    <row r="142" spans="1:22">
      <c r="A142" s="1165"/>
      <c r="B142" s="482"/>
      <c r="C142"/>
      <c r="D142"/>
      <c r="E142"/>
      <c r="F142"/>
      <c r="G142"/>
      <c r="H142"/>
      <c r="I142"/>
      <c r="J142"/>
      <c r="K142"/>
      <c r="L142"/>
      <c r="M142"/>
      <c r="N142"/>
      <c r="O142"/>
      <c r="P142"/>
      <c r="Q142"/>
      <c r="R142"/>
      <c r="S142"/>
      <c r="T142"/>
      <c r="U142"/>
      <c r="V142" s="485"/>
    </row>
    <row r="143" spans="1:22">
      <c r="B143" s="418"/>
      <c r="C143"/>
      <c r="D143"/>
      <c r="E143"/>
      <c r="F143"/>
      <c r="G143"/>
      <c r="H143"/>
      <c r="I143"/>
      <c r="J143"/>
      <c r="K143"/>
      <c r="L143"/>
      <c r="M143"/>
      <c r="N143"/>
      <c r="O143"/>
      <c r="P143"/>
      <c r="Q143"/>
      <c r="R143"/>
      <c r="S143"/>
      <c r="T143"/>
      <c r="U143"/>
      <c r="V143" s="427"/>
    </row>
    <row r="144" spans="1:22">
      <c r="A144" s="465"/>
      <c r="B144" s="419"/>
      <c r="C144"/>
      <c r="D144"/>
      <c r="E144"/>
      <c r="F144"/>
      <c r="G144"/>
      <c r="H144"/>
      <c r="I144"/>
      <c r="J144"/>
      <c r="K144"/>
      <c r="L144"/>
      <c r="M144"/>
      <c r="N144"/>
      <c r="O144"/>
      <c r="P144"/>
      <c r="Q144"/>
      <c r="R144"/>
      <c r="S144"/>
      <c r="T144"/>
      <c r="U144"/>
      <c r="V144" s="394"/>
    </row>
    <row r="145" spans="1:22">
      <c r="A145" s="483"/>
      <c r="B145" s="420"/>
      <c r="C145"/>
      <c r="D145"/>
      <c r="E145"/>
      <c r="F145"/>
      <c r="G145"/>
      <c r="H145"/>
      <c r="I145"/>
      <c r="J145"/>
      <c r="K145"/>
      <c r="L145"/>
      <c r="M145"/>
      <c r="N145"/>
      <c r="O145"/>
      <c r="P145"/>
      <c r="Q145"/>
      <c r="R145"/>
      <c r="S145"/>
      <c r="T145"/>
      <c r="U145"/>
      <c r="V145" s="485"/>
    </row>
    <row r="146" spans="1:22">
      <c r="B146" s="418"/>
      <c r="C146" s="492"/>
      <c r="D146" s="475"/>
      <c r="E146" s="476"/>
      <c r="F146" s="487"/>
      <c r="G146" s="487"/>
      <c r="H146" s="487"/>
      <c r="I146" s="487"/>
      <c r="J146" s="487"/>
      <c r="K146" s="487"/>
      <c r="L146" s="487"/>
      <c r="M146" s="487"/>
      <c r="N146" s="487"/>
      <c r="O146" s="487"/>
      <c r="P146" s="487"/>
      <c r="Q146" s="487"/>
      <c r="R146" s="487"/>
      <c r="S146" s="487"/>
      <c r="T146" s="487"/>
      <c r="U146" s="488"/>
      <c r="V146" s="427"/>
    </row>
    <row r="147" spans="1:22">
      <c r="B147" s="418"/>
      <c r="C147" s="493"/>
      <c r="D147" s="426"/>
      <c r="E147" s="425"/>
      <c r="F147" s="394"/>
      <c r="G147" s="394"/>
      <c r="H147" s="394"/>
      <c r="I147" s="394"/>
      <c r="J147" s="394"/>
      <c r="K147" s="394"/>
      <c r="L147" s="394"/>
      <c r="M147" s="394"/>
      <c r="N147" s="394"/>
      <c r="O147" s="394"/>
      <c r="P147" s="394"/>
      <c r="Q147" s="394"/>
      <c r="R147" s="394"/>
      <c r="S147" s="394"/>
      <c r="T147" s="394"/>
      <c r="U147" s="426"/>
      <c r="V147" s="394"/>
    </row>
    <row r="148" spans="1:22">
      <c r="A148" s="483"/>
      <c r="B148" s="495"/>
      <c r="C148" s="494"/>
      <c r="D148" s="484"/>
      <c r="E148" s="486"/>
      <c r="F148" s="489"/>
      <c r="G148" s="489"/>
      <c r="H148" s="489"/>
      <c r="I148" s="489"/>
      <c r="J148" s="489"/>
      <c r="K148" s="489"/>
      <c r="L148" s="489"/>
      <c r="M148" s="489"/>
      <c r="N148" s="489"/>
      <c r="O148" s="489"/>
      <c r="P148" s="489"/>
      <c r="Q148" s="489"/>
      <c r="R148" s="489"/>
      <c r="S148" s="489"/>
      <c r="T148" s="489"/>
      <c r="U148" s="490"/>
      <c r="V148" s="485"/>
    </row>
    <row r="149" spans="1:22">
      <c r="B149" s="418"/>
      <c r="C149" s="181"/>
      <c r="D149" s="181"/>
      <c r="E149" s="181"/>
      <c r="F149" s="181"/>
      <c r="G149" s="181"/>
      <c r="H149" s="181"/>
      <c r="I149" s="181"/>
      <c r="J149" s="181"/>
      <c r="K149" s="181"/>
      <c r="L149" s="181"/>
      <c r="M149" s="181"/>
      <c r="N149" s="181"/>
      <c r="O149" s="181"/>
      <c r="P149" s="181"/>
      <c r="Q149" s="181"/>
      <c r="R149" s="181"/>
      <c r="S149" s="181"/>
      <c r="T149" s="181"/>
      <c r="U149" s="181"/>
      <c r="V149" s="181"/>
    </row>
    <row r="150" spans="1:22">
      <c r="B150" s="418"/>
      <c r="C150" s="181"/>
      <c r="D150" s="181"/>
      <c r="E150" s="181"/>
      <c r="F150" s="181"/>
      <c r="G150" s="181"/>
      <c r="H150" s="181"/>
      <c r="I150" s="181"/>
      <c r="J150" s="181"/>
      <c r="K150" s="181"/>
      <c r="L150" s="181"/>
      <c r="M150" s="181"/>
      <c r="N150" s="181"/>
      <c r="O150" s="181"/>
      <c r="P150" s="181"/>
      <c r="Q150" s="181"/>
      <c r="R150" s="181"/>
      <c r="S150" s="181"/>
      <c r="T150" s="181"/>
      <c r="U150" s="181"/>
      <c r="V150" s="181"/>
    </row>
    <row r="151" spans="1:22">
      <c r="B151" s="418"/>
      <c r="C151" s="181"/>
      <c r="D151" s="181"/>
      <c r="E151" s="181"/>
      <c r="F151" s="181"/>
      <c r="G151" s="181"/>
      <c r="H151" s="181"/>
      <c r="I151" s="181"/>
      <c r="J151" s="181"/>
      <c r="K151" s="181"/>
      <c r="L151" s="181"/>
      <c r="M151" s="181"/>
      <c r="N151" s="181"/>
      <c r="O151" s="181"/>
      <c r="P151" s="181"/>
      <c r="Q151" s="181"/>
      <c r="R151" s="181"/>
      <c r="S151" s="181"/>
      <c r="T151" s="181"/>
      <c r="U151" s="181"/>
      <c r="V151" s="181"/>
    </row>
  </sheetData>
  <mergeCells count="2">
    <mergeCell ref="A4:A39"/>
    <mergeCell ref="A40:A97"/>
  </mergeCells>
  <phoneticPr fontId="6"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116-132 NEW Amounts per FTE</vt:lpstr>
      <vt:lpstr>OLD Amounts per FTE</vt:lpstr>
      <vt:lpstr>Distrib pivot table</vt:lpstr>
      <vt:lpstr>Amounts Pivot Table</vt:lpstr>
      <vt:lpstr>Amounts Pivot Table Fact Book</vt:lpstr>
      <vt:lpstr>Funding Data</vt:lpstr>
      <vt:lpstr>SFA Data for Highlights</vt:lpstr>
      <vt:lpstr>Format P01</vt:lpstr>
      <vt:lpstr>Format P02</vt:lpstr>
      <vt:lpstr>'113. NEW Distrib by purp sum'!Print_Area</vt:lpstr>
      <vt:lpstr>'114. NEW Distrib by purpose'!Print_Area</vt:lpstr>
      <vt:lpstr>'115. NEW Distrib by source'!Print_Area</vt:lpstr>
      <vt:lpstr>'116-132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eafgrad1</dc:creator>
  <cp:lastModifiedBy>jmarks</cp:lastModifiedBy>
  <cp:lastPrinted>2012-02-13T21:09:01Z</cp:lastPrinted>
  <dcterms:created xsi:type="dcterms:W3CDTF">1997-12-15T16:34:08Z</dcterms:created>
  <dcterms:modified xsi:type="dcterms:W3CDTF">2012-02-13T21:09:17Z</dcterms:modified>
</cp:coreProperties>
</file>